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t" sheetId="1" r:id="rId1"/>
    <sheet name="Summary" sheetId="2" r:id="rId2"/>
    <sheet name="Students" sheetId="3" r:id="rId3"/>
    <sheet name="SingleStudentView" sheetId="4" r:id="rId4"/>
    <sheet name="SingleStudentViewBlank" sheetId="5" r:id="rId5"/>
    <sheet name="Applications" sheetId="6" r:id="rId6"/>
    <sheet name="AllColleges" sheetId="7" state="hidden" r:id="rId7"/>
    <sheet name="CollegeListLookup" sheetId="8" state="hidden" r:id="rId8"/>
    <sheet name="CustomWeights" sheetId="9" state="hidden" r:id="rId9"/>
    <sheet name="Coefficients" sheetId="10" state="hidden" r:id="rId10"/>
    <sheet name="ACTtoSAT" sheetId="11" state="hidden" r:id="rId11"/>
    <sheet name="Strategies" sheetId="12" state="hidden" r:id="rId12"/>
    <sheet name="Targets" sheetId="13" state="hidden" r:id="rId13"/>
    <sheet name="Labels" sheetId="14" state="hidden" r:id="rId14"/>
  </sheets>
  <definedNames>
    <definedName name="_xlnm._FilterDatabase" localSheetId="6" hidden="1">AllColleges!$A$1:$L$1</definedName>
    <definedName name="_xlnm._FilterDatabase" localSheetId="5" hidden="1">Applications!$A$1:$BY$812</definedName>
    <definedName name="_xlnm._FilterDatabase" localSheetId="9" hidden="1">Coefficients!$A$1:$E$1</definedName>
    <definedName name="_xlnm._FilterDatabase" localSheetId="7" hidden="1">CollegeListLookup!$A$1:$C$1</definedName>
    <definedName name="_xlnm._FilterDatabase" localSheetId="8" hidden="1">CustomWeights!$A$1:$F$1</definedName>
    <definedName name="_xlnm._FilterDatabase" localSheetId="11" hidden="1">Strategies!$A$1:$D$1</definedName>
    <definedName name="_xlnm._FilterDatabase" localSheetId="2" hidden="1">Students!$A$2:$CD$77</definedName>
    <definedName name="AcceptTotal">Students!$AB$3:$AB$77</definedName>
    <definedName name="ACTtoSAT">ACTtoSAT!$A$2:$B$29</definedName>
    <definedName name="ActualACT">Students!$J$3:$J$77</definedName>
    <definedName name="ActualSAT">Students!$L$3:$L$77</definedName>
    <definedName name="Advisors">Students!$W$3:$W$77</definedName>
    <definedName name="AllCollegeAAHGR">AllColleges!$E$2:$E$4417</definedName>
    <definedName name="AllCollegeBarrons">AllColleges!$C$2:$C$4417</definedName>
    <definedName name="AllCollegeChicago">AllColleges!$L$2:$L$4417</definedName>
    <definedName name="AllCollegeGR">AllColleges!$D$2:$D$4417</definedName>
    <definedName name="AllCollegeHBCU">AllColleges!$J$2:$J$4417</definedName>
    <definedName name="AllCollegeILPub">AllColleges!$K$2:$K$4417</definedName>
    <definedName name="AllCollegeLookup">AllColleges!$A$2:$L$4417</definedName>
    <definedName name="AllCollegeMoney">AllColleges!$I$2:$I$4417</definedName>
    <definedName name="AllCollegeMoneyCode">AllColleges!$H$2:$H$4417</definedName>
    <definedName name="AllCollegeNames">AllColleges!$B$2:$B$4417</definedName>
    <definedName name="AllCollegeNCES">AllColleges!$A$2:$A$4417</definedName>
    <definedName name="AllCollegeSAT25">AllColleges!$F$2:$F$4417</definedName>
    <definedName name="AllCollegeSAT50">AllColleges!$G$2:$G$4417</definedName>
    <definedName name="AllGradRates">Applications!$AA$2:$AA$812</definedName>
    <definedName name="AllMoneyApps">Students!$BN$3:$BN$77</definedName>
    <definedName name="Apps">Students!$AW$3:$AW$77</definedName>
    <definedName name="AppsSubmitted">Students!$AE$3:$AE$77</definedName>
    <definedName name="BadMoney">Applications!$BX$2:$BX$812</definedName>
    <definedName name="BadMoneyApps">Students!$BZ$3:$BZ$77</definedName>
    <definedName name="Barrons">Applications!$R$2:$R$812</definedName>
    <definedName name="BelowTGRLabel">Labels!$B$4</definedName>
    <definedName name="Campus">Students!$A$3:$A$77</definedName>
    <definedName name="CityCollegesApps">Students!$CC$3:$CC$77</definedName>
    <definedName name="Classes">Applications!$AN$2:$AN$812</definedName>
    <definedName name="CoefficientsGPA">Coefficients!$C$2:$C$41</definedName>
    <definedName name="CoefficientsIndex">Coefficients!$A$2:$A$41</definedName>
    <definedName name="CoefficientsIntercept">Coefficients!$E$2:$E$41</definedName>
    <definedName name="CoefficientsMatchCode">Coefficients!$B$2:$B$41</definedName>
    <definedName name="CoefficientsSAT">Coefficients!$D$2:$D$41</definedName>
    <definedName name="Cohort">Students!$V$3:$V$77</definedName>
    <definedName name="CollegeListLookup">CollegeListLookup!$A$2:$B$1373</definedName>
    <definedName name="CollegeNames">Applications!$F$2:$F$812</definedName>
    <definedName name="Counselor">Students!$X$3:$X$77</definedName>
    <definedName name="CustomWeightsGPA">CustomWeights!$B$2:$B$302</definedName>
    <definedName name="CustomWeightsIndex">CustomWeights!$A$2:$A$302</definedName>
    <definedName name="CustomWeightsIntercept">CustomWeights!$D$2:$D$302</definedName>
    <definedName name="CustomWeightsSAT">CustomWeights!$C$2:$C$302</definedName>
    <definedName name="Denied">Students!$AD$3:$AD$77</definedName>
    <definedName name="EFC">Students!$B$3:$B$77</definedName>
    <definedName name="ExtraCollegeChoice">CollegeListLookup!$A$2:$A$1373</definedName>
    <definedName name="ExtraCollegeNCES">CollegeListLookup!$B$2:$B$1373</definedName>
    <definedName name="FarBelowTGRApps">Students!$AV$3:$AV$77</definedName>
    <definedName name="FarBelowTGRCount">Applications!$AV$2:$AV$812</definedName>
    <definedName name="FarBelowTGRLabel">Labels!$B$5</definedName>
    <definedName name="GoldenThree">Applications!$BY$2:$BY$812</definedName>
    <definedName name="GoldenThreeApps">Students!$CA$3:$CA$77</definedName>
    <definedName name="GradRates">Applications!$AB$2:$AB$812</definedName>
    <definedName name="HailMaryApps">Students!$BA$3:$BA$77</definedName>
    <definedName name="HailMaryLabel">Labels!$B$12</definedName>
    <definedName name="IdealGRLabel">Labels!$B$3</definedName>
    <definedName name="IGRshortLabel">Labels!$C$3</definedName>
    <definedName name="ILPubApps">Students!$BT$3:$BT$77</definedName>
    <definedName name="ILPublic">Applications!$BE$2:$BE$812</definedName>
    <definedName name="ILPubMSS">Students!$BU$3:$BU$77</definedName>
    <definedName name="ILPubSecure">Students!$BV$3:$BV$77</definedName>
    <definedName name="KidFirst">Students!$G$3:$G$77</definedName>
    <definedName name="KidGPAs">Students!$H$3:$H$77</definedName>
    <definedName name="KidIDs">Students!$E$3:$E$77</definedName>
    <definedName name="KidLast">Students!$F$3:$F$77</definedName>
    <definedName name="KidRace">Students!$P$3:$P$77</definedName>
    <definedName name="KidSATs">Students!$O$3:$O$77</definedName>
    <definedName name="KidWGPAs">Students!$I$3:$I$77</definedName>
    <definedName name="LastFirst">Students!$D$3:$D$77</definedName>
    <definedName name="LongshotApps">Students!$BB$3:$BB$77</definedName>
    <definedName name="LongshotLabel">Labels!$B$11</definedName>
    <definedName name="MatchApps">Students!$BD$3:$BD$77</definedName>
    <definedName name="MatchGRApps">Students!$AT$3:$AT$77</definedName>
    <definedName name="MatchLabel">Labels!$B$9</definedName>
    <definedName name="MatchMult">Applications!$AX$2:$AX$812</definedName>
    <definedName name="MatchOrUnder">Applications!$AR$2:$AR$812</definedName>
    <definedName name="MatchOrUnderApps">Students!$BX$3:$BX$77</definedName>
    <definedName name="MatchUnderMoney">Applications!$BT$2:$BT$812</definedName>
    <definedName name="MGRcount">Applications!$AT$2:$AT$812</definedName>
    <definedName name="MGRMoneyMult">Applications!$BC$2:$BC$812</definedName>
    <definedName name="MGRMult">Applications!$AZ$2:$AZ$812</definedName>
    <definedName name="MoneyBelowMGRApps">Students!$AQ$3:$AQ$77</definedName>
    <definedName name="MoneyChicago">Applications!$BV$2:$BV$812</definedName>
    <definedName name="MoneyChicagoApps">Students!$BW$3:$BW$77</definedName>
    <definedName name="MoneyCode">Applications!$BW$2:$BW$812</definedName>
    <definedName name="MoneyMatchApps">Students!$BJ$3:$BJ$77</definedName>
    <definedName name="MoneyMGRApps">Students!$BP$3:$BP$77</definedName>
    <definedName name="MoneyMGROdds">Students!$BP$3:$BP$77</definedName>
    <definedName name="MoneyMGROddsLongshot">Students!$BS$3:$BS$77</definedName>
    <definedName name="MoneyMGRPlus">Students!$Z$3:$Z$77</definedName>
    <definedName name="MoneyMGRPlusMatch">Students!$BQ$3:$BQ$77</definedName>
    <definedName name="MoneyReachApps">Students!$BI$3:$BI$77</definedName>
    <definedName name="MoneyRGRApps">Students!$BO$3:$BO$77</definedName>
    <definedName name="MoneyRGROdds">Students!$BO$3:$BO$77</definedName>
    <definedName name="MoneyRGROddsLongshot">Students!$BR$3:$BR$77</definedName>
    <definedName name="MoneyRGRPlus">Students!$AA$3:$AA$77</definedName>
    <definedName name="MoneySafetyApps">Students!$BK$3:$BK$77</definedName>
    <definedName name="MoneySecureApps">Students!$BL$3:$BL$77</definedName>
    <definedName name="MoneySureThingApps">Students!$BM$3:$BM$77</definedName>
    <definedName name="MoneyYesNo">Applications!$BB$2:$BB$812</definedName>
    <definedName name="NCESids">Applications!$N$2:$N$812</definedName>
    <definedName name="NLUApps">Students!$CB$3:$CB$77</definedName>
    <definedName name="Odds">Applications!$AM$2:$AM$812</definedName>
    <definedName name="PredEqual">Students!$AI$3:$AI$77</definedName>
    <definedName name="PredM1">Students!$AG$3:$AG$77</definedName>
    <definedName name="PredP">Students!$AF$3:$AF$77</definedName>
    <definedName name="PredPref">Students!$AH$3:$AH$77</definedName>
    <definedName name="ReachApps">Students!$BC$3:$BC$77</definedName>
    <definedName name="ReachGRApps">Students!$AS$3:$AS$77</definedName>
    <definedName name="ReachLabel">Labels!$B$10</definedName>
    <definedName name="ReachMult">Applications!$AY$2:$AY$812</definedName>
    <definedName name="ReachStudentTargets">Students!$U$3:$U$77</definedName>
    <definedName name="ReachUnder">Applications!$BK$2:$BK$812</definedName>
    <definedName name="ReachUnderMoney">Applications!$BS$2:$BS$812</definedName>
    <definedName name="Results">Applications!$AO$2:$AO$812</definedName>
    <definedName name="RGRcount">Applications!$AU$2:$AU$812</definedName>
    <definedName name="RGRMoneyMult">Applications!$BD$2:$BD$812</definedName>
    <definedName name="RGRMult">Applications!$BA$2:$BA$812</definedName>
    <definedName name="SafetyApps">Students!$BE$3:$BE$77</definedName>
    <definedName name="SafetyLabel">Labels!$B$8</definedName>
    <definedName name="SafetyUnder">Applications!$BM$2:$BM$812</definedName>
    <definedName name="SafetyUnderMoney">Applications!$BU$2:$BU$812</definedName>
    <definedName name="SecureApps">Students!$BF$3:$BF$77</definedName>
    <definedName name="SecureLabel">Labels!$B$7</definedName>
    <definedName name="Stages">Applications!$G$2:$G$812</definedName>
    <definedName name="StrategyLookup">Strategies!$A$2:$D$2611</definedName>
    <definedName name="Strats">Students!$S$3:$S$77</definedName>
    <definedName name="Students">Applications!$B$2:$B$812</definedName>
    <definedName name="StudentTargets">Students!$T$3:$T$77</definedName>
    <definedName name="Subgroup">Students!$R$3:$R$77</definedName>
    <definedName name="SureThingApps">Students!$BG$3:$BG$77</definedName>
    <definedName name="SureThingLabel">Labels!$B$6</definedName>
    <definedName name="TargetGRLabel">Labels!$B$2</definedName>
    <definedName name="TargetLookup">Targets!$A$2:$G$14</definedName>
    <definedName name="TGRorBetterApps">Students!$BY$3:$BY$77</definedName>
    <definedName name="TGRshortLabel">Labels!$C$2</definedName>
    <definedName name="WL_Defer">Students!$AC$3:$AC$77</definedName>
  </definedNames>
  <calcPr calcId="124519" fullCalcOnLoad="1"/>
</workbook>
</file>

<file path=xl/sharedStrings.xml><?xml version="1.0" encoding="utf-8"?>
<sst xmlns="http://schemas.openxmlformats.org/spreadsheetml/2006/main" count="47985" uniqueCount="8152">
  <si>
    <t>Strategy</t>
  </si>
  <si>
    <t># Students</t>
  </si>
  <si>
    <t>Avg # of apps (planned)</t>
  </si>
  <si>
    <t>Avg # of apps (subm.)</t>
  </si>
  <si>
    <t>% of planned apps submitted</t>
  </si>
  <si>
    <t>Predict-ion "Perfect"</t>
  </si>
  <si>
    <t>Predict-ion "Minus 1"</t>
  </si>
  <si>
    <t>Predict-ion "Some Pref"</t>
  </si>
  <si>
    <t>Predict-ion "All Equal"</t>
  </si>
  <si>
    <t>Avg # of accept-ances</t>
  </si>
  <si>
    <t>% w/ at least one acceptance</t>
  </si>
  <si>
    <t>Campus</t>
  </si>
  <si>
    <t>EFC</t>
  </si>
  <si>
    <t>SpEd</t>
  </si>
  <si>
    <t>LastFirst</t>
  </si>
  <si>
    <t>StudentID</t>
  </si>
  <si>
    <t>Last</t>
  </si>
  <si>
    <t>First</t>
  </si>
  <si>
    <t>Student profile</t>
  </si>
  <si>
    <t>GPA</t>
  </si>
  <si>
    <t>WGPA</t>
  </si>
  <si>
    <t>Actual ACT</t>
  </si>
  <si>
    <t>SAT guess from WGPA</t>
  </si>
  <si>
    <t>Actual SAT</t>
  </si>
  <si>
    <t>SAT value used</t>
  </si>
  <si>
    <t>ACT in SAT terms</t>
  </si>
  <si>
    <t>High "SAT"</t>
  </si>
  <si>
    <t>Race / Eth</t>
  </si>
  <si>
    <t>Gen-der</t>
  </si>
  <si>
    <t>Subgroup</t>
  </si>
  <si>
    <t>Stra-tegy</t>
  </si>
  <si>
    <t>Cohort</t>
  </si>
  <si>
    <t>Advisor</t>
  </si>
  <si>
    <t>Counselor</t>
  </si>
  <si>
    <t>SortCode</t>
  </si>
  <si>
    <t>Odds of at least one</t>
  </si>
  <si>
    <t>Money Target GR or better</t>
  </si>
  <si>
    <t>Money Ideal GR or better</t>
  </si>
  <si>
    <t># of acceptances</t>
  </si>
  <si>
    <t>Waitlist/ Deferred</t>
  </si>
  <si>
    <t>Denied</t>
  </si>
  <si>
    <t># of apps submitted</t>
  </si>
  <si>
    <t>Predictions</t>
  </si>
  <si>
    <t>Perfect</t>
  </si>
  <si>
    <t>Minus 1</t>
  </si>
  <si>
    <t>Some prefer-ence</t>
  </si>
  <si>
    <t>All equal</t>
  </si>
  <si>
    <t>Acceptances</t>
  </si>
  <si>
    <t>Decided</t>
  </si>
  <si>
    <t>Money Ideal GR+ accept</t>
  </si>
  <si>
    <t>Money Match GR accept</t>
  </si>
  <si>
    <t>Money &lt; Match GR accept</t>
  </si>
  <si>
    <t>Other accept</t>
  </si>
  <si>
    <t>Money apps of each type</t>
  </si>
  <si>
    <t>Money Ideal GR+ apps</t>
  </si>
  <si>
    <t>Money Target GR apps</t>
  </si>
  <si>
    <t>Money Below Target GR apps</t>
  </si>
  <si>
    <t>Total Money apps</t>
  </si>
  <si>
    <t>Apps of each type</t>
  </si>
  <si>
    <t>Ideal GR+ apps</t>
  </si>
  <si>
    <t>Target GR apps</t>
  </si>
  <si>
    <t>Below Target GR apps</t>
  </si>
  <si>
    <t>Far Below Target GR apps</t>
  </si>
  <si>
    <t>Total apps</t>
  </si>
  <si>
    <t>Percent of apps submitted</t>
  </si>
  <si>
    <t>Target GR or better</t>
  </si>
  <si>
    <t>Ideal GR or better</t>
  </si>
  <si>
    <t>Hail Mary</t>
  </si>
  <si>
    <t>Longshot</t>
  </si>
  <si>
    <t>Reach</t>
  </si>
  <si>
    <t>Match</t>
  </si>
  <si>
    <t>Safety</t>
  </si>
  <si>
    <t>Secure</t>
  </si>
  <si>
    <t>Sure Thing</t>
  </si>
  <si>
    <t>Other</t>
  </si>
  <si>
    <t>Money Reach</t>
  </si>
  <si>
    <t>Money Match</t>
  </si>
  <si>
    <t>Money Safety</t>
  </si>
  <si>
    <t>Money Secure</t>
  </si>
  <si>
    <t>Money Sure Thing</t>
  </si>
  <si>
    <t>Totals</t>
  </si>
  <si>
    <t>All Money</t>
  </si>
  <si>
    <t>Money Target GR+ Match+ apps</t>
  </si>
  <si>
    <t>Money Ideal GR+ (incl Longshot)</t>
  </si>
  <si>
    <t>Money Target GR (incl Longshot)</t>
  </si>
  <si>
    <t>IL Public apps</t>
  </si>
  <si>
    <t>IL Public, Match, Safety, Secure</t>
  </si>
  <si>
    <t>IL Public Secure</t>
  </si>
  <si>
    <t>Money Chicago apps</t>
  </si>
  <si>
    <t>Match or under apps</t>
  </si>
  <si>
    <t>Target GR or better apps</t>
  </si>
  <si>
    <t>Bad Money apps</t>
  </si>
  <si>
    <t>Golden Three apps</t>
  </si>
  <si>
    <t>NLU apps</t>
  </si>
  <si>
    <t>City College apps</t>
  </si>
  <si>
    <t># PGR within 10 pct</t>
  </si>
  <si>
    <t>Beta HS</t>
  </si>
  <si>
    <t>No</t>
  </si>
  <si>
    <t>Greenwalt, Ada</t>
  </si>
  <si>
    <t>Greenwalt</t>
  </si>
  <si>
    <t>Ada</t>
  </si>
  <si>
    <t>H</t>
  </si>
  <si>
    <t>M</t>
  </si>
  <si>
    <t>Latinx Male</t>
  </si>
  <si>
    <t>A2</t>
  </si>
  <si>
    <t>Nielsen</t>
  </si>
  <si>
    <t>Jeffie Troxler</t>
  </si>
  <si>
    <t>Albanese, Adaline</t>
  </si>
  <si>
    <t>Albanese</t>
  </si>
  <si>
    <t>Adaline</t>
  </si>
  <si>
    <t>A3</t>
  </si>
  <si>
    <t>Oesterling</t>
  </si>
  <si>
    <t>Obert, Alejandra</t>
  </si>
  <si>
    <t>Obert</t>
  </si>
  <si>
    <t>Alejandra</t>
  </si>
  <si>
    <t>A1</t>
  </si>
  <si>
    <t>Glancy</t>
  </si>
  <si>
    <t>Hermanson, Ali</t>
  </si>
  <si>
    <t>Hermanson</t>
  </si>
  <si>
    <t>Ali</t>
  </si>
  <si>
    <t>Rodman, Allan</t>
  </si>
  <si>
    <t>Rodman</t>
  </si>
  <si>
    <t>Allan</t>
  </si>
  <si>
    <t>F</t>
  </si>
  <si>
    <t>Latinx Female</t>
  </si>
  <si>
    <t>Kush</t>
  </si>
  <si>
    <t>Fleetwood, Almeda</t>
  </si>
  <si>
    <t>Fleetwood</t>
  </si>
  <si>
    <t>Almeda</t>
  </si>
  <si>
    <t>B</t>
  </si>
  <si>
    <t>Black Female</t>
  </si>
  <si>
    <t>Vaught</t>
  </si>
  <si>
    <t>Tacker, Amado</t>
  </si>
  <si>
    <t>Tacker</t>
  </si>
  <si>
    <t>Amado</t>
  </si>
  <si>
    <t>B1</t>
  </si>
  <si>
    <t>Jaworski</t>
  </si>
  <si>
    <t>Ray, Amelia</t>
  </si>
  <si>
    <t>Ray</t>
  </si>
  <si>
    <t>Amelia</t>
  </si>
  <si>
    <t>Forney, Anderson</t>
  </si>
  <si>
    <t>Forney</t>
  </si>
  <si>
    <t>Anderson</t>
  </si>
  <si>
    <t>Geter, Andres</t>
  </si>
  <si>
    <t>Geter</t>
  </si>
  <si>
    <t>Andres</t>
  </si>
  <si>
    <t>Tores</t>
  </si>
  <si>
    <t>Philpott, Anitra</t>
  </si>
  <si>
    <t>Philpott</t>
  </si>
  <si>
    <t>Anitra</t>
  </si>
  <si>
    <t>Kulig, Anton</t>
  </si>
  <si>
    <t>Kulig</t>
  </si>
  <si>
    <t>Anton</t>
  </si>
  <si>
    <t>Yes</t>
  </si>
  <si>
    <t>Roehl, Arlen</t>
  </si>
  <si>
    <t>Roehl</t>
  </si>
  <si>
    <t>Arlen</t>
  </si>
  <si>
    <t>Braham, Arlie</t>
  </si>
  <si>
    <t>Braham</t>
  </si>
  <si>
    <t>Arlie</t>
  </si>
  <si>
    <t>A6</t>
  </si>
  <si>
    <t>Sais, Arnita</t>
  </si>
  <si>
    <t>Sais</t>
  </si>
  <si>
    <t>Arnita</t>
  </si>
  <si>
    <t>Garcia, Arron</t>
  </si>
  <si>
    <t>Garcia</t>
  </si>
  <si>
    <t>Arron</t>
  </si>
  <si>
    <t>Boser, Augustine</t>
  </si>
  <si>
    <t>Boser</t>
  </si>
  <si>
    <t>Augustine</t>
  </si>
  <si>
    <t>Head</t>
  </si>
  <si>
    <t>Aberle, Ayanna</t>
  </si>
  <si>
    <t>Aberle</t>
  </si>
  <si>
    <t>Ayanna</t>
  </si>
  <si>
    <t>Etter, Babara</t>
  </si>
  <si>
    <t>Etter</t>
  </si>
  <si>
    <t>Babara</t>
  </si>
  <si>
    <t>Stiefel, Barney</t>
  </si>
  <si>
    <t>Stiefel</t>
  </si>
  <si>
    <t>Barney</t>
  </si>
  <si>
    <t>TBD</t>
  </si>
  <si>
    <t>Massingill, Bernardo</t>
  </si>
  <si>
    <t>Massingill</t>
  </si>
  <si>
    <t>Bernardo</t>
  </si>
  <si>
    <t>Rape, Bettye</t>
  </si>
  <si>
    <t>Rape</t>
  </si>
  <si>
    <t>Bettye</t>
  </si>
  <si>
    <t>Chilton, Billi</t>
  </si>
  <si>
    <t>Chilton</t>
  </si>
  <si>
    <t>Billi</t>
  </si>
  <si>
    <t>Fontenot, Blake</t>
  </si>
  <si>
    <t>Fontenot</t>
  </si>
  <si>
    <t>Blake</t>
  </si>
  <si>
    <t>Foust, Bo</t>
  </si>
  <si>
    <t>Foust</t>
  </si>
  <si>
    <t>Bo</t>
  </si>
  <si>
    <t>Appling, Bobby</t>
  </si>
  <si>
    <t>Appling</t>
  </si>
  <si>
    <t>Bobby</t>
  </si>
  <si>
    <t>Battaglia, Branda</t>
  </si>
  <si>
    <t>Battaglia</t>
  </si>
  <si>
    <t>Branda</t>
  </si>
  <si>
    <t>Shockey, Britney</t>
  </si>
  <si>
    <t>Shockey</t>
  </si>
  <si>
    <t>Britney</t>
  </si>
  <si>
    <t>Lonon, Britteny</t>
  </si>
  <si>
    <t>Lonon</t>
  </si>
  <si>
    <t>Britteny</t>
  </si>
  <si>
    <t>Gatson, Calista</t>
  </si>
  <si>
    <t>Gatson</t>
  </si>
  <si>
    <t>Calista</t>
  </si>
  <si>
    <t>Hellen, Candy</t>
  </si>
  <si>
    <t>Hellen</t>
  </si>
  <si>
    <t>Candy</t>
  </si>
  <si>
    <t>Cephas, Caridad</t>
  </si>
  <si>
    <t>Cephas</t>
  </si>
  <si>
    <t>Caridad</t>
  </si>
  <si>
    <t>Dieguez, Carli</t>
  </si>
  <si>
    <t>Dieguez</t>
  </si>
  <si>
    <t>Carli</t>
  </si>
  <si>
    <t>Trowbridge, Carlo</t>
  </si>
  <si>
    <t>Trowbridge</t>
  </si>
  <si>
    <t>Carlo</t>
  </si>
  <si>
    <t>Bryon, Carmel</t>
  </si>
  <si>
    <t>Bryon</t>
  </si>
  <si>
    <t>Carmel</t>
  </si>
  <si>
    <t>Black Male</t>
  </si>
  <si>
    <t>Pon, Carmela</t>
  </si>
  <si>
    <t>Pon</t>
  </si>
  <si>
    <t>Carmela</t>
  </si>
  <si>
    <t>Kennelly, Carol</t>
  </si>
  <si>
    <t>Kennelly</t>
  </si>
  <si>
    <t>Carol</t>
  </si>
  <si>
    <t>Delancey, Carroll</t>
  </si>
  <si>
    <t>Delancey</t>
  </si>
  <si>
    <t>Carroll</t>
  </si>
  <si>
    <t>Hegna, Chanell</t>
  </si>
  <si>
    <t>Hegna</t>
  </si>
  <si>
    <t>Chanell</t>
  </si>
  <si>
    <t>Wellman, Charmaine</t>
  </si>
  <si>
    <t>Wellman</t>
  </si>
  <si>
    <t>Charmaine</t>
  </si>
  <si>
    <t>Agrawal, Chauncey</t>
  </si>
  <si>
    <t>Agrawal</t>
  </si>
  <si>
    <t>Chauncey</t>
  </si>
  <si>
    <t>Eberle, Christina</t>
  </si>
  <si>
    <t>Eberle</t>
  </si>
  <si>
    <t>Christina</t>
  </si>
  <si>
    <t>Bumgardner, Christopher</t>
  </si>
  <si>
    <t>Bumgardner</t>
  </si>
  <si>
    <t>Christopher</t>
  </si>
  <si>
    <t>Sweatman, Christy</t>
  </si>
  <si>
    <t>Sweatman</t>
  </si>
  <si>
    <t>Christy</t>
  </si>
  <si>
    <t>Lemmon, Coralie</t>
  </si>
  <si>
    <t>Lemmon</t>
  </si>
  <si>
    <t>Coralie</t>
  </si>
  <si>
    <t>Weise, Corie</t>
  </si>
  <si>
    <t>Weise</t>
  </si>
  <si>
    <t>Corie</t>
  </si>
  <si>
    <t>Azure, Crissy</t>
  </si>
  <si>
    <t>Azure</t>
  </si>
  <si>
    <t>Crissy</t>
  </si>
  <si>
    <t>Hammer, Dagny</t>
  </si>
  <si>
    <t>Hammer</t>
  </si>
  <si>
    <t>Dagny</t>
  </si>
  <si>
    <t>Pinner, Daisey</t>
  </si>
  <si>
    <t>Pinner</t>
  </si>
  <si>
    <t>Daisey</t>
  </si>
  <si>
    <t>Straight, Damion</t>
  </si>
  <si>
    <t>Straight</t>
  </si>
  <si>
    <t>Damion</t>
  </si>
  <si>
    <t>Holscher, Dan</t>
  </si>
  <si>
    <t>Holscher</t>
  </si>
  <si>
    <t>Dan</t>
  </si>
  <si>
    <t>Fitzgibbon, Danica</t>
  </si>
  <si>
    <t>Fitzgibbon</t>
  </si>
  <si>
    <t>Danica</t>
  </si>
  <si>
    <t>Tharp, Danilo</t>
  </si>
  <si>
    <t>Tharp</t>
  </si>
  <si>
    <t>Danilo</t>
  </si>
  <si>
    <t>Feemster, Darrel</t>
  </si>
  <si>
    <t>Feemster</t>
  </si>
  <si>
    <t>Darrel</t>
  </si>
  <si>
    <t>Gordillo, Dave</t>
  </si>
  <si>
    <t>Gordillo</t>
  </si>
  <si>
    <t>Dave</t>
  </si>
  <si>
    <t>Douville, Delilah</t>
  </si>
  <si>
    <t>Douville</t>
  </si>
  <si>
    <t>Delilah</t>
  </si>
  <si>
    <t>Danforth, Derick</t>
  </si>
  <si>
    <t>Danforth</t>
  </si>
  <si>
    <t>Derick</t>
  </si>
  <si>
    <t>Hadden, Devin</t>
  </si>
  <si>
    <t>Hadden</t>
  </si>
  <si>
    <t>Devin</t>
  </si>
  <si>
    <t>Manross, Diamond</t>
  </si>
  <si>
    <t>Manross</t>
  </si>
  <si>
    <t>Diamond</t>
  </si>
  <si>
    <t>Mcbath, Domenic</t>
  </si>
  <si>
    <t>Mcbath</t>
  </si>
  <si>
    <t>Domenic</t>
  </si>
  <si>
    <t>Lazo, Domonique</t>
  </si>
  <si>
    <t>Lazo</t>
  </si>
  <si>
    <t>Domonique</t>
  </si>
  <si>
    <t>Gunderman, Don</t>
  </si>
  <si>
    <t>Gunderman</t>
  </si>
  <si>
    <t>Don</t>
  </si>
  <si>
    <t>Jain, Dong</t>
  </si>
  <si>
    <t>Jain</t>
  </si>
  <si>
    <t>Dong</t>
  </si>
  <si>
    <t>Dawe, Doria</t>
  </si>
  <si>
    <t>Dawe</t>
  </si>
  <si>
    <t>Doria</t>
  </si>
  <si>
    <t>Febres, Dwayne</t>
  </si>
  <si>
    <t>Febres</t>
  </si>
  <si>
    <t>Dwayne</t>
  </si>
  <si>
    <t>Mahone, Edith</t>
  </si>
  <si>
    <t>Mahone</t>
  </si>
  <si>
    <t>Edith</t>
  </si>
  <si>
    <t>Swafford, Eilene</t>
  </si>
  <si>
    <t>Swafford</t>
  </si>
  <si>
    <t>Eilene</t>
  </si>
  <si>
    <t>Allin, Emerald</t>
  </si>
  <si>
    <t>Allin</t>
  </si>
  <si>
    <t>Emerald</t>
  </si>
  <si>
    <t>Muscarella, Ericka</t>
  </si>
  <si>
    <t>Muscarella</t>
  </si>
  <si>
    <t>Ericka</t>
  </si>
  <si>
    <t>Deerman, Everett</t>
  </si>
  <si>
    <t>Deerman</t>
  </si>
  <si>
    <t>Everett</t>
  </si>
  <si>
    <t>Petro, Fabiola</t>
  </si>
  <si>
    <t>Petro</t>
  </si>
  <si>
    <t>Fabiola</t>
  </si>
  <si>
    <t>Karns, Fidel</t>
  </si>
  <si>
    <t>Karns</t>
  </si>
  <si>
    <t>Fidel</t>
  </si>
  <si>
    <t>Sakai, Foster</t>
  </si>
  <si>
    <t>Sakai</t>
  </si>
  <si>
    <t>Foster</t>
  </si>
  <si>
    <t>Olea, Gary</t>
  </si>
  <si>
    <t>Olea</t>
  </si>
  <si>
    <t>Gary</t>
  </si>
  <si>
    <t>A</t>
  </si>
  <si>
    <t>Asian Male</t>
  </si>
  <si>
    <t>Gadd, Gaylord</t>
  </si>
  <si>
    <t>Gadd</t>
  </si>
  <si>
    <t>Gaylord</t>
  </si>
  <si>
    <t>Student#</t>
  </si>
  <si>
    <t>#apps</t>
  </si>
  <si>
    <t>firstRow</t>
  </si>
  <si>
    <t>Target</t>
  </si>
  <si>
    <t>Select student's name:</t>
  </si>
  <si>
    <t>Odds of 1 or more acceptances to:</t>
  </si>
  <si>
    <t>ACT/SAT</t>
  </si>
  <si>
    <t>U/W GPA</t>
  </si>
  <si>
    <t>Race/Eth</t>
  </si>
  <si>
    <t>Goals for #s to the left:</t>
  </si>
  <si>
    <t>IGR</t>
  </si>
  <si>
    <t>TGR</t>
  </si>
  <si>
    <t>Schools you might apply to:</t>
  </si>
  <si>
    <t>Odds of Admit</t>
  </si>
  <si>
    <t>For you, school is a</t>
  </si>
  <si>
    <t>App Status</t>
  </si>
  <si>
    <t>Award code</t>
  </si>
  <si>
    <t>Comp tier</t>
  </si>
  <si>
    <t>MoneyYesNo</t>
  </si>
  <si>
    <t>SAT25</t>
  </si>
  <si>
    <t>SAT</t>
  </si>
  <si>
    <t>GPAcoefB</t>
  </si>
  <si>
    <t>SATcoefB</t>
  </si>
  <si>
    <t>InterceptB</t>
  </si>
  <si>
    <t>LogitB</t>
  </si>
  <si>
    <t>GPAcoefA</t>
  </si>
  <si>
    <t>SATcoefA</t>
  </si>
  <si>
    <t>InterceptA</t>
  </si>
  <si>
    <t>LogitA</t>
  </si>
  <si>
    <t>FinalLogit</t>
  </si>
  <si>
    <t>Odds</t>
  </si>
  <si>
    <t>Class</t>
  </si>
  <si>
    <t>MGROrBetter</t>
  </si>
  <si>
    <t>RGROrBetter</t>
  </si>
  <si>
    <t>InverseOdds</t>
  </si>
  <si>
    <t>MGRMult</t>
  </si>
  <si>
    <t>RGRMult</t>
  </si>
  <si>
    <t>MGRMoney</t>
  </si>
  <si>
    <t>RGRMoney</t>
  </si>
  <si>
    <t>Schools currently applying to ("*" indicates prospective):</t>
  </si>
  <si>
    <t>Your list compared to campus goals:</t>
  </si>
  <si>
    <t>Campus Goal</t>
  </si>
  <si>
    <t>You</t>
  </si>
  <si>
    <t>Met?</t>
  </si>
  <si>
    <t>hs_student_id</t>
  </si>
  <si>
    <t>last_name</t>
  </si>
  <si>
    <t>first_name</t>
  </si>
  <si>
    <t>middle_name</t>
  </si>
  <si>
    <t>collegename</t>
  </si>
  <si>
    <t>stage</t>
  </si>
  <si>
    <t>type</t>
  </si>
  <si>
    <t>result_code</t>
  </si>
  <si>
    <t>attending</t>
  </si>
  <si>
    <t>waitlisted</t>
  </si>
  <si>
    <t>deferred</t>
  </si>
  <si>
    <t>comments</t>
  </si>
  <si>
    <t>NCES</t>
  </si>
  <si>
    <t>Barron's</t>
  </si>
  <si>
    <t>Race</t>
  </si>
  <si>
    <t>FRace</t>
  </si>
  <si>
    <t>TargetGR</t>
  </si>
  <si>
    <t>IdealGR</t>
  </si>
  <si>
    <t>PartnerBump</t>
  </si>
  <si>
    <t>6yr_all</t>
  </si>
  <si>
    <t>6yr_AA/H</t>
  </si>
  <si>
    <t>SAT25/50</t>
  </si>
  <si>
    <t>Result</t>
  </si>
  <si>
    <t>ReachOrBetter</t>
  </si>
  <si>
    <t>MatchOrBetter</t>
  </si>
  <si>
    <t>MatchOrUnder</t>
  </si>
  <si>
    <t>6yrAll/AAH_forSorting</t>
  </si>
  <si>
    <t>TGROrBetter</t>
  </si>
  <si>
    <t>IGROrBetter</t>
  </si>
  <si>
    <t>FarBelowTGRCount</t>
  </si>
  <si>
    <t>MatchOrBetterMult</t>
  </si>
  <si>
    <t>ReachOrBetterMult</t>
  </si>
  <si>
    <t>TGRorBetterMult</t>
  </si>
  <si>
    <t>IGRorBetterMult</t>
  </si>
  <si>
    <t>TGRorBetterMoneyMult</t>
  </si>
  <si>
    <t>IGRorBetterMoneyMult</t>
  </si>
  <si>
    <t>ILPub</t>
  </si>
  <si>
    <t>Sure_Thing</t>
  </si>
  <si>
    <t>Reach-</t>
  </si>
  <si>
    <t>Match-</t>
  </si>
  <si>
    <t>Safety-</t>
  </si>
  <si>
    <t>ReachMoney</t>
  </si>
  <si>
    <t>MatchMoney</t>
  </si>
  <si>
    <t>SafetyMoney</t>
  </si>
  <si>
    <t>SecureMoney</t>
  </si>
  <si>
    <t>Sure_ThingMoney</t>
  </si>
  <si>
    <t>Reach-Money</t>
  </si>
  <si>
    <t>Match-Money</t>
  </si>
  <si>
    <t>Safety-Money</t>
  </si>
  <si>
    <t>MoneyChicago</t>
  </si>
  <si>
    <t>MoneyCode</t>
  </si>
  <si>
    <t>BadMoney</t>
  </si>
  <si>
    <t>GoldenThree</t>
  </si>
  <si>
    <t>N/A</t>
  </si>
  <si>
    <t>Dominican University</t>
  </si>
  <si>
    <t>pending</t>
  </si>
  <si>
    <t>RD</t>
  </si>
  <si>
    <t>unknown</t>
  </si>
  <si>
    <t>Elmhurst College</t>
  </si>
  <si>
    <t>Aurora University</t>
  </si>
  <si>
    <t>Holy Cross College (Partner)</t>
  </si>
  <si>
    <t>Partner</t>
  </si>
  <si>
    <t>Olivet Nazarene University</t>
  </si>
  <si>
    <t>Western Illinois University</t>
  </si>
  <si>
    <t>Northern Illinois University</t>
  </si>
  <si>
    <t>Eastern Illinois University</t>
  </si>
  <si>
    <t>CCC, Wilbur Wright College</t>
  </si>
  <si>
    <t>CCC, Harold Washington College</t>
  </si>
  <si>
    <t>National Louis University- Chicago Campus</t>
  </si>
  <si>
    <t>Southern Illinois University, Carbondale</t>
  </si>
  <si>
    <t>Northeastern Illinois University</t>
  </si>
  <si>
    <t>DeVry University</t>
  </si>
  <si>
    <t>University of Illinois at Chicago</t>
  </si>
  <si>
    <t>Arrupe College (Loyola)</t>
  </si>
  <si>
    <t>Moraine Valley Community College</t>
  </si>
  <si>
    <t>Upper Iowa University (Partner)</t>
  </si>
  <si>
    <t>Robert Morris University Illinois</t>
  </si>
  <si>
    <t>University of Wisconsin, Madison</t>
  </si>
  <si>
    <t>Denison University</t>
  </si>
  <si>
    <t>Gettysburg College</t>
  </si>
  <si>
    <t>Sewanee: The University of the South</t>
  </si>
  <si>
    <t>Kalamazoo College</t>
  </si>
  <si>
    <t>University of Illinois at Urbana-Champaign</t>
  </si>
  <si>
    <t>Lycoming College</t>
  </si>
  <si>
    <t>Knox College</t>
  </si>
  <si>
    <t>Albion College</t>
  </si>
  <si>
    <t>initial materials submitted</t>
  </si>
  <si>
    <t>Central Michigan University</t>
  </si>
  <si>
    <t>Luther College</t>
  </si>
  <si>
    <t>University of Michigan</t>
  </si>
  <si>
    <t>Franklin &amp; Marshall College</t>
  </si>
  <si>
    <t>Lafayette College</t>
  </si>
  <si>
    <t>Dickinson College</t>
  </si>
  <si>
    <t>The College of Wooster</t>
  </si>
  <si>
    <t>St. Olaf College</t>
  </si>
  <si>
    <t>University of Dayton</t>
  </si>
  <si>
    <t>Hope College</t>
  </si>
  <si>
    <t>Duke University</t>
  </si>
  <si>
    <t>University of Notre Dame</t>
  </si>
  <si>
    <t>Georgetown University</t>
  </si>
  <si>
    <t>Northwestern University</t>
  </si>
  <si>
    <t>University of Chicago</t>
  </si>
  <si>
    <t>Colgate University</t>
  </si>
  <si>
    <t>Vanderbilt University</t>
  </si>
  <si>
    <t>Swarthmore College</t>
  </si>
  <si>
    <t>Washington University in St. Louis</t>
  </si>
  <si>
    <t>Macalester College</t>
  </si>
  <si>
    <t>Grinnell College</t>
  </si>
  <si>
    <t>DePaul University</t>
  </si>
  <si>
    <t>Grand Valley State University</t>
  </si>
  <si>
    <t>Beloit College</t>
  </si>
  <si>
    <t>Concordia University Chicago</t>
  </si>
  <si>
    <t>Southern Illinois University, Edwardsville</t>
  </si>
  <si>
    <t>North Park University</t>
  </si>
  <si>
    <t>CCC, Malcolm X College</t>
  </si>
  <si>
    <t>Morton College</t>
  </si>
  <si>
    <t>Miami Dade College - All Campuses</t>
  </si>
  <si>
    <t>University of Illinois at Springfield</t>
  </si>
  <si>
    <t>Villanova University</t>
  </si>
  <si>
    <t>DePauw University</t>
  </si>
  <si>
    <t>Skidmore College</t>
  </si>
  <si>
    <t>Howard University</t>
  </si>
  <si>
    <t>University of Pittsburgh</t>
  </si>
  <si>
    <t>Loyola Marymount University</t>
  </si>
  <si>
    <t>School of the Art Institute of Chicago</t>
  </si>
  <si>
    <t>Illinois Institute of Technology</t>
  </si>
  <si>
    <t>Illinois State University</t>
  </si>
  <si>
    <t>Pomona College</t>
  </si>
  <si>
    <t>Stanford University</t>
  </si>
  <si>
    <t>Cornell University</t>
  </si>
  <si>
    <t>Occidental College</t>
  </si>
  <si>
    <t>Seattle University</t>
  </si>
  <si>
    <t>Lewis &amp; Clark College</t>
  </si>
  <si>
    <t>Monmouth College</t>
  </si>
  <si>
    <t>College of the Holy Cross</t>
  </si>
  <si>
    <t>Wake Forest University</t>
  </si>
  <si>
    <t>Illinois College</t>
  </si>
  <si>
    <t>Catawba College</t>
  </si>
  <si>
    <t>Belmont Abbey College</t>
  </si>
  <si>
    <t>Wells College</t>
  </si>
  <si>
    <t>Indian Hills Community College</t>
  </si>
  <si>
    <t>mid-year submitted</t>
  </si>
  <si>
    <t>Loyola University Chicago</t>
  </si>
  <si>
    <t>Ripon College</t>
  </si>
  <si>
    <t>University of Saint Francis</t>
  </si>
  <si>
    <t>Central State University</t>
  </si>
  <si>
    <t>Carleton College</t>
  </si>
  <si>
    <t>Saint Mary's College</t>
  </si>
  <si>
    <t>Saint Xavier University</t>
  </si>
  <si>
    <t>DePauw University*</t>
  </si>
  <si>
    <t>interest</t>
  </si>
  <si>
    <t>Unknown</t>
  </si>
  <si>
    <t>The College of Wooster*</t>
  </si>
  <si>
    <t>Knox College*</t>
  </si>
  <si>
    <t>Hope College*</t>
  </si>
  <si>
    <t>Albion College*</t>
  </si>
  <si>
    <t>Illinois Institute of Technology*</t>
  </si>
  <si>
    <t>Illinois College*</t>
  </si>
  <si>
    <t>Holy Cross College*</t>
  </si>
  <si>
    <t>Upper Iowa University*</t>
  </si>
  <si>
    <t>Bucknell University</t>
  </si>
  <si>
    <t>The University of Akron</t>
  </si>
  <si>
    <t>University of Washington</t>
  </si>
  <si>
    <t>Wabash College</t>
  </si>
  <si>
    <t>Lake Forest College</t>
  </si>
  <si>
    <t>Oberlin College of Arts and Sciences</t>
  </si>
  <si>
    <t>Maryland Institute College of Art</t>
  </si>
  <si>
    <t>Illinois State University*</t>
  </si>
  <si>
    <t>Arrupe College (Loyola)*</t>
  </si>
  <si>
    <t>Columbia College Chicago</t>
  </si>
  <si>
    <t>Roosevelt University*</t>
  </si>
  <si>
    <t>CCC, Harold Washington College*</t>
  </si>
  <si>
    <t>Northeastern Illinois University*</t>
  </si>
  <si>
    <t>Marian University</t>
  </si>
  <si>
    <t>Walsh University</t>
  </si>
  <si>
    <t>Millikin University</t>
  </si>
  <si>
    <t>Michigan State University</t>
  </si>
  <si>
    <t>Northern Michigan University</t>
  </si>
  <si>
    <t>Lewis University</t>
  </si>
  <si>
    <t>Davidson College</t>
  </si>
  <si>
    <t>CCC, Harry S Truman College*</t>
  </si>
  <si>
    <t>National Louis University- Chicago Campus*</t>
  </si>
  <si>
    <t>Lincoln College of Technology - Melrose Park*</t>
  </si>
  <si>
    <t>Universal Technical Institute*</t>
  </si>
  <si>
    <t>Lincoln College (Lincoln)*</t>
  </si>
  <si>
    <t>The University of Iowa</t>
  </si>
  <si>
    <t>American Academy of Art</t>
  </si>
  <si>
    <t>Jackson State University</t>
  </si>
  <si>
    <t>Dominican University of California</t>
  </si>
  <si>
    <t>Smith College</t>
  </si>
  <si>
    <t>Spelman College</t>
  </si>
  <si>
    <t>Connecticut College</t>
  </si>
  <si>
    <t>Trinity College</t>
  </si>
  <si>
    <t>Dominican University*</t>
  </si>
  <si>
    <t>Saint Mary's University of Minnesota*</t>
  </si>
  <si>
    <t>Norfolk State University*</t>
  </si>
  <si>
    <t>Aurora University*</t>
  </si>
  <si>
    <t>Central Michigan University*</t>
  </si>
  <si>
    <t>Eastern Illinois University*</t>
  </si>
  <si>
    <t>Southern Illinois University, Edwardsville*</t>
  </si>
  <si>
    <t>California State University, Long Beach</t>
  </si>
  <si>
    <t>Clark Atlanta University</t>
  </si>
  <si>
    <t>Clark Atlanta University*</t>
  </si>
  <si>
    <t>Alabama A&amp;M University*</t>
  </si>
  <si>
    <t>Marist College</t>
  </si>
  <si>
    <t>Cornerstone University</t>
  </si>
  <si>
    <t>Wesleyan University</t>
  </si>
  <si>
    <t>University of San Francisco</t>
  </si>
  <si>
    <t>University of Rochester</t>
  </si>
  <si>
    <t>University of Oregon</t>
  </si>
  <si>
    <t>The University of Tampa</t>
  </si>
  <si>
    <t>University of Colorado at Boulder</t>
  </si>
  <si>
    <t>University of Colorado at Denver</t>
  </si>
  <si>
    <t>Kendall College</t>
  </si>
  <si>
    <t>Rhodes College</t>
  </si>
  <si>
    <t>Bryn Mawr College</t>
  </si>
  <si>
    <t>Indiana University at Bloomington</t>
  </si>
  <si>
    <t>University of Northern Iowa</t>
  </si>
  <si>
    <t>University of Louisville</t>
  </si>
  <si>
    <t>Valparaiso University</t>
  </si>
  <si>
    <t>Western Michigan University</t>
  </si>
  <si>
    <t>University of Missouri St. Louis</t>
  </si>
  <si>
    <t>Zarem Golde ORT Technical Institute</t>
  </si>
  <si>
    <t>Syracuse University</t>
  </si>
  <si>
    <t>Butler University</t>
  </si>
  <si>
    <t>Carthage College</t>
  </si>
  <si>
    <t>INSTNM</t>
  </si>
  <si>
    <t>SimpleBarrons</t>
  </si>
  <si>
    <t>Adj6yrGrad_All</t>
  </si>
  <si>
    <t>Adj6yrGrad_AA_Hisp</t>
  </si>
  <si>
    <t>AdjSAT25</t>
  </si>
  <si>
    <t>AdjSAT50</t>
  </si>
  <si>
    <t>HBCU</t>
  </si>
  <si>
    <t>IL Public</t>
  </si>
  <si>
    <t>ChiLocal</t>
  </si>
  <si>
    <t>Living</t>
  </si>
  <si>
    <t>UNITID</t>
  </si>
  <si>
    <t>UICHonors</t>
  </si>
  <si>
    <t>Naval Prep</t>
  </si>
  <si>
    <t>University of Illinois Chicago</t>
  </si>
  <si>
    <t>University of Illinois Urbana-Champaign</t>
  </si>
  <si>
    <t>National Louis University</t>
  </si>
  <si>
    <t>City Colleges of Chicago-Malcolm X College (2 year)</t>
  </si>
  <si>
    <t>City Colleges of Chicago-Harold Washington College (2 year)</t>
  </si>
  <si>
    <t>City Colleges of Chicago-Wilbur Wright College (2 year)</t>
  </si>
  <si>
    <t>Triton College (2 year)</t>
  </si>
  <si>
    <t>University of Michigan-Ann Arbor</t>
  </si>
  <si>
    <t>City Colleges of Chicago-Richard J Daley College (2 year)</t>
  </si>
  <si>
    <t>City Colleges of Chicago-Kennedy-King College (2 year)</t>
  </si>
  <si>
    <t>Roosevelt University</t>
  </si>
  <si>
    <t>University of Wisconsin-Madison</t>
  </si>
  <si>
    <t>Southern Illinois University-Carbondale</t>
  </si>
  <si>
    <t>Chicago State University</t>
  </si>
  <si>
    <t>City Colleges of Chicago-Olive-Harvey College (2 year)</t>
  </si>
  <si>
    <t>City Colleges of Chicago-Harry S Truman College (2 year)</t>
  </si>
  <si>
    <t>Southern New Hampshire University</t>
  </si>
  <si>
    <t>Morton College (2 year)</t>
  </si>
  <si>
    <t>Concordia University-Chicago</t>
  </si>
  <si>
    <t>University of Illinois at Chicago (Honors)</t>
  </si>
  <si>
    <t>Parkland College (2 year)</t>
  </si>
  <si>
    <t>Bradley University</t>
  </si>
  <si>
    <t>Jackson State University (HBCU)</t>
  </si>
  <si>
    <t>University of Illinois Springfield</t>
  </si>
  <si>
    <t>Governors State University</t>
  </si>
  <si>
    <t>East-West University</t>
  </si>
  <si>
    <t>College of DuPage (2 year)</t>
  </si>
  <si>
    <t>Moraine Valley Community College (2 year)</t>
  </si>
  <si>
    <t>Howard University (HBCU)</t>
  </si>
  <si>
    <t>Southern Illinois University-Edwardsville</t>
  </si>
  <si>
    <t>Clark Atlanta University (HBCU)</t>
  </si>
  <si>
    <t>Lincoln College of Technology-Melrose Park (2 year)</t>
  </si>
  <si>
    <t>Alabama A &amp; M University (HBCU)</t>
  </si>
  <si>
    <t>University of Vermont</t>
  </si>
  <si>
    <t>Chamberlain University-Illinois</t>
  </si>
  <si>
    <t>Tennessee State University (HBCU)</t>
  </si>
  <si>
    <t>Morehouse College (HBCU, Male only)</t>
  </si>
  <si>
    <t>Elmhurst University</t>
  </si>
  <si>
    <t>Central State University (HBCU)</t>
  </si>
  <si>
    <t>Heartland Community College (2 year)</t>
  </si>
  <si>
    <t>Georgia State University</t>
  </si>
  <si>
    <t>Relay Graduate School of Education</t>
  </si>
  <si>
    <t>South Suburban College (2 year)</t>
  </si>
  <si>
    <t>University of Iowa</t>
  </si>
  <si>
    <t>Washington University in St Louis</t>
  </si>
  <si>
    <t>Prairie State College (2 year)</t>
  </si>
  <si>
    <t>Harris-Stowe State University (HBCU)</t>
  </si>
  <si>
    <t>New York University</t>
  </si>
  <si>
    <t>Arizona State University Campus Immersion</t>
  </si>
  <si>
    <t>St. Augustine College</t>
  </si>
  <si>
    <t>Ivy Tech Community College (2 year)</t>
  </si>
  <si>
    <t>Fisk University (HBCU)</t>
  </si>
  <si>
    <t>Middlebury College</t>
  </si>
  <si>
    <t>Western Governors University</t>
  </si>
  <si>
    <t>Oakton Community College (2 year)</t>
  </si>
  <si>
    <t>University of Pennsylvania</t>
  </si>
  <si>
    <t>Brown University</t>
  </si>
  <si>
    <t>Marquette University</t>
  </si>
  <si>
    <t>University of Dubuque</t>
  </si>
  <si>
    <t>Washtenaw Community College (2 year)</t>
  </si>
  <si>
    <t>Oberlin College</t>
  </si>
  <si>
    <t>Texas Southern University (HBCU)</t>
  </si>
  <si>
    <t>Iowa State University</t>
  </si>
  <si>
    <t>St Olaf College</t>
  </si>
  <si>
    <t>North Carolina A &amp; T State University (HBCU)</t>
  </si>
  <si>
    <t>University of Southern California</t>
  </si>
  <si>
    <t>Lake Land College (2 year)</t>
  </si>
  <si>
    <t>Coe College</t>
  </si>
  <si>
    <t>Ashford University</t>
  </si>
  <si>
    <t>Southern University and A &amp; M College (HBCU)</t>
  </si>
  <si>
    <t>Eastern Michigan University</t>
  </si>
  <si>
    <t>Grand Canyon University</t>
  </si>
  <si>
    <t>Colorado Technical University-Colorado Springs</t>
  </si>
  <si>
    <t>Coyne College (2 year)</t>
  </si>
  <si>
    <t>Berea College</t>
  </si>
  <si>
    <t>Johns Hopkins University</t>
  </si>
  <si>
    <t>Boston University</t>
  </si>
  <si>
    <t>Saint Louis University</t>
  </si>
  <si>
    <t>Lehigh University</t>
  </si>
  <si>
    <t>Purdue University-Main Campus</t>
  </si>
  <si>
    <t>Universal Technical Institute of Illinois Inc (Male only, 2 year)</t>
  </si>
  <si>
    <t>Emory University</t>
  </si>
  <si>
    <t>The Chicago School of Professional Psychology at Chicago</t>
  </si>
  <si>
    <t>Joliet Junior College (2 year)</t>
  </si>
  <si>
    <t>Lincoln College</t>
  </si>
  <si>
    <t>Moody Bible Institute</t>
  </si>
  <si>
    <t>Oak Point University</t>
  </si>
  <si>
    <t>Grambling State University (HBCU)</t>
  </si>
  <si>
    <t>Xavier University of Louisiana (HBCU)</t>
  </si>
  <si>
    <t>Alabama State University (HBCU)</t>
  </si>
  <si>
    <t>Harvard University</t>
  </si>
  <si>
    <t>University of Missouri-Columbia</t>
  </si>
  <si>
    <t>American Public University System</t>
  </si>
  <si>
    <t>Tuskegee University (HBCU)</t>
  </si>
  <si>
    <t>Colorado College</t>
  </si>
  <si>
    <t>Agnes Scott College (Female only)</t>
  </si>
  <si>
    <t>Fox College (2 year)</t>
  </si>
  <si>
    <t>College of Lake County (2 year)</t>
  </si>
  <si>
    <t>Rush University</t>
  </si>
  <si>
    <t>University of St Francis</t>
  </si>
  <si>
    <t>Trinity Christian College</t>
  </si>
  <si>
    <t>Indiana State University</t>
  </si>
  <si>
    <t>Saint Mary's College (Female only)</t>
  </si>
  <si>
    <t>Upper Iowa University</t>
  </si>
  <si>
    <t>University of Maryland Global Campus</t>
  </si>
  <si>
    <t>Morgan State University (HBCU)</t>
  </si>
  <si>
    <t>Lincoln University (HBCU)</t>
  </si>
  <si>
    <t>Talladega College (HBCU)</t>
  </si>
  <si>
    <t>University of Arkansas at Pine Bluff (HBCU)</t>
  </si>
  <si>
    <t>George Washington University</t>
  </si>
  <si>
    <t>Spelman College (HBCU, Female only)</t>
  </si>
  <si>
    <t>Brigham Young University-Idaho</t>
  </si>
  <si>
    <t>Adler University</t>
  </si>
  <si>
    <t>American Academy of Art College</t>
  </si>
  <si>
    <t>Rosalind Franklin University of Medicine and Science</t>
  </si>
  <si>
    <t>Illinois Central College (2 year)</t>
  </si>
  <si>
    <t>Quincy University</t>
  </si>
  <si>
    <t>Spoon River College (2 year)</t>
  </si>
  <si>
    <t>William Rainey Harper College (2 year)</t>
  </si>
  <si>
    <t>Indiana University-Purdue University-Indianapolis</t>
  </si>
  <si>
    <t>Northeast Iowa Community College (2 year)</t>
  </si>
  <si>
    <t>Louisiana State University and Agricultural &amp; Mechanical College</t>
  </si>
  <si>
    <t>United States Naval Academy</t>
  </si>
  <si>
    <t>Grand Rapids Community College (2 year)</t>
  </si>
  <si>
    <t>Wayne State University</t>
  </si>
  <si>
    <t>Rasmussen University-Minnesota</t>
  </si>
  <si>
    <t>Mississippi Valley State University (HBCU)</t>
  </si>
  <si>
    <t>Rust College (HBCU)</t>
  </si>
  <si>
    <t>Case Western Reserve University</t>
  </si>
  <si>
    <t>Kenyon College</t>
  </si>
  <si>
    <t>Wilberforce University (HBCU)</t>
  </si>
  <si>
    <t>Lone Star College System</t>
  </si>
  <si>
    <t>Prairie View A &amp; M University (HBCU)</t>
  </si>
  <si>
    <t>Liberty University</t>
  </si>
  <si>
    <t>Madison Area Technical College</t>
  </si>
  <si>
    <t>Milwaukee School of Engineering</t>
  </si>
  <si>
    <t>Strayer University-Global Region</t>
  </si>
  <si>
    <t>United States Naval Academy Prep School</t>
  </si>
  <si>
    <t>University of Arizona</t>
  </si>
  <si>
    <t>Post University</t>
  </si>
  <si>
    <t>Barry University</t>
  </si>
  <si>
    <t>University of Miami</t>
  </si>
  <si>
    <t>Augustana College</t>
  </si>
  <si>
    <t>Kishwaukee College (2 year)</t>
  </si>
  <si>
    <t>Lincoln Land Community College (2 year)</t>
  </si>
  <si>
    <t>McKendree University</t>
  </si>
  <si>
    <t>Trinity International University-Illinois</t>
  </si>
  <si>
    <t>Ball State University</t>
  </si>
  <si>
    <t>Holy Cross College</t>
  </si>
  <si>
    <t>Taylor University</t>
  </si>
  <si>
    <t>Wabash College (Male only)</t>
  </si>
  <si>
    <t>Kirkwood Community College (2 year)</t>
  </si>
  <si>
    <t>Northwestern College</t>
  </si>
  <si>
    <t>William Penn University</t>
  </si>
  <si>
    <t>University of Kansas</t>
  </si>
  <si>
    <t>University of Kentucky</t>
  </si>
  <si>
    <t>Bowdoin College</t>
  </si>
  <si>
    <t>Boston College</t>
  </si>
  <si>
    <t>Tufts University</t>
  </si>
  <si>
    <t>Saint Mary's University of Minnesota</t>
  </si>
  <si>
    <t>University of Missouri-Kansas City</t>
  </si>
  <si>
    <t>University of Missouri-St Louis</t>
  </si>
  <si>
    <t>Bellevue University</t>
  </si>
  <si>
    <t>Wayne State College</t>
  </si>
  <si>
    <t>Dartmouth College</t>
  </si>
  <si>
    <t>Hamilton College</t>
  </si>
  <si>
    <t>Hobart William Smith Colleges</t>
  </si>
  <si>
    <t>Ohio State University-Main Campus</t>
  </si>
  <si>
    <t>The University of Texas at Austin</t>
  </si>
  <si>
    <t>Hampton University (HBCU)</t>
  </si>
  <si>
    <t>University of Richmond</t>
  </si>
  <si>
    <t>Capella University</t>
  </si>
  <si>
    <t>American InterContinental University</t>
  </si>
  <si>
    <t>University of Alabama at Birmingham</t>
  </si>
  <si>
    <t>The University of Alabama</t>
  </si>
  <si>
    <t>Claremont McKenna College</t>
  </si>
  <si>
    <t>Fresno City College (2 year)</t>
  </si>
  <si>
    <t>Fullerton College (2 year)</t>
  </si>
  <si>
    <t>Mt San Antonio College (2 year)</t>
  </si>
  <si>
    <t>Pitzer College</t>
  </si>
  <si>
    <t>San Diego City College (2 year)</t>
  </si>
  <si>
    <t>University of San Diego</t>
  </si>
  <si>
    <t>Walden University</t>
  </si>
  <si>
    <t>University of Colorado Denver/Anschutz Medical Campus</t>
  </si>
  <si>
    <t>University of Denver</t>
  </si>
  <si>
    <t>Wilmington University</t>
  </si>
  <si>
    <t>Bethune-Cookman University (HBCU)</t>
  </si>
  <si>
    <t>Lynn University</t>
  </si>
  <si>
    <t>Florida Agricultural and Mechanical University (HBCU)</t>
  </si>
  <si>
    <t>Jacksonville University</t>
  </si>
  <si>
    <t>Miami Dade College</t>
  </si>
  <si>
    <t>Rasmussen University-Florida</t>
  </si>
  <si>
    <t>Gwinnett Technical College (2 year)</t>
  </si>
  <si>
    <t>Valdosta State University</t>
  </si>
  <si>
    <t>Elgin Community College (2 year)</t>
  </si>
  <si>
    <t>Eureka College</t>
  </si>
  <si>
    <t>Benedictine University</t>
  </si>
  <si>
    <t>Judson University</t>
  </si>
  <si>
    <t>MacCormac College (2 year)</t>
  </si>
  <si>
    <t>North Central College</t>
  </si>
  <si>
    <t>Rockford University</t>
  </si>
  <si>
    <t>Waubonsee Community College (2 year)</t>
  </si>
  <si>
    <t>Indiana Institute of Technology</t>
  </si>
  <si>
    <t>Oakland City University</t>
  </si>
  <si>
    <t>Cornell College</t>
  </si>
  <si>
    <t>Drake University</t>
  </si>
  <si>
    <t>Iowa Wesleyan University</t>
  </si>
  <si>
    <t>Dillard University (HBCU)</t>
  </si>
  <si>
    <t>Loyola University New Orleans</t>
  </si>
  <si>
    <t>Southern University at New Orleans (HBCU)</t>
  </si>
  <si>
    <t>Southern Maine Community College (2 year)</t>
  </si>
  <si>
    <t>Baker College</t>
  </si>
  <si>
    <t>Ferris State University</t>
  </si>
  <si>
    <t>Mississippi State University</t>
  </si>
  <si>
    <t>Maryville University of Saint Louis</t>
  </si>
  <si>
    <t>College of Southern Nevada</t>
  </si>
  <si>
    <t>Princeton University</t>
  </si>
  <si>
    <t>American Musical and Dramatic Academy</t>
  </si>
  <si>
    <t>Columbia University in the City of New York</t>
  </si>
  <si>
    <t>Stony Brook University</t>
  </si>
  <si>
    <t>University of North Carolina at Chapel Hill</t>
  </si>
  <si>
    <t>University of North Carolina at Greensboro</t>
  </si>
  <si>
    <t>University of Northwestern Ohio</t>
  </si>
  <si>
    <t>California University of Pennsylvania</t>
  </si>
  <si>
    <t>Haverford College</t>
  </si>
  <si>
    <t>Temple University</t>
  </si>
  <si>
    <t>Benedict College (HBCU)</t>
  </si>
  <si>
    <t>University of Memphis</t>
  </si>
  <si>
    <t>University of Houston</t>
  </si>
  <si>
    <t>The University of Texas Rio Grande Valley</t>
  </si>
  <si>
    <t>Rice University</t>
  </si>
  <si>
    <t>Northern Virginia Community College (2 year)</t>
  </si>
  <si>
    <t>University of Virginia-Main Campus</t>
  </si>
  <si>
    <t>Washington and Lee University</t>
  </si>
  <si>
    <t>Concordia University-Wisconsin</t>
  </si>
  <si>
    <t>Lakeland University</t>
  </si>
  <si>
    <t>Milwaukee Area Technical College (2 year)</t>
  </si>
  <si>
    <t>Saint Norbert College</t>
  </si>
  <si>
    <t>University of Wisconsin-Green Bay</t>
  </si>
  <si>
    <t>Herzing University-Madison</t>
  </si>
  <si>
    <t>Georgia State University-Perimeter College (2 year)</t>
  </si>
  <si>
    <t>Collin County Community College District</t>
  </si>
  <si>
    <t>Soka University of America</t>
  </si>
  <si>
    <t>SAE Institute of Technology-Chicago (2 year)</t>
  </si>
  <si>
    <t>Purdue University Northwest</t>
  </si>
  <si>
    <t>Judson College</t>
  </si>
  <si>
    <t>Snead State Community College (2 year)</t>
  </si>
  <si>
    <t>Glendale Community College (2 year)</t>
  </si>
  <si>
    <t>Mesa Community College (2 year)</t>
  </si>
  <si>
    <t>Northern Arizona University</t>
  </si>
  <si>
    <t>Rio Salado College (2 year)</t>
  </si>
  <si>
    <t>Arkansas State University</t>
  </si>
  <si>
    <t>Philander Smith College (HBCU)</t>
  </si>
  <si>
    <t>Academy of Art University</t>
  </si>
  <si>
    <t>Bakersfield College</t>
  </si>
  <si>
    <t>California State University-Dominguez Hills</t>
  </si>
  <si>
    <t>California State University-Sacramento</t>
  </si>
  <si>
    <t>Chapman University</t>
  </si>
  <si>
    <t>Claremont Graduate University</t>
  </si>
  <si>
    <t>East Los Angeles College (2 year)</t>
  </si>
  <si>
    <t>El Camino Community College District (2 year)</t>
  </si>
  <si>
    <t>Grossmont College (2 year)</t>
  </si>
  <si>
    <t>Holy Names University</t>
  </si>
  <si>
    <t>Irvine Valley College (2 year)</t>
  </si>
  <si>
    <t>Merced College (2 year)</t>
  </si>
  <si>
    <t>MiraCosta College</t>
  </si>
  <si>
    <t>Mount Saint Mary's University</t>
  </si>
  <si>
    <t>Mt San Jacinto Community College District (2 year)</t>
  </si>
  <si>
    <t>Otis College of Art and Design</t>
  </si>
  <si>
    <t>San Diego Miramar College (2 year)</t>
  </si>
  <si>
    <t>San Diego State University</t>
  </si>
  <si>
    <t>San Jose City College (2 year)</t>
  </si>
  <si>
    <t>Santa Monica College</t>
  </si>
  <si>
    <t>Taft College (2 year)</t>
  </si>
  <si>
    <t>Ventura College (2 year)</t>
  </si>
  <si>
    <t>University of Colorado Boulder</t>
  </si>
  <si>
    <t>Colorado Christian University</t>
  </si>
  <si>
    <t>Colorado State University-Fort Collins</t>
  </si>
  <si>
    <t>Metropolitan State University of Denver</t>
  </si>
  <si>
    <t>Pikes Peak Community College</t>
  </si>
  <si>
    <t>Regis University</t>
  </si>
  <si>
    <t>Eastern Connecticut State University</t>
  </si>
  <si>
    <t>Yale University</t>
  </si>
  <si>
    <t>American University</t>
  </si>
  <si>
    <t>Broward College</t>
  </si>
  <si>
    <t>College of Central Florida</t>
  </si>
  <si>
    <t>University of Central Florida</t>
  </si>
  <si>
    <t>Embry-Riddle Aeronautical University-Daytona Beach</t>
  </si>
  <si>
    <t>University of Florida</t>
  </si>
  <si>
    <t>University of North Florida</t>
  </si>
  <si>
    <t>Nova Southeastern University</t>
  </si>
  <si>
    <t>Southeastern University</t>
  </si>
  <si>
    <t>Valencia College</t>
  </si>
  <si>
    <t>Albany State University (HBCU)</t>
  </si>
  <si>
    <t>Gordon State College</t>
  </si>
  <si>
    <t>Morehouse School of Medicine (HBCU)</t>
  </si>
  <si>
    <t>Savannah College of Art and Design</t>
  </si>
  <si>
    <t>Savannah State University (HBCU)</t>
  </si>
  <si>
    <t>Southwestern Illinois College (2 year)</t>
  </si>
  <si>
    <t>Blackburn College</t>
  </si>
  <si>
    <t>Carl Sandburg College (2 year)</t>
  </si>
  <si>
    <t>Greenville University</t>
  </si>
  <si>
    <t>Illinois Wesleyan University</t>
  </si>
  <si>
    <t>John A Logan College (2 year)</t>
  </si>
  <si>
    <t>McHenry County College (2 year)</t>
  </si>
  <si>
    <t>Methodist College</t>
  </si>
  <si>
    <t>Rock Valley College (2 year)</t>
  </si>
  <si>
    <t>Taylor Business Institute (2 year)</t>
  </si>
  <si>
    <t>VanderCook College of Music</t>
  </si>
  <si>
    <t>Calumet College of Saint Joseph</t>
  </si>
  <si>
    <t>Goshen College</t>
  </si>
  <si>
    <t>Grace College and Theological Seminary</t>
  </si>
  <si>
    <t>Purdue University Fort Wayne</t>
  </si>
  <si>
    <t>Indiana University-Kokomo</t>
  </si>
  <si>
    <t>Indiana University-Bloomington</t>
  </si>
  <si>
    <t>Indiana University-Northwest</t>
  </si>
  <si>
    <t>Manchester University</t>
  </si>
  <si>
    <t>Indiana Wesleyan University-Marion</t>
  </si>
  <si>
    <t>Graceland University-Lamoni</t>
  </si>
  <si>
    <t>Hawkeye Community College (2 year)</t>
  </si>
  <si>
    <t>Indian Hills Community College (2 year)</t>
  </si>
  <si>
    <t>Loras College</t>
  </si>
  <si>
    <t>Morningside University</t>
  </si>
  <si>
    <t>Palmer College of Chiropractic</t>
  </si>
  <si>
    <t>Saint Ambrose University</t>
  </si>
  <si>
    <t>Southeastern Community College (2 year)</t>
  </si>
  <si>
    <t>Barton County Community College (2 year)</t>
  </si>
  <si>
    <t>Cloud County Community College (2 year)</t>
  </si>
  <si>
    <t>Fort Scott Community College (2 year)</t>
  </si>
  <si>
    <t>Independence Community College (2 year)</t>
  </si>
  <si>
    <t>Jefferson Community and Technical College (2 year)</t>
  </si>
  <si>
    <t>Kentucky State University (HBCU)</t>
  </si>
  <si>
    <t>Kentucky Christian University</t>
  </si>
  <si>
    <t>Lindsey Wilson College</t>
  </si>
  <si>
    <t>Northern Kentucky University</t>
  </si>
  <si>
    <t>SOWELA Technical Community College (2 year)</t>
  </si>
  <si>
    <t>Southeastern Louisiana University</t>
  </si>
  <si>
    <t>Northshore Technical Community College (2 year)</t>
  </si>
  <si>
    <t>Coppin State University (HBCU)</t>
  </si>
  <si>
    <t>University of Maryland, Baltimore</t>
  </si>
  <si>
    <t>Mount St. Mary's University</t>
  </si>
  <si>
    <t>Berklee College of Music</t>
  </si>
  <si>
    <t>Curry College</t>
  </si>
  <si>
    <t>Gordon College</t>
  </si>
  <si>
    <t>Quinsigamond Community College (2 year)</t>
  </si>
  <si>
    <t>Wellesley College (Female only)</t>
  </si>
  <si>
    <t>Davenport University</t>
  </si>
  <si>
    <t>Henry Ford College</t>
  </si>
  <si>
    <t>Jackson College</t>
  </si>
  <si>
    <t>Kalamazoo Valley Community College (2 year)</t>
  </si>
  <si>
    <t>Lansing Community College (2 year)</t>
  </si>
  <si>
    <t>Macomb Community College (2 year)</t>
  </si>
  <si>
    <t>Michigan Technological University</t>
  </si>
  <si>
    <t>Mid Michigan College (2 year)</t>
  </si>
  <si>
    <t>Oakland Community College (2 year)</t>
  </si>
  <si>
    <t>Minnesota West Community and Technical College (2 year)</t>
  </si>
  <si>
    <t>North Central University</t>
  </si>
  <si>
    <t>Saint Cloud State University</t>
  </si>
  <si>
    <t>Alcorn State University (HBCU)</t>
  </si>
  <si>
    <t>Delta State University</t>
  </si>
  <si>
    <t>University of Mississippi</t>
  </si>
  <si>
    <t>Mississippi Gulf Coast Community College (2 year)</t>
  </si>
  <si>
    <t>Pearl River Community College (2 year)</t>
  </si>
  <si>
    <t>University of Southern Mississippi</t>
  </si>
  <si>
    <t>Lindenwood University</t>
  </si>
  <si>
    <t>Truman State University</t>
  </si>
  <si>
    <t>State Fair Community College (2 year)</t>
  </si>
  <si>
    <t>Southeast Missouri State University</t>
  </si>
  <si>
    <t>Dawson Community College (2 year)</t>
  </si>
  <si>
    <t>Metropolitan Community College Area (2 year)</t>
  </si>
  <si>
    <t>University of Nebraska at Omaha</t>
  </si>
  <si>
    <t>Northeast Community College (2 year)</t>
  </si>
  <si>
    <t>University of Nevada-Las Vegas</t>
  </si>
  <si>
    <t>New England College</t>
  </si>
  <si>
    <t>Montclair State University</t>
  </si>
  <si>
    <t>Rutgers University-Newark</t>
  </si>
  <si>
    <t>Clovis Community College (2 year)</t>
  </si>
  <si>
    <t>San Juan College (2 year)</t>
  </si>
  <si>
    <t>Bard College</t>
  </si>
  <si>
    <t>Canisius College</t>
  </si>
  <si>
    <t>Monroe Community College (2 year)</t>
  </si>
  <si>
    <t>New York Law School</t>
  </si>
  <si>
    <t>Orange County Community College (2 year)</t>
  </si>
  <si>
    <t>Pace University</t>
  </si>
  <si>
    <t>Rensselaer Polytechnic Institute</t>
  </si>
  <si>
    <t>Rochester Institute of Technology</t>
  </si>
  <si>
    <t>Russell Sage College</t>
  </si>
  <si>
    <t>St. Joseph's University-New York</t>
  </si>
  <si>
    <t>Teachers College at Columbia University</t>
  </si>
  <si>
    <t>Union College</t>
  </si>
  <si>
    <t>United States Merchant Marine Academy</t>
  </si>
  <si>
    <t>Utica University</t>
  </si>
  <si>
    <t>Bennett College (HBCU, Female only)</t>
  </si>
  <si>
    <t>Coastal Carolina Community College (2 year)</t>
  </si>
  <si>
    <t>Fayetteville State University (HBCU)</t>
  </si>
  <si>
    <t>North Carolina State University at Raleigh</t>
  </si>
  <si>
    <t>Saint Augustine's University (HBCU)</t>
  </si>
  <si>
    <t>Salem College (Female only)</t>
  </si>
  <si>
    <t>Wake Technical Community College (2 year)</t>
  </si>
  <si>
    <t>ETI Technical College (2 year)</t>
  </si>
  <si>
    <t>Baldwin Wallace University</t>
  </si>
  <si>
    <t>Bowling Green State University-Main Campus</t>
  </si>
  <si>
    <t>University of Cincinnati-Main Campus</t>
  </si>
  <si>
    <t>Columbus State Community College (2 year)</t>
  </si>
  <si>
    <t>Cuyahoga Community College District (2 year)</t>
  </si>
  <si>
    <t>Defiance College</t>
  </si>
  <si>
    <t>Lake Erie College</t>
  </si>
  <si>
    <t>Lakeland Community College (2 year)</t>
  </si>
  <si>
    <t>Owens Community College (2 year)</t>
  </si>
  <si>
    <t>Wright State University-Main Campus</t>
  </si>
  <si>
    <t>Carl Albert State College (2 year)</t>
  </si>
  <si>
    <t>Oklahoma City University</t>
  </si>
  <si>
    <t>University of Oklahoma-Norman Campus</t>
  </si>
  <si>
    <t>Rose State College (2 year)</t>
  </si>
  <si>
    <t>University of Tulsa</t>
  </si>
  <si>
    <t>Linfield University-McMinnville Campus</t>
  </si>
  <si>
    <t>Oregon State University</t>
  </si>
  <si>
    <t>Portland State University</t>
  </si>
  <si>
    <t>Community College of Beaver County (2 year)</t>
  </si>
  <si>
    <t>Carnegie Mellon University</t>
  </si>
  <si>
    <t>Lebanon Valley College</t>
  </si>
  <si>
    <t>Lincoln Technical Institute-Allentown (2 year)</t>
  </si>
  <si>
    <t>Vet Tech Institute (2 year)</t>
  </si>
  <si>
    <t>Point Park University</t>
  </si>
  <si>
    <t>Johnson &amp; Wales University-Providence</t>
  </si>
  <si>
    <t>Rhode Island School of Design</t>
  </si>
  <si>
    <t>Aiken Technical College (2 year)</t>
  </si>
  <si>
    <t>Clemson University</t>
  </si>
  <si>
    <t>Columbia College</t>
  </si>
  <si>
    <t>Converse University</t>
  </si>
  <si>
    <t>Austin Peay State University</t>
  </si>
  <si>
    <t>Motlow State Community College (2 year)</t>
  </si>
  <si>
    <t>Nashville State Community College (2 year)</t>
  </si>
  <si>
    <t>Southwest Tennessee Community College (2 year)</t>
  </si>
  <si>
    <t>Austin Community College District</t>
  </si>
  <si>
    <t>Blinn College (2 year)</t>
  </si>
  <si>
    <t>Central Texas College (2 year)</t>
  </si>
  <si>
    <t>Dallas Baptist University</t>
  </si>
  <si>
    <t>El Paso Community College (2 year)</t>
  </si>
  <si>
    <t>Houston Baptist University</t>
  </si>
  <si>
    <t>Houston Community College (2 year)</t>
  </si>
  <si>
    <t>University of the Incarnate Word</t>
  </si>
  <si>
    <t>Laredo College</t>
  </si>
  <si>
    <t>College of the Mainland</t>
  </si>
  <si>
    <t>University of North Texas</t>
  </si>
  <si>
    <t>Our Lady of the Lake University</t>
  </si>
  <si>
    <t>Paul Quinn College (HBCU)</t>
  </si>
  <si>
    <t>San Jacinto Community College</t>
  </si>
  <si>
    <t>Southern Methodist University</t>
  </si>
  <si>
    <t>Southwestern Christian College (HBCU)</t>
  </si>
  <si>
    <t>Tarrant County College District (2 year)</t>
  </si>
  <si>
    <t>The University of Texas at Arlington</t>
  </si>
  <si>
    <t>Trinity University</t>
  </si>
  <si>
    <t>Tyler Junior College</t>
  </si>
  <si>
    <t>Wiley College (HBCU)</t>
  </si>
  <si>
    <t>Brigham Young University</t>
  </si>
  <si>
    <t>Weber State University</t>
  </si>
  <si>
    <t>James Madison University</t>
  </si>
  <si>
    <t>Marymount University</t>
  </si>
  <si>
    <t>Norfolk State University (HBCU)</t>
  </si>
  <si>
    <t>Big Bend Community College</t>
  </si>
  <si>
    <t>Pierce College District</t>
  </si>
  <si>
    <t>South Seattle College</t>
  </si>
  <si>
    <t>Seattle Pacific University</t>
  </si>
  <si>
    <t>Skagit Valley College</t>
  </si>
  <si>
    <t>West Virginia University</t>
  </si>
  <si>
    <t>Edgewood College</t>
  </si>
  <si>
    <t>Fox Valley Technical College (2 year)</t>
  </si>
  <si>
    <t>Chippewa Valley Technical College (2 year)</t>
  </si>
  <si>
    <t>University of Wisconsin-Oshkosh</t>
  </si>
  <si>
    <t>University of Wisconsin-Parkside</t>
  </si>
  <si>
    <t>University of Wisconsin-Milwaukee</t>
  </si>
  <si>
    <t>University of Wisconsin-Platteville</t>
  </si>
  <si>
    <t>University of Puerto Rico-Humacao</t>
  </si>
  <si>
    <t>University of Puerto Rico-Mayaguez</t>
  </si>
  <si>
    <t>University of Massachusetts Global</t>
  </si>
  <si>
    <t>Adler Graduate School</t>
  </si>
  <si>
    <t>Herzing University-Orlando</t>
  </si>
  <si>
    <t>Erikson Institute (Female only)</t>
  </si>
  <si>
    <t>Arizona College of Nursing-Tempe</t>
  </si>
  <si>
    <t>Institute of Technology (2 year)</t>
  </si>
  <si>
    <t>Los Angeles Film School</t>
  </si>
  <si>
    <t>East West College of Natural Medicine</t>
  </si>
  <si>
    <t>Folsom Lake College (2 year)</t>
  </si>
  <si>
    <t>San Joaquin Valley College-Modesto (2 year)</t>
  </si>
  <si>
    <t>Rasmussen University-Illinois</t>
  </si>
  <si>
    <t>Columbia Southern University</t>
  </si>
  <si>
    <t>American Business and Technology University</t>
  </si>
  <si>
    <t>Herzing University-Kenosha</t>
  </si>
  <si>
    <t>Madera Community College (2 year)</t>
  </si>
  <si>
    <t>Amridge University</t>
  </si>
  <si>
    <t>University of Alabama in Huntsville</t>
  </si>
  <si>
    <t>Central Alabama Community College (2 year)</t>
  </si>
  <si>
    <t>Athens State University</t>
  </si>
  <si>
    <t>Auburn University at Montgomery</t>
  </si>
  <si>
    <t>Auburn University</t>
  </si>
  <si>
    <t>Birmingham-Southern College</t>
  </si>
  <si>
    <t>Chattahoochee Valley Community College (2 year)</t>
  </si>
  <si>
    <t>South University-Montgomery</t>
  </si>
  <si>
    <t>Enterprise State Community College (2 year)</t>
  </si>
  <si>
    <t>Coastal Alabama Community College (2 year)</t>
  </si>
  <si>
    <t>Faulkner University</t>
  </si>
  <si>
    <t>Gadsden State Community College (HBCU, 2 year)</t>
  </si>
  <si>
    <t>George C Wallace Community College-Dothan (2 year)</t>
  </si>
  <si>
    <t>George C Wallace State Community College-Hanceville (2 year)</t>
  </si>
  <si>
    <t>George C Wallace State Community College-Selma (2 year)</t>
  </si>
  <si>
    <t>Herzing University-Birmingham</t>
  </si>
  <si>
    <t>Huntingdon College</t>
  </si>
  <si>
    <t>Heritage Christian University</t>
  </si>
  <si>
    <t>J. F. Drake State Community and Technical College (HBCU, 2 year)</t>
  </si>
  <si>
    <t>J F Ingram State Technical College (2 year)</t>
  </si>
  <si>
    <t>Jacksonville State University</t>
  </si>
  <si>
    <t>Jefferson State Community College (2 year)</t>
  </si>
  <si>
    <t>John C Calhoun State Community College (2 year)</t>
  </si>
  <si>
    <t>Lawson State Community College (HBCU, 2 year)</t>
  </si>
  <si>
    <t>University of West Alabama</t>
  </si>
  <si>
    <t>Lurleen B Wallace Community College (2 year)</t>
  </si>
  <si>
    <t>Marion Military Institute (2 year)</t>
  </si>
  <si>
    <t>Miles College (HBCU)</t>
  </si>
  <si>
    <t>University of Mobile</t>
  </si>
  <si>
    <t>University of Montevallo</t>
  </si>
  <si>
    <t>Northwest-Shoals Community College (2 year)</t>
  </si>
  <si>
    <t>University of North Alabama</t>
  </si>
  <si>
    <t>Northeast Alabama Community College (2 year)</t>
  </si>
  <si>
    <t>Oakwood University (HBCU)</t>
  </si>
  <si>
    <t>Reid State Technical College (2 year)</t>
  </si>
  <si>
    <t>Bishop State Community College (HBCU, 2 year)</t>
  </si>
  <si>
    <t>Samford University</t>
  </si>
  <si>
    <t>Selma University (HBCU)</t>
  </si>
  <si>
    <t>Shelton State Community College (HBCU, 2 year)</t>
  </si>
  <si>
    <t>University of South Alabama</t>
  </si>
  <si>
    <t>Spring Hill College</t>
  </si>
  <si>
    <t>Stillman College (HBCU)</t>
  </si>
  <si>
    <t>H Councill Trenholm State Community College (HBCU, 2 year)</t>
  </si>
  <si>
    <t>Troy University</t>
  </si>
  <si>
    <t>United States Sports Academy</t>
  </si>
  <si>
    <t>Bevill State Community College (2 year)</t>
  </si>
  <si>
    <t>University of Alaska Anchorage</t>
  </si>
  <si>
    <t>Alaska Bible College</t>
  </si>
  <si>
    <t>University of Alaska Fairbanks</t>
  </si>
  <si>
    <t>University of Alaska Southeast</t>
  </si>
  <si>
    <t>Alaska Pacific University</t>
  </si>
  <si>
    <t>Charter College</t>
  </si>
  <si>
    <t>Alaska Career College (2 year)</t>
  </si>
  <si>
    <t>Carrington College-Phoenix North (2 year)</t>
  </si>
  <si>
    <t>Carrington College-Mesa (2 year)</t>
  </si>
  <si>
    <t>Carrington College-Tucson (2 year)</t>
  </si>
  <si>
    <t>Brookline College-Phoenix</t>
  </si>
  <si>
    <t>Arizona Western College (2 year)</t>
  </si>
  <si>
    <t>Southwest University of Visual Arts-Tucson</t>
  </si>
  <si>
    <t>Central Arizona College (2 year)</t>
  </si>
  <si>
    <t>Cochise County Community College District (2 year)</t>
  </si>
  <si>
    <t>Eastern Arizona College (2 year)</t>
  </si>
  <si>
    <t>Embry-Riddle Aeronautical University-Prescott</t>
  </si>
  <si>
    <t>The School of Architecture</t>
  </si>
  <si>
    <t>GateWay Community College (2 year)</t>
  </si>
  <si>
    <t>Mohave Community College (2 year)</t>
  </si>
  <si>
    <t>Universal Technical Institute of Arizona Inc-Motorcycle Mechanics Institute Division (2 year)</t>
  </si>
  <si>
    <t>Dine College</t>
  </si>
  <si>
    <t>Northland Pioneer College (2 year)</t>
  </si>
  <si>
    <t>Ottawa University-Phoenix</t>
  </si>
  <si>
    <t>Phoenix College (2 year)</t>
  </si>
  <si>
    <t>Pima Community College (2 year)</t>
  </si>
  <si>
    <t>Pima Medical Institute-Tucson</t>
  </si>
  <si>
    <t>Pima Medical Institute-Albuquerque (2 year)</t>
  </si>
  <si>
    <t>Prescott College</t>
  </si>
  <si>
    <t>Refrigeration School Inc (2 year)</t>
  </si>
  <si>
    <t>Scottsdale Community College (2 year)</t>
  </si>
  <si>
    <t>South Mountain Community College (2 year)</t>
  </si>
  <si>
    <t>Arizona Christian University</t>
  </si>
  <si>
    <t>Universal Technical Institute of Arizona Inc (Male only, 2 year)</t>
  </si>
  <si>
    <t>Yavapai College (2 year)</t>
  </si>
  <si>
    <t>University of Arkansas at Little Rock</t>
  </si>
  <si>
    <t>University of Arkansas for Medical Sciences</t>
  </si>
  <si>
    <t>Arkansas Baptist College (HBCU)</t>
  </si>
  <si>
    <t>Lyon College</t>
  </si>
  <si>
    <t>University of Arkansas</t>
  </si>
  <si>
    <t>Arkansas State University-Beebe (2 year)</t>
  </si>
  <si>
    <t>Arkansas Tech University</t>
  </si>
  <si>
    <t>University of Arkansas at Monticello</t>
  </si>
  <si>
    <t>Baptist Health College Little Rock (2 year)</t>
  </si>
  <si>
    <t>Black River Technical College (2 year)</t>
  </si>
  <si>
    <t>University of Central Arkansas</t>
  </si>
  <si>
    <t>Central Baptist College</t>
  </si>
  <si>
    <t>Cossatot Community College of the University of Arkansas (2 year)</t>
  </si>
  <si>
    <t>Crowley's Ridge College</t>
  </si>
  <si>
    <t>East Arkansas Community College (2 year)</t>
  </si>
  <si>
    <t>National Park College (2 year)</t>
  </si>
  <si>
    <t>University of Arkansas Community College-Batesville (2 year)</t>
  </si>
  <si>
    <t>Harding University</t>
  </si>
  <si>
    <t>Henderson State University</t>
  </si>
  <si>
    <t>Hendrix College</t>
  </si>
  <si>
    <t>Jefferson Regional Medical Center School of Nursing (2 year)</t>
  </si>
  <si>
    <t>John Brown University</t>
  </si>
  <si>
    <t>Arkansas State University Mid-South (2 year)</t>
  </si>
  <si>
    <t>Arkansas Northeastern College (2 year)</t>
  </si>
  <si>
    <t>North Arkansas College (2 year)</t>
  </si>
  <si>
    <t>Ouachita Baptist University</t>
  </si>
  <si>
    <t>Arkansas State University Three Rivers (2 year)</t>
  </si>
  <si>
    <t>Ozarka College (2 year)</t>
  </si>
  <si>
    <t>University of the Ozarks</t>
  </si>
  <si>
    <t>University of Arkansas Community College-Morrilton (2 year)</t>
  </si>
  <si>
    <t>Phillips Community College of the University of Arkansas (2 year)</t>
  </si>
  <si>
    <t>Southeast Arkansas College (2 year)</t>
  </si>
  <si>
    <t>University of Arkansas-Pulaski Technical College (2 year)</t>
  </si>
  <si>
    <t>University of Arkansas Hope-Texarkana (2 year)</t>
  </si>
  <si>
    <t>University of Arkansas Community College Rich Mountain (2 year)</t>
  </si>
  <si>
    <t>Shorter College (HBCU, 2 year)</t>
  </si>
  <si>
    <t>Williams Baptist University</t>
  </si>
  <si>
    <t>South Arkansas Community College (2 year)</t>
  </si>
  <si>
    <t>Southern Arkansas University Main Campus</t>
  </si>
  <si>
    <t>Southern Arkansas University Tech (2 year)</t>
  </si>
  <si>
    <t>University of Arkansas-Fort Smith</t>
  </si>
  <si>
    <t>Academy of Chinese Culture and Health Sciences</t>
  </si>
  <si>
    <t>College of Alameda (2 year)</t>
  </si>
  <si>
    <t>Allan Hancock College (2 year)</t>
  </si>
  <si>
    <t>American Academy of Dramatic Arts-Los Angeles (2 year)</t>
  </si>
  <si>
    <t>Berkeley School of Theology</t>
  </si>
  <si>
    <t>American Film Institute Conservatory</t>
  </si>
  <si>
    <t>American Career College-Los Angeles (2 year)</t>
  </si>
  <si>
    <t>American Conservatory Theater</t>
  </si>
  <si>
    <t>American River College (2 year)</t>
  </si>
  <si>
    <t>Antelope Valley Community College District</t>
  </si>
  <si>
    <t>Art Center College of Design</t>
  </si>
  <si>
    <t>Azusa Pacific University</t>
  </si>
  <si>
    <t>Barstow Community College (2 year)</t>
  </si>
  <si>
    <t>Bellus Academy-Chula Vista (2 year)</t>
  </si>
  <si>
    <t>Bethesda University</t>
  </si>
  <si>
    <t>Biola University</t>
  </si>
  <si>
    <t>Bryan University</t>
  </si>
  <si>
    <t>Butte College (2 year)</t>
  </si>
  <si>
    <t>California Institute of Integral Studies</t>
  </si>
  <si>
    <t>Cabrillo College (2 year)</t>
  </si>
  <si>
    <t>California Baptist University</t>
  </si>
  <si>
    <t>California College of the Arts</t>
  </si>
  <si>
    <t>University of California-Hastings College of Law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</si>
  <si>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</si>
  <si>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</si>
  <si>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</si>
  <si>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</si>
  <si>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</si>
  <si>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</si>
  <si>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</si>
  <si>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</si>
  <si>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</si>
  <si>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</si>
  <si>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</si>
  <si>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</si>
  <si>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</si>
  <si>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</si>
  <si>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</si>
  <si>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</si>
  <si>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</si>
  <si>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</si>
  <si>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</si>
  <si>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</si>
  <si>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</si>
  <si>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</si>
  <si>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</si>
  <si>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</si>
  <si>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Sofia University</t>
  </si>
  <si>
    <t>California Christian College</t>
  </si>
  <si>
    <t>Haven University</t>
  </si>
  <si>
    <t>California Institute of the Arts</t>
  </si>
  <si>
    <t>California State University Maritime Academy</t>
  </si>
  <si>
    <t>California Western School of Law</t>
  </si>
  <si>
    <t>Canada College (2 year)</t>
  </si>
  <si>
    <t>College of the Canyons (2 year)</t>
  </si>
  <si>
    <t>Career Academy of Beauty (Female only, 2 year)</t>
  </si>
  <si>
    <t>Casa Loma College-Van Nuys</t>
  </si>
  <si>
    <t>Cerritos College (2 year)</t>
  </si>
  <si>
    <t>Cerro Coso Community College (2 year)</t>
  </si>
  <si>
    <t>Chabot College (2 year)</t>
  </si>
  <si>
    <t>Chaffey College (2 year)</t>
  </si>
  <si>
    <t>Charles R Drew University of Medicine and Science</t>
  </si>
  <si>
    <t>Concordia University-Irvine</t>
  </si>
  <si>
    <t>San Diego Christian College</t>
  </si>
  <si>
    <t>Church Divinity School of the Pacific</t>
  </si>
  <si>
    <t>Citrus College (2 year)</t>
  </si>
  <si>
    <t>City College of San Francisco (2 year)</t>
  </si>
  <si>
    <t>Coastline Community College (2 year)</t>
  </si>
  <si>
    <t>University of Silicon Valley</t>
  </si>
  <si>
    <t>Western University of Health Sciences</t>
  </si>
  <si>
    <t>Columbia College (2 year)</t>
  </si>
  <si>
    <t>Columbia College Hollywood</t>
  </si>
  <si>
    <t>Compton College (2 year)</t>
  </si>
  <si>
    <t>Contra Costa College (2 year)</t>
  </si>
  <si>
    <t>Cosumnes River College (2 year)</t>
  </si>
  <si>
    <t>Crafton Hills College (2 year)</t>
  </si>
  <si>
    <t>Cuesta College (2 year)</t>
  </si>
  <si>
    <t>Cuyamaca College (2 year)</t>
  </si>
  <si>
    <t>Cypress College</t>
  </si>
  <si>
    <t>De Anza College (2 year)</t>
  </si>
  <si>
    <t>Dell'Arte International School of Physical Theatre (2 year)</t>
  </si>
  <si>
    <t>College of the Desert (2 year)</t>
  </si>
  <si>
    <t>Design Institute of San Diego</t>
  </si>
  <si>
    <t>Diablo Valley College (2 year)</t>
  </si>
  <si>
    <t>Dominican School of Philosophy &amp; Theology</t>
  </si>
  <si>
    <t>Emperor's College of Traditional Oriental Medicine</t>
  </si>
  <si>
    <t>Empire College</t>
  </si>
  <si>
    <t>Evergreen Valley College (2 year)</t>
  </si>
  <si>
    <t>FIDM-Fashion Institute of Design &amp; Merchandising-Los Angeles</t>
  </si>
  <si>
    <t>FIDM-Fashion Institute of Design &amp; Merchandising-San Francisco</t>
  </si>
  <si>
    <t>Feather River Community College District</t>
  </si>
  <si>
    <t>Fielding Graduate University</t>
  </si>
  <si>
    <t>Five Branches University</t>
  </si>
  <si>
    <t>Foothill College</t>
  </si>
  <si>
    <t>Franciscan School of Theology</t>
  </si>
  <si>
    <t>Fresno Pacific University</t>
  </si>
  <si>
    <t>Fuller Theological Seminary</t>
  </si>
  <si>
    <t>Gavilan College (2 year)</t>
  </si>
  <si>
    <t>Glendale Career College</t>
  </si>
  <si>
    <t>Golden Gate University</t>
  </si>
  <si>
    <t>Golden West College (2 year)</t>
  </si>
  <si>
    <t>Graduate Theological Union</t>
  </si>
  <si>
    <t>Hartnell College (2 year)</t>
  </si>
  <si>
    <t>Harvey Mudd College</t>
  </si>
  <si>
    <t>Pacifica Graduate Institute</t>
  </si>
  <si>
    <t>California State Polytechnic University-Humboldt</t>
  </si>
  <si>
    <t>Humphreys University-Stockton and Modesto Campuses</t>
  </si>
  <si>
    <t>Imperial Valley College (2 year)</t>
  </si>
  <si>
    <t>Institute for Business and Technology (2 year)</t>
  </si>
  <si>
    <t>Interior Designers Institute (Female only)</t>
  </si>
  <si>
    <t>Bellus Academy-El Cajon (Female only, 2 year)</t>
  </si>
  <si>
    <t>American Jewish University</t>
  </si>
  <si>
    <t>Reedley College (2 year)</t>
  </si>
  <si>
    <t>Life Pacific University</t>
  </si>
  <si>
    <t>University of La Verne</t>
  </si>
  <si>
    <t>Laguna College of Art and Design</t>
  </si>
  <si>
    <t>Lake Tahoe Community College (2 year)</t>
  </si>
  <si>
    <t>Laney College (2 year)</t>
  </si>
  <si>
    <t>Lassen Community College (2 year)</t>
  </si>
  <si>
    <t>Latin American Bible Institute</t>
  </si>
  <si>
    <t>Life Chiropractic College West</t>
  </si>
  <si>
    <t>Lincoln University</t>
  </si>
  <si>
    <t>Southern California Seminary</t>
  </si>
  <si>
    <t>La Sierra University</t>
  </si>
  <si>
    <t>Loma Linda University</t>
  </si>
  <si>
    <t>Long Beach City College (2 year)</t>
  </si>
  <si>
    <t>Southern California University of Health Sciences</t>
  </si>
  <si>
    <t>Los Angeles Harbor College (2 year)</t>
  </si>
  <si>
    <t>Los Angeles Pierce College (2 year)</t>
  </si>
  <si>
    <t>Los Angeles Southwest College (2 year)</t>
  </si>
  <si>
    <t>Los Angeles Trade Technical College (2 year)</t>
  </si>
  <si>
    <t>Los Angeles Valley College (2 year)</t>
  </si>
  <si>
    <t>The Master's University and Seminary</t>
  </si>
  <si>
    <t>Los Angeles City College (2 year)</t>
  </si>
  <si>
    <t>Los Angeles County College of Nursing and Allied Health (2 year)</t>
  </si>
  <si>
    <t>Los Angeles Mission College (2 year)</t>
  </si>
  <si>
    <t>Los Medanos College (2 year)</t>
  </si>
  <si>
    <t>MTI College (2 year)</t>
  </si>
  <si>
    <t>College of Marin (2 year)</t>
  </si>
  <si>
    <t>Marymount California University</t>
  </si>
  <si>
    <t>Mendocino College (2 year)</t>
  </si>
  <si>
    <t>Menlo College</t>
  </si>
  <si>
    <t>Merritt College (2 year)</t>
  </si>
  <si>
    <t>Mills College</t>
  </si>
  <si>
    <t>Mission College (2 year)</t>
  </si>
  <si>
    <t>Modesto Junior College</t>
  </si>
  <si>
    <t>Middlebury Institute of International Studies at Monterey</t>
  </si>
  <si>
    <t>Monterey Peninsula College (2 year)</t>
  </si>
  <si>
    <t>Moorpark College (2 year)</t>
  </si>
  <si>
    <t>Musicians Institute</t>
  </si>
  <si>
    <t>Napa Valley College (2 year)</t>
  </si>
  <si>
    <t>National University</t>
  </si>
  <si>
    <t>Naval Postgraduate School</t>
  </si>
  <si>
    <t>Newschool of Architecture and Design</t>
  </si>
  <si>
    <t>North-West College-West Covina (2 year)</t>
  </si>
  <si>
    <t>San Francisco Bay University</t>
  </si>
  <si>
    <t>Notre Dame de Namur University</t>
  </si>
  <si>
    <t>Ohlone College (2 year)</t>
  </si>
  <si>
    <t>Orange Coast College (2 year)</t>
  </si>
  <si>
    <t>Oxnard College (2 year)</t>
  </si>
  <si>
    <t>Hope International University</t>
  </si>
  <si>
    <t>Concorde Career College-San Diego (2 year)</t>
  </si>
  <si>
    <t>Palo Alto University</t>
  </si>
  <si>
    <t>Pacific Oaks College</t>
  </si>
  <si>
    <t>Pacific School of Religion</t>
  </si>
  <si>
    <t>Pacific States University</t>
  </si>
  <si>
    <t>Pacific Union College</t>
  </si>
  <si>
    <t>University of the Pacific</t>
  </si>
  <si>
    <t>Palo Verde College (2 year)</t>
  </si>
  <si>
    <t>Palomar College (2 year)</t>
  </si>
  <si>
    <t>Pasadena City College (2 year)</t>
  </si>
  <si>
    <t>Pepperdine University</t>
  </si>
  <si>
    <t>Platt College-San Diego</t>
  </si>
  <si>
    <t>Point Loma Nazarene University</t>
  </si>
  <si>
    <t>Porterville College (2 year)</t>
  </si>
  <si>
    <t>Santa Ana College</t>
  </si>
  <si>
    <t>Pardee RAND Graduate School</t>
  </si>
  <si>
    <t>University of Redlands</t>
  </si>
  <si>
    <t>College of the Redwoods (2 year)</t>
  </si>
  <si>
    <t>Rio Hondo College</t>
  </si>
  <si>
    <t>Riverside City College (2 year)</t>
  </si>
  <si>
    <t>Dongguk University Los Angeles</t>
  </si>
  <si>
    <t>Sacramento City College (2 year)</t>
  </si>
  <si>
    <t>Saddleback College (2 year)</t>
  </si>
  <si>
    <t>Samuel Merritt University</t>
  </si>
  <si>
    <t>San Diego Mesa College</t>
  </si>
  <si>
    <t>San Francisco Art Institute</t>
  </si>
  <si>
    <t>San Francisco Conservatory of Music</t>
  </si>
  <si>
    <t>San Francisco State University</t>
  </si>
  <si>
    <t>San Joaquin College of Law</t>
  </si>
  <si>
    <t>San Joaquin Delta College (2 year)</t>
  </si>
  <si>
    <t>San Joaquin Valley College-Visalia</t>
  </si>
  <si>
    <t>San Joaquin Valley College-Bakersfield (2 year)</t>
  </si>
  <si>
    <t>William Jessup University</t>
  </si>
  <si>
    <t>San Jose State University</t>
  </si>
  <si>
    <t>College of San Mateo (2 year)</t>
  </si>
  <si>
    <t>Santa Barbara Business College-Bakersfield</t>
  </si>
  <si>
    <t>Santa Barbara Business College-Santa Maria</t>
  </si>
  <si>
    <t>Santa Barbara City College (2 year)</t>
  </si>
  <si>
    <t>Santa Clara University</t>
  </si>
  <si>
    <t>Santa Rosa Junior College (2 year)</t>
  </si>
  <si>
    <t>Saybrook University</t>
  </si>
  <si>
    <t>Scripps College (Female only)</t>
  </si>
  <si>
    <t>College of the Sequoias (2 year)</t>
  </si>
  <si>
    <t>Shasta Bible College and Graduate School</t>
  </si>
  <si>
    <t>Shasta College</t>
  </si>
  <si>
    <t>Sierra College (2 year)</t>
  </si>
  <si>
    <t>Trinity Law School</t>
  </si>
  <si>
    <t>Simpson University</t>
  </si>
  <si>
    <t>College of the Siskiyous (2 year)</t>
  </si>
  <si>
    <t>Skyline College</t>
  </si>
  <si>
    <t>San Bernardino Valley College (2 year)</t>
  </si>
  <si>
    <t>Saint Mary's College of California</t>
  </si>
  <si>
    <t>Solano Community College</t>
  </si>
  <si>
    <t>Sonoma State University</t>
  </si>
  <si>
    <t>South Baylo University</t>
  </si>
  <si>
    <t>South Coast College (2 year)</t>
  </si>
  <si>
    <t>Vanguard University of Southern California</t>
  </si>
  <si>
    <t>Concorde Career College-Garden Grove (2 year)</t>
  </si>
  <si>
    <t>Southwestern College (2 year)</t>
  </si>
  <si>
    <t>Starr King School for the Ministry</t>
  </si>
  <si>
    <t>Marshall B Ketchum University</t>
  </si>
  <si>
    <t>Southern California Institute of Architecture</t>
  </si>
  <si>
    <t>Southwestern Law School</t>
  </si>
  <si>
    <t>Claremont School of Theology</t>
  </si>
  <si>
    <t>Thomas Aquinas College</t>
  </si>
  <si>
    <t>Epic Bible College &amp; Graduate School</t>
  </si>
  <si>
    <t>Concorde Career College-San Bernardino (2 year)</t>
  </si>
  <si>
    <t>Concorde Career College-North Hollywood (2 year)</t>
  </si>
  <si>
    <t>The Santa Barbara and Ventura Colleges of Law at Ventura</t>
  </si>
  <si>
    <t>Victor Valley College (2 year)</t>
  </si>
  <si>
    <t>Berkeley City College (2 year)</t>
  </si>
  <si>
    <t>West Hills College-Coalinga (2 year)</t>
  </si>
  <si>
    <t>West Los Angeles College</t>
  </si>
  <si>
    <t>West Valley College (2 year)</t>
  </si>
  <si>
    <t>Carrington College-Sacramento (2 year)</t>
  </si>
  <si>
    <t>Westminster Theological Seminary in California</t>
  </si>
  <si>
    <t>Westmont College</t>
  </si>
  <si>
    <t>Whittier College</t>
  </si>
  <si>
    <t>Woodbury University</t>
  </si>
  <si>
    <t>The Wright Institute</t>
  </si>
  <si>
    <t>Thomas Jefferson School of Law</t>
  </si>
  <si>
    <t>Yeshiva Ohr Elchonon Chabad West Coast Talmudical Seminary (Male only)</t>
  </si>
  <si>
    <t>Yuba College (2 year)</t>
  </si>
  <si>
    <t>The Salon Professional Academy-Grand Junction (Female only, 2 year)</t>
  </si>
  <si>
    <t>Adams State University</t>
  </si>
  <si>
    <t>Aims Community College (2 year)</t>
  </si>
  <si>
    <t>Arapahoe Community College</t>
  </si>
  <si>
    <t>Bel-Rea Institute of Animal Technology (2 year)</t>
  </si>
  <si>
    <t>University of Colorado Colorado Springs</t>
  </si>
  <si>
    <t>Spartan College of Aeronautics and Technology (2 year)</t>
  </si>
  <si>
    <t>Concorde Career College-Aurora (2 year)</t>
  </si>
  <si>
    <t>Colorado Mountain College</t>
  </si>
  <si>
    <t>Colorado Northwestern Community College (2 year)</t>
  </si>
  <si>
    <t>Colorado School of Mines</t>
  </si>
  <si>
    <t>Colorado School of Trades (Male only, 2 year)</t>
  </si>
  <si>
    <t>Community College of Aurora (2 year)</t>
  </si>
  <si>
    <t>Community College of Denver</t>
  </si>
  <si>
    <t>Lincoln College of Technology-Denver (2 year)</t>
  </si>
  <si>
    <t>Denver Seminary</t>
  </si>
  <si>
    <t>Fort Lewis College</t>
  </si>
  <si>
    <t>Front Range Community College</t>
  </si>
  <si>
    <t>Iliff School of Theology</t>
  </si>
  <si>
    <t>Lamar Community College (2 year)</t>
  </si>
  <si>
    <t>Colorado Mesa University</t>
  </si>
  <si>
    <t>Morgan Community College</t>
  </si>
  <si>
    <t>Naropa University</t>
  </si>
  <si>
    <t>Nazarene Bible College</t>
  </si>
  <si>
    <t>Northeastern Junior College (2 year)</t>
  </si>
  <si>
    <t>University of Northern Colorado</t>
  </si>
  <si>
    <t>Otero Junior College (2 year)</t>
  </si>
  <si>
    <t>Pueblo Community College</t>
  </si>
  <si>
    <t>Red Rocks Community College</t>
  </si>
  <si>
    <t>Rocky Mountain College of Art and Design</t>
  </si>
  <si>
    <t>Montessori Education Center of the Rockies</t>
  </si>
  <si>
    <t>Colorado State University Pueblo</t>
  </si>
  <si>
    <t>Pickens Technical College (2 year)</t>
  </si>
  <si>
    <t>Intellitec College-Colorado Springs (2 year)</t>
  </si>
  <si>
    <t>Intellitec College-Grand Junction (2 year)</t>
  </si>
  <si>
    <t>Trinidad State College</t>
  </si>
  <si>
    <t>United States Air Force Academy</t>
  </si>
  <si>
    <t>Western Colorado University</t>
  </si>
  <si>
    <t>Albertus Magnus College</t>
  </si>
  <si>
    <t>Asnuntuck Community College (2 year)</t>
  </si>
  <si>
    <t>Bais Binyomin Academy (Male only)</t>
  </si>
  <si>
    <t>University of Bridgeport</t>
  </si>
  <si>
    <t>Central Connecticut State University</t>
  </si>
  <si>
    <t>Charter Oak State College</t>
  </si>
  <si>
    <t>University of Connecticut</t>
  </si>
  <si>
    <t>Goodwin University</t>
  </si>
  <si>
    <t>Lincoln Technical Institute-East Windsor (2 year)</t>
  </si>
  <si>
    <t>Fairfield University</t>
  </si>
  <si>
    <t>Capital Community College (2 year)</t>
  </si>
  <si>
    <t>Rensselaer at Hartford</t>
  </si>
  <si>
    <t>American Institute-West Hartford (2 year)</t>
  </si>
  <si>
    <t>Hartford Seminary</t>
  </si>
  <si>
    <t>University of Hartford</t>
  </si>
  <si>
    <t>Holy Apostles College and Seminary</t>
  </si>
  <si>
    <t>Housatonic Community College (2 year)</t>
  </si>
  <si>
    <t>Manchester Community College (2 year)</t>
  </si>
  <si>
    <t>Naugatuck Valley Community College (2 year)</t>
  </si>
  <si>
    <t>Middlesex Community College (2 year)</t>
  </si>
  <si>
    <t>Mitchell College</t>
  </si>
  <si>
    <t>Three Rivers Community College (2 year)</t>
  </si>
  <si>
    <t>Lincoln Technical Institute-New Britain (2 year)</t>
  </si>
  <si>
    <t>University of New Haven</t>
  </si>
  <si>
    <t>Norwalk Community College (2 year)</t>
  </si>
  <si>
    <t>Northwestern Connecticut Community College (2 year)</t>
  </si>
  <si>
    <t>Paier College</t>
  </si>
  <si>
    <t>Quinebaug Valley Community College (2 year)</t>
  </si>
  <si>
    <t>Quinnipiac University</t>
  </si>
  <si>
    <t>Sacred Heart University</t>
  </si>
  <si>
    <t>University of Saint Joseph</t>
  </si>
  <si>
    <t>Gateway Community College (2 year)</t>
  </si>
  <si>
    <t>Southern Connecticut State University</t>
  </si>
  <si>
    <t>Stone Academy-West Haven (2 year)</t>
  </si>
  <si>
    <t>Tunxis Community College (2 year)</t>
  </si>
  <si>
    <t>United States Coast Guard Academy</t>
  </si>
  <si>
    <t>Western Connecticut State University</t>
  </si>
  <si>
    <t>Delaware Technical Community College-Terry</t>
  </si>
  <si>
    <t>Delaware State University (HBCU)</t>
  </si>
  <si>
    <t>University of Delaware</t>
  </si>
  <si>
    <t>Goldey-Beacom College</t>
  </si>
  <si>
    <t>Wesley College</t>
  </si>
  <si>
    <t>The Catholic University of America</t>
  </si>
  <si>
    <t>University of the District of Columbia (HBCU)</t>
  </si>
  <si>
    <t>Pontifical Faculty of the Immaculate Conception at the Dominican House of Studies</t>
  </si>
  <si>
    <t>Gallaudet University</t>
  </si>
  <si>
    <t>Strayer University-District of Columbia</t>
  </si>
  <si>
    <t>National Conservatory of Dramatic Arts (2 year)</t>
  </si>
  <si>
    <t>Trinity Washington University (Female only)</t>
  </si>
  <si>
    <t>Wesley Theological Seminary</t>
  </si>
  <si>
    <t>Atlantic Technical College (2 year)</t>
  </si>
  <si>
    <t>The Baptist College of Florida</t>
  </si>
  <si>
    <t>Eastern Florida State College</t>
  </si>
  <si>
    <t>Albizu University-Miami</t>
  </si>
  <si>
    <t>Johnson University Florida</t>
  </si>
  <si>
    <t>Chipola College</t>
  </si>
  <si>
    <t>Daytona State College</t>
  </si>
  <si>
    <t>South University-West Palm Beach</t>
  </si>
  <si>
    <t>Eckerd College</t>
  </si>
  <si>
    <t>Florida SouthWestern State College</t>
  </si>
  <si>
    <t>Edward Waters University (HBCU)</t>
  </si>
  <si>
    <t>Florida Atlantic University</t>
  </si>
  <si>
    <t>Florida State College at Jacksonville</t>
  </si>
  <si>
    <t>Flagler College</t>
  </si>
  <si>
    <t>Florida College</t>
  </si>
  <si>
    <t>Concorde Career Institute-Jacksonville (2 year)</t>
  </si>
  <si>
    <t>Concorde Career Institute-Miramar (2 year)</t>
  </si>
  <si>
    <t>Concorde Career Institute-Tampa (2 year)</t>
  </si>
  <si>
    <t>AdventHealth University</t>
  </si>
  <si>
    <t>Florida Institute of Technology</t>
  </si>
  <si>
    <t>Florida Institute of Ultrasound Inc (2 year)</t>
  </si>
  <si>
    <t>Florida International University</t>
  </si>
  <si>
    <t>The College of the Florida Keys</t>
  </si>
  <si>
    <t>Florida Memorial University (HBCU)</t>
  </si>
  <si>
    <t>Florida Career College-Miami (2 year)</t>
  </si>
  <si>
    <t>Florida Southern College</t>
  </si>
  <si>
    <t>Florida State University</t>
  </si>
  <si>
    <t>Full Sail University</t>
  </si>
  <si>
    <t>George Stone Technical College (2 year)</t>
  </si>
  <si>
    <t>Gulf Coast State College</t>
  </si>
  <si>
    <t>Key College (Female only, 2 year)</t>
  </si>
  <si>
    <t>Hillsborough Community College (2 year)</t>
  </si>
  <si>
    <t>Hobe Sound Bible College</t>
  </si>
  <si>
    <t>Indian River State College</t>
  </si>
  <si>
    <t>AI Miami International University of Art and Design</t>
  </si>
  <si>
    <t>Keiser University-Ft Lauderdale</t>
  </si>
  <si>
    <t>Florida Gateway College</t>
  </si>
  <si>
    <t>Lake-Sumter State College</t>
  </si>
  <si>
    <t>Fort Myers Technical College (2 year)</t>
  </si>
  <si>
    <t>Lindsey Hopkins Technical College (2 year)</t>
  </si>
  <si>
    <t>Luther Rice College &amp; Seminary</t>
  </si>
  <si>
    <t>State College of Florida-Manatee-Sarasota</t>
  </si>
  <si>
    <t>Manatee Technical College (2 year)</t>
  </si>
  <si>
    <t>Trinity International University-Florida</t>
  </si>
  <si>
    <t>Miami Lakes Educational Center and Technical College (2 year)</t>
  </si>
  <si>
    <t>Orange Technical College-Mid Florida Campus (2 year)</t>
  </si>
  <si>
    <t>North Florida College</t>
  </si>
  <si>
    <t>Northwest Florida State College</t>
  </si>
  <si>
    <t>Palm Beach Atlantic University</t>
  </si>
  <si>
    <t>Palm Beach State College</t>
  </si>
  <si>
    <t>Pasco-Hernando State College</t>
  </si>
  <si>
    <t>Pensacola State College</t>
  </si>
  <si>
    <t>Polk State College</t>
  </si>
  <si>
    <t>Radford M Locklin Technical College (2 year)</t>
  </si>
  <si>
    <t>Saint Vincent de Paul Regional Seminary (Male only)</t>
  </si>
  <si>
    <t>Ringling College of Art and Design</t>
  </si>
  <si>
    <t>Robert Morgan Educational Center and Technical College (2 year)</t>
  </si>
  <si>
    <t>Rollins College</t>
  </si>
  <si>
    <t>Saint Leo University</t>
  </si>
  <si>
    <t>St Petersburg College</t>
  </si>
  <si>
    <t>Pinellas Technical College-St. Petersburg (2 year)</t>
  </si>
  <si>
    <t>Santa Fe College</t>
  </si>
  <si>
    <t>Suncoast Technical College (2 year)</t>
  </si>
  <si>
    <t>Seminole State College of Florida</t>
  </si>
  <si>
    <t>Sheridan Technical College (2 year)</t>
  </si>
  <si>
    <t>St. John Vianney College Seminary (Male only)</t>
  </si>
  <si>
    <t>Saint Johns River State College</t>
  </si>
  <si>
    <t>South Florida State College</t>
  </si>
  <si>
    <t>University of South Florida</t>
  </si>
  <si>
    <t>St. Thomas University</t>
  </si>
  <si>
    <t>Stetson University</t>
  </si>
  <si>
    <t>Riveroak Technical College (2 year)</t>
  </si>
  <si>
    <t>Tallahassee Community College</t>
  </si>
  <si>
    <t>Talmudic College of Florida (Male only)</t>
  </si>
  <si>
    <t>Altierus Career College-Tampa (2 year)</t>
  </si>
  <si>
    <t>Trinity Baptist College</t>
  </si>
  <si>
    <t>Trinity College of Florida</t>
  </si>
  <si>
    <t>Warner University</t>
  </si>
  <si>
    <t>Webber International University</t>
  </si>
  <si>
    <t>The University of West Florida</t>
  </si>
  <si>
    <t>Orange Technical College-Westside Campus (2 year)</t>
  </si>
  <si>
    <t>William T McFatter Technical College (2 year)</t>
  </si>
  <si>
    <t>Orange Technical College-Winter Park Campus (2 year)</t>
  </si>
  <si>
    <t>Withlacoochee Technical College (2 year)</t>
  </si>
  <si>
    <t>Abraham Baldwin Agricultural College</t>
  </si>
  <si>
    <t>Interactive College of Technology-Chamblee (2 year)</t>
  </si>
  <si>
    <t>Interactive College of Technology-Morrow (2 year)</t>
  </si>
  <si>
    <t>Albany Technical College (2 year)</t>
  </si>
  <si>
    <t>Andrew College</t>
  </si>
  <si>
    <t>The Art Institute of Atlanta</t>
  </si>
  <si>
    <t>Atlanta Technical College (2 year)</t>
  </si>
  <si>
    <t>Point University</t>
  </si>
  <si>
    <t>Atlanta Metropolitan State College</t>
  </si>
  <si>
    <t>Atlanta's John Marshall Law School</t>
  </si>
  <si>
    <t>Augusta Technical College (2 year)</t>
  </si>
  <si>
    <t>Berry College</t>
  </si>
  <si>
    <t>Beulah Heights University</t>
  </si>
  <si>
    <t>Brenau University</t>
  </si>
  <si>
    <t>Brewton-Parker College</t>
  </si>
  <si>
    <t>College of Coastal Georgia</t>
  </si>
  <si>
    <t>West Georgia Technical College (2 year)</t>
  </si>
  <si>
    <t>Clayton  State University</t>
  </si>
  <si>
    <t>Columbia Theological Seminary</t>
  </si>
  <si>
    <t>Columbus Technical College (2 year)</t>
  </si>
  <si>
    <t>Columbus State University</t>
  </si>
  <si>
    <t>Georgia Northwestern Technical College (2 year)</t>
  </si>
  <si>
    <t>Covenant College</t>
  </si>
  <si>
    <t>Dalton State College</t>
  </si>
  <si>
    <t>South University-Savannah</t>
  </si>
  <si>
    <t>East Georgia State College</t>
  </si>
  <si>
    <t>Emmanuel College</t>
  </si>
  <si>
    <t>Georgia Highlands College</t>
  </si>
  <si>
    <t>Fort Valley State University (HBCU)</t>
  </si>
  <si>
    <t>Grady Health System Professional Schools (2 year)</t>
  </si>
  <si>
    <t>Georgia Institute of Technology-Main Campus</t>
  </si>
  <si>
    <t>Georgia Southwestern State University</t>
  </si>
  <si>
    <t>Georgia College &amp; State University</t>
  </si>
  <si>
    <t>Georgia Southern University</t>
  </si>
  <si>
    <t>University of Georgia</t>
  </si>
  <si>
    <t>Southern Crescent Technical College (2 year)</t>
  </si>
  <si>
    <t>Gupton Jones College of Funeral Service (2 year)</t>
  </si>
  <si>
    <t>Gwinnett College-Lilburn (2 year)</t>
  </si>
  <si>
    <t>Interdenominational Theological Center (HBCU)</t>
  </si>
  <si>
    <t>LaGrange College</t>
  </si>
  <si>
    <t>Lanier Technical College (2 year)</t>
  </si>
  <si>
    <t>Life University</t>
  </si>
  <si>
    <t>Chattahoochee Technical College (2 year)</t>
  </si>
  <si>
    <t>Herzing University-Atlanta</t>
  </si>
  <si>
    <t>Mercer University</t>
  </si>
  <si>
    <t>North Georgia Technical College (2 year)</t>
  </si>
  <si>
    <t>Oglethorpe University</t>
  </si>
  <si>
    <t>Paine College (HBCU)</t>
  </si>
  <si>
    <t>Piedmont University</t>
  </si>
  <si>
    <t>Miami Ad School-Atlanta (2 year)</t>
  </si>
  <si>
    <t>Reinhardt University</t>
  </si>
  <si>
    <t>Savannah Technical College (2 year)</t>
  </si>
  <si>
    <t>Shorter University</t>
  </si>
  <si>
    <t>South Georgia Technical College (2 year)</t>
  </si>
  <si>
    <t>The Creative Circus (2 year)</t>
  </si>
  <si>
    <t>Thomas University</t>
  </si>
  <si>
    <t>Toccoa Falls College</t>
  </si>
  <si>
    <t>Truett McConnell University</t>
  </si>
  <si>
    <t>Wiregrass Georgia Technical College (2 year)</t>
  </si>
  <si>
    <t>Wesleyan College</t>
  </si>
  <si>
    <t>University of West Georgia</t>
  </si>
  <si>
    <t>Young Harris College</t>
  </si>
  <si>
    <t>Chaminade University of Honolulu</t>
  </si>
  <si>
    <t>University of Hawaii at Hilo</t>
  </si>
  <si>
    <t>University of Hawaii at Manoa</t>
  </si>
  <si>
    <t>Hawaii Pacific University</t>
  </si>
  <si>
    <t>Honolulu Community College (2 year)</t>
  </si>
  <si>
    <t>Kapiolani Community College (2 year)</t>
  </si>
  <si>
    <t>Kauai Community College (2 year)</t>
  </si>
  <si>
    <t>Leeward Community College (2 year)</t>
  </si>
  <si>
    <t>University of Hawaii Maui College</t>
  </si>
  <si>
    <t>University of Hawaii-West Oahu</t>
  </si>
  <si>
    <t>Windward Community College (2 year)</t>
  </si>
  <si>
    <t>Carrington College-Boise (2 year)</t>
  </si>
  <si>
    <t>Boise Bible College</t>
  </si>
  <si>
    <t>Boise State University</t>
  </si>
  <si>
    <t>College of Eastern Idaho (2 year)</t>
  </si>
  <si>
    <t>Idaho State University</t>
  </si>
  <si>
    <t>University of Idaho</t>
  </si>
  <si>
    <t>The College of Idaho</t>
  </si>
  <si>
    <t>Lewis-Clark State College</t>
  </si>
  <si>
    <t>North Idaho College (2 year)</t>
  </si>
  <si>
    <t>Northwest Nazarene University</t>
  </si>
  <si>
    <t>College of Southern Idaho</t>
  </si>
  <si>
    <t>American Islamic College</t>
  </si>
  <si>
    <t>Bethany Theological Seminary</t>
  </si>
  <si>
    <t>Black Hawk College (2 year)</t>
  </si>
  <si>
    <t>Blessing Rieman College of Nursing and Health Sciences</t>
  </si>
  <si>
    <t>Blessing Hospital School of Radiologic Technology (2 year)</t>
  </si>
  <si>
    <t>Catholic Theological Union at Chicago</t>
  </si>
  <si>
    <t>Midwestern University-Downers Grove</t>
  </si>
  <si>
    <t>Chicago Theological Seminary</t>
  </si>
  <si>
    <t>Danville Area Community College (2 year)</t>
  </si>
  <si>
    <t>Garrett-Evangelical Theological Seminary</t>
  </si>
  <si>
    <t>Graham Hospital School of Nursing (Female only, 2 year)</t>
  </si>
  <si>
    <t>Hebrew Theological College</t>
  </si>
  <si>
    <t>Highland Community College (2 year)</t>
  </si>
  <si>
    <t>Illinois College of Optometry</t>
  </si>
  <si>
    <t>Olney Central College (2 year)</t>
  </si>
  <si>
    <t>Illinois Valley Community College (2 year)</t>
  </si>
  <si>
    <t>Institute for Clinical Social Work</t>
  </si>
  <si>
    <t>John Wood Community College (2 year)</t>
  </si>
  <si>
    <t>Kankakee Community College (2 year)</t>
  </si>
  <si>
    <t>Kaskaskia College (2 year)</t>
  </si>
  <si>
    <t>Lake Forest Graduate School of Management</t>
  </si>
  <si>
    <t>Lakeview College of Nursing</t>
  </si>
  <si>
    <t>Lewis and Clark Community College (2 year)</t>
  </si>
  <si>
    <t>Lincoln Christian University</t>
  </si>
  <si>
    <t>Lutheran School of Theology at Chicago</t>
  </si>
  <si>
    <t>Trinity College of Nursing &amp; Health Sciences</t>
  </si>
  <si>
    <t>McCormick Theological Seminary</t>
  </si>
  <si>
    <t>Meadville Theological School of Lombard College</t>
  </si>
  <si>
    <t>Morrison Institute of Technology (2 year)</t>
  </si>
  <si>
    <t>National University of Health Sciences</t>
  </si>
  <si>
    <t>Northern Baptist Theological Seminary</t>
  </si>
  <si>
    <t>Principia College</t>
  </si>
  <si>
    <t>Rend Lake College (2 year)</t>
  </si>
  <si>
    <t>Richland Community College (2 year)</t>
  </si>
  <si>
    <t>Saint Francis Medical Center College of Nursing</t>
  </si>
  <si>
    <t>St. John's College-Department of Nursing</t>
  </si>
  <si>
    <t>Sauk Valley Community College (2 year)</t>
  </si>
  <si>
    <t>Shawnee Community College (2 year)</t>
  </si>
  <si>
    <t>University of Saint Mary of the Lake</t>
  </si>
  <si>
    <t>Southeastern Illinois College (2 year)</t>
  </si>
  <si>
    <t>Spertus College</t>
  </si>
  <si>
    <t>Saint Anthony College of Nursing</t>
  </si>
  <si>
    <t>Telshe Yeshiva-Chicago (Male only)</t>
  </si>
  <si>
    <t>Wheaton College</t>
  </si>
  <si>
    <t>Ancilla College (2 year)</t>
  </si>
  <si>
    <t>Anderson University</t>
  </si>
  <si>
    <t>Bethel University</t>
  </si>
  <si>
    <t>Christian Theological Seminary</t>
  </si>
  <si>
    <t>College of Court Reporting Inc (Female only, 2 year)</t>
  </si>
  <si>
    <t>Concordia Theological Seminary</t>
  </si>
  <si>
    <t>Earlham College</t>
  </si>
  <si>
    <t>University of Evansville</t>
  </si>
  <si>
    <t>Franklin College</t>
  </si>
  <si>
    <t>Hanover College</t>
  </si>
  <si>
    <t>Huntington University</t>
  </si>
  <si>
    <t>University of Indianapolis</t>
  </si>
  <si>
    <t>University of Southern Indiana</t>
  </si>
  <si>
    <t>Indiana University-South Bend</t>
  </si>
  <si>
    <t>Indiana University-Southeast</t>
  </si>
  <si>
    <t>Indiana University-East</t>
  </si>
  <si>
    <t>International Business College-Indianapolis (2 year)</t>
  </si>
  <si>
    <t>Lincoln College of Technology-Indianapolis (2 year)</t>
  </si>
  <si>
    <t>Martin University</t>
  </si>
  <si>
    <t>Anabaptist Mennonite Biblical Seminary</t>
  </si>
  <si>
    <t>Mid-America College of Funeral Service</t>
  </si>
  <si>
    <t>West Michigan College of Barbering and Beauty (2 year)</t>
  </si>
  <si>
    <t>Rose-Hulman Institute of Technology</t>
  </si>
  <si>
    <t>University of Saint Francis-Fort Wayne</t>
  </si>
  <si>
    <t>Saint Mary-of-the-Woods College</t>
  </si>
  <si>
    <t>Saint Meinrad School of Theology</t>
  </si>
  <si>
    <t>Saint Elizabeth School of Nursing (2 year)</t>
  </si>
  <si>
    <t>Trine University</t>
  </si>
  <si>
    <t>Vincennes University</t>
  </si>
  <si>
    <t>Allen College</t>
  </si>
  <si>
    <t>Briar Cliff University</t>
  </si>
  <si>
    <t>Buena Vista University</t>
  </si>
  <si>
    <t>Capri College-Dubuque (Female only, 2 year)</t>
  </si>
  <si>
    <t>Capri College-Cedar Rapids (Female only, 2 year)</t>
  </si>
  <si>
    <t>Central College</t>
  </si>
  <si>
    <t>Clarke University</t>
  </si>
  <si>
    <t>Des Moines Area Community College (2 year)</t>
  </si>
  <si>
    <t>Divine Word College</t>
  </si>
  <si>
    <t>Dordt University</t>
  </si>
  <si>
    <t>Ellsworth Community College (2 year)</t>
  </si>
  <si>
    <t>Emmaus Bible College</t>
  </si>
  <si>
    <t>Eastern Iowa Community College District (2 year)</t>
  </si>
  <si>
    <t>Faith Baptist Bible College and Theological Seminary</t>
  </si>
  <si>
    <t>Grand View University</t>
  </si>
  <si>
    <t>Orion Technical College</t>
  </si>
  <si>
    <t>American Hair Academy (Female only, 2 year)</t>
  </si>
  <si>
    <t>Iowa Central Community College (2 year)</t>
  </si>
  <si>
    <t>Iowa Lakes Community College (2 year)</t>
  </si>
  <si>
    <t>UnityPoint Health-Des Moines School of Radiologic Technology (2 year)</t>
  </si>
  <si>
    <t>Iowa School of Beauty-Des Moines (Female only, 2 year)</t>
  </si>
  <si>
    <t>Iowa Western Community College (2 year)</t>
  </si>
  <si>
    <t>La James International College-Cedar Falls (2 year)</t>
  </si>
  <si>
    <t>La James International College-Johnston (Female only, 2 year)</t>
  </si>
  <si>
    <t>La James College of Hairstyling and Cosmetology (Female only, 2 year)</t>
  </si>
  <si>
    <t>La James International College-Ft Dodge (Female only, 2 year)</t>
  </si>
  <si>
    <t>Maharishi International University</t>
  </si>
  <si>
    <t>Marshalltown Community College (2 year)</t>
  </si>
  <si>
    <t>Mercy College of Health Sciences</t>
  </si>
  <si>
    <t>Mount Mercy University</t>
  </si>
  <si>
    <t>North Iowa Area Community College (2 year)</t>
  </si>
  <si>
    <t>Northwest Iowa Community College (2 year)</t>
  </si>
  <si>
    <t>Des Moines University-Osteopathic Medical Center</t>
  </si>
  <si>
    <t>Iowa School of Beauty-Ottumwa (Female only, 2 year)</t>
  </si>
  <si>
    <t>PCI Academy-Ames (Female only, 2 year)</t>
  </si>
  <si>
    <t>St Luke's College</t>
  </si>
  <si>
    <t>La James International College-Davenport (2 year)</t>
  </si>
  <si>
    <t>La James International College-Iowa City (2 year)</t>
  </si>
  <si>
    <t>Simpson College</t>
  </si>
  <si>
    <t>Southwestern Community College (2 year)</t>
  </si>
  <si>
    <t>Capri College-Davenport (Female only, 2 year)</t>
  </si>
  <si>
    <t>Iowa School of Beauty-Sioux City (Female only, 2 year)</t>
  </si>
  <si>
    <t>E Q School of Hair Design (2 year)</t>
  </si>
  <si>
    <t>Waldorf University</t>
  </si>
  <si>
    <t>Wartburg College</t>
  </si>
  <si>
    <t>Wartburg Theological Seminary</t>
  </si>
  <si>
    <t>The Salon Professional Academy-Cedar Falls (2 year)</t>
  </si>
  <si>
    <t>Western Iowa Tech Community College (2 year)</t>
  </si>
  <si>
    <t>Allen County Community College (2 year)</t>
  </si>
  <si>
    <t>Baker University</t>
  </si>
  <si>
    <t>Benedictine College</t>
  </si>
  <si>
    <t>Bethany College</t>
  </si>
  <si>
    <t>Bethel College-North Newton</t>
  </si>
  <si>
    <t>Butler Community College (2 year)</t>
  </si>
  <si>
    <t>Central Christian College of Kansas</t>
  </si>
  <si>
    <t>Coffeyville Community College (2 year)</t>
  </si>
  <si>
    <t>Colby Community College (2 year)</t>
  </si>
  <si>
    <t>Cowley County Community College (2 year)</t>
  </si>
  <si>
    <t>Dodge City Community College (2 year)</t>
  </si>
  <si>
    <t>Donnelly College</t>
  </si>
  <si>
    <t>Emporia State University</t>
  </si>
  <si>
    <t>Flint Hills Technical College (2 year)</t>
  </si>
  <si>
    <t>Fort Hays State University</t>
  </si>
  <si>
    <t>Barclay College</t>
  </si>
  <si>
    <t>Friends University</t>
  </si>
  <si>
    <t>Garden City Community College (2 year)</t>
  </si>
  <si>
    <t>Haskell Indian Nations University</t>
  </si>
  <si>
    <t>Hesston College</t>
  </si>
  <si>
    <t>Hutchinson Community College (2 year)</t>
  </si>
  <si>
    <t>Johnson County Community College (2 year)</t>
  </si>
  <si>
    <t>Concorde Career College-Kansas City</t>
  </si>
  <si>
    <t>Kansas City Kansas Community College (2 year)</t>
  </si>
  <si>
    <t>Kansas Christian College</t>
  </si>
  <si>
    <t>Newman University</t>
  </si>
  <si>
    <t>Kansas State University</t>
  </si>
  <si>
    <t>Kansas Wesleyan University</t>
  </si>
  <si>
    <t>Labette Community College (2 year)</t>
  </si>
  <si>
    <t>Manhattan Area Technical College (2 year)</t>
  </si>
  <si>
    <t>Manhattan Christian College</t>
  </si>
  <si>
    <t>McPherson College</t>
  </si>
  <si>
    <t>MidAmerica Nazarene University</t>
  </si>
  <si>
    <t>Neosho County Community College (2 year)</t>
  </si>
  <si>
    <t>North Central Kansas Technical College (2 year)</t>
  </si>
  <si>
    <t>Northwest Kansas Technical College (2 year)</t>
  </si>
  <si>
    <t>Ottawa University-Ottawa</t>
  </si>
  <si>
    <t>Ottawa University-Kansas City</t>
  </si>
  <si>
    <t>Pittsburg State University</t>
  </si>
  <si>
    <t>Pratt Community College (2 year)</t>
  </si>
  <si>
    <t>University of Saint Mary</t>
  </si>
  <si>
    <t>Salina Area Technical College (2 year)</t>
  </si>
  <si>
    <t>Seward County Community College (2 year)</t>
  </si>
  <si>
    <t>Southwestern College</t>
  </si>
  <si>
    <t>Sterling College</t>
  </si>
  <si>
    <t>Tabor College</t>
  </si>
  <si>
    <t>Washburn University</t>
  </si>
  <si>
    <t>Wichita State University-Campus of Applied Sciences and Technology (2 year)</t>
  </si>
  <si>
    <t>Wichita State University</t>
  </si>
  <si>
    <t>Wichita Technical Institute (2 year)</t>
  </si>
  <si>
    <t>Alice Lloyd College</t>
  </si>
  <si>
    <t>Asbury University</t>
  </si>
  <si>
    <t>Asbury Theological Seminary</t>
  </si>
  <si>
    <t>Ashland Community and Technical College (2 year)</t>
  </si>
  <si>
    <t>Bellarmine University</t>
  </si>
  <si>
    <t>Southcentral Kentucky Community and Technical College (2 year)</t>
  </si>
  <si>
    <t>Brescia University</t>
  </si>
  <si>
    <t>Campbellsville University</t>
  </si>
  <si>
    <t>Bluegrass Community and Technical College (2 year)</t>
  </si>
  <si>
    <t>Centre College</t>
  </si>
  <si>
    <t>Clear Creek Baptist Bible College</t>
  </si>
  <si>
    <t>Galen College of Nursing-Louisville</t>
  </si>
  <si>
    <t>University of the Cumberlands</t>
  </si>
  <si>
    <t>Eastern Kentucky University</t>
  </si>
  <si>
    <t>Elizabethtown Community and Technical College (2 year)</t>
  </si>
  <si>
    <t>Frontier Nursing University</t>
  </si>
  <si>
    <t>Georgetown College</t>
  </si>
  <si>
    <t>Hazard Community and Technical College (2 year)</t>
  </si>
  <si>
    <t>Henderson Community College (2 year)</t>
  </si>
  <si>
    <t>Hopkinsville Community College (2 year)</t>
  </si>
  <si>
    <t>American National University-Pikeville</t>
  </si>
  <si>
    <t>Kentucky Mountain Bible College</t>
  </si>
  <si>
    <t>Kentucky Wesleyan College</t>
  </si>
  <si>
    <t>Lexington Theological Seminary</t>
  </si>
  <si>
    <t>Louisville Presbyterian Theological Seminary</t>
  </si>
  <si>
    <t>Madisonville Community College (2 year)</t>
  </si>
  <si>
    <t>Maysville Community and Technical College (2 year)</t>
  </si>
  <si>
    <t>Midway University</t>
  </si>
  <si>
    <t>Morehead State University</t>
  </si>
  <si>
    <t>Murray State University</t>
  </si>
  <si>
    <t>Gateway Community and Technical College (2 year)</t>
  </si>
  <si>
    <t>West Kentucky Community and Technical College (2 year)</t>
  </si>
  <si>
    <t>University of Pikeville</t>
  </si>
  <si>
    <t>Big Sandy Community and Technical College (2 year)</t>
  </si>
  <si>
    <t>Somerset Community College (2 year)</t>
  </si>
  <si>
    <t>Southeast Kentucky Community &amp; Technical College (2 year)</t>
  </si>
  <si>
    <t>The Southern Baptist Theological Seminary</t>
  </si>
  <si>
    <t>Spalding University</t>
  </si>
  <si>
    <t>Sullivan University</t>
  </si>
  <si>
    <t>Thomas More University</t>
  </si>
  <si>
    <t>Transylvania University</t>
  </si>
  <si>
    <t>Western Kentucky University</t>
  </si>
  <si>
    <t>Central Louisiana Technical Community College (2 year)</t>
  </si>
  <si>
    <t>Baton Rouge General Medical Center School of Nursing &amp; School of Radiologic Technology (2 year)</t>
  </si>
  <si>
    <t>Baton Rouge School of Computers (2 year)</t>
  </si>
  <si>
    <t>Bossier Parish Community College (2 year)</t>
  </si>
  <si>
    <t>Centenary College of Louisiana</t>
  </si>
  <si>
    <t>Delgado Community College (2 year)</t>
  </si>
  <si>
    <t>Nunez Community College (2 year)</t>
  </si>
  <si>
    <t>ITI Technical College (2 year)</t>
  </si>
  <si>
    <t>Louisiana State University Health Sciences Center-New Orleans</t>
  </si>
  <si>
    <t>Louisiana State University-Alexandria</t>
  </si>
  <si>
    <t>Louisiana State University-Eunice (2 year)</t>
  </si>
  <si>
    <t>Louisiana State University-Shreveport</t>
  </si>
  <si>
    <t>Louisiana College</t>
  </si>
  <si>
    <t>Louisiana Tech University</t>
  </si>
  <si>
    <t>McNeese State University</t>
  </si>
  <si>
    <t>University of New Orleans</t>
  </si>
  <si>
    <t>New Orleans Baptist Theological Seminary</t>
  </si>
  <si>
    <t>Nicholls State University</t>
  </si>
  <si>
    <t>University of Louisiana at Monroe</t>
  </si>
  <si>
    <t>Northwest Louisiana Technical Community College (2 year)</t>
  </si>
  <si>
    <t>Northwestern State University of Louisiana</t>
  </si>
  <si>
    <t>University of Holy Cross</t>
  </si>
  <si>
    <t>Franciscan Missionaries of Our Lady University</t>
  </si>
  <si>
    <t>Saint Joseph Seminary College (Male only)</t>
  </si>
  <si>
    <t>Fletcher Technical Community College (2 year)</t>
  </si>
  <si>
    <t>Remington College-Lafayette Campus (2 year)</t>
  </si>
  <si>
    <t>Southern University at Shreveport (HBCU, 2 year)</t>
  </si>
  <si>
    <t>University of Louisiana at Lafayette</t>
  </si>
  <si>
    <t>Tulane University of Louisiana</t>
  </si>
  <si>
    <t>College of the Atlantic</t>
  </si>
  <si>
    <t>Bates College</t>
  </si>
  <si>
    <t>Beal University</t>
  </si>
  <si>
    <t>Maine College of Health Professions</t>
  </si>
  <si>
    <t>Central Maine Community College (2 year)</t>
  </si>
  <si>
    <t>Colby College</t>
  </si>
  <si>
    <t>Eastern Maine Community College (2 year)</t>
  </si>
  <si>
    <t>Kennebec Valley Community College (2 year)</t>
  </si>
  <si>
    <t>The Landing School (2 year)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</si>
  <si>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</si>
  <si>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</si>
  <si>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</si>
  <si>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</si>
  <si>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</si>
  <si>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</si>
  <si>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</si>
  <si>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University of New England</t>
  </si>
  <si>
    <t>Northern Maine Community College (2 year)</t>
  </si>
  <si>
    <t>Maine College of Art &amp; Design</t>
  </si>
  <si>
    <t>Saint Joseph's College of Maine</t>
  </si>
  <si>
    <t>University of Southern Maine</t>
  </si>
  <si>
    <t>Thomas College</t>
  </si>
  <si>
    <t>Unity College</t>
  </si>
  <si>
    <t>Washington County Community College (2 year)</t>
  </si>
  <si>
    <t>Allegany College of Maryland (2 year)</t>
  </si>
  <si>
    <t>Anne Arundel Community College (2 year)</t>
  </si>
  <si>
    <t>Baltimore City Community College (2 year)</t>
  </si>
  <si>
    <t>University of Baltimore</t>
  </si>
  <si>
    <t>Bowie State University (HBCU)</t>
  </si>
  <si>
    <t>Capitol Technology University</t>
  </si>
  <si>
    <t>Cecil College (2 year)</t>
  </si>
  <si>
    <t>College of Southern Maryland (2 year)</t>
  </si>
  <si>
    <t>Chesapeake College (2 year)</t>
  </si>
  <si>
    <t>Washington Adventist University</t>
  </si>
  <si>
    <t>Frederick Community College (2 year)</t>
  </si>
  <si>
    <t>Frostburg State University</t>
  </si>
  <si>
    <t>Garrett College (2 year)</t>
  </si>
  <si>
    <t>Goucher College</t>
  </si>
  <si>
    <t>Hagerstown Community College (2 year)</t>
  </si>
  <si>
    <t>Harford Community College (2 year)</t>
  </si>
  <si>
    <t>Hood College</t>
  </si>
  <si>
    <t>Howard Community College (2 year)</t>
  </si>
  <si>
    <t>Lincoln College of Technology-Columbia (2 year)</t>
  </si>
  <si>
    <t>Loyola University Maryland</t>
  </si>
  <si>
    <t>University of Maryland-Baltimore County</t>
  </si>
  <si>
    <t>University of Maryland-College Park</t>
  </si>
  <si>
    <t>University of Maryland Eastern Shore (HBCU)</t>
  </si>
  <si>
    <t>Montgomery College (2 year)</t>
  </si>
  <si>
    <t>Ner Israel Rabbinical College (Male only)</t>
  </si>
  <si>
    <t>Notre Dame of Maryland University</t>
  </si>
  <si>
    <t>Prince George's Community College (2 year)</t>
  </si>
  <si>
    <t>Salisbury University</t>
  </si>
  <si>
    <t>St. Mary's College of Maryland</t>
  </si>
  <si>
    <t>St. John's College</t>
  </si>
  <si>
    <t>Towson University</t>
  </si>
  <si>
    <t>Maryland University of Integrative Health</t>
  </si>
  <si>
    <t>Stevenson University</t>
  </si>
  <si>
    <t>Washington College</t>
  </si>
  <si>
    <t>McDaniel College</t>
  </si>
  <si>
    <t>Wor-Wic Community College (2 year)</t>
  </si>
  <si>
    <t>Hult International Business School</t>
  </si>
  <si>
    <t>American International College</t>
  </si>
  <si>
    <t>Amherst College</t>
  </si>
  <si>
    <t>Anna Maria College</t>
  </si>
  <si>
    <t>Assumption University</t>
  </si>
  <si>
    <t>Babson College</t>
  </si>
  <si>
    <t>Boston Baptist College</t>
  </si>
  <si>
    <t>Bay Path University (Female only)</t>
  </si>
  <si>
    <t>Bay State College</t>
  </si>
  <si>
    <t>Becker College</t>
  </si>
  <si>
    <t>Bentley University</t>
  </si>
  <si>
    <t>Berkshire Community College (2 year)</t>
  </si>
  <si>
    <t>Boston Architectural College</t>
  </si>
  <si>
    <t>Boston Graduate School of Psychoanalysis Inc</t>
  </si>
  <si>
    <t>Brandeis University</t>
  </si>
  <si>
    <t>Bridgewater State University</t>
  </si>
  <si>
    <t>Bristol Community College (2 year)</t>
  </si>
  <si>
    <t>Signature Healthcare Brockton Hospital School of Nursing (2 year)</t>
  </si>
  <si>
    <t>Bunker Hill Community College (2 year)</t>
  </si>
  <si>
    <t>Cambridge College</t>
  </si>
  <si>
    <t>Cape Cod Community College (2 year)</t>
  </si>
  <si>
    <t>Laboure College</t>
  </si>
  <si>
    <t>Clark University</t>
  </si>
  <si>
    <t>Conway School of Landscape Design</t>
  </si>
  <si>
    <t>Dean College</t>
  </si>
  <si>
    <t>National Aviation Academy of New England (2 year)</t>
  </si>
  <si>
    <t>Eastern Nazarene College</t>
  </si>
  <si>
    <t>Emerson College</t>
  </si>
  <si>
    <t>Endicott College</t>
  </si>
  <si>
    <t>Fisher College</t>
  </si>
  <si>
    <t>Fitchburg State University</t>
  </si>
  <si>
    <t>Framingham State University</t>
  </si>
  <si>
    <t>Benjamin Franklin Institute of Technology</t>
  </si>
  <si>
    <t>Gordon-Conwell Theological Seminary</t>
  </si>
  <si>
    <t>Greenfield Community College (2 year)</t>
  </si>
  <si>
    <t>Hampshire College</t>
  </si>
  <si>
    <t>Hebrew College</t>
  </si>
  <si>
    <t>Hellenic College-Holy Cross Greek Orthodox School of Theology</t>
  </si>
  <si>
    <t>Holyoke Community College (2 year)</t>
  </si>
  <si>
    <t>Lasell University</t>
  </si>
  <si>
    <t>Lawrence Memorial Hospital School of Nursing (2 year)</t>
  </si>
  <si>
    <t>Lesley University</t>
  </si>
  <si>
    <t>Longy School of Music of Bard College</t>
  </si>
  <si>
    <t>University of Massachusetts-Lowell</t>
  </si>
  <si>
    <t>University of Massachusetts-Amherst</t>
  </si>
  <si>
    <t>University of Massachusetts-Boston</t>
  </si>
  <si>
    <t>Massachusetts Bay Community College (2 year)</t>
  </si>
  <si>
    <t>MCPHS University</t>
  </si>
  <si>
    <t>Massachusetts College of Art and Design</t>
  </si>
  <si>
    <t>Massachusetts Institute of Technology</t>
  </si>
  <si>
    <t>Massachusetts Maritime Academy</t>
  </si>
  <si>
    <t>University of Massachusetts Medical School Worcester</t>
  </si>
  <si>
    <t>William James College</t>
  </si>
  <si>
    <t>Massasoit Community College (2 year)</t>
  </si>
  <si>
    <t>Merrimack College</t>
  </si>
  <si>
    <t>MGH Institute of Health Professions</t>
  </si>
  <si>
    <t>Montserrat College of Art</t>
  </si>
  <si>
    <t>Mount Holyoke College (Female only)</t>
  </si>
  <si>
    <t>Mount Wachusett Community College (2 year)</t>
  </si>
  <si>
    <t>The New England Conservatory of Music</t>
  </si>
  <si>
    <t>New England College of Optometry</t>
  </si>
  <si>
    <t>New England Law-Boston</t>
  </si>
  <si>
    <t>Nichols College</t>
  </si>
  <si>
    <t>Massachusetts College of Liberal Arts</t>
  </si>
  <si>
    <t>North Bennet Street School (2 year)</t>
  </si>
  <si>
    <t>North Shore Community College (2 year)</t>
  </si>
  <si>
    <t>Northeastern University</t>
  </si>
  <si>
    <t>Northern Essex Community College (2 year)</t>
  </si>
  <si>
    <t>College of Our Lady of the Elms</t>
  </si>
  <si>
    <t>Pine Manor College</t>
  </si>
  <si>
    <t>Pope St John XXIII National Seminary (Male only)</t>
  </si>
  <si>
    <t>Quincy College (2 year)</t>
  </si>
  <si>
    <t>Regis College</t>
  </si>
  <si>
    <t>Roxbury Community College (2 year)</t>
  </si>
  <si>
    <t>Saint John's Seminary</t>
  </si>
  <si>
    <t>Salem State University</t>
  </si>
  <si>
    <t>Simmons University</t>
  </si>
  <si>
    <t>Bard College at Simon's Rock</t>
  </si>
  <si>
    <t>Smith College (Female only)</t>
  </si>
  <si>
    <t>Springfield College</t>
  </si>
  <si>
    <t>Springfield Technical Community College (2 year)</t>
  </si>
  <si>
    <t>University of Massachusetts-Dartmouth</t>
  </si>
  <si>
    <t>Stonehill College</t>
  </si>
  <si>
    <t>Suffolk University</t>
  </si>
  <si>
    <t>Wentworth Institute of Technology</t>
  </si>
  <si>
    <t>Western New England University</t>
  </si>
  <si>
    <t>Westfield State University</t>
  </si>
  <si>
    <t>Wheaton College (Massachusetts)</t>
  </si>
  <si>
    <t>Williams College</t>
  </si>
  <si>
    <t>Worcester Polytechnic Institute</t>
  </si>
  <si>
    <t>Worcester State University</t>
  </si>
  <si>
    <t>Adrian College</t>
  </si>
  <si>
    <t>Alma College</t>
  </si>
  <si>
    <t>Alpena Community College</t>
  </si>
  <si>
    <t>Andrews University</t>
  </si>
  <si>
    <t>Aquinas College</t>
  </si>
  <si>
    <t>Bay de Noc Community College (2 year)</t>
  </si>
  <si>
    <t>Calvin University</t>
  </si>
  <si>
    <t>Calvin Theological Seminary</t>
  </si>
  <si>
    <t>Carnegie Institute (2 year)</t>
  </si>
  <si>
    <t>Michigan School of Psychology</t>
  </si>
  <si>
    <t>Mott Community College (2 year)</t>
  </si>
  <si>
    <t>Cleary University</t>
  </si>
  <si>
    <t>Concordia University Ann Arbor</t>
  </si>
  <si>
    <t>Cranbrook Academy of Art</t>
  </si>
  <si>
    <t>College for Creative Studies</t>
  </si>
  <si>
    <t>Delta College (2 year)</t>
  </si>
  <si>
    <t>MIAT College of Technology (2 year)</t>
  </si>
  <si>
    <t>University of Detroit Mercy</t>
  </si>
  <si>
    <t>Dorsey College (2 year)</t>
  </si>
  <si>
    <t>Flint Institute of Barbering Inc (2 year)</t>
  </si>
  <si>
    <t>Glen Oaks Community College (2 year)</t>
  </si>
  <si>
    <t>Kettering University</t>
  </si>
  <si>
    <t>Gogebic Community College (2 year)</t>
  </si>
  <si>
    <t>Grace Christian University</t>
  </si>
  <si>
    <t>Great Lakes Christian College</t>
  </si>
  <si>
    <t>Hillsdale College</t>
  </si>
  <si>
    <t>Kellogg Community College (2 year)</t>
  </si>
  <si>
    <t>Kirtland Community College (2 year)</t>
  </si>
  <si>
    <t>Lake Michigan College (2 year)</t>
  </si>
  <si>
    <t>Lake Superior State University</t>
  </si>
  <si>
    <t>Lawrence Technological University</t>
  </si>
  <si>
    <t>Madonna University</t>
  </si>
  <si>
    <t>Rochester University</t>
  </si>
  <si>
    <t>The Michigan Barber School (2 year)</t>
  </si>
  <si>
    <t>University of Michigan-Dearborn</t>
  </si>
  <si>
    <t>University of Michigan-Flint</t>
  </si>
  <si>
    <t>Monroe County Community College (2 year)</t>
  </si>
  <si>
    <t>Montcalm Community College (2 year)</t>
  </si>
  <si>
    <t>Muskegon Community College (2 year)</t>
  </si>
  <si>
    <t>North Central Michigan College (2 year)</t>
  </si>
  <si>
    <t>Northwestern Michigan College</t>
  </si>
  <si>
    <t>Northwood University</t>
  </si>
  <si>
    <t>Oakland University</t>
  </si>
  <si>
    <t>Olivet College</t>
  </si>
  <si>
    <t>Kuyper College</t>
  </si>
  <si>
    <t>Sacred Heart Major Seminary</t>
  </si>
  <si>
    <t>Saginaw Valley State University</t>
  </si>
  <si>
    <t>Schoolcraft College</t>
  </si>
  <si>
    <t>Siena Heights University</t>
  </si>
  <si>
    <t>St Clair County Community College (2 year)</t>
  </si>
  <si>
    <t>Southwestern Michigan College (2 year)</t>
  </si>
  <si>
    <t>Spring Arbor University</t>
  </si>
  <si>
    <t>Finlandia University</t>
  </si>
  <si>
    <t>Western Michigan University-Thomas M. Cooley Law School</t>
  </si>
  <si>
    <t>Walsh College</t>
  </si>
  <si>
    <t>Wayne County Community College District (2 year)</t>
  </si>
  <si>
    <t>West Shore Community College (2 year)</t>
  </si>
  <si>
    <t>Western Theological Seminary</t>
  </si>
  <si>
    <t>Academy College</t>
  </si>
  <si>
    <t>Alexandria Technical &amp; Community College (2 year)</t>
  </si>
  <si>
    <t>Anoka Technical College (2 year)</t>
  </si>
  <si>
    <t>Anoka-Ramsey Community College (2 year)</t>
  </si>
  <si>
    <t>Augsburg University</t>
  </si>
  <si>
    <t>Riverland Community College (2 year)</t>
  </si>
  <si>
    <t>Northwest Technical College (2 year)</t>
  </si>
  <si>
    <t>Bemidji State University</t>
  </si>
  <si>
    <t>Bethany Lutheran College</t>
  </si>
  <si>
    <t>Central Lakes College-Brainerd (2 year)</t>
  </si>
  <si>
    <t>Concordia College at Moorhead</t>
  </si>
  <si>
    <t>Concordia University-Saint Paul</t>
  </si>
  <si>
    <t>Dakota County Technical College (2 year)</t>
  </si>
  <si>
    <t>Martin Luther College</t>
  </si>
  <si>
    <t>Lake Superior College (2 year)</t>
  </si>
  <si>
    <t>Minnesota State Community and Technical College (2 year)</t>
  </si>
  <si>
    <t>Gustavus Adolphus College</t>
  </si>
  <si>
    <t>Hamline University</t>
  </si>
  <si>
    <t>Hazelden Betty Ford Graduate School of Addiction Studies</t>
  </si>
  <si>
    <t>Hennepin Technical College (2 year)</t>
  </si>
  <si>
    <t>Hibbing Community College (2 year)</t>
  </si>
  <si>
    <t>Inver Hills Community College (2 year)</t>
  </si>
  <si>
    <t>Itasca Community College (2 year)</t>
  </si>
  <si>
    <t>Luther Seminary</t>
  </si>
  <si>
    <t>South Central College (2 year)</t>
  </si>
  <si>
    <t>Minnesota State University-Mankato</t>
  </si>
  <si>
    <t>Mayo Clinic College of Medicine and Science</t>
  </si>
  <si>
    <t>Mesabi Range College (2 year)</t>
  </si>
  <si>
    <t>Metropolitan State University</t>
  </si>
  <si>
    <t>University of Minnesota-Twin Cities</t>
  </si>
  <si>
    <t>University of Minnesota-Crookston</t>
  </si>
  <si>
    <t>Minneapolis College of Art and Design</t>
  </si>
  <si>
    <t>Minneapolis Community and Technical College (2 year)</t>
  </si>
  <si>
    <t>Herzing University-Minneapolis</t>
  </si>
  <si>
    <t>University of Minnesota-Duluth</t>
  </si>
  <si>
    <t>University of Minnesota-Morris</t>
  </si>
  <si>
    <t>Minnesota State University Moorhead</t>
  </si>
  <si>
    <t>North Hennepin Community College (2 year)</t>
  </si>
  <si>
    <t>Normandale Community College (2 year)</t>
  </si>
  <si>
    <t>Northland Community and Technical College (2 year)</t>
  </si>
  <si>
    <t>University of Northwestern-St Paul</t>
  </si>
  <si>
    <t>Northwestern Health Sciences University</t>
  </si>
  <si>
    <t>Oak Hills Christian College</t>
  </si>
  <si>
    <t>Pine Technical &amp; Community College (2 year)</t>
  </si>
  <si>
    <t>Rainy River Community College (2 year)</t>
  </si>
  <si>
    <t>Rochester Community and Technical College (2 year)</t>
  </si>
  <si>
    <t>College of Saint Benedict (Female only)</t>
  </si>
  <si>
    <t>St Cloud Technical and Community College (2 year)</t>
  </si>
  <si>
    <t>Saint Johns University (Male only)</t>
  </si>
  <si>
    <t>Crown College</t>
  </si>
  <si>
    <t>The College of Saint Scholastica</t>
  </si>
  <si>
    <t>University of St Thomas</t>
  </si>
  <si>
    <t>St Catherine University</t>
  </si>
  <si>
    <t>Saint Paul College (2 year)</t>
  </si>
  <si>
    <t>Southwest Minnesota State University</t>
  </si>
  <si>
    <t>United Theological Seminary of the Twin Cities</t>
  </si>
  <si>
    <t>Vermilion Community College (2 year)</t>
  </si>
  <si>
    <t>Dunwoody College of Technology</t>
  </si>
  <si>
    <t>Ridgewater College (2 year)</t>
  </si>
  <si>
    <t>Minnesota State College Southeast (2 year)</t>
  </si>
  <si>
    <t>Winona State University</t>
  </si>
  <si>
    <t>Mitchell Hamline School of Law</t>
  </si>
  <si>
    <t>Century College (2 year)</t>
  </si>
  <si>
    <t>Belhaven University</t>
  </si>
  <si>
    <t>Blue Mountain College</t>
  </si>
  <si>
    <t>Coahoma Community College (HBCU, 2 year)</t>
  </si>
  <si>
    <t>Copiah-Lincoln Community College (2 year)</t>
  </si>
  <si>
    <t>East Central Community College (2 year)</t>
  </si>
  <si>
    <t>East Mississippi Community College (2 year)</t>
  </si>
  <si>
    <t>Hinds Community College (2 year)</t>
  </si>
  <si>
    <t>Holmes Community College (2 year)</t>
  </si>
  <si>
    <t>Itawamba Community College (2 year)</t>
  </si>
  <si>
    <t>Jones County Junior College (2 year)</t>
  </si>
  <si>
    <t>Meridian Community College (2 year)</t>
  </si>
  <si>
    <t>Millsaps College</t>
  </si>
  <si>
    <t>Mississippi Delta Community College (2 year)</t>
  </si>
  <si>
    <t>Mississippi University for Women</t>
  </si>
  <si>
    <t>Mississippi College</t>
  </si>
  <si>
    <t>Northeast Mississippi Community College (2 year)</t>
  </si>
  <si>
    <t>Northwest Mississippi Community College (2 year)</t>
  </si>
  <si>
    <t>Southeastern Baptist College</t>
  </si>
  <si>
    <t>Southwest Mississippi Community College (2 year)</t>
  </si>
  <si>
    <t>Tougaloo College (HBCU)</t>
  </si>
  <si>
    <t>Wesley Biblical Seminary</t>
  </si>
  <si>
    <t>William Carey University</t>
  </si>
  <si>
    <t>Aquinas Institute of Theology</t>
  </si>
  <si>
    <t>Avila University</t>
  </si>
  <si>
    <t>Baptist Bible College</t>
  </si>
  <si>
    <t>Cox College</t>
  </si>
  <si>
    <t>Calvary University</t>
  </si>
  <si>
    <t>Cape Girardeau Career and Technology Center (2 year)</t>
  </si>
  <si>
    <t>Central Christian College of the Bible</t>
  </si>
  <si>
    <t>Central Methodist University-College of Liberal Arts and Sciences</t>
  </si>
  <si>
    <t>University of Central Missouri</t>
  </si>
  <si>
    <t>Cleveland University-Kansas City</t>
  </si>
  <si>
    <t>Conception Seminary College (Male only)</t>
  </si>
  <si>
    <t>Concordia Seminary</t>
  </si>
  <si>
    <t>Cottey College (Female only)</t>
  </si>
  <si>
    <t>Covenant Theological Seminary</t>
  </si>
  <si>
    <t>Crowder College (2 year)</t>
  </si>
  <si>
    <t>Culver-Stockton College</t>
  </si>
  <si>
    <t>Drury University</t>
  </si>
  <si>
    <t>East Central College (2 year)</t>
  </si>
  <si>
    <t>Eden Theological Seminary</t>
  </si>
  <si>
    <t>Pinnacle Career Institute (2 year)</t>
  </si>
  <si>
    <t>Evangel University</t>
  </si>
  <si>
    <t>Fontbonne University</t>
  </si>
  <si>
    <t>Ozarks Technical Community College (2 year)</t>
  </si>
  <si>
    <t>Hannibal-LaGrange University</t>
  </si>
  <si>
    <t>Jefferson College (2 year)</t>
  </si>
  <si>
    <t>Barnes-Jewish College Goldfarb School of Nursing</t>
  </si>
  <si>
    <t>Kansas City Art Institute</t>
  </si>
  <si>
    <t>Kenrick Glennon Seminary (Male only)</t>
  </si>
  <si>
    <t>A T Still University of Health Sciences</t>
  </si>
  <si>
    <t>State Technical College of Missouri (2 year)</t>
  </si>
  <si>
    <t>Logan University</t>
  </si>
  <si>
    <t>Metropolitan Community College-Kansas City (2 year)</t>
  </si>
  <si>
    <t>Lutheran School of Nursing (Female only, 2 year)</t>
  </si>
  <si>
    <t>Midwest Institute (2 year)</t>
  </si>
  <si>
    <t>Midwestern Baptist Theological Seminary</t>
  </si>
  <si>
    <t>Mineral Area College (2 year)</t>
  </si>
  <si>
    <t>Missouri Baptist University</t>
  </si>
  <si>
    <t>Missouri Southern State University</t>
  </si>
  <si>
    <t>Missouri Valley College</t>
  </si>
  <si>
    <t>Missouri Western State University</t>
  </si>
  <si>
    <t>Missouri University of Science and Technology</t>
  </si>
  <si>
    <t>Moberly Area Community College (2 year)</t>
  </si>
  <si>
    <t>Nazarene Theological Seminary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</si>
  <si>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</si>
  <si>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</si>
  <si>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</si>
  <si>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</si>
  <si>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</si>
  <si>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Ranken Technical College</t>
  </si>
  <si>
    <t>Research College of Nursing</t>
  </si>
  <si>
    <t>Rockhurst University</t>
  </si>
  <si>
    <t>Rolla Technical Institute/Center (2 year)</t>
  </si>
  <si>
    <t>Saint Louis Christian College</t>
  </si>
  <si>
    <t>University of Health Sciences and Pharmacy in St. Louis</t>
  </si>
  <si>
    <t>Saint Louis Community College (2 year)</t>
  </si>
  <si>
    <t>Saint Paul School of Theology</t>
  </si>
  <si>
    <t>Southwest Baptist University</t>
  </si>
  <si>
    <t>Missouri State University-West Plains (2 year)</t>
  </si>
  <si>
    <t>St Louis College of Health Careers-St Louis (Female only, 2 year)</t>
  </si>
  <si>
    <t>Stephens College</t>
  </si>
  <si>
    <t>Missouri State University-Springfield</t>
  </si>
  <si>
    <t>Three Rivers College (2 year)</t>
  </si>
  <si>
    <t>North Central Missouri College (2 year)</t>
  </si>
  <si>
    <t>Kansas City University</t>
  </si>
  <si>
    <t>Webster University</t>
  </si>
  <si>
    <t>Westminster College</t>
  </si>
  <si>
    <t>William Jewell College</t>
  </si>
  <si>
    <t>William Woods University</t>
  </si>
  <si>
    <t>Blackfeet Community College (2 year)</t>
  </si>
  <si>
    <t>Highlands College of Montana Tech (2 year)</t>
  </si>
  <si>
    <t>Carroll College</t>
  </si>
  <si>
    <t>Chief Dull Knife College (2 year)</t>
  </si>
  <si>
    <t>Montana State University Billings</t>
  </si>
  <si>
    <t>Flathead Valley Community College (2 year)</t>
  </si>
  <si>
    <t>Aaniiih Nakoda College</t>
  </si>
  <si>
    <t>Fort Peck Community College (2 year)</t>
  </si>
  <si>
    <t>Great Falls College Montana State University (2 year)</t>
  </si>
  <si>
    <t>University of Providence</t>
  </si>
  <si>
    <t>Helena College University of Montana (2 year)</t>
  </si>
  <si>
    <t>Little Big Horn College (2 year)</t>
  </si>
  <si>
    <t>Miles Community College (2 year)</t>
  </si>
  <si>
    <t>Montana Technological University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</si>
  <si>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</si>
  <si>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</si>
  <si>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</si>
  <si>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</si>
  <si>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</si>
  <si>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</si>
  <si>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Yellowstone Christian College</t>
  </si>
  <si>
    <t>Clarkson College</t>
  </si>
  <si>
    <t>Bryan College of Health Sciences</t>
  </si>
  <si>
    <t>Central Community College (2 year)</t>
  </si>
  <si>
    <t>Chadron State College</t>
  </si>
  <si>
    <t>College of Hair Design-Downtown (2 year)</t>
  </si>
  <si>
    <t>Concordia University-Nebraska</t>
  </si>
  <si>
    <t>Creighton University</t>
  </si>
  <si>
    <t>Doane University</t>
  </si>
  <si>
    <t>Hastings College</t>
  </si>
  <si>
    <t>CHI Health School of Radiologic Technology</t>
  </si>
  <si>
    <t>Joseph's College Cosmetology (Female only, 2 year)</t>
  </si>
  <si>
    <t>University of Nebraska at Kearney</t>
  </si>
  <si>
    <t>Nebraska Methodist College of Nursing &amp; Allied Health</t>
  </si>
  <si>
    <t>Mid-Plains Community College (2 year)</t>
  </si>
  <si>
    <t>Midland University</t>
  </si>
  <si>
    <t>Nebraska Indian Community College (2 year)</t>
  </si>
  <si>
    <t>University of Nebraska Medical Center</t>
  </si>
  <si>
    <t>Nebraska Wesleyan University</t>
  </si>
  <si>
    <t>University of Nebraska-Lincoln</t>
  </si>
  <si>
    <t>Peru State College</t>
  </si>
  <si>
    <t>Summit Christian College</t>
  </si>
  <si>
    <t>College of Saint Mary</t>
  </si>
  <si>
    <t>Southeast Community College Area (2 year)</t>
  </si>
  <si>
    <t>Nebraska College of Technical Agriculture (2 year)</t>
  </si>
  <si>
    <t>Western Nebraska Community College (2 year)</t>
  </si>
  <si>
    <t>York College</t>
  </si>
  <si>
    <t>Career College of Northern Nevada (2 year)</t>
  </si>
  <si>
    <t>Las Vegas College</t>
  </si>
  <si>
    <t>University of Nevada-Reno</t>
  </si>
  <si>
    <t>Great Basin College</t>
  </si>
  <si>
    <t>Sierra Nevada University</t>
  </si>
  <si>
    <t>Truckee Meadows Community College</t>
  </si>
  <si>
    <t>Western Nevada College</t>
  </si>
  <si>
    <t>Colby-Sawyer College</t>
  </si>
  <si>
    <t>Franklin Pierce University</t>
  </si>
  <si>
    <t>University of New Hampshire-Franklin Pierce School of Law</t>
  </si>
  <si>
    <t>Magdalen College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</si>
  <si>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</si>
  <si>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</si>
  <si>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</si>
  <si>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</si>
  <si>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 (2 year)</t>
  </si>
  <si>
    <t>White Mountains Community College (2 year)</t>
  </si>
  <si>
    <t>River Valley Community College (2 year)</t>
  </si>
  <si>
    <t>Lakes Region Community College (2 year)</t>
  </si>
  <si>
    <t>Nashua Community College (2 year)</t>
  </si>
  <si>
    <t>Great Bay Community College (2 year)</t>
  </si>
  <si>
    <t>Rivier University</t>
  </si>
  <si>
    <t>Saint Anselm College</t>
  </si>
  <si>
    <t>St Joseph School of Nursing (2 year)</t>
  </si>
  <si>
    <t>Granite State College</t>
  </si>
  <si>
    <t>Thomas More College of Liberal Arts</t>
  </si>
  <si>
    <t>Eastwick College-Hackensack (Female only, 2 year)</t>
  </si>
  <si>
    <t>Assumption College for Sisters (Female only, 2 year)</t>
  </si>
  <si>
    <t>Atlantic Cape Community College (2 year)</t>
  </si>
  <si>
    <t>Bergen Community College (2 year)</t>
  </si>
  <si>
    <t>Berkeley College-Woodland Park</t>
  </si>
  <si>
    <t>Beth Medrash Govoha (Male only)</t>
  </si>
  <si>
    <t>Bloomfield College</t>
  </si>
  <si>
    <t>Brookdale Community College (2 year)</t>
  </si>
  <si>
    <t>Rowan College at Burlington County (2 year)</t>
  </si>
  <si>
    <t>Caldwell University</t>
  </si>
  <si>
    <t>Camden County College (2 year)</t>
  </si>
  <si>
    <t>Centenary University</t>
  </si>
  <si>
    <t>American Institute-Clifton (2 year)</t>
  </si>
  <si>
    <t>County College of Morris (2 year)</t>
  </si>
  <si>
    <t>Rowan College South Jersey Cumberland Campus (2 year)</t>
  </si>
  <si>
    <t>Drew University</t>
  </si>
  <si>
    <t>Lincoln Technical Institute-South Plainfield (2 year)</t>
  </si>
  <si>
    <t>Essex County College (2 year)</t>
  </si>
  <si>
    <t>Fairleigh Dickinson University-Metropolitan Campus</t>
  </si>
  <si>
    <t>Felician University</t>
  </si>
  <si>
    <t>Fairleigh Dickinson University-Florham Campus</t>
  </si>
  <si>
    <t>Georgian Court University</t>
  </si>
  <si>
    <t>Rowan University</t>
  </si>
  <si>
    <t>Rowan College of South Jersey Gloucester Campus (2 year)</t>
  </si>
  <si>
    <t>Eastwick College-Ramsey</t>
  </si>
  <si>
    <t>Holy Name Medical Center-Sister Claire Tynan School of Nursing (2 year)</t>
  </si>
  <si>
    <t>Hudson County Community College (2 year)</t>
  </si>
  <si>
    <t>New Jersey City University</t>
  </si>
  <si>
    <t>Kean University</t>
  </si>
  <si>
    <t>Mercer County Community College (2 year)</t>
  </si>
  <si>
    <t>Middlesex College (2 year)</t>
  </si>
  <si>
    <t>Monmouth University</t>
  </si>
  <si>
    <t>JFK Muhlenberg Harold B. and Dorothy A. Snyder Schools (2 year)</t>
  </si>
  <si>
    <t>Eastwick College-Nutley (2 year)</t>
  </si>
  <si>
    <t>New Brunswick Theological Seminary</t>
  </si>
  <si>
    <t>New Jersey Institute of Technology</t>
  </si>
  <si>
    <t>Ocean County College (2 year)</t>
  </si>
  <si>
    <t>Passaic County Community College (2 year)</t>
  </si>
  <si>
    <t>Pennco Tech-Blackwood (2 year)</t>
  </si>
  <si>
    <t>Princeton Theological Seminary</t>
  </si>
  <si>
    <t>Rabbinical College of America (Male only)</t>
  </si>
  <si>
    <t>Ramapo College of New Jersey</t>
  </si>
  <si>
    <t>Rider University</t>
  </si>
  <si>
    <t>Rutgers University-Camden</t>
  </si>
  <si>
    <t>Rutgers University-New Brunswick</t>
  </si>
  <si>
    <t>St Francis Medical Center-School of Radiologic Technology (2 year)</t>
  </si>
  <si>
    <t>Saint Francis Medical Center School of Nursing (2 year)</t>
  </si>
  <si>
    <t>Saint Peter's University</t>
  </si>
  <si>
    <t>Salem Community College (2 year)</t>
  </si>
  <si>
    <t>Seton Hall University</t>
  </si>
  <si>
    <t>Saint Elizabeth University</t>
  </si>
  <si>
    <t>Raritan Valley Community College (2 year)</t>
  </si>
  <si>
    <t>Stevens Institute of Technology</t>
  </si>
  <si>
    <t>Stockton University</t>
  </si>
  <si>
    <t>Talmudical Academy-New Jersey (Male only)</t>
  </si>
  <si>
    <t>Aviation Institute of Maintenance-Teterboro (Male only, 2 year)</t>
  </si>
  <si>
    <t>Thomas Edison State University</t>
  </si>
  <si>
    <t>The College of New Jersey</t>
  </si>
  <si>
    <t>Union County College (2 year)</t>
  </si>
  <si>
    <t>William Paterson University of New Jersey</t>
  </si>
  <si>
    <t>Central New Mexico Community College (2 year)</t>
  </si>
  <si>
    <t>Navajo Technical University</t>
  </si>
  <si>
    <t>New Mexico State University-Dona Ana (2 year)</t>
  </si>
  <si>
    <t>Eastern New Mexico University-Main Campus</t>
  </si>
  <si>
    <t>Eastern New Mexico University-Roswell Campus (2 year)</t>
  </si>
  <si>
    <t>Institute of American Indian and Alaska Native Culture and Arts Development</t>
  </si>
  <si>
    <t>New Mexico Highlands University</t>
  </si>
  <si>
    <t>New Mexico Junior College (2 year)</t>
  </si>
  <si>
    <t>New Mexico Military Institute (2 year)</t>
  </si>
  <si>
    <t>University of New Mexico-Gallup Campus (2 year)</t>
  </si>
  <si>
    <t>New Mexico Institute of Mining and Technology</t>
  </si>
  <si>
    <t>University of New Mexico-Los Alamos Campus (2 year)</t>
  </si>
  <si>
    <t>University of New Mexico-Main Campus</t>
  </si>
  <si>
    <t>New Mexico State University-Alamogordo (2 year)</t>
  </si>
  <si>
    <t>Southeast New Mexico College (2 year)</t>
  </si>
  <si>
    <t>New Mexico State University-Grants (2 year)</t>
  </si>
  <si>
    <t>New Mexico State University-Main Campus</t>
  </si>
  <si>
    <t>University of New Mexico-Valencia County Campus (2 year)</t>
  </si>
  <si>
    <t>Northern New Mexico College</t>
  </si>
  <si>
    <t>Santa Fe Community College (2 year)</t>
  </si>
  <si>
    <t>University of the Southwest</t>
  </si>
  <si>
    <t>Southwestern Indian Polytechnic Institute (2 year)</t>
  </si>
  <si>
    <t>University of New Mexico-Taos Campus (2 year)</t>
  </si>
  <si>
    <t>Mesalands Community College (2 year)</t>
  </si>
  <si>
    <t>Western New Mexico University</t>
  </si>
  <si>
    <t>Vaughn College of Aeronautics and Technology</t>
  </si>
  <si>
    <t>Adelphi University</t>
  </si>
  <si>
    <t>SUNY Adirondack (2 year)</t>
  </si>
  <si>
    <t>Bryant &amp; Stratton College-Albany</t>
  </si>
  <si>
    <t>Albany College of Pharmacy and Health Sciences</t>
  </si>
  <si>
    <t>Albany Law School</t>
  </si>
  <si>
    <t>Albany Medical College</t>
  </si>
  <si>
    <t>Alfred University</t>
  </si>
  <si>
    <t>The Ailey School (2 year)</t>
  </si>
  <si>
    <t>American Academy of Dramatic Arts-New York (2 year)</t>
  </si>
  <si>
    <t>American Academy McAllister Institute of Funeral Service (2 year)</t>
  </si>
  <si>
    <t>Joffrey Ballet School (2 year)</t>
  </si>
  <si>
    <t>Arnot Ogden Medical Center (2 year)</t>
  </si>
  <si>
    <t>Associated Beth Rivkah Schools (Female only)</t>
  </si>
  <si>
    <t>Bank Street College of Education</t>
  </si>
  <si>
    <t>Barnard College (Female only)</t>
  </si>
  <si>
    <t>Berkeley College-New York</t>
  </si>
  <si>
    <t>Beth Hamedrash Shaarei Yosher Institute (Male only)</t>
  </si>
  <si>
    <t>Phillips School of Nursing at Mount Sinai Beth Israel</t>
  </si>
  <si>
    <t>Boricua College</t>
  </si>
  <si>
    <t>Brooklyn Law School</t>
  </si>
  <si>
    <t>SUNY Broome Community College (2 year)</t>
  </si>
  <si>
    <t>Bryant &amp; Stratton College-Syracuse North</t>
  </si>
  <si>
    <t>Bryant &amp; Stratton College-Buffalo</t>
  </si>
  <si>
    <t>Bryant &amp; Stratton College-Greece</t>
  </si>
  <si>
    <t>St Paul's School of Nursing-Queens (2 year)</t>
  </si>
  <si>
    <t>Cayuga County Community College (2 year)</t>
  </si>
  <si>
    <t>Cazenovia College</t>
  </si>
  <si>
    <t>Central Yeshiva Tomchei Tmimim Lubavitz (Male only)</t>
  </si>
  <si>
    <t>Christ the King Seminary</t>
  </si>
  <si>
    <t>Circle in the Square Theatre School (2 year)</t>
  </si>
  <si>
    <t>Clarkson University</t>
  </si>
  <si>
    <t>Clinton Community College (2 year)</t>
  </si>
  <si>
    <t>Cochran School of Nursing (2 year)</t>
  </si>
  <si>
    <t>Colgate Rochester Crozer Divinity School</t>
  </si>
  <si>
    <t>Metropolitan College of New York</t>
  </si>
  <si>
    <t>Columbia-Greene Community College (2 year)</t>
  </si>
  <si>
    <t>Concordia College</t>
  </si>
  <si>
    <t>Cooper Union for the Advancement of Science and Art</t>
  </si>
  <si>
    <t>Weill Medical College of Cornell University</t>
  </si>
  <si>
    <t>SUNY Corning Community College (2 year)</t>
  </si>
  <si>
    <t>Pomeroy College of Nursing at Crouse Hospital (2 year)</t>
  </si>
  <si>
    <t>Culinary Institute of America</t>
  </si>
  <si>
    <t>CUNY Bernard M Baruch College</t>
  </si>
  <si>
    <t>CUNY Borough of Manhattan Community College (2 year)</t>
  </si>
  <si>
    <t>CUNY Bronx Community College (2 year)</t>
  </si>
  <si>
    <t>CUNY Brooklyn College</t>
  </si>
  <si>
    <t>College of Staten Island CUNY</t>
  </si>
  <si>
    <t>CUNY City College</t>
  </si>
  <si>
    <t>CUNY Graduate School and University Center</t>
  </si>
  <si>
    <t>CUNY Hostos Community College (2 year)</t>
  </si>
  <si>
    <t>CUNY Hunter College</t>
  </si>
  <si>
    <t>CUNY John Jay College of Criminal Justice</t>
  </si>
  <si>
    <t>CUNY Kingsborough Community College (2 year)</t>
  </si>
  <si>
    <t>CUNY LaGuardia Community College (2 year)</t>
  </si>
  <si>
    <t>CUNY Lehman College</t>
  </si>
  <si>
    <t>CUNY Medgar Evers College</t>
  </si>
  <si>
    <t>CUNY New York City College of Technology</t>
  </si>
  <si>
    <t>CUNY Queens College</t>
  </si>
  <si>
    <t>CUNY Queensborough Community College (2 year)</t>
  </si>
  <si>
    <t>CUNY School of Law</t>
  </si>
  <si>
    <t>CUNY York College</t>
  </si>
  <si>
    <t>CVPH Medical Center School of Radiologic Technology (2 year)</t>
  </si>
  <si>
    <t>D'Youville College</t>
  </si>
  <si>
    <t>Daemen University</t>
  </si>
  <si>
    <t>Yeshiva of Far Rockaway Derech Ayson Rabbinical Seminary (Male only)</t>
  </si>
  <si>
    <t>Dominican College of Blauvelt</t>
  </si>
  <si>
    <t>Dutchess Community College (2 year)</t>
  </si>
  <si>
    <t>Belanger School of Nursing (2 year)</t>
  </si>
  <si>
    <t>Elmira Business Institute (2 year)</t>
  </si>
  <si>
    <t>Elmira College</t>
  </si>
  <si>
    <t>Erie Community College (2 year)</t>
  </si>
  <si>
    <t>Fashion Institute of Technology</t>
  </si>
  <si>
    <t>Finger Lakes Community College (2 year)</t>
  </si>
  <si>
    <t>Five Towns College</t>
  </si>
  <si>
    <t>Fordham University</t>
  </si>
  <si>
    <t>Fulton-Montgomery Community College (2 year)</t>
  </si>
  <si>
    <t>The General Theological Seminary</t>
  </si>
  <si>
    <t>Genesee Community College (2 year)</t>
  </si>
  <si>
    <t>Hartwick College</t>
  </si>
  <si>
    <t>Helene Fuld College of Nursing</t>
  </si>
  <si>
    <t>Herkimer County Community College (2 year)</t>
  </si>
  <si>
    <t>Hilbert College</t>
  </si>
  <si>
    <t>Hofstra University</t>
  </si>
  <si>
    <t>Houghton College</t>
  </si>
  <si>
    <t>Hudson Valley Community College (2 year)</t>
  </si>
  <si>
    <t>Hunter Business School (2 year)</t>
  </si>
  <si>
    <t>Iona College</t>
  </si>
  <si>
    <t>Island Drafting and Technical Institute (2 year)</t>
  </si>
  <si>
    <t>Ithaca College</t>
  </si>
  <si>
    <t>Jamestown Community College (2 year)</t>
  </si>
  <si>
    <t>Jamestown Business College</t>
  </si>
  <si>
    <t>Jefferson Community College (2 year)</t>
  </si>
  <si>
    <t>Jewish Theological Seminary of America</t>
  </si>
  <si>
    <t>The Juilliard School</t>
  </si>
  <si>
    <t>Kehilath Yakov Rabbinical Seminary (Male only)</t>
  </si>
  <si>
    <t>Keuka College</t>
  </si>
  <si>
    <t>LIM College</t>
  </si>
  <si>
    <t>Le Moyne College</t>
  </si>
  <si>
    <t>Long Island University</t>
  </si>
  <si>
    <t>Long Island Business Institute (2 year)</t>
  </si>
  <si>
    <t>Machzikei Hadath Rabbinical College (Male only)</t>
  </si>
  <si>
    <t>Mandl School-The College of Allied Health (2 year)</t>
  </si>
  <si>
    <t>Manhattan College</t>
  </si>
  <si>
    <t>Manhattan School of Music</t>
  </si>
  <si>
    <t>Manhattanville College</t>
  </si>
  <si>
    <t>Maria College of Albany</t>
  </si>
  <si>
    <t>Marymount Manhattan College</t>
  </si>
  <si>
    <t>Medaille College</t>
  </si>
  <si>
    <t>St. Peter's Hospital College of Nursing (2 year)</t>
  </si>
  <si>
    <t>Memorial Hospital School of Radiation Therapy Technology (2 year)</t>
  </si>
  <si>
    <t>Mercy College</t>
  </si>
  <si>
    <t>Mesivta Torah Vodaath Rabbinical Seminary (Male only)</t>
  </si>
  <si>
    <t>Mesivta of Eastern Parkway-Yeshiva Zichron Meilech (Male only)</t>
  </si>
  <si>
    <t>Mesivtha Tifereth Jerusalem of America (Male only)</t>
  </si>
  <si>
    <t>Mildred Elley School-Albany Campus (2 year)</t>
  </si>
  <si>
    <t>Mirrer Yeshiva Cent Institute (Male only)</t>
  </si>
  <si>
    <t>Mohawk Valley Community College (2 year)</t>
  </si>
  <si>
    <t>Molloy College</t>
  </si>
  <si>
    <t>Monroe College</t>
  </si>
  <si>
    <t>Mount Saint Mary College</t>
  </si>
  <si>
    <t>Montefiore School of Nursing (2 year)</t>
  </si>
  <si>
    <t>College of Mount Saint Vincent</t>
  </si>
  <si>
    <t>Icahn School of Medicine at Mount Sinai</t>
  </si>
  <si>
    <t>Nassau Community College (2 year)</t>
  </si>
  <si>
    <t>Nazareth College</t>
  </si>
  <si>
    <t>Neighborhood Playhouse School of the Theater (2 year)</t>
  </si>
  <si>
    <t>The New School</t>
  </si>
  <si>
    <t>Northeast College of Health Sciences</t>
  </si>
  <si>
    <t>New York Medical College</t>
  </si>
  <si>
    <t>New York School for Medical and Dental Assistants (2 year)</t>
  </si>
  <si>
    <t>New York Theological Seminary</t>
  </si>
  <si>
    <t>Niagara County Community College (2 year)</t>
  </si>
  <si>
    <t>Niagara University</t>
  </si>
  <si>
    <t>North Country Community College (2 year)</t>
  </si>
  <si>
    <t>New York College of Podiatric Medicine</t>
  </si>
  <si>
    <t>New York Institute of Technology</t>
  </si>
  <si>
    <t>New York School of Interior Design</t>
  </si>
  <si>
    <t>Nyack College</t>
  </si>
  <si>
    <t>Ohr Hameir Theological Seminary (Male only)</t>
  </si>
  <si>
    <t>Onondaga Community College (2 year)</t>
  </si>
  <si>
    <t>Paul Smiths College of Arts and Science</t>
  </si>
  <si>
    <t>Plaza College</t>
  </si>
  <si>
    <t>Davis College</t>
  </si>
  <si>
    <t>Pratt Institute-Main</t>
  </si>
  <si>
    <t>Rabbinical Academy Mesivta Rabbi Chaim Berlin (Male only)</t>
  </si>
  <si>
    <t>Rabbinical College Bobover Yeshiva Bnei Zion (Male only)</t>
  </si>
  <si>
    <t>Rabbinical College Beth Shraga (Male only)</t>
  </si>
  <si>
    <t>Rabbinical Seminary Mkor Chaim (Male only)</t>
  </si>
  <si>
    <t>Rabbinical College of Long Island (Male only)</t>
  </si>
  <si>
    <t>Rabbinical Seminary of America (Male only)</t>
  </si>
  <si>
    <t>Roberts Wesleyan College</t>
  </si>
  <si>
    <t>Rockefeller University</t>
  </si>
  <si>
    <t>Rockland Community College (2 year)</t>
  </si>
  <si>
    <t>St Bernard's School of Theology and Ministry</t>
  </si>
  <si>
    <t>St Bonaventure University</t>
  </si>
  <si>
    <t>St. Francis College</t>
  </si>
  <si>
    <t>St. Joseph's College of Nursing (2 year)</t>
  </si>
  <si>
    <t>St Lawrence University</t>
  </si>
  <si>
    <t>The College of Saint Rose</t>
  </si>
  <si>
    <t>St. Thomas Aquinas College</t>
  </si>
  <si>
    <t>Samaritan Hospital School of Nursing (2 year)</t>
  </si>
  <si>
    <t>Sarah Lawrence College</t>
  </si>
  <si>
    <t>Schenectady County Community College (2 year)</t>
  </si>
  <si>
    <t>Sh'or Yoshuv Rabbinical College (Male only)</t>
  </si>
  <si>
    <t>Siena College</t>
  </si>
  <si>
    <t>Saint Vladimirs Orthodox Theological Seminary</t>
  </si>
  <si>
    <t>Saint Elizabeth College of Nursing (2 year)</t>
  </si>
  <si>
    <t>Saint John Fisher College</t>
  </si>
  <si>
    <t>St Paul's School of Nursing-Staten Island (2 year)</t>
  </si>
  <si>
    <t>St. John's University-New York</t>
  </si>
  <si>
    <t>Sullivan County Community College (2 year)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</si>
  <si>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</si>
  <si>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</si>
  <si>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</si>
  <si>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</si>
  <si>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</si>
  <si>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SUNY Morrisville</t>
  </si>
  <si>
    <t>SUNY at Albany</t>
  </si>
  <si>
    <t>Binghamton University</t>
  </si>
  <si>
    <t>University at Buffalo</t>
  </si>
  <si>
    <t>SUNY College of Environmental Science and Forestry</t>
  </si>
  <si>
    <t>SUNY Polytechnic Institute</t>
  </si>
  <si>
    <t>SUNY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</si>
  <si>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</si>
  <si>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</si>
  <si>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</si>
  <si>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</si>
  <si>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</si>
  <si>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</si>
  <si>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</si>
  <si>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</si>
  <si>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</si>
  <si>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of Optometry</t>
  </si>
  <si>
    <t>SUNY College at Old Westbury</t>
  </si>
  <si>
    <t>SUNY College at Plattsburgh</t>
  </si>
  <si>
    <t>SUNY Downstate Health Sciences University</t>
  </si>
  <si>
    <t>SUNY Empire State College</t>
  </si>
  <si>
    <t>SUNY Maritime College</t>
  </si>
  <si>
    <t>Upstate Medical University</t>
  </si>
  <si>
    <t>Swedish Institute a College of Health Sciences (2 year)</t>
  </si>
  <si>
    <t>Talmudical Seminary Oholei Torah (Male only)</t>
  </si>
  <si>
    <t>Talmudical Institute of Upstate New York (Male only)</t>
  </si>
  <si>
    <t>Tompkins Cortland Community College (2 year)</t>
  </si>
  <si>
    <t>Torah Temimah Talmudical Seminary (Male only)</t>
  </si>
  <si>
    <t>Touro College</t>
  </si>
  <si>
    <t>Trocaire College</t>
  </si>
  <si>
    <t>Excelsior College</t>
  </si>
  <si>
    <t>Ulster County Community College (2 year)</t>
  </si>
  <si>
    <t>Union Theological Seminary in the City of New York</t>
  </si>
  <si>
    <t>United Talmudical Seminary (Male only)</t>
  </si>
  <si>
    <t>United States Military Academy</t>
  </si>
  <si>
    <t>Vassar College</t>
  </si>
  <si>
    <t>Villa Maria College</t>
  </si>
  <si>
    <t>School of Visual Arts</t>
  </si>
  <si>
    <t>Wagner College</t>
  </si>
  <si>
    <t>Webb Institute</t>
  </si>
  <si>
    <t>The College of Westchester</t>
  </si>
  <si>
    <t>SUNY Westchester Community College (2 year)</t>
  </si>
  <si>
    <t>Word of Life Bible Institute (2 year)</t>
  </si>
  <si>
    <t>Yeshiva Karlin Stolin (Male only)</t>
  </si>
  <si>
    <t>Yeshiva Derech Chaim (Male only)</t>
  </si>
  <si>
    <t>Yeshiva of Nitra Rabbinical College (Male only)</t>
  </si>
  <si>
    <t>Yeshiva Shaar Hatorah (Male only)</t>
  </si>
  <si>
    <t>Yeshiva University</t>
  </si>
  <si>
    <t>Yeshivath Viznitz (Male only)</t>
  </si>
  <si>
    <t>Yeshivath Zichron Moshe (Male only)</t>
  </si>
  <si>
    <t>College of the Albemarle (2 year)</t>
  </si>
  <si>
    <t>South Piedmont Community College (2 year)</t>
  </si>
  <si>
    <t>Appalachian State University</t>
  </si>
  <si>
    <t>Asheville-Buncombe Technical Community College (2 year)</t>
  </si>
  <si>
    <t>Barton College</t>
  </si>
  <si>
    <t>Beaufort County Community College (2 year)</t>
  </si>
  <si>
    <t>Bladen Community College (2 year)</t>
  </si>
  <si>
    <t>Blue Ridge Community College (2 year)</t>
  </si>
  <si>
    <t>Brevard College</t>
  </si>
  <si>
    <t>Brunswick Community College (2 year)</t>
  </si>
  <si>
    <t>Cabarrus College of Health Sciences</t>
  </si>
  <si>
    <t>Caldwell Community College and Technical Institute (2 year)</t>
  </si>
  <si>
    <t>Campbell University</t>
  </si>
  <si>
    <t>Cape Fear Community College (2 year)</t>
  </si>
  <si>
    <t>Carteret Community College (2 year)</t>
  </si>
  <si>
    <t>Catawba Valley Community College (2 year)</t>
  </si>
  <si>
    <t>Central Carolina Community College (2 year)</t>
  </si>
  <si>
    <t>Central Piedmont Community College (2 year)</t>
  </si>
  <si>
    <t>Chowan University</t>
  </si>
  <si>
    <t>Cleveland Community College (2 year)</t>
  </si>
  <si>
    <t>Craven Community College (2 year)</t>
  </si>
  <si>
    <t>Davidson-Davie Community College (2 year)</t>
  </si>
  <si>
    <t>Durham Technical Community College (2 year)</t>
  </si>
  <si>
    <t>East Carolina University</t>
  </si>
  <si>
    <t>Edgecombe Community College (2 year)</t>
  </si>
  <si>
    <t>Elizabeth City State University (HBCU)</t>
  </si>
  <si>
    <t>Elon University</t>
  </si>
  <si>
    <t>Fayetteville Technical Community College (2 year)</t>
  </si>
  <si>
    <t>Forsyth Technical Community College (2 year)</t>
  </si>
  <si>
    <t>Gardner-Webb University</t>
  </si>
  <si>
    <t>Gaston College (2 year)</t>
  </si>
  <si>
    <t>Greensboro College</t>
  </si>
  <si>
    <t>Guilford College</t>
  </si>
  <si>
    <t>Guilford Technical Community College (2 year)</t>
  </si>
  <si>
    <t>Halifax Community College (2 year)</t>
  </si>
  <si>
    <t>Haywood Community College (2 year)</t>
  </si>
  <si>
    <t>Heritage Bible College</t>
  </si>
  <si>
    <t>High Point University</t>
  </si>
  <si>
    <t>Isothermal Community College (2 year)</t>
  </si>
  <si>
    <t>James Sprunt Community College (2 year)</t>
  </si>
  <si>
    <t>Johnson C Smith University (HBCU)</t>
  </si>
  <si>
    <t>Johnston Community College (2 year)</t>
  </si>
  <si>
    <t>Lees-McRae College</t>
  </si>
  <si>
    <t>Lenoir Community College (2 year)</t>
  </si>
  <si>
    <t>Lenoir-Rhyne University</t>
  </si>
  <si>
    <t>Livingstone College (HBCU)</t>
  </si>
  <si>
    <t>Louisburg College (2 year)</t>
  </si>
  <si>
    <t>Mars Hill University</t>
  </si>
  <si>
    <t>Martin Community College (2 year)</t>
  </si>
  <si>
    <t>Mayland Community College (2 year)</t>
  </si>
  <si>
    <t>McDowell Technical Community College (2 year)</t>
  </si>
  <si>
    <t>Meredith College (Female only)</t>
  </si>
  <si>
    <t>Methodist University</t>
  </si>
  <si>
    <t>Miller-Motte College-Wilmington</t>
  </si>
  <si>
    <t>Mitchell Community College (2 year)</t>
  </si>
  <si>
    <t>Montgomery Community College (2 year)</t>
  </si>
  <si>
    <t>Montreat College</t>
  </si>
  <si>
    <t>University of Mount Olive</t>
  </si>
  <si>
    <t>Nash Community College (2 year)</t>
  </si>
  <si>
    <t>University of North Carolina at Asheville</t>
  </si>
  <si>
    <t>University of North Carolina at Charlotte</t>
  </si>
  <si>
    <t>North Carolina Central University (HBCU)</t>
  </si>
  <si>
    <t>University of North Carolina School of the Arts</t>
  </si>
  <si>
    <t>North Carolina Wesleyan College</t>
  </si>
  <si>
    <t>University of North Carolina Wilmington</t>
  </si>
  <si>
    <t>Pamlico Community College (2 year)</t>
  </si>
  <si>
    <t>William Peace University</t>
  </si>
  <si>
    <t>University of North Carolina at Pembroke</t>
  </si>
  <si>
    <t>Pfeiffer University</t>
  </si>
  <si>
    <t>Piedmont Community College (2 year)</t>
  </si>
  <si>
    <t>Pitt Community College (2 year)</t>
  </si>
  <si>
    <t>Queens University of Charlotte</t>
  </si>
  <si>
    <t>Randolph Community College (2 year)</t>
  </si>
  <si>
    <t>Richmond Community College (2 year)</t>
  </si>
  <si>
    <t>Mid-Atlantic Christian University</t>
  </si>
  <si>
    <t>Roanoke-Chowan Community College (2 year)</t>
  </si>
  <si>
    <t>Robeson Community College (2 year)</t>
  </si>
  <si>
    <t>Rockingham Community College (2 year)</t>
  </si>
  <si>
    <t>Rowan-Cabarrus Community College (2 year)</t>
  </si>
  <si>
    <t>Sampson Community College (2 year)</t>
  </si>
  <si>
    <t>Sandhills Community College (2 year)</t>
  </si>
  <si>
    <t>Shaw University (HBCU)</t>
  </si>
  <si>
    <t>St. Andrews University</t>
  </si>
  <si>
    <t>Stanly Community College (2 year)</t>
  </si>
  <si>
    <t>Southeastern Baptist Theological Seminary</t>
  </si>
  <si>
    <t>Surry Community College (2 year)</t>
  </si>
  <si>
    <t>Alamance Community College (2 year)</t>
  </si>
  <si>
    <t>Tri-County Community College (2 year)</t>
  </si>
  <si>
    <t>Vance-Granville Community College (2 year)</t>
  </si>
  <si>
    <t>Warren Wilson College</t>
  </si>
  <si>
    <t>Watts School of Nursing</t>
  </si>
  <si>
    <t>Wayne Community College (2 year)</t>
  </si>
  <si>
    <t>Western Piedmont Community College (2 year)</t>
  </si>
  <si>
    <t>Wilkes Community College (2 year)</t>
  </si>
  <si>
    <t>Wilson Community College (2 year)</t>
  </si>
  <si>
    <t>Wingate University</t>
  </si>
  <si>
    <t>Carolina Christian College</t>
  </si>
  <si>
    <t>Winston-Salem State University (HBCU)</t>
  </si>
  <si>
    <t>Western Carolina University</t>
  </si>
  <si>
    <t>Rasmussen University-North Dakota</t>
  </si>
  <si>
    <t>Bismarck State College</t>
  </si>
  <si>
    <t>Dickinson State University</t>
  </si>
  <si>
    <t>Nueta Hidatsa Sahnish College</t>
  </si>
  <si>
    <t>Josef's School of Hair, Skin &amp; Body-Grand Forks (Female only, 2 year)</t>
  </si>
  <si>
    <t>University of Jamestown</t>
  </si>
  <si>
    <t>Lake Region State College (2 year)</t>
  </si>
  <si>
    <t>Cankdeska Cikana Community College (2 year)</t>
  </si>
  <si>
    <t>University of Mary</t>
  </si>
  <si>
    <t>Mayville State University</t>
  </si>
  <si>
    <t>Minot State University</t>
  </si>
  <si>
    <t>University of North Dakota</t>
  </si>
  <si>
    <t>North Dakota State College of Science (2 year)</t>
  </si>
  <si>
    <t>Dakota College at Bottineau (2 year)</t>
  </si>
  <si>
    <t>North Dakota State University-Main Campus</t>
  </si>
  <si>
    <t>Williston State College (2 year)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</si>
  <si>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</si>
  <si>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</si>
  <si>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</si>
  <si>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</si>
  <si>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</si>
  <si>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Air Force Institute of Technology-Graduate School of Engineering &amp; Management</t>
  </si>
  <si>
    <t>Herzing University-Akron</t>
  </si>
  <si>
    <t>University of Akron Main Campus</t>
  </si>
  <si>
    <t>University of Akron Wayne College (2 year)</t>
  </si>
  <si>
    <t>Allegheny Wesleyan College</t>
  </si>
  <si>
    <t>Art Academy of Cincinnati</t>
  </si>
  <si>
    <t>Ashland University</t>
  </si>
  <si>
    <t>Athenaeum of Ohio</t>
  </si>
  <si>
    <t>Aultman College of Nursing and Health Sciences</t>
  </si>
  <si>
    <t>Belmont College (2 year)</t>
  </si>
  <si>
    <t>Bluffton University</t>
  </si>
  <si>
    <t>Bowling Green State University-Firelands</t>
  </si>
  <si>
    <t>Bryant &amp; Stratton College-Parma</t>
  </si>
  <si>
    <t>Capital University</t>
  </si>
  <si>
    <t>Cedarville University</t>
  </si>
  <si>
    <t>Central Ohio Technical College (2 year)</t>
  </si>
  <si>
    <t>Chatfield College (2 year)</t>
  </si>
  <si>
    <t>The Christ College of Nursing and Health Sciences</t>
  </si>
  <si>
    <t>Cincinnati College of Mortuary Science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</si>
  <si>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</si>
  <si>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</si>
  <si>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</si>
  <si>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</si>
  <si>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Clark State College</t>
  </si>
  <si>
    <t>Cleveland Institute of Art</t>
  </si>
  <si>
    <t>Cleveland Institute of Music</t>
  </si>
  <si>
    <t>Cleveland State University</t>
  </si>
  <si>
    <t>Columbus College of Art and Design</t>
  </si>
  <si>
    <t>Davis College (2 year)</t>
  </si>
  <si>
    <t>Dayton Barber College (2 year)</t>
  </si>
  <si>
    <t>Edison State Community College (2 year)</t>
  </si>
  <si>
    <t>The University of Findlay</t>
  </si>
  <si>
    <t>Franklin University</t>
  </si>
  <si>
    <t>Gods Bible School and College</t>
  </si>
  <si>
    <t>Good Samaritan College of Nursing and Health Science</t>
  </si>
  <si>
    <t>Hebrew Union College-Jewish Institute of Religion</t>
  </si>
  <si>
    <t>Heidelberg University</t>
  </si>
  <si>
    <t>Hiram College</t>
  </si>
  <si>
    <t>Hocking College (2 year)</t>
  </si>
  <si>
    <t>International College of Broadcasting (2 year)</t>
  </si>
  <si>
    <t>Eastern Gateway Community College (2 year)</t>
  </si>
  <si>
    <t>John Carroll University</t>
  </si>
  <si>
    <t>Hondros College of Nursing (2 year)</t>
  </si>
  <si>
    <t>Casal Aveda Institute (Female only, 2 year)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</si>
  <si>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</si>
  <si>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</si>
  <si>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</si>
  <si>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</si>
  <si>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</si>
  <si>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</si>
  <si>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</si>
  <si>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</si>
  <si>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Kettering College</t>
  </si>
  <si>
    <t>O C Collins Career Center (2 year)</t>
  </si>
  <si>
    <t>James A. Rhodes State College (2 year)</t>
  </si>
  <si>
    <t>Ohio Business College-Sheffield (2 year)</t>
  </si>
  <si>
    <t>Ohio Business College-Sandusky (2 year)</t>
  </si>
  <si>
    <t>Lorain County Community College</t>
  </si>
  <si>
    <t>Lourdes University</t>
  </si>
  <si>
    <t>Malone University</t>
  </si>
  <si>
    <t>Marietta College</t>
  </si>
  <si>
    <t>Marion Technical College (2 year)</t>
  </si>
  <si>
    <t>Mercy College of Ohio</t>
  </si>
  <si>
    <t>Methodist Theological School in Ohio</t>
  </si>
  <si>
    <t>Miami University-Hamilton</t>
  </si>
  <si>
    <t>Miami University-Middletown</t>
  </si>
  <si>
    <t>Miami University-Oxford</t>
  </si>
  <si>
    <t>Moler Hollywood Beauty Academy (Female only, 2 year)</t>
  </si>
  <si>
    <t>Mount Carmel College of Nursing</t>
  </si>
  <si>
    <t>University of Mount Union</t>
  </si>
  <si>
    <t>Mount Vernon Nazarene University</t>
  </si>
  <si>
    <t>Mount Saint Joseph University</t>
  </si>
  <si>
    <t>Zane State College</t>
  </si>
  <si>
    <t>Muskingum University</t>
  </si>
  <si>
    <t>North Central State College</t>
  </si>
  <si>
    <t>Northwest State Community College (2 year)</t>
  </si>
  <si>
    <t>Toledo Public Schools Adult and Continuing Education (2 year)</t>
  </si>
  <si>
    <t>Notre Dame College</t>
  </si>
  <si>
    <t>Northeast Ohio Medical University</t>
  </si>
  <si>
    <t>Ohio Technical College (2 year)</t>
  </si>
  <si>
    <t>Ohio Dominican University</t>
  </si>
  <si>
    <t>Ohio Northern University</t>
  </si>
  <si>
    <t>Ohio State University Agricultural Technical Institute (2 year)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</si>
  <si>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</si>
  <si>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</si>
  <si>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</si>
  <si>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</si>
  <si>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Beauty Academy (2 year)</t>
  </si>
  <si>
    <t>Ohio State College of Barber Styling (2 year)</t>
  </si>
  <si>
    <t>The Spa School (Female only, 2 year)</t>
  </si>
  <si>
    <t>Ohio State School of Cosmetology-Canal Winchester (Female only, 2 year)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</si>
  <si>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</si>
  <si>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</si>
  <si>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</si>
  <si>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</si>
  <si>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</si>
  <si>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</si>
  <si>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East Ohio College (2 year)</t>
  </si>
  <si>
    <t>Trinity Health System School of Nursing (2 year)</t>
  </si>
  <si>
    <t>Ohio Wesleyan University</t>
  </si>
  <si>
    <t>Otterbein University</t>
  </si>
  <si>
    <t>Payne Theological Seminary</t>
  </si>
  <si>
    <t>Pontifical College Josephinum (Male only)</t>
  </si>
  <si>
    <t>Professional Skills Institute (2 year)</t>
  </si>
  <si>
    <t>Firelands Regional Medical Center School of Nursing (2 year)</t>
  </si>
  <si>
    <t>Rabbinical College Telshe (Male only)</t>
  </si>
  <si>
    <t>Raphael's School of Beauty Culture Inc-Niles (2 year)</t>
  </si>
  <si>
    <t>Fortis College-Centerville (2 year)</t>
  </si>
  <si>
    <t>University of Rio Grande</t>
  </si>
  <si>
    <t>The Modern College of Design</t>
  </si>
  <si>
    <t>Shawnee State University</t>
  </si>
  <si>
    <t>Sinclair Community College</t>
  </si>
  <si>
    <t>Hussian College-Daymar College Columbus (2 year)</t>
  </si>
  <si>
    <t>Stark State College (2 year)</t>
  </si>
  <si>
    <t>Stautzenberger College-Maumee (2 year)</t>
  </si>
  <si>
    <t>Franciscan University of Steubenville</t>
  </si>
  <si>
    <t>Southern State Community College (2 year)</t>
  </si>
  <si>
    <t>Terra State Community College (2 year)</t>
  </si>
  <si>
    <t>Tiffin University</t>
  </si>
  <si>
    <t>University of Toledo</t>
  </si>
  <si>
    <t>Tri-State Bible College</t>
  </si>
  <si>
    <t>Union Institute &amp; University</t>
  </si>
  <si>
    <t>United Theological Seminary</t>
  </si>
  <si>
    <t>Ursuline College</t>
  </si>
  <si>
    <t>The North Coast College</t>
  </si>
  <si>
    <t>Washington State Community College (2 year)</t>
  </si>
  <si>
    <t>Wilmington College</t>
  </si>
  <si>
    <t>Winebrenner Theological Seminary</t>
  </si>
  <si>
    <t>Wittenberg University</t>
  </si>
  <si>
    <t>Wright State University-Lake Campus</t>
  </si>
  <si>
    <t>Xavier University</t>
  </si>
  <si>
    <t>Youngstown State University</t>
  </si>
  <si>
    <t>Bacone College</t>
  </si>
  <si>
    <t>Oklahoma Wesleyan University</t>
  </si>
  <si>
    <t>Southern Nazarene University</t>
  </si>
  <si>
    <t>Cameron University</t>
  </si>
  <si>
    <t>Central Oklahoma College (2 year)</t>
  </si>
  <si>
    <t>University of Central Oklahoma</t>
  </si>
  <si>
    <t>Connors State College (2 year)</t>
  </si>
  <si>
    <t>East Central University</t>
  </si>
  <si>
    <t>Eastern Oklahoma State College (2 year)</t>
  </si>
  <si>
    <t>Redlands Community College (2 year)</t>
  </si>
  <si>
    <t>Randall University</t>
  </si>
  <si>
    <t>Langston University (HBCU)</t>
  </si>
  <si>
    <t>Murray State College (2 year)</t>
  </si>
  <si>
    <t>Spartan College of Aeronautics and Technology</t>
  </si>
  <si>
    <t>Northeastern State University</t>
  </si>
  <si>
    <t>Northern Oklahoma College (2 year)</t>
  </si>
  <si>
    <t>Northeastern Oklahoma A&amp;M College (2 year)</t>
  </si>
  <si>
    <t>Northwestern Oklahoma State University</t>
  </si>
  <si>
    <t>Oklahoma State University Center for Health Sciences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</si>
  <si>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</si>
  <si>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</si>
  <si>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</si>
  <si>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</si>
  <si>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</si>
  <si>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</si>
  <si>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 (2 year)</t>
  </si>
  <si>
    <t>Oklahoma State University Institute of Technology</t>
  </si>
  <si>
    <t>Oral Roberts University</t>
  </si>
  <si>
    <t>Rogers State University</t>
  </si>
  <si>
    <t>University of Science and Arts of Oklahoma</t>
  </si>
  <si>
    <t>Seminole State College (2 year)</t>
  </si>
  <si>
    <t>Southeastern Oklahoma State University</t>
  </si>
  <si>
    <t>Southwestern Christian University</t>
  </si>
  <si>
    <t>Southwestern Oklahoma State University</t>
  </si>
  <si>
    <t>Tulsa Community College (2 year)</t>
  </si>
  <si>
    <t>Tulsa Welding School-Tulsa (2 year)</t>
  </si>
  <si>
    <t>Western Oklahoma State College (2 year)</t>
  </si>
  <si>
    <t>Blue Mountain Community College (2 year)</t>
  </si>
  <si>
    <t>Central Oregon Community College (2 year)</t>
  </si>
  <si>
    <t>Chemeketa Community College (2 year)</t>
  </si>
  <si>
    <t>Clackamas Community College (2 year)</t>
  </si>
  <si>
    <t>Clatsop Community College (2 year)</t>
  </si>
  <si>
    <t>College of Hair Design Careers (Female only, 2 year)</t>
  </si>
  <si>
    <t>Concorde Career College-Portland (2 year)</t>
  </si>
  <si>
    <t>Sumner College</t>
  </si>
  <si>
    <t>Eastern Oregon University</t>
  </si>
  <si>
    <t>New Hope Christian College-Eugene</t>
  </si>
  <si>
    <t>George Fox University</t>
  </si>
  <si>
    <t>Phagans Grants Pass College of Beauty (2 year)</t>
  </si>
  <si>
    <t>Lane Community College (2 year)</t>
  </si>
  <si>
    <t>Linn-Benton Community College (2 year)</t>
  </si>
  <si>
    <t>Northwest College-Beaverton (2 year)</t>
  </si>
  <si>
    <t>Phagans Medford Beauty School (2 year)</t>
  </si>
  <si>
    <t>Northwest College-Clackamas (2 year)</t>
  </si>
  <si>
    <t>Mount Angel Seminary (Male only)</t>
  </si>
  <si>
    <t>Mt Hood Community College (2 year)</t>
  </si>
  <si>
    <t>Multnomah University</t>
  </si>
  <si>
    <t>National University of Natural Medicine</t>
  </si>
  <si>
    <t>Bushnell University</t>
  </si>
  <si>
    <t>Oregon Health &amp; Science University</t>
  </si>
  <si>
    <t>Oregon Institute of Technology</t>
  </si>
  <si>
    <t>Pacific Northwest College of Art</t>
  </si>
  <si>
    <t>Pacific University</t>
  </si>
  <si>
    <t>Phagans Beauty College (2 year)</t>
  </si>
  <si>
    <t>Phagans Central Oregon Beauty College (2 year)</t>
  </si>
  <si>
    <t>Phagans School of Beauty (2 year)</t>
  </si>
  <si>
    <t>Phagans School of Hair Design (2 year)</t>
  </si>
  <si>
    <t>Summit Salon Academy-Portland (Female only, 2 year)</t>
  </si>
  <si>
    <t>Portland Community College (2 year)</t>
  </si>
  <si>
    <t>University of Portland</t>
  </si>
  <si>
    <t>Reed College</t>
  </si>
  <si>
    <t>Rogue Community College (2 year)</t>
  </si>
  <si>
    <t>Southern Oregon University</t>
  </si>
  <si>
    <t>Southwestern Oregon Community College (2 year)</t>
  </si>
  <si>
    <t>Treasure Valley Community College (2 year)</t>
  </si>
  <si>
    <t>Umpqua Community College (2 year)</t>
  </si>
  <si>
    <t>Warner Pacific University</t>
  </si>
  <si>
    <t>Corban University</t>
  </si>
  <si>
    <t>College of Cosmetology (2 year)</t>
  </si>
  <si>
    <t>Western Seminary</t>
  </si>
  <si>
    <t>Willamette University</t>
  </si>
  <si>
    <t>Western Oregon University</t>
  </si>
  <si>
    <t>University of Western States</t>
  </si>
  <si>
    <t>Bryn Athyn College of the New Church</t>
  </si>
  <si>
    <t>Academy of Vocal Arts</t>
  </si>
  <si>
    <t>Albright College</t>
  </si>
  <si>
    <t>All-State Career School (2 year)</t>
  </si>
  <si>
    <t>Community College of Allegheny County (2 year)</t>
  </si>
  <si>
    <t>Allegheny College</t>
  </si>
  <si>
    <t>DeSales University</t>
  </si>
  <si>
    <t>Alvernia University</t>
  </si>
  <si>
    <t>American College of Financial Services</t>
  </si>
  <si>
    <t>Automotive Training Center-Exton (2 year)</t>
  </si>
  <si>
    <t>Clarks Summit University</t>
  </si>
  <si>
    <t>Arcadia University</t>
  </si>
  <si>
    <t>Missio Theological Seminary</t>
  </si>
  <si>
    <t>Bloomsburg University of Pennsylvania</t>
  </si>
  <si>
    <t>Bryn Mawr College (Female only)</t>
  </si>
  <si>
    <t>Bucks County Community College (2 year)</t>
  </si>
  <si>
    <t>Butler County Community College (2 year)</t>
  </si>
  <si>
    <t>Cabrini University</t>
  </si>
  <si>
    <t>Carlow University</t>
  </si>
  <si>
    <t>Cedar Crest College</t>
  </si>
  <si>
    <t>Central Penn College</t>
  </si>
  <si>
    <t>Chatham University</t>
  </si>
  <si>
    <t>Chestnut Hill College</t>
  </si>
  <si>
    <t>Cheyney University of Pennsylvania (HBCU)</t>
  </si>
  <si>
    <t>Citizens School of Nursing (2 year)</t>
  </si>
  <si>
    <t>Clarion University of Pennsylvania</t>
  </si>
  <si>
    <t>DLP Conemaugh Memorial Medical Center (2 year)</t>
  </si>
  <si>
    <t>Curtis Institute of Music</t>
  </si>
  <si>
    <t>Delaware County Community College (2 year)</t>
  </si>
  <si>
    <t>Delaware Valley University</t>
  </si>
  <si>
    <t>Douglas Education Center (2 year)</t>
  </si>
  <si>
    <t>Drexel University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</si>
  <si>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</si>
  <si>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</si>
  <si>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</si>
  <si>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</si>
  <si>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</si>
  <si>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Erie Institute of Technology Inc (2 year)</t>
  </si>
  <si>
    <t>Evangelical Theological Seminary</t>
  </si>
  <si>
    <t>Franklin and Marshall College</t>
  </si>
  <si>
    <t>Gannon University</t>
  </si>
  <si>
    <t>Geneva College</t>
  </si>
  <si>
    <t>Gratz College</t>
  </si>
  <si>
    <t>Grove City College</t>
  </si>
  <si>
    <t>Gwynedd Mercy University</t>
  </si>
  <si>
    <t>Harcum College (2 year)</t>
  </si>
  <si>
    <t>Harrisburg Area Community College (2 year)</t>
  </si>
  <si>
    <t>Commonwealth Technical Institute (2 year)</t>
  </si>
  <si>
    <t>Holy Family University</t>
  </si>
  <si>
    <t>Hussian College-Philadelphia</t>
  </si>
  <si>
    <t>Immaculata University</t>
  </si>
  <si>
    <t>Indiana University of Pennsylvania-Main Campus</t>
  </si>
  <si>
    <t>UPMC Jameson School of Nursing (2 year)</t>
  </si>
  <si>
    <t>Great Lakes Institute of Technology (2 year)</t>
  </si>
  <si>
    <t>Johnson College (2 year)</t>
  </si>
  <si>
    <t>Juniata College</t>
  </si>
  <si>
    <t>Keystone College</t>
  </si>
  <si>
    <t>King's College</t>
  </si>
  <si>
    <t>Kutztown University of Pennsylvania</t>
  </si>
  <si>
    <t>La Roche University</t>
  </si>
  <si>
    <t>La Salle University</t>
  </si>
  <si>
    <t>Lackawanna College</t>
  </si>
  <si>
    <t>Lancaster Bible College</t>
  </si>
  <si>
    <t>Lancaster Theological Seminary</t>
  </si>
  <si>
    <t>Lansdale School of Business (2 year)</t>
  </si>
  <si>
    <t>Lehigh Carbon Community College (2 year)</t>
  </si>
  <si>
    <t>Miller-Motte College-Berks Technical Institute (2 year)</t>
  </si>
  <si>
    <t>Lincoln Technical Institute-Philadelphia (2 year)</t>
  </si>
  <si>
    <t>Lock Haven University</t>
  </si>
  <si>
    <t>UPMC St. Margaret School of Nursing (2 year)</t>
  </si>
  <si>
    <t>United Lutheran Seminary</t>
  </si>
  <si>
    <t>Luzerne County Community College (2 year)</t>
  </si>
  <si>
    <t>Manor College</t>
  </si>
  <si>
    <t>Mansfield University of Pennsylvania</t>
  </si>
  <si>
    <t>Marywood University</t>
  </si>
  <si>
    <t>Roxborough Memorial Hospital School of Nursing (2 year)</t>
  </si>
  <si>
    <t>Mercyhurst University</t>
  </si>
  <si>
    <t>Messiah University</t>
  </si>
  <si>
    <t>ASPIRA City College (2 year)</t>
  </si>
  <si>
    <t>Millersville University of Pennsylvania</t>
  </si>
  <si>
    <t>Misericordia University</t>
  </si>
  <si>
    <t>Montgomery County Community College (2 year)</t>
  </si>
  <si>
    <t>Moore College of Art and Design (Female only)</t>
  </si>
  <si>
    <t>Moravian University</t>
  </si>
  <si>
    <t>Mount Aloysius College</t>
  </si>
  <si>
    <t>Muhlenberg College</t>
  </si>
  <si>
    <t>Neumann University</t>
  </si>
  <si>
    <t>New Castle School of Trades (2 year)</t>
  </si>
  <si>
    <t>Northampton County Area Community College (2 year)</t>
  </si>
  <si>
    <t>Salus University</t>
  </si>
  <si>
    <t>Pennsylvania Institute of Technology</t>
  </si>
  <si>
    <t>Peirce College</t>
  </si>
  <si>
    <t>Penn Commercial Business/Technical School (2 year)</t>
  </si>
  <si>
    <t>Pennco Tech-Bristol (2 year)</t>
  </si>
  <si>
    <t>Pennsylvania Academy of the Fine Arts</t>
  </si>
  <si>
    <t>Pennsylvania Gunsmith School (Male only, 2 year)</t>
  </si>
  <si>
    <t>Pennsylvania College of Art and Design</t>
  </si>
  <si>
    <t>The University of the Arts</t>
  </si>
  <si>
    <t>Cairn University-Langhorne</t>
  </si>
  <si>
    <t>Philadelphia College of Osteopathic Medicine</t>
  </si>
  <si>
    <t>University of the Sciences</t>
  </si>
  <si>
    <t>Community College of Philadelphia (2 year)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</si>
  <si>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</si>
  <si>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</si>
  <si>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</si>
  <si>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</si>
  <si>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 (2 year)</t>
  </si>
  <si>
    <t>Pittsburgh Institute of Aeronautics (2 year)</t>
  </si>
  <si>
    <t>Pittsburgh Institute of Mortuary Science Inc (2 year)</t>
  </si>
  <si>
    <t>Pittsburgh Technical College</t>
  </si>
  <si>
    <t>Pittsburgh Theological Seminary</t>
  </si>
  <si>
    <t>Joseph F McCloskey School of Nursing (2 year)</t>
  </si>
  <si>
    <t>Reading Area Community College (2 year)</t>
  </si>
  <si>
    <t>Reading Hospital School of Health Sciences (2 year)</t>
  </si>
  <si>
    <t>Reconstructionist Rabbinical College</t>
  </si>
  <si>
    <t>Walnut Hill College</t>
  </si>
  <si>
    <t>Robert Morris University</t>
  </si>
  <si>
    <t>Rosedale Technical College (2 year)</t>
  </si>
  <si>
    <t>Rosemont College</t>
  </si>
  <si>
    <t>Saint Francis University</t>
  </si>
  <si>
    <t>Saint Joseph's University</t>
  </si>
  <si>
    <t>Saint Vincent College</t>
  </si>
  <si>
    <t>Saint Vincent Seminary</t>
  </si>
  <si>
    <t>University of Scranton</t>
  </si>
  <si>
    <t>Seton Hill University</t>
  </si>
  <si>
    <t>UPMC Shadyside School of Nursing (2 year)</t>
  </si>
  <si>
    <t>Laurel Technical Institute (2 year)</t>
  </si>
  <si>
    <t>Shippensburg University of Pennsylvania</t>
  </si>
  <si>
    <t>Slippery Rock University of Pennsylvania</t>
  </si>
  <si>
    <t>Saint Charles Borromeo Seminary-Overbrook (Male only)</t>
  </si>
  <si>
    <t>South Hills School of Business &amp; Technology (2 year)</t>
  </si>
  <si>
    <t>Susquehanna University</t>
  </si>
  <si>
    <t>Thaddeus Stevens College of Technology (2 year)</t>
  </si>
  <si>
    <t>Talmudical Yeshiva of Philadelphia (Male only)</t>
  </si>
  <si>
    <t>Theological Seminary of the Reformed Episcopal Church</t>
  </si>
  <si>
    <t>Thiel College</t>
  </si>
  <si>
    <t>Thomas Jefferson University</t>
  </si>
  <si>
    <t>Triangle Tech Inc-Pittsburgh (2 year)</t>
  </si>
  <si>
    <t>Triangle Tech Inc-Greensburg (Male only, 2 year)</t>
  </si>
  <si>
    <t>Triangle Tech Inc-Dubois (2 year)</t>
  </si>
  <si>
    <t>Trinity Episcopal School for Ministry</t>
  </si>
  <si>
    <t>Ursinus College</t>
  </si>
  <si>
    <t>University of Valley Forge</t>
  </si>
  <si>
    <t>Valley Forge Military College (2 year)</t>
  </si>
  <si>
    <t>Washington Health System School of Nursing (2 year)</t>
  </si>
  <si>
    <t>Washington &amp; Jefferson College</t>
  </si>
  <si>
    <t>Waynesburg University</t>
  </si>
  <si>
    <t>West Chester University of Pennsylvania</t>
  </si>
  <si>
    <t>Western Pennsylvania Hospital School of Nursing (2 year)</t>
  </si>
  <si>
    <t>Pittsburgh Career Institute (Female only, 2 year)</t>
  </si>
  <si>
    <t>Westminster Theological Seminary</t>
  </si>
  <si>
    <t>Westmoreland County Community College (2 year)</t>
  </si>
  <si>
    <t>Widener University</t>
  </si>
  <si>
    <t>Wilkes University</t>
  </si>
  <si>
    <t>Williamson College of the Trades (Male only, 2 year)</t>
  </si>
  <si>
    <t>Wilson College</t>
  </si>
  <si>
    <t>Yeshivath Beth Moshe (Male only)</t>
  </si>
  <si>
    <t>York College of Pennsylvania</t>
  </si>
  <si>
    <t>YTI Career Institute-York (2 year)</t>
  </si>
  <si>
    <t>Bryant University</t>
  </si>
  <si>
    <t>New England Institute of Technology</t>
  </si>
  <si>
    <t>Providence College</t>
  </si>
  <si>
    <t>Rhode Island College</t>
  </si>
  <si>
    <t>Community College of Rhode Island (2 year)</t>
  </si>
  <si>
    <t>University of Rhode Island</t>
  </si>
  <si>
    <t>Roger Williams University</t>
  </si>
  <si>
    <t>Salve Regina University</t>
  </si>
  <si>
    <t>Northpoint Bible College</t>
  </si>
  <si>
    <t>Allen University (HBCU)</t>
  </si>
  <si>
    <t>Charleston Southern University</t>
  </si>
  <si>
    <t>Technical College of the Lowcountry (2 year)</t>
  </si>
  <si>
    <t>Bob Jones University</t>
  </si>
  <si>
    <t>Southern Wesleyan University</t>
  </si>
  <si>
    <t>College of Charleston</t>
  </si>
  <si>
    <t>Northeastern Technical College (2 year)</t>
  </si>
  <si>
    <t>Citadel Military College of South Carolina</t>
  </si>
  <si>
    <t>Claflin University (HBCU)</t>
  </si>
  <si>
    <t>Clinton College (HBCU)</t>
  </si>
  <si>
    <t>Coker University</t>
  </si>
  <si>
    <t>Columbia International University</t>
  </si>
  <si>
    <t>Denmark Technical College (HBCU, 2 year)</t>
  </si>
  <si>
    <t>Erskine College</t>
  </si>
  <si>
    <t>Florence-Darlington Technical College (2 year)</t>
  </si>
  <si>
    <t>Francis Marion University</t>
  </si>
  <si>
    <t>Furman University</t>
  </si>
  <si>
    <t>Greenville Technical College</t>
  </si>
  <si>
    <t>Horry-Georgetown Technical College (2 year)</t>
  </si>
  <si>
    <t>Lander University</t>
  </si>
  <si>
    <t>Limestone University</t>
  </si>
  <si>
    <t>Medical University of South Carolina</t>
  </si>
  <si>
    <t>Midlands Technical College (2 year)</t>
  </si>
  <si>
    <t>Morris College (HBCU)</t>
  </si>
  <si>
    <t>Newberry College</t>
  </si>
  <si>
    <t>North Greenville University</t>
  </si>
  <si>
    <t>Orangeburg Calhoun Technical College (2 year)</t>
  </si>
  <si>
    <t>Piedmont Technical College (2 year)</t>
  </si>
  <si>
    <t>Presbyterian College</t>
  </si>
  <si>
    <t>University of South Carolina Aiken</t>
  </si>
  <si>
    <t>University of South Carolina Beaufort</t>
  </si>
  <si>
    <t>University of South Carolina-Columbia</t>
  </si>
  <si>
    <t>University of South Carolina-Lancaster (2 year)</t>
  </si>
  <si>
    <t>University of South Carolina-Salkehatchie (2 year)</t>
  </si>
  <si>
    <t>University of South Carolina-Sumter (2 year)</t>
  </si>
  <si>
    <t>University of South Carolina-Union (2 year)</t>
  </si>
  <si>
    <t>Coastal Carolina University</t>
  </si>
  <si>
    <t>South Carolina State University (HBCU)</t>
  </si>
  <si>
    <t>University of South Carolina-Upstate</t>
  </si>
  <si>
    <t>Sherman College of Chiropractic</t>
  </si>
  <si>
    <t>Spartanburg Methodist College</t>
  </si>
  <si>
    <t>Spartanburg Community College (2 year)</t>
  </si>
  <si>
    <t>Central Carolina Technical College (2 year)</t>
  </si>
  <si>
    <t>Tri-County Technical College (2 year)</t>
  </si>
  <si>
    <t>Trident Technical College (2 year)</t>
  </si>
  <si>
    <t>Voorhees College (HBCU)</t>
  </si>
  <si>
    <t>Williamsburg Technical College (2 year)</t>
  </si>
  <si>
    <t>Winthrop University</t>
  </si>
  <si>
    <t>Wofford College</t>
  </si>
  <si>
    <t>York Technical College (2 year)</t>
  </si>
  <si>
    <t>Augustana University</t>
  </si>
  <si>
    <t>Black Hills State University</t>
  </si>
  <si>
    <t>Dakota State University</t>
  </si>
  <si>
    <t>Dakota Wesleyan University</t>
  </si>
  <si>
    <t>Lake Area Technical College (2 year)</t>
  </si>
  <si>
    <t>Avera McKennan Hospital School of Radiologic Technology (2 year)</t>
  </si>
  <si>
    <t>Mitchell Technical College (2 year)</t>
  </si>
  <si>
    <t>Mount Marty University</t>
  </si>
  <si>
    <t>National American University-Rapid City</t>
  </si>
  <si>
    <t>Sioux Falls Seminary</t>
  </si>
  <si>
    <t>Northern State University</t>
  </si>
  <si>
    <t>Oglala Lakota College</t>
  </si>
  <si>
    <t>Presentation College</t>
  </si>
  <si>
    <t>Avera Sacred Heart Hospital (2 year)</t>
  </si>
  <si>
    <t>South Dakota School of Mines and Technology</t>
  </si>
  <si>
    <t>South Dakota State University</t>
  </si>
  <si>
    <t>Sinte Gleska University</t>
  </si>
  <si>
    <t>University of Sioux Falls</t>
  </si>
  <si>
    <t>Sanford Medical Center (2 year)</t>
  </si>
  <si>
    <t>Sisseton Wahpeton College (2 year)</t>
  </si>
  <si>
    <t>Southeast Technical College (2 year)</t>
  </si>
  <si>
    <t>University of South Dakota</t>
  </si>
  <si>
    <t>Western Dakota Technical College (2 year)</t>
  </si>
  <si>
    <t>American Baptist College (HBCU)</t>
  </si>
  <si>
    <t>Tennessee College of Applied Technology-Athens (2 year)</t>
  </si>
  <si>
    <t>Baptist Health Sciences University</t>
  </si>
  <si>
    <t>Belmont University</t>
  </si>
  <si>
    <t>Bryan College-Dayton</t>
  </si>
  <si>
    <t>Carson-Newman University</t>
  </si>
  <si>
    <t>Chattanooga State Community College (2 year)</t>
  </si>
  <si>
    <t>Christian Brothers University</t>
  </si>
  <si>
    <t>Pentecostal Theological Seminary</t>
  </si>
  <si>
    <t>Cleveland State Community College (2 year)</t>
  </si>
  <si>
    <t>Columbia State Community College (2 year)</t>
  </si>
  <si>
    <t>Concorde Career College-Memphis (2 year)</t>
  </si>
  <si>
    <t>Tennessee College of Applied Technology-Covington (2 year)</t>
  </si>
  <si>
    <t>Cumberland University</t>
  </si>
  <si>
    <t>Lipscomb University</t>
  </si>
  <si>
    <t>Tennessee College of Applied Technology-Dickson (2 year)</t>
  </si>
  <si>
    <t>Hussian College-Daymar College Nashville</t>
  </si>
  <si>
    <t>Dyersburg State Community College (2 year)</t>
  </si>
  <si>
    <t>East Tennessee State University</t>
  </si>
  <si>
    <t>Chattanooga College Medical Dental and Technical Careers (2 year)</t>
  </si>
  <si>
    <t>Tennessee College of Applied Technology-Elizabethton (2 year)</t>
  </si>
  <si>
    <t>Welch College</t>
  </si>
  <si>
    <t>Freed-Hardeman University</t>
  </si>
  <si>
    <t>Tennessee College of Applied Technology-Harriman (2 year)</t>
  </si>
  <si>
    <t>Tennessee College of Applied Technology-Hartsville (2 year)</t>
  </si>
  <si>
    <t>Tennessee College of Applied Technology-Hohenwald (2 year)</t>
  </si>
  <si>
    <t>Tennessee College of Applied Technology-Jacksboro (2 year)</t>
  </si>
  <si>
    <t>Jackson State Community College (2 year)</t>
  </si>
  <si>
    <t>John A Gupton College (2 year)</t>
  </si>
  <si>
    <t>Johnson University</t>
  </si>
  <si>
    <t>King University</t>
  </si>
  <si>
    <t>South College</t>
  </si>
  <si>
    <t>Lane College (HBCU)</t>
  </si>
  <si>
    <t>Le Moyne-Owen College (HBCU)</t>
  </si>
  <si>
    <t>Lee University</t>
  </si>
  <si>
    <t>Lincoln Memorial University</t>
  </si>
  <si>
    <t>Tennessee College of Applied Technology-Livingston (2 year)</t>
  </si>
  <si>
    <t>The University of Tennessee Southern</t>
  </si>
  <si>
    <t>Maryville College</t>
  </si>
  <si>
    <t>Tennessee College of Applied Technology-McKenzie (2 year)</t>
  </si>
  <si>
    <t>Meharry Medical College (HBCU)</t>
  </si>
  <si>
    <t>Tennessee College of Applied Technology-Memphis (2 year)</t>
  </si>
  <si>
    <t>Memphis Theological Seminary</t>
  </si>
  <si>
    <t>Middle Tennessee State University</t>
  </si>
  <si>
    <t>Middle Tennessee School of Anesthesia Inc</t>
  </si>
  <si>
    <t>Tennessee College of Applied Technology-Morristown (2 year)</t>
  </si>
  <si>
    <t>Tennessee College of Applied Technology-Murfreesboro (2 year)</t>
  </si>
  <si>
    <t>Lincoln College of Technology-Nashville (2 year)</t>
  </si>
  <si>
    <t>Tennessee College of Applied Technology-Newbern (2 year)</t>
  </si>
  <si>
    <t>Tennessee College of Applied Technology-Paris (2 year)</t>
  </si>
  <si>
    <t>Tennessee College of Applied Technology-Pulaski (2 year)</t>
  </si>
  <si>
    <t>Tennessee College of Applied Technology-Ripley (2 year)</t>
  </si>
  <si>
    <t>Roane State Community College (2 year)</t>
  </si>
  <si>
    <t>Tennessee College of Applied Technology-Crump (2 year)</t>
  </si>
  <si>
    <t>Tennessee College of Applied Technology-Shelbyville (2 year)</t>
  </si>
  <si>
    <t>The University of the South</t>
  </si>
  <si>
    <t>Tennessee College of Applied Technology-Oneida-Huntsville (2 year)</t>
  </si>
  <si>
    <t>Tennessee College of Applied Technology-Crossville (2 year)</t>
  </si>
  <si>
    <t>Tennessee College of Applied Technology-McMinnville (2 year)</t>
  </si>
  <si>
    <t>Tennessee College of Applied Technology-Jackson (2 year)</t>
  </si>
  <si>
    <t>Tennessee College of Applied Technology-Knoxville (2 year)</t>
  </si>
  <si>
    <t>Tennessee College of Applied Technology-Whiteville (2 year)</t>
  </si>
  <si>
    <t>Pellissippi State Community College (2 year)</t>
  </si>
  <si>
    <t>Southern Adventist University</t>
  </si>
  <si>
    <t>Southern College of Optometry</t>
  </si>
  <si>
    <t>Tennessee Wesleyan University</t>
  </si>
  <si>
    <t>The University of Tennessee-Chattanooga</t>
  </si>
  <si>
    <t>The University of Tennessee-Knoxville</t>
  </si>
  <si>
    <t>The University of Tennessee-Martin</t>
  </si>
  <si>
    <t>Tennessee Technological University</t>
  </si>
  <si>
    <t>Trevecca Nazarene University</t>
  </si>
  <si>
    <t>Northeast State Community College (2 year)</t>
  </si>
  <si>
    <t>Tusculum University</t>
  </si>
  <si>
    <t>Union University</t>
  </si>
  <si>
    <t>Volunteer State Community College (2 year)</t>
  </si>
  <si>
    <t>Walters State Community College (2 year)</t>
  </si>
  <si>
    <t>William R Moore College of Technology (2 year)</t>
  </si>
  <si>
    <t>Abilene Christian University</t>
  </si>
  <si>
    <t>Alvin Community College (2 year)</t>
  </si>
  <si>
    <t>Amarillo College (2 year)</t>
  </si>
  <si>
    <t>Amberton University</t>
  </si>
  <si>
    <t>Angelina College (2 year)</t>
  </si>
  <si>
    <t>Angelo State University</t>
  </si>
  <si>
    <t>Arlington Baptist University</t>
  </si>
  <si>
    <t>Arlington Career Institute (2 year)</t>
  </si>
  <si>
    <t>The Art Institute of Houston</t>
  </si>
  <si>
    <t>Austin College</t>
  </si>
  <si>
    <t>Austin Presbyterian Theological Seminary</t>
  </si>
  <si>
    <t>Baptist Health System School of Health Professions</t>
  </si>
  <si>
    <t>Baptist Missionary Association Theological Seminary</t>
  </si>
  <si>
    <t>Baylor College of Medicine</t>
  </si>
  <si>
    <t>Baylor University</t>
  </si>
  <si>
    <t>Coastal Bend College (2 year)</t>
  </si>
  <si>
    <t>Remington College-Dallas Campus</t>
  </si>
  <si>
    <t>Vet Tech Institute of Houston (2 year)</t>
  </si>
  <si>
    <t>Brazosport College</t>
  </si>
  <si>
    <t>Cisco College (2 year)</t>
  </si>
  <si>
    <t>Clarendon College (2 year)</t>
  </si>
  <si>
    <t>Concordia University Texas</t>
  </si>
  <si>
    <t>North Central Texas College (2 year)</t>
  </si>
  <si>
    <t>Texas A &amp; M University-Corpus Christi</t>
  </si>
  <si>
    <t>Dallas Christian College</t>
  </si>
  <si>
    <t>Dallas Institute of Funeral Service (2 year)</t>
  </si>
  <si>
    <t>Dallas Theological Seminary</t>
  </si>
  <si>
    <t>University of Dallas</t>
  </si>
  <si>
    <t>Del Mar College</t>
  </si>
  <si>
    <t>East Texas Baptist University</t>
  </si>
  <si>
    <t>Texas A&amp;M University-Texarkana</t>
  </si>
  <si>
    <t>Texas A &amp; M University-Commerce</t>
  </si>
  <si>
    <t>Dallas College</t>
  </si>
  <si>
    <t>Western Technical College</t>
  </si>
  <si>
    <t>Episcopal Theological Seminary of the Southwest</t>
  </si>
  <si>
    <t>Miami International University of Art &amp; Design-Art Institute Dallas</t>
  </si>
  <si>
    <t>Frank Phillips College (2 year)</t>
  </si>
  <si>
    <t>Galveston College</t>
  </si>
  <si>
    <t>Grayson College</t>
  </si>
  <si>
    <t>Hallmark University</t>
  </si>
  <si>
    <t>Hardin-Simmons University</t>
  </si>
  <si>
    <t>Trinity Valley Community College</t>
  </si>
  <si>
    <t>Hill College (2 year)</t>
  </si>
  <si>
    <t>University of Houston-Clear Lake</t>
  </si>
  <si>
    <t>University of Houston-Downtown</t>
  </si>
  <si>
    <t>University of Houston-Victoria</t>
  </si>
  <si>
    <t>Howard College (2 year)</t>
  </si>
  <si>
    <t>Howard Payne University</t>
  </si>
  <si>
    <t>Huston-Tillotson University (HBCU)</t>
  </si>
  <si>
    <t>Jacksonville College-Main Campus (2 year)</t>
  </si>
  <si>
    <t>Jarvis Christian University (HBCU)</t>
  </si>
  <si>
    <t>KD Conservatory College of Film and Dramatic Arts (2 year)</t>
  </si>
  <si>
    <t>Kilgore College (2 year)</t>
  </si>
  <si>
    <t>Lamar University</t>
  </si>
  <si>
    <t>Lamar State College-Orange (2 year)</t>
  </si>
  <si>
    <t>Lamar State College-Port Arthur (2 year)</t>
  </si>
  <si>
    <t>Texas A &amp; M International University</t>
  </si>
  <si>
    <t>Lee College (2 year)</t>
  </si>
  <si>
    <t>LeTourneau University</t>
  </si>
  <si>
    <t>Lincoln College of Technology-Grand Prairie (2 year)</t>
  </si>
  <si>
    <t>Lubbock Christian University</t>
  </si>
  <si>
    <t>University of Mary Hardin-Baylor</t>
  </si>
  <si>
    <t>McLennan Community College (2 year)</t>
  </si>
  <si>
    <t>McMurry University</t>
  </si>
  <si>
    <t>Covenant School of Nursing and Allied Health (2 year)</t>
  </si>
  <si>
    <t>Midland College</t>
  </si>
  <si>
    <t>Midwestern State University</t>
  </si>
  <si>
    <t>Wade College</t>
  </si>
  <si>
    <t>Southern Careers Institute-Austin (2 year)</t>
  </si>
  <si>
    <t>Navarro College (2 year)</t>
  </si>
  <si>
    <t>Northeast Texas Community College (2 year)</t>
  </si>
  <si>
    <t>Oblate School of Theology</t>
  </si>
  <si>
    <t>Odessa College</t>
  </si>
  <si>
    <t>Texas Southmost College (2 year)</t>
  </si>
  <si>
    <t>Panola College (2 year)</t>
  </si>
  <si>
    <t>Paris Junior College (2 year)</t>
  </si>
  <si>
    <t>Ranger College (2 year)</t>
  </si>
  <si>
    <t>Aviation Institute of Maintenance-Houston (2 year)</t>
  </si>
  <si>
    <t>Saint Edward's University</t>
  </si>
  <si>
    <t>St Philip's College (HBCU, 2 year)</t>
  </si>
  <si>
    <t>Sam Houston State University</t>
  </si>
  <si>
    <t>San Antonio College (2 year)</t>
  </si>
  <si>
    <t>Schreiner University</t>
  </si>
  <si>
    <t>St. Mary's University</t>
  </si>
  <si>
    <t>South Plains College (2 year)</t>
  </si>
  <si>
    <t>South Texas College of Law Houston</t>
  </si>
  <si>
    <t>Southwest Texas Junior College (2 year)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</si>
  <si>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</si>
  <si>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</si>
  <si>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</si>
  <si>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</si>
  <si>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</si>
  <si>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Sul Ross State University</t>
  </si>
  <si>
    <t>Tarleton State University</t>
  </si>
  <si>
    <t>Temple College (2 year)</t>
  </si>
  <si>
    <t>University of Texas Southwestern Medical Center</t>
  </si>
  <si>
    <t>The University of Texas Health Science Center at San Antonio</t>
  </si>
  <si>
    <t>The University of Texas Medical Branch at Galveston</t>
  </si>
  <si>
    <t>Texarkana College (2 year)</t>
  </si>
  <si>
    <t>Texas A &amp; M University-Kingsville</t>
  </si>
  <si>
    <t>Texas A &amp; M University-College Station</t>
  </si>
  <si>
    <t>The University of Texas at Dallas</t>
  </si>
  <si>
    <t>The University of Texas at El Paso</t>
  </si>
  <si>
    <t>The University of Texas at Tyler</t>
  </si>
  <si>
    <t>Texas Chiropractic College Foundation Inc</t>
  </si>
  <si>
    <t>Texas Christian University</t>
  </si>
  <si>
    <t>Texas College (HBCU)</t>
  </si>
  <si>
    <t>University of North Texas Health Science Center</t>
  </si>
  <si>
    <t>Texas Lutheran University</t>
  </si>
  <si>
    <t>The University of Texas Permian Basin</t>
  </si>
  <si>
    <t>The University of Texas at San Antonio</t>
  </si>
  <si>
    <t>Texas Tech University</t>
  </si>
  <si>
    <t>Texas Wesleyan University</t>
  </si>
  <si>
    <t>Texas Woman's University</t>
  </si>
  <si>
    <t>The University of Texas Health Science Center at Houston</t>
  </si>
  <si>
    <t>Texas Tech University Health Sciences Center</t>
  </si>
  <si>
    <t>Universal Technical Institute of Texas Inc. (2 year)</t>
  </si>
  <si>
    <t>Vernon College (2 year)</t>
  </si>
  <si>
    <t>Victoria College (2 year)</t>
  </si>
  <si>
    <t>Wayland Baptist University</t>
  </si>
  <si>
    <t>Weatherford College</t>
  </si>
  <si>
    <t>West Texas A &amp; M University</t>
  </si>
  <si>
    <t>Western Texas College (2 year)</t>
  </si>
  <si>
    <t>Wharton County Junior College (2 year)</t>
  </si>
  <si>
    <t>Brigham Young University-Hawaii</t>
  </si>
  <si>
    <t>Broadview College</t>
  </si>
  <si>
    <t>Dixie State University</t>
  </si>
  <si>
    <t>Evans Hairstyling College-Cedar City (2 year)</t>
  </si>
  <si>
    <t>Evans Hairstyling College-St George (2 year)</t>
  </si>
  <si>
    <t>Eagle Gate College-Murray</t>
  </si>
  <si>
    <t>Ensign College</t>
  </si>
  <si>
    <t>Snow College</t>
  </si>
  <si>
    <t>Southern Utah University</t>
  </si>
  <si>
    <t>Stevens-Henager College</t>
  </si>
  <si>
    <t>Utah State University</t>
  </si>
  <si>
    <t>Utah Valley University</t>
  </si>
  <si>
    <t>Salt Lake Community College (2 year)</t>
  </si>
  <si>
    <t>University of Utah</t>
  </si>
  <si>
    <t>Bennington College</t>
  </si>
  <si>
    <t>Castleton University</t>
  </si>
  <si>
    <t>Champlain College</t>
  </si>
  <si>
    <t>Community College of Vermont (2 year)</t>
  </si>
  <si>
    <t>Goddard College</t>
  </si>
  <si>
    <t>Northern Vermont University</t>
  </si>
  <si>
    <t>New England Culinary Institute</t>
  </si>
  <si>
    <t>Norwich University</t>
  </si>
  <si>
    <t>Saint Michael's College</t>
  </si>
  <si>
    <t>SIT Graduate Institute</t>
  </si>
  <si>
    <t>Vermont Law School</t>
  </si>
  <si>
    <t>Vermont Technical College</t>
  </si>
  <si>
    <t>Advanced Technology Institute (2 year)</t>
  </si>
  <si>
    <t>Averett University</t>
  </si>
  <si>
    <t>Bluefield University</t>
  </si>
  <si>
    <t>Bridgewater College</t>
  </si>
  <si>
    <t>William &amp; Mary</t>
  </si>
  <si>
    <t>Regent University</t>
  </si>
  <si>
    <t>Central Virginia Community College (2 year)</t>
  </si>
  <si>
    <t>Christopher Newport University</t>
  </si>
  <si>
    <t>Bryant &amp; Stratton College-Virginia Beach</t>
  </si>
  <si>
    <t>Dabney S Lancaster Community College (2 year)</t>
  </si>
  <si>
    <t>Danville Community College (2 year)</t>
  </si>
  <si>
    <t>Eastern Virginia Medical School</t>
  </si>
  <si>
    <t>Centura College-Virginia Beach</t>
  </si>
  <si>
    <t>Emory &amp; Henry College</t>
  </si>
  <si>
    <t>Eastern Mennonite University</t>
  </si>
  <si>
    <t>Eastern Shore Community College (2 year)</t>
  </si>
  <si>
    <t>Ferrum College</t>
  </si>
  <si>
    <t>George Mason University</t>
  </si>
  <si>
    <t>Germanna Community College (2 year)</t>
  </si>
  <si>
    <t>Hampden-Sydney College (Male only)</t>
  </si>
  <si>
    <t>Hollins University (Female only)</t>
  </si>
  <si>
    <t>J Sargeant Reynolds Community College (2 year)</t>
  </si>
  <si>
    <t>Brightpoint Community College (2 year)</t>
  </si>
  <si>
    <t>Longwood University</t>
  </si>
  <si>
    <t>Laurel Ridge Community College (2 year)</t>
  </si>
  <si>
    <t>University of Lynchburg</t>
  </si>
  <si>
    <t>Centra College</t>
  </si>
  <si>
    <t>Mary Baldwin University</t>
  </si>
  <si>
    <t>University of Mary Washington</t>
  </si>
  <si>
    <t>Sovah School of Health Professions (Female only, 2 year)</t>
  </si>
  <si>
    <t>Mountain Empire Community College (2 year)</t>
  </si>
  <si>
    <t>American National University</t>
  </si>
  <si>
    <t>New River Community College (2 year)</t>
  </si>
  <si>
    <t>Sentara College of Health Sciences</t>
  </si>
  <si>
    <t>Old Dominion University</t>
  </si>
  <si>
    <t>Patrick Henry Community College (2 year)</t>
  </si>
  <si>
    <t>Paul D Camp Community College (2 year)</t>
  </si>
  <si>
    <t>Southside College of Health Sciences (2 year)</t>
  </si>
  <si>
    <t>Piedmont Virginia Community College (2 year)</t>
  </si>
  <si>
    <t>Radford University</t>
  </si>
  <si>
    <t>Randolph-Macon College</t>
  </si>
  <si>
    <t>Randolph College</t>
  </si>
  <si>
    <t>Rappahannock Community College (2 year)</t>
  </si>
  <si>
    <t>Fortis College-Norfolk (2 year)</t>
  </si>
  <si>
    <t>Richard Bland College (2 year)</t>
  </si>
  <si>
    <t>Bon Secours Memorial College of Nursing</t>
  </si>
  <si>
    <t>Riverside College of Health Careers</t>
  </si>
  <si>
    <t>Roanoke College</t>
  </si>
  <si>
    <t>Bon Secours St Mary's Hospital School of Medical Imaging (2 year)</t>
  </si>
  <si>
    <t>Shenandoah University</t>
  </si>
  <si>
    <t>Southeastern Free Will Baptist Bible College</t>
  </si>
  <si>
    <t>Southern Virginia University</t>
  </si>
  <si>
    <t>Southside Virginia Community College (2 year)</t>
  </si>
  <si>
    <t>Southwest Virginia Community College (2 year)</t>
  </si>
  <si>
    <t>Strayer University-Virginia</t>
  </si>
  <si>
    <t>Sweet Briar College (Female only)</t>
  </si>
  <si>
    <t>Virginia Peninsula Community College (2 year)</t>
  </si>
  <si>
    <t>Tidewater Community College (2 year)</t>
  </si>
  <si>
    <t>Union Presbyterian Seminary</t>
  </si>
  <si>
    <t>University of Virginia's College at Wise</t>
  </si>
  <si>
    <t>Virginia Highlands Community College (2 year)</t>
  </si>
  <si>
    <t>Virginia Polytechnic Institute and State University</t>
  </si>
  <si>
    <t>Virginia Western Community College (2 year)</t>
  </si>
  <si>
    <t>Virginia Commonwealth University</t>
  </si>
  <si>
    <t>Virginia Military Institute</t>
  </si>
  <si>
    <t>Virginia University of Lynchburg (HBCU)</t>
  </si>
  <si>
    <t>Virginia State University (HBCU)</t>
  </si>
  <si>
    <t>Virginia Union University (HBCU)</t>
  </si>
  <si>
    <t>Virginia Wesleyan University</t>
  </si>
  <si>
    <t>Wytheville Community College (2 year)</t>
  </si>
  <si>
    <t>Bellevue College</t>
  </si>
  <si>
    <t>Bellingham Technical College</t>
  </si>
  <si>
    <t>Central Washington University</t>
  </si>
  <si>
    <t>Centralia College</t>
  </si>
  <si>
    <t>City University of Seattle</t>
  </si>
  <si>
    <t>Clark College</t>
  </si>
  <si>
    <t>Clover Park Technical College</t>
  </si>
  <si>
    <t>Columbia Basin College</t>
  </si>
  <si>
    <t>Cornish College of the Arts</t>
  </si>
  <si>
    <t>Eastern Washington University</t>
  </si>
  <si>
    <t>Edmonds College</t>
  </si>
  <si>
    <t>Everett Community College (2 year)</t>
  </si>
  <si>
    <t>The Evergreen State College</t>
  </si>
  <si>
    <t>Gonzaga University</t>
  </si>
  <si>
    <t>Grays Harbor College</t>
  </si>
  <si>
    <t>Green River College</t>
  </si>
  <si>
    <t>Heritage University</t>
  </si>
  <si>
    <t>Highline College</t>
  </si>
  <si>
    <t>Bastyr University</t>
  </si>
  <si>
    <t>Bates Technical College (2 year)</t>
  </si>
  <si>
    <t>Lake Washington Institute of Technology</t>
  </si>
  <si>
    <t>Lower Columbia College</t>
  </si>
  <si>
    <t>North Seattle College</t>
  </si>
  <si>
    <t>Northwest University</t>
  </si>
  <si>
    <t>Olympic College</t>
  </si>
  <si>
    <t>Perry Technical Institute (2 year)</t>
  </si>
  <si>
    <t>Pacific Lutheran University</t>
  </si>
  <si>
    <t>Peninsula College</t>
  </si>
  <si>
    <t>University of Puget Sound</t>
  </si>
  <si>
    <t>Renton Technical College</t>
  </si>
  <si>
    <t>Saint Martin's University</t>
  </si>
  <si>
    <t>Seattle Central College</t>
  </si>
  <si>
    <t>Shoreline Community College (2 year)</t>
  </si>
  <si>
    <t>South Puget Sound Community College (2 year)</t>
  </si>
  <si>
    <t>Spokane Community College</t>
  </si>
  <si>
    <t>Spokane Falls Community College</t>
  </si>
  <si>
    <t>Tacoma Community College</t>
  </si>
  <si>
    <t>Walla Walla Community College</t>
  </si>
  <si>
    <t>Walla Walla University</t>
  </si>
  <si>
    <t>Washington State University</t>
  </si>
  <si>
    <t>University of Washington-Seattle Campus</t>
  </si>
  <si>
    <t>Wenatchee Valley College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</si>
  <si>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</si>
  <si>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</si>
  <si>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</si>
  <si>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</si>
  <si>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</si>
  <si>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</si>
  <si>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Bible College</t>
  </si>
  <si>
    <t>Bluefield State College (HBCU)</t>
  </si>
  <si>
    <t>Charleston School of Beauty Culture (2 year)</t>
  </si>
  <si>
    <t>University of Charleston</t>
  </si>
  <si>
    <t>Clarksburg Beauty Academy and School of Massage Therapy (2 year)</t>
  </si>
  <si>
    <t>Concord University</t>
  </si>
  <si>
    <t>Davis &amp; Elkins College</t>
  </si>
  <si>
    <t>Fairmont State University</t>
  </si>
  <si>
    <t>Glenville State University</t>
  </si>
  <si>
    <t>Huntington Junior College (2 year)</t>
  </si>
  <si>
    <t>Marshall University</t>
  </si>
  <si>
    <t>Mercer County Technical Education Center (2 year)</t>
  </si>
  <si>
    <t>Meredith Manor International Equestrian Center (2 year)</t>
  </si>
  <si>
    <t>Morgantown Beauty College Inc (Female only, 2 year)</t>
  </si>
  <si>
    <t>Mountain State College (Female only, 2 year)</t>
  </si>
  <si>
    <t>Ohio Valley University</t>
  </si>
  <si>
    <t>West Virginia University at Parkersburg</t>
  </si>
  <si>
    <t>Potomac State College of West Virginia University</t>
  </si>
  <si>
    <t>Salem University</t>
  </si>
  <si>
    <t>Shepherd University</t>
  </si>
  <si>
    <t>Southern West Virginia Community and Technical College (2 year)</t>
  </si>
  <si>
    <t>Fred W Eberle Technical Center (2 year)</t>
  </si>
  <si>
    <t>West Virginia School of Osteopathic Medicine</t>
  </si>
  <si>
    <t>West Virginia State University (HBCU)</t>
  </si>
  <si>
    <t>West Virginia University Hospital Departments of Rad Tech and Nutrition</t>
  </si>
  <si>
    <t>West Liberty University</t>
  </si>
  <si>
    <t>West Virginia University Institute of Technology</t>
  </si>
  <si>
    <t>West Virginia Wesleyan College</t>
  </si>
  <si>
    <t>West Virginia Junior College-Charleston (2 year)</t>
  </si>
  <si>
    <t>West Virginia Junior College-Morgantown (2 year)</t>
  </si>
  <si>
    <t>International Beauty School 4 (2 year)</t>
  </si>
  <si>
    <t>West Virginia Northern Community College (2 year)</t>
  </si>
  <si>
    <t>Wheeling University</t>
  </si>
  <si>
    <t>VICI Beauty School (Female only, 2 year)</t>
  </si>
  <si>
    <t>Alverno College</t>
  </si>
  <si>
    <t>Bellin College</t>
  </si>
  <si>
    <t>Blackhawk Technical College (2 year)</t>
  </si>
  <si>
    <t>Cardinal Stritch University</t>
  </si>
  <si>
    <t>Carroll University</t>
  </si>
  <si>
    <t>Columbia College of Nursing</t>
  </si>
  <si>
    <t>Gateway Technical College (2 year)</t>
  </si>
  <si>
    <t>The Professional Hair Design Academy (2 year)</t>
  </si>
  <si>
    <t>Lakeshore Technical College (2 year)</t>
  </si>
  <si>
    <t>Lawrence University</t>
  </si>
  <si>
    <t>Maranatha Baptist University</t>
  </si>
  <si>
    <t>Medical College of Wisconsin</t>
  </si>
  <si>
    <t>Mid-State Technical College (2 year)</t>
  </si>
  <si>
    <t>Milwaukee Institute of Art &amp; Design</t>
  </si>
  <si>
    <t>Moraine Park Technical College (2 year)</t>
  </si>
  <si>
    <t>Mount Mary University (Female only)</t>
  </si>
  <si>
    <t>Nashotah House</t>
  </si>
  <si>
    <t>Nicolet Area Technical College (2 year)</t>
  </si>
  <si>
    <t>Northcentral Technical College (2 year)</t>
  </si>
  <si>
    <t>Northeast Wisconsin Technical College (2 year)</t>
  </si>
  <si>
    <t>Northland College</t>
  </si>
  <si>
    <t>Sacred Heart Seminary and School of Theology</t>
  </si>
  <si>
    <t>Southwest Wisconsin Technical College (2 year)</t>
  </si>
  <si>
    <t>Viterbo University</t>
  </si>
  <si>
    <t>Waukesha County Technical College (2 year)</t>
  </si>
  <si>
    <t>Western Technical College (2 year)</t>
  </si>
  <si>
    <t>University of Wisconsin-Whitewater</t>
  </si>
  <si>
    <t>Northwood Technical College (2 year)</t>
  </si>
  <si>
    <t>Wisconsin School of Professional Psychology</t>
  </si>
  <si>
    <t>University of Wisconsin-Eau Claire</t>
  </si>
  <si>
    <t>University of Wisconsin-La Crosse</t>
  </si>
  <si>
    <t>Wisconsin Lutheran College</t>
  </si>
  <si>
    <t>University of Wisconsin-Stout</t>
  </si>
  <si>
    <t>University of Wisconsin-Superior</t>
  </si>
  <si>
    <t>University of Wisconsin-River Falls</t>
  </si>
  <si>
    <t>University of Wisconsin-Stevens Point</t>
  </si>
  <si>
    <t>Casper College (2 year)</t>
  </si>
  <si>
    <t>Central Wyoming College</t>
  </si>
  <si>
    <t>Eastern Wyoming College (2 year)</t>
  </si>
  <si>
    <t>Laramie County Community College</t>
  </si>
  <si>
    <t>Northwest College</t>
  </si>
  <si>
    <t>Northern Wyoming Community College District (2 year)</t>
  </si>
  <si>
    <t>Western Wyoming Community College</t>
  </si>
  <si>
    <t>WyoTech (2 year)</t>
  </si>
  <si>
    <t>University of Wyoming</t>
  </si>
  <si>
    <t>American Samoa Community College</t>
  </si>
  <si>
    <t>Guam Community College</t>
  </si>
  <si>
    <t>University of Guam</t>
  </si>
  <si>
    <t>Northern Marianas College</t>
  </si>
  <si>
    <t>Educational Technical College-Recinto de Bayamon (2 year)</t>
  </si>
  <si>
    <t>American University of Puerto Rico</t>
  </si>
  <si>
    <t>American Educational College (2 year)</t>
  </si>
  <si>
    <t>Antilles School of Technical Careers (2 year)</t>
  </si>
  <si>
    <t>Universidad Adventista de las Antillas</t>
  </si>
  <si>
    <t>Atlantic University College</t>
  </si>
  <si>
    <t>Universidad Central de Bayamon</t>
  </si>
  <si>
    <t>Columbia Central University-Caguas</t>
  </si>
  <si>
    <t>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</si>
  <si>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</si>
  <si>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</si>
  <si>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</si>
  <si>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</si>
  <si>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</si>
  <si>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</si>
  <si>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</si>
  <si>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Ana G. Mendez-Cupey Campus</t>
  </si>
  <si>
    <t>Conservatory of Music of Puerto Rico</t>
  </si>
  <si>
    <t>Center for Advanced Studies On Puerto Rico and the Caribbean</t>
  </si>
  <si>
    <t>EDP University of Puerto Rico Inc-San Sebastian</t>
  </si>
  <si>
    <t>Escuela de Artes Plasticas y Diseno de Puerto Rico</t>
  </si>
  <si>
    <t>Instituto Tecnologico de Puerto Rico-Recinto de Manati (2 year)</t>
  </si>
  <si>
    <t>Huertas College</t>
  </si>
  <si>
    <t>Humacao Community College</t>
  </si>
  <si>
    <t>ICPR Junior College-Arecibo (2 year)</t>
  </si>
  <si>
    <t>ICPR Junior College-Mayaguez (2 year)</t>
  </si>
  <si>
    <t>Instituto Tecnologico de Puerto Rico-Recinto de Guayama (2 year)</t>
  </si>
  <si>
    <t>Instituto Tecnologico de Puerto Rico-Recinto de Ponce (2 year)</t>
  </si>
  <si>
    <t>Instituto Tecnologico de Puerto Rico-Recinto de San Juan (2 year)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</si>
  <si>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</si>
  <si>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</si>
  <si>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</si>
  <si>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</si>
  <si>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</si>
  <si>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</si>
  <si>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</si>
  <si>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</si>
  <si>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</si>
  <si>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Inter American University of Puerto Rico-School of Law</t>
  </si>
  <si>
    <t>Liceo de Arte y Tecnologia (2 year)</t>
  </si>
  <si>
    <t>NUC University</t>
  </si>
  <si>
    <t>Ponce Health Sciences University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</si>
  <si>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</si>
  <si>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</si>
  <si>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</si>
  <si>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</si>
  <si>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</si>
  <si>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Rico-Utuado</t>
  </si>
  <si>
    <t>University of Puerto Rico-Medical Sciences</t>
  </si>
  <si>
    <t>University of Puerto Rico at Ponce</t>
  </si>
  <si>
    <t>University of Puerto Rico-Rio Piedras</t>
  </si>
  <si>
    <t>Universidad Ana G. Mendez-Carolina Campus</t>
  </si>
  <si>
    <t>Universidad del Sagrado Corazon</t>
  </si>
  <si>
    <t>Seminario Evangelico de Puerto Rico</t>
  </si>
  <si>
    <t>Universidad Central Del Caribe</t>
  </si>
  <si>
    <t>Universidad Politecnica de Puerto Rico</t>
  </si>
  <si>
    <t>Pontifical Catholic University of Puerto Rico-Mayaguez</t>
  </si>
  <si>
    <t>Universidad Ana G. Mendez-Gurabo Campus</t>
  </si>
  <si>
    <t>College of Micronesia-FSM</t>
  </si>
  <si>
    <t>Palau Community College (2 year)</t>
  </si>
  <si>
    <t>University of the Virgin Islands (HBCU)</t>
  </si>
  <si>
    <t>Parker University</t>
  </si>
  <si>
    <t>EDP University of Puerto Rico Inc-San Juan</t>
  </si>
  <si>
    <t>ICPR Junior College (2 year)</t>
  </si>
  <si>
    <t>City College-Fort Lauderdale</t>
  </si>
  <si>
    <t>Meridian College (Female only, 2 year)</t>
  </si>
  <si>
    <t>Georgia Piedmont Technical College (2 year)</t>
  </si>
  <si>
    <t>Warren County Community College (2 year)</t>
  </si>
  <si>
    <t>Bais Medrash Elyon (Male only)</t>
  </si>
  <si>
    <t>Antioch University-Los Angeles</t>
  </si>
  <si>
    <t>Antioch University-Santa Barbara</t>
  </si>
  <si>
    <t>Antioch University-New England</t>
  </si>
  <si>
    <t>Antioch University-Seattle</t>
  </si>
  <si>
    <t>Antioch University</t>
  </si>
  <si>
    <t>Mid-America Christian University</t>
  </si>
  <si>
    <t>Miller-Motte College-Platt College-Tulsa (2 year)</t>
  </si>
  <si>
    <t>Houston Graduate School of Theology</t>
  </si>
  <si>
    <t>Palo Alto College (2 year)</t>
  </si>
  <si>
    <t>Unification Theological Seminary</t>
  </si>
  <si>
    <t>Athens Technical College (2 year)</t>
  </si>
  <si>
    <t>Carrington College-San Leandro Campus (2 year)</t>
  </si>
  <si>
    <t>Beckfield College-Florence</t>
  </si>
  <si>
    <t>Ecumenical Theological Seminary</t>
  </si>
  <si>
    <t>Sussex County Community College (2 year)</t>
  </si>
  <si>
    <t>Landmark College</t>
  </si>
  <si>
    <t>Yeshiva Gedolah of Greater Detroit (Male only)</t>
  </si>
  <si>
    <t>Austin Graduate School of Theology</t>
  </si>
  <si>
    <t>Owensboro Community and Technical College (2 year)</t>
  </si>
  <si>
    <t>Moore Norman Technology Center (2 year)</t>
  </si>
  <si>
    <t>Tennessee College of Applied Technology Nashville (2 year)</t>
  </si>
  <si>
    <t>ECPI University</t>
  </si>
  <si>
    <t>Fortis Institute-Forty Fort (2 year)</t>
  </si>
  <si>
    <t>Laurel Business Institute (2 year)</t>
  </si>
  <si>
    <t>Aviation Institute of Maintenance-Philadelphia (2 year)</t>
  </si>
  <si>
    <t>Moler-Pickens Beauty Academy (2 year)</t>
  </si>
  <si>
    <t>Southern Union State Community College (2 year)</t>
  </si>
  <si>
    <t>South University-Columbia</t>
  </si>
  <si>
    <t>Lac Courte Oreilles Ojibwe College</t>
  </si>
  <si>
    <t>Pima Medical Institute-Mesa (2 year)</t>
  </si>
  <si>
    <t>Platt College-Los Angeles</t>
  </si>
  <si>
    <t>Platt College-Aurora</t>
  </si>
  <si>
    <t>Northwestern College (Female only)</t>
  </si>
  <si>
    <t>Douglas J Aveda Institute (2 year)</t>
  </si>
  <si>
    <t>West Virginia Junior College-United Career Institute (Female only, 2 year)</t>
  </si>
  <si>
    <t>Bethel Seminary-San Diego (Female only)</t>
  </si>
  <si>
    <t>St Charles Community College (2 year)</t>
  </si>
  <si>
    <t>New College of Florida</t>
  </si>
  <si>
    <t>Montana Bible College</t>
  </si>
  <si>
    <t>San Joaquin Valley College-Fresno (2 year)</t>
  </si>
  <si>
    <t>Raphael's School of Beauty Culture Inc-Alliance (Female only, 2 year)</t>
  </si>
  <si>
    <t>Metro Technology Centers (2 year)</t>
  </si>
  <si>
    <t>Hussian College-Daymar College Bowling Green (2 year)</t>
  </si>
  <si>
    <t>Luna Community College (2 year)</t>
  </si>
  <si>
    <t>Yeshivah Gedolah Rabbinical College (Male only)</t>
  </si>
  <si>
    <t>University of the District of Columbia-David A Clarke School of Law (HBCU)</t>
  </si>
  <si>
    <t>Raphael's School of Beauty Culture Inc-Brunswick (Female only, 2 year)</t>
  </si>
  <si>
    <t>Caribbean University-Ponce</t>
  </si>
  <si>
    <t>Caribbean University-Vega Baja</t>
  </si>
  <si>
    <t>University of Advancing Technology</t>
  </si>
  <si>
    <t>Paradise Valley Community College (2 year)</t>
  </si>
  <si>
    <t>Chandler-Gilbert Community College (2 year)</t>
  </si>
  <si>
    <t>Great Plains Technology Center (2 year)</t>
  </si>
  <si>
    <t>Roane-Jackson Technical Center (Female only, 2 year)</t>
  </si>
  <si>
    <t>Vista College (2 year)</t>
  </si>
  <si>
    <t>Autry Technology Center (2 year)</t>
  </si>
  <si>
    <t>Canadian Valley Technology Center (2 year)</t>
  </si>
  <si>
    <t>Meridian Technology Center (2 year)</t>
  </si>
  <si>
    <t>Capitol School of Hairstyling and Esthetics (Female only, 2 year)</t>
  </si>
  <si>
    <t>South Florida Bible College and Theological Seminary</t>
  </si>
  <si>
    <t>Pennsylvania College of Technology</t>
  </si>
  <si>
    <t>Commonwealth Institute of Funeral Service (2 year)</t>
  </si>
  <si>
    <t>Delta College of Arts &amp; Technology (Female only, 2 year)</t>
  </si>
  <si>
    <t>Stone Child College</t>
  </si>
  <si>
    <t>New York Academy of Art</t>
  </si>
  <si>
    <t>Suffolk County Community College (2 year)</t>
  </si>
  <si>
    <t>Las Positas College (2 year)</t>
  </si>
  <si>
    <t>Ogeechee Technical College (2 year)</t>
  </si>
  <si>
    <t>Remington College-Mobile Campus (2 year)</t>
  </si>
  <si>
    <t>Southern Technical College</t>
  </si>
  <si>
    <t>Mercy-St Luke's School of Radiologic Technology (2 year)</t>
  </si>
  <si>
    <t>Southwest Acupuncture College-Santa Fe</t>
  </si>
  <si>
    <t>California State University-San Marcos</t>
  </si>
  <si>
    <t>Interactive College of Technology-Newport (2 year)</t>
  </si>
  <si>
    <t>Miller-Motte College-McCann-Monroe (2 year)</t>
  </si>
  <si>
    <t>Interactive College of Technology (2 year)</t>
  </si>
  <si>
    <t>NorthWest Arkansas Community College (2 year)</t>
  </si>
  <si>
    <t>Brewster Technical College (2 year)</t>
  </si>
  <si>
    <t>Hodges University</t>
  </si>
  <si>
    <t>University of St. Augustine for Health Sciences</t>
  </si>
  <si>
    <t>Hussian College-Daymar College Clarksville</t>
  </si>
  <si>
    <t>Nossi College of Art</t>
  </si>
  <si>
    <t>Pima Medical Institute-Seattle (2 year)</t>
  </si>
  <si>
    <t>Southeastern Technical College (2 year)</t>
  </si>
  <si>
    <t>Massachusetts School of Law</t>
  </si>
  <si>
    <t>Universal Technical Institute-Auto Motorcycle &amp; Marine Mechanics Institute Division-Orlando (Male only, 2 year)</t>
  </si>
  <si>
    <t>Erwin Technical College (2 year)</t>
  </si>
  <si>
    <t>Worsham College of Mortuary Science (2 year)</t>
  </si>
  <si>
    <t>Oregon College of Oriental Medicine</t>
  </si>
  <si>
    <t>Central Pennsylvania Institute of Science and Technology (2 year)</t>
  </si>
  <si>
    <t>Downey Adult School (2 year)</t>
  </si>
  <si>
    <t>Modern Technology School (2 year)</t>
  </si>
  <si>
    <t>Fremont College</t>
  </si>
  <si>
    <t>IBMC College (2 year)</t>
  </si>
  <si>
    <t>Fortis College-Smyrna (2 year)</t>
  </si>
  <si>
    <t>Ross College-Davenport (Female only, 2 year)</t>
  </si>
  <si>
    <t>Yeshiva Gedolah Imrei Yosef D'spinka (Male only)</t>
  </si>
  <si>
    <t>Madison Adult Career Center (2 year)</t>
  </si>
  <si>
    <t>Remington College-Cleveland Campus (2 year)</t>
  </si>
  <si>
    <t>Gordon Cooper Technology Center (2 year)</t>
  </si>
  <si>
    <t>YTI Career Institute-Altoona (2 year)</t>
  </si>
  <si>
    <t>CEM College-Humacao</t>
  </si>
  <si>
    <t>EDIC College</t>
  </si>
  <si>
    <t>Universal Technology College of Puerto Rico</t>
  </si>
  <si>
    <t>College of the Marshall Islands</t>
  </si>
  <si>
    <t>Remington College-Fort Worth Campus (2 year)</t>
  </si>
  <si>
    <t>School of Automotive Machinists &amp; Technology (Male only, 2 year)</t>
  </si>
  <si>
    <t>Vista College-Online</t>
  </si>
  <si>
    <t>Centura College-Newport News (2 year)</t>
  </si>
  <si>
    <t>Centura College-Norfolk (2 year)</t>
  </si>
  <si>
    <t>Northwest College of Art &amp; Design</t>
  </si>
  <si>
    <t>University of Washington-Bothell Campus</t>
  </si>
  <si>
    <t>University of Washington-Tacoma Campus</t>
  </si>
  <si>
    <t>Huntington School of Beauty Culture (2 year)</t>
  </si>
  <si>
    <t>Valley College-Martinsburg</t>
  </si>
  <si>
    <t>Bellus Academy-Poway (2 year)</t>
  </si>
  <si>
    <t>Central Coast College (2 year)</t>
  </si>
  <si>
    <t>Pacific College of Health and Science</t>
  </si>
  <si>
    <t>National Aviation Academy of Tampa Bay (2 year)</t>
  </si>
  <si>
    <t>College of Health Care Professions (2 year)</t>
  </si>
  <si>
    <t>Center for Advanced Legal Studies (2 year)</t>
  </si>
  <si>
    <t>Bay Mills Community College</t>
  </si>
  <si>
    <t>Fond du Lac Tribal and Community College (2 year)</t>
  </si>
  <si>
    <t>Northwest Indian College</t>
  </si>
  <si>
    <t>Provo College</t>
  </si>
  <si>
    <t>University of Phoenix-Utah</t>
  </si>
  <si>
    <t>Colorado School of Traditional Chinese Medicine</t>
  </si>
  <si>
    <t>Phoenix Seminary</t>
  </si>
  <si>
    <t>Faust Institute of Cosmetology-Spirit Lake (2 year)</t>
  </si>
  <si>
    <t>Southwest Collegiate Institute for the Deaf (2 year)</t>
  </si>
  <si>
    <t>Fortis College-Richmond (2 year)</t>
  </si>
  <si>
    <t>Midwest College of Oriental Medicine-Racine</t>
  </si>
  <si>
    <t>Hacienda La Puente Adult Education (2 year)</t>
  </si>
  <si>
    <t>Hawaii Community College (2 year)</t>
  </si>
  <si>
    <t>Eastern New Mexico University Ruidoso Branch Community College (2 year)</t>
  </si>
  <si>
    <t>Beacon College</t>
  </si>
  <si>
    <t>Acupuncture and Integrative Medicine College-Berkeley</t>
  </si>
  <si>
    <t>Estrella Mountain Community College (2 year)</t>
  </si>
  <si>
    <t>University of the Potomac-Washington DC Campus</t>
  </si>
  <si>
    <t>Rabbi Jacob Joseph School (Male only)</t>
  </si>
  <si>
    <t>Albert Einstein College of Medicine</t>
  </si>
  <si>
    <t>Fortis Institute-Scranton (2 year)</t>
  </si>
  <si>
    <t>Everglades University</t>
  </si>
  <si>
    <t>Seminar L'moros Bais Yaakov (Female only, 2 year)</t>
  </si>
  <si>
    <t>College of Biblical Studies-Houston</t>
  </si>
  <si>
    <t>Inner State Beauty School (Female only, 2 year)</t>
  </si>
  <si>
    <t>The College of Health Care Professions-Northwest</t>
  </si>
  <si>
    <t>School of Professional Horticulture, New York Botanical Garden (2 year)</t>
  </si>
  <si>
    <t>Fortis College (2 year)</t>
  </si>
  <si>
    <t>Copper Mountain Community College (2 year)</t>
  </si>
  <si>
    <t>Santiago Canyon College (2 year)</t>
  </si>
  <si>
    <t>Southern California Institute of Technology (Male only)</t>
  </si>
  <si>
    <t>Los Angeles Pacific College (2 year)</t>
  </si>
  <si>
    <t>World Mission University</t>
  </si>
  <si>
    <t>Yo San University of Traditional Chinese Medicine</t>
  </si>
  <si>
    <t>Southwest University of Visual Arts-Albuquerque</t>
  </si>
  <si>
    <t>Frontier Community College (2 year)</t>
  </si>
  <si>
    <t>Lincoln Trail College (2 year)</t>
  </si>
  <si>
    <t>Wabash Valley College (2 year)</t>
  </si>
  <si>
    <t>Brookline College-Tempe (2 year)</t>
  </si>
  <si>
    <t>Inter American University of Puerto Rico-School of Optometry</t>
  </si>
  <si>
    <t>Schiller International University</t>
  </si>
  <si>
    <t>Coconino Community College (2 year)</t>
  </si>
  <si>
    <t>Columbia Central University-Yauco</t>
  </si>
  <si>
    <t>Pima Medical Institute-Denver (2 year)</t>
  </si>
  <si>
    <t>ASA College</t>
  </si>
  <si>
    <t>Ohio State School of Cosmetology-Heath (Female only, 2 year)</t>
  </si>
  <si>
    <t>Yeshivas Novominsk (Male only)</t>
  </si>
  <si>
    <t>Rabbinical College of Ohr Shimon Yisroel (Male only)</t>
  </si>
  <si>
    <t>Carroll Community College (2 year)</t>
  </si>
  <si>
    <t>Galen College of Nursing-Tampa Bay</t>
  </si>
  <si>
    <t>Galen College of Nursing-San Antonio</t>
  </si>
  <si>
    <t>City College-Gainesville (2 year)</t>
  </si>
  <si>
    <t>Xenon International Academy-Omaha (2 year)</t>
  </si>
  <si>
    <t>Raphael's School of Beauty Culture Inc-Boardman (Female only, 2 year)</t>
  </si>
  <si>
    <t>Pacific Bible College</t>
  </si>
  <si>
    <t>Lake Erie College of Osteopathic Medicine</t>
  </si>
  <si>
    <t>Florida National University-Main Campus</t>
  </si>
  <si>
    <t>South Texas College</t>
  </si>
  <si>
    <t>Roger Williams University School of Law</t>
  </si>
  <si>
    <t>California State University-Monterey Bay</t>
  </si>
  <si>
    <t>Cleveland Clinic Health System-School of Diagnostic Imaging (2 year)</t>
  </si>
  <si>
    <t>Academy for Nursing and Health Occupations (2 year)</t>
  </si>
  <si>
    <t>Remington College-Memphis Campus</t>
  </si>
  <si>
    <t>College of Menominee Nation</t>
  </si>
  <si>
    <t>Leech Lake Tribal College (2 year)</t>
  </si>
  <si>
    <t>Spartan College of Aeronautics &amp; Technology (2 year)</t>
  </si>
  <si>
    <t>Stone Academy-Waterbury (2 year)</t>
  </si>
  <si>
    <t>Mech-Tech College (Male only, 2 year)</t>
  </si>
  <si>
    <t>Johnson &amp; Wales University-North Miami</t>
  </si>
  <si>
    <t>Trine University-Regional/Non-Traditional Campuses</t>
  </si>
  <si>
    <t>Pennsylvania Highlands Community College (2 year)</t>
  </si>
  <si>
    <t>Nevada Career Institute (2 year)</t>
  </si>
  <si>
    <t>Phillips Theological Seminary</t>
  </si>
  <si>
    <t>Premiere Career College (2 year)</t>
  </si>
  <si>
    <t>The University of Texas MD Anderson Cancer Center</t>
  </si>
  <si>
    <t>Cedars Sinai Medical Center</t>
  </si>
  <si>
    <t>CT Aero Tech School (Male only, 2 year)</t>
  </si>
  <si>
    <t>Stratford School for Aviation Maintenance Technicians (2 year)</t>
  </si>
  <si>
    <t>City College-Altamonte Springs (2 year)</t>
  </si>
  <si>
    <t>Southeast Missouri Hospital College of Nursing and Health Sciences</t>
  </si>
  <si>
    <t>Messenger College</t>
  </si>
  <si>
    <t>New York College of Health Professions</t>
  </si>
  <si>
    <t>Indian Capital Technology Center-Muskogee (2 year)</t>
  </si>
  <si>
    <t>Lancaster County Career and Technology Center (2 year)</t>
  </si>
  <si>
    <t>North Central Institute (2 year)</t>
  </si>
  <si>
    <t>Central California School of Continuing Education (2 year)</t>
  </si>
  <si>
    <t>Atlanta Institute of Music and Media (2 year)</t>
  </si>
  <si>
    <t>Jna Institute of Culinary Arts (2 year)</t>
  </si>
  <si>
    <t>Centura College-Chesapeake</t>
  </si>
  <si>
    <t>University of Phoenix-Hawaii</t>
  </si>
  <si>
    <t>Southwest College of Naturopathic Medicine &amp; Health Sciences</t>
  </si>
  <si>
    <t>Yeshiva D'monsey Rabbinical College (Male only)</t>
  </si>
  <si>
    <t>Lincoln Technical Institute-Mahwah (Male only, 2 year)</t>
  </si>
  <si>
    <t>Career Technical Institute (2 year)</t>
  </si>
  <si>
    <t>Northwest Vista College (2 year)</t>
  </si>
  <si>
    <t>Oconee Fall Line Technical College (2 year)</t>
  </si>
  <si>
    <t>York County Community College (2 year)</t>
  </si>
  <si>
    <t>Western Suffolk BOCES (2 year)</t>
  </si>
  <si>
    <t>Arkansas State University-Mountain Home (2 year)</t>
  </si>
  <si>
    <t>Columbia Gorge Community College (2 year)</t>
  </si>
  <si>
    <t>Bakke Graduate University</t>
  </si>
  <si>
    <t>Tillamook Bay Community College (2 year)</t>
  </si>
  <si>
    <t>Manhattan School of Computer Technology (2 year)</t>
  </si>
  <si>
    <t>Ross College-Hopkinsville (2 year)</t>
  </si>
  <si>
    <t>Living Arts College</t>
  </si>
  <si>
    <t>New York Conservatory for Dramatic Arts (2 year)</t>
  </si>
  <si>
    <t>Eastern International College-Jersey City</t>
  </si>
  <si>
    <t>San Joaquin Valley College-Fresno Aviation (Male only, 2 year)</t>
  </si>
  <si>
    <t>Pacific College</t>
  </si>
  <si>
    <t>American College of Healthcare and Technology (2 year)</t>
  </si>
  <si>
    <t>Compu-Med Vocational Careers Corp (Female only, 2 year)</t>
  </si>
  <si>
    <t>Midwestern University-Glendale</t>
  </si>
  <si>
    <t>Oregon Coast Community College (2 year)</t>
  </si>
  <si>
    <t>Gwinnett College-Sandy Springs (2 year)</t>
  </si>
  <si>
    <t>Embry-Riddle Aeronautical University-Worldwide</t>
  </si>
  <si>
    <t>Merkaz Bnos-Business School (Female only, 2 year)</t>
  </si>
  <si>
    <t>Aviation Institute of Maintenance-Norfolk (2 year)</t>
  </si>
  <si>
    <t>Centura College-Richmond Main (2 year)</t>
  </si>
  <si>
    <t>Miami Ad School (2 year)</t>
  </si>
  <si>
    <t>Nova College de Puerto Rico (2 year)</t>
  </si>
  <si>
    <t>Southeastern College-West Palm Beach (2 year)</t>
  </si>
  <si>
    <t>Ottawa University-Milwaukee</t>
  </si>
  <si>
    <t>Klamath Community College (2 year)</t>
  </si>
  <si>
    <t>American College of Acupuncture and Oriental Med</t>
  </si>
  <si>
    <t>AOMA Graduate School of Integrative Medicine</t>
  </si>
  <si>
    <t>Urban College of Boston (Female only, 2 year)</t>
  </si>
  <si>
    <t>Strayer University-Maryland</t>
  </si>
  <si>
    <t>The Creative Center</t>
  </si>
  <si>
    <t>San Juan Bautista School of Medicine</t>
  </si>
  <si>
    <t>Texas Health and Science University</t>
  </si>
  <si>
    <t>Carver Career Center (2 year)</t>
  </si>
  <si>
    <t>Colegio de CinematografÃ­a Artes y Television (2 year)</t>
  </si>
  <si>
    <t>UPMC Mercy School of Nursing (2 year)</t>
  </si>
  <si>
    <t>Trinity College of Puerto Rico (2 year)</t>
  </si>
  <si>
    <t>Yeshiva of the Telshe Alumni (Male only)</t>
  </si>
  <si>
    <t>Appalachian School of Law</t>
  </si>
  <si>
    <t>Platt College-Ontario</t>
  </si>
  <si>
    <t>Delaware College of Art and Design (2 year)</t>
  </si>
  <si>
    <t>American University of Health Sciences</t>
  </si>
  <si>
    <t>Career Networks Institute</t>
  </si>
  <si>
    <t>Okaloosa Technical College (2 year)</t>
  </si>
  <si>
    <t>Carolinas College of Health Sciences</t>
  </si>
  <si>
    <t>California Aeronautical University</t>
  </si>
  <si>
    <t>Herzing University-New Orleans</t>
  </si>
  <si>
    <t>Florida Gulf Coast University</t>
  </si>
  <si>
    <t>Little Priest Tribal College (2 year)</t>
  </si>
  <si>
    <t>South Louisiana Community College (2 year)</t>
  </si>
  <si>
    <t>Pima Medical Institute-Chula Vista (2 year)</t>
  </si>
  <si>
    <t>Lincoln College of Technology-Marietta (2 year)</t>
  </si>
  <si>
    <t>Myotherapy Institute (2 year)</t>
  </si>
  <si>
    <t>Florida College of Integrative Medicine</t>
  </si>
  <si>
    <t>New Professions Technical Institute (2 year)</t>
  </si>
  <si>
    <t>City College-Miami (2 year)</t>
  </si>
  <si>
    <t>Ilisagvik College</t>
  </si>
  <si>
    <t>Community College of Baltimore County (2 year)</t>
  </si>
  <si>
    <t>Florida Coastal School of Law</t>
  </si>
  <si>
    <t>White Earth Tribal and Community College (2 year)</t>
  </si>
  <si>
    <t>Blue Cliff College-Metairie (Female only, 2 year)</t>
  </si>
  <si>
    <t>Creative Images Institute of Cosmetology-North Dayton (Female only, 2 year)</t>
  </si>
  <si>
    <t>Dewey University-Carolina</t>
  </si>
  <si>
    <t>Yeshiva College of the Nations Capital (Male only)</t>
  </si>
  <si>
    <t>Louisiana State University Health Sciences Center-Shreveport</t>
  </si>
  <si>
    <t>Mr Leon's School of Hair Design-Lewiston (2 year)</t>
  </si>
  <si>
    <t>Southwest Acupuncture College-Boulder</t>
  </si>
  <si>
    <t>River Parishes Community College (2 year)</t>
  </si>
  <si>
    <t>FINE Mortuary College (2 year)</t>
  </si>
  <si>
    <t>International Baptist College and Seminary</t>
  </si>
  <si>
    <t>University of Connecticut-Waterbury Campus</t>
  </si>
  <si>
    <t>University of Connecticut-Avery Point</t>
  </si>
  <si>
    <t>University of Connecticut-Stamford</t>
  </si>
  <si>
    <t>University of Management and Technology</t>
  </si>
  <si>
    <t>Baton Rouge Community College (2 year)</t>
  </si>
  <si>
    <t>IYRS School of Technology &amp; Trades (2 year)</t>
  </si>
  <si>
    <t>Linfield University-School of Nursing</t>
  </si>
  <si>
    <t>Linfield University-Online and Continuing Education</t>
  </si>
  <si>
    <t>The College of Health Care Professions-Austin (2 year)</t>
  </si>
  <si>
    <t>Monteclaro Escuela de Hoteleria y Artes Culinarias (2 year)</t>
  </si>
  <si>
    <t>Chicago School of Professional Psychology-College of Nursing (2 year)</t>
  </si>
  <si>
    <t>Professional Golfers Career College (Male only, 2 year)</t>
  </si>
  <si>
    <t>Chester Career College (2 year)</t>
  </si>
  <si>
    <t>Carrington College-San Jose (2 year)</t>
  </si>
  <si>
    <t>Brookline College-Tucson (2 year)</t>
  </si>
  <si>
    <t>Miller-Motte College-McCann-Lewisburg (2 year)</t>
  </si>
  <si>
    <t>Carrington College-Pleasant Hill Campus (2 year)</t>
  </si>
  <si>
    <t>Stratford University</t>
  </si>
  <si>
    <t>Universal Technical Institute of California Inc (Male only, 2 year)</t>
  </si>
  <si>
    <t>American InterContinental University-Atlanta</t>
  </si>
  <si>
    <t>Eastern West Virginia Community and Technical College (2 year)</t>
  </si>
  <si>
    <t>Aviation Institute of Maintenance-Indianapolis (2 year)</t>
  </si>
  <si>
    <t>Remington College-Little Rock Campus (2 year)</t>
  </si>
  <si>
    <t>Midwest College of Oriental Medicine-Skokie</t>
  </si>
  <si>
    <t>Carrington College-Spokane (2 year)</t>
  </si>
  <si>
    <t>Cascadia College</t>
  </si>
  <si>
    <t>Johnson &amp; Wales University-Denver</t>
  </si>
  <si>
    <t>CBD College</t>
  </si>
  <si>
    <t>Atlantic Institute of Oriental Medicine</t>
  </si>
  <si>
    <t>Blue Cliff College-Lafayette (2 year)</t>
  </si>
  <si>
    <t>Quest College (2 year)</t>
  </si>
  <si>
    <t>Community Care College (2 year)</t>
  </si>
  <si>
    <t>The King's University</t>
  </si>
  <si>
    <t>Fortis College-Baton Rouge (2 year)</t>
  </si>
  <si>
    <t>New York College of Traditional Chinese Medicine</t>
  </si>
  <si>
    <t>Fortis College-Orange Park (2 year)</t>
  </si>
  <si>
    <t>Northeastern Seminary</t>
  </si>
  <si>
    <t>Pacific Islands University</t>
  </si>
  <si>
    <t>PCI College (Female only)</t>
  </si>
  <si>
    <t>Rosedale Bible College (2 year)</t>
  </si>
  <si>
    <t>Seattle Institute of East Asian Medicine</t>
  </si>
  <si>
    <t>Acupuncture and Massage College</t>
  </si>
  <si>
    <t>Upper Valley Educators Institute</t>
  </si>
  <si>
    <t>Keck Graduate Institute</t>
  </si>
  <si>
    <t>Aviation Institute of Maintenance-Atlanta (2 year)</t>
  </si>
  <si>
    <t>New York Automotive and Diesel Institute (2 year)</t>
  </si>
  <si>
    <t>Remington College-Baton Rouge Campus (2 year)</t>
  </si>
  <si>
    <t>New Saint Andrews College</t>
  </si>
  <si>
    <t>Arkansas State University-Newport (2 year)</t>
  </si>
  <si>
    <t>Atenas College</t>
  </si>
  <si>
    <t>National American University-Ellsworth AFB Extension</t>
  </si>
  <si>
    <t>Pillar College</t>
  </si>
  <si>
    <t>Miami Ad School-San Francisco (2 year)</t>
  </si>
  <si>
    <t>Oregon State University-Cascades Campus</t>
  </si>
  <si>
    <t>Southern University Law Center (HBCU)</t>
  </si>
  <si>
    <t>Miller-Motte College-Charleston (2 year)</t>
  </si>
  <si>
    <t>American Career College-Anaheim (2 year)</t>
  </si>
  <si>
    <t>Saginaw Chippewa Tribal College (2 year)</t>
  </si>
  <si>
    <t>Richmont Graduate University</t>
  </si>
  <si>
    <t>The Seattle School of Theology &amp; Psychology</t>
  </si>
  <si>
    <t>Northwest College-Hillsboro (Female only, 2 year)</t>
  </si>
  <si>
    <t>Triad Education</t>
  </si>
  <si>
    <t>Irell &amp; Manella Graduate School of Biological Sciences at City of Hope</t>
  </si>
  <si>
    <t>Ultimate Medical Academy (Female only, 2 year)</t>
  </si>
  <si>
    <t>Florida Education Institute (2 year)</t>
  </si>
  <si>
    <t>Texas County Technical College (2 year)</t>
  </si>
  <si>
    <t>Aviation Institute of Maintenance-Kansas City (2 year)</t>
  </si>
  <si>
    <t>Yeshiva Shaarei Torah of Rockland (Male only)</t>
  </si>
  <si>
    <t>American Institute of Alternative Medicine</t>
  </si>
  <si>
    <t>Brown Aveda Institute-Mentor (Female only, 2 year)</t>
  </si>
  <si>
    <t>Universidad Pentecostal Mizpa</t>
  </si>
  <si>
    <t>Concorde Career College-Grand Prairie (2 year)</t>
  </si>
  <si>
    <t>Lamar Institute of Technology (2 year)</t>
  </si>
  <si>
    <t>Aviation Institute of Maintenance-Dallas (2 year)</t>
  </si>
  <si>
    <t>Eastern Virginia Career College (2 year)</t>
  </si>
  <si>
    <t>Nevada State College</t>
  </si>
  <si>
    <t>California State University-Channel Islands</t>
  </si>
  <si>
    <t>Franklin W Olin College of Engineering</t>
  </si>
  <si>
    <t>Won Institute of Graduate Studies</t>
  </si>
  <si>
    <t>Pima Medical Institute-Colorado Springs (2 year)</t>
  </si>
  <si>
    <t>University of Phoenix-Illinois</t>
  </si>
  <si>
    <t>Birthwise Midwifery School (Female only, 2 year)</t>
  </si>
  <si>
    <t>Ave Maria School of Law</t>
  </si>
  <si>
    <t>Pennsylvania College of Health Sciences</t>
  </si>
  <si>
    <t>West Virginia Junior College-Bridgeport (2 year)</t>
  </si>
  <si>
    <t>Antioch University-PhD Program in Leadership and Change</t>
  </si>
  <si>
    <t>St Louis College of Health Careers-Fenton</t>
  </si>
  <si>
    <t>Interactive College of Technology-Gainesville (2 year)</t>
  </si>
  <si>
    <t>San Joaquin Valley College-Ontario (2 year)</t>
  </si>
  <si>
    <t>Alaska Christian College (2 year)</t>
  </si>
  <si>
    <t>Grantham University</t>
  </si>
  <si>
    <t>Carrington College-Albuquerque (2 year)</t>
  </si>
  <si>
    <t>NASCAR Technical Institute (2 year)</t>
  </si>
  <si>
    <t>University of the Potomac-VA Campus</t>
  </si>
  <si>
    <t>Tohono O'odham Community College (2 year)</t>
  </si>
  <si>
    <t>Edward Via College of Osteopathic Medicine</t>
  </si>
  <si>
    <t>Pacific College of Health Science-Chicago</t>
  </si>
  <si>
    <t>Southwest Institute of Healing Arts (2 year)</t>
  </si>
  <si>
    <t>University of Antelope Valley</t>
  </si>
  <si>
    <t>Birthingway College of Midwifery (Female only)</t>
  </si>
  <si>
    <t>NorthShore University HealthSystem School of Nurse Anesthesia</t>
  </si>
  <si>
    <t>Faith International University</t>
  </si>
  <si>
    <t>Family of Faith Christian University</t>
  </si>
  <si>
    <t>Hood Theological Seminary</t>
  </si>
  <si>
    <t>International Technological University</t>
  </si>
  <si>
    <t>Southeastern College-Charleston (Female only, 2 year)</t>
  </si>
  <si>
    <t>West Coast University-Los Angeles</t>
  </si>
  <si>
    <t>Williamson Christian College</t>
  </si>
  <si>
    <t>Triangle Tech Inc-Sunbury (2 year)</t>
  </si>
  <si>
    <t>DigiPen Institute of Technology</t>
  </si>
  <si>
    <t>Pierpont Community and Technical College (2 year)</t>
  </si>
  <si>
    <t>Dewey University-Hato Rey</t>
  </si>
  <si>
    <t>InterCoast Colleges-West Covina (2 year)</t>
  </si>
  <si>
    <t>American College of Healthcare Sciences</t>
  </si>
  <si>
    <t>Miller-Motte College-Chattanooga (2 year)</t>
  </si>
  <si>
    <t>Bexley Hall Seabury Western Theological Seminary Federation, Inc.</t>
  </si>
  <si>
    <t>Altierus Career College-Norcross (2 year)</t>
  </si>
  <si>
    <t>Strayer University-Tennessee</t>
  </si>
  <si>
    <t>Strayer University-Pennsylvania</t>
  </si>
  <si>
    <t>Creative Images Institute of Cosmetology-South Dayton (Female only, 2 year)</t>
  </si>
  <si>
    <t>Brookline College-Albuquerque</t>
  </si>
  <si>
    <t>Byzantine Catholic Seminary of Saints Cyril and Methodius</t>
  </si>
  <si>
    <t>Northcentral University</t>
  </si>
  <si>
    <t>Hussian College-Daymar College Murfreesboro</t>
  </si>
  <si>
    <t>Bold Beauty Academy (2 year)</t>
  </si>
  <si>
    <t>ATI College-Whittier</t>
  </si>
  <si>
    <t>Advance Science International College (2 year)</t>
  </si>
  <si>
    <t>Advanced College (2 year)</t>
  </si>
  <si>
    <t>ATA College (2 year)</t>
  </si>
  <si>
    <t>Baptist University of the Americas</t>
  </si>
  <si>
    <t>Beis Medrash Heichal Dovid (Male only)</t>
  </si>
  <si>
    <t>Auguste Escoffier School of Culinary Arts-Austin (2 year)</t>
  </si>
  <si>
    <t>Culinary Institute Inc (2 year)</t>
  </si>
  <si>
    <t>Institute of Clinical Acupuncture &amp; Oriental Med</t>
  </si>
  <si>
    <t>Gwinnett College-Marietta Campus (2 year)</t>
  </si>
  <si>
    <t>Charlotte Christian College and Theological Seminary</t>
  </si>
  <si>
    <t>Nightingale College</t>
  </si>
  <si>
    <t>PITC Institute (2 year)</t>
  </si>
  <si>
    <t>Southeastern College-Columbia (2 year)</t>
  </si>
  <si>
    <t>Mountwest Community and Technical College (2 year)</t>
  </si>
  <si>
    <t>Toyota Technological Institute at Chicago</t>
  </si>
  <si>
    <t>American InterContinental University-Houston</t>
  </si>
  <si>
    <t>University of California-Merced</t>
  </si>
  <si>
    <t>Remington College-North Houston Campus</t>
  </si>
  <si>
    <t>Pima Medical Institute-Las Vegas (2 year)</t>
  </si>
  <si>
    <t>Remington College-Nashville Campus (2 year)</t>
  </si>
  <si>
    <t>Central Methodist University-College of Graduate and Extended Studies</t>
  </si>
  <si>
    <t>University of Phoenix-New Jersey</t>
  </si>
  <si>
    <t>North-West College-Riverside (2 year)</t>
  </si>
  <si>
    <t>Altierus Career College-Bissonnet (2 year)</t>
  </si>
  <si>
    <t>Neumont College of Computer Science</t>
  </si>
  <si>
    <t>Johnson &amp; Wales University-Charlotte</t>
  </si>
  <si>
    <t>Roseman University of Health Sciences</t>
  </si>
  <si>
    <t>Fortis Institute-Port Saint Lucie (2 year)</t>
  </si>
  <si>
    <t>Aviation Institute of Maintenance-Manassas (2 year)</t>
  </si>
  <si>
    <t>Universal Technical Institute of Pennsylvania Inc (2 year)</t>
  </si>
  <si>
    <t>Divine Mercy University</t>
  </si>
  <si>
    <t>Northwest Career College (2 year)</t>
  </si>
  <si>
    <t>American Academy of Health and Wellness</t>
  </si>
  <si>
    <t>Arizona School of Acupuncture and Oriental Medicine</t>
  </si>
  <si>
    <t>Ave Maria University</t>
  </si>
  <si>
    <t>Cambridge Institute of Allied Health &amp; Technology (2 year)</t>
  </si>
  <si>
    <t>Career Care Institute (2 year)</t>
  </si>
  <si>
    <t>ATA Career Education (Female only, 2 year)</t>
  </si>
  <si>
    <t>Career Quest Learning Centers-Lansing (2 year)</t>
  </si>
  <si>
    <t>Community Christian College (2 year)</t>
  </si>
  <si>
    <t>Eastern School of Acupuncture and Traditional Medicine</t>
  </si>
  <si>
    <t>Ecclesia College</t>
  </si>
  <si>
    <t>Healthcare Training Institute (Female only, 2 year)</t>
  </si>
  <si>
    <t>Los Angeles College of Music</t>
  </si>
  <si>
    <t>Maple Springs Baptist Bible College and Seminary</t>
  </si>
  <si>
    <t>SAE Institute of Technology-Nashville</t>
  </si>
  <si>
    <t>Southern Technical College (2 year)</t>
  </si>
  <si>
    <t>Stanbridge University</t>
  </si>
  <si>
    <t>Universal Career School (2 year)</t>
  </si>
  <si>
    <t>Universal College of Healing Arts (Female only, 2 year)</t>
  </si>
  <si>
    <t>Uta Mesivta of Kiryas Joel (Male only)</t>
  </si>
  <si>
    <t>W L Bonner College</t>
  </si>
  <si>
    <t>Harrisburg University of Science and Technology</t>
  </si>
  <si>
    <t>Blue Ridge Community and Technical College (2 year)</t>
  </si>
  <si>
    <t>Daytona College</t>
  </si>
  <si>
    <t>United States University</t>
  </si>
  <si>
    <t>AmeriTech College-Draper</t>
  </si>
  <si>
    <t>Eagle Gate College-Layton</t>
  </si>
  <si>
    <t>SAE Expression College</t>
  </si>
  <si>
    <t>New River Community and Technical College (2 year)</t>
  </si>
  <si>
    <t>The College of Health Care Professions-Southwest Houston (2 year)</t>
  </si>
  <si>
    <t>Georgia Gwinnett College</t>
  </si>
  <si>
    <t>Phoenix Institute of Herbal Medicine &amp; Acupuncture</t>
  </si>
  <si>
    <t>California Career College (2 year)</t>
  </si>
  <si>
    <t>National Polytechnic College (2 year)</t>
  </si>
  <si>
    <t>American Career College-Ontario (2 year)</t>
  </si>
  <si>
    <t>Asher College (2 year)</t>
  </si>
  <si>
    <t>University of East-West Medicine</t>
  </si>
  <si>
    <t>Aviator College of Aeronautical Science and Technology (2 year)</t>
  </si>
  <si>
    <t>ATA College (Female only, 2 year)</t>
  </si>
  <si>
    <t>SUM Bible College and Theological Seminary</t>
  </si>
  <si>
    <t>WellSpring School of Allied Health-Kansas City (2 year)</t>
  </si>
  <si>
    <t>The Salon Professional Academy-Fargo (Female only, 2 year)</t>
  </si>
  <si>
    <t>Careers Unlimited (Female only)</t>
  </si>
  <si>
    <t>Eastern International College-Belleville</t>
  </si>
  <si>
    <t>San Joaquin Valley College-Rancho Cordova (2 year)</t>
  </si>
  <si>
    <t>Universal Technical Institute of Northern California Inc (Male only, 2 year)</t>
  </si>
  <si>
    <t>West Hills College-Lemoore (2 year)</t>
  </si>
  <si>
    <t>Stautzenberger College-Brecksville (2 year)</t>
  </si>
  <si>
    <t>Stone Academy-East Hartford (2 year)</t>
  </si>
  <si>
    <t>International Institute for Restorative Practices</t>
  </si>
  <si>
    <t>Automotive Training Center-Warminster (Male only, 2 year)</t>
  </si>
  <si>
    <t>Triangle Tech Inc-Bethlehem (2 year)</t>
  </si>
  <si>
    <t>Strayer University-Florida</t>
  </si>
  <si>
    <t>Pima Medical Institute-Renton (2 year)</t>
  </si>
  <si>
    <t>CBT Technology Institute-Main Campus (Male only, 2 year)</t>
  </si>
  <si>
    <t>CBT Technology Institute-Hialeah (Male only, 2 year)</t>
  </si>
  <si>
    <t>Dewey University-Juana DÃ­az</t>
  </si>
  <si>
    <t>The College of Health Care Professions-San Antonio (2 year)</t>
  </si>
  <si>
    <t>Huntsville Bible College</t>
  </si>
  <si>
    <t>Gnomon</t>
  </si>
  <si>
    <t>Valley College of Medical Careers (2 year)</t>
  </si>
  <si>
    <t>Dragon Rises College of Oriental Medicine</t>
  </si>
  <si>
    <t>SABER College (2 year)</t>
  </si>
  <si>
    <t>Taylor College (2 year)</t>
  </si>
  <si>
    <t>Louisiana Culinary Institute (2 year)</t>
  </si>
  <si>
    <t>Bais Medrash Toras Chesed (Male only)</t>
  </si>
  <si>
    <t>Ace Institute of Technology (2 year)</t>
  </si>
  <si>
    <t>Visible Music College</t>
  </si>
  <si>
    <t>Virginia Beach Theological Seminary</t>
  </si>
  <si>
    <t>Milwaukee Career College (Female only, 2 year)</t>
  </si>
  <si>
    <t>University of the West</t>
  </si>
  <si>
    <t>American College of Education</t>
  </si>
  <si>
    <t>South University-Tampa</t>
  </si>
  <si>
    <t>Appalachian College of Pharmacy</t>
  </si>
  <si>
    <t>Averett University-Non-Traditional Programs</t>
  </si>
  <si>
    <t>Paul Mitchell the School-San Diego (2 year)</t>
  </si>
  <si>
    <t>Fortis College-Columbus (2 year)</t>
  </si>
  <si>
    <t>Fortis College-Cincinnati (2 year)</t>
  </si>
  <si>
    <t>Blue Cliff College-Alexandria (Female only, 2 year)</t>
  </si>
  <si>
    <t>Strayer University-Delaware</t>
  </si>
  <si>
    <t>Brite Divinity School</t>
  </si>
  <si>
    <t>Strayer University-Alabama</t>
  </si>
  <si>
    <t>Brown Aveda Institute-Strongsville (Female only, 2 year)</t>
  </si>
  <si>
    <t>Rasmussen University-Wisconsin</t>
  </si>
  <si>
    <t>Carrington College-Stockton (2 year)</t>
  </si>
  <si>
    <t>Carrington College-Citrus Heights (2 year)</t>
  </si>
  <si>
    <t>Healthcare Career College (2 year)</t>
  </si>
  <si>
    <t>Academy for Five Element Acupuncture</t>
  </si>
  <si>
    <t>Miami Regional University</t>
  </si>
  <si>
    <t>MyComputerCareer.com (2 year)</t>
  </si>
  <si>
    <t>Southeastern College-Charlotte (2 year)</t>
  </si>
  <si>
    <t>Yeshivas Be'er Yitzchok (Male only)</t>
  </si>
  <si>
    <t>Yeshiva Toras Chaim (Male only)</t>
  </si>
  <si>
    <t>Talmudical Seminary of Bobov (Male only)</t>
  </si>
  <si>
    <t>Center for Allied Health Education (2 year)</t>
  </si>
  <si>
    <t>MyComputerCareer.edu-Columbus (2 year)</t>
  </si>
  <si>
    <t>Charleston School of Law</t>
  </si>
  <si>
    <t>Southwest University at El Paso</t>
  </si>
  <si>
    <t>CEM College-Bayamon</t>
  </si>
  <si>
    <t>Bryant &amp; Stratton College-Wauwatosa</t>
  </si>
  <si>
    <t>The Art Institute of Austin</t>
  </si>
  <si>
    <t>Remington College-Houston Southeast Campus (2 year)</t>
  </si>
  <si>
    <t>Remington College-Shreveport Campus</t>
  </si>
  <si>
    <t>Patrick Henry College</t>
  </si>
  <si>
    <t>The Hair Academy (Female only, 2 year)</t>
  </si>
  <si>
    <t>Ross College-Sylvania (Female only, 2 year)</t>
  </si>
  <si>
    <t>Escuela De Troqueleria Y Herramentaje (Male only, 2 year)</t>
  </si>
  <si>
    <t>Fortis Institute-Nashville (2 year)</t>
  </si>
  <si>
    <t>ATA College-Cincinnati (Female only, 2 year)</t>
  </si>
  <si>
    <t>Galen College of Nursing-Cincinnati</t>
  </si>
  <si>
    <t>Strayer University-North Carolina</t>
  </si>
  <si>
    <t>Strayer University-New Jersey</t>
  </si>
  <si>
    <t>Ohio Medical Career College (Female only, 2 year)</t>
  </si>
  <si>
    <t>The King's College</t>
  </si>
  <si>
    <t>Chamberlain University-Ohio</t>
  </si>
  <si>
    <t>Chamberlain University-Arizona</t>
  </si>
  <si>
    <t>Career Quest Learning Centers-Jackson (2 year)</t>
  </si>
  <si>
    <t>Bryan University (2 year)</t>
  </si>
  <si>
    <t>The Salon Professional Academy-Appleton (Female only, 2 year)</t>
  </si>
  <si>
    <t>Ottawa University-Online</t>
  </si>
  <si>
    <t>Institute of Production and Recording</t>
  </si>
  <si>
    <t>Taft University System</t>
  </si>
  <si>
    <t>Mayfield College (2 year)</t>
  </si>
  <si>
    <t>Laurus College</t>
  </si>
  <si>
    <t>Auguste Escoffier School of Culinary Arts-Boulder (2 year)</t>
  </si>
  <si>
    <t>Aspen University</t>
  </si>
  <si>
    <t>Institute of Taoist Education and Acupuncture</t>
  </si>
  <si>
    <t>Denver College of Nursing</t>
  </si>
  <si>
    <t>Cambridge College of Healthcare &amp; Technology (2 year)</t>
  </si>
  <si>
    <t>Evans Hairstyling College-Rexburg (Female only, 2 year)</t>
  </si>
  <si>
    <t>Urshan Graduate School of Theology</t>
  </si>
  <si>
    <t>College of Western Idaho (2 year)</t>
  </si>
  <si>
    <t>Daoist Traditions College of Chinese Medical Arts</t>
  </si>
  <si>
    <t>Jersey College (2 year)</t>
  </si>
  <si>
    <t>American Institute of Medical Sciences &amp; Education (2 year)</t>
  </si>
  <si>
    <t>Yeshiva of Machzikai Hadas (Male only)</t>
  </si>
  <si>
    <t>MediaTech Institute-Dallas (2 year)</t>
  </si>
  <si>
    <t>Pacific Northwest University of Health Sciences</t>
  </si>
  <si>
    <t>The Chicago School of Professional Psychology at Anaheim</t>
  </si>
  <si>
    <t>Fortis Institute-Pensacola (2 year)</t>
  </si>
  <si>
    <t>Woodland Community College (2 year)</t>
  </si>
  <si>
    <t>Fortis Institute-Birmingham (2 year)</t>
  </si>
  <si>
    <t>The Chicago School of Professional Psychology at Los Angeles</t>
  </si>
  <si>
    <t>Cardiac and Vascular Institute of Ultrasound (2 year)</t>
  </si>
  <si>
    <t>Providence Christian College</t>
  </si>
  <si>
    <t>Institute of World Politics</t>
  </si>
  <si>
    <t>Pontifical John Paul II Institute for Studies on Marriage and Family</t>
  </si>
  <si>
    <t>National Career College (2 year)</t>
  </si>
  <si>
    <t>Liberty Junior College (2 year)</t>
  </si>
  <si>
    <t>Vermont College of Fine Arts</t>
  </si>
  <si>
    <t>Pima Medical Institute-East Valley (2 year)</t>
  </si>
  <si>
    <t>MediaTech Institute-Houston (2 year)</t>
  </si>
  <si>
    <t>Miller-Motte College-Raleigh (2 year)</t>
  </si>
  <si>
    <t>Lamson Institute (2 year)</t>
  </si>
  <si>
    <t>College of Hair Design-East Campus (Female only, 2 year)</t>
  </si>
  <si>
    <t>Fortis College-Salt Lake City (2 year)</t>
  </si>
  <si>
    <t>Polytechnic University of Puerto Rico-Miami</t>
  </si>
  <si>
    <t>Polytechnic University of Puerto Rico-Orlando</t>
  </si>
  <si>
    <t>Ross Medical Education Center-Fort Wayne (Female only, 2 year)</t>
  </si>
  <si>
    <t>Geisinger Commonwealth School of Medicine</t>
  </si>
  <si>
    <t>Josef's School of Hair, Skin &amp; Body-Fargo (Female only, 2 year)</t>
  </si>
  <si>
    <t>Miller-Motte College-McCann-Allentown (2 year)</t>
  </si>
  <si>
    <t>Strayer University-West Virginia</t>
  </si>
  <si>
    <t>San Joaquin Valley College-Hesperia (2 year)</t>
  </si>
  <si>
    <t>University of Minnesota-Rochester</t>
  </si>
  <si>
    <t>Health And Style Institute (Female only, 2 year)</t>
  </si>
  <si>
    <t>CBT Technology Institute-Cutler Bay (2 year)</t>
  </si>
  <si>
    <t>Homestead Schools</t>
  </si>
  <si>
    <t>Carrington College-Las Vegas (2 year)</t>
  </si>
  <si>
    <t>Carrington College-Reno (2 year)</t>
  </si>
  <si>
    <t>Chamberlain University-Florida</t>
  </si>
  <si>
    <t>Horizon University</t>
  </si>
  <si>
    <t>Academy for Jewish Religion-California</t>
  </si>
  <si>
    <t>Angeles College</t>
  </si>
  <si>
    <t>Florida School of Traditional Midwifery (Female only, 2 year)</t>
  </si>
  <si>
    <t>Immokalee Technical College (2 year)</t>
  </si>
  <si>
    <t>University of Fort Lauderdale</t>
  </si>
  <si>
    <t>Aviation Institute of Maintenance-Orlando (2 year)</t>
  </si>
  <si>
    <t>Pacific Rim Christian University</t>
  </si>
  <si>
    <t>Ambria College of Nursing</t>
  </si>
  <si>
    <t>Midwestern Career College (2 year)</t>
  </si>
  <si>
    <t>CenterPoint Massage &amp; Shiatsu Therapy School &amp; Clinic (2 year)</t>
  </si>
  <si>
    <t>Avalon School of Cosmetology (2 year)</t>
  </si>
  <si>
    <t>City Vision University</t>
  </si>
  <si>
    <t>New York Medical Career Training Center (2 year)</t>
  </si>
  <si>
    <t>Summit Salon Academy-Perrysburg (Female only, 2 year)</t>
  </si>
  <si>
    <t>Portland Actors Conservatory (2 year)</t>
  </si>
  <si>
    <t>Houston International College Cardiotech Ultrasound School (2 year)</t>
  </si>
  <si>
    <t>Ascent College</t>
  </si>
  <si>
    <t>Northwest School of Wooden Boat Building (2 year)</t>
  </si>
  <si>
    <t>The Salon Professional Academy-Onalaska (2 year)</t>
  </si>
  <si>
    <t>West Coast University-Orange County</t>
  </si>
  <si>
    <t>West Coast University-Ontario</t>
  </si>
  <si>
    <t>Miller-Motte College-Fayetteville (2 year)</t>
  </si>
  <si>
    <t>Miller-Motte College-Columbus (2 year)</t>
  </si>
  <si>
    <t>The Art Institute of Virginia Beach</t>
  </si>
  <si>
    <t>Zaytuna College</t>
  </si>
  <si>
    <t>Fortis College-Indianapolis (2 year)</t>
  </si>
  <si>
    <t>Strayer University-Arkansas</t>
  </si>
  <si>
    <t>Strayer University-Georgia</t>
  </si>
  <si>
    <t>Strayer University-Mississippi</t>
  </si>
  <si>
    <t>Strayer University-South Carolina</t>
  </si>
  <si>
    <t>Strayer University-Texas</t>
  </si>
  <si>
    <t>The Art Institute of San Antonio</t>
  </si>
  <si>
    <t>Unitek College</t>
  </si>
  <si>
    <t>Gurnick Academy of Medical Arts</t>
  </si>
  <si>
    <t>South University-Richmond</t>
  </si>
  <si>
    <t>South University-Virginia Beach</t>
  </si>
  <si>
    <t>Future-Tech Institute (2 year)</t>
  </si>
  <si>
    <t>Fred K Marchman Technical College (2 year)</t>
  </si>
  <si>
    <t>Compass College of Film and Media</t>
  </si>
  <si>
    <t>Peloton College (2 year)</t>
  </si>
  <si>
    <t>Summit Salon Academy (Female only, 2 year)</t>
  </si>
  <si>
    <t>Touro University Worldwide</t>
  </si>
  <si>
    <t>Touro University California</t>
  </si>
  <si>
    <t>The Chicago School of Professional Psychology at Washington DC</t>
  </si>
  <si>
    <t>Touro University Nevada</t>
  </si>
  <si>
    <t>Herzing University-Brookfield</t>
  </si>
  <si>
    <t>Texas A&amp;M University-San Antonio</t>
  </si>
  <si>
    <t>Fortis Institute (2 year)</t>
  </si>
  <si>
    <t>Fortis College-Columbia (2 year)</t>
  </si>
  <si>
    <t>Ross Medical Education Center-Granger (Female only, 2 year)</t>
  </si>
  <si>
    <t>Pima Medical Institute-Houston (2 year)</t>
  </si>
  <si>
    <t>Concorde Career College-Dallas (2 year)</t>
  </si>
  <si>
    <t>Concorde Career Institute-Orlando (2 year)</t>
  </si>
  <si>
    <t>Concorde Career College-San Antonio (2 year)</t>
  </si>
  <si>
    <t>Johnson &amp; Wales University-Online</t>
  </si>
  <si>
    <t>Fairfax University of America</t>
  </si>
  <si>
    <t>Geisinger-Lewistown Hospital School of Nursing (2 year)</t>
  </si>
  <si>
    <t>Moreno Valley College (2 year)</t>
  </si>
  <si>
    <t>Norco College (2 year)</t>
  </si>
  <si>
    <t>Universal Technical Institute-Dallas Fort Worth (Male only, 2 year)</t>
  </si>
  <si>
    <t>American Sentinel College of Nursing and Health Sciences</t>
  </si>
  <si>
    <t>Hawaii Medical College (2 year)</t>
  </si>
  <si>
    <t>Miller-Motte College-Jacksonville (2 year)</t>
  </si>
  <si>
    <t>Miller-Motte College-Augusta (2 year)</t>
  </si>
  <si>
    <t>Miller-Motte College-Conway (2 year)</t>
  </si>
  <si>
    <t>Aveda Institute-Portland (2 year)</t>
  </si>
  <si>
    <t>Chamberlain University-Virginia</t>
  </si>
  <si>
    <t>Mildred Elley-New York Campus (2 year)</t>
  </si>
  <si>
    <t>National Paralegal College</t>
  </si>
  <si>
    <t>Carolina College of Biblical Studies</t>
  </si>
  <si>
    <t>Allstate Hairstyling &amp; Barber College (2 year)</t>
  </si>
  <si>
    <t>Omega Graduate School</t>
  </si>
  <si>
    <t>Jung Tao School of Classical Chinese Medicine</t>
  </si>
  <si>
    <t>New York Film Academy</t>
  </si>
  <si>
    <t>Institute of Medical Careers (2 year)</t>
  </si>
  <si>
    <t>Flagler Technical College (2 year)</t>
  </si>
  <si>
    <t>Galaxy Medical College (2 year)</t>
  </si>
  <si>
    <t>American Medical Sciences Center</t>
  </si>
  <si>
    <t>Jose Maria Vargas University</t>
  </si>
  <si>
    <t>Keweenaw Bay Ojibwa Community College (2 year)</t>
  </si>
  <si>
    <t>Meridian Institute of Surgical Assisting (2 year)</t>
  </si>
  <si>
    <t>Shepherds Theological Seminary</t>
  </si>
  <si>
    <t>Manna University</t>
  </si>
  <si>
    <t>American Trade School (Male only, 2 year)</t>
  </si>
  <si>
    <t>Paul Mitchell the School-Honolulu (2 year)</t>
  </si>
  <si>
    <t>Bergin University of Canine Studies</t>
  </si>
  <si>
    <t>Pima Medical Institute-Aurora (2 year)</t>
  </si>
  <si>
    <t>Simmons College of Kentucky (HBCU)</t>
  </si>
  <si>
    <t>North American University</t>
  </si>
  <si>
    <t>Keser Torah-Mayan Hatalmud (Male only)</t>
  </si>
  <si>
    <t>Best Care College (2 year)</t>
  </si>
  <si>
    <t>Millennia Atlantic University</t>
  </si>
  <si>
    <t>Colorado Academy of Veterinary Technology (2 year)</t>
  </si>
  <si>
    <t>Elite School of Cosmetology (Female only, 2 year)</t>
  </si>
  <si>
    <t>Institute for Doctoral Studies in the Visual Arts</t>
  </si>
  <si>
    <t>John Paul the Great Catholic University</t>
  </si>
  <si>
    <t>University of Connecticut-Hartford Campus</t>
  </si>
  <si>
    <t>Ottawa University-Surprise</t>
  </si>
  <si>
    <t>Independence University</t>
  </si>
  <si>
    <t>Chamberlain University-Missouri</t>
  </si>
  <si>
    <t>Chamberlain University-Texas</t>
  </si>
  <si>
    <t>Carrington College-Ontario (2 year)</t>
  </si>
  <si>
    <t>Northwest College-Eugene (2 year)</t>
  </si>
  <si>
    <t>Northwest College-Tualatin (2 year)</t>
  </si>
  <si>
    <t>Dewey University-Manati</t>
  </si>
  <si>
    <t>Oklahoma Technical College (2 year)</t>
  </si>
  <si>
    <t>Midwest Technical Institute-Moline (2 year)</t>
  </si>
  <si>
    <t>WellSpring School of Allied Health-Lawrence (2 year)</t>
  </si>
  <si>
    <t>Los Angeles Pacific University</t>
  </si>
  <si>
    <t>California College San Diego-CollegeAmerica-Phoenix</t>
  </si>
  <si>
    <t>Aveda Institute-Des Moines (Female only, 2 year)</t>
  </si>
  <si>
    <t>Miller-Motte College-Macon (2 year)</t>
  </si>
  <si>
    <t>South University-Savannah Online</t>
  </si>
  <si>
    <t>Fortis College-Montgomery (2 year)</t>
  </si>
  <si>
    <t>San Joaquin Valley College-Temecula (2 year)</t>
  </si>
  <si>
    <t>Whitworth University-Adult Degree Programs</t>
  </si>
  <si>
    <t>The Santa Barbara and Ventura Colleges of Law at Santa Barbara</t>
  </si>
  <si>
    <t>The University of America</t>
  </si>
  <si>
    <t>Springfield College-Regional, Online, and Continuing Education</t>
  </si>
  <si>
    <t>Catholic Distance University</t>
  </si>
  <si>
    <t>Finger Lakes Health College of Nursing &amp; Health Sciences (2 year)</t>
  </si>
  <si>
    <t>City College-Hollywood (2 year)</t>
  </si>
  <si>
    <t>Rocky Mountain University of Health Professions</t>
  </si>
  <si>
    <t>CUNY Stella and Charles Guttman Community College (2 year)</t>
  </si>
  <si>
    <t>Criswell College</t>
  </si>
  <si>
    <t>Beverly Hills Design Institute</t>
  </si>
  <si>
    <t>American Medical Academy</t>
  </si>
  <si>
    <t>Chamberlain University-Georgia</t>
  </si>
  <si>
    <t>Chamberlain University-Indiana</t>
  </si>
  <si>
    <t>Carrington College-Mesquite (2 year)</t>
  </si>
  <si>
    <t>Sessions College for Professional Design</t>
  </si>
  <si>
    <t>Miami Ad School-New York (2 year)</t>
  </si>
  <si>
    <t>Bais HaMedrash and Mesivta of Baltimore (Male only)</t>
  </si>
  <si>
    <t>Salon Institute-Toledo Campus (Female only, 2 year)</t>
  </si>
  <si>
    <t>Athena Career Academy (2 year)</t>
  </si>
  <si>
    <t>Yeshiva Gedolah Zichron Leyma (Male only)</t>
  </si>
  <si>
    <t>Be'er Yaakov Talmudic Seminary (Male only)</t>
  </si>
  <si>
    <t>Rio Grande Valley College (2 year)</t>
  </si>
  <si>
    <t>FVI School of Nursing and Technology (2 year)</t>
  </si>
  <si>
    <t>SAE Institute of Technology-Atlanta (2 year)</t>
  </si>
  <si>
    <t>Colorado State University-Global Campus</t>
  </si>
  <si>
    <t>West Coast University-Dallas</t>
  </si>
  <si>
    <t>California College San Diego</t>
  </si>
  <si>
    <t>Bellus Academy (Female only, 2 year)</t>
  </si>
  <si>
    <t>Medical Career Institute (2 year)</t>
  </si>
  <si>
    <t>Digital Film Academy (2 year)</t>
  </si>
  <si>
    <t>South University-Austin</t>
  </si>
  <si>
    <t>Bryant &amp; Stratton College-Online</t>
  </si>
  <si>
    <t>Mercyhurst University-North East Campus (2 year)</t>
  </si>
  <si>
    <t>Warner Pacific University Professional and Graduate Studies</t>
  </si>
  <si>
    <t>Platt College-Riverside</t>
  </si>
  <si>
    <t>Shiloh University</t>
  </si>
  <si>
    <t>Florida Institute of Technology-Online</t>
  </si>
  <si>
    <t>Rasmussen University-Kansas</t>
  </si>
  <si>
    <t>School of Missionary Aviation Technology (2 year)</t>
  </si>
  <si>
    <t>California Miramar University</t>
  </si>
  <si>
    <t>Rocky Vista University</t>
  </si>
  <si>
    <t>The College of Health Care Professions-Dallas (2 year)</t>
  </si>
  <si>
    <t>The College of Health Care Professions-Fort Worth (2 year)</t>
  </si>
  <si>
    <t>Miami Media School (2 year)</t>
  </si>
  <si>
    <t>Gemini School of Visual Arts &amp; Communication</t>
  </si>
  <si>
    <t>College of the Muscogee Nation (2 year)</t>
  </si>
  <si>
    <t>Midwives College of Utah (Female only)</t>
  </si>
  <si>
    <t>Future Generations University</t>
  </si>
  <si>
    <t>Grace Mission University</t>
  </si>
  <si>
    <t>Sotheby's Institute of Art-NY</t>
  </si>
  <si>
    <t>Shepherds College (2 year)</t>
  </si>
  <si>
    <t>Helms College (2 year)</t>
  </si>
  <si>
    <t>Mid-South Christian College</t>
  </si>
  <si>
    <t>Ultrasound Medical Institute (2 year)</t>
  </si>
  <si>
    <t>Grace School of Theology</t>
  </si>
  <si>
    <t>Yeshiva Gedolah Kesser Torah (Male only)</t>
  </si>
  <si>
    <t>Yeshiva Yesodei Hatorah (Male only)</t>
  </si>
  <si>
    <t>Sanford Burnham Prebys Medical Discovery Institute</t>
  </si>
  <si>
    <t>South University-High Point</t>
  </si>
  <si>
    <t>San Joaquin Valley College-Lancaster (2 year)</t>
  </si>
  <si>
    <t>Augusta University</t>
  </si>
  <si>
    <t>Middle Georgia State University</t>
  </si>
  <si>
    <t>Academy of Interactive Entertainment (2 year)</t>
  </si>
  <si>
    <t>Veritas Baptist College</t>
  </si>
  <si>
    <t>Aviation Institute of Maintenance-Las Vegas (2 year)</t>
  </si>
  <si>
    <t>National American University-Georgetown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</si>
  <si>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</si>
  <si>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</si>
  <si>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</si>
  <si>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</si>
  <si>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</si>
  <si>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</si>
  <si>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</si>
  <si>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</si>
  <si>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</si>
  <si>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</si>
  <si>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</si>
  <si>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</si>
  <si>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</si>
  <si>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</si>
  <si>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DeVry University-Tennessee</t>
  </si>
  <si>
    <t>DeVry University-Texas</t>
  </si>
  <si>
    <t>DeVry University-Virginia</t>
  </si>
  <si>
    <t>University of North Georgia</t>
  </si>
  <si>
    <t>South Georgia State College</t>
  </si>
  <si>
    <t>Northeastern University Professional Programs</t>
  </si>
  <si>
    <t>Florida Polytechnic University</t>
  </si>
  <si>
    <t>Arizona College-Mesa (2 year)</t>
  </si>
  <si>
    <t>Antioch College</t>
  </si>
  <si>
    <t>Texas A&amp;M University-Central Texas</t>
  </si>
  <si>
    <t>Central Georgia Technical College (2 year)</t>
  </si>
  <si>
    <t>Arizona State University Digital Immersion</t>
  </si>
  <si>
    <t>Louisiana Delta Community College (2 year)</t>
  </si>
  <si>
    <t>Learnet Academy Inc</t>
  </si>
  <si>
    <t>Integrity College of Health</t>
  </si>
  <si>
    <t>Ana G. Mendez University</t>
  </si>
  <si>
    <t>Ohio Institute of Allied Health (2 year)</t>
  </si>
  <si>
    <t>IGlobal University</t>
  </si>
  <si>
    <t>Standard Healthcare Services-College of Nursing (2 year)</t>
  </si>
  <si>
    <t>LaBarberia Institute of Hair (2 year)</t>
  </si>
  <si>
    <t>Alabama College of Osteopathic Medicine</t>
  </si>
  <si>
    <t>High Desert Medical College (2 year)</t>
  </si>
  <si>
    <t>MedQuest College (2 year)</t>
  </si>
  <si>
    <t>Tri-Community Adult Education (2 year)</t>
  </si>
  <si>
    <t>North-West College-Anaheim (2 year)</t>
  </si>
  <si>
    <t>North-West College-Long Beach (2 year)</t>
  </si>
  <si>
    <t>University of Florida-Online</t>
  </si>
  <si>
    <t>University of Phoenix-Arizona</t>
  </si>
  <si>
    <t>University of Phoenix-California</t>
  </si>
  <si>
    <t>University of Phoenix-Florida</t>
  </si>
  <si>
    <t>University of Phoenix-Georgia</t>
  </si>
  <si>
    <t>University of Phoenix-Nevada</t>
  </si>
  <si>
    <t>University of Phoenix-Texas</t>
  </si>
  <si>
    <t>CEM College-Mayaguez</t>
  </si>
  <si>
    <t>Minerva University</t>
  </si>
  <si>
    <t>University of West Los Angeles</t>
  </si>
  <si>
    <t>Rabbinical College Ohr Yisroel (Male only)</t>
  </si>
  <si>
    <t>University of North Texas at Dallas</t>
  </si>
  <si>
    <t>BridgeValley Community &amp; Technical College (2 year)</t>
  </si>
  <si>
    <t>Northwest College-Medford (2 year)</t>
  </si>
  <si>
    <t>Georgia Military College</t>
  </si>
  <si>
    <t>West Coast University-Miami</t>
  </si>
  <si>
    <t>High Tech High Graduate School of Education</t>
  </si>
  <si>
    <t>Coastal Pines Technical College (2 year)</t>
  </si>
  <si>
    <t>Lionel University</t>
  </si>
  <si>
    <t>University of Texas Health Science Center at Tyler</t>
  </si>
  <si>
    <t>California Intercontinental University</t>
  </si>
  <si>
    <t>Infinity College (2 year)</t>
  </si>
  <si>
    <t>American College of the Building Arts</t>
  </si>
  <si>
    <t>Atlantis University</t>
  </si>
  <si>
    <t>Studio Incamminati (2 year)</t>
  </si>
  <si>
    <t>Antioch University Online</t>
  </si>
  <si>
    <t>The Recording Conservatory of Austin (2 year)</t>
  </si>
  <si>
    <t>Bet Medrash Gadol Ateret Torah (Male only)</t>
  </si>
  <si>
    <t>Yeshiva Ohr Yisrael (Male only)</t>
  </si>
  <si>
    <t>Yeshiva Sholom Shachna (Male only)</t>
  </si>
  <si>
    <t>Bethlehem College &amp; Seminary</t>
  </si>
  <si>
    <t>Elmezzi Graduate School of Molecular Medicine</t>
  </si>
  <si>
    <t>Theatre of Arts (2 year)</t>
  </si>
  <si>
    <t>Beth Medrash Meor Yitzchok (Male only)</t>
  </si>
  <si>
    <t>San Ignacio University</t>
  </si>
  <si>
    <t>Valor Christian College</t>
  </si>
  <si>
    <t>Bethany Global University</t>
  </si>
  <si>
    <t>United International College</t>
  </si>
  <si>
    <t>San Francisco Film School (2 year)</t>
  </si>
  <si>
    <t>Center for Ultrasound Research &amp; Education (2 year)</t>
  </si>
  <si>
    <t>Saint Michael College of Allied Health (Female only, 2 year)</t>
  </si>
  <si>
    <t>Presidio Graduate School</t>
  </si>
  <si>
    <t>Wright Graduate University for the Realization of Human Potential</t>
  </si>
  <si>
    <t>California Jazz Conservatory</t>
  </si>
  <si>
    <t>Aviation Institute of Maintenance-Fremont (2 year)</t>
  </si>
  <si>
    <t>Wave Leadership College (2 year)</t>
  </si>
  <si>
    <t>Pima Medical Institute-El Paso (2 year)</t>
  </si>
  <si>
    <t>Pima Medical Institute-Phoenix (2 year)</t>
  </si>
  <si>
    <t>Kennesaw State University</t>
  </si>
  <si>
    <t>Davines Professional Academy of Beauty and Business (Female only, 2 year)</t>
  </si>
  <si>
    <t>Milligan University</t>
  </si>
  <si>
    <t>Chamberlain University-Nevada</t>
  </si>
  <si>
    <t>Chamberlain University-Michigan</t>
  </si>
  <si>
    <t>Chamberlain University-New Jersey</t>
  </si>
  <si>
    <t>Hussian College-Los Angeles</t>
  </si>
  <si>
    <t>The University of Tennessee Health Science Center</t>
  </si>
  <si>
    <t>Emory University-Oxford College (2 year)</t>
  </si>
  <si>
    <t>The Chicago School of Professional Psychology at Xavier University of Louisiana</t>
  </si>
  <si>
    <t>Southern Regional Technical College (2 year)</t>
  </si>
  <si>
    <t>University of Arizona-Sierra Vista</t>
  </si>
  <si>
    <t>Fortis College-Cuyahoga Falls (2 year)</t>
  </si>
  <si>
    <t>Jones Technical Institute (2 year)</t>
  </si>
  <si>
    <t>Texas State Technical College (2 year)</t>
  </si>
  <si>
    <t>Arizona College of Nursing-Las Vegas</t>
  </si>
  <si>
    <t>Florida Career College-Pembroke Pines (2 year)</t>
  </si>
  <si>
    <t>Florida Career College-West Palm Beach (2 year)</t>
  </si>
  <si>
    <t>Florida Career College-Hialeah (2 year)</t>
  </si>
  <si>
    <t>Florida Career College-Lauderdale Lakes (2 year)</t>
  </si>
  <si>
    <t>Florida Career College-Tampa (2 year)</t>
  </si>
  <si>
    <t>Florida Career College-Jacksonville (2 year)</t>
  </si>
  <si>
    <t>Florida Career College-Boynton Beach (2 year)</t>
  </si>
  <si>
    <t>Florida Career College-Margate (2 year)</t>
  </si>
  <si>
    <t>Florida Career College-Orlando (2 year)</t>
  </si>
  <si>
    <t>Florida Career College-Houston (2 year)</t>
  </si>
  <si>
    <t>Husson University</t>
  </si>
  <si>
    <t>Concorde Career College-Southaven (2 year)</t>
  </si>
  <si>
    <t>Universal Technical Institute-Southern California (Male only, 2 year)</t>
  </si>
  <si>
    <t>Northwest University-Center for Online and Extended Education</t>
  </si>
  <si>
    <t>California Institute of Advanced Management</t>
  </si>
  <si>
    <t>Yeshiva Zichron Aryeh (Male only)</t>
  </si>
  <si>
    <t>Felbry College School of Nursing</t>
  </si>
  <si>
    <t>Martinsburg College (2 year)</t>
  </si>
  <si>
    <t>Alhambra Medical University</t>
  </si>
  <si>
    <t>Central Yeshiva Beth Joseph (Male only)</t>
  </si>
  <si>
    <t>Abraham Lincoln University</t>
  </si>
  <si>
    <t>Med Academy (2 year)</t>
  </si>
  <si>
    <t>Huntington University of Health Sciences</t>
  </si>
  <si>
    <t>Sonoran Desert Institute (Male only, 2 year)</t>
  </si>
  <si>
    <t>Yeshivas Maharit D'Satmar (Male only)</t>
  </si>
  <si>
    <t>Elim Bible Institute and College</t>
  </si>
  <si>
    <t>Beth Medrash of Asbury Park (Male only)</t>
  </si>
  <si>
    <t>Hope College of Arts and Sciences (2 year)</t>
  </si>
  <si>
    <t>Yeshiva Gedolah Shaarei Shmuel (Male only)</t>
  </si>
  <si>
    <t>Claremont Lincoln University</t>
  </si>
  <si>
    <t>Seattle Film Institute</t>
  </si>
  <si>
    <t>Arkansas Colleges of Health Education</t>
  </si>
  <si>
    <t>Burrell College of Osteopathic Medicine</t>
  </si>
  <si>
    <t>California College of Music (2 year)</t>
  </si>
  <si>
    <t>California Health Sciences University</t>
  </si>
  <si>
    <t>Indiana Wesleyan University-National &amp; Global</t>
  </si>
  <si>
    <t>Northeast Lakeview College (2 year)</t>
  </si>
  <si>
    <t>John Patrick University of Health and Applied Sciences</t>
  </si>
  <si>
    <t>University of Saint Katherine</t>
  </si>
  <si>
    <t>Teachers College of San Joaquin</t>
  </si>
  <si>
    <t>University of the People</t>
  </si>
  <si>
    <t>Wongu University of Oriental Medicine</t>
  </si>
  <si>
    <t>Tulsa Technology Center (2 year)</t>
  </si>
  <si>
    <t>The College of Health Care Professions-McAllen Campus (2 year)</t>
  </si>
  <si>
    <t>Institute of Buddhist Studies</t>
  </si>
  <si>
    <t>Chamberlain University-North Carolina</t>
  </si>
  <si>
    <t>Chamberlain University-California</t>
  </si>
  <si>
    <t>Purdue University Global</t>
  </si>
  <si>
    <t>Pima Medical Institute-Dillon (Female only, 2 year)</t>
  </si>
  <si>
    <t>West Coast University-Center for Graduate Studies</t>
  </si>
  <si>
    <t>Carolina University</t>
  </si>
  <si>
    <t>Presbyterian Theological Seminary in America</t>
  </si>
  <si>
    <t>HCI College</t>
  </si>
  <si>
    <t>Southern States University</t>
  </si>
  <si>
    <t>America Evangelical University</t>
  </si>
  <si>
    <t>Gadsden Technical Institute (2 year)</t>
  </si>
  <si>
    <t>Virginia University of Integrative Medicine</t>
  </si>
  <si>
    <t>Los Angeles Academy of Figurative Art</t>
  </si>
  <si>
    <t>Westcliff University</t>
  </si>
  <si>
    <t>Sacramento Ultrasound Institute (2 year)</t>
  </si>
  <si>
    <t>Regan Career Institute (2 year)</t>
  </si>
  <si>
    <t>Bolivar Technical College (Female only, 2 year)</t>
  </si>
  <si>
    <t>Reformed University</t>
  </si>
  <si>
    <t>Yeshiva Shaar Ephraim (Male only)</t>
  </si>
  <si>
    <t>California Institute of Arts &amp; Technology (2 year)</t>
  </si>
  <si>
    <t>Yeshiva Bais Aharon (Male only)</t>
  </si>
  <si>
    <t>Mechon L'hoyroa (Male only)</t>
  </si>
  <si>
    <t>Elyon College (Female only, 2 year)</t>
  </si>
  <si>
    <t>Western Michigan University Homer Stryker M.D. School of Medicine</t>
  </si>
  <si>
    <t>Metro Detroit Barber College (2 year)</t>
  </si>
  <si>
    <t>Digital Media Institute at InterTech (2 year)</t>
  </si>
  <si>
    <t>Yeshiva Ohr Naftoli (Male only)</t>
  </si>
  <si>
    <t>Bais Medrash Mayan Hatorah (Male only)</t>
  </si>
  <si>
    <t>Gwinnett Institute (2 year)</t>
  </si>
  <si>
    <t>Career Quest Learning Center-Mt. Pleasant (2 year)</t>
  </si>
  <si>
    <t>Cincinnati School of Barbering &amp; Hair Design (2 year)</t>
  </si>
  <si>
    <t>Maine Media College</t>
  </si>
  <si>
    <t>Ross College-Canton (2 year)</t>
  </si>
  <si>
    <t>Ross College-Grand Rapids North (Female only, 2 year)</t>
  </si>
  <si>
    <t>Platt College-Anaheim</t>
  </si>
  <si>
    <t>Fortis College-Cutler Bay (2 year)</t>
  </si>
  <si>
    <t>Yeshiva Kollel Tifereth Elizer (Male only)</t>
  </si>
  <si>
    <t>Galen College of Nursing-ARH (2 year)</t>
  </si>
  <si>
    <t>The Chicago School of Professional Psychology at San Diego</t>
  </si>
  <si>
    <t>University of Wisconsin-Milwaukee Flex</t>
  </si>
  <si>
    <t>University of Wisconsin-Parkside Flex</t>
  </si>
  <si>
    <t>Bnos Zion Of Bobov Seminary (Female only, 2 year)</t>
  </si>
  <si>
    <t>Union Bible College</t>
  </si>
  <si>
    <t>Yeshiva Gedolah Tiferes Boruch (Male only)</t>
  </si>
  <si>
    <t>Yeshiva Chemdas Hatorah (Male only)</t>
  </si>
  <si>
    <t>Women's Institute of Torah Seminary and College (Female only)</t>
  </si>
  <si>
    <t>Yeshiva Gedolah Keren Hatorah (Male only)</t>
  </si>
  <si>
    <t>Yeshiva Gedolah of Cliffwood (Male only)</t>
  </si>
  <si>
    <t>IBS School of Cosmetology and Massage (2 year)</t>
  </si>
  <si>
    <t>Yeshivas Emek Hatorah (Male only)</t>
  </si>
  <si>
    <t>Meridian University</t>
  </si>
  <si>
    <t>Seminary Bnos Chaim (Female only, 2 year)</t>
  </si>
  <si>
    <t>Red Lake Nation College (2 year)</t>
  </si>
  <si>
    <t>Yeshiva Gedola Tiferes Yerachmiel (Male only)</t>
  </si>
  <si>
    <t>Caris College (Female only, 2 year)</t>
  </si>
  <si>
    <t>Contra Costa Medical Career College (2 year)</t>
  </si>
  <si>
    <t>Champion Christian College</t>
  </si>
  <si>
    <t>The Continents States University</t>
  </si>
  <si>
    <t>Reiss-Davis Graduate School</t>
  </si>
  <si>
    <t>Pima Medical Institute-San Marcos (2 year)</t>
  </si>
  <si>
    <t>EDP University of Puerto Rico-Villalba</t>
  </si>
  <si>
    <t>Chicago School of Professional Psychology at Dallas</t>
  </si>
  <si>
    <t>Texas Tech University Health Sciences Center-El Paso</t>
  </si>
  <si>
    <t>Ponce Health Sciences University-Centro Universitario de San Juan</t>
  </si>
  <si>
    <t>The College of Health Care Professions-South San Antonio (2 year)</t>
  </si>
  <si>
    <t>Chamberlain University-Louisiana</t>
  </si>
  <si>
    <t>Drury University-College of Continuing Professional Studies</t>
  </si>
  <si>
    <t>Indiana Institute of Technology-College of Professional Studies</t>
  </si>
  <si>
    <t>Institute of Culinary Education (2 year)</t>
  </si>
  <si>
    <t>Universal Technical Institute-Bloomfield (Male only, 2 year)</t>
  </si>
  <si>
    <t>Institute of Lutheran Theology</t>
  </si>
  <si>
    <t>WellSpring School of Allied Health-Springfield (2 year)</t>
  </si>
  <si>
    <t>Premiere International College (2 year)</t>
  </si>
  <si>
    <t>San Diego Global Knowledge University</t>
  </si>
  <si>
    <t>Global Tech College (2 year)</t>
  </si>
  <si>
    <t>Yeshiva of Ocean (Male only)</t>
  </si>
  <si>
    <t>Congregation Talmidei Mesivta Tiferes Shmiel Aleksander (Male only)</t>
  </si>
  <si>
    <t>Young Americans College of the Performing Arts (2 year)</t>
  </si>
  <si>
    <t>Ohel Margulia Seminary (Female only, 2 year)</t>
  </si>
  <si>
    <t>Yeshivat Hechal Shemuel (Male only)</t>
  </si>
  <si>
    <t>Puerto Rico School of Nurse Anesthetists</t>
  </si>
  <si>
    <t>American Institute of Healthcare &amp; Technology (2 year)</t>
  </si>
  <si>
    <t>Yeshiva Gedolah of Woodlake Village (Male only)</t>
  </si>
  <si>
    <t>Yeshiva Gedola Tiferes Yaakov Yitzchok (Male only)</t>
  </si>
  <si>
    <t>University of Arkansas System eVersity</t>
  </si>
  <si>
    <t>New York Seminary (Female only, 2 year)</t>
  </si>
  <si>
    <t>College Unbound</t>
  </si>
  <si>
    <t>SANS Technology Institute</t>
  </si>
  <si>
    <t>Idaho College of Osteopathic Medicine</t>
  </si>
  <si>
    <t>Ponce Health Sciences University-St Louis</t>
  </si>
  <si>
    <t>Arizona College of Nursing-Dallas</t>
  </si>
  <si>
    <t>Valley College-Cleveland (2 year)</t>
  </si>
  <si>
    <t>National American University-Kings Bay</t>
  </si>
  <si>
    <t>EDP University of Puerto Rico-Humacao</t>
  </si>
  <si>
    <t>EDP University of Puerto Rico-Manati</t>
  </si>
  <si>
    <t>Fortis Institute-Cookeville (2 year)</t>
  </si>
  <si>
    <t>Derech Hachaim Seminary (Female only, 2 year)</t>
  </si>
  <si>
    <t>Glasgow Caledonian New York College</t>
  </si>
  <si>
    <t>Pima Medical Institute-San Antonio (2 year)</t>
  </si>
  <si>
    <t>Faith Theological Seminary and Christian College</t>
  </si>
  <si>
    <t>Southwestern Baptist Theological Seminary</t>
  </si>
  <si>
    <t>Lotus Professional College</t>
  </si>
  <si>
    <t>Christ Mission College</t>
  </si>
  <si>
    <t>Urshan College</t>
  </si>
  <si>
    <t>Yeshiva Yesoda Hatorah Vetz Chaim (Male only)</t>
  </si>
  <si>
    <t>North-West College-San Diego</t>
  </si>
  <si>
    <t>West Virginia Junior College-United Career Institute (2 year)</t>
  </si>
  <si>
    <t>Aviation Institute of Maintenance-Charlotte (2 year)</t>
  </si>
  <si>
    <t>Ponce Health Sciences University-East</t>
  </si>
  <si>
    <t>Fortis College-Landover (2 year)</t>
  </si>
  <si>
    <t>Stautzenberger College-Rockford Career College (2 year)</t>
  </si>
  <si>
    <t>WellSpring School of Allied Health-Wichita (2 year)</t>
  </si>
  <si>
    <t>California Arts University</t>
  </si>
  <si>
    <t>Northern Pennsylvania Regional College (2 year)</t>
  </si>
  <si>
    <t>Apex College of Veterinary Technology (Female only, 2 year)</t>
  </si>
  <si>
    <t>Meryma'at Barber College (2 year)</t>
  </si>
  <si>
    <t>Western Maricopa Education Center (2 year)</t>
  </si>
  <si>
    <t>Bais Medrash of Dexter Park (Male only)</t>
  </si>
  <si>
    <t>Oak Valley College</t>
  </si>
  <si>
    <t>Gather 4 Him Christian College (2 year)</t>
  </si>
  <si>
    <t>Mariano Moreno Culinary Institute (2 year)</t>
  </si>
  <si>
    <t>Alder Graduate School of Education</t>
  </si>
  <si>
    <t>California Indian Nations College (2 year)</t>
  </si>
  <si>
    <t>Indian Bible College</t>
  </si>
  <si>
    <t>Hackensack Meridian School of Medicine</t>
  </si>
  <si>
    <t>Taylor Andrews Academy of Hair Design-Hair Lab Detroit Barber School (2 year)</t>
  </si>
  <si>
    <t>PCI Academy-Iowa City (2 year)</t>
  </si>
  <si>
    <t>Arizona College of Nursing-Tampa</t>
  </si>
  <si>
    <t>Arizona College of Nursing-Fort Lauderdale</t>
  </si>
  <si>
    <t>Arizona College of Nursing-Tucson</t>
  </si>
  <si>
    <t>Arizona College of Nursing-Phoenix</t>
  </si>
  <si>
    <t>The Pennsylvania State University</t>
  </si>
  <si>
    <t>Pathways College</t>
  </si>
  <si>
    <t>San Joaquin Valley College-Rancho Mirage (2 year)</t>
  </si>
  <si>
    <t>San Joaquin Valley College-Santa Maria (2 year)</t>
  </si>
  <si>
    <t>California University of Science and Medicine</t>
  </si>
  <si>
    <t>Mason Anthony School of Cosmetology Arts &amp; Sciences (Female only, 2 year)</t>
  </si>
  <si>
    <t>Cyrus the Great International Online University</t>
  </si>
  <si>
    <t>California Institute of Arts &amp; Technology-National City (2 year)</t>
  </si>
  <si>
    <t>Triangle Tech-Chambersburg (2 year)</t>
  </si>
  <si>
    <t>Provo College-Idaho Falls Campus</t>
  </si>
  <si>
    <t>Miller-Motte College-Chattanooga 2 (Male only, 2 year)</t>
  </si>
  <si>
    <t>Eagle Gate College-Boise Campus</t>
  </si>
  <si>
    <t>Agape College of Business and Science (2 year)</t>
  </si>
  <si>
    <t>Daybreak University</t>
  </si>
  <si>
    <t>California Northstate University</t>
  </si>
  <si>
    <t>Antigua College International</t>
  </si>
  <si>
    <t>Florida Academy of Nursing (Female only)</t>
  </si>
  <si>
    <t>Lakewood University</t>
  </si>
  <si>
    <t>NewU University</t>
  </si>
  <si>
    <t>Herzing University-Tampa</t>
  </si>
  <si>
    <t>Galen Health Institutes-Miami Campus</t>
  </si>
  <si>
    <t>Remington College-Knoxville</t>
  </si>
  <si>
    <t>Abilene Christian University-Undergraduate Online</t>
  </si>
  <si>
    <t>Galen Health Institutes-Austin Campus</t>
  </si>
  <si>
    <t>Galen Health Institutes-Nashville Campus</t>
  </si>
  <si>
    <t>Great Northern University</t>
  </si>
  <si>
    <t>Arizona College of Nursing-Salt Lake City</t>
  </si>
  <si>
    <t>Arizona College-Glendale (2 year)</t>
  </si>
  <si>
    <t>Universal Technical Institute-West Texas (2 year)</t>
  </si>
  <si>
    <t>Glendale Career College-North-West College-Bakersfield (2 year)</t>
  </si>
  <si>
    <t>Very Competitive</t>
  </si>
  <si>
    <t>Highly Competitive</t>
  </si>
  <si>
    <t>Less Competitive</t>
  </si>
  <si>
    <t>2 year (Noncompetitive)</t>
  </si>
  <si>
    <t>Competitive</t>
  </si>
  <si>
    <t>Most Competitive+</t>
  </si>
  <si>
    <t>Most Competitive</t>
  </si>
  <si>
    <t>Noncompetitive</t>
  </si>
  <si>
    <t>Not available</t>
  </si>
  <si>
    <t>2 year (Competitive)</t>
  </si>
  <si>
    <t>Not Available</t>
  </si>
  <si>
    <t>+++</t>
  </si>
  <si>
    <t>++</t>
  </si>
  <si>
    <t>++/-</t>
  </si>
  <si>
    <t>---</t>
  </si>
  <si>
    <t>--</t>
  </si>
  <si>
    <t>?</t>
  </si>
  <si>
    <t>+/---</t>
  </si>
  <si>
    <t>Both</t>
  </si>
  <si>
    <t>Home</t>
  </si>
  <si>
    <t>ï»¿INSTNM</t>
  </si>
  <si>
    <t>Adams State College</t>
  </si>
  <si>
    <t>Agnes Scott College</t>
  </si>
  <si>
    <t>Alderson Broaddus College</t>
  </si>
  <si>
    <t>Arizona State University</t>
  </si>
  <si>
    <t>Arkansas State University-Main Campus</t>
  </si>
  <si>
    <t>Assumption College</t>
  </si>
  <si>
    <t>Atlanta Christian College</t>
  </si>
  <si>
    <t>Augsburg College</t>
  </si>
  <si>
    <t>Baldwin-Wallace College</t>
  </si>
  <si>
    <t>Baptist Memorial College of Health Sciences</t>
  </si>
  <si>
    <t>Barnard College</t>
  </si>
  <si>
    <t>Bay Path College</t>
  </si>
  <si>
    <t>Bennett College for Women (HBCU)</t>
  </si>
  <si>
    <t>Bethel College-Mishawaka</t>
  </si>
  <si>
    <t>Birmingham Southern College</t>
  </si>
  <si>
    <t>Bluefield College</t>
  </si>
  <si>
    <t>Brigham Young University-Provo</t>
  </si>
  <si>
    <t>Cabrini College</t>
  </si>
  <si>
    <t>Caldwell College</t>
  </si>
  <si>
    <t>California Maritime Academy</t>
  </si>
  <si>
    <t>Calvin College</t>
  </si>
  <si>
    <t>Capitol College</t>
  </si>
  <si>
    <t>Carlos Albizu University-Miami</t>
  </si>
  <si>
    <t>Carson-Newman College</t>
  </si>
  <si>
    <t>Castleton State College</t>
  </si>
  <si>
    <t>Catholic University of America</t>
  </si>
  <si>
    <t>Centenary College</t>
  </si>
  <si>
    <t>Central Methodist University-College of Liberal Arts &amp; Sciences</t>
  </si>
  <si>
    <t>Cogswell Polytechnical College</t>
  </si>
  <si>
    <t>Coker College</t>
  </si>
  <si>
    <t>College of Mount St. Joseph</t>
  </si>
  <si>
    <t>College of Notre Dame of Maryland</t>
  </si>
  <si>
    <t>College of Saint Benedict</t>
  </si>
  <si>
    <t>College of Saint Elizabeth</t>
  </si>
  <si>
    <t>College of St Joseph</t>
  </si>
  <si>
    <t>College of William and Mary</t>
  </si>
  <si>
    <t>Colorado State University-Pueblo</t>
  </si>
  <si>
    <t>Columbia College-Chicago</t>
  </si>
  <si>
    <t>Concordia College-New York</t>
  </si>
  <si>
    <t>Concordia University-Portland</t>
  </si>
  <si>
    <t>Concordia University-Seward</t>
  </si>
  <si>
    <t>Concordia University-Texas</t>
  </si>
  <si>
    <t>Converse College</t>
  </si>
  <si>
    <t>Daemen College</t>
  </si>
  <si>
    <t>Delaware Valley College</t>
  </si>
  <si>
    <t>Doane College-Crete</t>
  </si>
  <si>
    <t>Dordt College</t>
  </si>
  <si>
    <t>Embry Riddle Aeronautical University-Daytona Beach</t>
  </si>
  <si>
    <t>Embry Riddle Aeronautical University-Prescott</t>
  </si>
  <si>
    <t>Emory and Henry College</t>
  </si>
  <si>
    <t>Erskine College and Seminary</t>
  </si>
  <si>
    <t>Fairleigh Dickinson University-College at Florham</t>
  </si>
  <si>
    <t>Felician College</t>
  </si>
  <si>
    <t>Flagler College-St Augustine</t>
  </si>
  <si>
    <t>Florida Hospital College of Health Sciences</t>
  </si>
  <si>
    <t>Franklin W. Olin College of Engineering</t>
  </si>
  <si>
    <t>Green Mountain College</t>
  </si>
  <si>
    <t>Greenville College</t>
  </si>
  <si>
    <t>Gwynedd Mercy College</t>
  </si>
  <si>
    <t>Hampden-Sydney College</t>
  </si>
  <si>
    <t>Hannibal-Lagrange College</t>
  </si>
  <si>
    <t>Hollins University</t>
  </si>
  <si>
    <t>Humboldt State University</t>
  </si>
  <si>
    <t>Indiana University-Purdue University-Fort Wayne</t>
  </si>
  <si>
    <t>Indiana Wesleyan University</t>
  </si>
  <si>
    <t>Jamestown College</t>
  </si>
  <si>
    <t>Jefferson College of Health Sciences</t>
  </si>
  <si>
    <t>Johnson State College</t>
  </si>
  <si>
    <t>King College</t>
  </si>
  <si>
    <t>La Roche College</t>
  </si>
  <si>
    <t>Lakeland College</t>
  </si>
  <si>
    <t>Lasell College</t>
  </si>
  <si>
    <t>Limestone College</t>
  </si>
  <si>
    <t>Lincoln University of Pennsylvania (HBCU)</t>
  </si>
  <si>
    <t>Linfield College</t>
  </si>
  <si>
    <t>Long Island University-C W Post Campus</t>
  </si>
  <si>
    <t>Lourdes College</t>
  </si>
  <si>
    <t>Loyola University-Baltimore</t>
  </si>
  <si>
    <t>Loyola University-Chicago</t>
  </si>
  <si>
    <t>Loyola University-New Orleans</t>
  </si>
  <si>
    <t>Lynchburg College</t>
  </si>
  <si>
    <t>MacMurray College</t>
  </si>
  <si>
    <t>Maharishi University of Management</t>
  </si>
  <si>
    <t>Manchester College</t>
  </si>
  <si>
    <t>Maranatha Baptist Bible College</t>
  </si>
  <si>
    <t>Marlboro College</t>
  </si>
  <si>
    <t>Mars Hill College</t>
  </si>
  <si>
    <t>Mary Baldwin College</t>
  </si>
  <si>
    <t>Marygrove College</t>
  </si>
  <si>
    <t>Mercyhurst College</t>
  </si>
  <si>
    <t>Meredith College</t>
  </si>
  <si>
    <t>Mesa State College</t>
  </si>
  <si>
    <t>Messiah College</t>
  </si>
  <si>
    <t>Metropolitan State College of Denver</t>
  </si>
  <si>
    <t>Midway College</t>
  </si>
  <si>
    <t>Minnesota State University-Moorhead</t>
  </si>
  <si>
    <t>Monroe College-Main Campus</t>
  </si>
  <si>
    <t>Montana State University-Billings</t>
  </si>
  <si>
    <t>Montana Tech of the University of Montana</t>
  </si>
  <si>
    <t>Moravian College and Moravian Theological Seminary</t>
  </si>
  <si>
    <t>Morehouse College (HBCU)</t>
  </si>
  <si>
    <t>Morningside College</t>
  </si>
  <si>
    <t>Morrisville State College</t>
  </si>
  <si>
    <t>Mount Holyoke College</t>
  </si>
  <si>
    <t>Mount Marty College</t>
  </si>
  <si>
    <t>Mount Mary College</t>
  </si>
  <si>
    <t>Mount Olive College</t>
  </si>
  <si>
    <t>Mount St Mary's College</t>
  </si>
  <si>
    <t>Mount St Mary's University</t>
  </si>
  <si>
    <t>National-Louis University</t>
  </si>
  <si>
    <t>Newbury College-Brookline</t>
  </si>
  <si>
    <t>Northwest Christian University</t>
  </si>
  <si>
    <t>Northwood University-Michigan</t>
  </si>
  <si>
    <t>Our Lady of the Lake University-San Antonio</t>
  </si>
  <si>
    <t>Pace University-New York</t>
  </si>
  <si>
    <t>Palm Beach Atlantic University-West Palm Beach</t>
  </si>
  <si>
    <t>Peace College</t>
  </si>
  <si>
    <t>Pennsylvania State University-Brandywine</t>
  </si>
  <si>
    <t>Pennsylvania State University-Main Campus</t>
  </si>
  <si>
    <t>Pennsylvania State University-Penn State Abington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</si>
  <si>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</si>
  <si>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</si>
  <si>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</si>
  <si>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Dubois</t>
  </si>
  <si>
    <t>Pennsylvania State University-Penn State Erie-Behrend College</t>
  </si>
  <si>
    <t>Pennsylvania State University-Penn State Greater Allegheny</t>
  </si>
  <si>
    <t>Pennsylvania State University-Penn State Harrisburg</t>
  </si>
  <si>
    <t>Pennsylvania State University-Penn State Hazleton</t>
  </si>
  <si>
    <t>Pennsylvania State University-Penn State Lehigh Valley</t>
  </si>
  <si>
    <t>Pennsylvania State University-Penn State Mont Alto</t>
  </si>
  <si>
    <t>Pennsylvania State University-Penn State New Kensington</t>
  </si>
  <si>
    <t>Pennsylvania State University-Penn State Schuylkill</t>
  </si>
  <si>
    <t>Pennsylvania State University-Penn State Shenango</t>
  </si>
  <si>
    <t>Pennsylvania State University-Penn State Wilkes-Barre</t>
  </si>
  <si>
    <t>Pennsylvania State University-Penn State Worthington Scranton</t>
  </si>
  <si>
    <t>Pennsylvania State University-Penn State York</t>
  </si>
  <si>
    <t>Philadelphia Biblical University-Langhorne</t>
  </si>
  <si>
    <t>Piedmont College</t>
  </si>
  <si>
    <t>Rivier College</t>
  </si>
  <si>
    <t>Rochester College</t>
  </si>
  <si>
    <t>Rockford College</t>
  </si>
  <si>
    <t>Saint Augustines College (HBCU)</t>
  </si>
  <si>
    <t>Saint Bonaventure University</t>
  </si>
  <si>
    <t>Saint Johns University</t>
  </si>
  <si>
    <t>Saint Joseph College</t>
  </si>
  <si>
    <t>Saint Joseph's College-New York</t>
  </si>
  <si>
    <t>Saint Louis University-Main Campus</t>
  </si>
  <si>
    <t>Saint Marys College of California</t>
  </si>
  <si>
    <t>Saint Peter's College</t>
  </si>
  <si>
    <t>Saint Thomas Aquinas College</t>
  </si>
  <si>
    <t>Saint Thomas University</t>
  </si>
  <si>
    <t>Salem College</t>
  </si>
  <si>
    <t>Salem International University</t>
  </si>
  <si>
    <t>Scripps College</t>
  </si>
  <si>
    <t>Sewanee-The University of the South</t>
  </si>
  <si>
    <t>Simmons College</t>
  </si>
  <si>
    <t>Southern Illinois University Carbondale</t>
  </si>
  <si>
    <t>Southern Illinois University Edwardsville</t>
  </si>
  <si>
    <t>Southern Vermont College</t>
  </si>
  <si>
    <t>Spelman College (HBCU)</t>
  </si>
  <si>
    <t>St Andrews Presbyterian College</t>
  </si>
  <si>
    <t>St John's College</t>
  </si>
  <si>
    <t>St John's University-New York</t>
  </si>
  <si>
    <t>St Mary's College of Maryland</t>
  </si>
  <si>
    <t>St Marys University</t>
  </si>
  <si>
    <t>SUNY at Binghamton</t>
  </si>
  <si>
    <t>SUNY at Geneseo</t>
  </si>
  <si>
    <t>SUNY College at Brockport</t>
  </si>
  <si>
    <t>SUNY College at Buffalo</t>
  </si>
  <si>
    <t>SUNY College at Cortland</t>
  </si>
  <si>
    <t>SUNY College at Oneonta</t>
  </si>
  <si>
    <t>SUNY Institute of Technology at Utica-Rome</t>
  </si>
  <si>
    <t>Sweet Briar College</t>
  </si>
  <si>
    <t>Tennessee Wesleyan College</t>
  </si>
  <si>
    <t>Texas State University-San Marcos</t>
  </si>
  <si>
    <t>The College of New Rochelle</t>
  </si>
  <si>
    <t>The Kingâ€™s College</t>
  </si>
  <si>
    <t>The Master's College and Seminary</t>
  </si>
  <si>
    <t>The Richard Stockton College of New Jersey</t>
  </si>
  <si>
    <t>The University of Tennessee</t>
  </si>
  <si>
    <t>The University of Tennessee at Chattanooga</t>
  </si>
  <si>
    <t>The University of Texas of the Permian Basin</t>
  </si>
  <si>
    <t>The University of Texas-Pan American</t>
  </si>
  <si>
    <t>The University of Virginia's College at Wise</t>
  </si>
  <si>
    <t>Thomas More College</t>
  </si>
  <si>
    <t>Trinity Washington University</t>
  </si>
  <si>
    <t>Tusculum College</t>
  </si>
  <si>
    <t>University of Alabama at Huntsville</t>
  </si>
  <si>
    <t>University of Colorado at Colorado Springs</t>
  </si>
  <si>
    <t>University of Colorado Denver</t>
  </si>
  <si>
    <t>University of Connecticut-Tri-Campus</t>
  </si>
  <si>
    <t>University of Great Falls</t>
  </si>
  <si>
    <t>University of Louisiana-Lafayette</t>
  </si>
  <si>
    <t>University of Louisiana-Monroe</t>
  </si>
  <si>
    <t>University of Massachusetts Amherst</t>
  </si>
  <si>
    <t>University of Mississippi Main Campus</t>
  </si>
  <si>
    <t>University of North Carolina at Wilmington</t>
  </si>
  <si>
    <t>University of Oklahoma Norman Campus</t>
  </si>
  <si>
    <t>University of South Carolina-Aiken</t>
  </si>
  <si>
    <t>University of South Carolina-Beaufort</t>
  </si>
  <si>
    <t>University of South Florida-Main Campus</t>
  </si>
  <si>
    <t>University of South Florida-St. Petersburg Campus</t>
  </si>
  <si>
    <t>Urbana University</t>
  </si>
  <si>
    <t>Utica College</t>
  </si>
  <si>
    <t>Valley Forge Christian College</t>
  </si>
  <si>
    <t>Virginia Wesleyan College</t>
  </si>
  <si>
    <t>Warner Pacific College</t>
  </si>
  <si>
    <t>Watkins College of Art Design &amp; Film</t>
  </si>
  <si>
    <t>Wellesley College</t>
  </si>
  <si>
    <t>Western State College of Colorado</t>
  </si>
  <si>
    <t>Wheeling Jesuit University</t>
  </si>
  <si>
    <t>Widener University-Main Campus</t>
  </si>
  <si>
    <t>Williams Baptist College</t>
  </si>
  <si>
    <t>York College Pennsylvania</t>
  </si>
  <si>
    <t>Wheelock College</t>
  </si>
  <si>
    <t>Arrupe</t>
  </si>
  <si>
    <t>GPAcoef</t>
  </si>
  <si>
    <t>SATcoef</t>
  </si>
  <si>
    <t>Intercept</t>
  </si>
  <si>
    <t>Weight</t>
  </si>
  <si>
    <t>College</t>
  </si>
  <si>
    <t>SchoolCode</t>
  </si>
  <si>
    <t>B:100654</t>
  </si>
  <si>
    <t>B:100724</t>
  </si>
  <si>
    <t>B:144740</t>
  </si>
  <si>
    <t>B:102234</t>
  </si>
  <si>
    <t>B:102377</t>
  </si>
  <si>
    <t>B:112260</t>
  </si>
  <si>
    <t>B:113698</t>
  </si>
  <si>
    <t>B:117946</t>
  </si>
  <si>
    <t>B:120254</t>
  </si>
  <si>
    <t>B:121345</t>
  </si>
  <si>
    <t>B:122612</t>
  </si>
  <si>
    <t>B:123961</t>
  </si>
  <si>
    <t>B:126678</t>
  </si>
  <si>
    <t>B:126818</t>
  </si>
  <si>
    <t>B:127060</t>
  </si>
  <si>
    <t>B:130590</t>
  </si>
  <si>
    <t>B:131469</t>
  </si>
  <si>
    <t>B:131496</t>
  </si>
  <si>
    <t>B:131520</t>
  </si>
  <si>
    <t>B:132471</t>
  </si>
  <si>
    <t>B:133650</t>
  </si>
  <si>
    <t>B:134945</t>
  </si>
  <si>
    <t>B:135726</t>
  </si>
  <si>
    <t>B:137847</t>
  </si>
  <si>
    <t>B:138600</t>
  </si>
  <si>
    <t>B:138947</t>
  </si>
  <si>
    <t>B:139658</t>
  </si>
  <si>
    <t>B:139940</t>
  </si>
  <si>
    <t>B:140553</t>
  </si>
  <si>
    <t>B:143084</t>
  </si>
  <si>
    <t>B:143118</t>
  </si>
  <si>
    <t>B:143288</t>
  </si>
  <si>
    <t>B:143358</t>
  </si>
  <si>
    <t>B:144005</t>
  </si>
  <si>
    <t>B:144050</t>
  </si>
  <si>
    <t>B:144281</t>
  </si>
  <si>
    <t>B:144351</t>
  </si>
  <si>
    <t>B:144962</t>
  </si>
  <si>
    <t>B:145336</t>
  </si>
  <si>
    <t>B:145646</t>
  </si>
  <si>
    <t>B:145691</t>
  </si>
  <si>
    <t>B:146427</t>
  </si>
  <si>
    <t>B:146481</t>
  </si>
  <si>
    <t>B:146612</t>
  </si>
  <si>
    <t>B:146676</t>
  </si>
  <si>
    <t>B:147013</t>
  </si>
  <si>
    <t>B:147244</t>
  </si>
  <si>
    <t>B:147341</t>
  </si>
  <si>
    <t>B:147536</t>
  </si>
  <si>
    <t>B:147660</t>
  </si>
  <si>
    <t>B:147679</t>
  </si>
  <si>
    <t>B:147703</t>
  </si>
  <si>
    <t>B:147767</t>
  </si>
  <si>
    <t>B:147776</t>
  </si>
  <si>
    <t>B:148131</t>
  </si>
  <si>
    <t>B:148405</t>
  </si>
  <si>
    <t>B:148487</t>
  </si>
  <si>
    <t>B:148496</t>
  </si>
  <si>
    <t>B:148584</t>
  </si>
  <si>
    <t>B:148627</t>
  </si>
  <si>
    <t>B:149222</t>
  </si>
  <si>
    <t>B:149231</t>
  </si>
  <si>
    <t>B:149505</t>
  </si>
  <si>
    <t>B:149772</t>
  </si>
  <si>
    <t>B:150136</t>
  </si>
  <si>
    <t>B:150163</t>
  </si>
  <si>
    <t>B:150400</t>
  </si>
  <si>
    <t>B:150774</t>
  </si>
  <si>
    <t>B:151111</t>
  </si>
  <si>
    <t>B:151324</t>
  </si>
  <si>
    <t>B:151351</t>
  </si>
  <si>
    <t>B:152080</t>
  </si>
  <si>
    <t>B:152390</t>
  </si>
  <si>
    <t>B:152600</t>
  </si>
  <si>
    <t>B:153144</t>
  </si>
  <si>
    <t>B:153269</t>
  </si>
  <si>
    <t>B:153278</t>
  </si>
  <si>
    <t>B:153384</t>
  </si>
  <si>
    <t>B:153603</t>
  </si>
  <si>
    <t>B:153658</t>
  </si>
  <si>
    <t>B:153834</t>
  </si>
  <si>
    <t>B:154095</t>
  </si>
  <si>
    <t>B:154493</t>
  </si>
  <si>
    <t>B:154527</t>
  </si>
  <si>
    <t>B:156295</t>
  </si>
  <si>
    <t>B:157058</t>
  </si>
  <si>
    <t>B:158802</t>
  </si>
  <si>
    <t>B:159009</t>
  </si>
  <si>
    <t>B:159391</t>
  </si>
  <si>
    <t>B:160621</t>
  </si>
  <si>
    <t>B:160904</t>
  </si>
  <si>
    <t>B:161086</t>
  </si>
  <si>
    <t>B:162007</t>
  </si>
  <si>
    <t>B:163286</t>
  </si>
  <si>
    <t>B:163453</t>
  </si>
  <si>
    <t>B:164924</t>
  </si>
  <si>
    <t>B:164988</t>
  </si>
  <si>
    <t>B:167358</t>
  </si>
  <si>
    <t>B:168546</t>
  </si>
  <si>
    <t>B:169080</t>
  </si>
  <si>
    <t>B:169248</t>
  </si>
  <si>
    <t>B:169798</t>
  </si>
  <si>
    <t>B:170082</t>
  </si>
  <si>
    <t>B:170301</t>
  </si>
  <si>
    <t>B:170532</t>
  </si>
  <si>
    <t>B:170976</t>
  </si>
  <si>
    <t>B:172699</t>
  </si>
  <si>
    <t>B:173902</t>
  </si>
  <si>
    <t>B:174066</t>
  </si>
  <si>
    <t>B:174844</t>
  </si>
  <si>
    <t>B:175342</t>
  </si>
  <si>
    <t>B:175856</t>
  </si>
  <si>
    <t>B:176965</t>
  </si>
  <si>
    <t>B:178396</t>
  </si>
  <si>
    <t>B:178615</t>
  </si>
  <si>
    <t>B:179867</t>
  </si>
  <si>
    <t>B:190099</t>
  </si>
  <si>
    <t>B:193900</t>
  </si>
  <si>
    <t>B:195030</t>
  </si>
  <si>
    <t>B:196413</t>
  </si>
  <si>
    <t>B:197869</t>
  </si>
  <si>
    <t>B:198507</t>
  </si>
  <si>
    <t>B:199120</t>
  </si>
  <si>
    <t>B:199157</t>
  </si>
  <si>
    <t>B:199607</t>
  </si>
  <si>
    <t>B:201441</t>
  </si>
  <si>
    <t>B:201645</t>
  </si>
  <si>
    <t>B:202480</t>
  </si>
  <si>
    <t>B:202523</t>
  </si>
  <si>
    <t>B:203517</t>
  </si>
  <si>
    <t>B:203535</t>
  </si>
  <si>
    <t>B:204024</t>
  </si>
  <si>
    <t>B:204501</t>
  </si>
  <si>
    <t>B:204796</t>
  </si>
  <si>
    <t>B:204857</t>
  </si>
  <si>
    <t>B:206589</t>
  </si>
  <si>
    <t>B:212674</t>
  </si>
  <si>
    <t>B:213668</t>
  </si>
  <si>
    <t>B:215062</t>
  </si>
  <si>
    <t>B:216597</t>
  </si>
  <si>
    <t>B:217156</t>
  </si>
  <si>
    <t>B:219709</t>
  </si>
  <si>
    <t>B:220181</t>
  </si>
  <si>
    <t>B:221351</t>
  </si>
  <si>
    <t>B:221759</t>
  </si>
  <si>
    <t>B:221838</t>
  </si>
  <si>
    <t>B:221999</t>
  </si>
  <si>
    <t>B:225511</t>
  </si>
  <si>
    <t>B:229063</t>
  </si>
  <si>
    <t>B:229267</t>
  </si>
  <si>
    <t>B:231174</t>
  </si>
  <si>
    <t>B:232265</t>
  </si>
  <si>
    <t>B:232937</t>
  </si>
  <si>
    <t>B:234076</t>
  </si>
  <si>
    <t>B:238333</t>
  </si>
  <si>
    <t>B:238980</t>
  </si>
  <si>
    <t>B:239105</t>
  </si>
  <si>
    <t>B:239318</t>
  </si>
  <si>
    <t>B:239628</t>
  </si>
  <si>
    <t>B:240444</t>
  </si>
  <si>
    <t>B:240453</t>
  </si>
  <si>
    <t>B:243780</t>
  </si>
  <si>
    <t>B:100000001</t>
  </si>
  <si>
    <t>H:144740</t>
  </si>
  <si>
    <t>H:120254</t>
  </si>
  <si>
    <t>H:121345</t>
  </si>
  <si>
    <t>H:122436</t>
  </si>
  <si>
    <t>H:122612</t>
  </si>
  <si>
    <t>H:122931</t>
  </si>
  <si>
    <t>H:123961</t>
  </si>
  <si>
    <t>H:126678</t>
  </si>
  <si>
    <t>H:127060</t>
  </si>
  <si>
    <t>H:128902</t>
  </si>
  <si>
    <t>H:130590</t>
  </si>
  <si>
    <t>H:130697</t>
  </si>
  <si>
    <t>H:131469</t>
  </si>
  <si>
    <t>H:131496</t>
  </si>
  <si>
    <t>H:137847</t>
  </si>
  <si>
    <t>H:139658</t>
  </si>
  <si>
    <t>H:143048</t>
  </si>
  <si>
    <t>H:143084</t>
  </si>
  <si>
    <t>H:143118</t>
  </si>
  <si>
    <t>H:143288</t>
  </si>
  <si>
    <t>H:143358</t>
  </si>
  <si>
    <t>H:144005</t>
  </si>
  <si>
    <t>H:144050</t>
  </si>
  <si>
    <t>H:144281</t>
  </si>
  <si>
    <t>H:144351</t>
  </si>
  <si>
    <t>H:144892</t>
  </si>
  <si>
    <t>H:144962</t>
  </si>
  <si>
    <t>H:145646</t>
  </si>
  <si>
    <t>H:145691</t>
  </si>
  <si>
    <t>H:146427</t>
  </si>
  <si>
    <t>H:146481</t>
  </si>
  <si>
    <t>H:146612</t>
  </si>
  <si>
    <t>H:146676</t>
  </si>
  <si>
    <t>H:147013</t>
  </si>
  <si>
    <t>H:147244</t>
  </si>
  <si>
    <t>H:147341</t>
  </si>
  <si>
    <t>H:147660</t>
  </si>
  <si>
    <t>H:147679</t>
  </si>
  <si>
    <t>H:147703</t>
  </si>
  <si>
    <t>H:147776</t>
  </si>
  <si>
    <t>H:148335</t>
  </si>
  <si>
    <t>H:148487</t>
  </si>
  <si>
    <t>H:148496</t>
  </si>
  <si>
    <t>H:148584</t>
  </si>
  <si>
    <t>H:149222</t>
  </si>
  <si>
    <t>H:149231</t>
  </si>
  <si>
    <t>H:149505</t>
  </si>
  <si>
    <t>H:149772</t>
  </si>
  <si>
    <t>H:150163</t>
  </si>
  <si>
    <t>H:150400</t>
  </si>
  <si>
    <t>H:150455</t>
  </si>
  <si>
    <t>H:150774</t>
  </si>
  <si>
    <t>H:151351</t>
  </si>
  <si>
    <t>H:152080</t>
  </si>
  <si>
    <t>H:152390</t>
  </si>
  <si>
    <t>H:152600</t>
  </si>
  <si>
    <t>H:152673</t>
  </si>
  <si>
    <t>H:153144</t>
  </si>
  <si>
    <t>H:153278</t>
  </si>
  <si>
    <t>H:153384</t>
  </si>
  <si>
    <t>H:153603</t>
  </si>
  <si>
    <t>H:153621</t>
  </si>
  <si>
    <t>H:153658</t>
  </si>
  <si>
    <t>H:153834</t>
  </si>
  <si>
    <t>H:154095</t>
  </si>
  <si>
    <t>H:154493</t>
  </si>
  <si>
    <t>H:156295</t>
  </si>
  <si>
    <t>H:161004</t>
  </si>
  <si>
    <t>H:164924</t>
  </si>
  <si>
    <t>H:164988</t>
  </si>
  <si>
    <t>H:168148</t>
  </si>
  <si>
    <t>H:168546</t>
  </si>
  <si>
    <t>H:169248</t>
  </si>
  <si>
    <t>H:170082</t>
  </si>
  <si>
    <t>H:170301</t>
  </si>
  <si>
    <t>H:170532</t>
  </si>
  <si>
    <t>H:170976</t>
  </si>
  <si>
    <t>H:171100</t>
  </si>
  <si>
    <t>H:173258</t>
  </si>
  <si>
    <t>H:173902</t>
  </si>
  <si>
    <t>H:174066</t>
  </si>
  <si>
    <t>H:174844</t>
  </si>
  <si>
    <t>H:178396</t>
  </si>
  <si>
    <t>H:178615</t>
  </si>
  <si>
    <t>H:179159</t>
  </si>
  <si>
    <t>H:179867</t>
  </si>
  <si>
    <t>H:182670</t>
  </si>
  <si>
    <t>H:186131</t>
  </si>
  <si>
    <t>H:190415</t>
  </si>
  <si>
    <t>H:193900</t>
  </si>
  <si>
    <t>H:195030</t>
  </si>
  <si>
    <t>H:195526</t>
  </si>
  <si>
    <t>H:196413</t>
  </si>
  <si>
    <t>H:197869</t>
  </si>
  <si>
    <t>H:198385</t>
  </si>
  <si>
    <t>H:202480</t>
  </si>
  <si>
    <t>H:202523</t>
  </si>
  <si>
    <t>H:203517</t>
  </si>
  <si>
    <t>H:203535</t>
  </si>
  <si>
    <t>H:204501</t>
  </si>
  <si>
    <t>H:204796</t>
  </si>
  <si>
    <t>H:206589</t>
  </si>
  <si>
    <t>H:209056</t>
  </si>
  <si>
    <t>H:211291</t>
  </si>
  <si>
    <t>H:212009</t>
  </si>
  <si>
    <t>H:212577</t>
  </si>
  <si>
    <t>H:212674</t>
  </si>
  <si>
    <t>H:213385</t>
  </si>
  <si>
    <t>H:213543</t>
  </si>
  <si>
    <t>H:213668</t>
  </si>
  <si>
    <t>H:216287</t>
  </si>
  <si>
    <t>H:217156</t>
  </si>
  <si>
    <t>H:219709</t>
  </si>
  <si>
    <t>H:221519</t>
  </si>
  <si>
    <t>H:230959</t>
  </si>
  <si>
    <t>H:231174</t>
  </si>
  <si>
    <t>H:234076</t>
  </si>
  <si>
    <t>H:238333</t>
  </si>
  <si>
    <t>H:239105</t>
  </si>
  <si>
    <t>H:239318</t>
  </si>
  <si>
    <t>H:239628</t>
  </si>
  <si>
    <t>H:240329</t>
  </si>
  <si>
    <t>H:240444</t>
  </si>
  <si>
    <t>H:243744</t>
  </si>
  <si>
    <t>H:243780</t>
  </si>
  <si>
    <t>H:100000001</t>
  </si>
  <si>
    <t>W:145600</t>
  </si>
  <si>
    <t>W:145637</t>
  </si>
  <si>
    <t>W:145725</t>
  </si>
  <si>
    <t>W:147767</t>
  </si>
  <si>
    <t>W:170976</t>
  </si>
  <si>
    <t>W:202523</t>
  </si>
  <si>
    <t>A:145600</t>
  </si>
  <si>
    <t>A:145637</t>
  </si>
  <si>
    <t>A:145725</t>
  </si>
  <si>
    <t>A:147767</t>
  </si>
  <si>
    <t>A:170976</t>
  </si>
  <si>
    <t>A:202523</t>
  </si>
  <si>
    <t>MatchCode</t>
  </si>
  <si>
    <t>SAT-coef</t>
  </si>
  <si>
    <t>Competitiveness</t>
  </si>
  <si>
    <t>H:Most Competitive+</t>
  </si>
  <si>
    <t>H:Most Competitive</t>
  </si>
  <si>
    <t>H:Highly Competitive</t>
  </si>
  <si>
    <t>H:Very Competitive</t>
  </si>
  <si>
    <t>H:Competitive</t>
  </si>
  <si>
    <t>H:Less Competitive</t>
  </si>
  <si>
    <t>H:Noncompetitive</t>
  </si>
  <si>
    <t>H:2 year (Noncompetitive)</t>
  </si>
  <si>
    <t>H:Not Available</t>
  </si>
  <si>
    <t>H:2 year (Competitive)</t>
  </si>
  <si>
    <t>B:Most Competitive+</t>
  </si>
  <si>
    <t>B:Most Competitive</t>
  </si>
  <si>
    <t>B:Highly Competitive</t>
  </si>
  <si>
    <t>B:Very Competitive</t>
  </si>
  <si>
    <t>B:Competitive</t>
  </si>
  <si>
    <t>B:Less Competitive</t>
  </si>
  <si>
    <t>B:Noncompetitive</t>
  </si>
  <si>
    <t>B:2 year (Noncompetitive)</t>
  </si>
  <si>
    <t>B:Not Available</t>
  </si>
  <si>
    <t>B:2 year (Competitive)</t>
  </si>
  <si>
    <t>W:Most Competitive+</t>
  </si>
  <si>
    <t>W:Most Competitive</t>
  </si>
  <si>
    <t>W:Highly Competitive</t>
  </si>
  <si>
    <t>W:Very Competitive</t>
  </si>
  <si>
    <t>W:Competitive</t>
  </si>
  <si>
    <t>W:Less Competitive</t>
  </si>
  <si>
    <t>W:Noncompetitive</t>
  </si>
  <si>
    <t>W:2 year (Noncompetitive)</t>
  </si>
  <si>
    <t>W:Not Available</t>
  </si>
  <si>
    <t>W:2 year (Competitive)</t>
  </si>
  <si>
    <t>A:Most Competitive+</t>
  </si>
  <si>
    <t>A:Most Competitive</t>
  </si>
  <si>
    <t>A:Highly Competitive</t>
  </si>
  <si>
    <t>A:Very Competitive</t>
  </si>
  <si>
    <t>A:Competitive</t>
  </si>
  <si>
    <t>A:Less Competitive</t>
  </si>
  <si>
    <t>A:Noncompetitive</t>
  </si>
  <si>
    <t>A:2 year (Noncompetitive)</t>
  </si>
  <si>
    <t>A:Not Available</t>
  </si>
  <si>
    <t>A:2 year (Competitive)</t>
  </si>
  <si>
    <t>ACT</t>
  </si>
  <si>
    <t>Index</t>
  </si>
  <si>
    <t>4.3:710</t>
  </si>
  <si>
    <t>4.2:710</t>
  </si>
  <si>
    <t>4.1:710</t>
  </si>
  <si>
    <t>4.0:710</t>
  </si>
  <si>
    <t>3.9:710</t>
  </si>
  <si>
    <t>3.8:710</t>
  </si>
  <si>
    <t>3.7:710</t>
  </si>
  <si>
    <t>3.6:710</t>
  </si>
  <si>
    <t>3.5:710</t>
  </si>
  <si>
    <t>3.4:710</t>
  </si>
  <si>
    <t>3.3:710</t>
  </si>
  <si>
    <t>3.2:710</t>
  </si>
  <si>
    <t>3.1:710</t>
  </si>
  <si>
    <t>3.0:710</t>
  </si>
  <si>
    <t>2.9:710</t>
  </si>
  <si>
    <t>2.8:710</t>
  </si>
  <si>
    <t>2.7:710</t>
  </si>
  <si>
    <t>2.6:710</t>
  </si>
  <si>
    <t>2.5:710</t>
  </si>
  <si>
    <t>2.4:710</t>
  </si>
  <si>
    <t>2.3:710</t>
  </si>
  <si>
    <t>2.2:710</t>
  </si>
  <si>
    <t>2.1:710</t>
  </si>
  <si>
    <t>2.0:710</t>
  </si>
  <si>
    <t>1.9:710</t>
  </si>
  <si>
    <t>1.8:710</t>
  </si>
  <si>
    <t>1.7:710</t>
  </si>
  <si>
    <t>1.6:710</t>
  </si>
  <si>
    <t>1.5:710</t>
  </si>
  <si>
    <t>4.3:720</t>
  </si>
  <si>
    <t>4.2:720</t>
  </si>
  <si>
    <t>4.1:720</t>
  </si>
  <si>
    <t>4.0:720</t>
  </si>
  <si>
    <t>3.9:720</t>
  </si>
  <si>
    <t>3.8:720</t>
  </si>
  <si>
    <t>3.7:720</t>
  </si>
  <si>
    <t>3.6:720</t>
  </si>
  <si>
    <t>3.5:720</t>
  </si>
  <si>
    <t>3.4:720</t>
  </si>
  <si>
    <t>3.3:720</t>
  </si>
  <si>
    <t>3.2:720</t>
  </si>
  <si>
    <t>3.1:720</t>
  </si>
  <si>
    <t>3.0:720</t>
  </si>
  <si>
    <t>2.9:720</t>
  </si>
  <si>
    <t>2.8:720</t>
  </si>
  <si>
    <t>2.7:720</t>
  </si>
  <si>
    <t>2.6:720</t>
  </si>
  <si>
    <t>2.5:720</t>
  </si>
  <si>
    <t>2.4:720</t>
  </si>
  <si>
    <t>2.3:720</t>
  </si>
  <si>
    <t>2.2:720</t>
  </si>
  <si>
    <t>2.1:720</t>
  </si>
  <si>
    <t>2.0:720</t>
  </si>
  <si>
    <t>1.9:720</t>
  </si>
  <si>
    <t>1.8:720</t>
  </si>
  <si>
    <t>1.7:720</t>
  </si>
  <si>
    <t>1.6:720</t>
  </si>
  <si>
    <t>1.5:720</t>
  </si>
  <si>
    <t>4.3:730</t>
  </si>
  <si>
    <t>4.2:730</t>
  </si>
  <si>
    <t>4.1:730</t>
  </si>
  <si>
    <t>4.0:730</t>
  </si>
  <si>
    <t>3.9:730</t>
  </si>
  <si>
    <t>3.8:730</t>
  </si>
  <si>
    <t>3.7:730</t>
  </si>
  <si>
    <t>3.6:730</t>
  </si>
  <si>
    <t>3.5:730</t>
  </si>
  <si>
    <t>3.4:730</t>
  </si>
  <si>
    <t>3.3:730</t>
  </si>
  <si>
    <t>3.2:730</t>
  </si>
  <si>
    <t>3.1:730</t>
  </si>
  <si>
    <t>3.0:730</t>
  </si>
  <si>
    <t>2.9:730</t>
  </si>
  <si>
    <t>2.8:730</t>
  </si>
  <si>
    <t>2.7:730</t>
  </si>
  <si>
    <t>2.6:730</t>
  </si>
  <si>
    <t>2.5:730</t>
  </si>
  <si>
    <t>2.4:730</t>
  </si>
  <si>
    <t>2.3:730</t>
  </si>
  <si>
    <t>2.2:730</t>
  </si>
  <si>
    <t>2.1:730</t>
  </si>
  <si>
    <t>2.0:730</t>
  </si>
  <si>
    <t>1.9:730</t>
  </si>
  <si>
    <t>1.8:730</t>
  </si>
  <si>
    <t>1.7:730</t>
  </si>
  <si>
    <t>1.6:730</t>
  </si>
  <si>
    <t>1.5:730</t>
  </si>
  <si>
    <t>4.3:740</t>
  </si>
  <si>
    <t>4.2:740</t>
  </si>
  <si>
    <t>4.1:740</t>
  </si>
  <si>
    <t>4.0:740</t>
  </si>
  <si>
    <t>3.9:740</t>
  </si>
  <si>
    <t>3.8:740</t>
  </si>
  <si>
    <t>3.7:740</t>
  </si>
  <si>
    <t>3.6:740</t>
  </si>
  <si>
    <t>3.5:740</t>
  </si>
  <si>
    <t>3.4:740</t>
  </si>
  <si>
    <t>3.3:740</t>
  </si>
  <si>
    <t>3.2:740</t>
  </si>
  <si>
    <t>3.1:740</t>
  </si>
  <si>
    <t>3.0:740</t>
  </si>
  <si>
    <t>2.9:740</t>
  </si>
  <si>
    <t>2.8:740</t>
  </si>
  <si>
    <t>2.7:740</t>
  </si>
  <si>
    <t>2.6:740</t>
  </si>
  <si>
    <t>2.5:740</t>
  </si>
  <si>
    <t>2.4:740</t>
  </si>
  <si>
    <t>2.3:740</t>
  </si>
  <si>
    <t>2.2:740</t>
  </si>
  <si>
    <t>2.1:740</t>
  </si>
  <si>
    <t>2.0:740</t>
  </si>
  <si>
    <t>1.9:740</t>
  </si>
  <si>
    <t>1.8:740</t>
  </si>
  <si>
    <t>1.7:740</t>
  </si>
  <si>
    <t>1.6:740</t>
  </si>
  <si>
    <t>1.5:740</t>
  </si>
  <si>
    <t>4.3:750</t>
  </si>
  <si>
    <t>4.2:750</t>
  </si>
  <si>
    <t>4.1:750</t>
  </si>
  <si>
    <t>4.0:750</t>
  </si>
  <si>
    <t>3.9:750</t>
  </si>
  <si>
    <t>3.8:750</t>
  </si>
  <si>
    <t>3.7:750</t>
  </si>
  <si>
    <t>3.6:750</t>
  </si>
  <si>
    <t>3.5:750</t>
  </si>
  <si>
    <t>3.4:750</t>
  </si>
  <si>
    <t>3.3:750</t>
  </si>
  <si>
    <t>3.2:750</t>
  </si>
  <si>
    <t>3.1:750</t>
  </si>
  <si>
    <t>3.0:750</t>
  </si>
  <si>
    <t>2.9:750</t>
  </si>
  <si>
    <t>2.8:750</t>
  </si>
  <si>
    <t>2.7:750</t>
  </si>
  <si>
    <t>2.6:750</t>
  </si>
  <si>
    <t>2.5:750</t>
  </si>
  <si>
    <t>2.4:750</t>
  </si>
  <si>
    <t>2.3:750</t>
  </si>
  <si>
    <t>2.2:750</t>
  </si>
  <si>
    <t>2.1:750</t>
  </si>
  <si>
    <t>2.0:750</t>
  </si>
  <si>
    <t>1.9:750</t>
  </si>
  <si>
    <t>1.8:750</t>
  </si>
  <si>
    <t>1.7:750</t>
  </si>
  <si>
    <t>1.6:750</t>
  </si>
  <si>
    <t>1.5:750</t>
  </si>
  <si>
    <t>4.3:760</t>
  </si>
  <si>
    <t>4.2:760</t>
  </si>
  <si>
    <t>4.1:760</t>
  </si>
  <si>
    <t>4.0:760</t>
  </si>
  <si>
    <t>3.9:760</t>
  </si>
  <si>
    <t>3.8:760</t>
  </si>
  <si>
    <t>3.7:760</t>
  </si>
  <si>
    <t>3.6:760</t>
  </si>
  <si>
    <t>3.5:760</t>
  </si>
  <si>
    <t>3.4:760</t>
  </si>
  <si>
    <t>3.3:760</t>
  </si>
  <si>
    <t>3.2:760</t>
  </si>
  <si>
    <t>3.1:760</t>
  </si>
  <si>
    <t>3.0:760</t>
  </si>
  <si>
    <t>2.9:760</t>
  </si>
  <si>
    <t>2.8:760</t>
  </si>
  <si>
    <t>2.7:760</t>
  </si>
  <si>
    <t>2.6:760</t>
  </si>
  <si>
    <t>2.5:760</t>
  </si>
  <si>
    <t>2.4:760</t>
  </si>
  <si>
    <t>2.3:760</t>
  </si>
  <si>
    <t>2.2:760</t>
  </si>
  <si>
    <t>2.1:760</t>
  </si>
  <si>
    <t>2.0:760</t>
  </si>
  <si>
    <t>1.9:760</t>
  </si>
  <si>
    <t>1.8:760</t>
  </si>
  <si>
    <t>1.7:760</t>
  </si>
  <si>
    <t>1.6:760</t>
  </si>
  <si>
    <t>1.5:760</t>
  </si>
  <si>
    <t>4.3:770</t>
  </si>
  <si>
    <t>4.2:770</t>
  </si>
  <si>
    <t>4.1:770</t>
  </si>
  <si>
    <t>4.0:770</t>
  </si>
  <si>
    <t>3.9:770</t>
  </si>
  <si>
    <t>3.8:770</t>
  </si>
  <si>
    <t>3.7:770</t>
  </si>
  <si>
    <t>3.6:770</t>
  </si>
  <si>
    <t>3.5:770</t>
  </si>
  <si>
    <t>3.4:770</t>
  </si>
  <si>
    <t>3.3:770</t>
  </si>
  <si>
    <t>3.2:770</t>
  </si>
  <si>
    <t>3.1:770</t>
  </si>
  <si>
    <t>3.0:770</t>
  </si>
  <si>
    <t>2.9:770</t>
  </si>
  <si>
    <t>2.8:770</t>
  </si>
  <si>
    <t>2.7:770</t>
  </si>
  <si>
    <t>2.6:770</t>
  </si>
  <si>
    <t>2.5:770</t>
  </si>
  <si>
    <t>2.4:770</t>
  </si>
  <si>
    <t>2.3:770</t>
  </si>
  <si>
    <t>2.2:770</t>
  </si>
  <si>
    <t>2.1:770</t>
  </si>
  <si>
    <t>2.0:770</t>
  </si>
  <si>
    <t>1.9:770</t>
  </si>
  <si>
    <t>1.8:770</t>
  </si>
  <si>
    <t>1.7:770</t>
  </si>
  <si>
    <t>1.6:770</t>
  </si>
  <si>
    <t>1.5:770</t>
  </si>
  <si>
    <t>4.3:780</t>
  </si>
  <si>
    <t>4.2:780</t>
  </si>
  <si>
    <t>4.1:780</t>
  </si>
  <si>
    <t>4.0:780</t>
  </si>
  <si>
    <t>3.9:780</t>
  </si>
  <si>
    <t>3.8:780</t>
  </si>
  <si>
    <t>3.7:780</t>
  </si>
  <si>
    <t>3.6:780</t>
  </si>
  <si>
    <t>3.5:780</t>
  </si>
  <si>
    <t>3.4:780</t>
  </si>
  <si>
    <t>3.3:780</t>
  </si>
  <si>
    <t>3.2:780</t>
  </si>
  <si>
    <t>3.1:780</t>
  </si>
  <si>
    <t>3.0:780</t>
  </si>
  <si>
    <t>2.9:780</t>
  </si>
  <si>
    <t>2.8:780</t>
  </si>
  <si>
    <t>2.7:780</t>
  </si>
  <si>
    <t>2.6:780</t>
  </si>
  <si>
    <t>2.5:780</t>
  </si>
  <si>
    <t>2.4:780</t>
  </si>
  <si>
    <t>2.3:780</t>
  </si>
  <si>
    <t>2.2:780</t>
  </si>
  <si>
    <t>2.1:780</t>
  </si>
  <si>
    <t>2.0:780</t>
  </si>
  <si>
    <t>1.9:780</t>
  </si>
  <si>
    <t>1.8:780</t>
  </si>
  <si>
    <t>1.7:780</t>
  </si>
  <si>
    <t>1.6:780</t>
  </si>
  <si>
    <t>1.5:780</t>
  </si>
  <si>
    <t>4.3:790</t>
  </si>
  <si>
    <t>4.2:790</t>
  </si>
  <si>
    <t>4.1:790</t>
  </si>
  <si>
    <t>4.0:790</t>
  </si>
  <si>
    <t>3.9:790</t>
  </si>
  <si>
    <t>3.8:790</t>
  </si>
  <si>
    <t>3.7:790</t>
  </si>
  <si>
    <t>3.6:790</t>
  </si>
  <si>
    <t>3.5:790</t>
  </si>
  <si>
    <t>3.4:790</t>
  </si>
  <si>
    <t>3.3:790</t>
  </si>
  <si>
    <t>3.2:790</t>
  </si>
  <si>
    <t>3.1:790</t>
  </si>
  <si>
    <t>3.0:790</t>
  </si>
  <si>
    <t>2.9:790</t>
  </si>
  <si>
    <t>2.8:790</t>
  </si>
  <si>
    <t>2.7:790</t>
  </si>
  <si>
    <t>2.6:790</t>
  </si>
  <si>
    <t>2.5:790</t>
  </si>
  <si>
    <t>2.4:790</t>
  </si>
  <si>
    <t>2.3:790</t>
  </si>
  <si>
    <t>2.2:790</t>
  </si>
  <si>
    <t>2.1:790</t>
  </si>
  <si>
    <t>2.0:790</t>
  </si>
  <si>
    <t>1.9:790</t>
  </si>
  <si>
    <t>1.8:790</t>
  </si>
  <si>
    <t>1.7:790</t>
  </si>
  <si>
    <t>1.6:790</t>
  </si>
  <si>
    <t>1.5:790</t>
  </si>
  <si>
    <t>4.3:800</t>
  </si>
  <si>
    <t>4.2:800</t>
  </si>
  <si>
    <t>4.1:800</t>
  </si>
  <si>
    <t>4.0:800</t>
  </si>
  <si>
    <t>3.9:800</t>
  </si>
  <si>
    <t>3.8:800</t>
  </si>
  <si>
    <t>3.7:800</t>
  </si>
  <si>
    <t>3.6:800</t>
  </si>
  <si>
    <t>3.5:800</t>
  </si>
  <si>
    <t>3.4:800</t>
  </si>
  <si>
    <t>3.3:800</t>
  </si>
  <si>
    <t>3.2:800</t>
  </si>
  <si>
    <t>3.1:800</t>
  </si>
  <si>
    <t>3.0:800</t>
  </si>
  <si>
    <t>2.9:800</t>
  </si>
  <si>
    <t>2.8:800</t>
  </si>
  <si>
    <t>2.7:800</t>
  </si>
  <si>
    <t>2.6:800</t>
  </si>
  <si>
    <t>2.5:800</t>
  </si>
  <si>
    <t>2.4:800</t>
  </si>
  <si>
    <t>2.3:800</t>
  </si>
  <si>
    <t>2.2:800</t>
  </si>
  <si>
    <t>2.1:800</t>
  </si>
  <si>
    <t>2.0:800</t>
  </si>
  <si>
    <t>1.9:800</t>
  </si>
  <si>
    <t>1.8:800</t>
  </si>
  <si>
    <t>1.7:800</t>
  </si>
  <si>
    <t>1.6:800</t>
  </si>
  <si>
    <t>1.5:800</t>
  </si>
  <si>
    <t>4.3:810</t>
  </si>
  <si>
    <t>4.2:810</t>
  </si>
  <si>
    <t>4.1:810</t>
  </si>
  <si>
    <t>4.0:810</t>
  </si>
  <si>
    <t>3.9:810</t>
  </si>
  <si>
    <t>3.8:810</t>
  </si>
  <si>
    <t>3.7:810</t>
  </si>
  <si>
    <t>3.6:810</t>
  </si>
  <si>
    <t>3.5:810</t>
  </si>
  <si>
    <t>3.4:810</t>
  </si>
  <si>
    <t>3.3:810</t>
  </si>
  <si>
    <t>3.2:810</t>
  </si>
  <si>
    <t>3.1:810</t>
  </si>
  <si>
    <t>3.0:810</t>
  </si>
  <si>
    <t>2.9:810</t>
  </si>
  <si>
    <t>2.8:810</t>
  </si>
  <si>
    <t>2.7:810</t>
  </si>
  <si>
    <t>2.6:810</t>
  </si>
  <si>
    <t>2.5:810</t>
  </si>
  <si>
    <t>2.4:810</t>
  </si>
  <si>
    <t>2.3:810</t>
  </si>
  <si>
    <t>2.2:810</t>
  </si>
  <si>
    <t>2.1:810</t>
  </si>
  <si>
    <t>2.0:810</t>
  </si>
  <si>
    <t>1.9:810</t>
  </si>
  <si>
    <t>1.8:810</t>
  </si>
  <si>
    <t>1.7:810</t>
  </si>
  <si>
    <t>1.6:810</t>
  </si>
  <si>
    <t>1.5:810</t>
  </si>
  <si>
    <t>4.3:820</t>
  </si>
  <si>
    <t>4.2:820</t>
  </si>
  <si>
    <t>4.1:820</t>
  </si>
  <si>
    <t>4.0:820</t>
  </si>
  <si>
    <t>3.9:820</t>
  </si>
  <si>
    <t>3.8:820</t>
  </si>
  <si>
    <t>3.7:820</t>
  </si>
  <si>
    <t>3.6:820</t>
  </si>
  <si>
    <t>3.5:820</t>
  </si>
  <si>
    <t>3.4:820</t>
  </si>
  <si>
    <t>3.3:820</t>
  </si>
  <si>
    <t>3.2:820</t>
  </si>
  <si>
    <t>3.1:820</t>
  </si>
  <si>
    <t>3.0:820</t>
  </si>
  <si>
    <t>2.9:820</t>
  </si>
  <si>
    <t>2.8:820</t>
  </si>
  <si>
    <t>2.7:820</t>
  </si>
  <si>
    <t>2.6:820</t>
  </si>
  <si>
    <t>2.5:820</t>
  </si>
  <si>
    <t>2.4:820</t>
  </si>
  <si>
    <t>2.3:820</t>
  </si>
  <si>
    <t>2.2:820</t>
  </si>
  <si>
    <t>2.1:820</t>
  </si>
  <si>
    <t>2.0:820</t>
  </si>
  <si>
    <t>1.9:820</t>
  </si>
  <si>
    <t>1.8:820</t>
  </si>
  <si>
    <t>1.7:820</t>
  </si>
  <si>
    <t>1.6:820</t>
  </si>
  <si>
    <t>1.5:820</t>
  </si>
  <si>
    <t>4.3:830</t>
  </si>
  <si>
    <t>4.2:830</t>
  </si>
  <si>
    <t>4.1:830</t>
  </si>
  <si>
    <t>4.0:830</t>
  </si>
  <si>
    <t>3.9:830</t>
  </si>
  <si>
    <t>3.8:830</t>
  </si>
  <si>
    <t>3.7:830</t>
  </si>
  <si>
    <t>3.6:830</t>
  </si>
  <si>
    <t>3.5:830</t>
  </si>
  <si>
    <t>3.4:830</t>
  </si>
  <si>
    <t>3.3:830</t>
  </si>
  <si>
    <t>3.2:830</t>
  </si>
  <si>
    <t>3.1:830</t>
  </si>
  <si>
    <t>3.0:830</t>
  </si>
  <si>
    <t>2.9:830</t>
  </si>
  <si>
    <t>2.8:830</t>
  </si>
  <si>
    <t>2.7:830</t>
  </si>
  <si>
    <t>2.6:830</t>
  </si>
  <si>
    <t>2.5:830</t>
  </si>
  <si>
    <t>2.4:830</t>
  </si>
  <si>
    <t>2.3:830</t>
  </si>
  <si>
    <t>2.2:830</t>
  </si>
  <si>
    <t>2.1:830</t>
  </si>
  <si>
    <t>2.0:830</t>
  </si>
  <si>
    <t>1.9:830</t>
  </si>
  <si>
    <t>1.8:830</t>
  </si>
  <si>
    <t>1.7:830</t>
  </si>
  <si>
    <t>1.6:830</t>
  </si>
  <si>
    <t>1.5:830</t>
  </si>
  <si>
    <t>4.3:840</t>
  </si>
  <si>
    <t>4.2:840</t>
  </si>
  <si>
    <t>4.1:840</t>
  </si>
  <si>
    <t>4.0:840</t>
  </si>
  <si>
    <t>3.9:840</t>
  </si>
  <si>
    <t>3.8:840</t>
  </si>
  <si>
    <t>3.7:840</t>
  </si>
  <si>
    <t>3.6:840</t>
  </si>
  <si>
    <t>3.5:840</t>
  </si>
  <si>
    <t>3.4:840</t>
  </si>
  <si>
    <t>3.3:840</t>
  </si>
  <si>
    <t>3.2:840</t>
  </si>
  <si>
    <t>3.1:840</t>
  </si>
  <si>
    <t>3.0:840</t>
  </si>
  <si>
    <t>2.9:840</t>
  </si>
  <si>
    <t>2.8:840</t>
  </si>
  <si>
    <t>2.7:840</t>
  </si>
  <si>
    <t>2.6:840</t>
  </si>
  <si>
    <t>2.5:840</t>
  </si>
  <si>
    <t>2.4:840</t>
  </si>
  <si>
    <t>2.3:840</t>
  </si>
  <si>
    <t>2.2:840</t>
  </si>
  <si>
    <t>2.1:840</t>
  </si>
  <si>
    <t>2.0:840</t>
  </si>
  <si>
    <t>1.9:840</t>
  </si>
  <si>
    <t>1.8:840</t>
  </si>
  <si>
    <t>1.7:840</t>
  </si>
  <si>
    <t>1.6:840</t>
  </si>
  <si>
    <t>1.5:840</t>
  </si>
  <si>
    <t>4.3:850</t>
  </si>
  <si>
    <t>4.2:850</t>
  </si>
  <si>
    <t>4.1:850</t>
  </si>
  <si>
    <t>4.0:850</t>
  </si>
  <si>
    <t>3.9:850</t>
  </si>
  <si>
    <t>3.8:850</t>
  </si>
  <si>
    <t>3.7:850</t>
  </si>
  <si>
    <t>3.6:850</t>
  </si>
  <si>
    <t>3.5:850</t>
  </si>
  <si>
    <t>3.4:850</t>
  </si>
  <si>
    <t>3.3:850</t>
  </si>
  <si>
    <t>3.2:850</t>
  </si>
  <si>
    <t>3.1:850</t>
  </si>
  <si>
    <t>3.0:850</t>
  </si>
  <si>
    <t>2.9:850</t>
  </si>
  <si>
    <t>2.8:850</t>
  </si>
  <si>
    <t>2.7:850</t>
  </si>
  <si>
    <t>2.6:850</t>
  </si>
  <si>
    <t>2.5:850</t>
  </si>
  <si>
    <t>2.4:850</t>
  </si>
  <si>
    <t>2.3:850</t>
  </si>
  <si>
    <t>2.2:850</t>
  </si>
  <si>
    <t>2.1:850</t>
  </si>
  <si>
    <t>2.0:850</t>
  </si>
  <si>
    <t>1.9:850</t>
  </si>
  <si>
    <t>1.8:850</t>
  </si>
  <si>
    <t>1.7:850</t>
  </si>
  <si>
    <t>1.6:850</t>
  </si>
  <si>
    <t>1.5:850</t>
  </si>
  <si>
    <t>4.3:860</t>
  </si>
  <si>
    <t>4.2:860</t>
  </si>
  <si>
    <t>4.1:860</t>
  </si>
  <si>
    <t>4.0:860</t>
  </si>
  <si>
    <t>3.9:860</t>
  </si>
  <si>
    <t>3.8:860</t>
  </si>
  <si>
    <t>3.7:860</t>
  </si>
  <si>
    <t>3.6:860</t>
  </si>
  <si>
    <t>3.5:860</t>
  </si>
  <si>
    <t>3.4:860</t>
  </si>
  <si>
    <t>3.3:860</t>
  </si>
  <si>
    <t>3.2:860</t>
  </si>
  <si>
    <t>3.1:860</t>
  </si>
  <si>
    <t>3.0:860</t>
  </si>
  <si>
    <t>2.9:860</t>
  </si>
  <si>
    <t>2.8:860</t>
  </si>
  <si>
    <t>2.7:860</t>
  </si>
  <si>
    <t>2.6:860</t>
  </si>
  <si>
    <t>2.5:860</t>
  </si>
  <si>
    <t>2.4:860</t>
  </si>
  <si>
    <t>2.3:860</t>
  </si>
  <si>
    <t>2.2:860</t>
  </si>
  <si>
    <t>2.1:860</t>
  </si>
  <si>
    <t>2.0:860</t>
  </si>
  <si>
    <t>1.9:860</t>
  </si>
  <si>
    <t>1.8:860</t>
  </si>
  <si>
    <t>1.7:860</t>
  </si>
  <si>
    <t>1.6:860</t>
  </si>
  <si>
    <t>1.5:860</t>
  </si>
  <si>
    <t>4.3:870</t>
  </si>
  <si>
    <t>4.2:870</t>
  </si>
  <si>
    <t>4.1:870</t>
  </si>
  <si>
    <t>4.0:870</t>
  </si>
  <si>
    <t>3.9:870</t>
  </si>
  <si>
    <t>3.8:870</t>
  </si>
  <si>
    <t>3.7:870</t>
  </si>
  <si>
    <t>3.6:870</t>
  </si>
  <si>
    <t>3.5:870</t>
  </si>
  <si>
    <t>3.4:870</t>
  </si>
  <si>
    <t>3.3:870</t>
  </si>
  <si>
    <t>3.2:870</t>
  </si>
  <si>
    <t>3.1:870</t>
  </si>
  <si>
    <t>3.0:870</t>
  </si>
  <si>
    <t>2.9:870</t>
  </si>
  <si>
    <t>2.8:870</t>
  </si>
  <si>
    <t>2.7:870</t>
  </si>
  <si>
    <t>2.6:870</t>
  </si>
  <si>
    <t>2.5:870</t>
  </si>
  <si>
    <t>2.4:870</t>
  </si>
  <si>
    <t>2.3:870</t>
  </si>
  <si>
    <t>2.2:870</t>
  </si>
  <si>
    <t>2.1:870</t>
  </si>
  <si>
    <t>2.0:870</t>
  </si>
  <si>
    <t>1.9:870</t>
  </si>
  <si>
    <t>1.8:870</t>
  </si>
  <si>
    <t>1.7:870</t>
  </si>
  <si>
    <t>1.6:870</t>
  </si>
  <si>
    <t>1.5:870</t>
  </si>
  <si>
    <t>4.3:880</t>
  </si>
  <si>
    <t>4.2:880</t>
  </si>
  <si>
    <t>4.1:880</t>
  </si>
  <si>
    <t>4.0:880</t>
  </si>
  <si>
    <t>3.9:880</t>
  </si>
  <si>
    <t>3.8:880</t>
  </si>
  <si>
    <t>3.7:880</t>
  </si>
  <si>
    <t>3.6:880</t>
  </si>
  <si>
    <t>3.5:880</t>
  </si>
  <si>
    <t>3.4:880</t>
  </si>
  <si>
    <t>3.3:880</t>
  </si>
  <si>
    <t>3.2:880</t>
  </si>
  <si>
    <t>3.1:880</t>
  </si>
  <si>
    <t>3.0:880</t>
  </si>
  <si>
    <t>2.9:880</t>
  </si>
  <si>
    <t>2.8:880</t>
  </si>
  <si>
    <t>2.7:880</t>
  </si>
  <si>
    <t>2.6:880</t>
  </si>
  <si>
    <t>2.5:880</t>
  </si>
  <si>
    <t>2.4:880</t>
  </si>
  <si>
    <t>2.3:880</t>
  </si>
  <si>
    <t>2.2:880</t>
  </si>
  <si>
    <t>2.1:880</t>
  </si>
  <si>
    <t>2.0:880</t>
  </si>
  <si>
    <t>1.9:880</t>
  </si>
  <si>
    <t>1.8:880</t>
  </si>
  <si>
    <t>1.7:880</t>
  </si>
  <si>
    <t>1.6:880</t>
  </si>
  <si>
    <t>1.5:880</t>
  </si>
  <si>
    <t>4.3:890</t>
  </si>
  <si>
    <t>4.2:890</t>
  </si>
  <si>
    <t>4.1:890</t>
  </si>
  <si>
    <t>4.0:890</t>
  </si>
  <si>
    <t>3.9:890</t>
  </si>
  <si>
    <t>3.8:890</t>
  </si>
  <si>
    <t>3.7:890</t>
  </si>
  <si>
    <t>3.6:890</t>
  </si>
  <si>
    <t>3.5:890</t>
  </si>
  <si>
    <t>3.4:890</t>
  </si>
  <si>
    <t>3.3:890</t>
  </si>
  <si>
    <t>3.2:890</t>
  </si>
  <si>
    <t>3.1:890</t>
  </si>
  <si>
    <t>3.0:890</t>
  </si>
  <si>
    <t>2.9:890</t>
  </si>
  <si>
    <t>2.8:890</t>
  </si>
  <si>
    <t>2.7:890</t>
  </si>
  <si>
    <t>2.6:890</t>
  </si>
  <si>
    <t>2.5:890</t>
  </si>
  <si>
    <t>2.4:890</t>
  </si>
  <si>
    <t>2.3:890</t>
  </si>
  <si>
    <t>2.2:890</t>
  </si>
  <si>
    <t>2.1:890</t>
  </si>
  <si>
    <t>2.0:890</t>
  </si>
  <si>
    <t>1.9:890</t>
  </si>
  <si>
    <t>1.8:890</t>
  </si>
  <si>
    <t>1.7:890</t>
  </si>
  <si>
    <t>1.6:890</t>
  </si>
  <si>
    <t>1.5:890</t>
  </si>
  <si>
    <t>4.3:900</t>
  </si>
  <si>
    <t>4.2:900</t>
  </si>
  <si>
    <t>4.1:900</t>
  </si>
  <si>
    <t>4.0:900</t>
  </si>
  <si>
    <t>3.9:900</t>
  </si>
  <si>
    <t>3.8:900</t>
  </si>
  <si>
    <t>3.7:900</t>
  </si>
  <si>
    <t>3.6:900</t>
  </si>
  <si>
    <t>3.5:900</t>
  </si>
  <si>
    <t>3.4:900</t>
  </si>
  <si>
    <t>3.3:900</t>
  </si>
  <si>
    <t>3.2:900</t>
  </si>
  <si>
    <t>3.1:900</t>
  </si>
  <si>
    <t>3.0:900</t>
  </si>
  <si>
    <t>2.9:900</t>
  </si>
  <si>
    <t>2.8:900</t>
  </si>
  <si>
    <t>2.7:900</t>
  </si>
  <si>
    <t>2.6:900</t>
  </si>
  <si>
    <t>2.5:900</t>
  </si>
  <si>
    <t>2.4:900</t>
  </si>
  <si>
    <t>2.3:900</t>
  </si>
  <si>
    <t>2.2:900</t>
  </si>
  <si>
    <t>2.1:900</t>
  </si>
  <si>
    <t>2.0:900</t>
  </si>
  <si>
    <t>1.9:900</t>
  </si>
  <si>
    <t>1.8:900</t>
  </si>
  <si>
    <t>1.7:900</t>
  </si>
  <si>
    <t>1.6:900</t>
  </si>
  <si>
    <t>1.5:900</t>
  </si>
  <si>
    <t>4.3:910</t>
  </si>
  <si>
    <t>4.2:910</t>
  </si>
  <si>
    <t>4.1:910</t>
  </si>
  <si>
    <t>4.0:910</t>
  </si>
  <si>
    <t>3.9:910</t>
  </si>
  <si>
    <t>3.8:910</t>
  </si>
  <si>
    <t>3.7:910</t>
  </si>
  <si>
    <t>3.6:910</t>
  </si>
  <si>
    <t>3.5:910</t>
  </si>
  <si>
    <t>3.4:910</t>
  </si>
  <si>
    <t>3.3:910</t>
  </si>
  <si>
    <t>3.2:910</t>
  </si>
  <si>
    <t>3.1:910</t>
  </si>
  <si>
    <t>3.0:910</t>
  </si>
  <si>
    <t>2.9:910</t>
  </si>
  <si>
    <t>2.8:910</t>
  </si>
  <si>
    <t>2.7:910</t>
  </si>
  <si>
    <t>2.6:910</t>
  </si>
  <si>
    <t>2.5:910</t>
  </si>
  <si>
    <t>2.4:910</t>
  </si>
  <si>
    <t>2.3:910</t>
  </si>
  <si>
    <t>2.2:910</t>
  </si>
  <si>
    <t>2.1:910</t>
  </si>
  <si>
    <t>2.0:910</t>
  </si>
  <si>
    <t>1.9:910</t>
  </si>
  <si>
    <t>1.8:910</t>
  </si>
  <si>
    <t>1.7:910</t>
  </si>
  <si>
    <t>1.6:910</t>
  </si>
  <si>
    <t>1.5:910</t>
  </si>
  <si>
    <t>4.3:920</t>
  </si>
  <si>
    <t>4.2:920</t>
  </si>
  <si>
    <t>4.1:920</t>
  </si>
  <si>
    <t>4.0:920</t>
  </si>
  <si>
    <t>3.9:920</t>
  </si>
  <si>
    <t>3.8:920</t>
  </si>
  <si>
    <t>3.7:920</t>
  </si>
  <si>
    <t>3.6:920</t>
  </si>
  <si>
    <t>3.5:920</t>
  </si>
  <si>
    <t>3.4:920</t>
  </si>
  <si>
    <t>3.3:920</t>
  </si>
  <si>
    <t>3.2:920</t>
  </si>
  <si>
    <t>3.1:920</t>
  </si>
  <si>
    <t>3.0:920</t>
  </si>
  <si>
    <t>2.9:920</t>
  </si>
  <si>
    <t>2.8:920</t>
  </si>
  <si>
    <t>2.7:920</t>
  </si>
  <si>
    <t>2.6:920</t>
  </si>
  <si>
    <t>2.5:920</t>
  </si>
  <si>
    <t>2.4:920</t>
  </si>
  <si>
    <t>2.3:920</t>
  </si>
  <si>
    <t>2.2:920</t>
  </si>
  <si>
    <t>2.1:920</t>
  </si>
  <si>
    <t>2.0:920</t>
  </si>
  <si>
    <t>1.9:920</t>
  </si>
  <si>
    <t>1.8:920</t>
  </si>
  <si>
    <t>1.7:920</t>
  </si>
  <si>
    <t>1.6:920</t>
  </si>
  <si>
    <t>1.5:920</t>
  </si>
  <si>
    <t>4.3:930</t>
  </si>
  <si>
    <t>4.2:930</t>
  </si>
  <si>
    <t>4.1:930</t>
  </si>
  <si>
    <t>4.0:930</t>
  </si>
  <si>
    <t>3.9:930</t>
  </si>
  <si>
    <t>3.8:930</t>
  </si>
  <si>
    <t>3.7:930</t>
  </si>
  <si>
    <t>3.6:930</t>
  </si>
  <si>
    <t>3.5:930</t>
  </si>
  <si>
    <t>3.4:930</t>
  </si>
  <si>
    <t>3.3:930</t>
  </si>
  <si>
    <t>3.2:930</t>
  </si>
  <si>
    <t>3.1:930</t>
  </si>
  <si>
    <t>3.0:930</t>
  </si>
  <si>
    <t>2.9:930</t>
  </si>
  <si>
    <t>2.8:930</t>
  </si>
  <si>
    <t>2.7:930</t>
  </si>
  <si>
    <t>2.6:930</t>
  </si>
  <si>
    <t>2.5:930</t>
  </si>
  <si>
    <t>2.4:930</t>
  </si>
  <si>
    <t>2.3:930</t>
  </si>
  <si>
    <t>2.2:930</t>
  </si>
  <si>
    <t>2.1:930</t>
  </si>
  <si>
    <t>2.0:930</t>
  </si>
  <si>
    <t>1.9:930</t>
  </si>
  <si>
    <t>1.8:930</t>
  </si>
  <si>
    <t>1.7:930</t>
  </si>
  <si>
    <t>1.6:930</t>
  </si>
  <si>
    <t>1.5:930</t>
  </si>
  <si>
    <t>4.3:940</t>
  </si>
  <si>
    <t>4.2:940</t>
  </si>
  <si>
    <t>4.1:940</t>
  </si>
  <si>
    <t>4.0:940</t>
  </si>
  <si>
    <t>3.9:940</t>
  </si>
  <si>
    <t>3.8:940</t>
  </si>
  <si>
    <t>3.7:940</t>
  </si>
  <si>
    <t>3.6:940</t>
  </si>
  <si>
    <t>3.5:940</t>
  </si>
  <si>
    <t>3.4:940</t>
  </si>
  <si>
    <t>3.3:940</t>
  </si>
  <si>
    <t>3.2:940</t>
  </si>
  <si>
    <t>3.1:940</t>
  </si>
  <si>
    <t>3.0:940</t>
  </si>
  <si>
    <t>2.9:940</t>
  </si>
  <si>
    <t>2.8:940</t>
  </si>
  <si>
    <t>2.7:940</t>
  </si>
  <si>
    <t>2.6:940</t>
  </si>
  <si>
    <t>2.5:940</t>
  </si>
  <si>
    <t>2.4:940</t>
  </si>
  <si>
    <t>2.3:940</t>
  </si>
  <si>
    <t>2.2:940</t>
  </si>
  <si>
    <t>2.1:940</t>
  </si>
  <si>
    <t>2.0:940</t>
  </si>
  <si>
    <t>1.9:940</t>
  </si>
  <si>
    <t>1.8:940</t>
  </si>
  <si>
    <t>1.7:940</t>
  </si>
  <si>
    <t>1.6:940</t>
  </si>
  <si>
    <t>1.5:940</t>
  </si>
  <si>
    <t>4.3:950</t>
  </si>
  <si>
    <t>4.2:950</t>
  </si>
  <si>
    <t>4.1:950</t>
  </si>
  <si>
    <t>4.0:950</t>
  </si>
  <si>
    <t>3.9:950</t>
  </si>
  <si>
    <t>3.8:950</t>
  </si>
  <si>
    <t>3.7:950</t>
  </si>
  <si>
    <t>3.6:950</t>
  </si>
  <si>
    <t>3.5:950</t>
  </si>
  <si>
    <t>3.4:950</t>
  </si>
  <si>
    <t>3.3:950</t>
  </si>
  <si>
    <t>3.2:950</t>
  </si>
  <si>
    <t>3.1:950</t>
  </si>
  <si>
    <t>3.0:950</t>
  </si>
  <si>
    <t>2.9:950</t>
  </si>
  <si>
    <t>2.8:950</t>
  </si>
  <si>
    <t>2.7:950</t>
  </si>
  <si>
    <t>2.6:950</t>
  </si>
  <si>
    <t>2.5:950</t>
  </si>
  <si>
    <t>2.4:950</t>
  </si>
  <si>
    <t>2.3:950</t>
  </si>
  <si>
    <t>2.2:950</t>
  </si>
  <si>
    <t>2.1:950</t>
  </si>
  <si>
    <t>2.0:950</t>
  </si>
  <si>
    <t>1.9:950</t>
  </si>
  <si>
    <t>1.8:950</t>
  </si>
  <si>
    <t>1.7:950</t>
  </si>
  <si>
    <t>1.6:950</t>
  </si>
  <si>
    <t>1.5:950</t>
  </si>
  <si>
    <t>4.3:960</t>
  </si>
  <si>
    <t>4.2:960</t>
  </si>
  <si>
    <t>4.1:960</t>
  </si>
  <si>
    <t>4.0:960</t>
  </si>
  <si>
    <t>3.9:960</t>
  </si>
  <si>
    <t>3.8:960</t>
  </si>
  <si>
    <t>3.7:960</t>
  </si>
  <si>
    <t>3.6:960</t>
  </si>
  <si>
    <t>3.5:960</t>
  </si>
  <si>
    <t>3.4:960</t>
  </si>
  <si>
    <t>3.3:960</t>
  </si>
  <si>
    <t>3.2:960</t>
  </si>
  <si>
    <t>3.1:960</t>
  </si>
  <si>
    <t>3.0:960</t>
  </si>
  <si>
    <t>2.9:960</t>
  </si>
  <si>
    <t>2.8:960</t>
  </si>
  <si>
    <t>2.7:960</t>
  </si>
  <si>
    <t>2.6:960</t>
  </si>
  <si>
    <t>2.5:960</t>
  </si>
  <si>
    <t>2.4:960</t>
  </si>
  <si>
    <t>2.3:960</t>
  </si>
  <si>
    <t>2.2:960</t>
  </si>
  <si>
    <t>2.1:960</t>
  </si>
  <si>
    <t>2.0:960</t>
  </si>
  <si>
    <t>1.9:960</t>
  </si>
  <si>
    <t>1.8:960</t>
  </si>
  <si>
    <t>1.7:960</t>
  </si>
  <si>
    <t>1.6:960</t>
  </si>
  <si>
    <t>1.5:960</t>
  </si>
  <si>
    <t>4.3:970</t>
  </si>
  <si>
    <t>4.2:970</t>
  </si>
  <si>
    <t>4.1:970</t>
  </si>
  <si>
    <t>4.0:970</t>
  </si>
  <si>
    <t>3.9:970</t>
  </si>
  <si>
    <t>3.8:970</t>
  </si>
  <si>
    <t>3.7:970</t>
  </si>
  <si>
    <t>3.6:970</t>
  </si>
  <si>
    <t>3.5:970</t>
  </si>
  <si>
    <t>3.4:970</t>
  </si>
  <si>
    <t>3.3:970</t>
  </si>
  <si>
    <t>3.2:970</t>
  </si>
  <si>
    <t>3.1:970</t>
  </si>
  <si>
    <t>3.0:970</t>
  </si>
  <si>
    <t>2.9:970</t>
  </si>
  <si>
    <t>2.8:970</t>
  </si>
  <si>
    <t>2.7:970</t>
  </si>
  <si>
    <t>2.6:970</t>
  </si>
  <si>
    <t>2.5:970</t>
  </si>
  <si>
    <t>2.4:970</t>
  </si>
  <si>
    <t>2.3:970</t>
  </si>
  <si>
    <t>2.2:970</t>
  </si>
  <si>
    <t>2.1:970</t>
  </si>
  <si>
    <t>2.0:970</t>
  </si>
  <si>
    <t>1.9:970</t>
  </si>
  <si>
    <t>1.8:970</t>
  </si>
  <si>
    <t>1.7:970</t>
  </si>
  <si>
    <t>1.6:970</t>
  </si>
  <si>
    <t>1.5:970</t>
  </si>
  <si>
    <t>4.3:980</t>
  </si>
  <si>
    <t>4.2:980</t>
  </si>
  <si>
    <t>4.1:980</t>
  </si>
  <si>
    <t>4.0:980</t>
  </si>
  <si>
    <t>3.9:980</t>
  </si>
  <si>
    <t>3.8:980</t>
  </si>
  <si>
    <t>3.7:980</t>
  </si>
  <si>
    <t>3.6:980</t>
  </si>
  <si>
    <t>3.5:980</t>
  </si>
  <si>
    <t>3.4:980</t>
  </si>
  <si>
    <t>3.3:980</t>
  </si>
  <si>
    <t>3.2:980</t>
  </si>
  <si>
    <t>3.1:980</t>
  </si>
  <si>
    <t>3.0:980</t>
  </si>
  <si>
    <t>2.9:980</t>
  </si>
  <si>
    <t>2.8:980</t>
  </si>
  <si>
    <t>2.7:980</t>
  </si>
  <si>
    <t>2.6:980</t>
  </si>
  <si>
    <t>2.5:980</t>
  </si>
  <si>
    <t>2.4:980</t>
  </si>
  <si>
    <t>2.3:980</t>
  </si>
  <si>
    <t>2.2:980</t>
  </si>
  <si>
    <t>2.1:980</t>
  </si>
  <si>
    <t>2.0:980</t>
  </si>
  <si>
    <t>1.9:980</t>
  </si>
  <si>
    <t>1.8:980</t>
  </si>
  <si>
    <t>1.7:980</t>
  </si>
  <si>
    <t>1.6:980</t>
  </si>
  <si>
    <t>1.5:980</t>
  </si>
  <si>
    <t>4.3:990</t>
  </si>
  <si>
    <t>4.2:990</t>
  </si>
  <si>
    <t>4.1:990</t>
  </si>
  <si>
    <t>4.0:990</t>
  </si>
  <si>
    <t>3.9:990</t>
  </si>
  <si>
    <t>3.8:990</t>
  </si>
  <si>
    <t>3.7:990</t>
  </si>
  <si>
    <t>3.6:990</t>
  </si>
  <si>
    <t>3.5:990</t>
  </si>
  <si>
    <t>3.4:990</t>
  </si>
  <si>
    <t>3.3:990</t>
  </si>
  <si>
    <t>3.2:990</t>
  </si>
  <si>
    <t>3.1:990</t>
  </si>
  <si>
    <t>3.0:990</t>
  </si>
  <si>
    <t>2.9:990</t>
  </si>
  <si>
    <t>2.8:990</t>
  </si>
  <si>
    <t>2.7:990</t>
  </si>
  <si>
    <t>2.6:990</t>
  </si>
  <si>
    <t>2.5:990</t>
  </si>
  <si>
    <t>2.4:990</t>
  </si>
  <si>
    <t>2.3:990</t>
  </si>
  <si>
    <t>2.2:990</t>
  </si>
  <si>
    <t>2.1:990</t>
  </si>
  <si>
    <t>2.0:990</t>
  </si>
  <si>
    <t>1.9:990</t>
  </si>
  <si>
    <t>1.8:990</t>
  </si>
  <si>
    <t>1.7:990</t>
  </si>
  <si>
    <t>1.6:990</t>
  </si>
  <si>
    <t>1.5:990</t>
  </si>
  <si>
    <t>4.3:1000</t>
  </si>
  <si>
    <t>4.2:1000</t>
  </si>
  <si>
    <t>4.1:1000</t>
  </si>
  <si>
    <t>4.0:1000</t>
  </si>
  <si>
    <t>3.9:1000</t>
  </si>
  <si>
    <t>3.8:1000</t>
  </si>
  <si>
    <t>3.7:1000</t>
  </si>
  <si>
    <t>3.6:1000</t>
  </si>
  <si>
    <t>3.5:1000</t>
  </si>
  <si>
    <t>3.4:1000</t>
  </si>
  <si>
    <t>3.3:1000</t>
  </si>
  <si>
    <t>3.2:1000</t>
  </si>
  <si>
    <t>3.1:1000</t>
  </si>
  <si>
    <t>3.0:1000</t>
  </si>
  <si>
    <t>2.9:1000</t>
  </si>
  <si>
    <t>2.8:1000</t>
  </si>
  <si>
    <t>2.7:1000</t>
  </si>
  <si>
    <t>2.6:1000</t>
  </si>
  <si>
    <t>2.5:1000</t>
  </si>
  <si>
    <t>2.4:1000</t>
  </si>
  <si>
    <t>2.3:1000</t>
  </si>
  <si>
    <t>2.2:1000</t>
  </si>
  <si>
    <t>2.1:1000</t>
  </si>
  <si>
    <t>2.0:1000</t>
  </si>
  <si>
    <t>1.9:1000</t>
  </si>
  <si>
    <t>1.8:1000</t>
  </si>
  <si>
    <t>1.7:1000</t>
  </si>
  <si>
    <t>1.6:1000</t>
  </si>
  <si>
    <t>1.5:1000</t>
  </si>
  <si>
    <t>4.3:1010</t>
  </si>
  <si>
    <t>4.2:1010</t>
  </si>
  <si>
    <t>4.1:1010</t>
  </si>
  <si>
    <t>4.0:1010</t>
  </si>
  <si>
    <t>3.9:1010</t>
  </si>
  <si>
    <t>3.8:1010</t>
  </si>
  <si>
    <t>3.7:1010</t>
  </si>
  <si>
    <t>3.6:1010</t>
  </si>
  <si>
    <t>3.5:1010</t>
  </si>
  <si>
    <t>3.4:1010</t>
  </si>
  <si>
    <t>3.3:1010</t>
  </si>
  <si>
    <t>3.2:1010</t>
  </si>
  <si>
    <t>3.1:1010</t>
  </si>
  <si>
    <t>3.0:1010</t>
  </si>
  <si>
    <t>2.9:1010</t>
  </si>
  <si>
    <t>2.8:1010</t>
  </si>
  <si>
    <t>2.7:1010</t>
  </si>
  <si>
    <t>2.6:1010</t>
  </si>
  <si>
    <t>2.5:1010</t>
  </si>
  <si>
    <t>2.4:1010</t>
  </si>
  <si>
    <t>2.3:1010</t>
  </si>
  <si>
    <t>2.2:1010</t>
  </si>
  <si>
    <t>2.1:1010</t>
  </si>
  <si>
    <t>2.0:1010</t>
  </si>
  <si>
    <t>1.9:1010</t>
  </si>
  <si>
    <t>1.8:1010</t>
  </si>
  <si>
    <t>1.7:1010</t>
  </si>
  <si>
    <t>1.6:1010</t>
  </si>
  <si>
    <t>1.5:1010</t>
  </si>
  <si>
    <t>4.3:1020</t>
  </si>
  <si>
    <t>4.2:1020</t>
  </si>
  <si>
    <t>4.1:1020</t>
  </si>
  <si>
    <t>4.0:1020</t>
  </si>
  <si>
    <t>3.9:1020</t>
  </si>
  <si>
    <t>3.8:1020</t>
  </si>
  <si>
    <t>3.7:1020</t>
  </si>
  <si>
    <t>3.6:1020</t>
  </si>
  <si>
    <t>3.5:1020</t>
  </si>
  <si>
    <t>3.4:1020</t>
  </si>
  <si>
    <t>3.3:1020</t>
  </si>
  <si>
    <t>3.2:1020</t>
  </si>
  <si>
    <t>3.1:1020</t>
  </si>
  <si>
    <t>3.0:1020</t>
  </si>
  <si>
    <t>2.9:1020</t>
  </si>
  <si>
    <t>2.8:1020</t>
  </si>
  <si>
    <t>2.7:1020</t>
  </si>
  <si>
    <t>2.6:1020</t>
  </si>
  <si>
    <t>2.5:1020</t>
  </si>
  <si>
    <t>2.4:1020</t>
  </si>
  <si>
    <t>2.3:1020</t>
  </si>
  <si>
    <t>2.2:1020</t>
  </si>
  <si>
    <t>2.1:1020</t>
  </si>
  <si>
    <t>2.0:1020</t>
  </si>
  <si>
    <t>1.9:1020</t>
  </si>
  <si>
    <t>1.8:1020</t>
  </si>
  <si>
    <t>1.7:1020</t>
  </si>
  <si>
    <t>1.6:1020</t>
  </si>
  <si>
    <t>1.5:1020</t>
  </si>
  <si>
    <t>4.3:1030</t>
  </si>
  <si>
    <t>4.2:1030</t>
  </si>
  <si>
    <t>4.1:1030</t>
  </si>
  <si>
    <t>4.0:1030</t>
  </si>
  <si>
    <t>3.9:1030</t>
  </si>
  <si>
    <t>3.8:1030</t>
  </si>
  <si>
    <t>3.7:1030</t>
  </si>
  <si>
    <t>3.6:1030</t>
  </si>
  <si>
    <t>3.5:1030</t>
  </si>
  <si>
    <t>3.4:1030</t>
  </si>
  <si>
    <t>3.3:1030</t>
  </si>
  <si>
    <t>3.2:1030</t>
  </si>
  <si>
    <t>3.1:1030</t>
  </si>
  <si>
    <t>3.0:1030</t>
  </si>
  <si>
    <t>2.9:1030</t>
  </si>
  <si>
    <t>2.8:1030</t>
  </si>
  <si>
    <t>2.7:1030</t>
  </si>
  <si>
    <t>2.6:1030</t>
  </si>
  <si>
    <t>2.5:1030</t>
  </si>
  <si>
    <t>2.4:1030</t>
  </si>
  <si>
    <t>2.3:1030</t>
  </si>
  <si>
    <t>2.2:1030</t>
  </si>
  <si>
    <t>2.1:1030</t>
  </si>
  <si>
    <t>2.0:1030</t>
  </si>
  <si>
    <t>1.9:1030</t>
  </si>
  <si>
    <t>1.8:1030</t>
  </si>
  <si>
    <t>1.7:1030</t>
  </si>
  <si>
    <t>1.6:1030</t>
  </si>
  <si>
    <t>1.5:1030</t>
  </si>
  <si>
    <t>4.3:1040</t>
  </si>
  <si>
    <t>4.2:1040</t>
  </si>
  <si>
    <t>4.1:1040</t>
  </si>
  <si>
    <t>4.0:1040</t>
  </si>
  <si>
    <t>3.9:1040</t>
  </si>
  <si>
    <t>3.8:1040</t>
  </si>
  <si>
    <t>3.7:1040</t>
  </si>
  <si>
    <t>3.6:1040</t>
  </si>
  <si>
    <t>3.5:1040</t>
  </si>
  <si>
    <t>3.4:1040</t>
  </si>
  <si>
    <t>3.3:1040</t>
  </si>
  <si>
    <t>3.2:1040</t>
  </si>
  <si>
    <t>3.1:1040</t>
  </si>
  <si>
    <t>3.0:1040</t>
  </si>
  <si>
    <t>2.9:1040</t>
  </si>
  <si>
    <t>2.8:1040</t>
  </si>
  <si>
    <t>2.7:1040</t>
  </si>
  <si>
    <t>2.6:1040</t>
  </si>
  <si>
    <t>2.5:1040</t>
  </si>
  <si>
    <t>2.4:1040</t>
  </si>
  <si>
    <t>2.3:1040</t>
  </si>
  <si>
    <t>2.2:1040</t>
  </si>
  <si>
    <t>2.1:1040</t>
  </si>
  <si>
    <t>2.0:1040</t>
  </si>
  <si>
    <t>1.9:1040</t>
  </si>
  <si>
    <t>1.8:1040</t>
  </si>
  <si>
    <t>1.7:1040</t>
  </si>
  <si>
    <t>1.6:1040</t>
  </si>
  <si>
    <t>1.5:1040</t>
  </si>
  <si>
    <t>4.3:1050</t>
  </si>
  <si>
    <t>4.2:1050</t>
  </si>
  <si>
    <t>4.1:1050</t>
  </si>
  <si>
    <t>4.0:1050</t>
  </si>
  <si>
    <t>3.9:1050</t>
  </si>
  <si>
    <t>3.8:1050</t>
  </si>
  <si>
    <t>3.7:1050</t>
  </si>
  <si>
    <t>3.6:1050</t>
  </si>
  <si>
    <t>3.5:1050</t>
  </si>
  <si>
    <t>3.4:1050</t>
  </si>
  <si>
    <t>3.3:1050</t>
  </si>
  <si>
    <t>3.2:1050</t>
  </si>
  <si>
    <t>3.1:1050</t>
  </si>
  <si>
    <t>3.0:1050</t>
  </si>
  <si>
    <t>2.9:1050</t>
  </si>
  <si>
    <t>2.8:1050</t>
  </si>
  <si>
    <t>2.7:1050</t>
  </si>
  <si>
    <t>2.6:1050</t>
  </si>
  <si>
    <t>2.5:1050</t>
  </si>
  <si>
    <t>2.4:1050</t>
  </si>
  <si>
    <t>2.3:1050</t>
  </si>
  <si>
    <t>2.2:1050</t>
  </si>
  <si>
    <t>2.1:1050</t>
  </si>
  <si>
    <t>2.0:1050</t>
  </si>
  <si>
    <t>1.9:1050</t>
  </si>
  <si>
    <t>1.8:1050</t>
  </si>
  <si>
    <t>1.7:1050</t>
  </si>
  <si>
    <t>1.6:1050</t>
  </si>
  <si>
    <t>1.5:1050</t>
  </si>
  <si>
    <t>4.3:1060</t>
  </si>
  <si>
    <t>4.2:1060</t>
  </si>
  <si>
    <t>4.1:1060</t>
  </si>
  <si>
    <t>4.0:1060</t>
  </si>
  <si>
    <t>3.9:1060</t>
  </si>
  <si>
    <t>3.8:1060</t>
  </si>
  <si>
    <t>3.7:1060</t>
  </si>
  <si>
    <t>3.6:1060</t>
  </si>
  <si>
    <t>3.5:1060</t>
  </si>
  <si>
    <t>3.4:1060</t>
  </si>
  <si>
    <t>3.3:1060</t>
  </si>
  <si>
    <t>3.2:1060</t>
  </si>
  <si>
    <t>3.1:1060</t>
  </si>
  <si>
    <t>3.0:1060</t>
  </si>
  <si>
    <t>2.9:1060</t>
  </si>
  <si>
    <t>2.8:1060</t>
  </si>
  <si>
    <t>2.7:1060</t>
  </si>
  <si>
    <t>2.6:1060</t>
  </si>
  <si>
    <t>2.5:1060</t>
  </si>
  <si>
    <t>2.4:1060</t>
  </si>
  <si>
    <t>2.3:1060</t>
  </si>
  <si>
    <t>2.2:1060</t>
  </si>
  <si>
    <t>2.1:1060</t>
  </si>
  <si>
    <t>2.0:1060</t>
  </si>
  <si>
    <t>1.9:1060</t>
  </si>
  <si>
    <t>1.8:1060</t>
  </si>
  <si>
    <t>1.7:1060</t>
  </si>
  <si>
    <t>1.6:1060</t>
  </si>
  <si>
    <t>1.5:1060</t>
  </si>
  <si>
    <t>4.3:1070</t>
  </si>
  <si>
    <t>4.2:1070</t>
  </si>
  <si>
    <t>4.1:1070</t>
  </si>
  <si>
    <t>4.0:1070</t>
  </si>
  <si>
    <t>3.9:1070</t>
  </si>
  <si>
    <t>3.8:1070</t>
  </si>
  <si>
    <t>3.7:1070</t>
  </si>
  <si>
    <t>3.6:1070</t>
  </si>
  <si>
    <t>3.5:1070</t>
  </si>
  <si>
    <t>3.4:1070</t>
  </si>
  <si>
    <t>3.3:1070</t>
  </si>
  <si>
    <t>3.2:1070</t>
  </si>
  <si>
    <t>3.1:1070</t>
  </si>
  <si>
    <t>3.0:1070</t>
  </si>
  <si>
    <t>2.9:1070</t>
  </si>
  <si>
    <t>2.8:1070</t>
  </si>
  <si>
    <t>2.7:1070</t>
  </si>
  <si>
    <t>2.6:1070</t>
  </si>
  <si>
    <t>2.5:1070</t>
  </si>
  <si>
    <t>2.4:1070</t>
  </si>
  <si>
    <t>2.3:1070</t>
  </si>
  <si>
    <t>2.2:1070</t>
  </si>
  <si>
    <t>2.1:1070</t>
  </si>
  <si>
    <t>2.0:1070</t>
  </si>
  <si>
    <t>1.9:1070</t>
  </si>
  <si>
    <t>1.8:1070</t>
  </si>
  <si>
    <t>1.7:1070</t>
  </si>
  <si>
    <t>1.6:1070</t>
  </si>
  <si>
    <t>1.5:1070</t>
  </si>
  <si>
    <t>4.3:1080</t>
  </si>
  <si>
    <t>4.2:1080</t>
  </si>
  <si>
    <t>4.1:1080</t>
  </si>
  <si>
    <t>4.0:1080</t>
  </si>
  <si>
    <t>3.9:1080</t>
  </si>
  <si>
    <t>3.8:1080</t>
  </si>
  <si>
    <t>3.7:1080</t>
  </si>
  <si>
    <t>3.6:1080</t>
  </si>
  <si>
    <t>3.5:1080</t>
  </si>
  <si>
    <t>3.4:1080</t>
  </si>
  <si>
    <t>3.3:1080</t>
  </si>
  <si>
    <t>3.2:1080</t>
  </si>
  <si>
    <t>3.1:1080</t>
  </si>
  <si>
    <t>3.0:1080</t>
  </si>
  <si>
    <t>2.9:1080</t>
  </si>
  <si>
    <t>2.8:1080</t>
  </si>
  <si>
    <t>2.7:1080</t>
  </si>
  <si>
    <t>2.6:1080</t>
  </si>
  <si>
    <t>2.5:1080</t>
  </si>
  <si>
    <t>2.4:1080</t>
  </si>
  <si>
    <t>2.3:1080</t>
  </si>
  <si>
    <t>2.2:1080</t>
  </si>
  <si>
    <t>2.1:1080</t>
  </si>
  <si>
    <t>2.0:1080</t>
  </si>
  <si>
    <t>1.9:1080</t>
  </si>
  <si>
    <t>1.8:1080</t>
  </si>
  <si>
    <t>1.7:1080</t>
  </si>
  <si>
    <t>1.6:1080</t>
  </si>
  <si>
    <t>1.5:1080</t>
  </si>
  <si>
    <t>4.3:1090</t>
  </si>
  <si>
    <t>4.2:1090</t>
  </si>
  <si>
    <t>4.1:1090</t>
  </si>
  <si>
    <t>4.0:1090</t>
  </si>
  <si>
    <t>3.9:1090</t>
  </si>
  <si>
    <t>3.8:1090</t>
  </si>
  <si>
    <t>3.7:1090</t>
  </si>
  <si>
    <t>3.6:1090</t>
  </si>
  <si>
    <t>3.5:1090</t>
  </si>
  <si>
    <t>3.4:1090</t>
  </si>
  <si>
    <t>3.3:1090</t>
  </si>
  <si>
    <t>3.2:1090</t>
  </si>
  <si>
    <t>3.1:1090</t>
  </si>
  <si>
    <t>3.0:1090</t>
  </si>
  <si>
    <t>2.9:1090</t>
  </si>
  <si>
    <t>2.8:1090</t>
  </si>
  <si>
    <t>2.7:1090</t>
  </si>
  <si>
    <t>2.6:1090</t>
  </si>
  <si>
    <t>2.5:1090</t>
  </si>
  <si>
    <t>2.4:1090</t>
  </si>
  <si>
    <t>2.3:1090</t>
  </si>
  <si>
    <t>2.2:1090</t>
  </si>
  <si>
    <t>2.1:1090</t>
  </si>
  <si>
    <t>2.0:1090</t>
  </si>
  <si>
    <t>1.9:1090</t>
  </si>
  <si>
    <t>1.8:1090</t>
  </si>
  <si>
    <t>1.7:1090</t>
  </si>
  <si>
    <t>1.6:1090</t>
  </si>
  <si>
    <t>1.5:1090</t>
  </si>
  <si>
    <t>4.3:1100</t>
  </si>
  <si>
    <t>4.2:1100</t>
  </si>
  <si>
    <t>4.1:1100</t>
  </si>
  <si>
    <t>4.0:1100</t>
  </si>
  <si>
    <t>3.9:1100</t>
  </si>
  <si>
    <t>3.8:1100</t>
  </si>
  <si>
    <t>3.7:1100</t>
  </si>
  <si>
    <t>3.6:1100</t>
  </si>
  <si>
    <t>3.5:1100</t>
  </si>
  <si>
    <t>3.4:1100</t>
  </si>
  <si>
    <t>3.3:1100</t>
  </si>
  <si>
    <t>3.2:1100</t>
  </si>
  <si>
    <t>3.1:1100</t>
  </si>
  <si>
    <t>3.0:1100</t>
  </si>
  <si>
    <t>2.9:1100</t>
  </si>
  <si>
    <t>2.8:1100</t>
  </si>
  <si>
    <t>2.7:1100</t>
  </si>
  <si>
    <t>2.6:1100</t>
  </si>
  <si>
    <t>2.5:1100</t>
  </si>
  <si>
    <t>2.4:1100</t>
  </si>
  <si>
    <t>2.3:1100</t>
  </si>
  <si>
    <t>2.2:1100</t>
  </si>
  <si>
    <t>2.1:1100</t>
  </si>
  <si>
    <t>2.0:1100</t>
  </si>
  <si>
    <t>1.9:1100</t>
  </si>
  <si>
    <t>1.8:1100</t>
  </si>
  <si>
    <t>1.7:1100</t>
  </si>
  <si>
    <t>1.6:1100</t>
  </si>
  <si>
    <t>1.5:1100</t>
  </si>
  <si>
    <t>4.3:1110</t>
  </si>
  <si>
    <t>4.2:1110</t>
  </si>
  <si>
    <t>4.1:1110</t>
  </si>
  <si>
    <t>4.0:1110</t>
  </si>
  <si>
    <t>3.9:1110</t>
  </si>
  <si>
    <t>3.8:1110</t>
  </si>
  <si>
    <t>3.7:1110</t>
  </si>
  <si>
    <t>3.6:1110</t>
  </si>
  <si>
    <t>3.5:1110</t>
  </si>
  <si>
    <t>3.4:1110</t>
  </si>
  <si>
    <t>3.3:1110</t>
  </si>
  <si>
    <t>3.2:1110</t>
  </si>
  <si>
    <t>3.1:1110</t>
  </si>
  <si>
    <t>3.0:1110</t>
  </si>
  <si>
    <t>2.9:1110</t>
  </si>
  <si>
    <t>2.8:1110</t>
  </si>
  <si>
    <t>2.7:1110</t>
  </si>
  <si>
    <t>2.6:1110</t>
  </si>
  <si>
    <t>2.5:1110</t>
  </si>
  <si>
    <t>2.4:1110</t>
  </si>
  <si>
    <t>2.3:1110</t>
  </si>
  <si>
    <t>2.2:1110</t>
  </si>
  <si>
    <t>2.1:1110</t>
  </si>
  <si>
    <t>2.0:1110</t>
  </si>
  <si>
    <t>1.9:1110</t>
  </si>
  <si>
    <t>1.8:1110</t>
  </si>
  <si>
    <t>1.7:1110</t>
  </si>
  <si>
    <t>1.6:1110</t>
  </si>
  <si>
    <t>1.5:1110</t>
  </si>
  <si>
    <t>4.3:1120</t>
  </si>
  <si>
    <t>4.2:1120</t>
  </si>
  <si>
    <t>4.1:1120</t>
  </si>
  <si>
    <t>4.0:1120</t>
  </si>
  <si>
    <t>3.9:1120</t>
  </si>
  <si>
    <t>3.8:1120</t>
  </si>
  <si>
    <t>3.7:1120</t>
  </si>
  <si>
    <t>3.6:1120</t>
  </si>
  <si>
    <t>3.5:1120</t>
  </si>
  <si>
    <t>3.4:1120</t>
  </si>
  <si>
    <t>3.3:1120</t>
  </si>
  <si>
    <t>3.2:1120</t>
  </si>
  <si>
    <t>3.1:1120</t>
  </si>
  <si>
    <t>3.0:1120</t>
  </si>
  <si>
    <t>2.9:1120</t>
  </si>
  <si>
    <t>2.8:1120</t>
  </si>
  <si>
    <t>2.7:1120</t>
  </si>
  <si>
    <t>2.6:1120</t>
  </si>
  <si>
    <t>2.5:1120</t>
  </si>
  <si>
    <t>2.4:1120</t>
  </si>
  <si>
    <t>2.3:1120</t>
  </si>
  <si>
    <t>2.2:1120</t>
  </si>
  <si>
    <t>2.1:1120</t>
  </si>
  <si>
    <t>2.0:1120</t>
  </si>
  <si>
    <t>1.9:1120</t>
  </si>
  <si>
    <t>1.8:1120</t>
  </si>
  <si>
    <t>1.7:1120</t>
  </si>
  <si>
    <t>1.6:1120</t>
  </si>
  <si>
    <t>1.5:1120</t>
  </si>
  <si>
    <t>4.3:1130</t>
  </si>
  <si>
    <t>4.2:1130</t>
  </si>
  <si>
    <t>4.1:1130</t>
  </si>
  <si>
    <t>4.0:1130</t>
  </si>
  <si>
    <t>3.9:1130</t>
  </si>
  <si>
    <t>3.8:1130</t>
  </si>
  <si>
    <t>3.7:1130</t>
  </si>
  <si>
    <t>3.6:1130</t>
  </si>
  <si>
    <t>3.5:1130</t>
  </si>
  <si>
    <t>3.4:1130</t>
  </si>
  <si>
    <t>3.3:1130</t>
  </si>
  <si>
    <t>3.2:1130</t>
  </si>
  <si>
    <t>3.1:1130</t>
  </si>
  <si>
    <t>3.0:1130</t>
  </si>
  <si>
    <t>2.9:1130</t>
  </si>
  <si>
    <t>2.8:1130</t>
  </si>
  <si>
    <t>2.7:1130</t>
  </si>
  <si>
    <t>2.6:1130</t>
  </si>
  <si>
    <t>2.5:1130</t>
  </si>
  <si>
    <t>2.4:1130</t>
  </si>
  <si>
    <t>2.3:1130</t>
  </si>
  <si>
    <t>2.2:1130</t>
  </si>
  <si>
    <t>2.1:1130</t>
  </si>
  <si>
    <t>2.0:1130</t>
  </si>
  <si>
    <t>1.9:1130</t>
  </si>
  <si>
    <t>1.8:1130</t>
  </si>
  <si>
    <t>1.7:1130</t>
  </si>
  <si>
    <t>1.6:1130</t>
  </si>
  <si>
    <t>1.5:1130</t>
  </si>
  <si>
    <t>4.3:1140</t>
  </si>
  <si>
    <t>4.2:1140</t>
  </si>
  <si>
    <t>4.1:1140</t>
  </si>
  <si>
    <t>4.0:1140</t>
  </si>
  <si>
    <t>3.9:1140</t>
  </si>
  <si>
    <t>3.8:1140</t>
  </si>
  <si>
    <t>3.7:1140</t>
  </si>
  <si>
    <t>3.6:1140</t>
  </si>
  <si>
    <t>3.5:1140</t>
  </si>
  <si>
    <t>3.4:1140</t>
  </si>
  <si>
    <t>3.3:1140</t>
  </si>
  <si>
    <t>3.2:1140</t>
  </si>
  <si>
    <t>3.1:1140</t>
  </si>
  <si>
    <t>3.0:1140</t>
  </si>
  <si>
    <t>2.9:1140</t>
  </si>
  <si>
    <t>2.8:1140</t>
  </si>
  <si>
    <t>2.7:1140</t>
  </si>
  <si>
    <t>2.6:1140</t>
  </si>
  <si>
    <t>2.5:1140</t>
  </si>
  <si>
    <t>2.4:1140</t>
  </si>
  <si>
    <t>2.3:1140</t>
  </si>
  <si>
    <t>2.2:1140</t>
  </si>
  <si>
    <t>2.1:1140</t>
  </si>
  <si>
    <t>2.0:1140</t>
  </si>
  <si>
    <t>1.9:1140</t>
  </si>
  <si>
    <t>1.8:1140</t>
  </si>
  <si>
    <t>1.7:1140</t>
  </si>
  <si>
    <t>1.6:1140</t>
  </si>
  <si>
    <t>1.5:1140</t>
  </si>
  <si>
    <t>4.3:1150</t>
  </si>
  <si>
    <t>4.2:1150</t>
  </si>
  <si>
    <t>4.1:1150</t>
  </si>
  <si>
    <t>4.0:1150</t>
  </si>
  <si>
    <t>3.9:1150</t>
  </si>
  <si>
    <t>3.8:1150</t>
  </si>
  <si>
    <t>3.7:1150</t>
  </si>
  <si>
    <t>3.6:1150</t>
  </si>
  <si>
    <t>3.5:1150</t>
  </si>
  <si>
    <t>3.4:1150</t>
  </si>
  <si>
    <t>3.3:1150</t>
  </si>
  <si>
    <t>3.2:1150</t>
  </si>
  <si>
    <t>3.1:1150</t>
  </si>
  <si>
    <t>3.0:1150</t>
  </si>
  <si>
    <t>2.9:1150</t>
  </si>
  <si>
    <t>2.8:1150</t>
  </si>
  <si>
    <t>2.7:1150</t>
  </si>
  <si>
    <t>2.6:1150</t>
  </si>
  <si>
    <t>2.5:1150</t>
  </si>
  <si>
    <t>2.4:1150</t>
  </si>
  <si>
    <t>2.3:1150</t>
  </si>
  <si>
    <t>2.2:1150</t>
  </si>
  <si>
    <t>2.1:1150</t>
  </si>
  <si>
    <t>2.0:1150</t>
  </si>
  <si>
    <t>1.9:1150</t>
  </si>
  <si>
    <t>1.8:1150</t>
  </si>
  <si>
    <t>1.7:1150</t>
  </si>
  <si>
    <t>1.6:1150</t>
  </si>
  <si>
    <t>1.5:1150</t>
  </si>
  <si>
    <t>4.3:1160</t>
  </si>
  <si>
    <t>4.2:1160</t>
  </si>
  <si>
    <t>4.1:1160</t>
  </si>
  <si>
    <t>4.0:1160</t>
  </si>
  <si>
    <t>3.9:1160</t>
  </si>
  <si>
    <t>3.8:1160</t>
  </si>
  <si>
    <t>3.7:1160</t>
  </si>
  <si>
    <t>3.6:1160</t>
  </si>
  <si>
    <t>3.5:1160</t>
  </si>
  <si>
    <t>3.4:1160</t>
  </si>
  <si>
    <t>3.3:1160</t>
  </si>
  <si>
    <t>3.2:1160</t>
  </si>
  <si>
    <t>3.1:1160</t>
  </si>
  <si>
    <t>3.0:1160</t>
  </si>
  <si>
    <t>2.9:1160</t>
  </si>
  <si>
    <t>2.8:1160</t>
  </si>
  <si>
    <t>2.7:1160</t>
  </si>
  <si>
    <t>2.6:1160</t>
  </si>
  <si>
    <t>2.5:1160</t>
  </si>
  <si>
    <t>2.4:1160</t>
  </si>
  <si>
    <t>2.3:1160</t>
  </si>
  <si>
    <t>2.2:1160</t>
  </si>
  <si>
    <t>2.1:1160</t>
  </si>
  <si>
    <t>2.0:1160</t>
  </si>
  <si>
    <t>1.9:1160</t>
  </si>
  <si>
    <t>1.8:1160</t>
  </si>
  <si>
    <t>1.7:1160</t>
  </si>
  <si>
    <t>1.6:1160</t>
  </si>
  <si>
    <t>1.5:1160</t>
  </si>
  <si>
    <t>4.3:1170</t>
  </si>
  <si>
    <t>4.2:1170</t>
  </si>
  <si>
    <t>4.1:1170</t>
  </si>
  <si>
    <t>4.0:1170</t>
  </si>
  <si>
    <t>3.9:1170</t>
  </si>
  <si>
    <t>3.8:1170</t>
  </si>
  <si>
    <t>3.7:1170</t>
  </si>
  <si>
    <t>3.6:1170</t>
  </si>
  <si>
    <t>3.5:1170</t>
  </si>
  <si>
    <t>3.4:1170</t>
  </si>
  <si>
    <t>3.3:1170</t>
  </si>
  <si>
    <t>3.2:1170</t>
  </si>
  <si>
    <t>3.1:1170</t>
  </si>
  <si>
    <t>3.0:1170</t>
  </si>
  <si>
    <t>2.9:1170</t>
  </si>
  <si>
    <t>2.8:1170</t>
  </si>
  <si>
    <t>2.7:1170</t>
  </si>
  <si>
    <t>2.6:1170</t>
  </si>
  <si>
    <t>2.5:1170</t>
  </si>
  <si>
    <t>2.4:1170</t>
  </si>
  <si>
    <t>2.3:1170</t>
  </si>
  <si>
    <t>2.2:1170</t>
  </si>
  <si>
    <t>2.1:1170</t>
  </si>
  <si>
    <t>2.0:1170</t>
  </si>
  <si>
    <t>1.9:1170</t>
  </si>
  <si>
    <t>1.8:1170</t>
  </si>
  <si>
    <t>1.7:1170</t>
  </si>
  <si>
    <t>1.6:1170</t>
  </si>
  <si>
    <t>1.5:1170</t>
  </si>
  <si>
    <t>4.3:1180</t>
  </si>
  <si>
    <t>4.2:1180</t>
  </si>
  <si>
    <t>4.1:1180</t>
  </si>
  <si>
    <t>4.0:1180</t>
  </si>
  <si>
    <t>3.9:1180</t>
  </si>
  <si>
    <t>3.8:1180</t>
  </si>
  <si>
    <t>3.7:1180</t>
  </si>
  <si>
    <t>3.6:1180</t>
  </si>
  <si>
    <t>3.5:1180</t>
  </si>
  <si>
    <t>3.4:1180</t>
  </si>
  <si>
    <t>3.3:1180</t>
  </si>
  <si>
    <t>3.2:1180</t>
  </si>
  <si>
    <t>3.1:1180</t>
  </si>
  <si>
    <t>3.0:1180</t>
  </si>
  <si>
    <t>2.9:1180</t>
  </si>
  <si>
    <t>2.8:1180</t>
  </si>
  <si>
    <t>2.7:1180</t>
  </si>
  <si>
    <t>2.6:1180</t>
  </si>
  <si>
    <t>2.5:1180</t>
  </si>
  <si>
    <t>2.4:1180</t>
  </si>
  <si>
    <t>2.3:1180</t>
  </si>
  <si>
    <t>2.2:1180</t>
  </si>
  <si>
    <t>2.1:1180</t>
  </si>
  <si>
    <t>2.0:1180</t>
  </si>
  <si>
    <t>1.9:1180</t>
  </si>
  <si>
    <t>1.8:1180</t>
  </si>
  <si>
    <t>1.7:1180</t>
  </si>
  <si>
    <t>1.6:1180</t>
  </si>
  <si>
    <t>1.5:1180</t>
  </si>
  <si>
    <t>4.3:1190</t>
  </si>
  <si>
    <t>4.2:1190</t>
  </si>
  <si>
    <t>4.1:1190</t>
  </si>
  <si>
    <t>4.0:1190</t>
  </si>
  <si>
    <t>3.9:1190</t>
  </si>
  <si>
    <t>3.8:1190</t>
  </si>
  <si>
    <t>3.7:1190</t>
  </si>
  <si>
    <t>3.6:1190</t>
  </si>
  <si>
    <t>3.5:1190</t>
  </si>
  <si>
    <t>3.4:1190</t>
  </si>
  <si>
    <t>3.3:1190</t>
  </si>
  <si>
    <t>3.2:1190</t>
  </si>
  <si>
    <t>3.1:1190</t>
  </si>
  <si>
    <t>3.0:1190</t>
  </si>
  <si>
    <t>2.9:1190</t>
  </si>
  <si>
    <t>2.8:1190</t>
  </si>
  <si>
    <t>2.7:1190</t>
  </si>
  <si>
    <t>2.6:1190</t>
  </si>
  <si>
    <t>2.5:1190</t>
  </si>
  <si>
    <t>2.4:1190</t>
  </si>
  <si>
    <t>2.3:1190</t>
  </si>
  <si>
    <t>2.2:1190</t>
  </si>
  <si>
    <t>2.1:1190</t>
  </si>
  <si>
    <t>2.0:1190</t>
  </si>
  <si>
    <t>1.9:1190</t>
  </si>
  <si>
    <t>1.8:1190</t>
  </si>
  <si>
    <t>1.7:1190</t>
  </si>
  <si>
    <t>1.6:1190</t>
  </si>
  <si>
    <t>1.5:1190</t>
  </si>
  <si>
    <t>4.3:1200</t>
  </si>
  <si>
    <t>4.2:1200</t>
  </si>
  <si>
    <t>4.1:1200</t>
  </si>
  <si>
    <t>4.0:1200</t>
  </si>
  <si>
    <t>3.9:1200</t>
  </si>
  <si>
    <t>3.8:1200</t>
  </si>
  <si>
    <t>3.7:1200</t>
  </si>
  <si>
    <t>3.6:1200</t>
  </si>
  <si>
    <t>3.5:1200</t>
  </si>
  <si>
    <t>3.4:1200</t>
  </si>
  <si>
    <t>3.3:1200</t>
  </si>
  <si>
    <t>3.2:1200</t>
  </si>
  <si>
    <t>3.1:1200</t>
  </si>
  <si>
    <t>3.0:1200</t>
  </si>
  <si>
    <t>2.9:1200</t>
  </si>
  <si>
    <t>2.8:1200</t>
  </si>
  <si>
    <t>2.7:1200</t>
  </si>
  <si>
    <t>2.6:1200</t>
  </si>
  <si>
    <t>2.5:1200</t>
  </si>
  <si>
    <t>2.4:1200</t>
  </si>
  <si>
    <t>2.3:1200</t>
  </si>
  <si>
    <t>2.2:1200</t>
  </si>
  <si>
    <t>2.1:1200</t>
  </si>
  <si>
    <t>2.0:1200</t>
  </si>
  <si>
    <t>1.9:1200</t>
  </si>
  <si>
    <t>1.8:1200</t>
  </si>
  <si>
    <t>1.7:1200</t>
  </si>
  <si>
    <t>1.6:1200</t>
  </si>
  <si>
    <t>1.5:1200</t>
  </si>
  <si>
    <t>4.3:1210</t>
  </si>
  <si>
    <t>4.2:1210</t>
  </si>
  <si>
    <t>4.1:1210</t>
  </si>
  <si>
    <t>4.0:1210</t>
  </si>
  <si>
    <t>3.9:1210</t>
  </si>
  <si>
    <t>3.8:1210</t>
  </si>
  <si>
    <t>3.7:1210</t>
  </si>
  <si>
    <t>3.6:1210</t>
  </si>
  <si>
    <t>3.5:1210</t>
  </si>
  <si>
    <t>3.4:1210</t>
  </si>
  <si>
    <t>3.3:1210</t>
  </si>
  <si>
    <t>3.2:1210</t>
  </si>
  <si>
    <t>3.1:1210</t>
  </si>
  <si>
    <t>3.0:1210</t>
  </si>
  <si>
    <t>2.9:1210</t>
  </si>
  <si>
    <t>2.8:1210</t>
  </si>
  <si>
    <t>2.7:1210</t>
  </si>
  <si>
    <t>2.6:1210</t>
  </si>
  <si>
    <t>2.5:1210</t>
  </si>
  <si>
    <t>2.4:1210</t>
  </si>
  <si>
    <t>2.3:1210</t>
  </si>
  <si>
    <t>2.2:1210</t>
  </si>
  <si>
    <t>2.1:1210</t>
  </si>
  <si>
    <t>2.0:1210</t>
  </si>
  <si>
    <t>1.9:1210</t>
  </si>
  <si>
    <t>1.8:1210</t>
  </si>
  <si>
    <t>1.7:1210</t>
  </si>
  <si>
    <t>1.6:1210</t>
  </si>
  <si>
    <t>1.5:1210</t>
  </si>
  <si>
    <t>4.3:1220</t>
  </si>
  <si>
    <t>4.2:1220</t>
  </si>
  <si>
    <t>4.1:1220</t>
  </si>
  <si>
    <t>4.0:1220</t>
  </si>
  <si>
    <t>3.9:1220</t>
  </si>
  <si>
    <t>3.8:1220</t>
  </si>
  <si>
    <t>3.7:1220</t>
  </si>
  <si>
    <t>3.6:1220</t>
  </si>
  <si>
    <t>3.5:1220</t>
  </si>
  <si>
    <t>3.4:1220</t>
  </si>
  <si>
    <t>3.3:1220</t>
  </si>
  <si>
    <t>3.2:1220</t>
  </si>
  <si>
    <t>3.1:1220</t>
  </si>
  <si>
    <t>3.0:1220</t>
  </si>
  <si>
    <t>2.9:1220</t>
  </si>
  <si>
    <t>2.8:1220</t>
  </si>
  <si>
    <t>2.7:1220</t>
  </si>
  <si>
    <t>2.6:1220</t>
  </si>
  <si>
    <t>2.5:1220</t>
  </si>
  <si>
    <t>2.4:1220</t>
  </si>
  <si>
    <t>2.3:1220</t>
  </si>
  <si>
    <t>2.2:1220</t>
  </si>
  <si>
    <t>2.1:1220</t>
  </si>
  <si>
    <t>2.0:1220</t>
  </si>
  <si>
    <t>1.9:1220</t>
  </si>
  <si>
    <t>1.8:1220</t>
  </si>
  <si>
    <t>1.7:1220</t>
  </si>
  <si>
    <t>1.6:1220</t>
  </si>
  <si>
    <t>1.5:1220</t>
  </si>
  <si>
    <t>4.3:1230</t>
  </si>
  <si>
    <t>4.2:1230</t>
  </si>
  <si>
    <t>4.1:1230</t>
  </si>
  <si>
    <t>4.0:1230</t>
  </si>
  <si>
    <t>3.9:1230</t>
  </si>
  <si>
    <t>3.8:1230</t>
  </si>
  <si>
    <t>3.7:1230</t>
  </si>
  <si>
    <t>3.6:1230</t>
  </si>
  <si>
    <t>3.5:1230</t>
  </si>
  <si>
    <t>3.4:1230</t>
  </si>
  <si>
    <t>3.3:1230</t>
  </si>
  <si>
    <t>3.2:1230</t>
  </si>
  <si>
    <t>3.1:1230</t>
  </si>
  <si>
    <t>3.0:1230</t>
  </si>
  <si>
    <t>2.9:1230</t>
  </si>
  <si>
    <t>2.8:1230</t>
  </si>
  <si>
    <t>2.7:1230</t>
  </si>
  <si>
    <t>2.6:1230</t>
  </si>
  <si>
    <t>2.5:1230</t>
  </si>
  <si>
    <t>2.4:1230</t>
  </si>
  <si>
    <t>2.3:1230</t>
  </si>
  <si>
    <t>2.2:1230</t>
  </si>
  <si>
    <t>2.1:1230</t>
  </si>
  <si>
    <t>2.0:1230</t>
  </si>
  <si>
    <t>1.9:1230</t>
  </si>
  <si>
    <t>1.8:1230</t>
  </si>
  <si>
    <t>1.7:1230</t>
  </si>
  <si>
    <t>1.6:1230</t>
  </si>
  <si>
    <t>1.5:1230</t>
  </si>
  <si>
    <t>4.3:1240</t>
  </si>
  <si>
    <t>4.2:1240</t>
  </si>
  <si>
    <t>4.1:1240</t>
  </si>
  <si>
    <t>4.0:1240</t>
  </si>
  <si>
    <t>3.9:1240</t>
  </si>
  <si>
    <t>3.8:1240</t>
  </si>
  <si>
    <t>3.7:1240</t>
  </si>
  <si>
    <t>3.6:1240</t>
  </si>
  <si>
    <t>3.5:1240</t>
  </si>
  <si>
    <t>3.4:1240</t>
  </si>
  <si>
    <t>3.3:1240</t>
  </si>
  <si>
    <t>3.2:1240</t>
  </si>
  <si>
    <t>3.1:1240</t>
  </si>
  <si>
    <t>3.0:1240</t>
  </si>
  <si>
    <t>2.9:1240</t>
  </si>
  <si>
    <t>2.8:1240</t>
  </si>
  <si>
    <t>2.7:1240</t>
  </si>
  <si>
    <t>2.6:1240</t>
  </si>
  <si>
    <t>2.5:1240</t>
  </si>
  <si>
    <t>2.4:1240</t>
  </si>
  <si>
    <t>2.3:1240</t>
  </si>
  <si>
    <t>2.2:1240</t>
  </si>
  <si>
    <t>2.1:1240</t>
  </si>
  <si>
    <t>2.0:1240</t>
  </si>
  <si>
    <t>1.9:1240</t>
  </si>
  <si>
    <t>1.8:1240</t>
  </si>
  <si>
    <t>1.7:1240</t>
  </si>
  <si>
    <t>1.6:1240</t>
  </si>
  <si>
    <t>1.5:1240</t>
  </si>
  <si>
    <t>4.3:1250</t>
  </si>
  <si>
    <t>4.2:1250</t>
  </si>
  <si>
    <t>4.1:1250</t>
  </si>
  <si>
    <t>4.0:1250</t>
  </si>
  <si>
    <t>3.9:1250</t>
  </si>
  <si>
    <t>3.8:1250</t>
  </si>
  <si>
    <t>3.7:1250</t>
  </si>
  <si>
    <t>3.6:1250</t>
  </si>
  <si>
    <t>3.5:1250</t>
  </si>
  <si>
    <t>3.4:1250</t>
  </si>
  <si>
    <t>3.3:1250</t>
  </si>
  <si>
    <t>3.2:1250</t>
  </si>
  <si>
    <t>3.1:1250</t>
  </si>
  <si>
    <t>3.0:1250</t>
  </si>
  <si>
    <t>2.9:1250</t>
  </si>
  <si>
    <t>2.8:1250</t>
  </si>
  <si>
    <t>2.7:1250</t>
  </si>
  <si>
    <t>2.6:1250</t>
  </si>
  <si>
    <t>2.5:1250</t>
  </si>
  <si>
    <t>2.4:1250</t>
  </si>
  <si>
    <t>2.3:1250</t>
  </si>
  <si>
    <t>2.2:1250</t>
  </si>
  <si>
    <t>2.1:1250</t>
  </si>
  <si>
    <t>2.0:1250</t>
  </si>
  <si>
    <t>1.9:1250</t>
  </si>
  <si>
    <t>1.8:1250</t>
  </si>
  <si>
    <t>1.7:1250</t>
  </si>
  <si>
    <t>1.6:1250</t>
  </si>
  <si>
    <t>1.5:1250</t>
  </si>
  <si>
    <t>4.3:1260</t>
  </si>
  <si>
    <t>4.2:1260</t>
  </si>
  <si>
    <t>4.1:1260</t>
  </si>
  <si>
    <t>4.0:1260</t>
  </si>
  <si>
    <t>3.9:1260</t>
  </si>
  <si>
    <t>3.8:1260</t>
  </si>
  <si>
    <t>3.7:1260</t>
  </si>
  <si>
    <t>3.6:1260</t>
  </si>
  <si>
    <t>3.5:1260</t>
  </si>
  <si>
    <t>3.4:1260</t>
  </si>
  <si>
    <t>3.3:1260</t>
  </si>
  <si>
    <t>3.2:1260</t>
  </si>
  <si>
    <t>3.1:1260</t>
  </si>
  <si>
    <t>3.0:1260</t>
  </si>
  <si>
    <t>2.9:1260</t>
  </si>
  <si>
    <t>2.8:1260</t>
  </si>
  <si>
    <t>2.7:1260</t>
  </si>
  <si>
    <t>2.6:1260</t>
  </si>
  <si>
    <t>2.5:1260</t>
  </si>
  <si>
    <t>2.4:1260</t>
  </si>
  <si>
    <t>2.3:1260</t>
  </si>
  <si>
    <t>2.2:1260</t>
  </si>
  <si>
    <t>2.1:1260</t>
  </si>
  <si>
    <t>2.0:1260</t>
  </si>
  <si>
    <t>1.9:1260</t>
  </si>
  <si>
    <t>1.8:1260</t>
  </si>
  <si>
    <t>1.7:1260</t>
  </si>
  <si>
    <t>1.6:1260</t>
  </si>
  <si>
    <t>1.5:1260</t>
  </si>
  <si>
    <t>4.3:1270</t>
  </si>
  <si>
    <t>4.2:1270</t>
  </si>
  <si>
    <t>4.1:1270</t>
  </si>
  <si>
    <t>4.0:1270</t>
  </si>
  <si>
    <t>3.9:1270</t>
  </si>
  <si>
    <t>3.8:1270</t>
  </si>
  <si>
    <t>3.7:1270</t>
  </si>
  <si>
    <t>3.6:1270</t>
  </si>
  <si>
    <t>3.5:1270</t>
  </si>
  <si>
    <t>3.4:1270</t>
  </si>
  <si>
    <t>3.3:1270</t>
  </si>
  <si>
    <t>3.2:1270</t>
  </si>
  <si>
    <t>3.1:1270</t>
  </si>
  <si>
    <t>3.0:1270</t>
  </si>
  <si>
    <t>2.9:1270</t>
  </si>
  <si>
    <t>2.8:1270</t>
  </si>
  <si>
    <t>2.7:1270</t>
  </si>
  <si>
    <t>2.6:1270</t>
  </si>
  <si>
    <t>2.5:1270</t>
  </si>
  <si>
    <t>2.4:1270</t>
  </si>
  <si>
    <t>2.3:1270</t>
  </si>
  <si>
    <t>2.2:1270</t>
  </si>
  <si>
    <t>2.1:1270</t>
  </si>
  <si>
    <t>2.0:1270</t>
  </si>
  <si>
    <t>1.9:1270</t>
  </si>
  <si>
    <t>1.8:1270</t>
  </si>
  <si>
    <t>1.7:1270</t>
  </si>
  <si>
    <t>1.6:1270</t>
  </si>
  <si>
    <t>1.5:1270</t>
  </si>
  <si>
    <t>4.3:1280</t>
  </si>
  <si>
    <t>4.2:1280</t>
  </si>
  <si>
    <t>4.1:1280</t>
  </si>
  <si>
    <t>4.0:1280</t>
  </si>
  <si>
    <t>3.9:1280</t>
  </si>
  <si>
    <t>3.8:1280</t>
  </si>
  <si>
    <t>3.7:1280</t>
  </si>
  <si>
    <t>3.6:1280</t>
  </si>
  <si>
    <t>3.5:1280</t>
  </si>
  <si>
    <t>3.4:1280</t>
  </si>
  <si>
    <t>3.3:1280</t>
  </si>
  <si>
    <t>3.2:1280</t>
  </si>
  <si>
    <t>3.1:1280</t>
  </si>
  <si>
    <t>3.0:1280</t>
  </si>
  <si>
    <t>2.9:1280</t>
  </si>
  <si>
    <t>2.8:1280</t>
  </si>
  <si>
    <t>2.7:1280</t>
  </si>
  <si>
    <t>2.6:1280</t>
  </si>
  <si>
    <t>2.5:1280</t>
  </si>
  <si>
    <t>2.4:1280</t>
  </si>
  <si>
    <t>2.3:1280</t>
  </si>
  <si>
    <t>2.2:1280</t>
  </si>
  <si>
    <t>2.1:1280</t>
  </si>
  <si>
    <t>2.0:1280</t>
  </si>
  <si>
    <t>1.9:1280</t>
  </si>
  <si>
    <t>1.8:1280</t>
  </si>
  <si>
    <t>1.7:1280</t>
  </si>
  <si>
    <t>1.6:1280</t>
  </si>
  <si>
    <t>1.5:1280</t>
  </si>
  <si>
    <t>4.3:1290</t>
  </si>
  <si>
    <t>4.2:1290</t>
  </si>
  <si>
    <t>4.1:1290</t>
  </si>
  <si>
    <t>4.0:1290</t>
  </si>
  <si>
    <t>3.9:1290</t>
  </si>
  <si>
    <t>3.8:1290</t>
  </si>
  <si>
    <t>3.7:1290</t>
  </si>
  <si>
    <t>3.6:1290</t>
  </si>
  <si>
    <t>3.5:1290</t>
  </si>
  <si>
    <t>3.4:1290</t>
  </si>
  <si>
    <t>3.3:1290</t>
  </si>
  <si>
    <t>3.2:1290</t>
  </si>
  <si>
    <t>3.1:1290</t>
  </si>
  <si>
    <t>3.0:1290</t>
  </si>
  <si>
    <t>2.9:1290</t>
  </si>
  <si>
    <t>2.8:1290</t>
  </si>
  <si>
    <t>2.7:1290</t>
  </si>
  <si>
    <t>2.6:1290</t>
  </si>
  <si>
    <t>2.5:1290</t>
  </si>
  <si>
    <t>2.4:1290</t>
  </si>
  <si>
    <t>2.3:1290</t>
  </si>
  <si>
    <t>2.2:1290</t>
  </si>
  <si>
    <t>2.1:1290</t>
  </si>
  <si>
    <t>2.0:1290</t>
  </si>
  <si>
    <t>1.9:1290</t>
  </si>
  <si>
    <t>1.8:1290</t>
  </si>
  <si>
    <t>1.7:1290</t>
  </si>
  <si>
    <t>1.6:1290</t>
  </si>
  <si>
    <t>1.5:1290</t>
  </si>
  <si>
    <t>4.3:1300</t>
  </si>
  <si>
    <t>4.2:1300</t>
  </si>
  <si>
    <t>4.1:1300</t>
  </si>
  <si>
    <t>4.0:1300</t>
  </si>
  <si>
    <t>3.9:1300</t>
  </si>
  <si>
    <t>3.8:1300</t>
  </si>
  <si>
    <t>3.7:1300</t>
  </si>
  <si>
    <t>3.6:1300</t>
  </si>
  <si>
    <t>3.5:1300</t>
  </si>
  <si>
    <t>3.4:1300</t>
  </si>
  <si>
    <t>3.3:1300</t>
  </si>
  <si>
    <t>3.2:1300</t>
  </si>
  <si>
    <t>3.1:1300</t>
  </si>
  <si>
    <t>3.0:1300</t>
  </si>
  <si>
    <t>2.9:1300</t>
  </si>
  <si>
    <t>2.8:1300</t>
  </si>
  <si>
    <t>2.7:1300</t>
  </si>
  <si>
    <t>2.6:1300</t>
  </si>
  <si>
    <t>2.5:1300</t>
  </si>
  <si>
    <t>2.4:1300</t>
  </si>
  <si>
    <t>2.3:1300</t>
  </si>
  <si>
    <t>2.2:1300</t>
  </si>
  <si>
    <t>2.1:1300</t>
  </si>
  <si>
    <t>2.0:1300</t>
  </si>
  <si>
    <t>1.9:1300</t>
  </si>
  <si>
    <t>1.8:1300</t>
  </si>
  <si>
    <t>1.7:1300</t>
  </si>
  <si>
    <t>1.6:1300</t>
  </si>
  <si>
    <t>1.5:1300</t>
  </si>
  <si>
    <t>4.3:1310</t>
  </si>
  <si>
    <t>4.2:1310</t>
  </si>
  <si>
    <t>4.1:1310</t>
  </si>
  <si>
    <t>4.0:1310</t>
  </si>
  <si>
    <t>3.9:1310</t>
  </si>
  <si>
    <t>3.8:1310</t>
  </si>
  <si>
    <t>3.7:1310</t>
  </si>
  <si>
    <t>3.6:1310</t>
  </si>
  <si>
    <t>3.5:1310</t>
  </si>
  <si>
    <t>3.4:1310</t>
  </si>
  <si>
    <t>3.3:1310</t>
  </si>
  <si>
    <t>3.2:1310</t>
  </si>
  <si>
    <t>3.1:1310</t>
  </si>
  <si>
    <t>3.0:1310</t>
  </si>
  <si>
    <t>2.9:1310</t>
  </si>
  <si>
    <t>2.8:1310</t>
  </si>
  <si>
    <t>2.7:1310</t>
  </si>
  <si>
    <t>2.6:1310</t>
  </si>
  <si>
    <t>2.5:1310</t>
  </si>
  <si>
    <t>2.4:1310</t>
  </si>
  <si>
    <t>2.3:1310</t>
  </si>
  <si>
    <t>2.2:1310</t>
  </si>
  <si>
    <t>2.1:1310</t>
  </si>
  <si>
    <t>2.0:1310</t>
  </si>
  <si>
    <t>1.9:1310</t>
  </si>
  <si>
    <t>1.8:1310</t>
  </si>
  <si>
    <t>1.7:1310</t>
  </si>
  <si>
    <t>1.6:1310</t>
  </si>
  <si>
    <t>1.5:1310</t>
  </si>
  <si>
    <t>4.3:1320</t>
  </si>
  <si>
    <t>4.2:1320</t>
  </si>
  <si>
    <t>4.1:1320</t>
  </si>
  <si>
    <t>4.0:1320</t>
  </si>
  <si>
    <t>3.9:1320</t>
  </si>
  <si>
    <t>3.8:1320</t>
  </si>
  <si>
    <t>3.7:1320</t>
  </si>
  <si>
    <t>3.6:1320</t>
  </si>
  <si>
    <t>3.5:1320</t>
  </si>
  <si>
    <t>3.4:1320</t>
  </si>
  <si>
    <t>3.3:1320</t>
  </si>
  <si>
    <t>3.2:1320</t>
  </si>
  <si>
    <t>3.1:1320</t>
  </si>
  <si>
    <t>3.0:1320</t>
  </si>
  <si>
    <t>2.9:1320</t>
  </si>
  <si>
    <t>2.8:1320</t>
  </si>
  <si>
    <t>2.7:1320</t>
  </si>
  <si>
    <t>2.6:1320</t>
  </si>
  <si>
    <t>2.5:1320</t>
  </si>
  <si>
    <t>2.4:1320</t>
  </si>
  <si>
    <t>2.3:1320</t>
  </si>
  <si>
    <t>2.2:1320</t>
  </si>
  <si>
    <t>2.1:1320</t>
  </si>
  <si>
    <t>2.0:1320</t>
  </si>
  <si>
    <t>1.9:1320</t>
  </si>
  <si>
    <t>1.8:1320</t>
  </si>
  <si>
    <t>1.7:1320</t>
  </si>
  <si>
    <t>1.6:1320</t>
  </si>
  <si>
    <t>1.5:1320</t>
  </si>
  <si>
    <t>4.3:1330</t>
  </si>
  <si>
    <t>4.2:1330</t>
  </si>
  <si>
    <t>4.1:1330</t>
  </si>
  <si>
    <t>4.0:1330</t>
  </si>
  <si>
    <t>3.9:1330</t>
  </si>
  <si>
    <t>3.8:1330</t>
  </si>
  <si>
    <t>3.7:1330</t>
  </si>
  <si>
    <t>3.6:1330</t>
  </si>
  <si>
    <t>3.5:1330</t>
  </si>
  <si>
    <t>3.4:1330</t>
  </si>
  <si>
    <t>3.3:1330</t>
  </si>
  <si>
    <t>3.2:1330</t>
  </si>
  <si>
    <t>3.1:1330</t>
  </si>
  <si>
    <t>3.0:1330</t>
  </si>
  <si>
    <t>2.9:1330</t>
  </si>
  <si>
    <t>2.8:1330</t>
  </si>
  <si>
    <t>2.7:1330</t>
  </si>
  <si>
    <t>2.6:1330</t>
  </si>
  <si>
    <t>2.5:1330</t>
  </si>
  <si>
    <t>2.4:1330</t>
  </si>
  <si>
    <t>2.3:1330</t>
  </si>
  <si>
    <t>2.2:1330</t>
  </si>
  <si>
    <t>2.1:1330</t>
  </si>
  <si>
    <t>2.0:1330</t>
  </si>
  <si>
    <t>1.9:1330</t>
  </si>
  <si>
    <t>1.8:1330</t>
  </si>
  <si>
    <t>1.7:1330</t>
  </si>
  <si>
    <t>1.6:1330</t>
  </si>
  <si>
    <t>1.5:1330</t>
  </si>
  <si>
    <t>4.3:1340</t>
  </si>
  <si>
    <t>4.2:1340</t>
  </si>
  <si>
    <t>4.1:1340</t>
  </si>
  <si>
    <t>4.0:1340</t>
  </si>
  <si>
    <t>3.9:1340</t>
  </si>
  <si>
    <t>3.8:1340</t>
  </si>
  <si>
    <t>3.7:1340</t>
  </si>
  <si>
    <t>3.6:1340</t>
  </si>
  <si>
    <t>3.5:1340</t>
  </si>
  <si>
    <t>3.4:1340</t>
  </si>
  <si>
    <t>3.3:1340</t>
  </si>
  <si>
    <t>3.2:1340</t>
  </si>
  <si>
    <t>3.1:1340</t>
  </si>
  <si>
    <t>3.0:1340</t>
  </si>
  <si>
    <t>2.9:1340</t>
  </si>
  <si>
    <t>2.8:1340</t>
  </si>
  <si>
    <t>2.7:1340</t>
  </si>
  <si>
    <t>2.6:1340</t>
  </si>
  <si>
    <t>2.5:1340</t>
  </si>
  <si>
    <t>2.4:1340</t>
  </si>
  <si>
    <t>2.3:1340</t>
  </si>
  <si>
    <t>2.2:1340</t>
  </si>
  <si>
    <t>2.1:1340</t>
  </si>
  <si>
    <t>2.0:1340</t>
  </si>
  <si>
    <t>1.9:1340</t>
  </si>
  <si>
    <t>1.8:1340</t>
  </si>
  <si>
    <t>1.7:1340</t>
  </si>
  <si>
    <t>1.6:1340</t>
  </si>
  <si>
    <t>1.5:1340</t>
  </si>
  <si>
    <t>4.3:1350</t>
  </si>
  <si>
    <t>4.2:1350</t>
  </si>
  <si>
    <t>4.1:1350</t>
  </si>
  <si>
    <t>4.0:1350</t>
  </si>
  <si>
    <t>3.9:1350</t>
  </si>
  <si>
    <t>3.8:1350</t>
  </si>
  <si>
    <t>3.7:1350</t>
  </si>
  <si>
    <t>3.6:1350</t>
  </si>
  <si>
    <t>3.5:1350</t>
  </si>
  <si>
    <t>3.4:1350</t>
  </si>
  <si>
    <t>3.3:1350</t>
  </si>
  <si>
    <t>3.2:1350</t>
  </si>
  <si>
    <t>3.1:1350</t>
  </si>
  <si>
    <t>3.0:1350</t>
  </si>
  <si>
    <t>2.9:1350</t>
  </si>
  <si>
    <t>2.8:1350</t>
  </si>
  <si>
    <t>2.7:1350</t>
  </si>
  <si>
    <t>2.6:1350</t>
  </si>
  <si>
    <t>2.5:1350</t>
  </si>
  <si>
    <t>2.4:1350</t>
  </si>
  <si>
    <t>2.3:1350</t>
  </si>
  <si>
    <t>2.2:1350</t>
  </si>
  <si>
    <t>2.1:1350</t>
  </si>
  <si>
    <t>2.0:1350</t>
  </si>
  <si>
    <t>1.9:1350</t>
  </si>
  <si>
    <t>1.8:1350</t>
  </si>
  <si>
    <t>1.7:1350</t>
  </si>
  <si>
    <t>1.6:1350</t>
  </si>
  <si>
    <t>1.5:1350</t>
  </si>
  <si>
    <t>4.3:1360</t>
  </si>
  <si>
    <t>4.2:1360</t>
  </si>
  <si>
    <t>4.1:1360</t>
  </si>
  <si>
    <t>4.0:1360</t>
  </si>
  <si>
    <t>3.9:1360</t>
  </si>
  <si>
    <t>3.8:1360</t>
  </si>
  <si>
    <t>3.7:1360</t>
  </si>
  <si>
    <t>3.6:1360</t>
  </si>
  <si>
    <t>3.5:1360</t>
  </si>
  <si>
    <t>3.4:1360</t>
  </si>
  <si>
    <t>3.3:1360</t>
  </si>
  <si>
    <t>3.2:1360</t>
  </si>
  <si>
    <t>3.1:1360</t>
  </si>
  <si>
    <t>3.0:1360</t>
  </si>
  <si>
    <t>2.9:1360</t>
  </si>
  <si>
    <t>2.8:1360</t>
  </si>
  <si>
    <t>2.7:1360</t>
  </si>
  <si>
    <t>2.6:1360</t>
  </si>
  <si>
    <t>2.5:1360</t>
  </si>
  <si>
    <t>2.4:1360</t>
  </si>
  <si>
    <t>2.3:1360</t>
  </si>
  <si>
    <t>2.2:1360</t>
  </si>
  <si>
    <t>2.1:1360</t>
  </si>
  <si>
    <t>2.0:1360</t>
  </si>
  <si>
    <t>1.9:1360</t>
  </si>
  <si>
    <t>1.8:1360</t>
  </si>
  <si>
    <t>1.7:1360</t>
  </si>
  <si>
    <t>1.6:1360</t>
  </si>
  <si>
    <t>1.5:1360</t>
  </si>
  <si>
    <t>4.3:1370</t>
  </si>
  <si>
    <t>4.2:1370</t>
  </si>
  <si>
    <t>4.1:1370</t>
  </si>
  <si>
    <t>4.0:1370</t>
  </si>
  <si>
    <t>3.9:1370</t>
  </si>
  <si>
    <t>3.8:1370</t>
  </si>
  <si>
    <t>3.7:1370</t>
  </si>
  <si>
    <t>3.6:1370</t>
  </si>
  <si>
    <t>3.5:1370</t>
  </si>
  <si>
    <t>3.4:1370</t>
  </si>
  <si>
    <t>3.3:1370</t>
  </si>
  <si>
    <t>3.2:1370</t>
  </si>
  <si>
    <t>3.1:1370</t>
  </si>
  <si>
    <t>3.0:1370</t>
  </si>
  <si>
    <t>2.9:1370</t>
  </si>
  <si>
    <t>2.8:1370</t>
  </si>
  <si>
    <t>2.7:1370</t>
  </si>
  <si>
    <t>2.6:1370</t>
  </si>
  <si>
    <t>2.5:1370</t>
  </si>
  <si>
    <t>2.4:1370</t>
  </si>
  <si>
    <t>2.3:1370</t>
  </si>
  <si>
    <t>2.2:1370</t>
  </si>
  <si>
    <t>2.1:1370</t>
  </si>
  <si>
    <t>2.0:1370</t>
  </si>
  <si>
    <t>1.9:1370</t>
  </si>
  <si>
    <t>1.8:1370</t>
  </si>
  <si>
    <t>1.7:1370</t>
  </si>
  <si>
    <t>1.6:1370</t>
  </si>
  <si>
    <t>1.5:1370</t>
  </si>
  <si>
    <t>4.3:1380</t>
  </si>
  <si>
    <t>4.2:1380</t>
  </si>
  <si>
    <t>4.1:1380</t>
  </si>
  <si>
    <t>4.0:1380</t>
  </si>
  <si>
    <t>3.9:1380</t>
  </si>
  <si>
    <t>3.8:1380</t>
  </si>
  <si>
    <t>3.7:1380</t>
  </si>
  <si>
    <t>3.6:1380</t>
  </si>
  <si>
    <t>3.5:1380</t>
  </si>
  <si>
    <t>3.4:1380</t>
  </si>
  <si>
    <t>3.3:1380</t>
  </si>
  <si>
    <t>3.2:1380</t>
  </si>
  <si>
    <t>3.1:1380</t>
  </si>
  <si>
    <t>3.0:1380</t>
  </si>
  <si>
    <t>2.9:1380</t>
  </si>
  <si>
    <t>2.8:1380</t>
  </si>
  <si>
    <t>2.7:1380</t>
  </si>
  <si>
    <t>2.6:1380</t>
  </si>
  <si>
    <t>2.5:1380</t>
  </si>
  <si>
    <t>2.4:1380</t>
  </si>
  <si>
    <t>2.3:1380</t>
  </si>
  <si>
    <t>2.2:1380</t>
  </si>
  <si>
    <t>2.1:1380</t>
  </si>
  <si>
    <t>2.0:1380</t>
  </si>
  <si>
    <t>1.9:1380</t>
  </si>
  <si>
    <t>1.8:1380</t>
  </si>
  <si>
    <t>1.7:1380</t>
  </si>
  <si>
    <t>1.6:1380</t>
  </si>
  <si>
    <t>1.5:1380</t>
  </si>
  <si>
    <t>4.3:1390</t>
  </si>
  <si>
    <t>4.2:1390</t>
  </si>
  <si>
    <t>4.1:1390</t>
  </si>
  <si>
    <t>4.0:1390</t>
  </si>
  <si>
    <t>3.9:1390</t>
  </si>
  <si>
    <t>3.8:1390</t>
  </si>
  <si>
    <t>3.7:1390</t>
  </si>
  <si>
    <t>3.6:1390</t>
  </si>
  <si>
    <t>3.5:1390</t>
  </si>
  <si>
    <t>3.4:1390</t>
  </si>
  <si>
    <t>3.3:1390</t>
  </si>
  <si>
    <t>3.2:1390</t>
  </si>
  <si>
    <t>3.1:1390</t>
  </si>
  <si>
    <t>3.0:1390</t>
  </si>
  <si>
    <t>2.9:1390</t>
  </si>
  <si>
    <t>2.8:1390</t>
  </si>
  <si>
    <t>2.7:1390</t>
  </si>
  <si>
    <t>2.6:1390</t>
  </si>
  <si>
    <t>2.5:1390</t>
  </si>
  <si>
    <t>2.4:1390</t>
  </si>
  <si>
    <t>2.3:1390</t>
  </si>
  <si>
    <t>2.2:1390</t>
  </si>
  <si>
    <t>2.1:1390</t>
  </si>
  <si>
    <t>2.0:1390</t>
  </si>
  <si>
    <t>1.9:1390</t>
  </si>
  <si>
    <t>1.8:1390</t>
  </si>
  <si>
    <t>1.7:1390</t>
  </si>
  <si>
    <t>1.6:1390</t>
  </si>
  <si>
    <t>1.5:1390</t>
  </si>
  <si>
    <t>4.3:1400</t>
  </si>
  <si>
    <t>4.2:1400</t>
  </si>
  <si>
    <t>4.1:1400</t>
  </si>
  <si>
    <t>4.0:1400</t>
  </si>
  <si>
    <t>3.9:1400</t>
  </si>
  <si>
    <t>3.8:1400</t>
  </si>
  <si>
    <t>3.7:1400</t>
  </si>
  <si>
    <t>3.6:1400</t>
  </si>
  <si>
    <t>3.5:1400</t>
  </si>
  <si>
    <t>3.4:1400</t>
  </si>
  <si>
    <t>3.3:1400</t>
  </si>
  <si>
    <t>3.2:1400</t>
  </si>
  <si>
    <t>3.1:1400</t>
  </si>
  <si>
    <t>3.0:1400</t>
  </si>
  <si>
    <t>2.9:1400</t>
  </si>
  <si>
    <t>2.8:1400</t>
  </si>
  <si>
    <t>2.7:1400</t>
  </si>
  <si>
    <t>2.6:1400</t>
  </si>
  <si>
    <t>2.5:1400</t>
  </si>
  <si>
    <t>2.4:1400</t>
  </si>
  <si>
    <t>2.3:1400</t>
  </si>
  <si>
    <t>2.2:1400</t>
  </si>
  <si>
    <t>2.1:1400</t>
  </si>
  <si>
    <t>2.0:1400</t>
  </si>
  <si>
    <t>1.9:1400</t>
  </si>
  <si>
    <t>1.8:1400</t>
  </si>
  <si>
    <t>1.7:1400</t>
  </si>
  <si>
    <t>1.6:1400</t>
  </si>
  <si>
    <t>1.5:1400</t>
  </si>
  <si>
    <t>4.3:1410</t>
  </si>
  <si>
    <t>4.2:1410</t>
  </si>
  <si>
    <t>4.1:1410</t>
  </si>
  <si>
    <t>4.0:1410</t>
  </si>
  <si>
    <t>3.9:1410</t>
  </si>
  <si>
    <t>3.8:1410</t>
  </si>
  <si>
    <t>3.7:1410</t>
  </si>
  <si>
    <t>3.6:1410</t>
  </si>
  <si>
    <t>3.5:1410</t>
  </si>
  <si>
    <t>3.4:1410</t>
  </si>
  <si>
    <t>3.3:1410</t>
  </si>
  <si>
    <t>3.2:1410</t>
  </si>
  <si>
    <t>3.1:1410</t>
  </si>
  <si>
    <t>3.0:1410</t>
  </si>
  <si>
    <t>2.9:1410</t>
  </si>
  <si>
    <t>2.8:1410</t>
  </si>
  <si>
    <t>2.7:1410</t>
  </si>
  <si>
    <t>2.6:1410</t>
  </si>
  <si>
    <t>2.5:1410</t>
  </si>
  <si>
    <t>2.4:1410</t>
  </si>
  <si>
    <t>2.3:1410</t>
  </si>
  <si>
    <t>2.2:1410</t>
  </si>
  <si>
    <t>2.1:1410</t>
  </si>
  <si>
    <t>2.0:1410</t>
  </si>
  <si>
    <t>1.9:1410</t>
  </si>
  <si>
    <t>1.8:1410</t>
  </si>
  <si>
    <t>1.7:1410</t>
  </si>
  <si>
    <t>1.6:1410</t>
  </si>
  <si>
    <t>1.5:1410</t>
  </si>
  <si>
    <t>4.3:1420</t>
  </si>
  <si>
    <t>4.2:1420</t>
  </si>
  <si>
    <t>4.1:1420</t>
  </si>
  <si>
    <t>4.0:1420</t>
  </si>
  <si>
    <t>3.9:1420</t>
  </si>
  <si>
    <t>3.8:1420</t>
  </si>
  <si>
    <t>3.7:1420</t>
  </si>
  <si>
    <t>3.6:1420</t>
  </si>
  <si>
    <t>3.5:1420</t>
  </si>
  <si>
    <t>3.4:1420</t>
  </si>
  <si>
    <t>3.3:1420</t>
  </si>
  <si>
    <t>3.2:1420</t>
  </si>
  <si>
    <t>3.1:1420</t>
  </si>
  <si>
    <t>3.0:1420</t>
  </si>
  <si>
    <t>2.9:1420</t>
  </si>
  <si>
    <t>2.8:1420</t>
  </si>
  <si>
    <t>2.7:1420</t>
  </si>
  <si>
    <t>2.6:1420</t>
  </si>
  <si>
    <t>2.5:1420</t>
  </si>
  <si>
    <t>2.4:1420</t>
  </si>
  <si>
    <t>2.3:1420</t>
  </si>
  <si>
    <t>2.2:1420</t>
  </si>
  <si>
    <t>2.1:1420</t>
  </si>
  <si>
    <t>2.0:1420</t>
  </si>
  <si>
    <t>1.9:1420</t>
  </si>
  <si>
    <t>1.8:1420</t>
  </si>
  <si>
    <t>1.7:1420</t>
  </si>
  <si>
    <t>1.6:1420</t>
  </si>
  <si>
    <t>1.5:1420</t>
  </si>
  <si>
    <t>4.3:1430</t>
  </si>
  <si>
    <t>4.2:1430</t>
  </si>
  <si>
    <t>4.1:1430</t>
  </si>
  <si>
    <t>4.0:1430</t>
  </si>
  <si>
    <t>3.9:1430</t>
  </si>
  <si>
    <t>3.8:1430</t>
  </si>
  <si>
    <t>3.7:1430</t>
  </si>
  <si>
    <t>3.6:1430</t>
  </si>
  <si>
    <t>3.5:1430</t>
  </si>
  <si>
    <t>3.4:1430</t>
  </si>
  <si>
    <t>3.3:1430</t>
  </si>
  <si>
    <t>3.2:1430</t>
  </si>
  <si>
    <t>3.1:1430</t>
  </si>
  <si>
    <t>3.0:1430</t>
  </si>
  <si>
    <t>2.9:1430</t>
  </si>
  <si>
    <t>2.8:1430</t>
  </si>
  <si>
    <t>2.7:1430</t>
  </si>
  <si>
    <t>2.6:1430</t>
  </si>
  <si>
    <t>2.5:1430</t>
  </si>
  <si>
    <t>2.4:1430</t>
  </si>
  <si>
    <t>2.3:1430</t>
  </si>
  <si>
    <t>2.2:1430</t>
  </si>
  <si>
    <t>2.1:1430</t>
  </si>
  <si>
    <t>2.0:1430</t>
  </si>
  <si>
    <t>1.9:1430</t>
  </si>
  <si>
    <t>1.8:1430</t>
  </si>
  <si>
    <t>1.7:1430</t>
  </si>
  <si>
    <t>1.6:1430</t>
  </si>
  <si>
    <t>1.5:1430</t>
  </si>
  <si>
    <t>4.3:1440</t>
  </si>
  <si>
    <t>4.2:1440</t>
  </si>
  <si>
    <t>4.1:1440</t>
  </si>
  <si>
    <t>4.0:1440</t>
  </si>
  <si>
    <t>3.9:1440</t>
  </si>
  <si>
    <t>3.8:1440</t>
  </si>
  <si>
    <t>3.7:1440</t>
  </si>
  <si>
    <t>3.6:1440</t>
  </si>
  <si>
    <t>3.5:1440</t>
  </si>
  <si>
    <t>3.4:1440</t>
  </si>
  <si>
    <t>3.3:1440</t>
  </si>
  <si>
    <t>3.2:1440</t>
  </si>
  <si>
    <t>3.1:1440</t>
  </si>
  <si>
    <t>3.0:1440</t>
  </si>
  <si>
    <t>2.9:1440</t>
  </si>
  <si>
    <t>2.8:1440</t>
  </si>
  <si>
    <t>2.7:1440</t>
  </si>
  <si>
    <t>2.6:1440</t>
  </si>
  <si>
    <t>2.5:1440</t>
  </si>
  <si>
    <t>2.4:1440</t>
  </si>
  <si>
    <t>2.3:1440</t>
  </si>
  <si>
    <t>2.2:1440</t>
  </si>
  <si>
    <t>2.1:1440</t>
  </si>
  <si>
    <t>2.0:1440</t>
  </si>
  <si>
    <t>1.9:1440</t>
  </si>
  <si>
    <t>1.8:1440</t>
  </si>
  <si>
    <t>1.7:1440</t>
  </si>
  <si>
    <t>1.6:1440</t>
  </si>
  <si>
    <t>1.5:1440</t>
  </si>
  <si>
    <t>4.3:1450</t>
  </si>
  <si>
    <t>4.2:1450</t>
  </si>
  <si>
    <t>4.1:1450</t>
  </si>
  <si>
    <t>4.0:1450</t>
  </si>
  <si>
    <t>3.9:1450</t>
  </si>
  <si>
    <t>3.8:1450</t>
  </si>
  <si>
    <t>3.7:1450</t>
  </si>
  <si>
    <t>3.6:1450</t>
  </si>
  <si>
    <t>3.5:1450</t>
  </si>
  <si>
    <t>3.4:1450</t>
  </si>
  <si>
    <t>3.3:1450</t>
  </si>
  <si>
    <t>3.2:1450</t>
  </si>
  <si>
    <t>3.1:1450</t>
  </si>
  <si>
    <t>3.0:1450</t>
  </si>
  <si>
    <t>2.9:1450</t>
  </si>
  <si>
    <t>2.8:1450</t>
  </si>
  <si>
    <t>2.7:1450</t>
  </si>
  <si>
    <t>2.6:1450</t>
  </si>
  <si>
    <t>2.5:1450</t>
  </si>
  <si>
    <t>2.4:1450</t>
  </si>
  <si>
    <t>2.3:1450</t>
  </si>
  <si>
    <t>2.2:1450</t>
  </si>
  <si>
    <t>2.1:1450</t>
  </si>
  <si>
    <t>2.0:1450</t>
  </si>
  <si>
    <t>1.9:1450</t>
  </si>
  <si>
    <t>1.8:1450</t>
  </si>
  <si>
    <t>1.7:1450</t>
  </si>
  <si>
    <t>1.6:1450</t>
  </si>
  <si>
    <t>1.5:1450</t>
  </si>
  <si>
    <t>4.3:1460</t>
  </si>
  <si>
    <t>4.2:1460</t>
  </si>
  <si>
    <t>4.1:1460</t>
  </si>
  <si>
    <t>4.0:1460</t>
  </si>
  <si>
    <t>3.9:1460</t>
  </si>
  <si>
    <t>3.8:1460</t>
  </si>
  <si>
    <t>3.7:1460</t>
  </si>
  <si>
    <t>3.6:1460</t>
  </si>
  <si>
    <t>3.5:1460</t>
  </si>
  <si>
    <t>3.4:1460</t>
  </si>
  <si>
    <t>3.3:1460</t>
  </si>
  <si>
    <t>3.2:1460</t>
  </si>
  <si>
    <t>3.1:1460</t>
  </si>
  <si>
    <t>3.0:1460</t>
  </si>
  <si>
    <t>2.9:1460</t>
  </si>
  <si>
    <t>2.8:1460</t>
  </si>
  <si>
    <t>2.7:1460</t>
  </si>
  <si>
    <t>2.6:1460</t>
  </si>
  <si>
    <t>2.5:1460</t>
  </si>
  <si>
    <t>2.4:1460</t>
  </si>
  <si>
    <t>2.3:1460</t>
  </si>
  <si>
    <t>2.2:1460</t>
  </si>
  <si>
    <t>2.1:1460</t>
  </si>
  <si>
    <t>2.0:1460</t>
  </si>
  <si>
    <t>1.9:1460</t>
  </si>
  <si>
    <t>1.8:1460</t>
  </si>
  <si>
    <t>1.7:1460</t>
  </si>
  <si>
    <t>1.6:1460</t>
  </si>
  <si>
    <t>1.5:1460</t>
  </si>
  <si>
    <t>4.3:1470</t>
  </si>
  <si>
    <t>4.2:1470</t>
  </si>
  <si>
    <t>4.1:1470</t>
  </si>
  <si>
    <t>4.0:1470</t>
  </si>
  <si>
    <t>3.9:1470</t>
  </si>
  <si>
    <t>3.8:1470</t>
  </si>
  <si>
    <t>3.7:1470</t>
  </si>
  <si>
    <t>3.6:1470</t>
  </si>
  <si>
    <t>3.5:1470</t>
  </si>
  <si>
    <t>3.4:1470</t>
  </si>
  <si>
    <t>3.3:1470</t>
  </si>
  <si>
    <t>3.2:1470</t>
  </si>
  <si>
    <t>3.1:1470</t>
  </si>
  <si>
    <t>3.0:1470</t>
  </si>
  <si>
    <t>2.9:1470</t>
  </si>
  <si>
    <t>2.8:1470</t>
  </si>
  <si>
    <t>2.7:1470</t>
  </si>
  <si>
    <t>2.6:1470</t>
  </si>
  <si>
    <t>2.5:1470</t>
  </si>
  <si>
    <t>2.4:1470</t>
  </si>
  <si>
    <t>2.3:1470</t>
  </si>
  <si>
    <t>2.2:1470</t>
  </si>
  <si>
    <t>2.1:1470</t>
  </si>
  <si>
    <t>2.0:1470</t>
  </si>
  <si>
    <t>1.9:1470</t>
  </si>
  <si>
    <t>1.8:1470</t>
  </si>
  <si>
    <t>1.7:1470</t>
  </si>
  <si>
    <t>1.6:1470</t>
  </si>
  <si>
    <t>1.5:1470</t>
  </si>
  <si>
    <t>4.3:1480</t>
  </si>
  <si>
    <t>4.2:1480</t>
  </si>
  <si>
    <t>4.1:1480</t>
  </si>
  <si>
    <t>4.0:1480</t>
  </si>
  <si>
    <t>3.9:1480</t>
  </si>
  <si>
    <t>3.8:1480</t>
  </si>
  <si>
    <t>3.7:1480</t>
  </si>
  <si>
    <t>3.6:1480</t>
  </si>
  <si>
    <t>3.5:1480</t>
  </si>
  <si>
    <t>3.4:1480</t>
  </si>
  <si>
    <t>3.3:1480</t>
  </si>
  <si>
    <t>3.2:1480</t>
  </si>
  <si>
    <t>3.1:1480</t>
  </si>
  <si>
    <t>3.0:1480</t>
  </si>
  <si>
    <t>2.9:1480</t>
  </si>
  <si>
    <t>2.8:1480</t>
  </si>
  <si>
    <t>2.7:1480</t>
  </si>
  <si>
    <t>2.6:1480</t>
  </si>
  <si>
    <t>2.5:1480</t>
  </si>
  <si>
    <t>2.4:1480</t>
  </si>
  <si>
    <t>2.3:1480</t>
  </si>
  <si>
    <t>2.2:1480</t>
  </si>
  <si>
    <t>2.1:1480</t>
  </si>
  <si>
    <t>2.0:1480</t>
  </si>
  <si>
    <t>1.9:1480</t>
  </si>
  <si>
    <t>1.8:1480</t>
  </si>
  <si>
    <t>1.7:1480</t>
  </si>
  <si>
    <t>1.6:1480</t>
  </si>
  <si>
    <t>1.5:1480</t>
  </si>
  <si>
    <t>4.3:1490</t>
  </si>
  <si>
    <t>4.2:1490</t>
  </si>
  <si>
    <t>4.1:1490</t>
  </si>
  <si>
    <t>4.0:1490</t>
  </si>
  <si>
    <t>3.9:1490</t>
  </si>
  <si>
    <t>3.8:1490</t>
  </si>
  <si>
    <t>3.7:1490</t>
  </si>
  <si>
    <t>3.6:1490</t>
  </si>
  <si>
    <t>3.5:1490</t>
  </si>
  <si>
    <t>3.4:1490</t>
  </si>
  <si>
    <t>3.3:1490</t>
  </si>
  <si>
    <t>3.2:1490</t>
  </si>
  <si>
    <t>3.1:1490</t>
  </si>
  <si>
    <t>3.0:1490</t>
  </si>
  <si>
    <t>2.9:1490</t>
  </si>
  <si>
    <t>2.8:1490</t>
  </si>
  <si>
    <t>2.7:1490</t>
  </si>
  <si>
    <t>2.6:1490</t>
  </si>
  <si>
    <t>2.5:1490</t>
  </si>
  <si>
    <t>2.4:1490</t>
  </si>
  <si>
    <t>2.3:1490</t>
  </si>
  <si>
    <t>2.2:1490</t>
  </si>
  <si>
    <t>2.1:1490</t>
  </si>
  <si>
    <t>2.0:1490</t>
  </si>
  <si>
    <t>1.9:1490</t>
  </si>
  <si>
    <t>1.8:1490</t>
  </si>
  <si>
    <t>1.7:1490</t>
  </si>
  <si>
    <t>1.6:1490</t>
  </si>
  <si>
    <t>1.5:1490</t>
  </si>
  <si>
    <t>4.3:1500</t>
  </si>
  <si>
    <t>4.2:1500</t>
  </si>
  <si>
    <t>4.1:1500</t>
  </si>
  <si>
    <t>4.0:1500</t>
  </si>
  <si>
    <t>3.9:1500</t>
  </si>
  <si>
    <t>3.8:1500</t>
  </si>
  <si>
    <t>3.7:1500</t>
  </si>
  <si>
    <t>3.6:1500</t>
  </si>
  <si>
    <t>3.5:1500</t>
  </si>
  <si>
    <t>3.4:1500</t>
  </si>
  <si>
    <t>3.3:1500</t>
  </si>
  <si>
    <t>3.2:1500</t>
  </si>
  <si>
    <t>3.1:1500</t>
  </si>
  <si>
    <t>3.0:1500</t>
  </si>
  <si>
    <t>2.9:1500</t>
  </si>
  <si>
    <t>2.8:1500</t>
  </si>
  <si>
    <t>2.7:1500</t>
  </si>
  <si>
    <t>2.6:1500</t>
  </si>
  <si>
    <t>2.5:1500</t>
  </si>
  <si>
    <t>2.4:1500</t>
  </si>
  <si>
    <t>2.3:1500</t>
  </si>
  <si>
    <t>2.2:1500</t>
  </si>
  <si>
    <t>2.1:1500</t>
  </si>
  <si>
    <t>2.0:1500</t>
  </si>
  <si>
    <t>1.9:1500</t>
  </si>
  <si>
    <t>1.8:1500</t>
  </si>
  <si>
    <t>1.7:1500</t>
  </si>
  <si>
    <t>1.6:1500</t>
  </si>
  <si>
    <t>1.5:1500</t>
  </si>
  <si>
    <t>4.3:1510</t>
  </si>
  <si>
    <t>4.2:1510</t>
  </si>
  <si>
    <t>4.1:1510</t>
  </si>
  <si>
    <t>4.0:1510</t>
  </si>
  <si>
    <t>3.9:1510</t>
  </si>
  <si>
    <t>3.8:1510</t>
  </si>
  <si>
    <t>3.7:1510</t>
  </si>
  <si>
    <t>3.6:1510</t>
  </si>
  <si>
    <t>3.5:1510</t>
  </si>
  <si>
    <t>3.4:1510</t>
  </si>
  <si>
    <t>3.3:1510</t>
  </si>
  <si>
    <t>3.2:1510</t>
  </si>
  <si>
    <t>3.1:1510</t>
  </si>
  <si>
    <t>3.0:1510</t>
  </si>
  <si>
    <t>2.9:1510</t>
  </si>
  <si>
    <t>2.8:1510</t>
  </si>
  <si>
    <t>2.7:1510</t>
  </si>
  <si>
    <t>2.6:1510</t>
  </si>
  <si>
    <t>2.5:1510</t>
  </si>
  <si>
    <t>2.4:1510</t>
  </si>
  <si>
    <t>2.3:1510</t>
  </si>
  <si>
    <t>2.2:1510</t>
  </si>
  <si>
    <t>2.1:1510</t>
  </si>
  <si>
    <t>2.0:1510</t>
  </si>
  <si>
    <t>1.9:1510</t>
  </si>
  <si>
    <t>1.8:1510</t>
  </si>
  <si>
    <t>1.7:1510</t>
  </si>
  <si>
    <t>1.6:1510</t>
  </si>
  <si>
    <t>1.5:1510</t>
  </si>
  <si>
    <t>4.3:1520</t>
  </si>
  <si>
    <t>4.2:1520</t>
  </si>
  <si>
    <t>4.1:1520</t>
  </si>
  <si>
    <t>4.0:1520</t>
  </si>
  <si>
    <t>3.9:1520</t>
  </si>
  <si>
    <t>3.8:1520</t>
  </si>
  <si>
    <t>3.7:1520</t>
  </si>
  <si>
    <t>3.6:1520</t>
  </si>
  <si>
    <t>3.5:1520</t>
  </si>
  <si>
    <t>3.4:1520</t>
  </si>
  <si>
    <t>3.3:1520</t>
  </si>
  <si>
    <t>3.2:1520</t>
  </si>
  <si>
    <t>3.1:1520</t>
  </si>
  <si>
    <t>3.0:1520</t>
  </si>
  <si>
    <t>2.9:1520</t>
  </si>
  <si>
    <t>2.8:1520</t>
  </si>
  <si>
    <t>2.7:1520</t>
  </si>
  <si>
    <t>2.6:1520</t>
  </si>
  <si>
    <t>2.5:1520</t>
  </si>
  <si>
    <t>2.4:1520</t>
  </si>
  <si>
    <t>2.3:1520</t>
  </si>
  <si>
    <t>2.2:1520</t>
  </si>
  <si>
    <t>2.1:1520</t>
  </si>
  <si>
    <t>2.0:1520</t>
  </si>
  <si>
    <t>1.9:1520</t>
  </si>
  <si>
    <t>1.8:1520</t>
  </si>
  <si>
    <t>1.7:1520</t>
  </si>
  <si>
    <t>1.6:1520</t>
  </si>
  <si>
    <t>1.5:1520</t>
  </si>
  <si>
    <t>4.3:1530</t>
  </si>
  <si>
    <t>4.2:1530</t>
  </si>
  <si>
    <t>4.1:1530</t>
  </si>
  <si>
    <t>4.0:1530</t>
  </si>
  <si>
    <t>3.9:1530</t>
  </si>
  <si>
    <t>3.8:1530</t>
  </si>
  <si>
    <t>3.7:1530</t>
  </si>
  <si>
    <t>3.6:1530</t>
  </si>
  <si>
    <t>3.5:1530</t>
  </si>
  <si>
    <t>3.4:1530</t>
  </si>
  <si>
    <t>3.3:1530</t>
  </si>
  <si>
    <t>3.2:1530</t>
  </si>
  <si>
    <t>3.1:1530</t>
  </si>
  <si>
    <t>3.0:1530</t>
  </si>
  <si>
    <t>2.9:1530</t>
  </si>
  <si>
    <t>2.8:1530</t>
  </si>
  <si>
    <t>2.7:1530</t>
  </si>
  <si>
    <t>2.6:1530</t>
  </si>
  <si>
    <t>2.5:1530</t>
  </si>
  <si>
    <t>2.4:1530</t>
  </si>
  <si>
    <t>2.3:1530</t>
  </si>
  <si>
    <t>2.2:1530</t>
  </si>
  <si>
    <t>2.1:1530</t>
  </si>
  <si>
    <t>2.0:1530</t>
  </si>
  <si>
    <t>1.9:1530</t>
  </si>
  <si>
    <t>1.8:1530</t>
  </si>
  <si>
    <t>1.7:1530</t>
  </si>
  <si>
    <t>1.6:1530</t>
  </si>
  <si>
    <t>1.5:1530</t>
  </si>
  <si>
    <t>4.3:1540</t>
  </si>
  <si>
    <t>4.2:1540</t>
  </si>
  <si>
    <t>4.1:1540</t>
  </si>
  <si>
    <t>4.0:1540</t>
  </si>
  <si>
    <t>3.9:1540</t>
  </si>
  <si>
    <t>3.8:1540</t>
  </si>
  <si>
    <t>3.7:1540</t>
  </si>
  <si>
    <t>3.6:1540</t>
  </si>
  <si>
    <t>3.5:1540</t>
  </si>
  <si>
    <t>3.4:1540</t>
  </si>
  <si>
    <t>3.3:1540</t>
  </si>
  <si>
    <t>3.2:1540</t>
  </si>
  <si>
    <t>3.1:1540</t>
  </si>
  <si>
    <t>3.0:1540</t>
  </si>
  <si>
    <t>2.9:1540</t>
  </si>
  <si>
    <t>2.8:1540</t>
  </si>
  <si>
    <t>2.7:1540</t>
  </si>
  <si>
    <t>2.6:1540</t>
  </si>
  <si>
    <t>2.5:1540</t>
  </si>
  <si>
    <t>2.4:1540</t>
  </si>
  <si>
    <t>2.3:1540</t>
  </si>
  <si>
    <t>2.2:1540</t>
  </si>
  <si>
    <t>2.1:1540</t>
  </si>
  <si>
    <t>2.0:1540</t>
  </si>
  <si>
    <t>1.9:1540</t>
  </si>
  <si>
    <t>1.8:1540</t>
  </si>
  <si>
    <t>1.7:1540</t>
  </si>
  <si>
    <t>1.6:1540</t>
  </si>
  <si>
    <t>1.5:1540</t>
  </si>
  <si>
    <t>4.3:1550</t>
  </si>
  <si>
    <t>4.2:1550</t>
  </si>
  <si>
    <t>4.1:1550</t>
  </si>
  <si>
    <t>4.0:1550</t>
  </si>
  <si>
    <t>3.9:1550</t>
  </si>
  <si>
    <t>3.8:1550</t>
  </si>
  <si>
    <t>3.7:1550</t>
  </si>
  <si>
    <t>3.6:1550</t>
  </si>
  <si>
    <t>3.5:1550</t>
  </si>
  <si>
    <t>3.4:1550</t>
  </si>
  <si>
    <t>3.3:1550</t>
  </si>
  <si>
    <t>3.2:1550</t>
  </si>
  <si>
    <t>3.1:1550</t>
  </si>
  <si>
    <t>3.0:1550</t>
  </si>
  <si>
    <t>2.9:1550</t>
  </si>
  <si>
    <t>2.8:1550</t>
  </si>
  <si>
    <t>2.7:1550</t>
  </si>
  <si>
    <t>2.6:1550</t>
  </si>
  <si>
    <t>2.5:1550</t>
  </si>
  <si>
    <t>2.4:1550</t>
  </si>
  <si>
    <t>2.3:1550</t>
  </si>
  <si>
    <t>2.2:1550</t>
  </si>
  <si>
    <t>2.1:1550</t>
  </si>
  <si>
    <t>2.0:1550</t>
  </si>
  <si>
    <t>1.9:1550</t>
  </si>
  <si>
    <t>1.8:1550</t>
  </si>
  <si>
    <t>1.7:1550</t>
  </si>
  <si>
    <t>1.6:1550</t>
  </si>
  <si>
    <t>1.5:1550</t>
  </si>
  <si>
    <t>4.3:1560</t>
  </si>
  <si>
    <t>4.2:1560</t>
  </si>
  <si>
    <t>4.1:1560</t>
  </si>
  <si>
    <t>4.0:1560</t>
  </si>
  <si>
    <t>3.9:1560</t>
  </si>
  <si>
    <t>3.8:1560</t>
  </si>
  <si>
    <t>3.7:1560</t>
  </si>
  <si>
    <t>3.6:1560</t>
  </si>
  <si>
    <t>3.5:1560</t>
  </si>
  <si>
    <t>3.4:1560</t>
  </si>
  <si>
    <t>3.3:1560</t>
  </si>
  <si>
    <t>3.2:1560</t>
  </si>
  <si>
    <t>3.1:1560</t>
  </si>
  <si>
    <t>3.0:1560</t>
  </si>
  <si>
    <t>2.9:1560</t>
  </si>
  <si>
    <t>2.8:1560</t>
  </si>
  <si>
    <t>2.7:1560</t>
  </si>
  <si>
    <t>2.6:1560</t>
  </si>
  <si>
    <t>2.5:1560</t>
  </si>
  <si>
    <t>2.4:1560</t>
  </si>
  <si>
    <t>2.3:1560</t>
  </si>
  <si>
    <t>2.2:1560</t>
  </si>
  <si>
    <t>2.1:1560</t>
  </si>
  <si>
    <t>2.0:1560</t>
  </si>
  <si>
    <t>1.9:1560</t>
  </si>
  <si>
    <t>1.8:1560</t>
  </si>
  <si>
    <t>1.7:1560</t>
  </si>
  <si>
    <t>1.6:1560</t>
  </si>
  <si>
    <t>1.5:1560</t>
  </si>
  <si>
    <t>4.3:1570</t>
  </si>
  <si>
    <t>4.2:1570</t>
  </si>
  <si>
    <t>4.1:1570</t>
  </si>
  <si>
    <t>4.0:1570</t>
  </si>
  <si>
    <t>3.9:1570</t>
  </si>
  <si>
    <t>3.8:1570</t>
  </si>
  <si>
    <t>3.7:1570</t>
  </si>
  <si>
    <t>3.6:1570</t>
  </si>
  <si>
    <t>3.5:1570</t>
  </si>
  <si>
    <t>3.4:1570</t>
  </si>
  <si>
    <t>3.3:1570</t>
  </si>
  <si>
    <t>3.2:1570</t>
  </si>
  <si>
    <t>3.1:1570</t>
  </si>
  <si>
    <t>3.0:1570</t>
  </si>
  <si>
    <t>2.9:1570</t>
  </si>
  <si>
    <t>2.8:1570</t>
  </si>
  <si>
    <t>2.7:1570</t>
  </si>
  <si>
    <t>2.6:1570</t>
  </si>
  <si>
    <t>2.5:1570</t>
  </si>
  <si>
    <t>2.4:1570</t>
  </si>
  <si>
    <t>2.3:1570</t>
  </si>
  <si>
    <t>2.2:1570</t>
  </si>
  <si>
    <t>2.1:1570</t>
  </si>
  <si>
    <t>2.0:1570</t>
  </si>
  <si>
    <t>1.9:1570</t>
  </si>
  <si>
    <t>1.8:1570</t>
  </si>
  <si>
    <t>1.7:1570</t>
  </si>
  <si>
    <t>1.6:1570</t>
  </si>
  <si>
    <t>1.5:1570</t>
  </si>
  <si>
    <t>4.3:1580</t>
  </si>
  <si>
    <t>4.2:1580</t>
  </si>
  <si>
    <t>4.1:1580</t>
  </si>
  <si>
    <t>4.0:1580</t>
  </si>
  <si>
    <t>3.9:1580</t>
  </si>
  <si>
    <t>3.8:1580</t>
  </si>
  <si>
    <t>3.7:1580</t>
  </si>
  <si>
    <t>3.6:1580</t>
  </si>
  <si>
    <t>3.5:1580</t>
  </si>
  <si>
    <t>3.4:1580</t>
  </si>
  <si>
    <t>3.3:1580</t>
  </si>
  <si>
    <t>3.2:1580</t>
  </si>
  <si>
    <t>3.1:1580</t>
  </si>
  <si>
    <t>3.0:1580</t>
  </si>
  <si>
    <t>2.9:1580</t>
  </si>
  <si>
    <t>2.8:1580</t>
  </si>
  <si>
    <t>2.7:1580</t>
  </si>
  <si>
    <t>2.6:1580</t>
  </si>
  <si>
    <t>2.5:1580</t>
  </si>
  <si>
    <t>2.4:1580</t>
  </si>
  <si>
    <t>2.3:1580</t>
  </si>
  <si>
    <t>2.2:1580</t>
  </si>
  <si>
    <t>2.1:1580</t>
  </si>
  <si>
    <t>2.0:1580</t>
  </si>
  <si>
    <t>1.9:1580</t>
  </si>
  <si>
    <t>1.8:1580</t>
  </si>
  <si>
    <t>1.7:1580</t>
  </si>
  <si>
    <t>1.6:1580</t>
  </si>
  <si>
    <t>1.5:1580</t>
  </si>
  <si>
    <t>4.3:1590</t>
  </si>
  <si>
    <t>4.2:1590</t>
  </si>
  <si>
    <t>4.1:1590</t>
  </si>
  <si>
    <t>4.0:1590</t>
  </si>
  <si>
    <t>3.9:1590</t>
  </si>
  <si>
    <t>3.8:1590</t>
  </si>
  <si>
    <t>3.7:1590</t>
  </si>
  <si>
    <t>3.6:1590</t>
  </si>
  <si>
    <t>3.5:1590</t>
  </si>
  <si>
    <t>3.4:1590</t>
  </si>
  <si>
    <t>3.3:1590</t>
  </si>
  <si>
    <t>3.2:1590</t>
  </si>
  <si>
    <t>3.1:1590</t>
  </si>
  <si>
    <t>3.0:1590</t>
  </si>
  <si>
    <t>2.9:1590</t>
  </si>
  <si>
    <t>2.8:1590</t>
  </si>
  <si>
    <t>2.7:1590</t>
  </si>
  <si>
    <t>2.6:1590</t>
  </si>
  <si>
    <t>2.5:1590</t>
  </si>
  <si>
    <t>2.4:1590</t>
  </si>
  <si>
    <t>2.3:1590</t>
  </si>
  <si>
    <t>2.2:1590</t>
  </si>
  <si>
    <t>2.1:1590</t>
  </si>
  <si>
    <t>2.0:1590</t>
  </si>
  <si>
    <t>1.9:1590</t>
  </si>
  <si>
    <t>1.8:1590</t>
  </si>
  <si>
    <t>1.7:1590</t>
  </si>
  <si>
    <t>1.6:1590</t>
  </si>
  <si>
    <t>1.5:1590</t>
  </si>
  <si>
    <t>4.3:1600</t>
  </si>
  <si>
    <t>4.2:1600</t>
  </si>
  <si>
    <t>4.1:1600</t>
  </si>
  <si>
    <t>4.0:1600</t>
  </si>
  <si>
    <t>3.9:1600</t>
  </si>
  <si>
    <t>3.8:1600</t>
  </si>
  <si>
    <t>3.7:1600</t>
  </si>
  <si>
    <t>3.6:1600</t>
  </si>
  <si>
    <t>3.5:1600</t>
  </si>
  <si>
    <t>3.4:1600</t>
  </si>
  <si>
    <t>3.3:1600</t>
  </si>
  <si>
    <t>3.2:1600</t>
  </si>
  <si>
    <t>3.1:1600</t>
  </si>
  <si>
    <t>3.0:1600</t>
  </si>
  <si>
    <t>2.9:1600</t>
  </si>
  <si>
    <t>2.8:1600</t>
  </si>
  <si>
    <t>2.7:1600</t>
  </si>
  <si>
    <t>2.6:1600</t>
  </si>
  <si>
    <t>2.5:1600</t>
  </si>
  <si>
    <t>2.4:1600</t>
  </si>
  <si>
    <t>2.3:1600</t>
  </si>
  <si>
    <t>2.2:1600</t>
  </si>
  <si>
    <t>2.1:1600</t>
  </si>
  <si>
    <t>2.0:1600</t>
  </si>
  <si>
    <t>1.9:1600</t>
  </si>
  <si>
    <t>1.8:1600</t>
  </si>
  <si>
    <t>1.7:1600</t>
  </si>
  <si>
    <t>1.6:1600</t>
  </si>
  <si>
    <t>1.5:1600</t>
  </si>
  <si>
    <t>AA/H_target</t>
  </si>
  <si>
    <t>AA/H_ideal</t>
  </si>
  <si>
    <t>W/A_target</t>
  </si>
  <si>
    <t>W/A_ideal</t>
  </si>
  <si>
    <t>minus1_target</t>
  </si>
  <si>
    <t>minus1_ideal</t>
  </si>
  <si>
    <t>1</t>
  </si>
  <si>
    <t>2</t>
  </si>
  <si>
    <t>3</t>
  </si>
  <si>
    <t>4</t>
  </si>
  <si>
    <t>5+</t>
  </si>
  <si>
    <t>5&lt;</t>
  </si>
  <si>
    <t>6+</t>
  </si>
  <si>
    <t>6&lt;</t>
  </si>
  <si>
    <t>7</t>
  </si>
  <si>
    <t>8</t>
  </si>
  <si>
    <t>9</t>
  </si>
  <si>
    <t>10</t>
  </si>
  <si>
    <t>11</t>
  </si>
  <si>
    <t>Label Reference</t>
  </si>
  <si>
    <t>Label Value</t>
  </si>
  <si>
    <t>Short Value</t>
  </si>
  <si>
    <t>TargetGRLabel</t>
  </si>
  <si>
    <t>Expected</t>
  </si>
  <si>
    <t>IdealGRLabel</t>
  </si>
  <si>
    <t>Ideal</t>
  </si>
  <si>
    <t>BelowTGRLabel</t>
  </si>
  <si>
    <t>Below Expected</t>
  </si>
  <si>
    <t>FarBelowTGRLabel</t>
  </si>
  <si>
    <t>Far Below Expected</t>
  </si>
  <si>
    <t>SureThingLabel</t>
  </si>
  <si>
    <t>SecureLabel</t>
  </si>
  <si>
    <t>SafetyLabel</t>
  </si>
  <si>
    <t>MatchLabel</t>
  </si>
  <si>
    <t>ReachLabel</t>
  </si>
  <si>
    <t>LongshotLabel</t>
  </si>
  <si>
    <t>HailMaryLabel</t>
  </si>
</sst>
</file>

<file path=xl/styles.xml><?xml version="1.0" encoding="utf-8"?>
<styleSheet xmlns="http://schemas.openxmlformats.org/spreadsheetml/2006/main">
  <numFmts count="5">
    <numFmt numFmtId="164" formatCode="#0"/>
    <numFmt numFmtId="165" formatCode="0%"/>
    <numFmt numFmtId="166" formatCode="0.00"/>
    <numFmt numFmtId="167" formatCode="#"/>
    <numFmt numFmtId="168" formatCode="0.0%"/>
  </numFmts>
  <fonts count="9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4D79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C4D79B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94">
    <xf numFmtId="0" fontId="0" fillId="0" borderId="0" xfId="0"/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4" borderId="2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2" fillId="6" borderId="1" xfId="0" applyFont="1" applyFill="1" applyBorder="1" applyAlignment="1">
      <alignment horizontal="center" vertical="top" wrapText="1"/>
    </xf>
    <xf numFmtId="164" fontId="0" fillId="0" borderId="3" xfId="0" applyNumberFormat="1" applyBorder="1"/>
    <xf numFmtId="165" fontId="0" fillId="0" borderId="0" xfId="0" applyNumberFormat="1" applyAlignment="1">
      <alignment horizontal="center"/>
    </xf>
    <xf numFmtId="165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165" fontId="2" fillId="0" borderId="4" xfId="0" applyNumberFormat="1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0" fontId="0" fillId="3" borderId="0" xfId="0" applyFill="1"/>
    <xf numFmtId="0" fontId="3" fillId="0" borderId="0" xfId="0" applyFont="1" applyAlignment="1">
      <alignment horizontal="left"/>
    </xf>
    <xf numFmtId="0" fontId="0" fillId="5" borderId="0" xfId="0" applyFill="1"/>
    <xf numFmtId="0" fontId="0" fillId="5" borderId="3" xfId="0" applyFill="1" applyBorder="1"/>
    <xf numFmtId="0" fontId="2" fillId="2" borderId="3" xfId="0" applyFont="1" applyFill="1" applyBorder="1"/>
    <xf numFmtId="0" fontId="0" fillId="3" borderId="3" xfId="0" applyFill="1" applyBorder="1"/>
    <xf numFmtId="0" fontId="1" fillId="6" borderId="0" xfId="0" applyFont="1" applyFill="1" applyAlignment="1">
      <alignment horizontal="left"/>
    </xf>
    <xf numFmtId="0" fontId="2" fillId="3" borderId="1" xfId="0" applyFont="1" applyFill="1" applyBorder="1"/>
    <xf numFmtId="0" fontId="2" fillId="3" borderId="2" xfId="0" applyFont="1" applyFill="1" applyBorder="1"/>
    <xf numFmtId="0" fontId="1" fillId="4" borderId="0" xfId="0" applyFont="1" applyFill="1" applyAlignment="1">
      <alignment horizontal="left"/>
    </xf>
    <xf numFmtId="0" fontId="2" fillId="4" borderId="0" xfId="0" applyFont="1" applyFill="1"/>
    <xf numFmtId="0" fontId="2" fillId="4" borderId="3" xfId="0" applyFont="1" applyFill="1" applyBorder="1"/>
    <xf numFmtId="0" fontId="1" fillId="0" borderId="0" xfId="0" applyFont="1" applyAlignment="1">
      <alignment horizontal="left"/>
    </xf>
    <xf numFmtId="0" fontId="1" fillId="7" borderId="0" xfId="0" applyFont="1" applyFill="1"/>
    <xf numFmtId="0" fontId="0" fillId="7" borderId="3" xfId="0" applyFill="1" applyBorder="1"/>
    <xf numFmtId="0" fontId="2" fillId="5" borderId="0" xfId="0" applyFont="1" applyFill="1"/>
    <xf numFmtId="0" fontId="2" fillId="3" borderId="1" xfId="0" applyFont="1" applyFill="1" applyBorder="1" applyAlignment="1">
      <alignment horizontal="left" wrapText="1"/>
    </xf>
    <xf numFmtId="164" fontId="2" fillId="0" borderId="1" xfId="0" applyNumberFormat="1" applyFont="1" applyBorder="1" applyAlignment="1">
      <alignment horizontal="left" wrapText="1"/>
    </xf>
    <xf numFmtId="0" fontId="2" fillId="5" borderId="1" xfId="0" applyFont="1" applyFill="1" applyBorder="1" applyAlignment="1">
      <alignment horizontal="left" wrapText="1"/>
    </xf>
    <xf numFmtId="0" fontId="2" fillId="5" borderId="2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vertical="top" wrapText="1"/>
    </xf>
    <xf numFmtId="0" fontId="2" fillId="6" borderId="2" xfId="0" applyFont="1" applyFill="1" applyBorder="1" applyAlignment="1">
      <alignment horizontal="center" vertical="top" wrapText="1"/>
    </xf>
    <xf numFmtId="164" fontId="2" fillId="0" borderId="1" xfId="0" applyNumberFormat="1" applyFont="1" applyBorder="1" applyAlignment="1">
      <alignment horizontal="center" vertical="top" wrapText="1"/>
    </xf>
    <xf numFmtId="164" fontId="2" fillId="0" borderId="2" xfId="0" applyNumberFormat="1" applyFont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2" fillId="7" borderId="1" xfId="0" applyFont="1" applyFill="1" applyBorder="1" applyAlignment="1">
      <alignment horizontal="center" textRotation="90"/>
    </xf>
    <xf numFmtId="0" fontId="2" fillId="7" borderId="2" xfId="0" applyFont="1" applyFill="1" applyBorder="1" applyAlignment="1">
      <alignment horizontal="center" textRotation="90"/>
    </xf>
    <xf numFmtId="0" fontId="2" fillId="4" borderId="1" xfId="0" applyFont="1" applyFill="1" applyBorder="1" applyAlignment="1">
      <alignment horizontal="center" textRotation="90" wrapText="1"/>
    </xf>
    <xf numFmtId="166" fontId="0" fillId="0" borderId="0" xfId="0" applyNumberFormat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4" fillId="0" borderId="0" xfId="0" applyFont="1"/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10" borderId="6" xfId="0" applyFont="1" applyFill="1" applyBorder="1"/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0" fillId="11" borderId="10" xfId="0" applyFill="1" applyBorder="1"/>
    <xf numFmtId="167" fontId="0" fillId="0" borderId="11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10" borderId="11" xfId="0" applyFill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0" fontId="2" fillId="10" borderId="13" xfId="0" applyFont="1" applyFill="1" applyBorder="1"/>
    <xf numFmtId="167" fontId="2" fillId="10" borderId="14" xfId="0" applyNumberFormat="1" applyFont="1" applyFill="1" applyBorder="1" applyAlignment="1">
      <alignment horizontal="center"/>
    </xf>
    <xf numFmtId="0" fontId="0" fillId="10" borderId="15" xfId="0" applyFill="1" applyBorder="1"/>
    <xf numFmtId="0" fontId="0" fillId="0" borderId="16" xfId="0" applyBorder="1"/>
    <xf numFmtId="165" fontId="0" fillId="0" borderId="17" xfId="0" applyNumberFormat="1" applyBorder="1" applyAlignment="1">
      <alignment horizontal="center"/>
    </xf>
    <xf numFmtId="165" fontId="0" fillId="3" borderId="0" xfId="0" applyNumberFormat="1" applyFill="1"/>
    <xf numFmtId="0" fontId="0" fillId="0" borderId="11" xfId="0" applyBorder="1"/>
    <xf numFmtId="0" fontId="0" fillId="0" borderId="18" xfId="0" applyBorder="1"/>
    <xf numFmtId="0" fontId="2" fillId="10" borderId="0" xfId="0" applyFont="1" applyFill="1" applyAlignment="1">
      <alignment wrapText="1"/>
    </xf>
    <xf numFmtId="0" fontId="2" fillId="10" borderId="0" xfId="0" applyFont="1" applyFill="1" applyAlignment="1">
      <alignment horizontal="center" wrapText="1"/>
    </xf>
    <xf numFmtId="0" fontId="6" fillId="10" borderId="0" xfId="0" applyFont="1" applyFill="1" applyAlignment="1">
      <alignment horizontal="center" wrapText="1"/>
    </xf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1" borderId="19" xfId="0" applyFill="1" applyBorder="1"/>
    <xf numFmtId="0" fontId="2" fillId="10" borderId="3" xfId="0" applyFont="1" applyFill="1" applyBorder="1" applyAlignment="1">
      <alignment horizontal="center" wrapText="1"/>
    </xf>
    <xf numFmtId="0" fontId="6" fillId="10" borderId="3" xfId="0" applyFont="1" applyFill="1" applyBorder="1" applyAlignment="1">
      <alignment horizontal="center" wrapText="1"/>
    </xf>
    <xf numFmtId="0" fontId="7" fillId="0" borderId="0" xfId="0" applyFont="1"/>
    <xf numFmtId="0" fontId="2" fillId="10" borderId="13" xfId="0" applyFont="1" applyFill="1" applyBorder="1" applyAlignment="1">
      <alignment horizontal="left" indent="6"/>
    </xf>
    <xf numFmtId="0" fontId="2" fillId="10" borderId="14" xfId="0" applyFont="1" applyFill="1" applyBorder="1" applyAlignment="1">
      <alignment horizontal="center"/>
    </xf>
    <xf numFmtId="0" fontId="2" fillId="10" borderId="15" xfId="0" applyFont="1" applyFill="1" applyBorder="1" applyAlignment="1">
      <alignment horizontal="center"/>
    </xf>
    <xf numFmtId="0" fontId="0" fillId="0" borderId="16" xfId="0" applyBorder="1" applyAlignment="1">
      <alignment horizontal="left" indent="7"/>
    </xf>
    <xf numFmtId="0" fontId="0" fillId="0" borderId="17" xfId="0" applyBorder="1" applyAlignment="1">
      <alignment horizontal="center"/>
    </xf>
    <xf numFmtId="0" fontId="8" fillId="0" borderId="20" xfId="0" applyFont="1" applyBorder="1"/>
    <xf numFmtId="164" fontId="2" fillId="0" borderId="0" xfId="0" applyNumberFormat="1" applyFont="1" applyAlignment="1">
      <alignment horizontal="left"/>
    </xf>
    <xf numFmtId="0" fontId="2" fillId="12" borderId="0" xfId="0" applyFont="1" applyFill="1"/>
    <xf numFmtId="0" fontId="2" fillId="3" borderId="0" xfId="0" applyFont="1" applyFill="1"/>
    <xf numFmtId="0" fontId="2" fillId="2" borderId="0" xfId="0" applyFont="1" applyFill="1"/>
    <xf numFmtId="168" fontId="0" fillId="0" borderId="0" xfId="0" applyNumberFormat="1"/>
    <xf numFmtId="0" fontId="2" fillId="0" borderId="19" xfId="0" applyFont="1" applyBorder="1" applyAlignment="1">
      <alignment horizontal="center" vertical="top"/>
    </xf>
  </cellXfs>
  <cellStyles count="1">
    <cellStyle name="Normal" xfId="0" builtinId="0"/>
  </cellStyles>
  <dxfs count="15">
    <dxf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dashed">
          <color auto="1"/>
        </bottom>
        <vertical/>
        <horizontal/>
      </border>
    </dxf>
    <dxf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5" formatCode="0%"/>
      <border>
        <left/>
        <right/>
        <top/>
        <bottom style="dashed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/>
        <top/>
        <bottom style="dashed">
          <color auto="1"/>
        </bottom>
        <vertical/>
        <horizontal/>
      </border>
    </dxf>
    <dxf>
      <font>
        <b/>
      </font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/>
        <color rgb="FF002060"/>
      </font>
    </dxf>
    <dxf>
      <font>
        <color rgb="FFFF0000"/>
      </font>
      <fill>
        <patternFill>
          <bgColor rgb="FFD9D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95250</xdr:colOff>
      <xdr:row>29</xdr:row>
      <xdr:rowOff>152400</xdr:rowOff>
    </xdr:to>
    <xdr:pic>
      <xdr:nvPicPr>
        <xdr:cNvPr id="2" name="Picture 1" descr="strategy_char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77650" cy="567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75" zoomScaleNormal="75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3"/>
  <sheetViews>
    <sheetView workbookViewId="0"/>
  </sheetViews>
  <sheetFormatPr defaultRowHeight="15"/>
  <cols>
    <col min="1" max="1" width="15.7109375" customWidth="1"/>
    <col min="2" max="2" width="6.85546875" customWidth="1"/>
    <col min="3" max="3" width="6.140625" customWidth="1"/>
    <col min="4" max="4" width="9.28515625" customWidth="1"/>
    <col min="5" max="5" width="7.28515625" style="1" hidden="1" customWidth="1"/>
    <col min="6" max="6" width="16.28515625" customWidth="1"/>
    <col min="7" max="7" width="14.7109375" style="1" hidden="1" customWidth="1"/>
    <col min="8" max="8" width="14.7109375" customWidth="1"/>
    <col min="9" max="9" width="14.7109375" style="1" hidden="1" customWidth="1"/>
    <col min="10" max="10" width="10" customWidth="1"/>
    <col min="11" max="11" width="9.28515625" customWidth="1"/>
    <col min="12" max="12" width="12.28515625" customWidth="1"/>
    <col min="13" max="13" width="9.140625" style="1" hidden="1"/>
    <col min="14" max="16" width="10.140625" style="1" hidden="1" customWidth="1"/>
    <col min="17" max="17" width="7.85546875" customWidth="1"/>
    <col min="18" max="18" width="10.7109375" customWidth="1"/>
    <col min="19" max="19" width="12.85546875" customWidth="1"/>
    <col min="20" max="20" width="11.28515625" customWidth="1"/>
  </cols>
  <sheetData>
    <row r="1" spans="1:20" ht="45" customHeight="1">
      <c r="A1" s="2" t="s">
        <v>0</v>
      </c>
      <c r="B1" s="2" t="s">
        <v>1</v>
      </c>
      <c r="C1" s="2"/>
      <c r="D1" s="3">
        <f>TargetGRLabel&amp;" Grad Rate"</f>
        <v>0</v>
      </c>
      <c r="E1" s="4">
        <f>IdealGRLabel&amp;" Grad Rate"</f>
        <v>0</v>
      </c>
      <c r="F1" s="5">
        <f>"Odds of 1+ Money "&amp;TargetGRLabel&amp;" GR or better"</f>
        <v>0</v>
      </c>
      <c r="G1" s="6">
        <f>"Odds of 1+ Money "&amp;IdealGRLabel&amp;" GR or better"</f>
        <v>0</v>
      </c>
      <c r="H1" s="5">
        <f>"% of kids w/ low money "&amp;LOWER(TargetGRLabel)&amp;" gr+ odds"</f>
        <v>0</v>
      </c>
      <c r="I1" s="6">
        <f>"% of kids w/ low money "&amp;LOWER(IdealGRLabel)&amp;" gr+ odds"</f>
        <v>0</v>
      </c>
      <c r="J1" s="7" t="s">
        <v>2</v>
      </c>
      <c r="K1" s="8" t="s">
        <v>3</v>
      </c>
      <c r="L1" s="8" t="s">
        <v>4</v>
      </c>
      <c r="M1" s="9" t="s">
        <v>5</v>
      </c>
      <c r="N1" s="9" t="s">
        <v>6</v>
      </c>
      <c r="O1" s="9" t="s">
        <v>7</v>
      </c>
      <c r="P1" s="9" t="s">
        <v>8</v>
      </c>
      <c r="Q1" s="4" t="s">
        <v>9</v>
      </c>
      <c r="R1" s="3" t="s">
        <v>10</v>
      </c>
      <c r="S1" s="5">
        <f>"% Money "&amp;TargetGRLabel&amp;" Grad Rate+"</f>
        <v>0</v>
      </c>
      <c r="T1" s="7">
        <f>"% "&amp;TargetGRLabel&amp;" Grad Rate+"</f>
        <v>0</v>
      </c>
    </row>
    <row r="2" spans="1:20">
      <c r="A2" s="10">
        <v>1</v>
      </c>
      <c r="B2" s="1">
        <f>COUNTIF(Strats,A2)</f>
        <v>0</v>
      </c>
      <c r="C2" s="11">
        <f>B2/B13</f>
        <v>0</v>
      </c>
      <c r="D2" s="11">
        <f>IF(B2&gt;0,SUMIF(Strats,A2,StudentTargets)/B2,"")</f>
        <v>0</v>
      </c>
      <c r="E2" s="12">
        <f>IF(B2&gt;0,SUMIF(Strats,A2,ReachStudentTargets)/B2,"")</f>
        <v>0</v>
      </c>
      <c r="F2" s="11">
        <f>IF(B2&gt;0,SUMIF(Strats,A2,MoneyMGRPlus)/B2,"")</f>
        <v>0</v>
      </c>
      <c r="G2" s="12">
        <f>IF(B2&gt;0,SUMIF(Strats,A2,MoneyRGRPlus)/B2,"")</f>
        <v>0</v>
      </c>
      <c r="H2" s="11">
        <f>IF(B2&gt;0,COUNTIFS(Strats,A2,MoneyMGRPlus,"&lt;0.9")/B2,"")</f>
        <v>0</v>
      </c>
      <c r="I2" s="12">
        <f>IF(B2&gt;0,COUNTIFS(Strats,A2,MoneyRGRPlus,"&lt;0.5")/B2,"")</f>
        <v>0</v>
      </c>
      <c r="J2" s="13">
        <f>IF(B2&gt;0,SUMIF(Strats,A2,Apps)/B2,"")</f>
        <v>0</v>
      </c>
      <c r="K2" s="13">
        <f>IF(B2&gt;0,SUMIF(Strats,A2,AppsSubmitted)/B2,"")</f>
        <v>0</v>
      </c>
      <c r="L2" s="12">
        <f>IF(ISNUMBER(J2),K2/J2,"")</f>
        <v>0</v>
      </c>
      <c r="M2" s="11">
        <f>IF(B2&gt;0,SUMIF(Strats,A2,PredP)/B2,"")</f>
        <v>0</v>
      </c>
      <c r="N2" s="11">
        <f>IF(B2&gt;0,SUMIF(Strats,A2,PredM1)/B2,"")</f>
        <v>0</v>
      </c>
      <c r="O2" s="11">
        <f>IF(B2&gt;0,SUMIF(Strats,A2,PredPref)/B2,"")</f>
        <v>0</v>
      </c>
      <c r="P2" s="12">
        <f>IF(B2&gt;0,SUMIF(Strats,A2,PredEqual)/B2,"")</f>
        <v>0</v>
      </c>
      <c r="Q2" s="13">
        <f>IF(B2&gt;0,SUMIF(Strats,A2,AcceptTotal)/B2,"")</f>
        <v>0</v>
      </c>
      <c r="R2" s="11">
        <f>IF(B2&gt;0,COUNTIFS(Strats,A2,AcceptTotal,"&gt;0")/B2,"")</f>
        <v>0</v>
      </c>
      <c r="S2" s="11">
        <f>IF(AND(B2&gt;0,J2&gt;0),(SUMIF(Strats,A2,MoneyMGRApps)+SUMIF(Strats,A2,MoneyRGRApps))/J2/B2,"")</f>
        <v>0</v>
      </c>
      <c r="T2" s="12">
        <f>IF(AND(B2&gt;0,J2&gt;0),(SUMIF(Strats,A2,MatchGRApps)+SUMIF(Strats,A2,ReachGRApps))/J2/B2,"")</f>
        <v>0</v>
      </c>
    </row>
    <row r="3" spans="1:20">
      <c r="A3" s="10">
        <v>2</v>
      </c>
      <c r="B3" s="1">
        <f>COUNTIF(Strats,A3)</f>
        <v>0</v>
      </c>
      <c r="C3" s="11">
        <f>B3/B13</f>
        <v>0</v>
      </c>
      <c r="D3" s="11">
        <f>IF(B3&gt;0,SUMIF(Strats,A3,StudentTargets)/B3,"")</f>
        <v>0</v>
      </c>
      <c r="E3" s="12">
        <f>IF(B3&gt;0,SUMIF(Strats,A3,ReachStudentTargets)/B3,"")</f>
        <v>0</v>
      </c>
      <c r="F3" s="11">
        <f>IF(B3&gt;0,SUMIF(Strats,A3,MoneyMGRPlus)/B3,"")</f>
        <v>0</v>
      </c>
      <c r="G3" s="12">
        <f>IF(B3&gt;0,SUMIF(Strats,A3,MoneyRGRPlus)/B3,"")</f>
        <v>0</v>
      </c>
      <c r="H3" s="11">
        <f>IF(B3&gt;0,COUNTIFS(Strats,A3,MoneyMGRPlus,"&lt;0.9")/B3,"")</f>
        <v>0</v>
      </c>
      <c r="I3" s="12">
        <f>IF(B3&gt;0,COUNTIFS(Strats,A3,MoneyRGRPlus,"&lt;0.5")/B3,"")</f>
        <v>0</v>
      </c>
      <c r="J3" s="13">
        <f>IF(B3&gt;0,SUMIF(Strats,A3,Apps)/B3,"")</f>
        <v>0</v>
      </c>
      <c r="K3" s="13">
        <f>IF(B3&gt;0,SUMIF(Strats,A3,AppsSubmitted)/B3,"")</f>
        <v>0</v>
      </c>
      <c r="L3" s="12">
        <f>IF(ISNUMBER(J3),K3/J3,"")</f>
        <v>0</v>
      </c>
      <c r="M3" s="11">
        <f>IF(B3&gt;0,SUMIF(Strats,A3,PredP)/B3,"")</f>
        <v>0</v>
      </c>
      <c r="N3" s="11">
        <f>IF(B3&gt;0,SUMIF(Strats,A3,PredM1)/B3,"")</f>
        <v>0</v>
      </c>
      <c r="O3" s="11">
        <f>IF(B3&gt;0,SUMIF(Strats,A3,PredPref)/B3,"")</f>
        <v>0</v>
      </c>
      <c r="P3" s="12">
        <f>IF(B3&gt;0,SUMIF(Strats,A3,PredEqual)/B3,"")</f>
        <v>0</v>
      </c>
      <c r="Q3" s="13">
        <f>IF(B3&gt;0,SUMIF(Strats,A3,AcceptTotal)/B3,"")</f>
        <v>0</v>
      </c>
      <c r="R3" s="11">
        <f>IF(B3&gt;0,COUNTIFS(Strats,A3,AcceptTotal,"&gt;0")/B3,"")</f>
        <v>0</v>
      </c>
      <c r="S3" s="11">
        <f>IF(AND(B3&gt;0,J3&gt;0),(SUMIF(Strats,A3,MoneyMGRApps)+SUMIF(Strats,A3,MoneyRGRApps))/J3/B3,"")</f>
        <v>0</v>
      </c>
      <c r="T3" s="12">
        <f>IF(AND(B3&gt;0,J3&gt;0),(SUMIF(Strats,A3,MatchGRApps)+SUMIF(Strats,A3,ReachGRApps))/J3/B3,"")</f>
        <v>0</v>
      </c>
    </row>
    <row r="4" spans="1:20">
      <c r="A4" s="10">
        <v>3</v>
      </c>
      <c r="B4" s="1">
        <f>COUNTIF(Strats,A4)</f>
        <v>0</v>
      </c>
      <c r="C4" s="11">
        <f>B4/B13</f>
        <v>0</v>
      </c>
      <c r="D4" s="11">
        <f>IF(B4&gt;0,SUMIF(Strats,A4,StudentTargets)/B4,"")</f>
        <v>0</v>
      </c>
      <c r="E4" s="12">
        <f>IF(B4&gt;0,SUMIF(Strats,A4,ReachStudentTargets)/B4,"")</f>
        <v>0</v>
      </c>
      <c r="F4" s="11">
        <f>IF(B4&gt;0,SUMIF(Strats,A4,MoneyMGRPlus)/B4,"")</f>
        <v>0</v>
      </c>
      <c r="G4" s="12">
        <f>IF(B4&gt;0,SUMIF(Strats,A4,MoneyRGRPlus)/B4,"")</f>
        <v>0</v>
      </c>
      <c r="H4" s="11">
        <f>IF(B4&gt;0,COUNTIFS(Strats,A4,MoneyMGRPlus,"&lt;0.9")/B4,"")</f>
        <v>0</v>
      </c>
      <c r="I4" s="12">
        <f>IF(B4&gt;0,COUNTIFS(Strats,A4,MoneyRGRPlus,"&lt;0.5")/B4,"")</f>
        <v>0</v>
      </c>
      <c r="J4" s="13">
        <f>IF(B4&gt;0,SUMIF(Strats,A4,Apps)/B4,"")</f>
        <v>0</v>
      </c>
      <c r="K4" s="13">
        <f>IF(B4&gt;0,SUMIF(Strats,A4,AppsSubmitted)/B4,"")</f>
        <v>0</v>
      </c>
      <c r="L4" s="12">
        <f>IF(ISNUMBER(J4),K4/J4,"")</f>
        <v>0</v>
      </c>
      <c r="M4" s="11">
        <f>IF(B4&gt;0,SUMIF(Strats,A4,PredP)/B4,"")</f>
        <v>0</v>
      </c>
      <c r="N4" s="11">
        <f>IF(B4&gt;0,SUMIF(Strats,A4,PredM1)/B4,"")</f>
        <v>0</v>
      </c>
      <c r="O4" s="11">
        <f>IF(B4&gt;0,SUMIF(Strats,A4,PredPref)/B4,"")</f>
        <v>0</v>
      </c>
      <c r="P4" s="12">
        <f>IF(B4&gt;0,SUMIF(Strats,A4,PredEqual)/B4,"")</f>
        <v>0</v>
      </c>
      <c r="Q4" s="13">
        <f>IF(B4&gt;0,SUMIF(Strats,A4,AcceptTotal)/B4,"")</f>
        <v>0</v>
      </c>
      <c r="R4" s="11">
        <f>IF(B4&gt;0,COUNTIFS(Strats,A4,AcceptTotal,"&gt;0")/B4,"")</f>
        <v>0</v>
      </c>
      <c r="S4" s="11">
        <f>IF(AND(B4&gt;0,J4&gt;0),(SUMIF(Strats,A4,MoneyMGRApps)+SUMIF(Strats,A4,MoneyRGRApps))/J4/B4,"")</f>
        <v>0</v>
      </c>
      <c r="T4" s="12">
        <f>IF(AND(B4&gt;0,J4&gt;0),(SUMIF(Strats,A4,MatchGRApps)+SUMIF(Strats,A4,ReachGRApps))/J4/B4,"")</f>
        <v>0</v>
      </c>
    </row>
    <row r="5" spans="1:20">
      <c r="A5" s="10">
        <v>4</v>
      </c>
      <c r="B5" s="1">
        <f>COUNTIF(Strats,A5)</f>
        <v>0</v>
      </c>
      <c r="C5" s="11">
        <f>B5/B13</f>
        <v>0</v>
      </c>
      <c r="D5" s="11">
        <f>IF(B5&gt;0,SUMIF(Strats,A5,StudentTargets)/B5,"")</f>
        <v>0</v>
      </c>
      <c r="E5" s="12">
        <f>IF(B5&gt;0,SUMIF(Strats,A5,ReachStudentTargets)/B5,"")</f>
        <v>0</v>
      </c>
      <c r="F5" s="11">
        <f>IF(B5&gt;0,SUMIF(Strats,A5,MoneyMGRPlus)/B5,"")</f>
        <v>0</v>
      </c>
      <c r="G5" s="12">
        <f>IF(B5&gt;0,SUMIF(Strats,A5,MoneyRGRPlus)/B5,"")</f>
        <v>0</v>
      </c>
      <c r="H5" s="11">
        <f>IF(B5&gt;0,COUNTIFS(Strats,A5,MoneyMGRPlus,"&lt;0.9")/B5,"")</f>
        <v>0</v>
      </c>
      <c r="I5" s="12">
        <f>IF(B5&gt;0,COUNTIFS(Strats,A5,MoneyRGRPlus,"&lt;0.5")/B5,"")</f>
        <v>0</v>
      </c>
      <c r="J5" s="13">
        <f>IF(B5&gt;0,SUMIF(Strats,A5,Apps)/B5,"")</f>
        <v>0</v>
      </c>
      <c r="K5" s="13">
        <f>IF(B5&gt;0,SUMIF(Strats,A5,AppsSubmitted)/B5,"")</f>
        <v>0</v>
      </c>
      <c r="L5" s="12">
        <f>IF(ISNUMBER(J5),K5/J5,"")</f>
        <v>0</v>
      </c>
      <c r="M5" s="11">
        <f>IF(B5&gt;0,SUMIF(Strats,A5,PredP)/B5,"")</f>
        <v>0</v>
      </c>
      <c r="N5" s="11">
        <f>IF(B5&gt;0,SUMIF(Strats,A5,PredM1)/B5,"")</f>
        <v>0</v>
      </c>
      <c r="O5" s="11">
        <f>IF(B5&gt;0,SUMIF(Strats,A5,PredPref)/B5,"")</f>
        <v>0</v>
      </c>
      <c r="P5" s="12">
        <f>IF(B5&gt;0,SUMIF(Strats,A5,PredEqual)/B5,"")</f>
        <v>0</v>
      </c>
      <c r="Q5" s="13">
        <f>IF(B5&gt;0,SUMIF(Strats,A5,AcceptTotal)/B5,"")</f>
        <v>0</v>
      </c>
      <c r="R5" s="11">
        <f>IF(B5&gt;0,COUNTIFS(Strats,A5,AcceptTotal,"&gt;0")/B5,"")</f>
        <v>0</v>
      </c>
      <c r="S5" s="11">
        <f>IF(AND(B5&gt;0,J5&gt;0),(SUMIF(Strats,A5,MoneyMGRApps)+SUMIF(Strats,A5,MoneyRGRApps))/J5/B5,"")</f>
        <v>0</v>
      </c>
      <c r="T5" s="12">
        <f>IF(AND(B5&gt;0,J5&gt;0),(SUMIF(Strats,A5,MatchGRApps)+SUMIF(Strats,A5,ReachGRApps))/J5/B5,"")</f>
        <v>0</v>
      </c>
    </row>
    <row r="6" spans="1:20">
      <c r="A6" s="10">
        <v>5</v>
      </c>
      <c r="B6" s="1">
        <f>COUNTIF(Strats,A6)</f>
        <v>0</v>
      </c>
      <c r="C6" s="11">
        <f>B6/B13</f>
        <v>0</v>
      </c>
      <c r="D6" s="11">
        <f>IF(B6&gt;0,SUMIF(Strats,A6,StudentTargets)/B6,"")</f>
        <v>0</v>
      </c>
      <c r="E6" s="12">
        <f>IF(B6&gt;0,SUMIF(Strats,A6,ReachStudentTargets)/B6,"")</f>
        <v>0</v>
      </c>
      <c r="F6" s="11">
        <f>IF(B6&gt;0,SUMIF(Strats,A6,MoneyMGRPlus)/B6,"")</f>
        <v>0</v>
      </c>
      <c r="G6" s="12">
        <f>IF(B6&gt;0,SUMIF(Strats,A6,MoneyRGRPlus)/B6,"")</f>
        <v>0</v>
      </c>
      <c r="H6" s="11">
        <f>IF(B6&gt;0,COUNTIFS(Strats,A6,MoneyMGRPlus,"&lt;0.9")/B6,"")</f>
        <v>0</v>
      </c>
      <c r="I6" s="12">
        <f>IF(B6&gt;0,COUNTIFS(Strats,A6,MoneyRGRPlus,"&lt;0.5")/B6,"")</f>
        <v>0</v>
      </c>
      <c r="J6" s="13">
        <f>IF(B6&gt;0,SUMIF(Strats,A6,Apps)/B6,"")</f>
        <v>0</v>
      </c>
      <c r="K6" s="13">
        <f>IF(B6&gt;0,SUMIF(Strats,A6,AppsSubmitted)/B6,"")</f>
        <v>0</v>
      </c>
      <c r="L6" s="12">
        <f>IF(ISNUMBER(J6),K6/J6,"")</f>
        <v>0</v>
      </c>
      <c r="M6" s="11">
        <f>IF(B6&gt;0,SUMIF(Strats,A6,PredP)/B6,"")</f>
        <v>0</v>
      </c>
      <c r="N6" s="11">
        <f>IF(B6&gt;0,SUMIF(Strats,A6,PredM1)/B6,"")</f>
        <v>0</v>
      </c>
      <c r="O6" s="11">
        <f>IF(B6&gt;0,SUMIF(Strats,A6,PredPref)/B6,"")</f>
        <v>0</v>
      </c>
      <c r="P6" s="12">
        <f>IF(B6&gt;0,SUMIF(Strats,A6,PredEqual)/B6,"")</f>
        <v>0</v>
      </c>
      <c r="Q6" s="13">
        <f>IF(B6&gt;0,SUMIF(Strats,A6,AcceptTotal)/B6,"")</f>
        <v>0</v>
      </c>
      <c r="R6" s="11">
        <f>IF(B6&gt;0,COUNTIFS(Strats,A6,AcceptTotal,"&gt;0")/B6,"")</f>
        <v>0</v>
      </c>
      <c r="S6" s="11">
        <f>IF(AND(B6&gt;0,J6&gt;0),(SUMIF(Strats,A6,MoneyMGRApps)+SUMIF(Strats,A6,MoneyRGRApps))/J6/B6,"")</f>
        <v>0</v>
      </c>
      <c r="T6" s="12">
        <f>IF(AND(B6&gt;0,J6&gt;0),(SUMIF(Strats,A6,MatchGRApps)+SUMIF(Strats,A6,ReachGRApps))/J6/B6,"")</f>
        <v>0</v>
      </c>
    </row>
    <row r="7" spans="1:20">
      <c r="A7" s="10">
        <v>6</v>
      </c>
      <c r="B7" s="1">
        <f>COUNTIF(Strats,A7)</f>
        <v>0</v>
      </c>
      <c r="C7" s="11">
        <f>B7/B13</f>
        <v>0</v>
      </c>
      <c r="D7" s="11">
        <f>IF(B7&gt;0,SUMIF(Strats,A7,StudentTargets)/B7,"")</f>
        <v>0</v>
      </c>
      <c r="E7" s="12">
        <f>IF(B7&gt;0,SUMIF(Strats,A7,ReachStudentTargets)/B7,"")</f>
        <v>0</v>
      </c>
      <c r="F7" s="11">
        <f>IF(B7&gt;0,SUMIF(Strats,A7,MoneyMGRPlus)/B7,"")</f>
        <v>0</v>
      </c>
      <c r="G7" s="12">
        <f>IF(B7&gt;0,SUMIF(Strats,A7,MoneyRGRPlus)/B7,"")</f>
        <v>0</v>
      </c>
      <c r="H7" s="11">
        <f>IF(B7&gt;0,COUNTIFS(Strats,A7,MoneyMGRPlus,"&lt;0.9")/B7,"")</f>
        <v>0</v>
      </c>
      <c r="I7" s="12">
        <f>IF(B7&gt;0,COUNTIFS(Strats,A7,MoneyRGRPlus,"&lt;0.5")/B7,"")</f>
        <v>0</v>
      </c>
      <c r="J7" s="13">
        <f>IF(B7&gt;0,SUMIF(Strats,A7,Apps)/B7,"")</f>
        <v>0</v>
      </c>
      <c r="K7" s="13">
        <f>IF(B7&gt;0,SUMIF(Strats,A7,AppsSubmitted)/B7,"")</f>
        <v>0</v>
      </c>
      <c r="L7" s="12">
        <f>IF(ISNUMBER(J7),K7/J7,"")</f>
        <v>0</v>
      </c>
      <c r="M7" s="11">
        <f>IF(B7&gt;0,SUMIF(Strats,A7,PredP)/B7,"")</f>
        <v>0</v>
      </c>
      <c r="N7" s="11">
        <f>IF(B7&gt;0,SUMIF(Strats,A7,PredM1)/B7,"")</f>
        <v>0</v>
      </c>
      <c r="O7" s="11">
        <f>IF(B7&gt;0,SUMIF(Strats,A7,PredPref)/B7,"")</f>
        <v>0</v>
      </c>
      <c r="P7" s="12">
        <f>IF(B7&gt;0,SUMIF(Strats,A7,PredEqual)/B7,"")</f>
        <v>0</v>
      </c>
      <c r="Q7" s="13">
        <f>IF(B7&gt;0,SUMIF(Strats,A7,AcceptTotal)/B7,"")</f>
        <v>0</v>
      </c>
      <c r="R7" s="11">
        <f>IF(B7&gt;0,COUNTIFS(Strats,A7,AcceptTotal,"&gt;0")/B7,"")</f>
        <v>0</v>
      </c>
      <c r="S7" s="11">
        <f>IF(AND(B7&gt;0,J7&gt;0),(SUMIF(Strats,A7,MoneyMGRApps)+SUMIF(Strats,A7,MoneyRGRApps))/J7/B7,"")</f>
        <v>0</v>
      </c>
      <c r="T7" s="12">
        <f>IF(AND(B7&gt;0,J7&gt;0),(SUMIF(Strats,A7,MatchGRApps)+SUMIF(Strats,A7,ReachGRApps))/J7/B7,"")</f>
        <v>0</v>
      </c>
    </row>
    <row r="8" spans="1:20">
      <c r="A8" s="10">
        <v>7</v>
      </c>
      <c r="B8" s="1">
        <f>COUNTIF(Strats,A8)</f>
        <v>0</v>
      </c>
      <c r="C8" s="11">
        <f>B8/B13</f>
        <v>0</v>
      </c>
      <c r="D8" s="11">
        <f>IF(B8&gt;0,SUMIF(Strats,A8,StudentTargets)/B8,"")</f>
        <v>0</v>
      </c>
      <c r="E8" s="12">
        <f>IF(B8&gt;0,SUMIF(Strats,A8,ReachStudentTargets)/B8,"")</f>
        <v>0</v>
      </c>
      <c r="F8" s="11">
        <f>IF(B8&gt;0,SUMIF(Strats,A8,MoneyMGRPlus)/B8,"")</f>
        <v>0</v>
      </c>
      <c r="G8" s="12">
        <f>IF(B8&gt;0,SUMIF(Strats,A8,MoneyRGRPlus)/B8,"")</f>
        <v>0</v>
      </c>
      <c r="H8" s="11">
        <f>IF(B8&gt;0,COUNTIFS(Strats,A8,MoneyMGRPlus,"&lt;0.9")/B8,"")</f>
        <v>0</v>
      </c>
      <c r="I8" s="12">
        <f>IF(B8&gt;0,COUNTIFS(Strats,A8,MoneyRGRPlus,"&lt;0.5")/B8,"")</f>
        <v>0</v>
      </c>
      <c r="J8" s="13">
        <f>IF(B8&gt;0,SUMIF(Strats,A8,Apps)/B8,"")</f>
        <v>0</v>
      </c>
      <c r="K8" s="13">
        <f>IF(B8&gt;0,SUMIF(Strats,A8,AppsSubmitted)/B8,"")</f>
        <v>0</v>
      </c>
      <c r="L8" s="12">
        <f>IF(ISNUMBER(J8),K8/J8,"")</f>
        <v>0</v>
      </c>
      <c r="M8" s="11">
        <f>IF(B8&gt;0,SUMIF(Strats,A8,PredP)/B8,"")</f>
        <v>0</v>
      </c>
      <c r="N8" s="11">
        <f>IF(B8&gt;0,SUMIF(Strats,A8,PredM1)/B8,"")</f>
        <v>0</v>
      </c>
      <c r="O8" s="11">
        <f>IF(B8&gt;0,SUMIF(Strats,A8,PredPref)/B8,"")</f>
        <v>0</v>
      </c>
      <c r="P8" s="12">
        <f>IF(B8&gt;0,SUMIF(Strats,A8,PredEqual)/B8,"")</f>
        <v>0</v>
      </c>
      <c r="Q8" s="13">
        <f>IF(B8&gt;0,SUMIF(Strats,A8,AcceptTotal)/B8,"")</f>
        <v>0</v>
      </c>
      <c r="R8" s="11">
        <f>IF(B8&gt;0,COUNTIFS(Strats,A8,AcceptTotal,"&gt;0")/B8,"")</f>
        <v>0</v>
      </c>
      <c r="S8" s="11">
        <f>IF(AND(B8&gt;0,J8&gt;0),(SUMIF(Strats,A8,MoneyMGRApps)+SUMIF(Strats,A8,MoneyRGRApps))/J8/B8,"")</f>
        <v>0</v>
      </c>
      <c r="T8" s="12">
        <f>IF(AND(B8&gt;0,J8&gt;0),(SUMIF(Strats,A8,MatchGRApps)+SUMIF(Strats,A8,ReachGRApps))/J8/B8,"")</f>
        <v>0</v>
      </c>
    </row>
    <row r="9" spans="1:20">
      <c r="A9" s="10">
        <v>8</v>
      </c>
      <c r="B9" s="1">
        <f>COUNTIF(Strats,A9)</f>
        <v>0</v>
      </c>
      <c r="C9" s="11">
        <f>B9/B13</f>
        <v>0</v>
      </c>
      <c r="D9" s="11">
        <f>IF(B9&gt;0,SUMIF(Strats,A9,StudentTargets)/B9,"")</f>
        <v>0</v>
      </c>
      <c r="E9" s="12">
        <f>IF(B9&gt;0,SUMIF(Strats,A9,ReachStudentTargets)/B9,"")</f>
        <v>0</v>
      </c>
      <c r="F9" s="11">
        <f>IF(B9&gt;0,SUMIF(Strats,A9,MoneyMGRPlus)/B9,"")</f>
        <v>0</v>
      </c>
      <c r="G9" s="12">
        <f>IF(B9&gt;0,SUMIF(Strats,A9,MoneyRGRPlus)/B9,"")</f>
        <v>0</v>
      </c>
      <c r="H9" s="11">
        <f>IF(B9&gt;0,COUNTIFS(Strats,A9,MoneyMGRPlus,"&lt;0.9")/B9,"")</f>
        <v>0</v>
      </c>
      <c r="I9" s="12">
        <f>IF(B9&gt;0,COUNTIFS(Strats,A9,MoneyRGRPlus,"&lt;0.5")/B9,"")</f>
        <v>0</v>
      </c>
      <c r="J9" s="13">
        <f>IF(B9&gt;0,SUMIF(Strats,A9,Apps)/B9,"")</f>
        <v>0</v>
      </c>
      <c r="K9" s="13">
        <f>IF(B9&gt;0,SUMIF(Strats,A9,AppsSubmitted)/B9,"")</f>
        <v>0</v>
      </c>
      <c r="L9" s="12">
        <f>IF(ISNUMBER(J9),K9/J9,"")</f>
        <v>0</v>
      </c>
      <c r="M9" s="11">
        <f>IF(B9&gt;0,SUMIF(Strats,A9,PredP)/B9,"")</f>
        <v>0</v>
      </c>
      <c r="N9" s="11">
        <f>IF(B9&gt;0,SUMIF(Strats,A9,PredM1)/B9,"")</f>
        <v>0</v>
      </c>
      <c r="O9" s="11">
        <f>IF(B9&gt;0,SUMIF(Strats,A9,PredPref)/B9,"")</f>
        <v>0</v>
      </c>
      <c r="P9" s="12">
        <f>IF(B9&gt;0,SUMIF(Strats,A9,PredEqual)/B9,"")</f>
        <v>0</v>
      </c>
      <c r="Q9" s="13">
        <f>IF(B9&gt;0,SUMIF(Strats,A9,AcceptTotal)/B9,"")</f>
        <v>0</v>
      </c>
      <c r="R9" s="11">
        <f>IF(B9&gt;0,COUNTIFS(Strats,A9,AcceptTotal,"&gt;0")/B9,"")</f>
        <v>0</v>
      </c>
      <c r="S9" s="11">
        <f>IF(AND(B9&gt;0,J9&gt;0),(SUMIF(Strats,A9,MoneyMGRApps)+SUMIF(Strats,A9,MoneyRGRApps))/J9/B9,"")</f>
        <v>0</v>
      </c>
      <c r="T9" s="12">
        <f>IF(AND(B9&gt;0,J9&gt;0),(SUMIF(Strats,A9,MatchGRApps)+SUMIF(Strats,A9,ReachGRApps))/J9/B9,"")</f>
        <v>0</v>
      </c>
    </row>
    <row r="10" spans="1:20">
      <c r="A10" s="10">
        <v>9</v>
      </c>
      <c r="B10" s="1">
        <f>COUNTIF(Strats,A10)</f>
        <v>0</v>
      </c>
      <c r="C10" s="11">
        <f>B10/B13</f>
        <v>0</v>
      </c>
      <c r="D10" s="11">
        <f>IF(B10&gt;0,SUMIF(Strats,A10,StudentTargets)/B10,"")</f>
        <v>0</v>
      </c>
      <c r="E10" s="12">
        <f>IF(B10&gt;0,SUMIF(Strats,A10,ReachStudentTargets)/B10,"")</f>
        <v>0</v>
      </c>
      <c r="F10" s="11">
        <f>IF(B10&gt;0,SUMIF(Strats,A10,MoneyMGRPlus)/B10,"")</f>
        <v>0</v>
      </c>
      <c r="G10" s="12">
        <f>IF(B10&gt;0,SUMIF(Strats,A10,MoneyRGRPlus)/B10,"")</f>
        <v>0</v>
      </c>
      <c r="H10" s="11">
        <f>IF(B10&gt;0,COUNTIFS(Strats,A10,MoneyMGRPlus,"&lt;0.9")/B10,"")</f>
        <v>0</v>
      </c>
      <c r="I10" s="12">
        <f>IF(B10&gt;0,COUNTIFS(Strats,A10,MoneyRGRPlus,"&lt;0.5")/B10,"")</f>
        <v>0</v>
      </c>
      <c r="J10" s="13">
        <f>IF(B10&gt;0,SUMIF(Strats,A10,Apps)/B10,"")</f>
        <v>0</v>
      </c>
      <c r="K10" s="13">
        <f>IF(B10&gt;0,SUMIF(Strats,A10,AppsSubmitted)/B10,"")</f>
        <v>0</v>
      </c>
      <c r="L10" s="12">
        <f>IF(ISNUMBER(J10),K10/J10,"")</f>
        <v>0</v>
      </c>
      <c r="M10" s="11">
        <f>IF(B10&gt;0,SUMIF(Strats,A10,PredP)/B10,"")</f>
        <v>0</v>
      </c>
      <c r="N10" s="11">
        <f>IF(B10&gt;0,SUMIF(Strats,A10,PredM1)/B10,"")</f>
        <v>0</v>
      </c>
      <c r="O10" s="11">
        <f>IF(B10&gt;0,SUMIF(Strats,A10,PredPref)/B10,"")</f>
        <v>0</v>
      </c>
      <c r="P10" s="12">
        <f>IF(B10&gt;0,SUMIF(Strats,A10,PredEqual)/B10,"")</f>
        <v>0</v>
      </c>
      <c r="Q10" s="13">
        <f>IF(B10&gt;0,SUMIF(Strats,A10,AcceptTotal)/B10,"")</f>
        <v>0</v>
      </c>
      <c r="R10" s="11">
        <f>IF(B10&gt;0,COUNTIFS(Strats,A10,AcceptTotal,"&gt;0")/B10,"")</f>
        <v>0</v>
      </c>
      <c r="S10" s="11">
        <f>IF(AND(B10&gt;0,J10&gt;0),(SUMIF(Strats,A10,MoneyMGRApps)+SUMIF(Strats,A10,MoneyRGRApps))/J10/B10,"")</f>
        <v>0</v>
      </c>
      <c r="T10" s="12">
        <f>IF(AND(B10&gt;0,J10&gt;0),(SUMIF(Strats,A10,MatchGRApps)+SUMIF(Strats,A10,ReachGRApps))/J10/B10,"")</f>
        <v>0</v>
      </c>
    </row>
    <row r="11" spans="1:20">
      <c r="A11" s="10">
        <v>10</v>
      </c>
      <c r="B11" s="1">
        <f>COUNTIF(Strats,A11)</f>
        <v>0</v>
      </c>
      <c r="C11" s="11">
        <f>B11/B13</f>
        <v>0</v>
      </c>
      <c r="D11" s="11">
        <f>IF(B11&gt;0,SUMIF(Strats,A11,StudentTargets)/B11,"")</f>
        <v>0</v>
      </c>
      <c r="E11" s="12">
        <f>IF(B11&gt;0,SUMIF(Strats,A11,ReachStudentTargets)/B11,"")</f>
        <v>0</v>
      </c>
      <c r="F11" s="11">
        <f>IF(B11&gt;0,SUMIF(Strats,A11,MoneyMGRPlus)/B11,"")</f>
        <v>0</v>
      </c>
      <c r="G11" s="12">
        <f>IF(B11&gt;0,SUMIF(Strats,A11,MoneyRGRPlus)/B11,"")</f>
        <v>0</v>
      </c>
      <c r="H11" s="11">
        <f>IF(B11&gt;0,COUNTIFS(Strats,A11,MoneyMGRPlus,"&lt;0.9")/B11,"")</f>
        <v>0</v>
      </c>
      <c r="I11" s="12">
        <f>IF(B11&gt;0,COUNTIFS(Strats,A11,MoneyRGRPlus,"&lt;0.5")/B11,"")</f>
        <v>0</v>
      </c>
      <c r="J11" s="13">
        <f>IF(B11&gt;0,SUMIF(Strats,A11,Apps)/B11,"")</f>
        <v>0</v>
      </c>
      <c r="K11" s="13">
        <f>IF(B11&gt;0,SUMIF(Strats,A11,AppsSubmitted)/B11,"")</f>
        <v>0</v>
      </c>
      <c r="L11" s="12">
        <f>IF(ISNUMBER(J11),K11/J11,"")</f>
        <v>0</v>
      </c>
      <c r="M11" s="11">
        <f>IF(B11&gt;0,SUMIF(Strats,A11,PredP)/B11,"")</f>
        <v>0</v>
      </c>
      <c r="N11" s="11">
        <f>IF(B11&gt;0,SUMIF(Strats,A11,PredM1)/B11,"")</f>
        <v>0</v>
      </c>
      <c r="O11" s="11">
        <f>IF(B11&gt;0,SUMIF(Strats,A11,PredPref)/B11,"")</f>
        <v>0</v>
      </c>
      <c r="P11" s="12">
        <f>IF(B11&gt;0,SUMIF(Strats,A11,PredEqual)/B11,"")</f>
        <v>0</v>
      </c>
      <c r="Q11" s="13">
        <f>IF(B11&gt;0,SUMIF(Strats,A11,AcceptTotal)/B11,"")</f>
        <v>0</v>
      </c>
      <c r="R11" s="11">
        <f>IF(B11&gt;0,COUNTIFS(Strats,A11,AcceptTotal,"&gt;0")/B11,"")</f>
        <v>0</v>
      </c>
      <c r="S11" s="11">
        <f>IF(AND(B11&gt;0,J11&gt;0),(SUMIF(Strats,A11,MoneyMGRApps)+SUMIF(Strats,A11,MoneyRGRApps))/J11/B11,"")</f>
        <v>0</v>
      </c>
      <c r="T11" s="12">
        <f>IF(AND(B11&gt;0,J11&gt;0),(SUMIF(Strats,A11,MatchGRApps)+SUMIF(Strats,A11,ReachGRApps))/J11/B11,"")</f>
        <v>0</v>
      </c>
    </row>
    <row r="12" spans="1:20">
      <c r="A12" s="10">
        <v>11</v>
      </c>
      <c r="B12" s="1">
        <f>COUNTIF(Strats,A12)</f>
        <v>0</v>
      </c>
      <c r="C12" s="11">
        <f>B12/B13</f>
        <v>0</v>
      </c>
      <c r="D12" s="11">
        <f>IF(B12&gt;0,SUMIF(Strats,A12,StudentTargets)/B12,"")</f>
        <v>0</v>
      </c>
      <c r="E12" s="12">
        <f>IF(B12&gt;0,SUMIF(Strats,A12,ReachStudentTargets)/B12,"")</f>
        <v>0</v>
      </c>
      <c r="F12" s="11">
        <f>IF(B12&gt;0,SUMIF(Strats,A12,MoneyMGRPlus)/B12,"")</f>
        <v>0</v>
      </c>
      <c r="G12" s="12">
        <f>IF(B12&gt;0,SUMIF(Strats,A12,MoneyRGRPlus)/B12,"")</f>
        <v>0</v>
      </c>
      <c r="H12" s="11">
        <f>IF(B12&gt;0,COUNTIFS(Strats,A12,MoneyMGRPlus,"&lt;0.9")/B12,"")</f>
        <v>0</v>
      </c>
      <c r="I12" s="12">
        <f>IF(B12&gt;0,COUNTIFS(Strats,A12,MoneyRGRPlus,"&lt;0.5")/B12,"")</f>
        <v>0</v>
      </c>
      <c r="J12" s="13">
        <f>IF(B12&gt;0,SUMIF(Strats,A12,Apps)/B12,"")</f>
        <v>0</v>
      </c>
      <c r="K12" s="13">
        <f>IF(B12&gt;0,SUMIF(Strats,A12,AppsSubmitted)/B12,"")</f>
        <v>0</v>
      </c>
      <c r="L12" s="12">
        <f>IF(ISNUMBER(J12),K12/J12,"")</f>
        <v>0</v>
      </c>
      <c r="M12" s="11">
        <f>IF(B12&gt;0,SUMIF(Strats,A12,PredP)/B12,"")</f>
        <v>0</v>
      </c>
      <c r="N12" s="11">
        <f>IF(B12&gt;0,SUMIF(Strats,A12,PredM1)/B12,"")</f>
        <v>0</v>
      </c>
      <c r="O12" s="11">
        <f>IF(B12&gt;0,SUMIF(Strats,A12,PredPref)/B12,"")</f>
        <v>0</v>
      </c>
      <c r="P12" s="12">
        <f>IF(B12&gt;0,SUMIF(Strats,A12,PredEqual)/B12,"")</f>
        <v>0</v>
      </c>
      <c r="Q12" s="13">
        <f>IF(B12&gt;0,SUMIF(Strats,A12,AcceptTotal)/B12,"")</f>
        <v>0</v>
      </c>
      <c r="R12" s="11">
        <f>IF(B12&gt;0,COUNTIFS(Strats,A12,AcceptTotal,"&gt;0")/B12,"")</f>
        <v>0</v>
      </c>
      <c r="S12" s="11">
        <f>IF(AND(B12&gt;0,J12&gt;0),(SUMIF(Strats,A12,MoneyMGRApps)+SUMIF(Strats,A12,MoneyRGRApps))/J12/B12,"")</f>
        <v>0</v>
      </c>
      <c r="T12" s="12">
        <f>IF(AND(B12&gt;0,J12&gt;0),(SUMIF(Strats,A12,MatchGRApps)+SUMIF(Strats,A12,ReachGRApps))/J12/B12,"")</f>
        <v>0</v>
      </c>
    </row>
    <row r="13" spans="1:20">
      <c r="A13" s="10"/>
      <c r="B13" s="14">
        <f>SUM(B2:B12)</f>
        <v>0</v>
      </c>
      <c r="C13" s="15">
        <f>B13/B13</f>
        <v>0</v>
      </c>
      <c r="D13" s="15">
        <f>SUMPRODUCT(B2:B12,D2:D12)/B13</f>
        <v>0</v>
      </c>
      <c r="E13" s="16">
        <f>SUMPRODUCT(B2:B12,E2:E12)/B13</f>
        <v>0</v>
      </c>
      <c r="F13" s="15">
        <f>SUMPRODUCT(B2:B12,F2:F12)/B13</f>
        <v>0</v>
      </c>
      <c r="G13" s="16">
        <f>SUMPRODUCT(B2:B12,G2:G12)/B13</f>
        <v>0</v>
      </c>
      <c r="H13" s="15">
        <f>SUMPRODUCT(B2:B12,H2:H12)/B13</f>
        <v>0</v>
      </c>
      <c r="I13" s="16">
        <f>SUMPRODUCT(B2:B12,I2:I12)/B13</f>
        <v>0</v>
      </c>
      <c r="J13" s="17">
        <f>SUM(Apps)/B13</f>
        <v>0</v>
      </c>
      <c r="K13" s="17">
        <f>SUM(AppsSubmitted)/B13</f>
        <v>0</v>
      </c>
      <c r="L13" s="16">
        <f>IF(ISNUMBER(J13),K13/J13,"")</f>
        <v>0</v>
      </c>
      <c r="M13" s="15">
        <f>SUMPRODUCT(B2:B12,M2:M12)/B13</f>
        <v>0</v>
      </c>
      <c r="N13" s="15">
        <f>SUMPRODUCT(B2:B12,N2:N12)/B13</f>
        <v>0</v>
      </c>
      <c r="O13" s="15">
        <f>SUMPRODUCT(B2:B12,O2:O12)/B13</f>
        <v>0</v>
      </c>
      <c r="P13" s="16">
        <f>SUMPRODUCT(B2:B12,P2:P12)/B13</f>
        <v>0</v>
      </c>
      <c r="Q13" s="17">
        <f>SUM(AcceptTotal)/B13</f>
        <v>0</v>
      </c>
      <c r="R13" s="15">
        <f>COUNTIF(AcceptTotal,"&gt;0")/B13</f>
        <v>0</v>
      </c>
      <c r="S13" s="15">
        <f>SUMPRODUCT(B2:B12,S2:S12)/B13</f>
        <v>0</v>
      </c>
      <c r="T13" s="16">
        <f>SUMPRODUCT(B2:B12,T2:T12)/B13</f>
        <v>0</v>
      </c>
    </row>
  </sheetData>
  <conditionalFormatting sqref="A2:A12">
    <cfRule type="expression" dxfId="0" priority="1">
      <formula>IF(MOD(ROW()-1,4)=0,TRUE,FALSE)</formula>
    </cfRule>
  </conditionalFormatting>
  <conditionalFormatting sqref="B2:B12">
    <cfRule type="expression" dxfId="1" priority="2">
      <formula>IF(MOD(ROW()-1,4)=0,TRUE,FALSE)</formula>
    </cfRule>
  </conditionalFormatting>
  <conditionalFormatting sqref="C2:C12">
    <cfRule type="expression" dxfId="2" priority="3">
      <formula>IF(MOD(ROW()-1,4)=0,TRUE,FALSE)</formula>
    </cfRule>
  </conditionalFormatting>
  <conditionalFormatting sqref="D2:D12">
    <cfRule type="expression" dxfId="2" priority="4">
      <formula>IF(MOD(ROW()-1,4)=0,TRUE,FALSE)</formula>
    </cfRule>
  </conditionalFormatting>
  <conditionalFormatting sqref="E2:E12">
    <cfRule type="expression" dxfId="3" priority="5">
      <formula>IF(MOD(ROW()-1,4)=0,TRUE,FALSE)</formula>
    </cfRule>
  </conditionalFormatting>
  <conditionalFormatting sqref="F2:F12">
    <cfRule type="expression" dxfId="2" priority="6">
      <formula>IF(MOD(ROW()-1,4)=0,TRUE,FALSE)</formula>
    </cfRule>
  </conditionalFormatting>
  <conditionalFormatting sqref="G2:G12">
    <cfRule type="expression" dxfId="3" priority="7">
      <formula>IF(MOD(ROW()-1,4)=0,TRUE,FALSE)</formula>
    </cfRule>
  </conditionalFormatting>
  <conditionalFormatting sqref="H2:H12">
    <cfRule type="expression" dxfId="2" priority="8">
      <formula>IF(MOD(ROW()-1,4)=0,TRUE,FALSE)</formula>
    </cfRule>
  </conditionalFormatting>
  <conditionalFormatting sqref="I2:I12">
    <cfRule type="expression" dxfId="3" priority="9">
      <formula>IF(MOD(ROW()-1,4)=0,TRUE,FALSE)</formula>
    </cfRule>
  </conditionalFormatting>
  <conditionalFormatting sqref="J2:J12">
    <cfRule type="expression" dxfId="4" priority="10">
      <formula>IF(MOD(ROW()-1,4)=0,TRUE,FALSE)</formula>
    </cfRule>
  </conditionalFormatting>
  <conditionalFormatting sqref="K2:K12">
    <cfRule type="expression" dxfId="4" priority="11">
      <formula>IF(MOD(ROW()-1,4)=0,TRUE,FALSE)</formula>
    </cfRule>
  </conditionalFormatting>
  <conditionalFormatting sqref="L2:L12">
    <cfRule type="expression" dxfId="3" priority="12">
      <formula>IF(MOD(ROW()-1,4)=0,TRUE,FALSE)</formula>
    </cfRule>
  </conditionalFormatting>
  <conditionalFormatting sqref="M2:M12">
    <cfRule type="expression" dxfId="2" priority="13">
      <formula>IF(MOD(ROW()-1,4)=0,TRUE,FALSE)</formula>
    </cfRule>
  </conditionalFormatting>
  <conditionalFormatting sqref="N2:N12">
    <cfRule type="expression" dxfId="2" priority="14">
      <formula>IF(MOD(ROW()-1,4)=0,TRUE,FALSE)</formula>
    </cfRule>
  </conditionalFormatting>
  <conditionalFormatting sqref="O2:O12">
    <cfRule type="expression" dxfId="2" priority="15">
      <formula>IF(MOD(ROW()-1,4)=0,TRUE,FALSE)</formula>
    </cfRule>
  </conditionalFormatting>
  <conditionalFormatting sqref="P2:P12">
    <cfRule type="expression" dxfId="3" priority="16">
      <formula>IF(MOD(ROW()-1,4)=0,TRUE,FALSE)</formula>
    </cfRule>
  </conditionalFormatting>
  <conditionalFormatting sqref="Q2:Q12">
    <cfRule type="expression" dxfId="4" priority="17">
      <formula>IF(MOD(ROW()-1,4)=0,TRUE,FALSE)</formula>
    </cfRule>
  </conditionalFormatting>
  <conditionalFormatting sqref="R2:R12">
    <cfRule type="expression" dxfId="2" priority="18">
      <formula>IF(MOD(ROW()-1,4)=0,TRUE,FALSE)</formula>
    </cfRule>
  </conditionalFormatting>
  <conditionalFormatting sqref="S2:S12">
    <cfRule type="expression" dxfId="2" priority="19">
      <formula>IF(MOD(ROW()-1,4)=0,TRUE,FALSE)</formula>
    </cfRule>
  </conditionalFormatting>
  <conditionalFormatting sqref="T2:T12">
    <cfRule type="expression" dxfId="3" priority="20">
      <formula>IF(MOD(ROW()-1,4)=0,TRUE,FALSE)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D77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5"/>
  <cols>
    <col min="1" max="1" width="10.7109375" style="18" hidden="1" customWidth="1"/>
    <col min="2" max="2" width="6.7109375" customWidth="1"/>
    <col min="3" max="3" width="6.7109375" style="18" hidden="1" customWidth="1"/>
    <col min="4" max="4" width="16.7109375" style="18" hidden="1" customWidth="1"/>
    <col min="5" max="7" width="12.7109375" customWidth="1"/>
    <col min="8" max="10" width="6.28515625" customWidth="1"/>
    <col min="11" max="11" width="9.5703125" customWidth="1"/>
    <col min="12" max="14" width="6.28515625" customWidth="1"/>
    <col min="15" max="15" width="6.7109375" customWidth="1"/>
    <col min="16" max="17" width="5.5703125" customWidth="1"/>
    <col min="18" max="18" width="12.28515625" customWidth="1"/>
    <col min="19" max="19" width="5" customWidth="1"/>
    <col min="20" max="21" width="8.28515625" customWidth="1"/>
    <col min="22" max="22" width="8.28515625" style="18" hidden="1" customWidth="1"/>
    <col min="23" max="23" width="8.28515625" customWidth="1"/>
    <col min="24" max="24" width="17" customWidth="1"/>
    <col min="25" max="25" width="17" style="18" hidden="1" customWidth="1"/>
    <col min="26" max="27" width="10.85546875" customWidth="1"/>
    <col min="28" max="31" width="11.5703125" customWidth="1"/>
    <col min="32" max="49" width="9.140625"/>
    <col min="50" max="50" width="10.5703125" customWidth="1"/>
    <col min="51" max="82" width="9.140625"/>
  </cols>
  <sheetData>
    <row r="1" spans="1:82">
      <c r="A1" s="18"/>
      <c r="B1" s="19"/>
      <c r="C1" s="18"/>
      <c r="D1" s="18"/>
      <c r="E1" s="19"/>
      <c r="F1" s="20"/>
      <c r="G1" s="21"/>
      <c r="H1" s="2" t="s">
        <v>18</v>
      </c>
      <c r="I1" s="2" t="s">
        <v>18</v>
      </c>
      <c r="J1" s="2"/>
      <c r="K1" s="2"/>
      <c r="L1" s="2"/>
      <c r="M1" s="2"/>
      <c r="N1" s="2"/>
      <c r="O1" s="2"/>
      <c r="P1" s="2"/>
      <c r="Q1" s="2"/>
      <c r="R1" s="2"/>
      <c r="S1" s="2"/>
      <c r="T1" s="18"/>
      <c r="U1" s="18"/>
      <c r="V1" s="18"/>
      <c r="W1" s="18"/>
      <c r="X1" s="20"/>
      <c r="Y1" s="20"/>
      <c r="Z1" s="2" t="s">
        <v>35</v>
      </c>
      <c r="AA1" s="22"/>
      <c r="AB1" s="23"/>
      <c r="AC1" s="18"/>
      <c r="AD1" s="23"/>
      <c r="AE1" s="21"/>
      <c r="AF1" s="24" t="s">
        <v>42</v>
      </c>
      <c r="AG1" s="24"/>
      <c r="AH1" s="24"/>
      <c r="AI1" s="24"/>
      <c r="AJ1" s="25" t="s">
        <v>47</v>
      </c>
      <c r="AK1" s="25"/>
      <c r="AL1" s="25"/>
      <c r="AM1" s="25"/>
      <c r="AN1" s="26"/>
      <c r="AO1" s="27" t="s">
        <v>53</v>
      </c>
      <c r="AP1" s="28"/>
      <c r="AQ1" s="28"/>
      <c r="AR1" s="29"/>
      <c r="AS1" s="30" t="s">
        <v>58</v>
      </c>
      <c r="AT1" s="30"/>
      <c r="AU1" s="30"/>
      <c r="AV1" s="30"/>
      <c r="AW1" s="10"/>
      <c r="AX1" s="21"/>
      <c r="AY1" s="30" t="s">
        <v>35</v>
      </c>
      <c r="AZ1" s="10"/>
      <c r="BA1" s="31" t="s">
        <v>58</v>
      </c>
      <c r="BB1" s="31"/>
      <c r="BC1" s="31"/>
      <c r="BD1" s="31"/>
      <c r="BE1" s="31"/>
      <c r="BF1" s="31"/>
      <c r="BG1" s="31"/>
      <c r="BH1" s="32"/>
      <c r="BI1" s="27" t="s">
        <v>53</v>
      </c>
      <c r="BJ1" s="27"/>
      <c r="BK1" s="27"/>
      <c r="BL1" s="27"/>
      <c r="BM1" s="27"/>
      <c r="BN1" s="27" t="s">
        <v>80</v>
      </c>
      <c r="BO1" s="27"/>
      <c r="BP1" s="27"/>
      <c r="BQ1" s="27"/>
      <c r="BR1" s="27"/>
      <c r="BS1" s="27"/>
      <c r="BT1" s="33"/>
      <c r="BU1" s="33"/>
      <c r="BV1" s="33"/>
      <c r="BW1" s="33"/>
      <c r="BX1" s="33"/>
      <c r="BY1" s="30"/>
      <c r="BZ1" s="33"/>
      <c r="CA1" s="33"/>
      <c r="CB1" s="33"/>
      <c r="CC1" s="33"/>
      <c r="CD1" s="33"/>
    </row>
    <row r="2" spans="1:82" ht="52" customHeight="1">
      <c r="A2" s="34" t="s">
        <v>11</v>
      </c>
      <c r="B2" s="35" t="s">
        <v>12</v>
      </c>
      <c r="C2" s="34" t="s">
        <v>13</v>
      </c>
      <c r="D2" s="34" t="s">
        <v>14</v>
      </c>
      <c r="E2" s="35" t="s">
        <v>15</v>
      </c>
      <c r="F2" s="36" t="s">
        <v>16</v>
      </c>
      <c r="G2" s="37" t="s">
        <v>17</v>
      </c>
      <c r="H2" s="38" t="s">
        <v>19</v>
      </c>
      <c r="I2" s="38" t="s">
        <v>20</v>
      </c>
      <c r="J2" s="38" t="s">
        <v>21</v>
      </c>
      <c r="K2" s="38" t="s">
        <v>22</v>
      </c>
      <c r="L2" s="38" t="s">
        <v>23</v>
      </c>
      <c r="M2" s="38" t="s">
        <v>24</v>
      </c>
      <c r="N2" s="38" t="s">
        <v>25</v>
      </c>
      <c r="O2" s="38" t="s">
        <v>26</v>
      </c>
      <c r="P2" s="38" t="s">
        <v>27</v>
      </c>
      <c r="Q2" s="38" t="s">
        <v>28</v>
      </c>
      <c r="R2" s="38" t="s">
        <v>29</v>
      </c>
      <c r="S2" s="38" t="s">
        <v>30</v>
      </c>
      <c r="T2" s="3">
        <f>TargetGRLabel&amp;" Grad Rate"</f>
        <v>0</v>
      </c>
      <c r="U2" s="3">
        <f>IdealGRLabel&amp;" Grad Rate"</f>
        <v>0</v>
      </c>
      <c r="V2" s="3" t="s">
        <v>31</v>
      </c>
      <c r="W2" s="3" t="s">
        <v>32</v>
      </c>
      <c r="X2" s="36" t="s">
        <v>33</v>
      </c>
      <c r="Y2" s="36" t="s">
        <v>34</v>
      </c>
      <c r="Z2" s="38" t="s">
        <v>36</v>
      </c>
      <c r="AA2" s="7" t="s">
        <v>37</v>
      </c>
      <c r="AB2" s="4" t="s">
        <v>38</v>
      </c>
      <c r="AC2" s="3" t="s">
        <v>39</v>
      </c>
      <c r="AD2" s="4" t="s">
        <v>40</v>
      </c>
      <c r="AE2" s="8" t="s">
        <v>41</v>
      </c>
      <c r="AF2" s="39" t="s">
        <v>43</v>
      </c>
      <c r="AG2" s="39" t="s">
        <v>44</v>
      </c>
      <c r="AH2" s="39" t="s">
        <v>45</v>
      </c>
      <c r="AI2" s="39" t="s">
        <v>46</v>
      </c>
      <c r="AJ2" s="8" t="s">
        <v>48</v>
      </c>
      <c r="AK2" s="3" t="s">
        <v>49</v>
      </c>
      <c r="AL2" s="3" t="s">
        <v>50</v>
      </c>
      <c r="AM2" s="3" t="s">
        <v>51</v>
      </c>
      <c r="AN2" s="4" t="s">
        <v>52</v>
      </c>
      <c r="AO2" s="5" t="s">
        <v>54</v>
      </c>
      <c r="AP2" s="5" t="s">
        <v>55</v>
      </c>
      <c r="AQ2" s="5" t="s">
        <v>56</v>
      </c>
      <c r="AR2" s="6" t="s">
        <v>57</v>
      </c>
      <c r="AS2" s="40" t="s">
        <v>59</v>
      </c>
      <c r="AT2" s="40" t="s">
        <v>60</v>
      </c>
      <c r="AU2" s="40" t="s">
        <v>61</v>
      </c>
      <c r="AV2" s="40" t="s">
        <v>62</v>
      </c>
      <c r="AW2" s="41" t="s">
        <v>63</v>
      </c>
      <c r="AX2" s="42" t="s">
        <v>64</v>
      </c>
      <c r="AY2" s="40" t="s">
        <v>65</v>
      </c>
      <c r="AZ2" s="41" t="s">
        <v>66</v>
      </c>
      <c r="BA2" s="43" t="s">
        <v>67</v>
      </c>
      <c r="BB2" s="43" t="s">
        <v>68</v>
      </c>
      <c r="BC2" s="43" t="s">
        <v>69</v>
      </c>
      <c r="BD2" s="43" t="s">
        <v>70</v>
      </c>
      <c r="BE2" s="43" t="s">
        <v>71</v>
      </c>
      <c r="BF2" s="43" t="s">
        <v>72</v>
      </c>
      <c r="BG2" s="43" t="s">
        <v>73</v>
      </c>
      <c r="BH2" s="44" t="s">
        <v>74</v>
      </c>
      <c r="BI2" s="45" t="s">
        <v>75</v>
      </c>
      <c r="BJ2" s="45" t="s">
        <v>76</v>
      </c>
      <c r="BK2" s="45" t="s">
        <v>77</v>
      </c>
      <c r="BL2" s="45" t="s">
        <v>78</v>
      </c>
      <c r="BM2" s="45" t="s">
        <v>79</v>
      </c>
      <c r="BN2" s="45" t="s">
        <v>81</v>
      </c>
      <c r="BO2" s="5" t="s">
        <v>54</v>
      </c>
      <c r="BP2" s="5" t="s">
        <v>55</v>
      </c>
      <c r="BQ2" s="5" t="s">
        <v>82</v>
      </c>
      <c r="BR2" s="5" t="s">
        <v>83</v>
      </c>
      <c r="BS2" s="5" t="s">
        <v>84</v>
      </c>
      <c r="BT2" s="42" t="s">
        <v>85</v>
      </c>
      <c r="BU2" s="42" t="s">
        <v>86</v>
      </c>
      <c r="BV2" s="42" t="s">
        <v>87</v>
      </c>
      <c r="BW2" s="42" t="s">
        <v>88</v>
      </c>
      <c r="BX2" s="42" t="s">
        <v>89</v>
      </c>
      <c r="BY2" s="40" t="s">
        <v>90</v>
      </c>
      <c r="BZ2" s="42" t="s">
        <v>91</v>
      </c>
      <c r="CA2" s="42" t="s">
        <v>92</v>
      </c>
      <c r="CB2" s="42" t="s">
        <v>93</v>
      </c>
      <c r="CC2" s="42" t="s">
        <v>94</v>
      </c>
      <c r="CD2" s="42" t="s">
        <v>95</v>
      </c>
    </row>
    <row r="3" spans="1:82">
      <c r="A3" s="18" t="s">
        <v>96</v>
      </c>
      <c r="B3" s="19">
        <v>0</v>
      </c>
      <c r="C3" s="18" t="s">
        <v>97</v>
      </c>
      <c r="D3" s="18" t="s">
        <v>98</v>
      </c>
      <c r="E3" s="19">
        <v>22573216</v>
      </c>
      <c r="F3" s="19" t="s">
        <v>99</v>
      </c>
      <c r="G3" s="10" t="s">
        <v>100</v>
      </c>
      <c r="H3" s="46">
        <v>3.9333</v>
      </c>
      <c r="I3" s="46">
        <v>4.1333</v>
      </c>
      <c r="J3" s="1">
        <v>24</v>
      </c>
      <c r="K3" s="1">
        <f>IF(ISNUMBER(I3),ROUND(583.58+106.27*I3,-1),"TBD")</f>
        <v>0</v>
      </c>
      <c r="L3" s="1">
        <v>790</v>
      </c>
      <c r="M3" s="1">
        <f>IF(ISNUMBER(L3),L3,IF(ISNUMBER(K3),K3,"TBD"))</f>
        <v>0</v>
      </c>
      <c r="N3" s="1">
        <f>IF(ISNUMBER(J3),VLOOKUP(J3,ACTtoSAT,2,FALSE),"TBD")</f>
        <v>0</v>
      </c>
      <c r="O3" s="1">
        <f>IF(ISNUMBER(M3),IF(ISNUMBER(N3),MAX(M3,N3),M3),IF(ISNUMBER(N3),N3,"TBD"))</f>
        <v>0</v>
      </c>
      <c r="P3" s="1" t="s">
        <v>101</v>
      </c>
      <c r="Q3" s="1" t="s">
        <v>102</v>
      </c>
      <c r="R3" s="1" t="s">
        <v>103</v>
      </c>
      <c r="S3" s="1">
        <f>IF(AND(H3&lt;&gt;0,O3&lt;&gt;0),IF(ISNUMBER(VLOOKUP(TEXT(MAX(FLOOR(H3*10,1)/10,1.5),"0.0")&amp;":"&amp;MAX(O3,710),StrategyLookup,4,FALSE)),VLOOKUP(TEXT(MAX(FLOOR(H3*10,1)/10,1.5),"0.0")&amp;":"&amp;MAX(O3,710),StrategyLookup,4,FALSE),"TBD"),"TBD")</f>
        <v>0</v>
      </c>
      <c r="T3" s="11">
        <f>IF(ISNUMBER(S3),VLOOKUP(IF(OR(S3=5,S3=6),S3&amp;IF(H3&gt;=3,"+","&lt;"),S3&amp;""),TargetLookup,IF(B3=-1,6,IF(OR(P3="W",P3="A"),4,2)),FALSE),"TBD")</f>
        <v>0</v>
      </c>
      <c r="U3" s="11">
        <f>IF(ISNUMBER(S3),VLOOKUP(IF(OR(S3=5,S3=6),S3&amp;IF(H3&gt;=3,"+","&lt;"),S3&amp;""),TargetLookup,IF(B3=-1,7,IF(OR(P3="W",P3="A"),5,3)),FALSE),"TBD")</f>
        <v>0</v>
      </c>
      <c r="V3" s="18" t="s">
        <v>104</v>
      </c>
      <c r="W3" s="19" t="s">
        <v>105</v>
      </c>
      <c r="X3" s="19" t="s">
        <v>106</v>
      </c>
      <c r="Y3" s="19">
        <f>V3&amp;X3&amp;D3</f>
        <v>0</v>
      </c>
      <c r="Z3" s="11">
        <f t="array" ref="Z3">1-PRODUCT(IF(Students=E3,MGRMoneyMult,1))</f>
        <v>0</v>
      </c>
      <c r="AA3" s="12">
        <f t="array" ref="AA3">1-PRODUCT(IF(Students=E3,RGRMoneyMult,1))</f>
        <v>0</v>
      </c>
      <c r="AB3" s="13">
        <f>COUNTIFS(Students,E3,Results,"Accepted!")+COUNTIFS(Students,E3,Results,"CHOICE!")</f>
        <v>0</v>
      </c>
      <c r="AC3" s="1">
        <f>COUNTIFS(Students,E3,Results,"Deferred")+COUNTIFS(Students,E3,Results,"Waitlist")</f>
        <v>0</v>
      </c>
      <c r="AD3" s="13">
        <f>COUNTIFS(Students,E3,Results,"Denied")</f>
        <v>0</v>
      </c>
      <c r="AE3" s="13">
        <f>AB3+AC3+AD3+COUNTIFS(Students,E3,Results,"Submitted")</f>
        <v>0</v>
      </c>
      <c r="AF3" s="12">
        <v>0.8940974444062643</v>
      </c>
      <c r="AG3" s="12">
        <v>0.8661988267554578</v>
      </c>
      <c r="AH3" s="12">
        <v>0.7964539362447328</v>
      </c>
      <c r="AI3" s="12">
        <v>0.7706745415635097</v>
      </c>
      <c r="AJ3" s="13">
        <f>COUNTIFS(Students,E3,Results,"CHOICE!")</f>
        <v>0</v>
      </c>
      <c r="AK3" s="1">
        <f>COUNTIFS(MoneyYesNo,1,RGRcount,1,Students,E3,Results,"Accepted!")</f>
        <v>0</v>
      </c>
      <c r="AL3" s="1">
        <f>COUNTIFS(MoneyYesNo,1,MGRcount,1,Students,E3,Results,"Accepted!")-AK3</f>
        <v>0</v>
      </c>
      <c r="AM3" s="1">
        <f>COUNTIFS(MoneyYesNo,1,Students,E3,Results,"Accepted!")-AK3-AL3</f>
        <v>0</v>
      </c>
      <c r="AN3" s="13">
        <f>COUNTIFS(Students,E3,Results,"Accepted!")-AK3-AL3-AM3</f>
        <v>0</v>
      </c>
      <c r="AO3" s="1">
        <f>SUMIFS(RGRcount,Students,E3,MoneyYesNo,1)</f>
        <v>0</v>
      </c>
      <c r="AP3" s="1">
        <f>SUMIFS(MGRcount,Students,E3,MoneyYesNo,1)-AO3</f>
        <v>0</v>
      </c>
      <c r="AQ3" s="1">
        <f>SUMIF(Students,E3,MoneyYesNo)-AO3-AP3</f>
        <v>0</v>
      </c>
      <c r="AR3" s="13">
        <f>SUM(AO3,AP3,AQ3)</f>
        <v>0</v>
      </c>
      <c r="AS3" s="1">
        <f>SUMIF(Students,E3,RGRcount)</f>
        <v>0</v>
      </c>
      <c r="AT3" s="1">
        <f>SUMIF(Students,E3,MGRcount)-AS3</f>
        <v>0</v>
      </c>
      <c r="AU3" s="1">
        <f>COUNTIF(Students,E3)-AS3-AT3</f>
        <v>0</v>
      </c>
      <c r="AV3" s="1">
        <f>SUMIF(Students,E3,FarBelowTGRCount)</f>
        <v>0</v>
      </c>
      <c r="AW3" s="47">
        <f>COUNTIF(Students,E3)</f>
        <v>0</v>
      </c>
      <c r="AX3" s="11">
        <f>IF(AW3&gt;0,AE3/AW3,0)</f>
        <v>0</v>
      </c>
      <c r="AY3" s="11">
        <f t="array" ref="AY3">1-PRODUCT(IF(Students=E3,MGRMult,1))</f>
        <v>0</v>
      </c>
      <c r="AZ3" s="12">
        <f t="array" ref="AZ3">1-PRODUCT(IF(Students=E3,RGRMult,1))</f>
        <v>0</v>
      </c>
      <c r="BA3" s="1">
        <f>COUNTIFS(Students,E3,Classes,HailMaryLabel)</f>
        <v>0</v>
      </c>
      <c r="BB3" s="1">
        <f>COUNTIFS(Students,E3,Classes,LongshotLabel)</f>
        <v>0</v>
      </c>
      <c r="BC3" s="1">
        <f>COUNTIFS(Students,E3,Classes,ReachLabel)</f>
        <v>0</v>
      </c>
      <c r="BD3" s="1">
        <f>COUNTIFS(Students,E3,Classes,MatchLabel)</f>
        <v>0</v>
      </c>
      <c r="BE3" s="1">
        <f>COUNTIFS(Students,E3,Classes,SafetyLabel)</f>
        <v>0</v>
      </c>
      <c r="BF3" s="1">
        <f>COUNTIFS(Students,E3,Classes,SecureLabel)</f>
        <v>0</v>
      </c>
      <c r="BG3" s="1">
        <f>COUNTIFS(Students,E3,Classes,SureThingLabel)</f>
        <v>0</v>
      </c>
      <c r="BH3" s="13">
        <f>COUNTIFS(Students,E3,Classes,"Other")</f>
        <v>0</v>
      </c>
      <c r="BI3" s="1">
        <f>COUNTIFS(Students,E3,Classes,ReachLabel,MoneyYesNo,1)</f>
        <v>0</v>
      </c>
      <c r="BJ3" s="1">
        <f>COUNTIFS(Students,E3,Classes,MatchLabel,MoneyYesNo,1)</f>
        <v>0</v>
      </c>
      <c r="BK3" s="1">
        <f>COUNTIFS(Students,E3,Classes,SafetyLabel,MoneyYesNo,1)</f>
        <v>0</v>
      </c>
      <c r="BL3" s="1">
        <f>COUNTIFS(Students,E3,Classes,SecureLabel,MoneyYesNo,1)</f>
        <v>0</v>
      </c>
      <c r="BM3" s="1">
        <f>COUNTIFS(Students,E3,Classes,SureThingLabel,MoneyYesNo,1)</f>
        <v>0</v>
      </c>
      <c r="BN3" s="1">
        <f>SUM(BI3:BM3)</f>
        <v>0</v>
      </c>
      <c r="BO3" s="1">
        <f>SUMIFS(RGRcount,Students,E3,MoneyYesNo,1,Odds,"&gt;=20")</f>
        <v>0</v>
      </c>
      <c r="BP3" s="1">
        <f>SUMIFS(MGRcount,Students,E3,MoneyYesNo,1,Odds,"&gt;=20")-BO3</f>
        <v>0</v>
      </c>
      <c r="BQ3" s="1">
        <f>SUMIFS(MGRcount,Students,E3,MoneyYesNo,1,Odds,"&gt;=50")</f>
        <v>0</v>
      </c>
      <c r="BR3" s="1">
        <f>SUMIFS(RGRcount,Students,E3,MoneyYesNo,1,Odds,"&gt;=10")</f>
        <v>0</v>
      </c>
      <c r="BS3" s="1">
        <f>SUMIFS(MGRcount,Students,E3,MoneyYesNo,1,Odds,"&gt;=10")-BR3</f>
        <v>0</v>
      </c>
      <c r="BT3" s="1">
        <f>COUNTIFS(Students,E3,ILPublic,1)</f>
        <v>0</v>
      </c>
      <c r="BU3" s="1">
        <f>COUNTIFS(Students,E3,ILPublic,1,MoneyYesNo,1,Classes,MatchLabel)+COUNTIFS(Students,E3,ILPublic,1,MoneyYesNo,1,Classes,SafetyLabel)+COUNTIFS(Students,E3,ILPublic,1,MoneyYesNo,1,Classes,SecureLabel)+COUNTIFS(Students,E3,ILPublic,1,MoneyYesNo,1,Classes,SureThingLabel)</f>
        <v>0</v>
      </c>
      <c r="BV3" s="1">
        <f>COUNTIFS(Students,E3,ILPublic,1, Classes,SecureLabel)</f>
        <v>0</v>
      </c>
      <c r="BW3" s="1">
        <f>COUNTIFS(Students,E3,MoneyChicago,1)</f>
        <v>0</v>
      </c>
      <c r="BX3" s="1">
        <f>COUNTIFS(Students,E3,MatchOrUnder,1)</f>
        <v>0</v>
      </c>
      <c r="BY3" s="1">
        <f>SUMIF(Students,E3,MGRcount)</f>
        <v>0</v>
      </c>
      <c r="BZ3" s="1">
        <f>COUNTIFS(Students,E3,BadMoney,1)</f>
        <v>0</v>
      </c>
      <c r="CA3" s="1">
        <f>COUNTIFS(Students,E3,GoldenThree,1)</f>
        <v>0</v>
      </c>
      <c r="CB3" s="1">
        <f>COUNTIFS(Students,E3,NCESids,147536)</f>
        <v>0</v>
      </c>
      <c r="CC3" s="1">
        <f>COUNTIFS(Students,E3,NCESids,144157)+COUNTIFS(Students,E3,NCESids,144166)+COUNTIFS(Students,E3,NCESids,144175)+COUNTIFS(Students,E3,NCESids,144184)+COUNTIFS(Students,E3,NCESids,144193)+COUNTIFS(Students,E3,NCESids,144209)+COUNTIFS(Students,E3,NCESids,144218)</f>
        <v>0</v>
      </c>
      <c r="CD3" s="1">
        <f>COUNTIFS(Students,E3,Results,"Accepted!",FarBelowTGRCount,0)+COUNTIFS(Students,E3,Results,"CHOICE!",FarBelowTGRCount,0)</f>
        <v>0</v>
      </c>
    </row>
    <row r="4" spans="1:82">
      <c r="A4" s="18" t="s">
        <v>96</v>
      </c>
      <c r="B4" s="19">
        <v>0</v>
      </c>
      <c r="C4" s="18" t="s">
        <v>97</v>
      </c>
      <c r="D4" s="18" t="s">
        <v>107</v>
      </c>
      <c r="E4" s="19">
        <v>22973265</v>
      </c>
      <c r="F4" s="19" t="s">
        <v>108</v>
      </c>
      <c r="G4" s="10" t="s">
        <v>109</v>
      </c>
      <c r="H4" s="46">
        <v>3.2265</v>
      </c>
      <c r="I4" s="46">
        <v>3.4265</v>
      </c>
      <c r="J4" s="1">
        <v>16</v>
      </c>
      <c r="K4" s="1">
        <f>IF(ISNUMBER(I4),ROUND(583.58+106.27*I4,-1),"TBD")</f>
        <v>0</v>
      </c>
      <c r="L4" s="1">
        <v>1070</v>
      </c>
      <c r="M4" s="1">
        <f>IF(ISNUMBER(L4),L4,IF(ISNUMBER(K4),K4,"TBD"))</f>
        <v>0</v>
      </c>
      <c r="N4" s="1">
        <f>IF(ISNUMBER(J4),VLOOKUP(J4,ACTtoSAT,2,FALSE),"TBD")</f>
        <v>0</v>
      </c>
      <c r="O4" s="1">
        <f>IF(ISNUMBER(M4),IF(ISNUMBER(N4),MAX(M4,N4),M4),IF(ISNUMBER(N4),N4,"TBD"))</f>
        <v>0</v>
      </c>
      <c r="P4" s="1" t="s">
        <v>101</v>
      </c>
      <c r="Q4" s="1" t="s">
        <v>102</v>
      </c>
      <c r="R4" s="1" t="s">
        <v>103</v>
      </c>
      <c r="S4" s="1">
        <f>IF(AND(H4&lt;&gt;0,O4&lt;&gt;0),IF(ISNUMBER(VLOOKUP(TEXT(MAX(FLOOR(H4*10,1)/10,1.5),"0.0")&amp;":"&amp;MAX(O4,710),StrategyLookup,4,FALSE)),VLOOKUP(TEXT(MAX(FLOOR(H4*10,1)/10,1.5),"0.0")&amp;":"&amp;MAX(O4,710),StrategyLookup,4,FALSE),"TBD"),"TBD")</f>
        <v>0</v>
      </c>
      <c r="T4" s="11">
        <f>IF(ISNUMBER(S4),VLOOKUP(IF(OR(S4=5,S4=6),S4&amp;IF(H4&gt;=3,"+","&lt;"),S4&amp;""),TargetLookup,IF(B4=-1,6,IF(OR(P4="W",P4="A"),4,2)),FALSE),"TBD")</f>
        <v>0</v>
      </c>
      <c r="U4" s="11">
        <f>IF(ISNUMBER(S4),VLOOKUP(IF(OR(S4=5,S4=6),S4&amp;IF(H4&gt;=3,"+","&lt;"),S4&amp;""),TargetLookup,IF(B4=-1,7,IF(OR(P4="W",P4="A"),5,3)),FALSE),"TBD")</f>
        <v>0</v>
      </c>
      <c r="V4" s="18" t="s">
        <v>110</v>
      </c>
      <c r="W4" s="19" t="s">
        <v>111</v>
      </c>
      <c r="X4" s="19" t="s">
        <v>106</v>
      </c>
      <c r="Y4" s="19">
        <f>V4&amp;X4&amp;D4</f>
        <v>0</v>
      </c>
      <c r="Z4" s="11">
        <f t="array" ref="Z4">1-PRODUCT(IF(Students=E4,MGRMoneyMult,1))</f>
        <v>0</v>
      </c>
      <c r="AA4" s="12">
        <f t="array" ref="AA4">1-PRODUCT(IF(Students=E4,RGRMoneyMult,1))</f>
        <v>0</v>
      </c>
      <c r="AB4" s="13">
        <f>COUNTIFS(Students,E4,Results,"Accepted!")+COUNTIFS(Students,E4,Results,"CHOICE!")</f>
        <v>0</v>
      </c>
      <c r="AC4" s="1">
        <f>COUNTIFS(Students,E4,Results,"Deferred")+COUNTIFS(Students,E4,Results,"Waitlist")</f>
        <v>0</v>
      </c>
      <c r="AD4" s="13">
        <f>COUNTIFS(Students,E4,Results,"Denied")</f>
        <v>0</v>
      </c>
      <c r="AE4" s="13">
        <f>AB4+AC4+AD4+COUNTIFS(Students,E4,Results,"Submitted")</f>
        <v>0</v>
      </c>
      <c r="AF4" s="12">
        <v>0.7540661417146366</v>
      </c>
      <c r="AG4" s="12">
        <v>0.709535554313021</v>
      </c>
      <c r="AH4" s="12">
        <v>0.6154471476404738</v>
      </c>
      <c r="AI4" s="12">
        <v>0.5943384250180617</v>
      </c>
      <c r="AJ4" s="13">
        <f>COUNTIFS(Students,E4,Results,"CHOICE!")</f>
        <v>0</v>
      </c>
      <c r="AK4" s="1">
        <f>COUNTIFS(MoneyYesNo,1,RGRcount,1,Students,E4,Results,"Accepted!")</f>
        <v>0</v>
      </c>
      <c r="AL4" s="1">
        <f>COUNTIFS(MoneyYesNo,1,MGRcount,1,Students,E4,Results,"Accepted!")-AK4</f>
        <v>0</v>
      </c>
      <c r="AM4" s="1">
        <f>COUNTIFS(MoneyYesNo,1,Students,E4,Results,"Accepted!")-AK4-AL4</f>
        <v>0</v>
      </c>
      <c r="AN4" s="13">
        <f>COUNTIFS(Students,E4,Results,"Accepted!")-AK4-AL4-AM4</f>
        <v>0</v>
      </c>
      <c r="AO4" s="1">
        <f>SUMIFS(RGRcount,Students,E4,MoneyYesNo,1)</f>
        <v>0</v>
      </c>
      <c r="AP4" s="1">
        <f>SUMIFS(MGRcount,Students,E4,MoneyYesNo,1)-AO4</f>
        <v>0</v>
      </c>
      <c r="AQ4" s="1">
        <f>SUMIF(Students,E4,MoneyYesNo)-AO4-AP4</f>
        <v>0</v>
      </c>
      <c r="AR4" s="13">
        <f>SUM(AO4,AP4,AQ4)</f>
        <v>0</v>
      </c>
      <c r="AS4" s="1">
        <f>SUMIF(Students,E4,RGRcount)</f>
        <v>0</v>
      </c>
      <c r="AT4" s="1">
        <f>SUMIF(Students,E4,MGRcount)-AS4</f>
        <v>0</v>
      </c>
      <c r="AU4" s="1">
        <f>COUNTIF(Students,E4)-AS4-AT4</f>
        <v>0</v>
      </c>
      <c r="AV4" s="1">
        <f>SUMIF(Students,E4,FarBelowTGRCount)</f>
        <v>0</v>
      </c>
      <c r="AW4" s="47">
        <f>COUNTIF(Students,E4)</f>
        <v>0</v>
      </c>
      <c r="AX4" s="11">
        <f>IF(AW4&gt;0,AE4/AW4,0)</f>
        <v>0</v>
      </c>
      <c r="AY4" s="11">
        <f t="array" ref="AY4">1-PRODUCT(IF(Students=E4,MGRMult,1))</f>
        <v>0</v>
      </c>
      <c r="AZ4" s="12">
        <f t="array" ref="AZ4">1-PRODUCT(IF(Students=E4,RGRMult,1))</f>
        <v>0</v>
      </c>
      <c r="BA4" s="1">
        <f>COUNTIFS(Students,E4,Classes,HailMaryLabel)</f>
        <v>0</v>
      </c>
      <c r="BB4" s="1">
        <f>COUNTIFS(Students,E4,Classes,LongshotLabel)</f>
        <v>0</v>
      </c>
      <c r="BC4" s="1">
        <f>COUNTIFS(Students,E4,Classes,ReachLabel)</f>
        <v>0</v>
      </c>
      <c r="BD4" s="1">
        <f>COUNTIFS(Students,E4,Classes,MatchLabel)</f>
        <v>0</v>
      </c>
      <c r="BE4" s="1">
        <f>COUNTIFS(Students,E4,Classes,SafetyLabel)</f>
        <v>0</v>
      </c>
      <c r="BF4" s="1">
        <f>COUNTIFS(Students,E4,Classes,SecureLabel)</f>
        <v>0</v>
      </c>
      <c r="BG4" s="1">
        <f>COUNTIFS(Students,E4,Classes,SureThingLabel)</f>
        <v>0</v>
      </c>
      <c r="BH4" s="13">
        <f>COUNTIFS(Students,E4,Classes,"Other")</f>
        <v>0</v>
      </c>
      <c r="BI4" s="1">
        <f>COUNTIFS(Students,E4,Classes,ReachLabel,MoneyYesNo,1)</f>
        <v>0</v>
      </c>
      <c r="BJ4" s="1">
        <f>COUNTIFS(Students,E4,Classes,MatchLabel,MoneyYesNo,1)</f>
        <v>0</v>
      </c>
      <c r="BK4" s="1">
        <f>COUNTIFS(Students,E4,Classes,SafetyLabel,MoneyYesNo,1)</f>
        <v>0</v>
      </c>
      <c r="BL4" s="1">
        <f>COUNTIFS(Students,E4,Classes,SecureLabel,MoneyYesNo,1)</f>
        <v>0</v>
      </c>
      <c r="BM4" s="1">
        <f>COUNTIFS(Students,E4,Classes,SureThingLabel,MoneyYesNo,1)</f>
        <v>0</v>
      </c>
      <c r="BN4" s="1">
        <f>SUM(BI4:BM4)</f>
        <v>0</v>
      </c>
      <c r="BO4" s="1">
        <f>SUMIFS(RGRcount,Students,E4,MoneyYesNo,1,Odds,"&gt;=20")</f>
        <v>0</v>
      </c>
      <c r="BP4" s="1">
        <f>SUMIFS(MGRcount,Students,E4,MoneyYesNo,1,Odds,"&gt;=20")-BO4</f>
        <v>0</v>
      </c>
      <c r="BQ4" s="1">
        <f>SUMIFS(MGRcount,Students,E4,MoneyYesNo,1,Odds,"&gt;=50")</f>
        <v>0</v>
      </c>
      <c r="BR4" s="1">
        <f>SUMIFS(RGRcount,Students,E4,MoneyYesNo,1,Odds,"&gt;=10")</f>
        <v>0</v>
      </c>
      <c r="BS4" s="1">
        <f>SUMIFS(MGRcount,Students,E4,MoneyYesNo,1,Odds,"&gt;=10")-BR4</f>
        <v>0</v>
      </c>
      <c r="BT4" s="1">
        <f>COUNTIFS(Students,E4,ILPublic,1)</f>
        <v>0</v>
      </c>
      <c r="BU4" s="1">
        <f>COUNTIFS(Students,E4,ILPublic,1,MoneyYesNo,1,Classes,MatchLabel)+COUNTIFS(Students,E4,ILPublic,1,MoneyYesNo,1,Classes,SafetyLabel)+COUNTIFS(Students,E4,ILPublic,1,MoneyYesNo,1,Classes,SecureLabel)+COUNTIFS(Students,E4,ILPublic,1,MoneyYesNo,1,Classes,SureThingLabel)</f>
        <v>0</v>
      </c>
      <c r="BV4" s="1">
        <f>COUNTIFS(Students,E4,ILPublic,1, Classes,SecureLabel)</f>
        <v>0</v>
      </c>
      <c r="BW4" s="1">
        <f>COUNTIFS(Students,E4,MoneyChicago,1)</f>
        <v>0</v>
      </c>
      <c r="BX4" s="1">
        <f>COUNTIFS(Students,E4,MatchOrUnder,1)</f>
        <v>0</v>
      </c>
      <c r="BY4" s="1">
        <f>SUMIF(Students,E4,MGRcount)</f>
        <v>0</v>
      </c>
      <c r="BZ4" s="1">
        <f>COUNTIFS(Students,E4,BadMoney,1)</f>
        <v>0</v>
      </c>
      <c r="CA4" s="1">
        <f>COUNTIFS(Students,E4,GoldenThree,1)</f>
        <v>0</v>
      </c>
      <c r="CB4" s="1">
        <f>COUNTIFS(Students,E4,NCESids,147536)</f>
        <v>0</v>
      </c>
      <c r="CC4" s="1">
        <f>COUNTIFS(Students,E4,NCESids,144157)+COUNTIFS(Students,E4,NCESids,144166)+COUNTIFS(Students,E4,NCESids,144175)+COUNTIFS(Students,E4,NCESids,144184)+COUNTIFS(Students,E4,NCESids,144193)+COUNTIFS(Students,E4,NCESids,144209)+COUNTIFS(Students,E4,NCESids,144218)</f>
        <v>0</v>
      </c>
      <c r="CD4" s="1">
        <f>COUNTIFS(Students,E4,Results,"Accepted!",FarBelowTGRCount,0)+COUNTIFS(Students,E4,Results,"CHOICE!",FarBelowTGRCount,0)</f>
        <v>0</v>
      </c>
    </row>
    <row r="5" spans="1:82">
      <c r="A5" s="18" t="s">
        <v>96</v>
      </c>
      <c r="B5" s="19">
        <v>0</v>
      </c>
      <c r="C5" s="18" t="s">
        <v>97</v>
      </c>
      <c r="D5" s="18" t="s">
        <v>112</v>
      </c>
      <c r="E5" s="19">
        <v>24126470</v>
      </c>
      <c r="F5" s="19" t="s">
        <v>113</v>
      </c>
      <c r="G5" s="10" t="s">
        <v>114</v>
      </c>
      <c r="H5" s="46">
        <v>3.2423</v>
      </c>
      <c r="I5" s="46">
        <v>3.4423</v>
      </c>
      <c r="J5" s="1">
        <v>23</v>
      </c>
      <c r="K5" s="1">
        <f>IF(ISNUMBER(I5),ROUND(583.58+106.27*I5,-1),"TBD")</f>
        <v>0</v>
      </c>
      <c r="L5" s="1">
        <v>830</v>
      </c>
      <c r="M5" s="1">
        <f>IF(ISNUMBER(L5),L5,IF(ISNUMBER(K5),K5,"TBD"))</f>
        <v>0</v>
      </c>
      <c r="N5" s="1">
        <f>IF(ISNUMBER(J5),VLOOKUP(J5,ACTtoSAT,2,FALSE),"TBD")</f>
        <v>0</v>
      </c>
      <c r="O5" s="1">
        <f>IF(ISNUMBER(M5),IF(ISNUMBER(N5),MAX(M5,N5),M5),IF(ISNUMBER(N5),N5,"TBD"))</f>
        <v>0</v>
      </c>
      <c r="P5" s="1" t="s">
        <v>101</v>
      </c>
      <c r="Q5" s="1" t="s">
        <v>102</v>
      </c>
      <c r="R5" s="1" t="s">
        <v>103</v>
      </c>
      <c r="S5" s="1">
        <f>IF(AND(H5&lt;&gt;0,O5&lt;&gt;0),IF(ISNUMBER(VLOOKUP(TEXT(MAX(FLOOR(H5*10,1)/10,1.5),"0.0")&amp;":"&amp;MAX(O5,710),StrategyLookup,4,FALSE)),VLOOKUP(TEXT(MAX(FLOOR(H5*10,1)/10,1.5),"0.0")&amp;":"&amp;MAX(O5,710),StrategyLookup,4,FALSE),"TBD"),"TBD")</f>
        <v>0</v>
      </c>
      <c r="T5" s="11">
        <f>IF(ISNUMBER(S5),VLOOKUP(IF(OR(S5=5,S5=6),S5&amp;IF(H5&gt;=3,"+","&lt;"),S5&amp;""),TargetLookup,IF(B5=-1,6,IF(OR(P5="W",P5="A"),4,2)),FALSE),"TBD")</f>
        <v>0</v>
      </c>
      <c r="U5" s="11">
        <f>IF(ISNUMBER(S5),VLOOKUP(IF(OR(S5=5,S5=6),S5&amp;IF(H5&gt;=3,"+","&lt;"),S5&amp;""),TargetLookup,IF(B5=-1,7,IF(OR(P5="W",P5="A"),5,3)),FALSE),"TBD")</f>
        <v>0</v>
      </c>
      <c r="V5" s="18" t="s">
        <v>115</v>
      </c>
      <c r="W5" s="19" t="s">
        <v>116</v>
      </c>
      <c r="X5" s="19" t="s">
        <v>106</v>
      </c>
      <c r="Y5" s="19">
        <f>V5&amp;X5&amp;D5</f>
        <v>0</v>
      </c>
      <c r="Z5" s="11">
        <f t="array" ref="Z5">1-PRODUCT(IF(Students=E5,MGRMoneyMult,1))</f>
        <v>0</v>
      </c>
      <c r="AA5" s="12">
        <f t="array" ref="AA5">1-PRODUCT(IF(Students=E5,RGRMoneyMult,1))</f>
        <v>0</v>
      </c>
      <c r="AB5" s="13">
        <f>COUNTIFS(Students,E5,Results,"Accepted!")+COUNTIFS(Students,E5,Results,"CHOICE!")</f>
        <v>0</v>
      </c>
      <c r="AC5" s="1">
        <f>COUNTIFS(Students,E5,Results,"Deferred")+COUNTIFS(Students,E5,Results,"Waitlist")</f>
        <v>0</v>
      </c>
      <c r="AD5" s="13">
        <f>COUNTIFS(Students,E5,Results,"Denied")</f>
        <v>0</v>
      </c>
      <c r="AE5" s="13">
        <f>AB5+AC5+AD5+COUNTIFS(Students,E5,Results,"Submitted")</f>
        <v>0</v>
      </c>
      <c r="AF5" s="12">
        <v>0.7961568031647452</v>
      </c>
      <c r="AG5" s="12">
        <v>0.7803259750361102</v>
      </c>
      <c r="AH5" s="12">
        <v>0.6701303420171466</v>
      </c>
      <c r="AI5" s="12">
        <v>0.6465568024422648</v>
      </c>
      <c r="AJ5" s="13">
        <f>COUNTIFS(Students,E5,Results,"CHOICE!")</f>
        <v>0</v>
      </c>
      <c r="AK5" s="1">
        <f>COUNTIFS(MoneyYesNo,1,RGRcount,1,Students,E5,Results,"Accepted!")</f>
        <v>0</v>
      </c>
      <c r="AL5" s="1">
        <f>COUNTIFS(MoneyYesNo,1,MGRcount,1,Students,E5,Results,"Accepted!")-AK5</f>
        <v>0</v>
      </c>
      <c r="AM5" s="1">
        <f>COUNTIFS(MoneyYesNo,1,Students,E5,Results,"Accepted!")-AK5-AL5</f>
        <v>0</v>
      </c>
      <c r="AN5" s="13">
        <f>COUNTIFS(Students,E5,Results,"Accepted!")-AK5-AL5-AM5</f>
        <v>0</v>
      </c>
      <c r="AO5" s="1">
        <f>SUMIFS(RGRcount,Students,E5,MoneyYesNo,1)</f>
        <v>0</v>
      </c>
      <c r="AP5" s="1">
        <f>SUMIFS(MGRcount,Students,E5,MoneyYesNo,1)-AO5</f>
        <v>0</v>
      </c>
      <c r="AQ5" s="1">
        <f>SUMIF(Students,E5,MoneyYesNo)-AO5-AP5</f>
        <v>0</v>
      </c>
      <c r="AR5" s="13">
        <f>SUM(AO5,AP5,AQ5)</f>
        <v>0</v>
      </c>
      <c r="AS5" s="1">
        <f>SUMIF(Students,E5,RGRcount)</f>
        <v>0</v>
      </c>
      <c r="AT5" s="1">
        <f>SUMIF(Students,E5,MGRcount)-AS5</f>
        <v>0</v>
      </c>
      <c r="AU5" s="1">
        <f>COUNTIF(Students,E5)-AS5-AT5</f>
        <v>0</v>
      </c>
      <c r="AV5" s="1">
        <f>SUMIF(Students,E5,FarBelowTGRCount)</f>
        <v>0</v>
      </c>
      <c r="AW5" s="47">
        <f>COUNTIF(Students,E5)</f>
        <v>0</v>
      </c>
      <c r="AX5" s="11">
        <f>IF(AW5&gt;0,AE5/AW5,0)</f>
        <v>0</v>
      </c>
      <c r="AY5" s="11">
        <f t="array" ref="AY5">1-PRODUCT(IF(Students=E5,MGRMult,1))</f>
        <v>0</v>
      </c>
      <c r="AZ5" s="12">
        <f t="array" ref="AZ5">1-PRODUCT(IF(Students=E5,RGRMult,1))</f>
        <v>0</v>
      </c>
      <c r="BA5" s="1">
        <f>COUNTIFS(Students,E5,Classes,HailMaryLabel)</f>
        <v>0</v>
      </c>
      <c r="BB5" s="1">
        <f>COUNTIFS(Students,E5,Classes,LongshotLabel)</f>
        <v>0</v>
      </c>
      <c r="BC5" s="1">
        <f>COUNTIFS(Students,E5,Classes,ReachLabel)</f>
        <v>0</v>
      </c>
      <c r="BD5" s="1">
        <f>COUNTIFS(Students,E5,Classes,MatchLabel)</f>
        <v>0</v>
      </c>
      <c r="BE5" s="1">
        <f>COUNTIFS(Students,E5,Classes,SafetyLabel)</f>
        <v>0</v>
      </c>
      <c r="BF5" s="1">
        <f>COUNTIFS(Students,E5,Classes,SecureLabel)</f>
        <v>0</v>
      </c>
      <c r="BG5" s="1">
        <f>COUNTIFS(Students,E5,Classes,SureThingLabel)</f>
        <v>0</v>
      </c>
      <c r="BH5" s="13">
        <f>COUNTIFS(Students,E5,Classes,"Other")</f>
        <v>0</v>
      </c>
      <c r="BI5" s="1">
        <f>COUNTIFS(Students,E5,Classes,ReachLabel,MoneyYesNo,1)</f>
        <v>0</v>
      </c>
      <c r="BJ5" s="1">
        <f>COUNTIFS(Students,E5,Classes,MatchLabel,MoneyYesNo,1)</f>
        <v>0</v>
      </c>
      <c r="BK5" s="1">
        <f>COUNTIFS(Students,E5,Classes,SafetyLabel,MoneyYesNo,1)</f>
        <v>0</v>
      </c>
      <c r="BL5" s="1">
        <f>COUNTIFS(Students,E5,Classes,SecureLabel,MoneyYesNo,1)</f>
        <v>0</v>
      </c>
      <c r="BM5" s="1">
        <f>COUNTIFS(Students,E5,Classes,SureThingLabel,MoneyYesNo,1)</f>
        <v>0</v>
      </c>
      <c r="BN5" s="1">
        <f>SUM(BI5:BM5)</f>
        <v>0</v>
      </c>
      <c r="BO5" s="1">
        <f>SUMIFS(RGRcount,Students,E5,MoneyYesNo,1,Odds,"&gt;=20")</f>
        <v>0</v>
      </c>
      <c r="BP5" s="1">
        <f>SUMIFS(MGRcount,Students,E5,MoneyYesNo,1,Odds,"&gt;=20")-BO5</f>
        <v>0</v>
      </c>
      <c r="BQ5" s="1">
        <f>SUMIFS(MGRcount,Students,E5,MoneyYesNo,1,Odds,"&gt;=50")</f>
        <v>0</v>
      </c>
      <c r="BR5" s="1">
        <f>SUMIFS(RGRcount,Students,E5,MoneyYesNo,1,Odds,"&gt;=10")</f>
        <v>0</v>
      </c>
      <c r="BS5" s="1">
        <f>SUMIFS(MGRcount,Students,E5,MoneyYesNo,1,Odds,"&gt;=10")-BR5</f>
        <v>0</v>
      </c>
      <c r="BT5" s="1">
        <f>COUNTIFS(Students,E5,ILPublic,1)</f>
        <v>0</v>
      </c>
      <c r="BU5" s="1">
        <f>COUNTIFS(Students,E5,ILPublic,1,MoneyYesNo,1,Classes,MatchLabel)+COUNTIFS(Students,E5,ILPublic,1,MoneyYesNo,1,Classes,SafetyLabel)+COUNTIFS(Students,E5,ILPublic,1,MoneyYesNo,1,Classes,SecureLabel)+COUNTIFS(Students,E5,ILPublic,1,MoneyYesNo,1,Classes,SureThingLabel)</f>
        <v>0</v>
      </c>
      <c r="BV5" s="1">
        <f>COUNTIFS(Students,E5,ILPublic,1, Classes,SecureLabel)</f>
        <v>0</v>
      </c>
      <c r="BW5" s="1">
        <f>COUNTIFS(Students,E5,MoneyChicago,1)</f>
        <v>0</v>
      </c>
      <c r="BX5" s="1">
        <f>COUNTIFS(Students,E5,MatchOrUnder,1)</f>
        <v>0</v>
      </c>
      <c r="BY5" s="1">
        <f>SUMIF(Students,E5,MGRcount)</f>
        <v>0</v>
      </c>
      <c r="BZ5" s="1">
        <f>COUNTIFS(Students,E5,BadMoney,1)</f>
        <v>0</v>
      </c>
      <c r="CA5" s="1">
        <f>COUNTIFS(Students,E5,GoldenThree,1)</f>
        <v>0</v>
      </c>
      <c r="CB5" s="1">
        <f>COUNTIFS(Students,E5,NCESids,147536)</f>
        <v>0</v>
      </c>
      <c r="CC5" s="1">
        <f>COUNTIFS(Students,E5,NCESids,144157)+COUNTIFS(Students,E5,NCESids,144166)+COUNTIFS(Students,E5,NCESids,144175)+COUNTIFS(Students,E5,NCESids,144184)+COUNTIFS(Students,E5,NCESids,144193)+COUNTIFS(Students,E5,NCESids,144209)+COUNTIFS(Students,E5,NCESids,144218)</f>
        <v>0</v>
      </c>
      <c r="CD5" s="1">
        <f>COUNTIFS(Students,E5,Results,"Accepted!",FarBelowTGRCount,0)+COUNTIFS(Students,E5,Results,"CHOICE!",FarBelowTGRCount,0)</f>
        <v>0</v>
      </c>
    </row>
    <row r="6" spans="1:82">
      <c r="A6" s="18" t="s">
        <v>96</v>
      </c>
      <c r="B6" s="19">
        <v>0</v>
      </c>
      <c r="C6" s="18" t="s">
        <v>97</v>
      </c>
      <c r="D6" s="18" t="s">
        <v>117</v>
      </c>
      <c r="E6" s="19">
        <v>23207280</v>
      </c>
      <c r="F6" s="19" t="s">
        <v>118</v>
      </c>
      <c r="G6" s="10" t="s">
        <v>119</v>
      </c>
      <c r="H6" s="46">
        <v>2.6512</v>
      </c>
      <c r="I6" s="46">
        <v>2.8512</v>
      </c>
      <c r="J6" s="1">
        <v>16</v>
      </c>
      <c r="K6" s="1">
        <f>IF(ISNUMBER(I6),ROUND(583.58+106.27*I6,-1),"TBD")</f>
        <v>0</v>
      </c>
      <c r="L6" s="1">
        <v>800</v>
      </c>
      <c r="M6" s="1">
        <f>IF(ISNUMBER(L6),L6,IF(ISNUMBER(K6),K6,"TBD"))</f>
        <v>0</v>
      </c>
      <c r="N6" s="1">
        <f>IF(ISNUMBER(J6),VLOOKUP(J6,ACTtoSAT,2,FALSE),"TBD")</f>
        <v>0</v>
      </c>
      <c r="O6" s="1">
        <f>IF(ISNUMBER(M6),IF(ISNUMBER(N6),MAX(M6,N6),M6),IF(ISNUMBER(N6),N6,"TBD"))</f>
        <v>0</v>
      </c>
      <c r="P6" s="1" t="s">
        <v>101</v>
      </c>
      <c r="Q6" s="1" t="s">
        <v>102</v>
      </c>
      <c r="R6" s="1" t="s">
        <v>103</v>
      </c>
      <c r="S6" s="1">
        <f>IF(AND(H6&lt;&gt;0,O6&lt;&gt;0),IF(ISNUMBER(VLOOKUP(TEXT(MAX(FLOOR(H6*10,1)/10,1.5),"0.0")&amp;":"&amp;MAX(O6,710),StrategyLookup,4,FALSE)),VLOOKUP(TEXT(MAX(FLOOR(H6*10,1)/10,1.5),"0.0")&amp;":"&amp;MAX(O6,710),StrategyLookup,4,FALSE),"TBD"),"TBD")</f>
        <v>0</v>
      </c>
      <c r="T6" s="11">
        <f>IF(ISNUMBER(S6),VLOOKUP(IF(OR(S6=5,S6=6),S6&amp;IF(H6&gt;=3,"+","&lt;"),S6&amp;""),TargetLookup,IF(B6=-1,6,IF(OR(P6="W",P6="A"),4,2)),FALSE),"TBD")</f>
        <v>0</v>
      </c>
      <c r="U6" s="11">
        <f>IF(ISNUMBER(S6),VLOOKUP(IF(OR(S6=5,S6=6),S6&amp;IF(H6&gt;=3,"+","&lt;"),S6&amp;""),TargetLookup,IF(B6=-1,7,IF(OR(P6="W",P6="A"),5,3)),FALSE),"TBD")</f>
        <v>0</v>
      </c>
      <c r="V6" s="18" t="s">
        <v>115</v>
      </c>
      <c r="W6" s="19" t="s">
        <v>111</v>
      </c>
      <c r="X6" s="19" t="s">
        <v>106</v>
      </c>
      <c r="Y6" s="19">
        <f>V6&amp;X6&amp;D6</f>
        <v>0</v>
      </c>
      <c r="Z6" s="11">
        <f t="array" ref="Z6">1-PRODUCT(IF(Students=E6,MGRMoneyMult,1))</f>
        <v>0</v>
      </c>
      <c r="AA6" s="12">
        <f t="array" ref="AA6">1-PRODUCT(IF(Students=E6,RGRMoneyMult,1))</f>
        <v>0</v>
      </c>
      <c r="AB6" s="13">
        <f>COUNTIFS(Students,E6,Results,"Accepted!")+COUNTIFS(Students,E6,Results,"CHOICE!")</f>
        <v>0</v>
      </c>
      <c r="AC6" s="1">
        <f>COUNTIFS(Students,E6,Results,"Deferred")+COUNTIFS(Students,E6,Results,"Waitlist")</f>
        <v>0</v>
      </c>
      <c r="AD6" s="13">
        <f>COUNTIFS(Students,E6,Results,"Denied")</f>
        <v>0</v>
      </c>
      <c r="AE6" s="13">
        <f>AB6+AC6+AD6+COUNTIFS(Students,E6,Results,"Submitted")</f>
        <v>0</v>
      </c>
      <c r="AF6" s="12">
        <v>0.6130136866971932</v>
      </c>
      <c r="AG6" s="12">
        <v>0.5466683844681599</v>
      </c>
      <c r="AH6" s="12">
        <v>0.4612360645620386</v>
      </c>
      <c r="AI6" s="12">
        <v>0.4286306406447062</v>
      </c>
      <c r="AJ6" s="13">
        <f>COUNTIFS(Students,E6,Results,"CHOICE!")</f>
        <v>0</v>
      </c>
      <c r="AK6" s="1">
        <f>COUNTIFS(MoneyYesNo,1,RGRcount,1,Students,E6,Results,"Accepted!")</f>
        <v>0</v>
      </c>
      <c r="AL6" s="1">
        <f>COUNTIFS(MoneyYesNo,1,MGRcount,1,Students,E6,Results,"Accepted!")-AK6</f>
        <v>0</v>
      </c>
      <c r="AM6" s="1">
        <f>COUNTIFS(MoneyYesNo,1,Students,E6,Results,"Accepted!")-AK6-AL6</f>
        <v>0</v>
      </c>
      <c r="AN6" s="13">
        <f>COUNTIFS(Students,E6,Results,"Accepted!")-AK6-AL6-AM6</f>
        <v>0</v>
      </c>
      <c r="AO6" s="1">
        <f>SUMIFS(RGRcount,Students,E6,MoneyYesNo,1)</f>
        <v>0</v>
      </c>
      <c r="AP6" s="1">
        <f>SUMIFS(MGRcount,Students,E6,MoneyYesNo,1)-AO6</f>
        <v>0</v>
      </c>
      <c r="AQ6" s="1">
        <f>SUMIF(Students,E6,MoneyYesNo)-AO6-AP6</f>
        <v>0</v>
      </c>
      <c r="AR6" s="13">
        <f>SUM(AO6,AP6,AQ6)</f>
        <v>0</v>
      </c>
      <c r="AS6" s="1">
        <f>SUMIF(Students,E6,RGRcount)</f>
        <v>0</v>
      </c>
      <c r="AT6" s="1">
        <f>SUMIF(Students,E6,MGRcount)-AS6</f>
        <v>0</v>
      </c>
      <c r="AU6" s="1">
        <f>COUNTIF(Students,E6)-AS6-AT6</f>
        <v>0</v>
      </c>
      <c r="AV6" s="1">
        <f>SUMIF(Students,E6,FarBelowTGRCount)</f>
        <v>0</v>
      </c>
      <c r="AW6" s="47">
        <f>COUNTIF(Students,E6)</f>
        <v>0</v>
      </c>
      <c r="AX6" s="11">
        <f>IF(AW6&gt;0,AE6/AW6,0)</f>
        <v>0</v>
      </c>
      <c r="AY6" s="11">
        <f t="array" ref="AY6">1-PRODUCT(IF(Students=E6,MGRMult,1))</f>
        <v>0</v>
      </c>
      <c r="AZ6" s="12">
        <f t="array" ref="AZ6">1-PRODUCT(IF(Students=E6,RGRMult,1))</f>
        <v>0</v>
      </c>
      <c r="BA6" s="1">
        <f>COUNTIFS(Students,E6,Classes,HailMaryLabel)</f>
        <v>0</v>
      </c>
      <c r="BB6" s="1">
        <f>COUNTIFS(Students,E6,Classes,LongshotLabel)</f>
        <v>0</v>
      </c>
      <c r="BC6" s="1">
        <f>COUNTIFS(Students,E6,Classes,ReachLabel)</f>
        <v>0</v>
      </c>
      <c r="BD6" s="1">
        <f>COUNTIFS(Students,E6,Classes,MatchLabel)</f>
        <v>0</v>
      </c>
      <c r="BE6" s="1">
        <f>COUNTIFS(Students,E6,Classes,SafetyLabel)</f>
        <v>0</v>
      </c>
      <c r="BF6" s="1">
        <f>COUNTIFS(Students,E6,Classes,SecureLabel)</f>
        <v>0</v>
      </c>
      <c r="BG6" s="1">
        <f>COUNTIFS(Students,E6,Classes,SureThingLabel)</f>
        <v>0</v>
      </c>
      <c r="BH6" s="13">
        <f>COUNTIFS(Students,E6,Classes,"Other")</f>
        <v>0</v>
      </c>
      <c r="BI6" s="1">
        <f>COUNTIFS(Students,E6,Classes,ReachLabel,MoneyYesNo,1)</f>
        <v>0</v>
      </c>
      <c r="BJ6" s="1">
        <f>COUNTIFS(Students,E6,Classes,MatchLabel,MoneyYesNo,1)</f>
        <v>0</v>
      </c>
      <c r="BK6" s="1">
        <f>COUNTIFS(Students,E6,Classes,SafetyLabel,MoneyYesNo,1)</f>
        <v>0</v>
      </c>
      <c r="BL6" s="1">
        <f>COUNTIFS(Students,E6,Classes,SecureLabel,MoneyYesNo,1)</f>
        <v>0</v>
      </c>
      <c r="BM6" s="1">
        <f>COUNTIFS(Students,E6,Classes,SureThingLabel,MoneyYesNo,1)</f>
        <v>0</v>
      </c>
      <c r="BN6" s="1">
        <f>SUM(BI6:BM6)</f>
        <v>0</v>
      </c>
      <c r="BO6" s="1">
        <f>SUMIFS(RGRcount,Students,E6,MoneyYesNo,1,Odds,"&gt;=20")</f>
        <v>0</v>
      </c>
      <c r="BP6" s="1">
        <f>SUMIFS(MGRcount,Students,E6,MoneyYesNo,1,Odds,"&gt;=20")-BO6</f>
        <v>0</v>
      </c>
      <c r="BQ6" s="1">
        <f>SUMIFS(MGRcount,Students,E6,MoneyYesNo,1,Odds,"&gt;=50")</f>
        <v>0</v>
      </c>
      <c r="BR6" s="1">
        <f>SUMIFS(RGRcount,Students,E6,MoneyYesNo,1,Odds,"&gt;=10")</f>
        <v>0</v>
      </c>
      <c r="BS6" s="1">
        <f>SUMIFS(MGRcount,Students,E6,MoneyYesNo,1,Odds,"&gt;=10")-BR6</f>
        <v>0</v>
      </c>
      <c r="BT6" s="1">
        <f>COUNTIFS(Students,E6,ILPublic,1)</f>
        <v>0</v>
      </c>
      <c r="BU6" s="1">
        <f>COUNTIFS(Students,E6,ILPublic,1,MoneyYesNo,1,Classes,MatchLabel)+COUNTIFS(Students,E6,ILPublic,1,MoneyYesNo,1,Classes,SafetyLabel)+COUNTIFS(Students,E6,ILPublic,1,MoneyYesNo,1,Classes,SecureLabel)+COUNTIFS(Students,E6,ILPublic,1,MoneyYesNo,1,Classes,SureThingLabel)</f>
        <v>0</v>
      </c>
      <c r="BV6" s="1">
        <f>COUNTIFS(Students,E6,ILPublic,1, Classes,SecureLabel)</f>
        <v>0</v>
      </c>
      <c r="BW6" s="1">
        <f>COUNTIFS(Students,E6,MoneyChicago,1)</f>
        <v>0</v>
      </c>
      <c r="BX6" s="1">
        <f>COUNTIFS(Students,E6,MatchOrUnder,1)</f>
        <v>0</v>
      </c>
      <c r="BY6" s="1">
        <f>SUMIF(Students,E6,MGRcount)</f>
        <v>0</v>
      </c>
      <c r="BZ6" s="1">
        <f>COUNTIFS(Students,E6,BadMoney,1)</f>
        <v>0</v>
      </c>
      <c r="CA6" s="1">
        <f>COUNTIFS(Students,E6,GoldenThree,1)</f>
        <v>0</v>
      </c>
      <c r="CB6" s="1">
        <f>COUNTIFS(Students,E6,NCESids,147536)</f>
        <v>0</v>
      </c>
      <c r="CC6" s="1">
        <f>COUNTIFS(Students,E6,NCESids,144157)+COUNTIFS(Students,E6,NCESids,144166)+COUNTIFS(Students,E6,NCESids,144175)+COUNTIFS(Students,E6,NCESids,144184)+COUNTIFS(Students,E6,NCESids,144193)+COUNTIFS(Students,E6,NCESids,144209)+COUNTIFS(Students,E6,NCESids,144218)</f>
        <v>0</v>
      </c>
      <c r="CD6" s="1">
        <f>COUNTIFS(Students,E6,Results,"Accepted!",FarBelowTGRCount,0)+COUNTIFS(Students,E6,Results,"CHOICE!",FarBelowTGRCount,0)</f>
        <v>0</v>
      </c>
    </row>
    <row r="7" spans="1:82">
      <c r="A7" s="18" t="s">
        <v>96</v>
      </c>
      <c r="B7" s="19">
        <v>0</v>
      </c>
      <c r="C7" s="18" t="s">
        <v>97</v>
      </c>
      <c r="D7" s="18" t="s">
        <v>120</v>
      </c>
      <c r="E7" s="19">
        <v>23207329</v>
      </c>
      <c r="F7" s="19" t="s">
        <v>121</v>
      </c>
      <c r="G7" s="10" t="s">
        <v>122</v>
      </c>
      <c r="H7" s="46">
        <v>3.3048</v>
      </c>
      <c r="I7" s="46">
        <v>3.5048</v>
      </c>
      <c r="J7" s="1">
        <v>24</v>
      </c>
      <c r="K7" s="1">
        <f>IF(ISNUMBER(I7),ROUND(583.58+106.27*I7,-1),"TBD")</f>
        <v>0</v>
      </c>
      <c r="L7" s="1">
        <v>920</v>
      </c>
      <c r="M7" s="1">
        <f>IF(ISNUMBER(L7),L7,IF(ISNUMBER(K7),K7,"TBD"))</f>
        <v>0</v>
      </c>
      <c r="N7" s="1">
        <f>IF(ISNUMBER(J7),VLOOKUP(J7,ACTtoSAT,2,FALSE),"TBD")</f>
        <v>0</v>
      </c>
      <c r="O7" s="1">
        <f>IF(ISNUMBER(M7),IF(ISNUMBER(N7),MAX(M7,N7),M7),IF(ISNUMBER(N7),N7,"TBD"))</f>
        <v>0</v>
      </c>
      <c r="P7" s="1" t="s">
        <v>101</v>
      </c>
      <c r="Q7" s="1" t="s">
        <v>123</v>
      </c>
      <c r="R7" s="1" t="s">
        <v>124</v>
      </c>
      <c r="S7" s="1">
        <f>IF(AND(H7&lt;&gt;0,O7&lt;&gt;0),IF(ISNUMBER(VLOOKUP(TEXT(MAX(FLOOR(H7*10,1)/10,1.5),"0.0")&amp;":"&amp;MAX(O7,710),StrategyLookup,4,FALSE)),VLOOKUP(TEXT(MAX(FLOOR(H7*10,1)/10,1.5),"0.0")&amp;":"&amp;MAX(O7,710),StrategyLookup,4,FALSE),"TBD"),"TBD")</f>
        <v>0</v>
      </c>
      <c r="T7" s="11">
        <f>IF(ISNUMBER(S7),VLOOKUP(IF(OR(S7=5,S7=6),S7&amp;IF(H7&gt;=3,"+","&lt;"),S7&amp;""),TargetLookup,IF(B7=-1,6,IF(OR(P7="W",P7="A"),4,2)),FALSE),"TBD")</f>
        <v>0</v>
      </c>
      <c r="U7" s="11">
        <f>IF(ISNUMBER(S7),VLOOKUP(IF(OR(S7=5,S7=6),S7&amp;IF(H7&gt;=3,"+","&lt;"),S7&amp;""),TargetLookup,IF(B7=-1,7,IF(OR(P7="W",P7="A"),5,3)),FALSE),"TBD")</f>
        <v>0</v>
      </c>
      <c r="V7" s="18" t="s">
        <v>104</v>
      </c>
      <c r="W7" s="19" t="s">
        <v>125</v>
      </c>
      <c r="X7" s="19" t="s">
        <v>106</v>
      </c>
      <c r="Y7" s="19">
        <f>V7&amp;X7&amp;D7</f>
        <v>0</v>
      </c>
      <c r="Z7" s="11">
        <f t="array" ref="Z7">1-PRODUCT(IF(Students=E7,MGRMoneyMult,1))</f>
        <v>0</v>
      </c>
      <c r="AA7" s="12">
        <f t="array" ref="AA7">1-PRODUCT(IF(Students=E7,RGRMoneyMult,1))</f>
        <v>0</v>
      </c>
      <c r="AB7" s="13">
        <f>COUNTIFS(Students,E7,Results,"Accepted!")+COUNTIFS(Students,E7,Results,"CHOICE!")</f>
        <v>0</v>
      </c>
      <c r="AC7" s="1">
        <f>COUNTIFS(Students,E7,Results,"Deferred")+COUNTIFS(Students,E7,Results,"Waitlist")</f>
        <v>0</v>
      </c>
      <c r="AD7" s="13">
        <f>COUNTIFS(Students,E7,Results,"Denied")</f>
        <v>0</v>
      </c>
      <c r="AE7" s="13">
        <f>AB7+AC7+AD7+COUNTIFS(Students,E7,Results,"Submitted")</f>
        <v>0</v>
      </c>
      <c r="AF7" s="12">
        <v>0.8101456436745146</v>
      </c>
      <c r="AG7" s="12">
        <v>0.7852322526640119</v>
      </c>
      <c r="AH7" s="12">
        <v>0.7157027298315092</v>
      </c>
      <c r="AI7" s="12">
        <v>0.6929011337764183</v>
      </c>
      <c r="AJ7" s="13">
        <f>COUNTIFS(Students,E7,Results,"CHOICE!")</f>
        <v>0</v>
      </c>
      <c r="AK7" s="1">
        <f>COUNTIFS(MoneyYesNo,1,RGRcount,1,Students,E7,Results,"Accepted!")</f>
        <v>0</v>
      </c>
      <c r="AL7" s="1">
        <f>COUNTIFS(MoneyYesNo,1,MGRcount,1,Students,E7,Results,"Accepted!")-AK7</f>
        <v>0</v>
      </c>
      <c r="AM7" s="1">
        <f>COUNTIFS(MoneyYesNo,1,Students,E7,Results,"Accepted!")-AK7-AL7</f>
        <v>0</v>
      </c>
      <c r="AN7" s="13">
        <f>COUNTIFS(Students,E7,Results,"Accepted!")-AK7-AL7-AM7</f>
        <v>0</v>
      </c>
      <c r="AO7" s="1">
        <f>SUMIFS(RGRcount,Students,E7,MoneyYesNo,1)</f>
        <v>0</v>
      </c>
      <c r="AP7" s="1">
        <f>SUMIFS(MGRcount,Students,E7,MoneyYesNo,1)-AO7</f>
        <v>0</v>
      </c>
      <c r="AQ7" s="1">
        <f>SUMIF(Students,E7,MoneyYesNo)-AO7-AP7</f>
        <v>0</v>
      </c>
      <c r="AR7" s="13">
        <f>SUM(AO7,AP7,AQ7)</f>
        <v>0</v>
      </c>
      <c r="AS7" s="1">
        <f>SUMIF(Students,E7,RGRcount)</f>
        <v>0</v>
      </c>
      <c r="AT7" s="1">
        <f>SUMIF(Students,E7,MGRcount)-AS7</f>
        <v>0</v>
      </c>
      <c r="AU7" s="1">
        <f>COUNTIF(Students,E7)-AS7-AT7</f>
        <v>0</v>
      </c>
      <c r="AV7" s="1">
        <f>SUMIF(Students,E7,FarBelowTGRCount)</f>
        <v>0</v>
      </c>
      <c r="AW7" s="47">
        <f>COUNTIF(Students,E7)</f>
        <v>0</v>
      </c>
      <c r="AX7" s="11">
        <f>IF(AW7&gt;0,AE7/AW7,0)</f>
        <v>0</v>
      </c>
      <c r="AY7" s="11">
        <f t="array" ref="AY7">1-PRODUCT(IF(Students=E7,MGRMult,1))</f>
        <v>0</v>
      </c>
      <c r="AZ7" s="12">
        <f t="array" ref="AZ7">1-PRODUCT(IF(Students=E7,RGRMult,1))</f>
        <v>0</v>
      </c>
      <c r="BA7" s="1">
        <f>COUNTIFS(Students,E7,Classes,HailMaryLabel)</f>
        <v>0</v>
      </c>
      <c r="BB7" s="1">
        <f>COUNTIFS(Students,E7,Classes,LongshotLabel)</f>
        <v>0</v>
      </c>
      <c r="BC7" s="1">
        <f>COUNTIFS(Students,E7,Classes,ReachLabel)</f>
        <v>0</v>
      </c>
      <c r="BD7" s="1">
        <f>COUNTIFS(Students,E7,Classes,MatchLabel)</f>
        <v>0</v>
      </c>
      <c r="BE7" s="1">
        <f>COUNTIFS(Students,E7,Classes,SafetyLabel)</f>
        <v>0</v>
      </c>
      <c r="BF7" s="1">
        <f>COUNTIFS(Students,E7,Classes,SecureLabel)</f>
        <v>0</v>
      </c>
      <c r="BG7" s="1">
        <f>COUNTIFS(Students,E7,Classes,SureThingLabel)</f>
        <v>0</v>
      </c>
      <c r="BH7" s="13">
        <f>COUNTIFS(Students,E7,Classes,"Other")</f>
        <v>0</v>
      </c>
      <c r="BI7" s="1">
        <f>COUNTIFS(Students,E7,Classes,ReachLabel,MoneyYesNo,1)</f>
        <v>0</v>
      </c>
      <c r="BJ7" s="1">
        <f>COUNTIFS(Students,E7,Classes,MatchLabel,MoneyYesNo,1)</f>
        <v>0</v>
      </c>
      <c r="BK7" s="1">
        <f>COUNTIFS(Students,E7,Classes,SafetyLabel,MoneyYesNo,1)</f>
        <v>0</v>
      </c>
      <c r="BL7" s="1">
        <f>COUNTIFS(Students,E7,Classes,SecureLabel,MoneyYesNo,1)</f>
        <v>0</v>
      </c>
      <c r="BM7" s="1">
        <f>COUNTIFS(Students,E7,Classes,SureThingLabel,MoneyYesNo,1)</f>
        <v>0</v>
      </c>
      <c r="BN7" s="1">
        <f>SUM(BI7:BM7)</f>
        <v>0</v>
      </c>
      <c r="BO7" s="1">
        <f>SUMIFS(RGRcount,Students,E7,MoneyYesNo,1,Odds,"&gt;=20")</f>
        <v>0</v>
      </c>
      <c r="BP7" s="1">
        <f>SUMIFS(MGRcount,Students,E7,MoneyYesNo,1,Odds,"&gt;=20")-BO7</f>
        <v>0</v>
      </c>
      <c r="BQ7" s="1">
        <f>SUMIFS(MGRcount,Students,E7,MoneyYesNo,1,Odds,"&gt;=50")</f>
        <v>0</v>
      </c>
      <c r="BR7" s="1">
        <f>SUMIFS(RGRcount,Students,E7,MoneyYesNo,1,Odds,"&gt;=10")</f>
        <v>0</v>
      </c>
      <c r="BS7" s="1">
        <f>SUMIFS(MGRcount,Students,E7,MoneyYesNo,1,Odds,"&gt;=10")-BR7</f>
        <v>0</v>
      </c>
      <c r="BT7" s="1">
        <f>COUNTIFS(Students,E7,ILPublic,1)</f>
        <v>0</v>
      </c>
      <c r="BU7" s="1">
        <f>COUNTIFS(Students,E7,ILPublic,1,MoneyYesNo,1,Classes,MatchLabel)+COUNTIFS(Students,E7,ILPublic,1,MoneyYesNo,1,Classes,SafetyLabel)+COUNTIFS(Students,E7,ILPublic,1,MoneyYesNo,1,Classes,SecureLabel)+COUNTIFS(Students,E7,ILPublic,1,MoneyYesNo,1,Classes,SureThingLabel)</f>
        <v>0</v>
      </c>
      <c r="BV7" s="1">
        <f>COUNTIFS(Students,E7,ILPublic,1, Classes,SecureLabel)</f>
        <v>0</v>
      </c>
      <c r="BW7" s="1">
        <f>COUNTIFS(Students,E7,MoneyChicago,1)</f>
        <v>0</v>
      </c>
      <c r="BX7" s="1">
        <f>COUNTIFS(Students,E7,MatchOrUnder,1)</f>
        <v>0</v>
      </c>
      <c r="BY7" s="1">
        <f>SUMIF(Students,E7,MGRcount)</f>
        <v>0</v>
      </c>
      <c r="BZ7" s="1">
        <f>COUNTIFS(Students,E7,BadMoney,1)</f>
        <v>0</v>
      </c>
      <c r="CA7" s="1">
        <f>COUNTIFS(Students,E7,GoldenThree,1)</f>
        <v>0</v>
      </c>
      <c r="CB7" s="1">
        <f>COUNTIFS(Students,E7,NCESids,147536)</f>
        <v>0</v>
      </c>
      <c r="CC7" s="1">
        <f>COUNTIFS(Students,E7,NCESids,144157)+COUNTIFS(Students,E7,NCESids,144166)+COUNTIFS(Students,E7,NCESids,144175)+COUNTIFS(Students,E7,NCESids,144184)+COUNTIFS(Students,E7,NCESids,144193)+COUNTIFS(Students,E7,NCESids,144209)+COUNTIFS(Students,E7,NCESids,144218)</f>
        <v>0</v>
      </c>
      <c r="CD7" s="1">
        <f>COUNTIFS(Students,E7,Results,"Accepted!",FarBelowTGRCount,0)+COUNTIFS(Students,E7,Results,"CHOICE!",FarBelowTGRCount,0)</f>
        <v>0</v>
      </c>
    </row>
    <row r="8" spans="1:82">
      <c r="A8" s="18" t="s">
        <v>96</v>
      </c>
      <c r="B8" s="19">
        <v>0</v>
      </c>
      <c r="C8" s="18" t="s">
        <v>97</v>
      </c>
      <c r="D8" s="18" t="s">
        <v>126</v>
      </c>
      <c r="E8" s="19">
        <v>23478500</v>
      </c>
      <c r="F8" s="19" t="s">
        <v>127</v>
      </c>
      <c r="G8" s="10" t="s">
        <v>128</v>
      </c>
      <c r="H8" s="46">
        <v>3.7462</v>
      </c>
      <c r="I8" s="46">
        <v>3.9462</v>
      </c>
      <c r="J8" s="1">
        <v>20</v>
      </c>
      <c r="K8" s="1">
        <f>IF(ISNUMBER(I8),ROUND(583.58+106.27*I8,-1),"TBD")</f>
        <v>0</v>
      </c>
      <c r="L8" s="1">
        <v>1020</v>
      </c>
      <c r="M8" s="1">
        <f>IF(ISNUMBER(L8),L8,IF(ISNUMBER(K8),K8,"TBD"))</f>
        <v>0</v>
      </c>
      <c r="N8" s="1">
        <f>IF(ISNUMBER(J8),VLOOKUP(J8,ACTtoSAT,2,FALSE),"TBD")</f>
        <v>0</v>
      </c>
      <c r="O8" s="1">
        <f>IF(ISNUMBER(M8),IF(ISNUMBER(N8),MAX(M8,N8),M8),IF(ISNUMBER(N8),N8,"TBD"))</f>
        <v>0</v>
      </c>
      <c r="P8" s="1" t="s">
        <v>129</v>
      </c>
      <c r="Q8" s="1" t="s">
        <v>123</v>
      </c>
      <c r="R8" s="1" t="s">
        <v>130</v>
      </c>
      <c r="S8" s="1">
        <f>IF(AND(H8&lt;&gt;0,O8&lt;&gt;0),IF(ISNUMBER(VLOOKUP(TEXT(MAX(FLOOR(H8*10,1)/10,1.5),"0.0")&amp;":"&amp;MAX(O8,710),StrategyLookup,4,FALSE)),VLOOKUP(TEXT(MAX(FLOOR(H8*10,1)/10,1.5),"0.0")&amp;":"&amp;MAX(O8,710),StrategyLookup,4,FALSE),"TBD"),"TBD")</f>
        <v>0</v>
      </c>
      <c r="T8" s="11">
        <f>IF(ISNUMBER(S8),VLOOKUP(IF(OR(S8=5,S8=6),S8&amp;IF(H8&gt;=3,"+","&lt;"),S8&amp;""),TargetLookup,IF(B8=-1,6,IF(OR(P8="W",P8="A"),4,2)),FALSE),"TBD")</f>
        <v>0</v>
      </c>
      <c r="U8" s="11">
        <f>IF(ISNUMBER(S8),VLOOKUP(IF(OR(S8=5,S8=6),S8&amp;IF(H8&gt;=3,"+","&lt;"),S8&amp;""),TargetLookup,IF(B8=-1,7,IF(OR(P8="W",P8="A"),5,3)),FALSE),"TBD")</f>
        <v>0</v>
      </c>
      <c r="V8" s="18" t="s">
        <v>115</v>
      </c>
      <c r="W8" s="19" t="s">
        <v>131</v>
      </c>
      <c r="X8" s="19" t="s">
        <v>106</v>
      </c>
      <c r="Y8" s="19">
        <f>V8&amp;X8&amp;D8</f>
        <v>0</v>
      </c>
      <c r="Z8" s="11">
        <f t="array" ref="Z8">1-PRODUCT(IF(Students=E8,MGRMoneyMult,1))</f>
        <v>0</v>
      </c>
      <c r="AA8" s="12">
        <f t="array" ref="AA8">1-PRODUCT(IF(Students=E8,RGRMoneyMult,1))</f>
        <v>0</v>
      </c>
      <c r="AB8" s="13">
        <f>COUNTIFS(Students,E8,Results,"Accepted!")+COUNTIFS(Students,E8,Results,"CHOICE!")</f>
        <v>0</v>
      </c>
      <c r="AC8" s="1">
        <f>COUNTIFS(Students,E8,Results,"Deferred")+COUNTIFS(Students,E8,Results,"Waitlist")</f>
        <v>0</v>
      </c>
      <c r="AD8" s="13">
        <f>COUNTIFS(Students,E8,Results,"Denied")</f>
        <v>0</v>
      </c>
      <c r="AE8" s="13">
        <f>AB8+AC8+AD8+COUNTIFS(Students,E8,Results,"Submitted")</f>
        <v>0</v>
      </c>
      <c r="AF8" s="12">
        <v>0.8629122610877549</v>
      </c>
      <c r="AG8" s="12">
        <v>0.8504376112246306</v>
      </c>
      <c r="AH8" s="12">
        <v>0.7745570350525164</v>
      </c>
      <c r="AI8" s="12">
        <v>0.7598291760881856</v>
      </c>
      <c r="AJ8" s="13">
        <f>COUNTIFS(Students,E8,Results,"CHOICE!")</f>
        <v>0</v>
      </c>
      <c r="AK8" s="1">
        <f>COUNTIFS(MoneyYesNo,1,RGRcount,1,Students,E8,Results,"Accepted!")</f>
        <v>0</v>
      </c>
      <c r="AL8" s="1">
        <f>COUNTIFS(MoneyYesNo,1,MGRcount,1,Students,E8,Results,"Accepted!")-AK8</f>
        <v>0</v>
      </c>
      <c r="AM8" s="1">
        <f>COUNTIFS(MoneyYesNo,1,Students,E8,Results,"Accepted!")-AK8-AL8</f>
        <v>0</v>
      </c>
      <c r="AN8" s="13">
        <f>COUNTIFS(Students,E8,Results,"Accepted!")-AK8-AL8-AM8</f>
        <v>0</v>
      </c>
      <c r="AO8" s="1">
        <f>SUMIFS(RGRcount,Students,E8,MoneyYesNo,1)</f>
        <v>0</v>
      </c>
      <c r="AP8" s="1">
        <f>SUMIFS(MGRcount,Students,E8,MoneyYesNo,1)-AO8</f>
        <v>0</v>
      </c>
      <c r="AQ8" s="1">
        <f>SUMIF(Students,E8,MoneyYesNo)-AO8-AP8</f>
        <v>0</v>
      </c>
      <c r="AR8" s="13">
        <f>SUM(AO8,AP8,AQ8)</f>
        <v>0</v>
      </c>
      <c r="AS8" s="1">
        <f>SUMIF(Students,E8,RGRcount)</f>
        <v>0</v>
      </c>
      <c r="AT8" s="1">
        <f>SUMIF(Students,E8,MGRcount)-AS8</f>
        <v>0</v>
      </c>
      <c r="AU8" s="1">
        <f>COUNTIF(Students,E8)-AS8-AT8</f>
        <v>0</v>
      </c>
      <c r="AV8" s="1">
        <f>SUMIF(Students,E8,FarBelowTGRCount)</f>
        <v>0</v>
      </c>
      <c r="AW8" s="47">
        <f>COUNTIF(Students,E8)</f>
        <v>0</v>
      </c>
      <c r="AX8" s="11">
        <f>IF(AW8&gt;0,AE8/AW8,0)</f>
        <v>0</v>
      </c>
      <c r="AY8" s="11">
        <f t="array" ref="AY8">1-PRODUCT(IF(Students=E8,MGRMult,1))</f>
        <v>0</v>
      </c>
      <c r="AZ8" s="12">
        <f t="array" ref="AZ8">1-PRODUCT(IF(Students=E8,RGRMult,1))</f>
        <v>0</v>
      </c>
      <c r="BA8" s="1">
        <f>COUNTIFS(Students,E8,Classes,HailMaryLabel)</f>
        <v>0</v>
      </c>
      <c r="BB8" s="1">
        <f>COUNTIFS(Students,E8,Classes,LongshotLabel)</f>
        <v>0</v>
      </c>
      <c r="BC8" s="1">
        <f>COUNTIFS(Students,E8,Classes,ReachLabel)</f>
        <v>0</v>
      </c>
      <c r="BD8" s="1">
        <f>COUNTIFS(Students,E8,Classes,MatchLabel)</f>
        <v>0</v>
      </c>
      <c r="BE8" s="1">
        <f>COUNTIFS(Students,E8,Classes,SafetyLabel)</f>
        <v>0</v>
      </c>
      <c r="BF8" s="1">
        <f>COUNTIFS(Students,E8,Classes,SecureLabel)</f>
        <v>0</v>
      </c>
      <c r="BG8" s="1">
        <f>COUNTIFS(Students,E8,Classes,SureThingLabel)</f>
        <v>0</v>
      </c>
      <c r="BH8" s="13">
        <f>COUNTIFS(Students,E8,Classes,"Other")</f>
        <v>0</v>
      </c>
      <c r="BI8" s="1">
        <f>COUNTIFS(Students,E8,Classes,ReachLabel,MoneyYesNo,1)</f>
        <v>0</v>
      </c>
      <c r="BJ8" s="1">
        <f>COUNTIFS(Students,E8,Classes,MatchLabel,MoneyYesNo,1)</f>
        <v>0</v>
      </c>
      <c r="BK8" s="1">
        <f>COUNTIFS(Students,E8,Classes,SafetyLabel,MoneyYesNo,1)</f>
        <v>0</v>
      </c>
      <c r="BL8" s="1">
        <f>COUNTIFS(Students,E8,Classes,SecureLabel,MoneyYesNo,1)</f>
        <v>0</v>
      </c>
      <c r="BM8" s="1">
        <f>COUNTIFS(Students,E8,Classes,SureThingLabel,MoneyYesNo,1)</f>
        <v>0</v>
      </c>
      <c r="BN8" s="1">
        <f>SUM(BI8:BM8)</f>
        <v>0</v>
      </c>
      <c r="BO8" s="1">
        <f>SUMIFS(RGRcount,Students,E8,MoneyYesNo,1,Odds,"&gt;=20")</f>
        <v>0</v>
      </c>
      <c r="BP8" s="1">
        <f>SUMIFS(MGRcount,Students,E8,MoneyYesNo,1,Odds,"&gt;=20")-BO8</f>
        <v>0</v>
      </c>
      <c r="BQ8" s="1">
        <f>SUMIFS(MGRcount,Students,E8,MoneyYesNo,1,Odds,"&gt;=50")</f>
        <v>0</v>
      </c>
      <c r="BR8" s="1">
        <f>SUMIFS(RGRcount,Students,E8,MoneyYesNo,1,Odds,"&gt;=10")</f>
        <v>0</v>
      </c>
      <c r="BS8" s="1">
        <f>SUMIFS(MGRcount,Students,E8,MoneyYesNo,1,Odds,"&gt;=10")-BR8</f>
        <v>0</v>
      </c>
      <c r="BT8" s="1">
        <f>COUNTIFS(Students,E8,ILPublic,1)</f>
        <v>0</v>
      </c>
      <c r="BU8" s="1">
        <f>COUNTIFS(Students,E8,ILPublic,1,MoneyYesNo,1,Classes,MatchLabel)+COUNTIFS(Students,E8,ILPublic,1,MoneyYesNo,1,Classes,SafetyLabel)+COUNTIFS(Students,E8,ILPublic,1,MoneyYesNo,1,Classes,SecureLabel)+COUNTIFS(Students,E8,ILPublic,1,MoneyYesNo,1,Classes,SureThingLabel)</f>
        <v>0</v>
      </c>
      <c r="BV8" s="1">
        <f>COUNTIFS(Students,E8,ILPublic,1, Classes,SecureLabel)</f>
        <v>0</v>
      </c>
      <c r="BW8" s="1">
        <f>COUNTIFS(Students,E8,MoneyChicago,1)</f>
        <v>0</v>
      </c>
      <c r="BX8" s="1">
        <f>COUNTIFS(Students,E8,MatchOrUnder,1)</f>
        <v>0</v>
      </c>
      <c r="BY8" s="1">
        <f>SUMIF(Students,E8,MGRcount)</f>
        <v>0</v>
      </c>
      <c r="BZ8" s="1">
        <f>COUNTIFS(Students,E8,BadMoney,1)</f>
        <v>0</v>
      </c>
      <c r="CA8" s="1">
        <f>COUNTIFS(Students,E8,GoldenThree,1)</f>
        <v>0</v>
      </c>
      <c r="CB8" s="1">
        <f>COUNTIFS(Students,E8,NCESids,147536)</f>
        <v>0</v>
      </c>
      <c r="CC8" s="1">
        <f>COUNTIFS(Students,E8,NCESids,144157)+COUNTIFS(Students,E8,NCESids,144166)+COUNTIFS(Students,E8,NCESids,144175)+COUNTIFS(Students,E8,NCESids,144184)+COUNTIFS(Students,E8,NCESids,144193)+COUNTIFS(Students,E8,NCESids,144209)+COUNTIFS(Students,E8,NCESids,144218)</f>
        <v>0</v>
      </c>
      <c r="CD8" s="1">
        <f>COUNTIFS(Students,E8,Results,"Accepted!",FarBelowTGRCount,0)+COUNTIFS(Students,E8,Results,"CHOICE!",FarBelowTGRCount,0)</f>
        <v>0</v>
      </c>
    </row>
    <row r="9" spans="1:82">
      <c r="A9" s="18" t="s">
        <v>96</v>
      </c>
      <c r="B9" s="19">
        <v>0</v>
      </c>
      <c r="C9" s="18" t="s">
        <v>97</v>
      </c>
      <c r="D9" s="18" t="s">
        <v>132</v>
      </c>
      <c r="E9" s="19">
        <v>24512354</v>
      </c>
      <c r="F9" s="19" t="s">
        <v>133</v>
      </c>
      <c r="G9" s="10" t="s">
        <v>134</v>
      </c>
      <c r="H9" s="46">
        <v>3.2019</v>
      </c>
      <c r="I9" s="46">
        <v>3.4019</v>
      </c>
      <c r="J9" s="1">
        <v>20</v>
      </c>
      <c r="K9" s="1">
        <f>IF(ISNUMBER(I9),ROUND(583.58+106.27*I9,-1),"TBD")</f>
        <v>0</v>
      </c>
      <c r="L9" s="1">
        <v>820</v>
      </c>
      <c r="M9" s="1">
        <f>IF(ISNUMBER(L9),L9,IF(ISNUMBER(K9),K9,"TBD"))</f>
        <v>0</v>
      </c>
      <c r="N9" s="1">
        <f>IF(ISNUMBER(J9),VLOOKUP(J9,ACTtoSAT,2,FALSE),"TBD")</f>
        <v>0</v>
      </c>
      <c r="O9" s="1">
        <f>IF(ISNUMBER(M9),IF(ISNUMBER(N9),MAX(M9,N9),M9),IF(ISNUMBER(N9),N9,"TBD"))</f>
        <v>0</v>
      </c>
      <c r="P9" s="1" t="s">
        <v>101</v>
      </c>
      <c r="Q9" s="1" t="s">
        <v>123</v>
      </c>
      <c r="R9" s="1" t="s">
        <v>124</v>
      </c>
      <c r="S9" s="1">
        <f>IF(AND(H9&lt;&gt;0,O9&lt;&gt;0),IF(ISNUMBER(VLOOKUP(TEXT(MAX(FLOOR(H9*10,1)/10,1.5),"0.0")&amp;":"&amp;MAX(O9,710),StrategyLookup,4,FALSE)),VLOOKUP(TEXT(MAX(FLOOR(H9*10,1)/10,1.5),"0.0")&amp;":"&amp;MAX(O9,710),StrategyLookup,4,FALSE),"TBD"),"TBD")</f>
        <v>0</v>
      </c>
      <c r="T9" s="11">
        <f>IF(ISNUMBER(S9),VLOOKUP(IF(OR(S9=5,S9=6),S9&amp;IF(H9&gt;=3,"+","&lt;"),S9&amp;""),TargetLookup,IF(B9=-1,6,IF(OR(P9="W",P9="A"),4,2)),FALSE),"TBD")</f>
        <v>0</v>
      </c>
      <c r="U9" s="11">
        <f>IF(ISNUMBER(S9),VLOOKUP(IF(OR(S9=5,S9=6),S9&amp;IF(H9&gt;=3,"+","&lt;"),S9&amp;""),TargetLookup,IF(B9=-1,7,IF(OR(P9="W",P9="A"),5,3)),FALSE),"TBD")</f>
        <v>0</v>
      </c>
      <c r="V9" s="18" t="s">
        <v>135</v>
      </c>
      <c r="W9" s="19" t="s">
        <v>136</v>
      </c>
      <c r="X9" s="19" t="s">
        <v>106</v>
      </c>
      <c r="Y9" s="19">
        <f>V9&amp;X9&amp;D9</f>
        <v>0</v>
      </c>
      <c r="Z9" s="11">
        <f t="array" ref="Z9">1-PRODUCT(IF(Students=E9,MGRMoneyMult,1))</f>
        <v>0</v>
      </c>
      <c r="AA9" s="12">
        <f t="array" ref="AA9">1-PRODUCT(IF(Students=E9,RGRMoneyMult,1))</f>
        <v>0</v>
      </c>
      <c r="AB9" s="13">
        <f>COUNTIFS(Students,E9,Results,"Accepted!")+COUNTIFS(Students,E9,Results,"CHOICE!")</f>
        <v>0</v>
      </c>
      <c r="AC9" s="1">
        <f>COUNTIFS(Students,E9,Results,"Deferred")+COUNTIFS(Students,E9,Results,"Waitlist")</f>
        <v>0</v>
      </c>
      <c r="AD9" s="13">
        <f>COUNTIFS(Students,E9,Results,"Denied")</f>
        <v>0</v>
      </c>
      <c r="AE9" s="13">
        <f>AB9+AC9+AD9+COUNTIFS(Students,E9,Results,"Submitted")</f>
        <v>0</v>
      </c>
      <c r="AF9" s="12">
        <v>0.7232269836408008</v>
      </c>
      <c r="AG9" s="12">
        <v>0.7123657346651685</v>
      </c>
      <c r="AH9" s="12">
        <v>0.6148102308441892</v>
      </c>
      <c r="AI9" s="12">
        <v>0.5969970435209213</v>
      </c>
      <c r="AJ9" s="13">
        <f>COUNTIFS(Students,E9,Results,"CHOICE!")</f>
        <v>0</v>
      </c>
      <c r="AK9" s="1">
        <f>COUNTIFS(MoneyYesNo,1,RGRcount,1,Students,E9,Results,"Accepted!")</f>
        <v>0</v>
      </c>
      <c r="AL9" s="1">
        <f>COUNTIFS(MoneyYesNo,1,MGRcount,1,Students,E9,Results,"Accepted!")-AK9</f>
        <v>0</v>
      </c>
      <c r="AM9" s="1">
        <f>COUNTIFS(MoneyYesNo,1,Students,E9,Results,"Accepted!")-AK9-AL9</f>
        <v>0</v>
      </c>
      <c r="AN9" s="13">
        <f>COUNTIFS(Students,E9,Results,"Accepted!")-AK9-AL9-AM9</f>
        <v>0</v>
      </c>
      <c r="AO9" s="1">
        <f>SUMIFS(RGRcount,Students,E9,MoneyYesNo,1)</f>
        <v>0</v>
      </c>
      <c r="AP9" s="1">
        <f>SUMIFS(MGRcount,Students,E9,MoneyYesNo,1)-AO9</f>
        <v>0</v>
      </c>
      <c r="AQ9" s="1">
        <f>SUMIF(Students,E9,MoneyYesNo)-AO9-AP9</f>
        <v>0</v>
      </c>
      <c r="AR9" s="13">
        <f>SUM(AO9,AP9,AQ9)</f>
        <v>0</v>
      </c>
      <c r="AS9" s="1">
        <f>SUMIF(Students,E9,RGRcount)</f>
        <v>0</v>
      </c>
      <c r="AT9" s="1">
        <f>SUMIF(Students,E9,MGRcount)-AS9</f>
        <v>0</v>
      </c>
      <c r="AU9" s="1">
        <f>COUNTIF(Students,E9)-AS9-AT9</f>
        <v>0</v>
      </c>
      <c r="AV9" s="1">
        <f>SUMIF(Students,E9,FarBelowTGRCount)</f>
        <v>0</v>
      </c>
      <c r="AW9" s="47">
        <f>COUNTIF(Students,E9)</f>
        <v>0</v>
      </c>
      <c r="AX9" s="11">
        <f>IF(AW9&gt;0,AE9/AW9,0)</f>
        <v>0</v>
      </c>
      <c r="AY9" s="11">
        <f t="array" ref="AY9">1-PRODUCT(IF(Students=E9,MGRMult,1))</f>
        <v>0</v>
      </c>
      <c r="AZ9" s="12">
        <f t="array" ref="AZ9">1-PRODUCT(IF(Students=E9,RGRMult,1))</f>
        <v>0</v>
      </c>
      <c r="BA9" s="1">
        <f>COUNTIFS(Students,E9,Classes,HailMaryLabel)</f>
        <v>0</v>
      </c>
      <c r="BB9" s="1">
        <f>COUNTIFS(Students,E9,Classes,LongshotLabel)</f>
        <v>0</v>
      </c>
      <c r="BC9" s="1">
        <f>COUNTIFS(Students,E9,Classes,ReachLabel)</f>
        <v>0</v>
      </c>
      <c r="BD9" s="1">
        <f>COUNTIFS(Students,E9,Classes,MatchLabel)</f>
        <v>0</v>
      </c>
      <c r="BE9" s="1">
        <f>COUNTIFS(Students,E9,Classes,SafetyLabel)</f>
        <v>0</v>
      </c>
      <c r="BF9" s="1">
        <f>COUNTIFS(Students,E9,Classes,SecureLabel)</f>
        <v>0</v>
      </c>
      <c r="BG9" s="1">
        <f>COUNTIFS(Students,E9,Classes,SureThingLabel)</f>
        <v>0</v>
      </c>
      <c r="BH9" s="13">
        <f>COUNTIFS(Students,E9,Classes,"Other")</f>
        <v>0</v>
      </c>
      <c r="BI9" s="1">
        <f>COUNTIFS(Students,E9,Classes,ReachLabel,MoneyYesNo,1)</f>
        <v>0</v>
      </c>
      <c r="BJ9" s="1">
        <f>COUNTIFS(Students,E9,Classes,MatchLabel,MoneyYesNo,1)</f>
        <v>0</v>
      </c>
      <c r="BK9" s="1">
        <f>COUNTIFS(Students,E9,Classes,SafetyLabel,MoneyYesNo,1)</f>
        <v>0</v>
      </c>
      <c r="BL9" s="1">
        <f>COUNTIFS(Students,E9,Classes,SecureLabel,MoneyYesNo,1)</f>
        <v>0</v>
      </c>
      <c r="BM9" s="1">
        <f>COUNTIFS(Students,E9,Classes,SureThingLabel,MoneyYesNo,1)</f>
        <v>0</v>
      </c>
      <c r="BN9" s="1">
        <f>SUM(BI9:BM9)</f>
        <v>0</v>
      </c>
      <c r="BO9" s="1">
        <f>SUMIFS(RGRcount,Students,E9,MoneyYesNo,1,Odds,"&gt;=20")</f>
        <v>0</v>
      </c>
      <c r="BP9" s="1">
        <f>SUMIFS(MGRcount,Students,E9,MoneyYesNo,1,Odds,"&gt;=20")-BO9</f>
        <v>0</v>
      </c>
      <c r="BQ9" s="1">
        <f>SUMIFS(MGRcount,Students,E9,MoneyYesNo,1,Odds,"&gt;=50")</f>
        <v>0</v>
      </c>
      <c r="BR9" s="1">
        <f>SUMIFS(RGRcount,Students,E9,MoneyYesNo,1,Odds,"&gt;=10")</f>
        <v>0</v>
      </c>
      <c r="BS9" s="1">
        <f>SUMIFS(MGRcount,Students,E9,MoneyYesNo,1,Odds,"&gt;=10")-BR9</f>
        <v>0</v>
      </c>
      <c r="BT9" s="1">
        <f>COUNTIFS(Students,E9,ILPublic,1)</f>
        <v>0</v>
      </c>
      <c r="BU9" s="1">
        <f>COUNTIFS(Students,E9,ILPublic,1,MoneyYesNo,1,Classes,MatchLabel)+COUNTIFS(Students,E9,ILPublic,1,MoneyYesNo,1,Classes,SafetyLabel)+COUNTIFS(Students,E9,ILPublic,1,MoneyYesNo,1,Classes,SecureLabel)+COUNTIFS(Students,E9,ILPublic,1,MoneyYesNo,1,Classes,SureThingLabel)</f>
        <v>0</v>
      </c>
      <c r="BV9" s="1">
        <f>COUNTIFS(Students,E9,ILPublic,1, Classes,SecureLabel)</f>
        <v>0</v>
      </c>
      <c r="BW9" s="1">
        <f>COUNTIFS(Students,E9,MoneyChicago,1)</f>
        <v>0</v>
      </c>
      <c r="BX9" s="1">
        <f>COUNTIFS(Students,E9,MatchOrUnder,1)</f>
        <v>0</v>
      </c>
      <c r="BY9" s="1">
        <f>SUMIF(Students,E9,MGRcount)</f>
        <v>0</v>
      </c>
      <c r="BZ9" s="1">
        <f>COUNTIFS(Students,E9,BadMoney,1)</f>
        <v>0</v>
      </c>
      <c r="CA9" s="1">
        <f>COUNTIFS(Students,E9,GoldenThree,1)</f>
        <v>0</v>
      </c>
      <c r="CB9" s="1">
        <f>COUNTIFS(Students,E9,NCESids,147536)</f>
        <v>0</v>
      </c>
      <c r="CC9" s="1">
        <f>COUNTIFS(Students,E9,NCESids,144157)+COUNTIFS(Students,E9,NCESids,144166)+COUNTIFS(Students,E9,NCESids,144175)+COUNTIFS(Students,E9,NCESids,144184)+COUNTIFS(Students,E9,NCESids,144193)+COUNTIFS(Students,E9,NCESids,144209)+COUNTIFS(Students,E9,NCESids,144218)</f>
        <v>0</v>
      </c>
      <c r="CD9" s="1">
        <f>COUNTIFS(Students,E9,Results,"Accepted!",FarBelowTGRCount,0)+COUNTIFS(Students,E9,Results,"CHOICE!",FarBelowTGRCount,0)</f>
        <v>0</v>
      </c>
    </row>
    <row r="10" spans="1:82">
      <c r="A10" s="18" t="s">
        <v>96</v>
      </c>
      <c r="B10" s="19">
        <v>0</v>
      </c>
      <c r="C10" s="18" t="s">
        <v>97</v>
      </c>
      <c r="D10" s="18" t="s">
        <v>137</v>
      </c>
      <c r="E10" s="19">
        <v>30115187</v>
      </c>
      <c r="F10" s="19" t="s">
        <v>138</v>
      </c>
      <c r="G10" s="10" t="s">
        <v>139</v>
      </c>
      <c r="H10" s="46">
        <v>3.274</v>
      </c>
      <c r="I10" s="46">
        <v>3.474</v>
      </c>
      <c r="J10" s="1">
        <v>22</v>
      </c>
      <c r="K10" s="1">
        <f>IF(ISNUMBER(I10),ROUND(583.58+106.27*I10,-1),"TBD")</f>
        <v>0</v>
      </c>
      <c r="L10" s="1">
        <v>1030</v>
      </c>
      <c r="M10" s="1">
        <f>IF(ISNUMBER(L10),L10,IF(ISNUMBER(K10),K10,"TBD"))</f>
        <v>0</v>
      </c>
      <c r="N10" s="1">
        <f>IF(ISNUMBER(J10),VLOOKUP(J10,ACTtoSAT,2,FALSE),"TBD")</f>
        <v>0</v>
      </c>
      <c r="O10" s="1">
        <f>IF(ISNUMBER(M10),IF(ISNUMBER(N10),MAX(M10,N10),M10),IF(ISNUMBER(N10),N10,"TBD"))</f>
        <v>0</v>
      </c>
      <c r="P10" s="1" t="s">
        <v>101</v>
      </c>
      <c r="Q10" s="1" t="s">
        <v>123</v>
      </c>
      <c r="R10" s="1" t="s">
        <v>124</v>
      </c>
      <c r="S10" s="1">
        <f>IF(AND(H10&lt;&gt;0,O10&lt;&gt;0),IF(ISNUMBER(VLOOKUP(TEXT(MAX(FLOOR(H10*10,1)/10,1.5),"0.0")&amp;":"&amp;MAX(O10,710),StrategyLookup,4,FALSE)),VLOOKUP(TEXT(MAX(FLOOR(H10*10,1)/10,1.5),"0.0")&amp;":"&amp;MAX(O10,710),StrategyLookup,4,FALSE),"TBD"),"TBD")</f>
        <v>0</v>
      </c>
      <c r="T10" s="11">
        <f>IF(ISNUMBER(S10),VLOOKUP(IF(OR(S10=5,S10=6),S10&amp;IF(H10&gt;=3,"+","&lt;"),S10&amp;""),TargetLookup,IF(B10=-1,6,IF(OR(P10="W",P10="A"),4,2)),FALSE),"TBD")</f>
        <v>0</v>
      </c>
      <c r="U10" s="11">
        <f>IF(ISNUMBER(S10),VLOOKUP(IF(OR(S10=5,S10=6),S10&amp;IF(H10&gt;=3,"+","&lt;"),S10&amp;""),TargetLookup,IF(B10=-1,7,IF(OR(P10="W",P10="A"),5,3)),FALSE),"TBD")</f>
        <v>0</v>
      </c>
      <c r="V10" s="18" t="s">
        <v>115</v>
      </c>
      <c r="W10" s="19" t="s">
        <v>105</v>
      </c>
      <c r="X10" s="19" t="s">
        <v>106</v>
      </c>
      <c r="Y10" s="19">
        <f>V10&amp;X10&amp;D10</f>
        <v>0</v>
      </c>
      <c r="Z10" s="11">
        <f t="array" ref="Z10">1-PRODUCT(IF(Students=E10,MGRMoneyMult,1))</f>
        <v>0</v>
      </c>
      <c r="AA10" s="12">
        <f t="array" ref="AA10">1-PRODUCT(IF(Students=E10,RGRMoneyMult,1))</f>
        <v>0</v>
      </c>
      <c r="AB10" s="13">
        <f>COUNTIFS(Students,E10,Results,"Accepted!")+COUNTIFS(Students,E10,Results,"CHOICE!")</f>
        <v>0</v>
      </c>
      <c r="AC10" s="1">
        <f>COUNTIFS(Students,E10,Results,"Deferred")+COUNTIFS(Students,E10,Results,"Waitlist")</f>
        <v>0</v>
      </c>
      <c r="AD10" s="13">
        <f>COUNTIFS(Students,E10,Results,"Denied")</f>
        <v>0</v>
      </c>
      <c r="AE10" s="13">
        <f>AB10+AC10+AD10+COUNTIFS(Students,E10,Results,"Submitted")</f>
        <v>0</v>
      </c>
      <c r="AF10" s="12">
        <v>0.7784244232909937</v>
      </c>
      <c r="AG10" s="12">
        <v>0.7575584727419918</v>
      </c>
      <c r="AH10" s="12">
        <v>0.7009370396245613</v>
      </c>
      <c r="AI10" s="12">
        <v>0.6763835192753784</v>
      </c>
      <c r="AJ10" s="13">
        <f>COUNTIFS(Students,E10,Results,"CHOICE!")</f>
        <v>0</v>
      </c>
      <c r="AK10" s="1">
        <f>COUNTIFS(MoneyYesNo,1,RGRcount,1,Students,E10,Results,"Accepted!")</f>
        <v>0</v>
      </c>
      <c r="AL10" s="1">
        <f>COUNTIFS(MoneyYesNo,1,MGRcount,1,Students,E10,Results,"Accepted!")-AK10</f>
        <v>0</v>
      </c>
      <c r="AM10" s="1">
        <f>COUNTIFS(MoneyYesNo,1,Students,E10,Results,"Accepted!")-AK10-AL10</f>
        <v>0</v>
      </c>
      <c r="AN10" s="13">
        <f>COUNTIFS(Students,E10,Results,"Accepted!")-AK10-AL10-AM10</f>
        <v>0</v>
      </c>
      <c r="AO10" s="1">
        <f>SUMIFS(RGRcount,Students,E10,MoneyYesNo,1)</f>
        <v>0</v>
      </c>
      <c r="AP10" s="1">
        <f>SUMIFS(MGRcount,Students,E10,MoneyYesNo,1)-AO10</f>
        <v>0</v>
      </c>
      <c r="AQ10" s="1">
        <f>SUMIF(Students,E10,MoneyYesNo)-AO10-AP10</f>
        <v>0</v>
      </c>
      <c r="AR10" s="13">
        <f>SUM(AO10,AP10,AQ10)</f>
        <v>0</v>
      </c>
      <c r="AS10" s="1">
        <f>SUMIF(Students,E10,RGRcount)</f>
        <v>0</v>
      </c>
      <c r="AT10" s="1">
        <f>SUMIF(Students,E10,MGRcount)-AS10</f>
        <v>0</v>
      </c>
      <c r="AU10" s="1">
        <f>COUNTIF(Students,E10)-AS10-AT10</f>
        <v>0</v>
      </c>
      <c r="AV10" s="1">
        <f>SUMIF(Students,E10,FarBelowTGRCount)</f>
        <v>0</v>
      </c>
      <c r="AW10" s="47">
        <f>COUNTIF(Students,E10)</f>
        <v>0</v>
      </c>
      <c r="AX10" s="11">
        <f>IF(AW10&gt;0,AE10/AW10,0)</f>
        <v>0</v>
      </c>
      <c r="AY10" s="11">
        <f t="array" ref="AY10">1-PRODUCT(IF(Students=E10,MGRMult,1))</f>
        <v>0</v>
      </c>
      <c r="AZ10" s="12">
        <f t="array" ref="AZ10">1-PRODUCT(IF(Students=E10,RGRMult,1))</f>
        <v>0</v>
      </c>
      <c r="BA10" s="1">
        <f>COUNTIFS(Students,E10,Classes,HailMaryLabel)</f>
        <v>0</v>
      </c>
      <c r="BB10" s="1">
        <f>COUNTIFS(Students,E10,Classes,LongshotLabel)</f>
        <v>0</v>
      </c>
      <c r="BC10" s="1">
        <f>COUNTIFS(Students,E10,Classes,ReachLabel)</f>
        <v>0</v>
      </c>
      <c r="BD10" s="1">
        <f>COUNTIFS(Students,E10,Classes,MatchLabel)</f>
        <v>0</v>
      </c>
      <c r="BE10" s="1">
        <f>COUNTIFS(Students,E10,Classes,SafetyLabel)</f>
        <v>0</v>
      </c>
      <c r="BF10" s="1">
        <f>COUNTIFS(Students,E10,Classes,SecureLabel)</f>
        <v>0</v>
      </c>
      <c r="BG10" s="1">
        <f>COUNTIFS(Students,E10,Classes,SureThingLabel)</f>
        <v>0</v>
      </c>
      <c r="BH10" s="13">
        <f>COUNTIFS(Students,E10,Classes,"Other")</f>
        <v>0</v>
      </c>
      <c r="BI10" s="1">
        <f>COUNTIFS(Students,E10,Classes,ReachLabel,MoneyYesNo,1)</f>
        <v>0</v>
      </c>
      <c r="BJ10" s="1">
        <f>COUNTIFS(Students,E10,Classes,MatchLabel,MoneyYesNo,1)</f>
        <v>0</v>
      </c>
      <c r="BK10" s="1">
        <f>COUNTIFS(Students,E10,Classes,SafetyLabel,MoneyYesNo,1)</f>
        <v>0</v>
      </c>
      <c r="BL10" s="1">
        <f>COUNTIFS(Students,E10,Classes,SecureLabel,MoneyYesNo,1)</f>
        <v>0</v>
      </c>
      <c r="BM10" s="1">
        <f>COUNTIFS(Students,E10,Classes,SureThingLabel,MoneyYesNo,1)</f>
        <v>0</v>
      </c>
      <c r="BN10" s="1">
        <f>SUM(BI10:BM10)</f>
        <v>0</v>
      </c>
      <c r="BO10" s="1">
        <f>SUMIFS(RGRcount,Students,E10,MoneyYesNo,1,Odds,"&gt;=20")</f>
        <v>0</v>
      </c>
      <c r="BP10" s="1">
        <f>SUMIFS(MGRcount,Students,E10,MoneyYesNo,1,Odds,"&gt;=20")-BO10</f>
        <v>0</v>
      </c>
      <c r="BQ10" s="1">
        <f>SUMIFS(MGRcount,Students,E10,MoneyYesNo,1,Odds,"&gt;=50")</f>
        <v>0</v>
      </c>
      <c r="BR10" s="1">
        <f>SUMIFS(RGRcount,Students,E10,MoneyYesNo,1,Odds,"&gt;=10")</f>
        <v>0</v>
      </c>
      <c r="BS10" s="1">
        <f>SUMIFS(MGRcount,Students,E10,MoneyYesNo,1,Odds,"&gt;=10")-BR10</f>
        <v>0</v>
      </c>
      <c r="BT10" s="1">
        <f>COUNTIFS(Students,E10,ILPublic,1)</f>
        <v>0</v>
      </c>
      <c r="BU10" s="1">
        <f>COUNTIFS(Students,E10,ILPublic,1,MoneyYesNo,1,Classes,MatchLabel)+COUNTIFS(Students,E10,ILPublic,1,MoneyYesNo,1,Classes,SafetyLabel)+COUNTIFS(Students,E10,ILPublic,1,MoneyYesNo,1,Classes,SecureLabel)+COUNTIFS(Students,E10,ILPublic,1,MoneyYesNo,1,Classes,SureThingLabel)</f>
        <v>0</v>
      </c>
      <c r="BV10" s="1">
        <f>COUNTIFS(Students,E10,ILPublic,1, Classes,SecureLabel)</f>
        <v>0</v>
      </c>
      <c r="BW10" s="1">
        <f>COUNTIFS(Students,E10,MoneyChicago,1)</f>
        <v>0</v>
      </c>
      <c r="BX10" s="1">
        <f>COUNTIFS(Students,E10,MatchOrUnder,1)</f>
        <v>0</v>
      </c>
      <c r="BY10" s="1">
        <f>SUMIF(Students,E10,MGRcount)</f>
        <v>0</v>
      </c>
      <c r="BZ10" s="1">
        <f>COUNTIFS(Students,E10,BadMoney,1)</f>
        <v>0</v>
      </c>
      <c r="CA10" s="1">
        <f>COUNTIFS(Students,E10,GoldenThree,1)</f>
        <v>0</v>
      </c>
      <c r="CB10" s="1">
        <f>COUNTIFS(Students,E10,NCESids,147536)</f>
        <v>0</v>
      </c>
      <c r="CC10" s="1">
        <f>COUNTIFS(Students,E10,NCESids,144157)+COUNTIFS(Students,E10,NCESids,144166)+COUNTIFS(Students,E10,NCESids,144175)+COUNTIFS(Students,E10,NCESids,144184)+COUNTIFS(Students,E10,NCESids,144193)+COUNTIFS(Students,E10,NCESids,144209)+COUNTIFS(Students,E10,NCESids,144218)</f>
        <v>0</v>
      </c>
      <c r="CD10" s="1">
        <f>COUNTIFS(Students,E10,Results,"Accepted!",FarBelowTGRCount,0)+COUNTIFS(Students,E10,Results,"CHOICE!",FarBelowTGRCount,0)</f>
        <v>0</v>
      </c>
    </row>
    <row r="11" spans="1:82">
      <c r="A11" s="18" t="s">
        <v>96</v>
      </c>
      <c r="B11" s="19">
        <v>-1</v>
      </c>
      <c r="C11" s="18" t="s">
        <v>97</v>
      </c>
      <c r="D11" s="18" t="s">
        <v>140</v>
      </c>
      <c r="E11" s="19">
        <v>23036214</v>
      </c>
      <c r="F11" s="19" t="s">
        <v>141</v>
      </c>
      <c r="G11" s="10" t="s">
        <v>142</v>
      </c>
      <c r="H11" s="46">
        <v>3.6271</v>
      </c>
      <c r="I11" s="46">
        <v>3.8271</v>
      </c>
      <c r="J11" s="1">
        <v>22</v>
      </c>
      <c r="K11" s="1">
        <f>IF(ISNUMBER(I11),ROUND(583.58+106.27*I11,-1),"TBD")</f>
        <v>0</v>
      </c>
      <c r="L11" s="1">
        <v>810</v>
      </c>
      <c r="M11" s="1">
        <f>IF(ISNUMBER(L11),L11,IF(ISNUMBER(K11),K11,"TBD"))</f>
        <v>0</v>
      </c>
      <c r="N11" s="1">
        <f>IF(ISNUMBER(J11),VLOOKUP(J11,ACTtoSAT,2,FALSE),"TBD")</f>
        <v>0</v>
      </c>
      <c r="O11" s="1">
        <f>IF(ISNUMBER(M11),IF(ISNUMBER(N11),MAX(M11,N11),M11),IF(ISNUMBER(N11),N11,"TBD"))</f>
        <v>0</v>
      </c>
      <c r="P11" s="1" t="s">
        <v>101</v>
      </c>
      <c r="Q11" s="1" t="s">
        <v>123</v>
      </c>
      <c r="R11" s="1" t="s">
        <v>124</v>
      </c>
      <c r="S11" s="1">
        <f>IF(AND(H11&lt;&gt;0,O11&lt;&gt;0),IF(ISNUMBER(VLOOKUP(TEXT(MAX(FLOOR(H11*10,1)/10,1.5),"0.0")&amp;":"&amp;MAX(O11,710),StrategyLookup,4,FALSE)),VLOOKUP(TEXT(MAX(FLOOR(H11*10,1)/10,1.5),"0.0")&amp;":"&amp;MAX(O11,710),StrategyLookup,4,FALSE),"TBD"),"TBD")</f>
        <v>0</v>
      </c>
      <c r="T11" s="11">
        <f>IF(ISNUMBER(S11),VLOOKUP(IF(OR(S11=5,S11=6),S11&amp;IF(H11&gt;=3,"+","&lt;"),S11&amp;""),TargetLookup,IF(B11=-1,6,IF(OR(P11="W",P11="A"),4,2)),FALSE),"TBD")</f>
        <v>0</v>
      </c>
      <c r="U11" s="11">
        <f>IF(ISNUMBER(S11),VLOOKUP(IF(OR(S11=5,S11=6),S11&amp;IF(H11&gt;=3,"+","&lt;"),S11&amp;""),TargetLookup,IF(B11=-1,7,IF(OR(P11="W",P11="A"),5,3)),FALSE),"TBD")</f>
        <v>0</v>
      </c>
      <c r="V11" s="18" t="s">
        <v>135</v>
      </c>
      <c r="W11" s="19" t="s">
        <v>131</v>
      </c>
      <c r="X11" s="19" t="s">
        <v>106</v>
      </c>
      <c r="Y11" s="19">
        <f>V11&amp;X11&amp;D11</f>
        <v>0</v>
      </c>
      <c r="Z11" s="11">
        <f t="array" ref="Z11">1-PRODUCT(IF(Students=E11,MGRMoneyMult,1))</f>
        <v>0</v>
      </c>
      <c r="AA11" s="12">
        <f t="array" ref="AA11">1-PRODUCT(IF(Students=E11,RGRMoneyMult,1))</f>
        <v>0</v>
      </c>
      <c r="AB11" s="13">
        <f>COUNTIFS(Students,E11,Results,"Accepted!")+COUNTIFS(Students,E11,Results,"CHOICE!")</f>
        <v>0</v>
      </c>
      <c r="AC11" s="1">
        <f>COUNTIFS(Students,E11,Results,"Deferred")+COUNTIFS(Students,E11,Results,"Waitlist")</f>
        <v>0</v>
      </c>
      <c r="AD11" s="13">
        <f>COUNTIFS(Students,E11,Results,"Denied")</f>
        <v>0</v>
      </c>
      <c r="AE11" s="13">
        <f>AB11+AC11+AD11+COUNTIFS(Students,E11,Results,"Submitted")</f>
        <v>0</v>
      </c>
      <c r="AF11" s="12">
        <v>0.7755867318746557</v>
      </c>
      <c r="AG11" s="12">
        <v>0.7453589629093861</v>
      </c>
      <c r="AH11" s="12">
        <v>0.6100447829030122</v>
      </c>
      <c r="AI11" s="12">
        <v>0.5823816840306306</v>
      </c>
      <c r="AJ11" s="13">
        <f>COUNTIFS(Students,E11,Results,"CHOICE!")</f>
        <v>0</v>
      </c>
      <c r="AK11" s="1">
        <f>COUNTIFS(MoneyYesNo,1,RGRcount,1,Students,E11,Results,"Accepted!")</f>
        <v>0</v>
      </c>
      <c r="AL11" s="1">
        <f>COUNTIFS(MoneyYesNo,1,MGRcount,1,Students,E11,Results,"Accepted!")-AK11</f>
        <v>0</v>
      </c>
      <c r="AM11" s="1">
        <f>COUNTIFS(MoneyYesNo,1,Students,E11,Results,"Accepted!")-AK11-AL11</f>
        <v>0</v>
      </c>
      <c r="AN11" s="13">
        <f>COUNTIFS(Students,E11,Results,"Accepted!")-AK11-AL11-AM11</f>
        <v>0</v>
      </c>
      <c r="AO11" s="1">
        <f>SUMIFS(RGRcount,Students,E11,MoneyYesNo,1)</f>
        <v>0</v>
      </c>
      <c r="AP11" s="1">
        <f>SUMIFS(MGRcount,Students,E11,MoneyYesNo,1)-AO11</f>
        <v>0</v>
      </c>
      <c r="AQ11" s="1">
        <f>SUMIF(Students,E11,MoneyYesNo)-AO11-AP11</f>
        <v>0</v>
      </c>
      <c r="AR11" s="13">
        <f>SUM(AO11,AP11,AQ11)</f>
        <v>0</v>
      </c>
      <c r="AS11" s="1">
        <f>SUMIF(Students,E11,RGRcount)</f>
        <v>0</v>
      </c>
      <c r="AT11" s="1">
        <f>SUMIF(Students,E11,MGRcount)-AS11</f>
        <v>0</v>
      </c>
      <c r="AU11" s="1">
        <f>COUNTIF(Students,E11)-AS11-AT11</f>
        <v>0</v>
      </c>
      <c r="AV11" s="1">
        <f>SUMIF(Students,E11,FarBelowTGRCount)</f>
        <v>0</v>
      </c>
      <c r="AW11" s="47">
        <f>COUNTIF(Students,E11)</f>
        <v>0</v>
      </c>
      <c r="AX11" s="11">
        <f>IF(AW11&gt;0,AE11/AW11,0)</f>
        <v>0</v>
      </c>
      <c r="AY11" s="11">
        <f t="array" ref="AY11">1-PRODUCT(IF(Students=E11,MGRMult,1))</f>
        <v>0</v>
      </c>
      <c r="AZ11" s="12">
        <f t="array" ref="AZ11">1-PRODUCT(IF(Students=E11,RGRMult,1))</f>
        <v>0</v>
      </c>
      <c r="BA11" s="1">
        <f>COUNTIFS(Students,E11,Classes,HailMaryLabel)</f>
        <v>0</v>
      </c>
      <c r="BB11" s="1">
        <f>COUNTIFS(Students,E11,Classes,LongshotLabel)</f>
        <v>0</v>
      </c>
      <c r="BC11" s="1">
        <f>COUNTIFS(Students,E11,Classes,ReachLabel)</f>
        <v>0</v>
      </c>
      <c r="BD11" s="1">
        <f>COUNTIFS(Students,E11,Classes,MatchLabel)</f>
        <v>0</v>
      </c>
      <c r="BE11" s="1">
        <f>COUNTIFS(Students,E11,Classes,SafetyLabel)</f>
        <v>0</v>
      </c>
      <c r="BF11" s="1">
        <f>COUNTIFS(Students,E11,Classes,SecureLabel)</f>
        <v>0</v>
      </c>
      <c r="BG11" s="1">
        <f>COUNTIFS(Students,E11,Classes,SureThingLabel)</f>
        <v>0</v>
      </c>
      <c r="BH11" s="13">
        <f>COUNTIFS(Students,E11,Classes,"Other")</f>
        <v>0</v>
      </c>
      <c r="BI11" s="1">
        <f>COUNTIFS(Students,E11,Classes,ReachLabel,MoneyYesNo,1)</f>
        <v>0</v>
      </c>
      <c r="BJ11" s="1">
        <f>COUNTIFS(Students,E11,Classes,MatchLabel,MoneyYesNo,1)</f>
        <v>0</v>
      </c>
      <c r="BK11" s="1">
        <f>COUNTIFS(Students,E11,Classes,SafetyLabel,MoneyYesNo,1)</f>
        <v>0</v>
      </c>
      <c r="BL11" s="1">
        <f>COUNTIFS(Students,E11,Classes,SecureLabel,MoneyYesNo,1)</f>
        <v>0</v>
      </c>
      <c r="BM11" s="1">
        <f>COUNTIFS(Students,E11,Classes,SureThingLabel,MoneyYesNo,1)</f>
        <v>0</v>
      </c>
      <c r="BN11" s="1">
        <f>SUM(BI11:BM11)</f>
        <v>0</v>
      </c>
      <c r="BO11" s="1">
        <f>SUMIFS(RGRcount,Students,E11,MoneyYesNo,1,Odds,"&gt;=20")</f>
        <v>0</v>
      </c>
      <c r="BP11" s="1">
        <f>SUMIFS(MGRcount,Students,E11,MoneyYesNo,1,Odds,"&gt;=20")-BO11</f>
        <v>0</v>
      </c>
      <c r="BQ11" s="1">
        <f>SUMIFS(MGRcount,Students,E11,MoneyYesNo,1,Odds,"&gt;=50")</f>
        <v>0</v>
      </c>
      <c r="BR11" s="1">
        <f>SUMIFS(RGRcount,Students,E11,MoneyYesNo,1,Odds,"&gt;=10")</f>
        <v>0</v>
      </c>
      <c r="BS11" s="1">
        <f>SUMIFS(MGRcount,Students,E11,MoneyYesNo,1,Odds,"&gt;=10")-BR11</f>
        <v>0</v>
      </c>
      <c r="BT11" s="1">
        <f>COUNTIFS(Students,E11,ILPublic,1)</f>
        <v>0</v>
      </c>
      <c r="BU11" s="1">
        <f>COUNTIFS(Students,E11,ILPublic,1,MoneyYesNo,1,Classes,MatchLabel)+COUNTIFS(Students,E11,ILPublic,1,MoneyYesNo,1,Classes,SafetyLabel)+COUNTIFS(Students,E11,ILPublic,1,MoneyYesNo,1,Classes,SecureLabel)+COUNTIFS(Students,E11,ILPublic,1,MoneyYesNo,1,Classes,SureThingLabel)</f>
        <v>0</v>
      </c>
      <c r="BV11" s="1">
        <f>COUNTIFS(Students,E11,ILPublic,1, Classes,SecureLabel)</f>
        <v>0</v>
      </c>
      <c r="BW11" s="1">
        <f>COUNTIFS(Students,E11,MoneyChicago,1)</f>
        <v>0</v>
      </c>
      <c r="BX11" s="1">
        <f>COUNTIFS(Students,E11,MatchOrUnder,1)</f>
        <v>0</v>
      </c>
      <c r="BY11" s="1">
        <f>SUMIF(Students,E11,MGRcount)</f>
        <v>0</v>
      </c>
      <c r="BZ11" s="1">
        <f>COUNTIFS(Students,E11,BadMoney,1)</f>
        <v>0</v>
      </c>
      <c r="CA11" s="1">
        <f>COUNTIFS(Students,E11,GoldenThree,1)</f>
        <v>0</v>
      </c>
      <c r="CB11" s="1">
        <f>COUNTIFS(Students,E11,NCESids,147536)</f>
        <v>0</v>
      </c>
      <c r="CC11" s="1">
        <f>COUNTIFS(Students,E11,NCESids,144157)+COUNTIFS(Students,E11,NCESids,144166)+COUNTIFS(Students,E11,NCESids,144175)+COUNTIFS(Students,E11,NCESids,144184)+COUNTIFS(Students,E11,NCESids,144193)+COUNTIFS(Students,E11,NCESids,144209)+COUNTIFS(Students,E11,NCESids,144218)</f>
        <v>0</v>
      </c>
      <c r="CD11" s="1">
        <f>COUNTIFS(Students,E11,Results,"Accepted!",FarBelowTGRCount,0)+COUNTIFS(Students,E11,Results,"CHOICE!",FarBelowTGRCount,0)</f>
        <v>0</v>
      </c>
    </row>
    <row r="12" spans="1:82">
      <c r="A12" s="18" t="s">
        <v>96</v>
      </c>
      <c r="B12" s="19">
        <v>-1</v>
      </c>
      <c r="C12" s="18" t="s">
        <v>97</v>
      </c>
      <c r="D12" s="18" t="s">
        <v>143</v>
      </c>
      <c r="E12" s="19">
        <v>30373557</v>
      </c>
      <c r="F12" s="19" t="s">
        <v>144</v>
      </c>
      <c r="G12" s="10" t="s">
        <v>145</v>
      </c>
      <c r="H12" s="46">
        <v>2.1268</v>
      </c>
      <c r="I12" s="46">
        <v>2.3268</v>
      </c>
      <c r="J12" s="1">
        <v>12</v>
      </c>
      <c r="K12" s="1">
        <f>IF(ISNUMBER(I12),ROUND(583.58+106.27*I12,-1),"TBD")</f>
        <v>0</v>
      </c>
      <c r="L12" s="1">
        <v>980</v>
      </c>
      <c r="M12" s="1">
        <f>IF(ISNUMBER(L12),L12,IF(ISNUMBER(K12),K12,"TBD"))</f>
        <v>0</v>
      </c>
      <c r="N12" s="1">
        <f>IF(ISNUMBER(J12),VLOOKUP(J12,ACTtoSAT,2,FALSE),"TBD")</f>
        <v>0</v>
      </c>
      <c r="O12" s="1">
        <f>IF(ISNUMBER(M12),IF(ISNUMBER(N12),MAX(M12,N12),M12),IF(ISNUMBER(N12),N12,"TBD"))</f>
        <v>0</v>
      </c>
      <c r="P12" s="1" t="s">
        <v>101</v>
      </c>
      <c r="Q12" s="1" t="s">
        <v>102</v>
      </c>
      <c r="R12" s="1" t="s">
        <v>103</v>
      </c>
      <c r="S12" s="1">
        <f>IF(AND(H12&lt;&gt;0,O12&lt;&gt;0),IF(ISNUMBER(VLOOKUP(TEXT(MAX(FLOOR(H12*10,1)/10,1.5),"0.0")&amp;":"&amp;MAX(O12,710),StrategyLookup,4,FALSE)),VLOOKUP(TEXT(MAX(FLOOR(H12*10,1)/10,1.5),"0.0")&amp;":"&amp;MAX(O12,710),StrategyLookup,4,FALSE),"TBD"),"TBD")</f>
        <v>0</v>
      </c>
      <c r="T12" s="11">
        <f>IF(ISNUMBER(S12),VLOOKUP(IF(OR(S12=5,S12=6),S12&amp;IF(H12&gt;=3,"+","&lt;"),S12&amp;""),TargetLookup,IF(B12=-1,6,IF(OR(P12="W",P12="A"),4,2)),FALSE),"TBD")</f>
        <v>0</v>
      </c>
      <c r="U12" s="11">
        <f>IF(ISNUMBER(S12),VLOOKUP(IF(OR(S12=5,S12=6),S12&amp;IF(H12&gt;=3,"+","&lt;"),S12&amp;""),TargetLookup,IF(B12=-1,7,IF(OR(P12="W",P12="A"),5,3)),FALSE),"TBD")</f>
        <v>0</v>
      </c>
      <c r="V12" s="18" t="s">
        <v>110</v>
      </c>
      <c r="W12" s="19" t="s">
        <v>146</v>
      </c>
      <c r="X12" s="19" t="s">
        <v>106</v>
      </c>
      <c r="Y12" s="19">
        <f>V12&amp;X12&amp;D12</f>
        <v>0</v>
      </c>
      <c r="Z12" s="11">
        <f t="array" ref="Z12">1-PRODUCT(IF(Students=E12,MGRMoneyMult,1))</f>
        <v>0</v>
      </c>
      <c r="AA12" s="12">
        <f t="array" ref="AA12">1-PRODUCT(IF(Students=E12,RGRMoneyMult,1))</f>
        <v>0</v>
      </c>
      <c r="AB12" s="13">
        <f>COUNTIFS(Students,E12,Results,"Accepted!")+COUNTIFS(Students,E12,Results,"CHOICE!")</f>
        <v>0</v>
      </c>
      <c r="AC12" s="1">
        <f>COUNTIFS(Students,E12,Results,"Deferred")+COUNTIFS(Students,E12,Results,"Waitlist")</f>
        <v>0</v>
      </c>
      <c r="AD12" s="13">
        <f>COUNTIFS(Students,E12,Results,"Denied")</f>
        <v>0</v>
      </c>
      <c r="AE12" s="13">
        <f>AB12+AC12+AD12+COUNTIFS(Students,E12,Results,"Submitted")</f>
        <v>0</v>
      </c>
      <c r="AF12" s="12">
        <v>0.352096</v>
      </c>
      <c r="AG12" s="12">
        <v>0.3</v>
      </c>
      <c r="AH12" s="12">
        <v>0.301804176954935</v>
      </c>
      <c r="AI12" s="12">
        <v>0.2782085387405823</v>
      </c>
      <c r="AJ12" s="13">
        <f>COUNTIFS(Students,E12,Results,"CHOICE!")</f>
        <v>0</v>
      </c>
      <c r="AK12" s="1">
        <f>COUNTIFS(MoneyYesNo,1,RGRcount,1,Students,E12,Results,"Accepted!")</f>
        <v>0</v>
      </c>
      <c r="AL12" s="1">
        <f>COUNTIFS(MoneyYesNo,1,MGRcount,1,Students,E12,Results,"Accepted!")-AK12</f>
        <v>0</v>
      </c>
      <c r="AM12" s="1">
        <f>COUNTIFS(MoneyYesNo,1,Students,E12,Results,"Accepted!")-AK12-AL12</f>
        <v>0</v>
      </c>
      <c r="AN12" s="13">
        <f>COUNTIFS(Students,E12,Results,"Accepted!")-AK12-AL12-AM12</f>
        <v>0</v>
      </c>
      <c r="AO12" s="1">
        <f>SUMIFS(RGRcount,Students,E12,MoneyYesNo,1)</f>
        <v>0</v>
      </c>
      <c r="AP12" s="1">
        <f>SUMIFS(MGRcount,Students,E12,MoneyYesNo,1)-AO12</f>
        <v>0</v>
      </c>
      <c r="AQ12" s="1">
        <f>SUMIF(Students,E12,MoneyYesNo)-AO12-AP12</f>
        <v>0</v>
      </c>
      <c r="AR12" s="13">
        <f>SUM(AO12,AP12,AQ12)</f>
        <v>0</v>
      </c>
      <c r="AS12" s="1">
        <f>SUMIF(Students,E12,RGRcount)</f>
        <v>0</v>
      </c>
      <c r="AT12" s="1">
        <f>SUMIF(Students,E12,MGRcount)-AS12</f>
        <v>0</v>
      </c>
      <c r="AU12" s="1">
        <f>COUNTIF(Students,E12)-AS12-AT12</f>
        <v>0</v>
      </c>
      <c r="AV12" s="1">
        <f>SUMIF(Students,E12,FarBelowTGRCount)</f>
        <v>0</v>
      </c>
      <c r="AW12" s="47">
        <f>COUNTIF(Students,E12)</f>
        <v>0</v>
      </c>
      <c r="AX12" s="11">
        <f>IF(AW12&gt;0,AE12/AW12,0)</f>
        <v>0</v>
      </c>
      <c r="AY12" s="11">
        <f t="array" ref="AY12">1-PRODUCT(IF(Students=E12,MGRMult,1))</f>
        <v>0</v>
      </c>
      <c r="AZ12" s="12">
        <f t="array" ref="AZ12">1-PRODUCT(IF(Students=E12,RGRMult,1))</f>
        <v>0</v>
      </c>
      <c r="BA12" s="1">
        <f>COUNTIFS(Students,E12,Classes,HailMaryLabel)</f>
        <v>0</v>
      </c>
      <c r="BB12" s="1">
        <f>COUNTIFS(Students,E12,Classes,LongshotLabel)</f>
        <v>0</v>
      </c>
      <c r="BC12" s="1">
        <f>COUNTIFS(Students,E12,Classes,ReachLabel)</f>
        <v>0</v>
      </c>
      <c r="BD12" s="1">
        <f>COUNTIFS(Students,E12,Classes,MatchLabel)</f>
        <v>0</v>
      </c>
      <c r="BE12" s="1">
        <f>COUNTIFS(Students,E12,Classes,SafetyLabel)</f>
        <v>0</v>
      </c>
      <c r="BF12" s="1">
        <f>COUNTIFS(Students,E12,Classes,SecureLabel)</f>
        <v>0</v>
      </c>
      <c r="BG12" s="1">
        <f>COUNTIFS(Students,E12,Classes,SureThingLabel)</f>
        <v>0</v>
      </c>
      <c r="BH12" s="13">
        <f>COUNTIFS(Students,E12,Classes,"Other")</f>
        <v>0</v>
      </c>
      <c r="BI12" s="1">
        <f>COUNTIFS(Students,E12,Classes,ReachLabel,MoneyYesNo,1)</f>
        <v>0</v>
      </c>
      <c r="BJ12" s="1">
        <f>COUNTIFS(Students,E12,Classes,MatchLabel,MoneyYesNo,1)</f>
        <v>0</v>
      </c>
      <c r="BK12" s="1">
        <f>COUNTIFS(Students,E12,Classes,SafetyLabel,MoneyYesNo,1)</f>
        <v>0</v>
      </c>
      <c r="BL12" s="1">
        <f>COUNTIFS(Students,E12,Classes,SecureLabel,MoneyYesNo,1)</f>
        <v>0</v>
      </c>
      <c r="BM12" s="1">
        <f>COUNTIFS(Students,E12,Classes,SureThingLabel,MoneyYesNo,1)</f>
        <v>0</v>
      </c>
      <c r="BN12" s="1">
        <f>SUM(BI12:BM12)</f>
        <v>0</v>
      </c>
      <c r="BO12" s="1">
        <f>SUMIFS(RGRcount,Students,E12,MoneyYesNo,1,Odds,"&gt;=20")</f>
        <v>0</v>
      </c>
      <c r="BP12" s="1">
        <f>SUMIFS(MGRcount,Students,E12,MoneyYesNo,1,Odds,"&gt;=20")-BO12</f>
        <v>0</v>
      </c>
      <c r="BQ12" s="1">
        <f>SUMIFS(MGRcount,Students,E12,MoneyYesNo,1,Odds,"&gt;=50")</f>
        <v>0</v>
      </c>
      <c r="BR12" s="1">
        <f>SUMIFS(RGRcount,Students,E12,MoneyYesNo,1,Odds,"&gt;=10")</f>
        <v>0</v>
      </c>
      <c r="BS12" s="1">
        <f>SUMIFS(MGRcount,Students,E12,MoneyYesNo,1,Odds,"&gt;=10")-BR12</f>
        <v>0</v>
      </c>
      <c r="BT12" s="1">
        <f>COUNTIFS(Students,E12,ILPublic,1)</f>
        <v>0</v>
      </c>
      <c r="BU12" s="1">
        <f>COUNTIFS(Students,E12,ILPublic,1,MoneyYesNo,1,Classes,MatchLabel)+COUNTIFS(Students,E12,ILPublic,1,MoneyYesNo,1,Classes,SafetyLabel)+COUNTIFS(Students,E12,ILPublic,1,MoneyYesNo,1,Classes,SecureLabel)+COUNTIFS(Students,E12,ILPublic,1,MoneyYesNo,1,Classes,SureThingLabel)</f>
        <v>0</v>
      </c>
      <c r="BV12" s="1">
        <f>COUNTIFS(Students,E12,ILPublic,1, Classes,SecureLabel)</f>
        <v>0</v>
      </c>
      <c r="BW12" s="1">
        <f>COUNTIFS(Students,E12,MoneyChicago,1)</f>
        <v>0</v>
      </c>
      <c r="BX12" s="1">
        <f>COUNTIFS(Students,E12,MatchOrUnder,1)</f>
        <v>0</v>
      </c>
      <c r="BY12" s="1">
        <f>SUMIF(Students,E12,MGRcount)</f>
        <v>0</v>
      </c>
      <c r="BZ12" s="1">
        <f>COUNTIFS(Students,E12,BadMoney,1)</f>
        <v>0</v>
      </c>
      <c r="CA12" s="1">
        <f>COUNTIFS(Students,E12,GoldenThree,1)</f>
        <v>0</v>
      </c>
      <c r="CB12" s="1">
        <f>COUNTIFS(Students,E12,NCESids,147536)</f>
        <v>0</v>
      </c>
      <c r="CC12" s="1">
        <f>COUNTIFS(Students,E12,NCESids,144157)+COUNTIFS(Students,E12,NCESids,144166)+COUNTIFS(Students,E12,NCESids,144175)+COUNTIFS(Students,E12,NCESids,144184)+COUNTIFS(Students,E12,NCESids,144193)+COUNTIFS(Students,E12,NCESids,144209)+COUNTIFS(Students,E12,NCESids,144218)</f>
        <v>0</v>
      </c>
      <c r="CD12" s="1">
        <f>COUNTIFS(Students,E12,Results,"Accepted!",FarBelowTGRCount,0)+COUNTIFS(Students,E12,Results,"CHOICE!",FarBelowTGRCount,0)</f>
        <v>0</v>
      </c>
    </row>
    <row r="13" spans="1:82">
      <c r="A13" s="18" t="s">
        <v>96</v>
      </c>
      <c r="B13" s="19">
        <v>0</v>
      </c>
      <c r="C13" s="18" t="s">
        <v>97</v>
      </c>
      <c r="D13" s="18" t="s">
        <v>147</v>
      </c>
      <c r="E13" s="19">
        <v>22054227</v>
      </c>
      <c r="F13" s="19" t="s">
        <v>148</v>
      </c>
      <c r="G13" s="10" t="s">
        <v>149</v>
      </c>
      <c r="H13" s="46">
        <v>3.4604</v>
      </c>
      <c r="I13" s="46">
        <v>3.6604</v>
      </c>
      <c r="J13" s="1">
        <v>23</v>
      </c>
      <c r="K13" s="1">
        <f>IF(ISNUMBER(I13),ROUND(583.58+106.27*I13,-1),"TBD")</f>
        <v>0</v>
      </c>
      <c r="L13" s="1">
        <v>910</v>
      </c>
      <c r="M13" s="1">
        <f>IF(ISNUMBER(L13),L13,IF(ISNUMBER(K13),K13,"TBD"))</f>
        <v>0</v>
      </c>
      <c r="N13" s="1">
        <f>IF(ISNUMBER(J13),VLOOKUP(J13,ACTtoSAT,2,FALSE),"TBD")</f>
        <v>0</v>
      </c>
      <c r="O13" s="1">
        <f>IF(ISNUMBER(M13),IF(ISNUMBER(N13),MAX(M13,N13),M13),IF(ISNUMBER(N13),N13,"TBD"))</f>
        <v>0</v>
      </c>
      <c r="P13" s="1" t="s">
        <v>101</v>
      </c>
      <c r="Q13" s="1" t="s">
        <v>102</v>
      </c>
      <c r="R13" s="1" t="s">
        <v>103</v>
      </c>
      <c r="S13" s="1">
        <f>IF(AND(H13&lt;&gt;0,O13&lt;&gt;0),IF(ISNUMBER(VLOOKUP(TEXT(MAX(FLOOR(H13*10,1)/10,1.5),"0.0")&amp;":"&amp;MAX(O13,710),StrategyLookup,4,FALSE)),VLOOKUP(TEXT(MAX(FLOOR(H13*10,1)/10,1.5),"0.0")&amp;":"&amp;MAX(O13,710),StrategyLookup,4,FALSE),"TBD"),"TBD")</f>
        <v>0</v>
      </c>
      <c r="T13" s="11">
        <f>IF(ISNUMBER(S13),VLOOKUP(IF(OR(S13=5,S13=6),S13&amp;IF(H13&gt;=3,"+","&lt;"),S13&amp;""),TargetLookup,IF(B13=-1,6,IF(OR(P13="W",P13="A"),4,2)),FALSE),"TBD")</f>
        <v>0</v>
      </c>
      <c r="U13" s="11">
        <f>IF(ISNUMBER(S13),VLOOKUP(IF(OR(S13=5,S13=6),S13&amp;IF(H13&gt;=3,"+","&lt;"),S13&amp;""),TargetLookup,IF(B13=-1,7,IF(OR(P13="W",P13="A"),5,3)),FALSE),"TBD")</f>
        <v>0</v>
      </c>
      <c r="V13" s="18" t="s">
        <v>115</v>
      </c>
      <c r="W13" s="19" t="s">
        <v>136</v>
      </c>
      <c r="X13" s="19" t="s">
        <v>106</v>
      </c>
      <c r="Y13" s="19">
        <f>V13&amp;X13&amp;D13</f>
        <v>0</v>
      </c>
      <c r="Z13" s="11">
        <f t="array" ref="Z13">1-PRODUCT(IF(Students=E13,MGRMoneyMult,1))</f>
        <v>0</v>
      </c>
      <c r="AA13" s="12">
        <f t="array" ref="AA13">1-PRODUCT(IF(Students=E13,RGRMoneyMult,1))</f>
        <v>0</v>
      </c>
      <c r="AB13" s="13">
        <f>COUNTIFS(Students,E13,Results,"Accepted!")+COUNTIFS(Students,E13,Results,"CHOICE!")</f>
        <v>0</v>
      </c>
      <c r="AC13" s="1">
        <f>COUNTIFS(Students,E13,Results,"Deferred")+COUNTIFS(Students,E13,Results,"Waitlist")</f>
        <v>0</v>
      </c>
      <c r="AD13" s="13">
        <f>COUNTIFS(Students,E13,Results,"Denied")</f>
        <v>0</v>
      </c>
      <c r="AE13" s="13">
        <f>AB13+AC13+AD13+COUNTIFS(Students,E13,Results,"Submitted")</f>
        <v>0</v>
      </c>
      <c r="AF13" s="12">
        <v>0.8347550282082479</v>
      </c>
      <c r="AG13" s="12">
        <v>0.8191367729710719</v>
      </c>
      <c r="AH13" s="12">
        <v>0.7622087066169835</v>
      </c>
      <c r="AI13" s="12">
        <v>0.7482783511551426</v>
      </c>
      <c r="AJ13" s="13">
        <f>COUNTIFS(Students,E13,Results,"CHOICE!")</f>
        <v>0</v>
      </c>
      <c r="AK13" s="1">
        <f>COUNTIFS(MoneyYesNo,1,RGRcount,1,Students,E13,Results,"Accepted!")</f>
        <v>0</v>
      </c>
      <c r="AL13" s="1">
        <f>COUNTIFS(MoneyYesNo,1,MGRcount,1,Students,E13,Results,"Accepted!")-AK13</f>
        <v>0</v>
      </c>
      <c r="AM13" s="1">
        <f>COUNTIFS(MoneyYesNo,1,Students,E13,Results,"Accepted!")-AK13-AL13</f>
        <v>0</v>
      </c>
      <c r="AN13" s="13">
        <f>COUNTIFS(Students,E13,Results,"Accepted!")-AK13-AL13-AM13</f>
        <v>0</v>
      </c>
      <c r="AO13" s="1">
        <f>SUMIFS(RGRcount,Students,E13,MoneyYesNo,1)</f>
        <v>0</v>
      </c>
      <c r="AP13" s="1">
        <f>SUMIFS(MGRcount,Students,E13,MoneyYesNo,1)-AO13</f>
        <v>0</v>
      </c>
      <c r="AQ13" s="1">
        <f>SUMIF(Students,E13,MoneyYesNo)-AO13-AP13</f>
        <v>0</v>
      </c>
      <c r="AR13" s="13">
        <f>SUM(AO13,AP13,AQ13)</f>
        <v>0</v>
      </c>
      <c r="AS13" s="1">
        <f>SUMIF(Students,E13,RGRcount)</f>
        <v>0</v>
      </c>
      <c r="AT13" s="1">
        <f>SUMIF(Students,E13,MGRcount)-AS13</f>
        <v>0</v>
      </c>
      <c r="AU13" s="1">
        <f>COUNTIF(Students,E13)-AS13-AT13</f>
        <v>0</v>
      </c>
      <c r="AV13" s="1">
        <f>SUMIF(Students,E13,FarBelowTGRCount)</f>
        <v>0</v>
      </c>
      <c r="AW13" s="47">
        <f>COUNTIF(Students,E13)</f>
        <v>0</v>
      </c>
      <c r="AX13" s="11">
        <f>IF(AW13&gt;0,AE13/AW13,0)</f>
        <v>0</v>
      </c>
      <c r="AY13" s="11">
        <f t="array" ref="AY13">1-PRODUCT(IF(Students=E13,MGRMult,1))</f>
        <v>0</v>
      </c>
      <c r="AZ13" s="12">
        <f t="array" ref="AZ13">1-PRODUCT(IF(Students=E13,RGRMult,1))</f>
        <v>0</v>
      </c>
      <c r="BA13" s="1">
        <f>COUNTIFS(Students,E13,Classes,HailMaryLabel)</f>
        <v>0</v>
      </c>
      <c r="BB13" s="1">
        <f>COUNTIFS(Students,E13,Classes,LongshotLabel)</f>
        <v>0</v>
      </c>
      <c r="BC13" s="1">
        <f>COUNTIFS(Students,E13,Classes,ReachLabel)</f>
        <v>0</v>
      </c>
      <c r="BD13" s="1">
        <f>COUNTIFS(Students,E13,Classes,MatchLabel)</f>
        <v>0</v>
      </c>
      <c r="BE13" s="1">
        <f>COUNTIFS(Students,E13,Classes,SafetyLabel)</f>
        <v>0</v>
      </c>
      <c r="BF13" s="1">
        <f>COUNTIFS(Students,E13,Classes,SecureLabel)</f>
        <v>0</v>
      </c>
      <c r="BG13" s="1">
        <f>COUNTIFS(Students,E13,Classes,SureThingLabel)</f>
        <v>0</v>
      </c>
      <c r="BH13" s="13">
        <f>COUNTIFS(Students,E13,Classes,"Other")</f>
        <v>0</v>
      </c>
      <c r="BI13" s="1">
        <f>COUNTIFS(Students,E13,Classes,ReachLabel,MoneyYesNo,1)</f>
        <v>0</v>
      </c>
      <c r="BJ13" s="1">
        <f>COUNTIFS(Students,E13,Classes,MatchLabel,MoneyYesNo,1)</f>
        <v>0</v>
      </c>
      <c r="BK13" s="1">
        <f>COUNTIFS(Students,E13,Classes,SafetyLabel,MoneyYesNo,1)</f>
        <v>0</v>
      </c>
      <c r="BL13" s="1">
        <f>COUNTIFS(Students,E13,Classes,SecureLabel,MoneyYesNo,1)</f>
        <v>0</v>
      </c>
      <c r="BM13" s="1">
        <f>COUNTIFS(Students,E13,Classes,SureThingLabel,MoneyYesNo,1)</f>
        <v>0</v>
      </c>
      <c r="BN13" s="1">
        <f>SUM(BI13:BM13)</f>
        <v>0</v>
      </c>
      <c r="BO13" s="1">
        <f>SUMIFS(RGRcount,Students,E13,MoneyYesNo,1,Odds,"&gt;=20")</f>
        <v>0</v>
      </c>
      <c r="BP13" s="1">
        <f>SUMIFS(MGRcount,Students,E13,MoneyYesNo,1,Odds,"&gt;=20")-BO13</f>
        <v>0</v>
      </c>
      <c r="BQ13" s="1">
        <f>SUMIFS(MGRcount,Students,E13,MoneyYesNo,1,Odds,"&gt;=50")</f>
        <v>0</v>
      </c>
      <c r="BR13" s="1">
        <f>SUMIFS(RGRcount,Students,E13,MoneyYesNo,1,Odds,"&gt;=10")</f>
        <v>0</v>
      </c>
      <c r="BS13" s="1">
        <f>SUMIFS(MGRcount,Students,E13,MoneyYesNo,1,Odds,"&gt;=10")-BR13</f>
        <v>0</v>
      </c>
      <c r="BT13" s="1">
        <f>COUNTIFS(Students,E13,ILPublic,1)</f>
        <v>0</v>
      </c>
      <c r="BU13" s="1">
        <f>COUNTIFS(Students,E13,ILPublic,1,MoneyYesNo,1,Classes,MatchLabel)+COUNTIFS(Students,E13,ILPublic,1,MoneyYesNo,1,Classes,SafetyLabel)+COUNTIFS(Students,E13,ILPublic,1,MoneyYesNo,1,Classes,SecureLabel)+COUNTIFS(Students,E13,ILPublic,1,MoneyYesNo,1,Classes,SureThingLabel)</f>
        <v>0</v>
      </c>
      <c r="BV13" s="1">
        <f>COUNTIFS(Students,E13,ILPublic,1, Classes,SecureLabel)</f>
        <v>0</v>
      </c>
      <c r="BW13" s="1">
        <f>COUNTIFS(Students,E13,MoneyChicago,1)</f>
        <v>0</v>
      </c>
      <c r="BX13" s="1">
        <f>COUNTIFS(Students,E13,MatchOrUnder,1)</f>
        <v>0</v>
      </c>
      <c r="BY13" s="1">
        <f>SUMIF(Students,E13,MGRcount)</f>
        <v>0</v>
      </c>
      <c r="BZ13" s="1">
        <f>COUNTIFS(Students,E13,BadMoney,1)</f>
        <v>0</v>
      </c>
      <c r="CA13" s="1">
        <f>COUNTIFS(Students,E13,GoldenThree,1)</f>
        <v>0</v>
      </c>
      <c r="CB13" s="1">
        <f>COUNTIFS(Students,E13,NCESids,147536)</f>
        <v>0</v>
      </c>
      <c r="CC13" s="1">
        <f>COUNTIFS(Students,E13,NCESids,144157)+COUNTIFS(Students,E13,NCESids,144166)+COUNTIFS(Students,E13,NCESids,144175)+COUNTIFS(Students,E13,NCESids,144184)+COUNTIFS(Students,E13,NCESids,144193)+COUNTIFS(Students,E13,NCESids,144209)+COUNTIFS(Students,E13,NCESids,144218)</f>
        <v>0</v>
      </c>
      <c r="CD13" s="1">
        <f>COUNTIFS(Students,E13,Results,"Accepted!",FarBelowTGRCount,0)+COUNTIFS(Students,E13,Results,"CHOICE!",FarBelowTGRCount,0)</f>
        <v>0</v>
      </c>
    </row>
    <row r="14" spans="1:82">
      <c r="A14" s="18" t="s">
        <v>96</v>
      </c>
      <c r="B14" s="19">
        <v>0</v>
      </c>
      <c r="C14" s="18" t="s">
        <v>97</v>
      </c>
      <c r="D14" s="18" t="s">
        <v>150</v>
      </c>
      <c r="E14" s="19">
        <v>30323072</v>
      </c>
      <c r="F14" s="19" t="s">
        <v>151</v>
      </c>
      <c r="G14" s="10" t="s">
        <v>152</v>
      </c>
      <c r="H14" s="46">
        <v>3.65</v>
      </c>
      <c r="I14" s="46">
        <v>3.85</v>
      </c>
      <c r="J14" s="1">
        <v>24</v>
      </c>
      <c r="K14" s="1">
        <f>IF(ISNUMBER(I14),ROUND(583.58+106.27*I14,-1),"TBD")</f>
        <v>0</v>
      </c>
      <c r="L14" s="1">
        <v>1130</v>
      </c>
      <c r="M14" s="1">
        <f>IF(ISNUMBER(L14),L14,IF(ISNUMBER(K14),K14,"TBD"))</f>
        <v>0</v>
      </c>
      <c r="N14" s="1">
        <f>IF(ISNUMBER(J14),VLOOKUP(J14,ACTtoSAT,2,FALSE),"TBD")</f>
        <v>0</v>
      </c>
      <c r="O14" s="1">
        <f>IF(ISNUMBER(M14),IF(ISNUMBER(N14),MAX(M14,N14),M14),IF(ISNUMBER(N14),N14,"TBD"))</f>
        <v>0</v>
      </c>
      <c r="P14" s="1" t="s">
        <v>101</v>
      </c>
      <c r="Q14" s="1" t="s">
        <v>123</v>
      </c>
      <c r="R14" s="1" t="s">
        <v>124</v>
      </c>
      <c r="S14" s="1">
        <f>IF(AND(H14&lt;&gt;0,O14&lt;&gt;0),IF(ISNUMBER(VLOOKUP(TEXT(MAX(FLOOR(H14*10,1)/10,1.5),"0.0")&amp;":"&amp;MAX(O14,710),StrategyLookup,4,FALSE)),VLOOKUP(TEXT(MAX(FLOOR(H14*10,1)/10,1.5),"0.0")&amp;":"&amp;MAX(O14,710),StrategyLookup,4,FALSE),"TBD"),"TBD")</f>
        <v>0</v>
      </c>
      <c r="T14" s="11">
        <f>IF(ISNUMBER(S14),VLOOKUP(IF(OR(S14=5,S14=6),S14&amp;IF(H14&gt;=3,"+","&lt;"),S14&amp;""),TargetLookup,IF(B14=-1,6,IF(OR(P14="W",P14="A"),4,2)),FALSE),"TBD")</f>
        <v>0</v>
      </c>
      <c r="U14" s="11">
        <f>IF(ISNUMBER(S14),VLOOKUP(IF(OR(S14=5,S14=6),S14&amp;IF(H14&gt;=3,"+","&lt;"),S14&amp;""),TargetLookup,IF(B14=-1,7,IF(OR(P14="W",P14="A"),5,3)),FALSE),"TBD")</f>
        <v>0</v>
      </c>
      <c r="V14" s="18" t="s">
        <v>135</v>
      </c>
      <c r="W14" s="19" t="s">
        <v>131</v>
      </c>
      <c r="X14" s="19" t="s">
        <v>106</v>
      </c>
      <c r="Y14" s="19">
        <f>V14&amp;X14&amp;D14</f>
        <v>0</v>
      </c>
      <c r="Z14" s="11">
        <f t="array" ref="Z14">1-PRODUCT(IF(Students=E14,MGRMoneyMult,1))</f>
        <v>0</v>
      </c>
      <c r="AA14" s="12">
        <f t="array" ref="AA14">1-PRODUCT(IF(Students=E14,RGRMoneyMult,1))</f>
        <v>0</v>
      </c>
      <c r="AB14" s="13">
        <f>COUNTIFS(Students,E14,Results,"Accepted!")+COUNTIFS(Students,E14,Results,"CHOICE!")</f>
        <v>0</v>
      </c>
      <c r="AC14" s="1">
        <f>COUNTIFS(Students,E14,Results,"Deferred")+COUNTIFS(Students,E14,Results,"Waitlist")</f>
        <v>0</v>
      </c>
      <c r="AD14" s="13">
        <f>COUNTIFS(Students,E14,Results,"Denied")</f>
        <v>0</v>
      </c>
      <c r="AE14" s="13">
        <f>AB14+AC14+AD14+COUNTIFS(Students,E14,Results,"Submitted")</f>
        <v>0</v>
      </c>
      <c r="AF14" s="12">
        <v>0.8673093456754486</v>
      </c>
      <c r="AG14" s="12">
        <v>0.8436736334737617</v>
      </c>
      <c r="AH14" s="12">
        <v>0.800964653843209</v>
      </c>
      <c r="AI14" s="12">
        <v>0.7877339362825954</v>
      </c>
      <c r="AJ14" s="13">
        <f>COUNTIFS(Students,E14,Results,"CHOICE!")</f>
        <v>0</v>
      </c>
      <c r="AK14" s="1">
        <f>COUNTIFS(MoneyYesNo,1,RGRcount,1,Students,E14,Results,"Accepted!")</f>
        <v>0</v>
      </c>
      <c r="AL14" s="1">
        <f>COUNTIFS(MoneyYesNo,1,MGRcount,1,Students,E14,Results,"Accepted!")-AK14</f>
        <v>0</v>
      </c>
      <c r="AM14" s="1">
        <f>COUNTIFS(MoneyYesNo,1,Students,E14,Results,"Accepted!")-AK14-AL14</f>
        <v>0</v>
      </c>
      <c r="AN14" s="13">
        <f>COUNTIFS(Students,E14,Results,"Accepted!")-AK14-AL14-AM14</f>
        <v>0</v>
      </c>
      <c r="AO14" s="1">
        <f>SUMIFS(RGRcount,Students,E14,MoneyYesNo,1)</f>
        <v>0</v>
      </c>
      <c r="AP14" s="1">
        <f>SUMIFS(MGRcount,Students,E14,MoneyYesNo,1)-AO14</f>
        <v>0</v>
      </c>
      <c r="AQ14" s="1">
        <f>SUMIF(Students,E14,MoneyYesNo)-AO14-AP14</f>
        <v>0</v>
      </c>
      <c r="AR14" s="13">
        <f>SUM(AO14,AP14,AQ14)</f>
        <v>0</v>
      </c>
      <c r="AS14" s="1">
        <f>SUMIF(Students,E14,RGRcount)</f>
        <v>0</v>
      </c>
      <c r="AT14" s="1">
        <f>SUMIF(Students,E14,MGRcount)-AS14</f>
        <v>0</v>
      </c>
      <c r="AU14" s="1">
        <f>COUNTIF(Students,E14)-AS14-AT14</f>
        <v>0</v>
      </c>
      <c r="AV14" s="1">
        <f>SUMIF(Students,E14,FarBelowTGRCount)</f>
        <v>0</v>
      </c>
      <c r="AW14" s="47">
        <f>COUNTIF(Students,E14)</f>
        <v>0</v>
      </c>
      <c r="AX14" s="11">
        <f>IF(AW14&gt;0,AE14/AW14,0)</f>
        <v>0</v>
      </c>
      <c r="AY14" s="11">
        <f t="array" ref="AY14">1-PRODUCT(IF(Students=E14,MGRMult,1))</f>
        <v>0</v>
      </c>
      <c r="AZ14" s="12">
        <f t="array" ref="AZ14">1-PRODUCT(IF(Students=E14,RGRMult,1))</f>
        <v>0</v>
      </c>
      <c r="BA14" s="1">
        <f>COUNTIFS(Students,E14,Classes,HailMaryLabel)</f>
        <v>0</v>
      </c>
      <c r="BB14" s="1">
        <f>COUNTIFS(Students,E14,Classes,LongshotLabel)</f>
        <v>0</v>
      </c>
      <c r="BC14" s="1">
        <f>COUNTIFS(Students,E14,Classes,ReachLabel)</f>
        <v>0</v>
      </c>
      <c r="BD14" s="1">
        <f>COUNTIFS(Students,E14,Classes,MatchLabel)</f>
        <v>0</v>
      </c>
      <c r="BE14" s="1">
        <f>COUNTIFS(Students,E14,Classes,SafetyLabel)</f>
        <v>0</v>
      </c>
      <c r="BF14" s="1">
        <f>COUNTIFS(Students,E14,Classes,SecureLabel)</f>
        <v>0</v>
      </c>
      <c r="BG14" s="1">
        <f>COUNTIFS(Students,E14,Classes,SureThingLabel)</f>
        <v>0</v>
      </c>
      <c r="BH14" s="13">
        <f>COUNTIFS(Students,E14,Classes,"Other")</f>
        <v>0</v>
      </c>
      <c r="BI14" s="1">
        <f>COUNTIFS(Students,E14,Classes,ReachLabel,MoneyYesNo,1)</f>
        <v>0</v>
      </c>
      <c r="BJ14" s="1">
        <f>COUNTIFS(Students,E14,Classes,MatchLabel,MoneyYesNo,1)</f>
        <v>0</v>
      </c>
      <c r="BK14" s="1">
        <f>COUNTIFS(Students,E14,Classes,SafetyLabel,MoneyYesNo,1)</f>
        <v>0</v>
      </c>
      <c r="BL14" s="1">
        <f>COUNTIFS(Students,E14,Classes,SecureLabel,MoneyYesNo,1)</f>
        <v>0</v>
      </c>
      <c r="BM14" s="1">
        <f>COUNTIFS(Students,E14,Classes,SureThingLabel,MoneyYesNo,1)</f>
        <v>0</v>
      </c>
      <c r="BN14" s="1">
        <f>SUM(BI14:BM14)</f>
        <v>0</v>
      </c>
      <c r="BO14" s="1">
        <f>SUMIFS(RGRcount,Students,E14,MoneyYesNo,1,Odds,"&gt;=20")</f>
        <v>0</v>
      </c>
      <c r="BP14" s="1">
        <f>SUMIFS(MGRcount,Students,E14,MoneyYesNo,1,Odds,"&gt;=20")-BO14</f>
        <v>0</v>
      </c>
      <c r="BQ14" s="1">
        <f>SUMIFS(MGRcount,Students,E14,MoneyYesNo,1,Odds,"&gt;=50")</f>
        <v>0</v>
      </c>
      <c r="BR14" s="1">
        <f>SUMIFS(RGRcount,Students,E14,MoneyYesNo,1,Odds,"&gt;=10")</f>
        <v>0</v>
      </c>
      <c r="BS14" s="1">
        <f>SUMIFS(MGRcount,Students,E14,MoneyYesNo,1,Odds,"&gt;=10")-BR14</f>
        <v>0</v>
      </c>
      <c r="BT14" s="1">
        <f>COUNTIFS(Students,E14,ILPublic,1)</f>
        <v>0</v>
      </c>
      <c r="BU14" s="1">
        <f>COUNTIFS(Students,E14,ILPublic,1,MoneyYesNo,1,Classes,MatchLabel)+COUNTIFS(Students,E14,ILPublic,1,MoneyYesNo,1,Classes,SafetyLabel)+COUNTIFS(Students,E14,ILPublic,1,MoneyYesNo,1,Classes,SecureLabel)+COUNTIFS(Students,E14,ILPublic,1,MoneyYesNo,1,Classes,SureThingLabel)</f>
        <v>0</v>
      </c>
      <c r="BV14" s="1">
        <f>COUNTIFS(Students,E14,ILPublic,1, Classes,SecureLabel)</f>
        <v>0</v>
      </c>
      <c r="BW14" s="1">
        <f>COUNTIFS(Students,E14,MoneyChicago,1)</f>
        <v>0</v>
      </c>
      <c r="BX14" s="1">
        <f>COUNTIFS(Students,E14,MatchOrUnder,1)</f>
        <v>0</v>
      </c>
      <c r="BY14" s="1">
        <f>SUMIF(Students,E14,MGRcount)</f>
        <v>0</v>
      </c>
      <c r="BZ14" s="1">
        <f>COUNTIFS(Students,E14,BadMoney,1)</f>
        <v>0</v>
      </c>
      <c r="CA14" s="1">
        <f>COUNTIFS(Students,E14,GoldenThree,1)</f>
        <v>0</v>
      </c>
      <c r="CB14" s="1">
        <f>COUNTIFS(Students,E14,NCESids,147536)</f>
        <v>0</v>
      </c>
      <c r="CC14" s="1">
        <f>COUNTIFS(Students,E14,NCESids,144157)+COUNTIFS(Students,E14,NCESids,144166)+COUNTIFS(Students,E14,NCESids,144175)+COUNTIFS(Students,E14,NCESids,144184)+COUNTIFS(Students,E14,NCESids,144193)+COUNTIFS(Students,E14,NCESids,144209)+COUNTIFS(Students,E14,NCESids,144218)</f>
        <v>0</v>
      </c>
      <c r="CD14" s="1">
        <f>COUNTIFS(Students,E14,Results,"Accepted!",FarBelowTGRCount,0)+COUNTIFS(Students,E14,Results,"CHOICE!",FarBelowTGRCount,0)</f>
        <v>0</v>
      </c>
    </row>
    <row r="15" spans="1:82">
      <c r="A15" s="18" t="s">
        <v>96</v>
      </c>
      <c r="B15" s="19">
        <v>-1</v>
      </c>
      <c r="C15" s="18" t="s">
        <v>153</v>
      </c>
      <c r="D15" s="18" t="s">
        <v>154</v>
      </c>
      <c r="E15" s="19">
        <v>23463287</v>
      </c>
      <c r="F15" s="19" t="s">
        <v>155</v>
      </c>
      <c r="G15" s="10" t="s">
        <v>156</v>
      </c>
      <c r="H15" s="46">
        <v>2.0821</v>
      </c>
      <c r="I15" s="46">
        <v>2.2821</v>
      </c>
      <c r="J15" s="1">
        <v>13</v>
      </c>
      <c r="K15" s="1">
        <f>IF(ISNUMBER(I15),ROUND(583.58+106.27*I15,-1),"TBD")</f>
        <v>0</v>
      </c>
      <c r="L15" s="1">
        <v>1140</v>
      </c>
      <c r="M15" s="1">
        <f>IF(ISNUMBER(L15),L15,IF(ISNUMBER(K15),K15,"TBD"))</f>
        <v>0</v>
      </c>
      <c r="N15" s="1">
        <f>IF(ISNUMBER(J15),VLOOKUP(J15,ACTtoSAT,2,FALSE),"TBD")</f>
        <v>0</v>
      </c>
      <c r="O15" s="1">
        <f>IF(ISNUMBER(M15),IF(ISNUMBER(N15),MAX(M15,N15),M15),IF(ISNUMBER(N15),N15,"TBD"))</f>
        <v>0</v>
      </c>
      <c r="P15" s="1" t="s">
        <v>101</v>
      </c>
      <c r="Q15" s="1" t="s">
        <v>123</v>
      </c>
      <c r="R15" s="1" t="s">
        <v>124</v>
      </c>
      <c r="S15" s="1">
        <f>IF(AND(H15&lt;&gt;0,O15&lt;&gt;0),IF(ISNUMBER(VLOOKUP(TEXT(MAX(FLOOR(H15*10,1)/10,1.5),"0.0")&amp;":"&amp;MAX(O15,710),StrategyLookup,4,FALSE)),VLOOKUP(TEXT(MAX(FLOOR(H15*10,1)/10,1.5),"0.0")&amp;":"&amp;MAX(O15,710),StrategyLookup,4,FALSE),"TBD"),"TBD")</f>
        <v>0</v>
      </c>
      <c r="T15" s="11">
        <f>IF(ISNUMBER(S15),VLOOKUP(IF(OR(S15=5,S15=6),S15&amp;IF(H15&gt;=3,"+","&lt;"),S15&amp;""),TargetLookup,IF(B15=-1,6,IF(OR(P15="W",P15="A"),4,2)),FALSE),"TBD")</f>
        <v>0</v>
      </c>
      <c r="U15" s="11">
        <f>IF(ISNUMBER(S15),VLOOKUP(IF(OR(S15=5,S15=6),S15&amp;IF(H15&gt;=3,"+","&lt;"),S15&amp;""),TargetLookup,IF(B15=-1,7,IF(OR(P15="W",P15="A"),5,3)),FALSE),"TBD")</f>
        <v>0</v>
      </c>
      <c r="V15" s="18" t="s">
        <v>110</v>
      </c>
      <c r="W15" s="19" t="s">
        <v>146</v>
      </c>
      <c r="X15" s="19" t="s">
        <v>106</v>
      </c>
      <c r="Y15" s="19">
        <f>V15&amp;X15&amp;D15</f>
        <v>0</v>
      </c>
      <c r="Z15" s="11">
        <f t="array" ref="Z15">1-PRODUCT(IF(Students=E15,MGRMoneyMult,1))</f>
        <v>0</v>
      </c>
      <c r="AA15" s="12">
        <f t="array" ref="AA15">1-PRODUCT(IF(Students=E15,RGRMoneyMult,1))</f>
        <v>0</v>
      </c>
      <c r="AB15" s="13">
        <f>COUNTIFS(Students,E15,Results,"Accepted!")+COUNTIFS(Students,E15,Results,"CHOICE!")</f>
        <v>0</v>
      </c>
      <c r="AC15" s="1">
        <f>COUNTIFS(Students,E15,Results,"Deferred")+COUNTIFS(Students,E15,Results,"Waitlist")</f>
        <v>0</v>
      </c>
      <c r="AD15" s="13">
        <f>COUNTIFS(Students,E15,Results,"Denied")</f>
        <v>0</v>
      </c>
      <c r="AE15" s="13">
        <f>AB15+AC15+AD15+COUNTIFS(Students,E15,Results,"Submitted")</f>
        <v>0</v>
      </c>
      <c r="AF15" s="12">
        <v>0.4301558565000001</v>
      </c>
      <c r="AG15" s="12">
        <v>0.359365</v>
      </c>
      <c r="AH15" s="12">
        <v>0.3494138906348209</v>
      </c>
      <c r="AI15" s="12">
        <v>0.316143928035982</v>
      </c>
      <c r="AJ15" s="13">
        <f>COUNTIFS(Students,E15,Results,"CHOICE!")</f>
        <v>0</v>
      </c>
      <c r="AK15" s="1">
        <f>COUNTIFS(MoneyYesNo,1,RGRcount,1,Students,E15,Results,"Accepted!")</f>
        <v>0</v>
      </c>
      <c r="AL15" s="1">
        <f>COUNTIFS(MoneyYesNo,1,MGRcount,1,Students,E15,Results,"Accepted!")-AK15</f>
        <v>0</v>
      </c>
      <c r="AM15" s="1">
        <f>COUNTIFS(MoneyYesNo,1,Students,E15,Results,"Accepted!")-AK15-AL15</f>
        <v>0</v>
      </c>
      <c r="AN15" s="13">
        <f>COUNTIFS(Students,E15,Results,"Accepted!")-AK15-AL15-AM15</f>
        <v>0</v>
      </c>
      <c r="AO15" s="1">
        <f>SUMIFS(RGRcount,Students,E15,MoneyYesNo,1)</f>
        <v>0</v>
      </c>
      <c r="AP15" s="1">
        <f>SUMIFS(MGRcount,Students,E15,MoneyYesNo,1)-AO15</f>
        <v>0</v>
      </c>
      <c r="AQ15" s="1">
        <f>SUMIF(Students,E15,MoneyYesNo)-AO15-AP15</f>
        <v>0</v>
      </c>
      <c r="AR15" s="13">
        <f>SUM(AO15,AP15,AQ15)</f>
        <v>0</v>
      </c>
      <c r="AS15" s="1">
        <f>SUMIF(Students,E15,RGRcount)</f>
        <v>0</v>
      </c>
      <c r="AT15" s="1">
        <f>SUMIF(Students,E15,MGRcount)-AS15</f>
        <v>0</v>
      </c>
      <c r="AU15" s="1">
        <f>COUNTIF(Students,E15)-AS15-AT15</f>
        <v>0</v>
      </c>
      <c r="AV15" s="1">
        <f>SUMIF(Students,E15,FarBelowTGRCount)</f>
        <v>0</v>
      </c>
      <c r="AW15" s="47">
        <f>COUNTIF(Students,E15)</f>
        <v>0</v>
      </c>
      <c r="AX15" s="11">
        <f>IF(AW15&gt;0,AE15/AW15,0)</f>
        <v>0</v>
      </c>
      <c r="AY15" s="11">
        <f t="array" ref="AY15">1-PRODUCT(IF(Students=E15,MGRMult,1))</f>
        <v>0</v>
      </c>
      <c r="AZ15" s="12">
        <f t="array" ref="AZ15">1-PRODUCT(IF(Students=E15,RGRMult,1))</f>
        <v>0</v>
      </c>
      <c r="BA15" s="1">
        <f>COUNTIFS(Students,E15,Classes,HailMaryLabel)</f>
        <v>0</v>
      </c>
      <c r="BB15" s="1">
        <f>COUNTIFS(Students,E15,Classes,LongshotLabel)</f>
        <v>0</v>
      </c>
      <c r="BC15" s="1">
        <f>COUNTIFS(Students,E15,Classes,ReachLabel)</f>
        <v>0</v>
      </c>
      <c r="BD15" s="1">
        <f>COUNTIFS(Students,E15,Classes,MatchLabel)</f>
        <v>0</v>
      </c>
      <c r="BE15" s="1">
        <f>COUNTIFS(Students,E15,Classes,SafetyLabel)</f>
        <v>0</v>
      </c>
      <c r="BF15" s="1">
        <f>COUNTIFS(Students,E15,Classes,SecureLabel)</f>
        <v>0</v>
      </c>
      <c r="BG15" s="1">
        <f>COUNTIFS(Students,E15,Classes,SureThingLabel)</f>
        <v>0</v>
      </c>
      <c r="BH15" s="13">
        <f>COUNTIFS(Students,E15,Classes,"Other")</f>
        <v>0</v>
      </c>
      <c r="BI15" s="1">
        <f>COUNTIFS(Students,E15,Classes,ReachLabel,MoneyYesNo,1)</f>
        <v>0</v>
      </c>
      <c r="BJ15" s="1">
        <f>COUNTIFS(Students,E15,Classes,MatchLabel,MoneyYesNo,1)</f>
        <v>0</v>
      </c>
      <c r="BK15" s="1">
        <f>COUNTIFS(Students,E15,Classes,SafetyLabel,MoneyYesNo,1)</f>
        <v>0</v>
      </c>
      <c r="BL15" s="1">
        <f>COUNTIFS(Students,E15,Classes,SecureLabel,MoneyYesNo,1)</f>
        <v>0</v>
      </c>
      <c r="BM15" s="1">
        <f>COUNTIFS(Students,E15,Classes,SureThingLabel,MoneyYesNo,1)</f>
        <v>0</v>
      </c>
      <c r="BN15" s="1">
        <f>SUM(BI15:BM15)</f>
        <v>0</v>
      </c>
      <c r="BO15" s="1">
        <f>SUMIFS(RGRcount,Students,E15,MoneyYesNo,1,Odds,"&gt;=20")</f>
        <v>0</v>
      </c>
      <c r="BP15" s="1">
        <f>SUMIFS(MGRcount,Students,E15,MoneyYesNo,1,Odds,"&gt;=20")-BO15</f>
        <v>0</v>
      </c>
      <c r="BQ15" s="1">
        <f>SUMIFS(MGRcount,Students,E15,MoneyYesNo,1,Odds,"&gt;=50")</f>
        <v>0</v>
      </c>
      <c r="BR15" s="1">
        <f>SUMIFS(RGRcount,Students,E15,MoneyYesNo,1,Odds,"&gt;=10")</f>
        <v>0</v>
      </c>
      <c r="BS15" s="1">
        <f>SUMIFS(MGRcount,Students,E15,MoneyYesNo,1,Odds,"&gt;=10")-BR15</f>
        <v>0</v>
      </c>
      <c r="BT15" s="1">
        <f>COUNTIFS(Students,E15,ILPublic,1)</f>
        <v>0</v>
      </c>
      <c r="BU15" s="1">
        <f>COUNTIFS(Students,E15,ILPublic,1,MoneyYesNo,1,Classes,MatchLabel)+COUNTIFS(Students,E15,ILPublic,1,MoneyYesNo,1,Classes,SafetyLabel)+COUNTIFS(Students,E15,ILPublic,1,MoneyYesNo,1,Classes,SecureLabel)+COUNTIFS(Students,E15,ILPublic,1,MoneyYesNo,1,Classes,SureThingLabel)</f>
        <v>0</v>
      </c>
      <c r="BV15" s="1">
        <f>COUNTIFS(Students,E15,ILPublic,1, Classes,SecureLabel)</f>
        <v>0</v>
      </c>
      <c r="BW15" s="1">
        <f>COUNTIFS(Students,E15,MoneyChicago,1)</f>
        <v>0</v>
      </c>
      <c r="BX15" s="1">
        <f>COUNTIFS(Students,E15,MatchOrUnder,1)</f>
        <v>0</v>
      </c>
      <c r="BY15" s="1">
        <f>SUMIF(Students,E15,MGRcount)</f>
        <v>0</v>
      </c>
      <c r="BZ15" s="1">
        <f>COUNTIFS(Students,E15,BadMoney,1)</f>
        <v>0</v>
      </c>
      <c r="CA15" s="1">
        <f>COUNTIFS(Students,E15,GoldenThree,1)</f>
        <v>0</v>
      </c>
      <c r="CB15" s="1">
        <f>COUNTIFS(Students,E15,NCESids,147536)</f>
        <v>0</v>
      </c>
      <c r="CC15" s="1">
        <f>COUNTIFS(Students,E15,NCESids,144157)+COUNTIFS(Students,E15,NCESids,144166)+COUNTIFS(Students,E15,NCESids,144175)+COUNTIFS(Students,E15,NCESids,144184)+COUNTIFS(Students,E15,NCESids,144193)+COUNTIFS(Students,E15,NCESids,144209)+COUNTIFS(Students,E15,NCESids,144218)</f>
        <v>0</v>
      </c>
      <c r="CD15" s="1">
        <f>COUNTIFS(Students,E15,Results,"Accepted!",FarBelowTGRCount,0)+COUNTIFS(Students,E15,Results,"CHOICE!",FarBelowTGRCount,0)</f>
        <v>0</v>
      </c>
    </row>
    <row r="16" spans="1:82">
      <c r="A16" s="18" t="s">
        <v>96</v>
      </c>
      <c r="B16" s="19">
        <v>0</v>
      </c>
      <c r="C16" s="18" t="s">
        <v>153</v>
      </c>
      <c r="D16" s="18" t="s">
        <v>157</v>
      </c>
      <c r="E16" s="19">
        <v>21702780</v>
      </c>
      <c r="F16" s="19" t="s">
        <v>158</v>
      </c>
      <c r="G16" s="10" t="s">
        <v>159</v>
      </c>
      <c r="H16" s="46">
        <v>2.5235</v>
      </c>
      <c r="I16" s="46">
        <v>2.7235</v>
      </c>
      <c r="J16" s="1">
        <v>16</v>
      </c>
      <c r="K16" s="1">
        <f>IF(ISNUMBER(I16),ROUND(583.58+106.27*I16,-1),"TBD")</f>
        <v>0</v>
      </c>
      <c r="L16" s="1">
        <v>950</v>
      </c>
      <c r="M16" s="1">
        <f>IF(ISNUMBER(L16),L16,IF(ISNUMBER(K16),K16,"TBD"))</f>
        <v>0</v>
      </c>
      <c r="N16" s="1">
        <f>IF(ISNUMBER(J16),VLOOKUP(J16,ACTtoSAT,2,FALSE),"TBD")</f>
        <v>0</v>
      </c>
      <c r="O16" s="1">
        <f>IF(ISNUMBER(M16),IF(ISNUMBER(N16),MAX(M16,N16),M16),IF(ISNUMBER(N16),N16,"TBD"))</f>
        <v>0</v>
      </c>
      <c r="P16" s="1" t="s">
        <v>101</v>
      </c>
      <c r="Q16" s="1" t="s">
        <v>123</v>
      </c>
      <c r="R16" s="1" t="s">
        <v>124</v>
      </c>
      <c r="S16" s="1">
        <f>IF(AND(H16&lt;&gt;0,O16&lt;&gt;0),IF(ISNUMBER(VLOOKUP(TEXT(MAX(FLOOR(H16*10,1)/10,1.5),"0.0")&amp;":"&amp;MAX(O16,710),StrategyLookup,4,FALSE)),VLOOKUP(TEXT(MAX(FLOOR(H16*10,1)/10,1.5),"0.0")&amp;":"&amp;MAX(O16,710),StrategyLookup,4,FALSE),"TBD"),"TBD")</f>
        <v>0</v>
      </c>
      <c r="T16" s="11">
        <f>IF(ISNUMBER(S16),VLOOKUP(IF(OR(S16=5,S16=6),S16&amp;IF(H16&gt;=3,"+","&lt;"),S16&amp;""),TargetLookup,IF(B16=-1,6,IF(OR(P16="W",P16="A"),4,2)),FALSE),"TBD")</f>
        <v>0</v>
      </c>
      <c r="U16" s="11">
        <f>IF(ISNUMBER(S16),VLOOKUP(IF(OR(S16=5,S16=6),S16&amp;IF(H16&gt;=3,"+","&lt;"),S16&amp;""),TargetLookup,IF(B16=-1,7,IF(OR(P16="W",P16="A"),5,3)),FALSE),"TBD")</f>
        <v>0</v>
      </c>
      <c r="V16" s="18" t="s">
        <v>160</v>
      </c>
      <c r="W16" s="19" t="s">
        <v>125</v>
      </c>
      <c r="X16" s="19" t="s">
        <v>106</v>
      </c>
      <c r="Y16" s="19">
        <f>V16&amp;X16&amp;D16</f>
        <v>0</v>
      </c>
      <c r="Z16" s="11">
        <f t="array" ref="Z16">1-PRODUCT(IF(Students=E16,MGRMoneyMult,1))</f>
        <v>0</v>
      </c>
      <c r="AA16" s="12">
        <f t="array" ref="AA16">1-PRODUCT(IF(Students=E16,RGRMoneyMult,1))</f>
        <v>0</v>
      </c>
      <c r="AB16" s="13">
        <f>COUNTIFS(Students,E16,Results,"Accepted!")+COUNTIFS(Students,E16,Results,"CHOICE!")</f>
        <v>0</v>
      </c>
      <c r="AC16" s="1">
        <f>COUNTIFS(Students,E16,Results,"Deferred")+COUNTIFS(Students,E16,Results,"Waitlist")</f>
        <v>0</v>
      </c>
      <c r="AD16" s="13">
        <f>COUNTIFS(Students,E16,Results,"Denied")</f>
        <v>0</v>
      </c>
      <c r="AE16" s="13">
        <f>AB16+AC16+AD16+COUNTIFS(Students,E16,Results,"Submitted")</f>
        <v>0</v>
      </c>
      <c r="AF16" s="12">
        <v>0.6026931481107609</v>
      </c>
      <c r="AG16" s="12">
        <v>0.5410128316704896</v>
      </c>
      <c r="AH16" s="12">
        <v>0.3971717545153292</v>
      </c>
      <c r="AI16" s="12">
        <v>0.3735508282902377</v>
      </c>
      <c r="AJ16" s="13">
        <f>COUNTIFS(Students,E16,Results,"CHOICE!")</f>
        <v>0</v>
      </c>
      <c r="AK16" s="1">
        <f>COUNTIFS(MoneyYesNo,1,RGRcount,1,Students,E16,Results,"Accepted!")</f>
        <v>0</v>
      </c>
      <c r="AL16" s="1">
        <f>COUNTIFS(MoneyYesNo,1,MGRcount,1,Students,E16,Results,"Accepted!")-AK16</f>
        <v>0</v>
      </c>
      <c r="AM16" s="1">
        <f>COUNTIFS(MoneyYesNo,1,Students,E16,Results,"Accepted!")-AK16-AL16</f>
        <v>0</v>
      </c>
      <c r="AN16" s="13">
        <f>COUNTIFS(Students,E16,Results,"Accepted!")-AK16-AL16-AM16</f>
        <v>0</v>
      </c>
      <c r="AO16" s="1">
        <f>SUMIFS(RGRcount,Students,E16,MoneyYesNo,1)</f>
        <v>0</v>
      </c>
      <c r="AP16" s="1">
        <f>SUMIFS(MGRcount,Students,E16,MoneyYesNo,1)-AO16</f>
        <v>0</v>
      </c>
      <c r="AQ16" s="1">
        <f>SUMIF(Students,E16,MoneyYesNo)-AO16-AP16</f>
        <v>0</v>
      </c>
      <c r="AR16" s="13">
        <f>SUM(AO16,AP16,AQ16)</f>
        <v>0</v>
      </c>
      <c r="AS16" s="1">
        <f>SUMIF(Students,E16,RGRcount)</f>
        <v>0</v>
      </c>
      <c r="AT16" s="1">
        <f>SUMIF(Students,E16,MGRcount)-AS16</f>
        <v>0</v>
      </c>
      <c r="AU16" s="1">
        <f>COUNTIF(Students,E16)-AS16-AT16</f>
        <v>0</v>
      </c>
      <c r="AV16" s="1">
        <f>SUMIF(Students,E16,FarBelowTGRCount)</f>
        <v>0</v>
      </c>
      <c r="AW16" s="47">
        <f>COUNTIF(Students,E16)</f>
        <v>0</v>
      </c>
      <c r="AX16" s="11">
        <f>IF(AW16&gt;0,AE16/AW16,0)</f>
        <v>0</v>
      </c>
      <c r="AY16" s="11">
        <f t="array" ref="AY16">1-PRODUCT(IF(Students=E16,MGRMult,1))</f>
        <v>0</v>
      </c>
      <c r="AZ16" s="12">
        <f t="array" ref="AZ16">1-PRODUCT(IF(Students=E16,RGRMult,1))</f>
        <v>0</v>
      </c>
      <c r="BA16" s="1">
        <f>COUNTIFS(Students,E16,Classes,HailMaryLabel)</f>
        <v>0</v>
      </c>
      <c r="BB16" s="1">
        <f>COUNTIFS(Students,E16,Classes,LongshotLabel)</f>
        <v>0</v>
      </c>
      <c r="BC16" s="1">
        <f>COUNTIFS(Students,E16,Classes,ReachLabel)</f>
        <v>0</v>
      </c>
      <c r="BD16" s="1">
        <f>COUNTIFS(Students,E16,Classes,MatchLabel)</f>
        <v>0</v>
      </c>
      <c r="BE16" s="1">
        <f>COUNTIFS(Students,E16,Classes,SafetyLabel)</f>
        <v>0</v>
      </c>
      <c r="BF16" s="1">
        <f>COUNTIFS(Students,E16,Classes,SecureLabel)</f>
        <v>0</v>
      </c>
      <c r="BG16" s="1">
        <f>COUNTIFS(Students,E16,Classes,SureThingLabel)</f>
        <v>0</v>
      </c>
      <c r="BH16" s="13">
        <f>COUNTIFS(Students,E16,Classes,"Other")</f>
        <v>0</v>
      </c>
      <c r="BI16" s="1">
        <f>COUNTIFS(Students,E16,Classes,ReachLabel,MoneyYesNo,1)</f>
        <v>0</v>
      </c>
      <c r="BJ16" s="1">
        <f>COUNTIFS(Students,E16,Classes,MatchLabel,MoneyYesNo,1)</f>
        <v>0</v>
      </c>
      <c r="BK16" s="1">
        <f>COUNTIFS(Students,E16,Classes,SafetyLabel,MoneyYesNo,1)</f>
        <v>0</v>
      </c>
      <c r="BL16" s="1">
        <f>COUNTIFS(Students,E16,Classes,SecureLabel,MoneyYesNo,1)</f>
        <v>0</v>
      </c>
      <c r="BM16" s="1">
        <f>COUNTIFS(Students,E16,Classes,SureThingLabel,MoneyYesNo,1)</f>
        <v>0</v>
      </c>
      <c r="BN16" s="1">
        <f>SUM(BI16:BM16)</f>
        <v>0</v>
      </c>
      <c r="BO16" s="1">
        <f>SUMIFS(RGRcount,Students,E16,MoneyYesNo,1,Odds,"&gt;=20")</f>
        <v>0</v>
      </c>
      <c r="BP16" s="1">
        <f>SUMIFS(MGRcount,Students,E16,MoneyYesNo,1,Odds,"&gt;=20")-BO16</f>
        <v>0</v>
      </c>
      <c r="BQ16" s="1">
        <f>SUMIFS(MGRcount,Students,E16,MoneyYesNo,1,Odds,"&gt;=50")</f>
        <v>0</v>
      </c>
      <c r="BR16" s="1">
        <f>SUMIFS(RGRcount,Students,E16,MoneyYesNo,1,Odds,"&gt;=10")</f>
        <v>0</v>
      </c>
      <c r="BS16" s="1">
        <f>SUMIFS(MGRcount,Students,E16,MoneyYesNo,1,Odds,"&gt;=10")-BR16</f>
        <v>0</v>
      </c>
      <c r="BT16" s="1">
        <f>COUNTIFS(Students,E16,ILPublic,1)</f>
        <v>0</v>
      </c>
      <c r="BU16" s="1">
        <f>COUNTIFS(Students,E16,ILPublic,1,MoneyYesNo,1,Classes,MatchLabel)+COUNTIFS(Students,E16,ILPublic,1,MoneyYesNo,1,Classes,SafetyLabel)+COUNTIFS(Students,E16,ILPublic,1,MoneyYesNo,1,Classes,SecureLabel)+COUNTIFS(Students,E16,ILPublic,1,MoneyYesNo,1,Classes,SureThingLabel)</f>
        <v>0</v>
      </c>
      <c r="BV16" s="1">
        <f>COUNTIFS(Students,E16,ILPublic,1, Classes,SecureLabel)</f>
        <v>0</v>
      </c>
      <c r="BW16" s="1">
        <f>COUNTIFS(Students,E16,MoneyChicago,1)</f>
        <v>0</v>
      </c>
      <c r="BX16" s="1">
        <f>COUNTIFS(Students,E16,MatchOrUnder,1)</f>
        <v>0</v>
      </c>
      <c r="BY16" s="1">
        <f>SUMIF(Students,E16,MGRcount)</f>
        <v>0</v>
      </c>
      <c r="BZ16" s="1">
        <f>COUNTIFS(Students,E16,BadMoney,1)</f>
        <v>0</v>
      </c>
      <c r="CA16" s="1">
        <f>COUNTIFS(Students,E16,GoldenThree,1)</f>
        <v>0</v>
      </c>
      <c r="CB16" s="1">
        <f>COUNTIFS(Students,E16,NCESids,147536)</f>
        <v>0</v>
      </c>
      <c r="CC16" s="1">
        <f>COUNTIFS(Students,E16,NCESids,144157)+COUNTIFS(Students,E16,NCESids,144166)+COUNTIFS(Students,E16,NCESids,144175)+COUNTIFS(Students,E16,NCESids,144184)+COUNTIFS(Students,E16,NCESids,144193)+COUNTIFS(Students,E16,NCESids,144209)+COUNTIFS(Students,E16,NCESids,144218)</f>
        <v>0</v>
      </c>
      <c r="CD16" s="1">
        <f>COUNTIFS(Students,E16,Results,"Accepted!",FarBelowTGRCount,0)+COUNTIFS(Students,E16,Results,"CHOICE!",FarBelowTGRCount,0)</f>
        <v>0</v>
      </c>
    </row>
    <row r="17" spans="1:82">
      <c r="A17" s="18" t="s">
        <v>96</v>
      </c>
      <c r="B17" s="19">
        <v>0</v>
      </c>
      <c r="C17" s="18" t="s">
        <v>97</v>
      </c>
      <c r="D17" s="18" t="s">
        <v>161</v>
      </c>
      <c r="E17" s="19">
        <v>23319069</v>
      </c>
      <c r="F17" s="19" t="s">
        <v>162</v>
      </c>
      <c r="G17" s="10" t="s">
        <v>163</v>
      </c>
      <c r="H17" s="46">
        <v>3.4923</v>
      </c>
      <c r="I17" s="46">
        <v>3.6923</v>
      </c>
      <c r="J17" s="1">
        <v>20</v>
      </c>
      <c r="K17" s="1">
        <f>IF(ISNUMBER(I17),ROUND(583.58+106.27*I17,-1),"TBD")</f>
        <v>0</v>
      </c>
      <c r="L17" s="1">
        <v>1060</v>
      </c>
      <c r="M17" s="1">
        <f>IF(ISNUMBER(L17),L17,IF(ISNUMBER(K17),K17,"TBD"))</f>
        <v>0</v>
      </c>
      <c r="N17" s="1">
        <f>IF(ISNUMBER(J17),VLOOKUP(J17,ACTtoSAT,2,FALSE),"TBD")</f>
        <v>0</v>
      </c>
      <c r="O17" s="1">
        <f>IF(ISNUMBER(M17),IF(ISNUMBER(N17),MAX(M17,N17),M17),IF(ISNUMBER(N17),N17,"TBD"))</f>
        <v>0</v>
      </c>
      <c r="P17" s="1" t="s">
        <v>101</v>
      </c>
      <c r="Q17" s="1" t="s">
        <v>123</v>
      </c>
      <c r="R17" s="1" t="s">
        <v>124</v>
      </c>
      <c r="S17" s="1">
        <f>IF(AND(H17&lt;&gt;0,O17&lt;&gt;0),IF(ISNUMBER(VLOOKUP(TEXT(MAX(FLOOR(H17*10,1)/10,1.5),"0.0")&amp;":"&amp;MAX(O17,710),StrategyLookup,4,FALSE)),VLOOKUP(TEXT(MAX(FLOOR(H17*10,1)/10,1.5),"0.0")&amp;":"&amp;MAX(O17,710),StrategyLookup,4,FALSE),"TBD"),"TBD")</f>
        <v>0</v>
      </c>
      <c r="T17" s="11">
        <f>IF(ISNUMBER(S17),VLOOKUP(IF(OR(S17=5,S17=6),S17&amp;IF(H17&gt;=3,"+","&lt;"),S17&amp;""),TargetLookup,IF(B17=-1,6,IF(OR(P17="W",P17="A"),4,2)),FALSE),"TBD")</f>
        <v>0</v>
      </c>
      <c r="U17" s="11">
        <f>IF(ISNUMBER(S17),VLOOKUP(IF(OR(S17=5,S17=6),S17&amp;IF(H17&gt;=3,"+","&lt;"),S17&amp;""),TargetLookup,IF(B17=-1,7,IF(OR(P17="W",P17="A"),5,3)),FALSE),"TBD")</f>
        <v>0</v>
      </c>
      <c r="V17" s="18" t="s">
        <v>110</v>
      </c>
      <c r="W17" s="19" t="s">
        <v>111</v>
      </c>
      <c r="X17" s="19" t="s">
        <v>106</v>
      </c>
      <c r="Y17" s="19">
        <f>V17&amp;X17&amp;D17</f>
        <v>0</v>
      </c>
      <c r="Z17" s="11">
        <f t="array" ref="Z17">1-PRODUCT(IF(Students=E17,MGRMoneyMult,1))</f>
        <v>0</v>
      </c>
      <c r="AA17" s="12">
        <f t="array" ref="AA17">1-PRODUCT(IF(Students=E17,RGRMoneyMult,1))</f>
        <v>0</v>
      </c>
      <c r="AB17" s="13">
        <f>COUNTIFS(Students,E17,Results,"Accepted!")+COUNTIFS(Students,E17,Results,"CHOICE!")</f>
        <v>0</v>
      </c>
      <c r="AC17" s="1">
        <f>COUNTIFS(Students,E17,Results,"Deferred")+COUNTIFS(Students,E17,Results,"Waitlist")</f>
        <v>0</v>
      </c>
      <c r="AD17" s="13">
        <f>COUNTIFS(Students,E17,Results,"Denied")</f>
        <v>0</v>
      </c>
      <c r="AE17" s="13">
        <f>AB17+AC17+AD17+COUNTIFS(Students,E17,Results,"Submitted")</f>
        <v>0</v>
      </c>
      <c r="AF17" s="12">
        <v>0.8177972091205703</v>
      </c>
      <c r="AG17" s="12">
        <v>0.7923135934720154</v>
      </c>
      <c r="AH17" s="12">
        <v>0.7057365620056683</v>
      </c>
      <c r="AI17" s="12">
        <v>0.6790812999657589</v>
      </c>
      <c r="AJ17" s="13">
        <f>COUNTIFS(Students,E17,Results,"CHOICE!")</f>
        <v>0</v>
      </c>
      <c r="AK17" s="1">
        <f>COUNTIFS(MoneyYesNo,1,RGRcount,1,Students,E17,Results,"Accepted!")</f>
        <v>0</v>
      </c>
      <c r="AL17" s="1">
        <f>COUNTIFS(MoneyYesNo,1,MGRcount,1,Students,E17,Results,"Accepted!")-AK17</f>
        <v>0</v>
      </c>
      <c r="AM17" s="1">
        <f>COUNTIFS(MoneyYesNo,1,Students,E17,Results,"Accepted!")-AK17-AL17</f>
        <v>0</v>
      </c>
      <c r="AN17" s="13">
        <f>COUNTIFS(Students,E17,Results,"Accepted!")-AK17-AL17-AM17</f>
        <v>0</v>
      </c>
      <c r="AO17" s="1">
        <f>SUMIFS(RGRcount,Students,E17,MoneyYesNo,1)</f>
        <v>0</v>
      </c>
      <c r="AP17" s="1">
        <f>SUMIFS(MGRcount,Students,E17,MoneyYesNo,1)-AO17</f>
        <v>0</v>
      </c>
      <c r="AQ17" s="1">
        <f>SUMIF(Students,E17,MoneyYesNo)-AO17-AP17</f>
        <v>0</v>
      </c>
      <c r="AR17" s="13">
        <f>SUM(AO17,AP17,AQ17)</f>
        <v>0</v>
      </c>
      <c r="AS17" s="1">
        <f>SUMIF(Students,E17,RGRcount)</f>
        <v>0</v>
      </c>
      <c r="AT17" s="1">
        <f>SUMIF(Students,E17,MGRcount)-AS17</f>
        <v>0</v>
      </c>
      <c r="AU17" s="1">
        <f>COUNTIF(Students,E17)-AS17-AT17</f>
        <v>0</v>
      </c>
      <c r="AV17" s="1">
        <f>SUMIF(Students,E17,FarBelowTGRCount)</f>
        <v>0</v>
      </c>
      <c r="AW17" s="47">
        <f>COUNTIF(Students,E17)</f>
        <v>0</v>
      </c>
      <c r="AX17" s="11">
        <f>IF(AW17&gt;0,AE17/AW17,0)</f>
        <v>0</v>
      </c>
      <c r="AY17" s="11">
        <f t="array" ref="AY17">1-PRODUCT(IF(Students=E17,MGRMult,1))</f>
        <v>0</v>
      </c>
      <c r="AZ17" s="12">
        <f t="array" ref="AZ17">1-PRODUCT(IF(Students=E17,RGRMult,1))</f>
        <v>0</v>
      </c>
      <c r="BA17" s="1">
        <f>COUNTIFS(Students,E17,Classes,HailMaryLabel)</f>
        <v>0</v>
      </c>
      <c r="BB17" s="1">
        <f>COUNTIFS(Students,E17,Classes,LongshotLabel)</f>
        <v>0</v>
      </c>
      <c r="BC17" s="1">
        <f>COUNTIFS(Students,E17,Classes,ReachLabel)</f>
        <v>0</v>
      </c>
      <c r="BD17" s="1">
        <f>COUNTIFS(Students,E17,Classes,MatchLabel)</f>
        <v>0</v>
      </c>
      <c r="BE17" s="1">
        <f>COUNTIFS(Students,E17,Classes,SafetyLabel)</f>
        <v>0</v>
      </c>
      <c r="BF17" s="1">
        <f>COUNTIFS(Students,E17,Classes,SecureLabel)</f>
        <v>0</v>
      </c>
      <c r="BG17" s="1">
        <f>COUNTIFS(Students,E17,Classes,SureThingLabel)</f>
        <v>0</v>
      </c>
      <c r="BH17" s="13">
        <f>COUNTIFS(Students,E17,Classes,"Other")</f>
        <v>0</v>
      </c>
      <c r="BI17" s="1">
        <f>COUNTIFS(Students,E17,Classes,ReachLabel,MoneyYesNo,1)</f>
        <v>0</v>
      </c>
      <c r="BJ17" s="1">
        <f>COUNTIFS(Students,E17,Classes,MatchLabel,MoneyYesNo,1)</f>
        <v>0</v>
      </c>
      <c r="BK17" s="1">
        <f>COUNTIFS(Students,E17,Classes,SafetyLabel,MoneyYesNo,1)</f>
        <v>0</v>
      </c>
      <c r="BL17" s="1">
        <f>COUNTIFS(Students,E17,Classes,SecureLabel,MoneyYesNo,1)</f>
        <v>0</v>
      </c>
      <c r="BM17" s="1">
        <f>COUNTIFS(Students,E17,Classes,SureThingLabel,MoneyYesNo,1)</f>
        <v>0</v>
      </c>
      <c r="BN17" s="1">
        <f>SUM(BI17:BM17)</f>
        <v>0</v>
      </c>
      <c r="BO17" s="1">
        <f>SUMIFS(RGRcount,Students,E17,MoneyYesNo,1,Odds,"&gt;=20")</f>
        <v>0</v>
      </c>
      <c r="BP17" s="1">
        <f>SUMIFS(MGRcount,Students,E17,MoneyYesNo,1,Odds,"&gt;=20")-BO17</f>
        <v>0</v>
      </c>
      <c r="BQ17" s="1">
        <f>SUMIFS(MGRcount,Students,E17,MoneyYesNo,1,Odds,"&gt;=50")</f>
        <v>0</v>
      </c>
      <c r="BR17" s="1">
        <f>SUMIFS(RGRcount,Students,E17,MoneyYesNo,1,Odds,"&gt;=10")</f>
        <v>0</v>
      </c>
      <c r="BS17" s="1">
        <f>SUMIFS(MGRcount,Students,E17,MoneyYesNo,1,Odds,"&gt;=10")-BR17</f>
        <v>0</v>
      </c>
      <c r="BT17" s="1">
        <f>COUNTIFS(Students,E17,ILPublic,1)</f>
        <v>0</v>
      </c>
      <c r="BU17" s="1">
        <f>COUNTIFS(Students,E17,ILPublic,1,MoneyYesNo,1,Classes,MatchLabel)+COUNTIFS(Students,E17,ILPublic,1,MoneyYesNo,1,Classes,SafetyLabel)+COUNTIFS(Students,E17,ILPublic,1,MoneyYesNo,1,Classes,SecureLabel)+COUNTIFS(Students,E17,ILPublic,1,MoneyYesNo,1,Classes,SureThingLabel)</f>
        <v>0</v>
      </c>
      <c r="BV17" s="1">
        <f>COUNTIFS(Students,E17,ILPublic,1, Classes,SecureLabel)</f>
        <v>0</v>
      </c>
      <c r="BW17" s="1">
        <f>COUNTIFS(Students,E17,MoneyChicago,1)</f>
        <v>0</v>
      </c>
      <c r="BX17" s="1">
        <f>COUNTIFS(Students,E17,MatchOrUnder,1)</f>
        <v>0</v>
      </c>
      <c r="BY17" s="1">
        <f>SUMIF(Students,E17,MGRcount)</f>
        <v>0</v>
      </c>
      <c r="BZ17" s="1">
        <f>COUNTIFS(Students,E17,BadMoney,1)</f>
        <v>0</v>
      </c>
      <c r="CA17" s="1">
        <f>COUNTIFS(Students,E17,GoldenThree,1)</f>
        <v>0</v>
      </c>
      <c r="CB17" s="1">
        <f>COUNTIFS(Students,E17,NCESids,147536)</f>
        <v>0</v>
      </c>
      <c r="CC17" s="1">
        <f>COUNTIFS(Students,E17,NCESids,144157)+COUNTIFS(Students,E17,NCESids,144166)+COUNTIFS(Students,E17,NCESids,144175)+COUNTIFS(Students,E17,NCESids,144184)+COUNTIFS(Students,E17,NCESids,144193)+COUNTIFS(Students,E17,NCESids,144209)+COUNTIFS(Students,E17,NCESids,144218)</f>
        <v>0</v>
      </c>
      <c r="CD17" s="1">
        <f>COUNTIFS(Students,E17,Results,"Accepted!",FarBelowTGRCount,0)+COUNTIFS(Students,E17,Results,"CHOICE!",FarBelowTGRCount,0)</f>
        <v>0</v>
      </c>
    </row>
    <row r="18" spans="1:82">
      <c r="A18" s="18" t="s">
        <v>96</v>
      </c>
      <c r="B18" s="19">
        <v>0</v>
      </c>
      <c r="C18" s="18" t="s">
        <v>97</v>
      </c>
      <c r="D18" s="18" t="s">
        <v>164</v>
      </c>
      <c r="E18" s="19">
        <v>22942005</v>
      </c>
      <c r="F18" s="19" t="s">
        <v>165</v>
      </c>
      <c r="G18" s="10" t="s">
        <v>166</v>
      </c>
      <c r="H18" s="46">
        <v>2.6375</v>
      </c>
      <c r="I18" s="46">
        <v>2.8375</v>
      </c>
      <c r="J18" s="1">
        <v>18</v>
      </c>
      <c r="K18" s="1">
        <f>IF(ISNUMBER(I18),ROUND(583.58+106.27*I18,-1),"TBD")</f>
        <v>0</v>
      </c>
      <c r="L18" s="1">
        <v>790</v>
      </c>
      <c r="M18" s="1">
        <f>IF(ISNUMBER(L18),L18,IF(ISNUMBER(K18),K18,"TBD"))</f>
        <v>0</v>
      </c>
      <c r="N18" s="1">
        <f>IF(ISNUMBER(J18),VLOOKUP(J18,ACTtoSAT,2,FALSE),"TBD")</f>
        <v>0</v>
      </c>
      <c r="O18" s="1">
        <f>IF(ISNUMBER(M18),IF(ISNUMBER(N18),MAX(M18,N18),M18),IF(ISNUMBER(N18),N18,"TBD"))</f>
        <v>0</v>
      </c>
      <c r="P18" s="1" t="s">
        <v>101</v>
      </c>
      <c r="Q18" s="1" t="s">
        <v>102</v>
      </c>
      <c r="R18" s="1" t="s">
        <v>103</v>
      </c>
      <c r="S18" s="1">
        <f>IF(AND(H18&lt;&gt;0,O18&lt;&gt;0),IF(ISNUMBER(VLOOKUP(TEXT(MAX(FLOOR(H18*10,1)/10,1.5),"0.0")&amp;":"&amp;MAX(O18,710),StrategyLookup,4,FALSE)),VLOOKUP(TEXT(MAX(FLOOR(H18*10,1)/10,1.5),"0.0")&amp;":"&amp;MAX(O18,710),StrategyLookup,4,FALSE),"TBD"),"TBD")</f>
        <v>0</v>
      </c>
      <c r="T18" s="11">
        <f>IF(ISNUMBER(S18),VLOOKUP(IF(OR(S18=5,S18=6),S18&amp;IF(H18&gt;=3,"+","&lt;"),S18&amp;""),TargetLookup,IF(B18=-1,6,IF(OR(P18="W",P18="A"),4,2)),FALSE),"TBD")</f>
        <v>0</v>
      </c>
      <c r="U18" s="11">
        <f>IF(ISNUMBER(S18),VLOOKUP(IF(OR(S18=5,S18=6),S18&amp;IF(H18&gt;=3,"+","&lt;"),S18&amp;""),TargetLookup,IF(B18=-1,7,IF(OR(P18="W",P18="A"),5,3)),FALSE),"TBD")</f>
        <v>0</v>
      </c>
      <c r="V18" s="18" t="s">
        <v>115</v>
      </c>
      <c r="W18" s="19" t="s">
        <v>105</v>
      </c>
      <c r="X18" s="19" t="s">
        <v>106</v>
      </c>
      <c r="Y18" s="19">
        <f>V18&amp;X18&amp;D18</f>
        <v>0</v>
      </c>
      <c r="Z18" s="11">
        <f t="array" ref="Z18">1-PRODUCT(IF(Students=E18,MGRMoneyMult,1))</f>
        <v>0</v>
      </c>
      <c r="AA18" s="12">
        <f t="array" ref="AA18">1-PRODUCT(IF(Students=E18,RGRMoneyMult,1))</f>
        <v>0</v>
      </c>
      <c r="AB18" s="13">
        <f>COUNTIFS(Students,E18,Results,"Accepted!")+COUNTIFS(Students,E18,Results,"CHOICE!")</f>
        <v>0</v>
      </c>
      <c r="AC18" s="1">
        <f>COUNTIFS(Students,E18,Results,"Deferred")+COUNTIFS(Students,E18,Results,"Waitlist")</f>
        <v>0</v>
      </c>
      <c r="AD18" s="13">
        <f>COUNTIFS(Students,E18,Results,"Denied")</f>
        <v>0</v>
      </c>
      <c r="AE18" s="13">
        <f>AB18+AC18+AD18+COUNTIFS(Students,E18,Results,"Submitted")</f>
        <v>0</v>
      </c>
      <c r="AF18" s="12">
        <v>0.581763272378958</v>
      </c>
      <c r="AG18" s="12">
        <v>0.5658544356664635</v>
      </c>
      <c r="AH18" s="12">
        <v>0.4564853146264832</v>
      </c>
      <c r="AI18" s="12">
        <v>0.4380789821851635</v>
      </c>
      <c r="AJ18" s="13">
        <f>COUNTIFS(Students,E18,Results,"CHOICE!")</f>
        <v>0</v>
      </c>
      <c r="AK18" s="1">
        <f>COUNTIFS(MoneyYesNo,1,RGRcount,1,Students,E18,Results,"Accepted!")</f>
        <v>0</v>
      </c>
      <c r="AL18" s="1">
        <f>COUNTIFS(MoneyYesNo,1,MGRcount,1,Students,E18,Results,"Accepted!")-AK18</f>
        <v>0</v>
      </c>
      <c r="AM18" s="1">
        <f>COUNTIFS(MoneyYesNo,1,Students,E18,Results,"Accepted!")-AK18-AL18</f>
        <v>0</v>
      </c>
      <c r="AN18" s="13">
        <f>COUNTIFS(Students,E18,Results,"Accepted!")-AK18-AL18-AM18</f>
        <v>0</v>
      </c>
      <c r="AO18" s="1">
        <f>SUMIFS(RGRcount,Students,E18,MoneyYesNo,1)</f>
        <v>0</v>
      </c>
      <c r="AP18" s="1">
        <f>SUMIFS(MGRcount,Students,E18,MoneyYesNo,1)-AO18</f>
        <v>0</v>
      </c>
      <c r="AQ18" s="1">
        <f>SUMIF(Students,E18,MoneyYesNo)-AO18-AP18</f>
        <v>0</v>
      </c>
      <c r="AR18" s="13">
        <f>SUM(AO18,AP18,AQ18)</f>
        <v>0</v>
      </c>
      <c r="AS18" s="1">
        <f>SUMIF(Students,E18,RGRcount)</f>
        <v>0</v>
      </c>
      <c r="AT18" s="1">
        <f>SUMIF(Students,E18,MGRcount)-AS18</f>
        <v>0</v>
      </c>
      <c r="AU18" s="1">
        <f>COUNTIF(Students,E18)-AS18-AT18</f>
        <v>0</v>
      </c>
      <c r="AV18" s="1">
        <f>SUMIF(Students,E18,FarBelowTGRCount)</f>
        <v>0</v>
      </c>
      <c r="AW18" s="47">
        <f>COUNTIF(Students,E18)</f>
        <v>0</v>
      </c>
      <c r="AX18" s="11">
        <f>IF(AW18&gt;0,AE18/AW18,0)</f>
        <v>0</v>
      </c>
      <c r="AY18" s="11">
        <f t="array" ref="AY18">1-PRODUCT(IF(Students=E18,MGRMult,1))</f>
        <v>0</v>
      </c>
      <c r="AZ18" s="12">
        <f t="array" ref="AZ18">1-PRODUCT(IF(Students=E18,RGRMult,1))</f>
        <v>0</v>
      </c>
      <c r="BA18" s="1">
        <f>COUNTIFS(Students,E18,Classes,HailMaryLabel)</f>
        <v>0</v>
      </c>
      <c r="BB18" s="1">
        <f>COUNTIFS(Students,E18,Classes,LongshotLabel)</f>
        <v>0</v>
      </c>
      <c r="BC18" s="1">
        <f>COUNTIFS(Students,E18,Classes,ReachLabel)</f>
        <v>0</v>
      </c>
      <c r="BD18" s="1">
        <f>COUNTIFS(Students,E18,Classes,MatchLabel)</f>
        <v>0</v>
      </c>
      <c r="BE18" s="1">
        <f>COUNTIFS(Students,E18,Classes,SafetyLabel)</f>
        <v>0</v>
      </c>
      <c r="BF18" s="1">
        <f>COUNTIFS(Students,E18,Classes,SecureLabel)</f>
        <v>0</v>
      </c>
      <c r="BG18" s="1">
        <f>COUNTIFS(Students,E18,Classes,SureThingLabel)</f>
        <v>0</v>
      </c>
      <c r="BH18" s="13">
        <f>COUNTIFS(Students,E18,Classes,"Other")</f>
        <v>0</v>
      </c>
      <c r="BI18" s="1">
        <f>COUNTIFS(Students,E18,Classes,ReachLabel,MoneyYesNo,1)</f>
        <v>0</v>
      </c>
      <c r="BJ18" s="1">
        <f>COUNTIFS(Students,E18,Classes,MatchLabel,MoneyYesNo,1)</f>
        <v>0</v>
      </c>
      <c r="BK18" s="1">
        <f>COUNTIFS(Students,E18,Classes,SafetyLabel,MoneyYesNo,1)</f>
        <v>0</v>
      </c>
      <c r="BL18" s="1">
        <f>COUNTIFS(Students,E18,Classes,SecureLabel,MoneyYesNo,1)</f>
        <v>0</v>
      </c>
      <c r="BM18" s="1">
        <f>COUNTIFS(Students,E18,Classes,SureThingLabel,MoneyYesNo,1)</f>
        <v>0</v>
      </c>
      <c r="BN18" s="1">
        <f>SUM(BI18:BM18)</f>
        <v>0</v>
      </c>
      <c r="BO18" s="1">
        <f>SUMIFS(RGRcount,Students,E18,MoneyYesNo,1,Odds,"&gt;=20")</f>
        <v>0</v>
      </c>
      <c r="BP18" s="1">
        <f>SUMIFS(MGRcount,Students,E18,MoneyYesNo,1,Odds,"&gt;=20")-BO18</f>
        <v>0</v>
      </c>
      <c r="BQ18" s="1">
        <f>SUMIFS(MGRcount,Students,E18,MoneyYesNo,1,Odds,"&gt;=50")</f>
        <v>0</v>
      </c>
      <c r="BR18" s="1">
        <f>SUMIFS(RGRcount,Students,E18,MoneyYesNo,1,Odds,"&gt;=10")</f>
        <v>0</v>
      </c>
      <c r="BS18" s="1">
        <f>SUMIFS(MGRcount,Students,E18,MoneyYesNo,1,Odds,"&gt;=10")-BR18</f>
        <v>0</v>
      </c>
      <c r="BT18" s="1">
        <f>COUNTIFS(Students,E18,ILPublic,1)</f>
        <v>0</v>
      </c>
      <c r="BU18" s="1">
        <f>COUNTIFS(Students,E18,ILPublic,1,MoneyYesNo,1,Classes,MatchLabel)+COUNTIFS(Students,E18,ILPublic,1,MoneyYesNo,1,Classes,SafetyLabel)+COUNTIFS(Students,E18,ILPublic,1,MoneyYesNo,1,Classes,SecureLabel)+COUNTIFS(Students,E18,ILPublic,1,MoneyYesNo,1,Classes,SureThingLabel)</f>
        <v>0</v>
      </c>
      <c r="BV18" s="1">
        <f>COUNTIFS(Students,E18,ILPublic,1, Classes,SecureLabel)</f>
        <v>0</v>
      </c>
      <c r="BW18" s="1">
        <f>COUNTIFS(Students,E18,MoneyChicago,1)</f>
        <v>0</v>
      </c>
      <c r="BX18" s="1">
        <f>COUNTIFS(Students,E18,MatchOrUnder,1)</f>
        <v>0</v>
      </c>
      <c r="BY18" s="1">
        <f>SUMIF(Students,E18,MGRcount)</f>
        <v>0</v>
      </c>
      <c r="BZ18" s="1">
        <f>COUNTIFS(Students,E18,BadMoney,1)</f>
        <v>0</v>
      </c>
      <c r="CA18" s="1">
        <f>COUNTIFS(Students,E18,GoldenThree,1)</f>
        <v>0</v>
      </c>
      <c r="CB18" s="1">
        <f>COUNTIFS(Students,E18,NCESids,147536)</f>
        <v>0</v>
      </c>
      <c r="CC18" s="1">
        <f>COUNTIFS(Students,E18,NCESids,144157)+COUNTIFS(Students,E18,NCESids,144166)+COUNTIFS(Students,E18,NCESids,144175)+COUNTIFS(Students,E18,NCESids,144184)+COUNTIFS(Students,E18,NCESids,144193)+COUNTIFS(Students,E18,NCESids,144209)+COUNTIFS(Students,E18,NCESids,144218)</f>
        <v>0</v>
      </c>
      <c r="CD18" s="1">
        <f>COUNTIFS(Students,E18,Results,"Accepted!",FarBelowTGRCount,0)+COUNTIFS(Students,E18,Results,"CHOICE!",FarBelowTGRCount,0)</f>
        <v>0</v>
      </c>
    </row>
    <row r="19" spans="1:82">
      <c r="A19" s="18" t="s">
        <v>96</v>
      </c>
      <c r="B19" s="19">
        <v>-1</v>
      </c>
      <c r="C19" s="18" t="s">
        <v>97</v>
      </c>
      <c r="D19" s="18" t="s">
        <v>167</v>
      </c>
      <c r="E19" s="19">
        <v>23050586</v>
      </c>
      <c r="F19" s="19" t="s">
        <v>168</v>
      </c>
      <c r="G19" s="10" t="s">
        <v>169</v>
      </c>
      <c r="H19" s="46">
        <v>3.2423</v>
      </c>
      <c r="I19" s="46">
        <v>3.4423</v>
      </c>
      <c r="J19" s="1">
        <v>21</v>
      </c>
      <c r="K19" s="1">
        <f>IF(ISNUMBER(I19),ROUND(583.58+106.27*I19,-1),"TBD")</f>
        <v>0</v>
      </c>
      <c r="L19" s="1">
        <v>1020</v>
      </c>
      <c r="M19" s="1">
        <f>IF(ISNUMBER(L19),L19,IF(ISNUMBER(K19),K19,"TBD"))</f>
        <v>0</v>
      </c>
      <c r="N19" s="1">
        <f>IF(ISNUMBER(J19),VLOOKUP(J19,ACTtoSAT,2,FALSE),"TBD")</f>
        <v>0</v>
      </c>
      <c r="O19" s="1">
        <f>IF(ISNUMBER(M19),IF(ISNUMBER(N19),MAX(M19,N19),M19),IF(ISNUMBER(N19),N19,"TBD"))</f>
        <v>0</v>
      </c>
      <c r="P19" s="1" t="s">
        <v>101</v>
      </c>
      <c r="Q19" s="1" t="s">
        <v>102</v>
      </c>
      <c r="R19" s="1" t="s">
        <v>103</v>
      </c>
      <c r="S19" s="1">
        <f>IF(AND(H19&lt;&gt;0,O19&lt;&gt;0),IF(ISNUMBER(VLOOKUP(TEXT(MAX(FLOOR(H19*10,1)/10,1.5),"0.0")&amp;":"&amp;MAX(O19,710),StrategyLookup,4,FALSE)),VLOOKUP(TEXT(MAX(FLOOR(H19*10,1)/10,1.5),"0.0")&amp;":"&amp;MAX(O19,710),StrategyLookup,4,FALSE),"TBD"),"TBD")</f>
        <v>0</v>
      </c>
      <c r="T19" s="11">
        <f>IF(ISNUMBER(S19),VLOOKUP(IF(OR(S19=5,S19=6),S19&amp;IF(H19&gt;=3,"+","&lt;"),S19&amp;""),TargetLookup,IF(B19=-1,6,IF(OR(P19="W",P19="A"),4,2)),FALSE),"TBD")</f>
        <v>0</v>
      </c>
      <c r="U19" s="11">
        <f>IF(ISNUMBER(S19),VLOOKUP(IF(OR(S19=5,S19=6),S19&amp;IF(H19&gt;=3,"+","&lt;"),S19&amp;""),TargetLookup,IF(B19=-1,7,IF(OR(P19="W",P19="A"),5,3)),FALSE),"TBD")</f>
        <v>0</v>
      </c>
      <c r="V19" s="18" t="s">
        <v>135</v>
      </c>
      <c r="W19" s="19" t="s">
        <v>170</v>
      </c>
      <c r="X19" s="19" t="s">
        <v>106</v>
      </c>
      <c r="Y19" s="19">
        <f>V19&amp;X19&amp;D19</f>
        <v>0</v>
      </c>
      <c r="Z19" s="11">
        <f t="array" ref="Z19">1-PRODUCT(IF(Students=E19,MGRMoneyMult,1))</f>
        <v>0</v>
      </c>
      <c r="AA19" s="12">
        <f t="array" ref="AA19">1-PRODUCT(IF(Students=E19,RGRMoneyMult,1))</f>
        <v>0</v>
      </c>
      <c r="AB19" s="13">
        <f>COUNTIFS(Students,E19,Results,"Accepted!")+COUNTIFS(Students,E19,Results,"CHOICE!")</f>
        <v>0</v>
      </c>
      <c r="AC19" s="1">
        <f>COUNTIFS(Students,E19,Results,"Deferred")+COUNTIFS(Students,E19,Results,"Waitlist")</f>
        <v>0</v>
      </c>
      <c r="AD19" s="13">
        <f>COUNTIFS(Students,E19,Results,"Denied")</f>
        <v>0</v>
      </c>
      <c r="AE19" s="13">
        <f>AB19+AC19+AD19+COUNTIFS(Students,E19,Results,"Submitted")</f>
        <v>0</v>
      </c>
      <c r="AF19" s="12">
        <v>0.7637115340489874</v>
      </c>
      <c r="AG19" s="12">
        <v>0.7461854557795045</v>
      </c>
      <c r="AH19" s="12">
        <v>0.5881019903347839</v>
      </c>
      <c r="AI19" s="12">
        <v>0.5652067699070258</v>
      </c>
      <c r="AJ19" s="13">
        <f>COUNTIFS(Students,E19,Results,"CHOICE!")</f>
        <v>0</v>
      </c>
      <c r="AK19" s="1">
        <f>COUNTIFS(MoneyYesNo,1,RGRcount,1,Students,E19,Results,"Accepted!")</f>
        <v>0</v>
      </c>
      <c r="AL19" s="1">
        <f>COUNTIFS(MoneyYesNo,1,MGRcount,1,Students,E19,Results,"Accepted!")-AK19</f>
        <v>0</v>
      </c>
      <c r="AM19" s="1">
        <f>COUNTIFS(MoneyYesNo,1,Students,E19,Results,"Accepted!")-AK19-AL19</f>
        <v>0</v>
      </c>
      <c r="AN19" s="13">
        <f>COUNTIFS(Students,E19,Results,"Accepted!")-AK19-AL19-AM19</f>
        <v>0</v>
      </c>
      <c r="AO19" s="1">
        <f>SUMIFS(RGRcount,Students,E19,MoneyYesNo,1)</f>
        <v>0</v>
      </c>
      <c r="AP19" s="1">
        <f>SUMIFS(MGRcount,Students,E19,MoneyYesNo,1)-AO19</f>
        <v>0</v>
      </c>
      <c r="AQ19" s="1">
        <f>SUMIF(Students,E19,MoneyYesNo)-AO19-AP19</f>
        <v>0</v>
      </c>
      <c r="AR19" s="13">
        <f>SUM(AO19,AP19,AQ19)</f>
        <v>0</v>
      </c>
      <c r="AS19" s="1">
        <f>SUMIF(Students,E19,RGRcount)</f>
        <v>0</v>
      </c>
      <c r="AT19" s="1">
        <f>SUMIF(Students,E19,MGRcount)-AS19</f>
        <v>0</v>
      </c>
      <c r="AU19" s="1">
        <f>COUNTIF(Students,E19)-AS19-AT19</f>
        <v>0</v>
      </c>
      <c r="AV19" s="1">
        <f>SUMIF(Students,E19,FarBelowTGRCount)</f>
        <v>0</v>
      </c>
      <c r="AW19" s="47">
        <f>COUNTIF(Students,E19)</f>
        <v>0</v>
      </c>
      <c r="AX19" s="11">
        <f>IF(AW19&gt;0,AE19/AW19,0)</f>
        <v>0</v>
      </c>
      <c r="AY19" s="11">
        <f t="array" ref="AY19">1-PRODUCT(IF(Students=E19,MGRMult,1))</f>
        <v>0</v>
      </c>
      <c r="AZ19" s="12">
        <f t="array" ref="AZ19">1-PRODUCT(IF(Students=E19,RGRMult,1))</f>
        <v>0</v>
      </c>
      <c r="BA19" s="1">
        <f>COUNTIFS(Students,E19,Classes,HailMaryLabel)</f>
        <v>0</v>
      </c>
      <c r="BB19" s="1">
        <f>COUNTIFS(Students,E19,Classes,LongshotLabel)</f>
        <v>0</v>
      </c>
      <c r="BC19" s="1">
        <f>COUNTIFS(Students,E19,Classes,ReachLabel)</f>
        <v>0</v>
      </c>
      <c r="BD19" s="1">
        <f>COUNTIFS(Students,E19,Classes,MatchLabel)</f>
        <v>0</v>
      </c>
      <c r="BE19" s="1">
        <f>COUNTIFS(Students,E19,Classes,SafetyLabel)</f>
        <v>0</v>
      </c>
      <c r="BF19" s="1">
        <f>COUNTIFS(Students,E19,Classes,SecureLabel)</f>
        <v>0</v>
      </c>
      <c r="BG19" s="1">
        <f>COUNTIFS(Students,E19,Classes,SureThingLabel)</f>
        <v>0</v>
      </c>
      <c r="BH19" s="13">
        <f>COUNTIFS(Students,E19,Classes,"Other")</f>
        <v>0</v>
      </c>
      <c r="BI19" s="1">
        <f>COUNTIFS(Students,E19,Classes,ReachLabel,MoneyYesNo,1)</f>
        <v>0</v>
      </c>
      <c r="BJ19" s="1">
        <f>COUNTIFS(Students,E19,Classes,MatchLabel,MoneyYesNo,1)</f>
        <v>0</v>
      </c>
      <c r="BK19" s="1">
        <f>COUNTIFS(Students,E19,Classes,SafetyLabel,MoneyYesNo,1)</f>
        <v>0</v>
      </c>
      <c r="BL19" s="1">
        <f>COUNTIFS(Students,E19,Classes,SecureLabel,MoneyYesNo,1)</f>
        <v>0</v>
      </c>
      <c r="BM19" s="1">
        <f>COUNTIFS(Students,E19,Classes,SureThingLabel,MoneyYesNo,1)</f>
        <v>0</v>
      </c>
      <c r="BN19" s="1">
        <f>SUM(BI19:BM19)</f>
        <v>0</v>
      </c>
      <c r="BO19" s="1">
        <f>SUMIFS(RGRcount,Students,E19,MoneyYesNo,1,Odds,"&gt;=20")</f>
        <v>0</v>
      </c>
      <c r="BP19" s="1">
        <f>SUMIFS(MGRcount,Students,E19,MoneyYesNo,1,Odds,"&gt;=20")-BO19</f>
        <v>0</v>
      </c>
      <c r="BQ19" s="1">
        <f>SUMIFS(MGRcount,Students,E19,MoneyYesNo,1,Odds,"&gt;=50")</f>
        <v>0</v>
      </c>
      <c r="BR19" s="1">
        <f>SUMIFS(RGRcount,Students,E19,MoneyYesNo,1,Odds,"&gt;=10")</f>
        <v>0</v>
      </c>
      <c r="BS19" s="1">
        <f>SUMIFS(MGRcount,Students,E19,MoneyYesNo,1,Odds,"&gt;=10")-BR19</f>
        <v>0</v>
      </c>
      <c r="BT19" s="1">
        <f>COUNTIFS(Students,E19,ILPublic,1)</f>
        <v>0</v>
      </c>
      <c r="BU19" s="1">
        <f>COUNTIFS(Students,E19,ILPublic,1,MoneyYesNo,1,Classes,MatchLabel)+COUNTIFS(Students,E19,ILPublic,1,MoneyYesNo,1,Classes,SafetyLabel)+COUNTIFS(Students,E19,ILPublic,1,MoneyYesNo,1,Classes,SecureLabel)+COUNTIFS(Students,E19,ILPublic,1,MoneyYesNo,1,Classes,SureThingLabel)</f>
        <v>0</v>
      </c>
      <c r="BV19" s="1">
        <f>COUNTIFS(Students,E19,ILPublic,1, Classes,SecureLabel)</f>
        <v>0</v>
      </c>
      <c r="BW19" s="1">
        <f>COUNTIFS(Students,E19,MoneyChicago,1)</f>
        <v>0</v>
      </c>
      <c r="BX19" s="1">
        <f>COUNTIFS(Students,E19,MatchOrUnder,1)</f>
        <v>0</v>
      </c>
      <c r="BY19" s="1">
        <f>SUMIF(Students,E19,MGRcount)</f>
        <v>0</v>
      </c>
      <c r="BZ19" s="1">
        <f>COUNTIFS(Students,E19,BadMoney,1)</f>
        <v>0</v>
      </c>
      <c r="CA19" s="1">
        <f>COUNTIFS(Students,E19,GoldenThree,1)</f>
        <v>0</v>
      </c>
      <c r="CB19" s="1">
        <f>COUNTIFS(Students,E19,NCESids,147536)</f>
        <v>0</v>
      </c>
      <c r="CC19" s="1">
        <f>COUNTIFS(Students,E19,NCESids,144157)+COUNTIFS(Students,E19,NCESids,144166)+COUNTIFS(Students,E19,NCESids,144175)+COUNTIFS(Students,E19,NCESids,144184)+COUNTIFS(Students,E19,NCESids,144193)+COUNTIFS(Students,E19,NCESids,144209)+COUNTIFS(Students,E19,NCESids,144218)</f>
        <v>0</v>
      </c>
      <c r="CD19" s="1">
        <f>COUNTIFS(Students,E19,Results,"Accepted!",FarBelowTGRCount,0)+COUNTIFS(Students,E19,Results,"CHOICE!",FarBelowTGRCount,0)</f>
        <v>0</v>
      </c>
    </row>
    <row r="20" spans="1:82">
      <c r="A20" s="18" t="s">
        <v>96</v>
      </c>
      <c r="B20" s="19">
        <v>0</v>
      </c>
      <c r="C20" s="18" t="s">
        <v>97</v>
      </c>
      <c r="D20" s="18" t="s">
        <v>171</v>
      </c>
      <c r="E20" s="19">
        <v>30051791</v>
      </c>
      <c r="F20" s="19" t="s">
        <v>172</v>
      </c>
      <c r="G20" s="10" t="s">
        <v>173</v>
      </c>
      <c r="H20" s="46">
        <v>3.8885</v>
      </c>
      <c r="I20" s="46">
        <v>4.0885</v>
      </c>
      <c r="J20" s="1">
        <v>19</v>
      </c>
      <c r="K20" s="1">
        <f>IF(ISNUMBER(I20),ROUND(583.58+106.27*I20,-1),"TBD")</f>
        <v>0</v>
      </c>
      <c r="L20" s="1">
        <v>800</v>
      </c>
      <c r="M20" s="1">
        <f>IF(ISNUMBER(L20),L20,IF(ISNUMBER(K20),K20,"TBD"))</f>
        <v>0</v>
      </c>
      <c r="N20" s="1">
        <f>IF(ISNUMBER(J20),VLOOKUP(J20,ACTtoSAT,2,FALSE),"TBD")</f>
        <v>0</v>
      </c>
      <c r="O20" s="1">
        <f>IF(ISNUMBER(M20),IF(ISNUMBER(N20),MAX(M20,N20),M20),IF(ISNUMBER(N20),N20,"TBD"))</f>
        <v>0</v>
      </c>
      <c r="P20" s="1" t="s">
        <v>101</v>
      </c>
      <c r="Q20" s="1" t="s">
        <v>123</v>
      </c>
      <c r="R20" s="1" t="s">
        <v>124</v>
      </c>
      <c r="S20" s="1">
        <f>IF(AND(H20&lt;&gt;0,O20&lt;&gt;0),IF(ISNUMBER(VLOOKUP(TEXT(MAX(FLOOR(H20*10,1)/10,1.5),"0.0")&amp;":"&amp;MAX(O20,710),StrategyLookup,4,FALSE)),VLOOKUP(TEXT(MAX(FLOOR(H20*10,1)/10,1.5),"0.0")&amp;":"&amp;MAX(O20,710),StrategyLookup,4,FALSE),"TBD"),"TBD")</f>
        <v>0</v>
      </c>
      <c r="T20" s="11">
        <f>IF(ISNUMBER(S20),VLOOKUP(IF(OR(S20=5,S20=6),S20&amp;IF(H20&gt;=3,"+","&lt;"),S20&amp;""),TargetLookup,IF(B20=-1,6,IF(OR(P20="W",P20="A"),4,2)),FALSE),"TBD")</f>
        <v>0</v>
      </c>
      <c r="U20" s="11">
        <f>IF(ISNUMBER(S20),VLOOKUP(IF(OR(S20=5,S20=6),S20&amp;IF(H20&gt;=3,"+","&lt;"),S20&amp;""),TargetLookup,IF(B20=-1,7,IF(OR(P20="W",P20="A"),5,3)),FALSE),"TBD")</f>
        <v>0</v>
      </c>
      <c r="V20" s="18" t="s">
        <v>160</v>
      </c>
      <c r="W20" s="19" t="s">
        <v>125</v>
      </c>
      <c r="X20" s="19" t="s">
        <v>106</v>
      </c>
      <c r="Y20" s="19">
        <f>V20&amp;X20&amp;D20</f>
        <v>0</v>
      </c>
      <c r="Z20" s="11">
        <f t="array" ref="Z20">1-PRODUCT(IF(Students=E20,MGRMoneyMult,1))</f>
        <v>0</v>
      </c>
      <c r="AA20" s="12">
        <f t="array" ref="AA20">1-PRODUCT(IF(Students=E20,RGRMoneyMult,1))</f>
        <v>0</v>
      </c>
      <c r="AB20" s="13">
        <f>COUNTIFS(Students,E20,Results,"Accepted!")+COUNTIFS(Students,E20,Results,"CHOICE!")</f>
        <v>0</v>
      </c>
      <c r="AC20" s="1">
        <f>COUNTIFS(Students,E20,Results,"Deferred")+COUNTIFS(Students,E20,Results,"Waitlist")</f>
        <v>0</v>
      </c>
      <c r="AD20" s="13">
        <f>COUNTIFS(Students,E20,Results,"Denied")</f>
        <v>0</v>
      </c>
      <c r="AE20" s="13">
        <f>AB20+AC20+AD20+COUNTIFS(Students,E20,Results,"Submitted")</f>
        <v>0</v>
      </c>
      <c r="AF20" s="12">
        <v>0.8569834250835897</v>
      </c>
      <c r="AG20" s="12">
        <v>0.8418795291057389</v>
      </c>
      <c r="AH20" s="12">
        <v>0.7709017361946846</v>
      </c>
      <c r="AI20" s="12">
        <v>0.756759495653536</v>
      </c>
      <c r="AJ20" s="13">
        <f>COUNTIFS(Students,E20,Results,"CHOICE!")</f>
        <v>0</v>
      </c>
      <c r="AK20" s="1">
        <f>COUNTIFS(MoneyYesNo,1,RGRcount,1,Students,E20,Results,"Accepted!")</f>
        <v>0</v>
      </c>
      <c r="AL20" s="1">
        <f>COUNTIFS(MoneyYesNo,1,MGRcount,1,Students,E20,Results,"Accepted!")-AK20</f>
        <v>0</v>
      </c>
      <c r="AM20" s="1">
        <f>COUNTIFS(MoneyYesNo,1,Students,E20,Results,"Accepted!")-AK20-AL20</f>
        <v>0</v>
      </c>
      <c r="AN20" s="13">
        <f>COUNTIFS(Students,E20,Results,"Accepted!")-AK20-AL20-AM20</f>
        <v>0</v>
      </c>
      <c r="AO20" s="1">
        <f>SUMIFS(RGRcount,Students,E20,MoneyYesNo,1)</f>
        <v>0</v>
      </c>
      <c r="AP20" s="1">
        <f>SUMIFS(MGRcount,Students,E20,MoneyYesNo,1)-AO20</f>
        <v>0</v>
      </c>
      <c r="AQ20" s="1">
        <f>SUMIF(Students,E20,MoneyYesNo)-AO20-AP20</f>
        <v>0</v>
      </c>
      <c r="AR20" s="13">
        <f>SUM(AO20,AP20,AQ20)</f>
        <v>0</v>
      </c>
      <c r="AS20" s="1">
        <f>SUMIF(Students,E20,RGRcount)</f>
        <v>0</v>
      </c>
      <c r="AT20" s="1">
        <f>SUMIF(Students,E20,MGRcount)-AS20</f>
        <v>0</v>
      </c>
      <c r="AU20" s="1">
        <f>COUNTIF(Students,E20)-AS20-AT20</f>
        <v>0</v>
      </c>
      <c r="AV20" s="1">
        <f>SUMIF(Students,E20,FarBelowTGRCount)</f>
        <v>0</v>
      </c>
      <c r="AW20" s="47">
        <f>COUNTIF(Students,E20)</f>
        <v>0</v>
      </c>
      <c r="AX20" s="11">
        <f>IF(AW20&gt;0,AE20/AW20,0)</f>
        <v>0</v>
      </c>
      <c r="AY20" s="11">
        <f t="array" ref="AY20">1-PRODUCT(IF(Students=E20,MGRMult,1))</f>
        <v>0</v>
      </c>
      <c r="AZ20" s="12">
        <f t="array" ref="AZ20">1-PRODUCT(IF(Students=E20,RGRMult,1))</f>
        <v>0</v>
      </c>
      <c r="BA20" s="1">
        <f>COUNTIFS(Students,E20,Classes,HailMaryLabel)</f>
        <v>0</v>
      </c>
      <c r="BB20" s="1">
        <f>COUNTIFS(Students,E20,Classes,LongshotLabel)</f>
        <v>0</v>
      </c>
      <c r="BC20" s="1">
        <f>COUNTIFS(Students,E20,Classes,ReachLabel)</f>
        <v>0</v>
      </c>
      <c r="BD20" s="1">
        <f>COUNTIFS(Students,E20,Classes,MatchLabel)</f>
        <v>0</v>
      </c>
      <c r="BE20" s="1">
        <f>COUNTIFS(Students,E20,Classes,SafetyLabel)</f>
        <v>0</v>
      </c>
      <c r="BF20" s="1">
        <f>COUNTIFS(Students,E20,Classes,SecureLabel)</f>
        <v>0</v>
      </c>
      <c r="BG20" s="1">
        <f>COUNTIFS(Students,E20,Classes,SureThingLabel)</f>
        <v>0</v>
      </c>
      <c r="BH20" s="13">
        <f>COUNTIFS(Students,E20,Classes,"Other")</f>
        <v>0</v>
      </c>
      <c r="BI20" s="1">
        <f>COUNTIFS(Students,E20,Classes,ReachLabel,MoneyYesNo,1)</f>
        <v>0</v>
      </c>
      <c r="BJ20" s="1">
        <f>COUNTIFS(Students,E20,Classes,MatchLabel,MoneyYesNo,1)</f>
        <v>0</v>
      </c>
      <c r="BK20" s="1">
        <f>COUNTIFS(Students,E20,Classes,SafetyLabel,MoneyYesNo,1)</f>
        <v>0</v>
      </c>
      <c r="BL20" s="1">
        <f>COUNTIFS(Students,E20,Classes,SecureLabel,MoneyYesNo,1)</f>
        <v>0</v>
      </c>
      <c r="BM20" s="1">
        <f>COUNTIFS(Students,E20,Classes,SureThingLabel,MoneyYesNo,1)</f>
        <v>0</v>
      </c>
      <c r="BN20" s="1">
        <f>SUM(BI20:BM20)</f>
        <v>0</v>
      </c>
      <c r="BO20" s="1">
        <f>SUMIFS(RGRcount,Students,E20,MoneyYesNo,1,Odds,"&gt;=20")</f>
        <v>0</v>
      </c>
      <c r="BP20" s="1">
        <f>SUMIFS(MGRcount,Students,E20,MoneyYesNo,1,Odds,"&gt;=20")-BO20</f>
        <v>0</v>
      </c>
      <c r="BQ20" s="1">
        <f>SUMIFS(MGRcount,Students,E20,MoneyYesNo,1,Odds,"&gt;=50")</f>
        <v>0</v>
      </c>
      <c r="BR20" s="1">
        <f>SUMIFS(RGRcount,Students,E20,MoneyYesNo,1,Odds,"&gt;=10")</f>
        <v>0</v>
      </c>
      <c r="BS20" s="1">
        <f>SUMIFS(MGRcount,Students,E20,MoneyYesNo,1,Odds,"&gt;=10")-BR20</f>
        <v>0</v>
      </c>
      <c r="BT20" s="1">
        <f>COUNTIFS(Students,E20,ILPublic,1)</f>
        <v>0</v>
      </c>
      <c r="BU20" s="1">
        <f>COUNTIFS(Students,E20,ILPublic,1,MoneyYesNo,1,Classes,MatchLabel)+COUNTIFS(Students,E20,ILPublic,1,MoneyYesNo,1,Classes,SafetyLabel)+COUNTIFS(Students,E20,ILPublic,1,MoneyYesNo,1,Classes,SecureLabel)+COUNTIFS(Students,E20,ILPublic,1,MoneyYesNo,1,Classes,SureThingLabel)</f>
        <v>0</v>
      </c>
      <c r="BV20" s="1">
        <f>COUNTIFS(Students,E20,ILPublic,1, Classes,SecureLabel)</f>
        <v>0</v>
      </c>
      <c r="BW20" s="1">
        <f>COUNTIFS(Students,E20,MoneyChicago,1)</f>
        <v>0</v>
      </c>
      <c r="BX20" s="1">
        <f>COUNTIFS(Students,E20,MatchOrUnder,1)</f>
        <v>0</v>
      </c>
      <c r="BY20" s="1">
        <f>SUMIF(Students,E20,MGRcount)</f>
        <v>0</v>
      </c>
      <c r="BZ20" s="1">
        <f>COUNTIFS(Students,E20,BadMoney,1)</f>
        <v>0</v>
      </c>
      <c r="CA20" s="1">
        <f>COUNTIFS(Students,E20,GoldenThree,1)</f>
        <v>0</v>
      </c>
      <c r="CB20" s="1">
        <f>COUNTIFS(Students,E20,NCESids,147536)</f>
        <v>0</v>
      </c>
      <c r="CC20" s="1">
        <f>COUNTIFS(Students,E20,NCESids,144157)+COUNTIFS(Students,E20,NCESids,144166)+COUNTIFS(Students,E20,NCESids,144175)+COUNTIFS(Students,E20,NCESids,144184)+COUNTIFS(Students,E20,NCESids,144193)+COUNTIFS(Students,E20,NCESids,144209)+COUNTIFS(Students,E20,NCESids,144218)</f>
        <v>0</v>
      </c>
      <c r="CD20" s="1">
        <f>COUNTIFS(Students,E20,Results,"Accepted!",FarBelowTGRCount,0)+COUNTIFS(Students,E20,Results,"CHOICE!",FarBelowTGRCount,0)</f>
        <v>0</v>
      </c>
    </row>
    <row r="21" spans="1:82">
      <c r="A21" s="18" t="s">
        <v>96</v>
      </c>
      <c r="B21" s="19">
        <v>0</v>
      </c>
      <c r="C21" s="18" t="s">
        <v>97</v>
      </c>
      <c r="D21" s="18" t="s">
        <v>174</v>
      </c>
      <c r="E21" s="19">
        <v>23759127</v>
      </c>
      <c r="F21" s="19" t="s">
        <v>175</v>
      </c>
      <c r="G21" s="10" t="s">
        <v>176</v>
      </c>
      <c r="H21" s="46">
        <v>3.2687</v>
      </c>
      <c r="I21" s="46">
        <v>3.4687</v>
      </c>
      <c r="J21" s="1">
        <v>19</v>
      </c>
      <c r="K21" s="1">
        <f>IF(ISNUMBER(I21),ROUND(583.58+106.27*I21,-1),"TBD")</f>
        <v>0</v>
      </c>
      <c r="L21" s="1">
        <v>960</v>
      </c>
      <c r="M21" s="1">
        <f>IF(ISNUMBER(L21),L21,IF(ISNUMBER(K21),K21,"TBD"))</f>
        <v>0</v>
      </c>
      <c r="N21" s="1">
        <f>IF(ISNUMBER(J21),VLOOKUP(J21,ACTtoSAT,2,FALSE),"TBD")</f>
        <v>0</v>
      </c>
      <c r="O21" s="1">
        <f>IF(ISNUMBER(M21),IF(ISNUMBER(N21),MAX(M21,N21),M21),IF(ISNUMBER(N21),N21,"TBD"))</f>
        <v>0</v>
      </c>
      <c r="P21" s="1" t="s">
        <v>101</v>
      </c>
      <c r="Q21" s="1" t="s">
        <v>123</v>
      </c>
      <c r="R21" s="1" t="s">
        <v>124</v>
      </c>
      <c r="S21" s="1">
        <f>IF(AND(H21&lt;&gt;0,O21&lt;&gt;0),IF(ISNUMBER(VLOOKUP(TEXT(MAX(FLOOR(H21*10,1)/10,1.5),"0.0")&amp;":"&amp;MAX(O21,710),StrategyLookup,4,FALSE)),VLOOKUP(TEXT(MAX(FLOOR(H21*10,1)/10,1.5),"0.0")&amp;":"&amp;MAX(O21,710),StrategyLookup,4,FALSE),"TBD"),"TBD")</f>
        <v>0</v>
      </c>
      <c r="T21" s="11">
        <f>IF(ISNUMBER(S21),VLOOKUP(IF(OR(S21=5,S21=6),S21&amp;IF(H21&gt;=3,"+","&lt;"),S21&amp;""),TargetLookup,IF(B21=-1,6,IF(OR(P21="W",P21="A"),4,2)),FALSE),"TBD")</f>
        <v>0</v>
      </c>
      <c r="U21" s="11">
        <f>IF(ISNUMBER(S21),VLOOKUP(IF(OR(S21=5,S21=6),S21&amp;IF(H21&gt;=3,"+","&lt;"),S21&amp;""),TargetLookup,IF(B21=-1,7,IF(OR(P21="W",P21="A"),5,3)),FALSE),"TBD")</f>
        <v>0</v>
      </c>
      <c r="V21" s="18" t="s">
        <v>115</v>
      </c>
      <c r="W21" s="19" t="s">
        <v>111</v>
      </c>
      <c r="X21" s="19" t="s">
        <v>106</v>
      </c>
      <c r="Y21" s="19">
        <f>V21&amp;X21&amp;D21</f>
        <v>0</v>
      </c>
      <c r="Z21" s="11">
        <f t="array" ref="Z21">1-PRODUCT(IF(Students=E21,MGRMoneyMult,1))</f>
        <v>0</v>
      </c>
      <c r="AA21" s="12">
        <f t="array" ref="AA21">1-PRODUCT(IF(Students=E21,RGRMoneyMult,1))</f>
        <v>0</v>
      </c>
      <c r="AB21" s="13">
        <f>COUNTIFS(Students,E21,Results,"Accepted!")+COUNTIFS(Students,E21,Results,"CHOICE!")</f>
        <v>0</v>
      </c>
      <c r="AC21" s="1">
        <f>COUNTIFS(Students,E21,Results,"Deferred")+COUNTIFS(Students,E21,Results,"Waitlist")</f>
        <v>0</v>
      </c>
      <c r="AD21" s="13">
        <f>COUNTIFS(Students,E21,Results,"Denied")</f>
        <v>0</v>
      </c>
      <c r="AE21" s="13">
        <f>AB21+AC21+AD21+COUNTIFS(Students,E21,Results,"Submitted")</f>
        <v>0</v>
      </c>
      <c r="AF21" s="12">
        <v>0.7487426960755655</v>
      </c>
      <c r="AG21" s="12">
        <v>0.7218468764196571</v>
      </c>
      <c r="AH21" s="12">
        <v>0.623501410295295</v>
      </c>
      <c r="AI21" s="12">
        <v>0.6021429773201427</v>
      </c>
      <c r="AJ21" s="13">
        <f>COUNTIFS(Students,E21,Results,"CHOICE!")</f>
        <v>0</v>
      </c>
      <c r="AK21" s="1">
        <f>COUNTIFS(MoneyYesNo,1,RGRcount,1,Students,E21,Results,"Accepted!")</f>
        <v>0</v>
      </c>
      <c r="AL21" s="1">
        <f>COUNTIFS(MoneyYesNo,1,MGRcount,1,Students,E21,Results,"Accepted!")-AK21</f>
        <v>0</v>
      </c>
      <c r="AM21" s="1">
        <f>COUNTIFS(MoneyYesNo,1,Students,E21,Results,"Accepted!")-AK21-AL21</f>
        <v>0</v>
      </c>
      <c r="AN21" s="13">
        <f>COUNTIFS(Students,E21,Results,"Accepted!")-AK21-AL21-AM21</f>
        <v>0</v>
      </c>
      <c r="AO21" s="1">
        <f>SUMIFS(RGRcount,Students,E21,MoneyYesNo,1)</f>
        <v>0</v>
      </c>
      <c r="AP21" s="1">
        <f>SUMIFS(MGRcount,Students,E21,MoneyYesNo,1)-AO21</f>
        <v>0</v>
      </c>
      <c r="AQ21" s="1">
        <f>SUMIF(Students,E21,MoneyYesNo)-AO21-AP21</f>
        <v>0</v>
      </c>
      <c r="AR21" s="13">
        <f>SUM(AO21,AP21,AQ21)</f>
        <v>0</v>
      </c>
      <c r="AS21" s="1">
        <f>SUMIF(Students,E21,RGRcount)</f>
        <v>0</v>
      </c>
      <c r="AT21" s="1">
        <f>SUMIF(Students,E21,MGRcount)-AS21</f>
        <v>0</v>
      </c>
      <c r="AU21" s="1">
        <f>COUNTIF(Students,E21)-AS21-AT21</f>
        <v>0</v>
      </c>
      <c r="AV21" s="1">
        <f>SUMIF(Students,E21,FarBelowTGRCount)</f>
        <v>0</v>
      </c>
      <c r="AW21" s="47">
        <f>COUNTIF(Students,E21)</f>
        <v>0</v>
      </c>
      <c r="AX21" s="11">
        <f>IF(AW21&gt;0,AE21/AW21,0)</f>
        <v>0</v>
      </c>
      <c r="AY21" s="11">
        <f t="array" ref="AY21">1-PRODUCT(IF(Students=E21,MGRMult,1))</f>
        <v>0</v>
      </c>
      <c r="AZ21" s="12">
        <f t="array" ref="AZ21">1-PRODUCT(IF(Students=E21,RGRMult,1))</f>
        <v>0</v>
      </c>
      <c r="BA21" s="1">
        <f>COUNTIFS(Students,E21,Classes,HailMaryLabel)</f>
        <v>0</v>
      </c>
      <c r="BB21" s="1">
        <f>COUNTIFS(Students,E21,Classes,LongshotLabel)</f>
        <v>0</v>
      </c>
      <c r="BC21" s="1">
        <f>COUNTIFS(Students,E21,Classes,ReachLabel)</f>
        <v>0</v>
      </c>
      <c r="BD21" s="1">
        <f>COUNTIFS(Students,E21,Classes,MatchLabel)</f>
        <v>0</v>
      </c>
      <c r="BE21" s="1">
        <f>COUNTIFS(Students,E21,Classes,SafetyLabel)</f>
        <v>0</v>
      </c>
      <c r="BF21" s="1">
        <f>COUNTIFS(Students,E21,Classes,SecureLabel)</f>
        <v>0</v>
      </c>
      <c r="BG21" s="1">
        <f>COUNTIFS(Students,E21,Classes,SureThingLabel)</f>
        <v>0</v>
      </c>
      <c r="BH21" s="13">
        <f>COUNTIFS(Students,E21,Classes,"Other")</f>
        <v>0</v>
      </c>
      <c r="BI21" s="1">
        <f>COUNTIFS(Students,E21,Classes,ReachLabel,MoneyYesNo,1)</f>
        <v>0</v>
      </c>
      <c r="BJ21" s="1">
        <f>COUNTIFS(Students,E21,Classes,MatchLabel,MoneyYesNo,1)</f>
        <v>0</v>
      </c>
      <c r="BK21" s="1">
        <f>COUNTIFS(Students,E21,Classes,SafetyLabel,MoneyYesNo,1)</f>
        <v>0</v>
      </c>
      <c r="BL21" s="1">
        <f>COUNTIFS(Students,E21,Classes,SecureLabel,MoneyYesNo,1)</f>
        <v>0</v>
      </c>
      <c r="BM21" s="1">
        <f>COUNTIFS(Students,E21,Classes,SureThingLabel,MoneyYesNo,1)</f>
        <v>0</v>
      </c>
      <c r="BN21" s="1">
        <f>SUM(BI21:BM21)</f>
        <v>0</v>
      </c>
      <c r="BO21" s="1">
        <f>SUMIFS(RGRcount,Students,E21,MoneyYesNo,1,Odds,"&gt;=20")</f>
        <v>0</v>
      </c>
      <c r="BP21" s="1">
        <f>SUMIFS(MGRcount,Students,E21,MoneyYesNo,1,Odds,"&gt;=20")-BO21</f>
        <v>0</v>
      </c>
      <c r="BQ21" s="1">
        <f>SUMIFS(MGRcount,Students,E21,MoneyYesNo,1,Odds,"&gt;=50")</f>
        <v>0</v>
      </c>
      <c r="BR21" s="1">
        <f>SUMIFS(RGRcount,Students,E21,MoneyYesNo,1,Odds,"&gt;=10")</f>
        <v>0</v>
      </c>
      <c r="BS21" s="1">
        <f>SUMIFS(MGRcount,Students,E21,MoneyYesNo,1,Odds,"&gt;=10")-BR21</f>
        <v>0</v>
      </c>
      <c r="BT21" s="1">
        <f>COUNTIFS(Students,E21,ILPublic,1)</f>
        <v>0</v>
      </c>
      <c r="BU21" s="1">
        <f>COUNTIFS(Students,E21,ILPublic,1,MoneyYesNo,1,Classes,MatchLabel)+COUNTIFS(Students,E21,ILPublic,1,MoneyYesNo,1,Classes,SafetyLabel)+COUNTIFS(Students,E21,ILPublic,1,MoneyYesNo,1,Classes,SecureLabel)+COUNTIFS(Students,E21,ILPublic,1,MoneyYesNo,1,Classes,SureThingLabel)</f>
        <v>0</v>
      </c>
      <c r="BV21" s="1">
        <f>COUNTIFS(Students,E21,ILPublic,1, Classes,SecureLabel)</f>
        <v>0</v>
      </c>
      <c r="BW21" s="1">
        <f>COUNTIFS(Students,E21,MoneyChicago,1)</f>
        <v>0</v>
      </c>
      <c r="BX21" s="1">
        <f>COUNTIFS(Students,E21,MatchOrUnder,1)</f>
        <v>0</v>
      </c>
      <c r="BY21" s="1">
        <f>SUMIF(Students,E21,MGRcount)</f>
        <v>0</v>
      </c>
      <c r="BZ21" s="1">
        <f>COUNTIFS(Students,E21,BadMoney,1)</f>
        <v>0</v>
      </c>
      <c r="CA21" s="1">
        <f>COUNTIFS(Students,E21,GoldenThree,1)</f>
        <v>0</v>
      </c>
      <c r="CB21" s="1">
        <f>COUNTIFS(Students,E21,NCESids,147536)</f>
        <v>0</v>
      </c>
      <c r="CC21" s="1">
        <f>COUNTIFS(Students,E21,NCESids,144157)+COUNTIFS(Students,E21,NCESids,144166)+COUNTIFS(Students,E21,NCESids,144175)+COUNTIFS(Students,E21,NCESids,144184)+COUNTIFS(Students,E21,NCESids,144193)+COUNTIFS(Students,E21,NCESids,144209)+COUNTIFS(Students,E21,NCESids,144218)</f>
        <v>0</v>
      </c>
      <c r="CD21" s="1">
        <f>COUNTIFS(Students,E21,Results,"Accepted!",FarBelowTGRCount,0)+COUNTIFS(Students,E21,Results,"CHOICE!",FarBelowTGRCount,0)</f>
        <v>0</v>
      </c>
    </row>
    <row r="22" spans="1:82">
      <c r="A22" s="18" t="s">
        <v>96</v>
      </c>
      <c r="B22" s="19">
        <v>0</v>
      </c>
      <c r="C22" s="18" t="s">
        <v>97</v>
      </c>
      <c r="D22" s="18" t="s">
        <v>177</v>
      </c>
      <c r="E22" s="19">
        <v>22264507</v>
      </c>
      <c r="F22" s="19" t="s">
        <v>178</v>
      </c>
      <c r="G22" s="10" t="s">
        <v>179</v>
      </c>
      <c r="H22" s="46">
        <v>2.9981</v>
      </c>
      <c r="I22" s="46">
        <v>3.1981</v>
      </c>
      <c r="J22" s="1">
        <v>16</v>
      </c>
      <c r="K22" s="1">
        <f>IF(ISNUMBER(I22),ROUND(583.58+106.27*I22,-1),"TBD")</f>
        <v>0</v>
      </c>
      <c r="L22" s="1" t="s">
        <v>180</v>
      </c>
      <c r="M22" s="1">
        <f>IF(ISNUMBER(L22),L22,IF(ISNUMBER(K22),K22,"TBD"))</f>
        <v>0</v>
      </c>
      <c r="N22" s="1">
        <f>IF(ISNUMBER(J22),VLOOKUP(J22,ACTtoSAT,2,FALSE),"TBD")</f>
        <v>0</v>
      </c>
      <c r="O22" s="1">
        <f>IF(ISNUMBER(M22),IF(ISNUMBER(N22),MAX(M22,N22),M22),IF(ISNUMBER(N22),N22,"TBD"))</f>
        <v>0</v>
      </c>
      <c r="P22" s="1" t="s">
        <v>101</v>
      </c>
      <c r="Q22" s="1" t="s">
        <v>123</v>
      </c>
      <c r="R22" s="1" t="s">
        <v>124</v>
      </c>
      <c r="S22" s="1">
        <f>IF(AND(H22&lt;&gt;0,O22&lt;&gt;0),IF(ISNUMBER(VLOOKUP(TEXT(MAX(FLOOR(H22*10,1)/10,1.5),"0.0")&amp;":"&amp;MAX(O22,710),StrategyLookup,4,FALSE)),VLOOKUP(TEXT(MAX(FLOOR(H22*10,1)/10,1.5),"0.0")&amp;":"&amp;MAX(O22,710),StrategyLookup,4,FALSE),"TBD"),"TBD")</f>
        <v>0</v>
      </c>
      <c r="T22" s="11">
        <f>IF(ISNUMBER(S22),VLOOKUP(IF(OR(S22=5,S22=6),S22&amp;IF(H22&gt;=3,"+","&lt;"),S22&amp;""),TargetLookup,IF(B22=-1,6,IF(OR(P22="W",P22="A"),4,2)),FALSE),"TBD")</f>
        <v>0</v>
      </c>
      <c r="U22" s="11">
        <f>IF(ISNUMBER(S22),VLOOKUP(IF(OR(S22=5,S22=6),S22&amp;IF(H22&gt;=3,"+","&lt;"),S22&amp;""),TargetLookup,IF(B22=-1,7,IF(OR(P22="W",P22="A"),5,3)),FALSE),"TBD")</f>
        <v>0</v>
      </c>
      <c r="V22" s="18" t="s">
        <v>135</v>
      </c>
      <c r="W22" s="19" t="s">
        <v>131</v>
      </c>
      <c r="X22" s="19" t="s">
        <v>106</v>
      </c>
      <c r="Y22" s="19">
        <f>V22&amp;X22&amp;D22</f>
        <v>0</v>
      </c>
      <c r="Z22" s="11">
        <f t="array" ref="Z22">1-PRODUCT(IF(Students=E22,MGRMoneyMult,1))</f>
        <v>0</v>
      </c>
      <c r="AA22" s="12">
        <f t="array" ref="AA22">1-PRODUCT(IF(Students=E22,RGRMoneyMult,1))</f>
        <v>0</v>
      </c>
      <c r="AB22" s="13">
        <f>COUNTIFS(Students,E22,Results,"Accepted!")+COUNTIFS(Students,E22,Results,"CHOICE!")</f>
        <v>0</v>
      </c>
      <c r="AC22" s="1">
        <f>COUNTIFS(Students,E22,Results,"Deferred")+COUNTIFS(Students,E22,Results,"Waitlist")</f>
        <v>0</v>
      </c>
      <c r="AD22" s="13">
        <f>COUNTIFS(Students,E22,Results,"Denied")</f>
        <v>0</v>
      </c>
      <c r="AE22" s="13">
        <f>AB22+AC22+AD22+COUNTIFS(Students,E22,Results,"Submitted")</f>
        <v>0</v>
      </c>
      <c r="AF22" s="12">
        <v>0.6999232284192314</v>
      </c>
      <c r="AG22" s="12">
        <v>0.6150257155441229</v>
      </c>
      <c r="AH22" s="12">
        <v>0.5646782072382344</v>
      </c>
      <c r="AI22" s="12">
        <v>0.5361200342746714</v>
      </c>
      <c r="AJ22" s="13">
        <f>COUNTIFS(Students,E22,Results,"CHOICE!")</f>
        <v>0</v>
      </c>
      <c r="AK22" s="1">
        <f>COUNTIFS(MoneyYesNo,1,RGRcount,1,Students,E22,Results,"Accepted!")</f>
        <v>0</v>
      </c>
      <c r="AL22" s="1">
        <f>COUNTIFS(MoneyYesNo,1,MGRcount,1,Students,E22,Results,"Accepted!")-AK22</f>
        <v>0</v>
      </c>
      <c r="AM22" s="1">
        <f>COUNTIFS(MoneyYesNo,1,Students,E22,Results,"Accepted!")-AK22-AL22</f>
        <v>0</v>
      </c>
      <c r="AN22" s="13">
        <f>COUNTIFS(Students,E22,Results,"Accepted!")-AK22-AL22-AM22</f>
        <v>0</v>
      </c>
      <c r="AO22" s="1">
        <f>SUMIFS(RGRcount,Students,E22,MoneyYesNo,1)</f>
        <v>0</v>
      </c>
      <c r="AP22" s="1">
        <f>SUMIFS(MGRcount,Students,E22,MoneyYesNo,1)-AO22</f>
        <v>0</v>
      </c>
      <c r="AQ22" s="1">
        <f>SUMIF(Students,E22,MoneyYesNo)-AO22-AP22</f>
        <v>0</v>
      </c>
      <c r="AR22" s="13">
        <f>SUM(AO22,AP22,AQ22)</f>
        <v>0</v>
      </c>
      <c r="AS22" s="1">
        <f>SUMIF(Students,E22,RGRcount)</f>
        <v>0</v>
      </c>
      <c r="AT22" s="1">
        <f>SUMIF(Students,E22,MGRcount)-AS22</f>
        <v>0</v>
      </c>
      <c r="AU22" s="1">
        <f>COUNTIF(Students,E22)-AS22-AT22</f>
        <v>0</v>
      </c>
      <c r="AV22" s="1">
        <f>SUMIF(Students,E22,FarBelowTGRCount)</f>
        <v>0</v>
      </c>
      <c r="AW22" s="47">
        <f>COUNTIF(Students,E22)</f>
        <v>0</v>
      </c>
      <c r="AX22" s="11">
        <f>IF(AW22&gt;0,AE22/AW22,0)</f>
        <v>0</v>
      </c>
      <c r="AY22" s="11">
        <f t="array" ref="AY22">1-PRODUCT(IF(Students=E22,MGRMult,1))</f>
        <v>0</v>
      </c>
      <c r="AZ22" s="12">
        <f t="array" ref="AZ22">1-PRODUCT(IF(Students=E22,RGRMult,1))</f>
        <v>0</v>
      </c>
      <c r="BA22" s="1">
        <f>COUNTIFS(Students,E22,Classes,HailMaryLabel)</f>
        <v>0</v>
      </c>
      <c r="BB22" s="1">
        <f>COUNTIFS(Students,E22,Classes,LongshotLabel)</f>
        <v>0</v>
      </c>
      <c r="BC22" s="1">
        <f>COUNTIFS(Students,E22,Classes,ReachLabel)</f>
        <v>0</v>
      </c>
      <c r="BD22" s="1">
        <f>COUNTIFS(Students,E22,Classes,MatchLabel)</f>
        <v>0</v>
      </c>
      <c r="BE22" s="1">
        <f>COUNTIFS(Students,E22,Classes,SafetyLabel)</f>
        <v>0</v>
      </c>
      <c r="BF22" s="1">
        <f>COUNTIFS(Students,E22,Classes,SecureLabel)</f>
        <v>0</v>
      </c>
      <c r="BG22" s="1">
        <f>COUNTIFS(Students,E22,Classes,SureThingLabel)</f>
        <v>0</v>
      </c>
      <c r="BH22" s="13">
        <f>COUNTIFS(Students,E22,Classes,"Other")</f>
        <v>0</v>
      </c>
      <c r="BI22" s="1">
        <f>COUNTIFS(Students,E22,Classes,ReachLabel,MoneyYesNo,1)</f>
        <v>0</v>
      </c>
      <c r="BJ22" s="1">
        <f>COUNTIFS(Students,E22,Classes,MatchLabel,MoneyYesNo,1)</f>
        <v>0</v>
      </c>
      <c r="BK22" s="1">
        <f>COUNTIFS(Students,E22,Classes,SafetyLabel,MoneyYesNo,1)</f>
        <v>0</v>
      </c>
      <c r="BL22" s="1">
        <f>COUNTIFS(Students,E22,Classes,SecureLabel,MoneyYesNo,1)</f>
        <v>0</v>
      </c>
      <c r="BM22" s="1">
        <f>COUNTIFS(Students,E22,Classes,SureThingLabel,MoneyYesNo,1)</f>
        <v>0</v>
      </c>
      <c r="BN22" s="1">
        <f>SUM(BI22:BM22)</f>
        <v>0</v>
      </c>
      <c r="BO22" s="1">
        <f>SUMIFS(RGRcount,Students,E22,MoneyYesNo,1,Odds,"&gt;=20")</f>
        <v>0</v>
      </c>
      <c r="BP22" s="1">
        <f>SUMIFS(MGRcount,Students,E22,MoneyYesNo,1,Odds,"&gt;=20")-BO22</f>
        <v>0</v>
      </c>
      <c r="BQ22" s="1">
        <f>SUMIFS(MGRcount,Students,E22,MoneyYesNo,1,Odds,"&gt;=50")</f>
        <v>0</v>
      </c>
      <c r="BR22" s="1">
        <f>SUMIFS(RGRcount,Students,E22,MoneyYesNo,1,Odds,"&gt;=10")</f>
        <v>0</v>
      </c>
      <c r="BS22" s="1">
        <f>SUMIFS(MGRcount,Students,E22,MoneyYesNo,1,Odds,"&gt;=10")-BR22</f>
        <v>0</v>
      </c>
      <c r="BT22" s="1">
        <f>COUNTIFS(Students,E22,ILPublic,1)</f>
        <v>0</v>
      </c>
      <c r="BU22" s="1">
        <f>COUNTIFS(Students,E22,ILPublic,1,MoneyYesNo,1,Classes,MatchLabel)+COUNTIFS(Students,E22,ILPublic,1,MoneyYesNo,1,Classes,SafetyLabel)+COUNTIFS(Students,E22,ILPublic,1,MoneyYesNo,1,Classes,SecureLabel)+COUNTIFS(Students,E22,ILPublic,1,MoneyYesNo,1,Classes,SureThingLabel)</f>
        <v>0</v>
      </c>
      <c r="BV22" s="1">
        <f>COUNTIFS(Students,E22,ILPublic,1, Classes,SecureLabel)</f>
        <v>0</v>
      </c>
      <c r="BW22" s="1">
        <f>COUNTIFS(Students,E22,MoneyChicago,1)</f>
        <v>0</v>
      </c>
      <c r="BX22" s="1">
        <f>COUNTIFS(Students,E22,MatchOrUnder,1)</f>
        <v>0</v>
      </c>
      <c r="BY22" s="1">
        <f>SUMIF(Students,E22,MGRcount)</f>
        <v>0</v>
      </c>
      <c r="BZ22" s="1">
        <f>COUNTIFS(Students,E22,BadMoney,1)</f>
        <v>0</v>
      </c>
      <c r="CA22" s="1">
        <f>COUNTIFS(Students,E22,GoldenThree,1)</f>
        <v>0</v>
      </c>
      <c r="CB22" s="1">
        <f>COUNTIFS(Students,E22,NCESids,147536)</f>
        <v>0</v>
      </c>
      <c r="CC22" s="1">
        <f>COUNTIFS(Students,E22,NCESids,144157)+COUNTIFS(Students,E22,NCESids,144166)+COUNTIFS(Students,E22,NCESids,144175)+COUNTIFS(Students,E22,NCESids,144184)+COUNTIFS(Students,E22,NCESids,144193)+COUNTIFS(Students,E22,NCESids,144209)+COUNTIFS(Students,E22,NCESids,144218)</f>
        <v>0</v>
      </c>
      <c r="CD22" s="1">
        <f>COUNTIFS(Students,E22,Results,"Accepted!",FarBelowTGRCount,0)+COUNTIFS(Students,E22,Results,"CHOICE!",FarBelowTGRCount,0)</f>
        <v>0</v>
      </c>
    </row>
    <row r="23" spans="1:82">
      <c r="A23" s="18" t="s">
        <v>96</v>
      </c>
      <c r="B23" s="19">
        <v>0</v>
      </c>
      <c r="C23" s="18" t="s">
        <v>97</v>
      </c>
      <c r="D23" s="18" t="s">
        <v>181</v>
      </c>
      <c r="E23" s="19">
        <v>30323076</v>
      </c>
      <c r="F23" s="19" t="s">
        <v>182</v>
      </c>
      <c r="G23" s="10" t="s">
        <v>183</v>
      </c>
      <c r="H23" s="46">
        <v>3.4125</v>
      </c>
      <c r="I23" s="46">
        <v>3.6125</v>
      </c>
      <c r="J23" s="1">
        <v>24</v>
      </c>
      <c r="K23" s="1">
        <f>IF(ISNUMBER(I23),ROUND(583.58+106.27*I23,-1),"TBD")</f>
        <v>0</v>
      </c>
      <c r="L23" s="1">
        <v>740</v>
      </c>
      <c r="M23" s="1">
        <f>IF(ISNUMBER(L23),L23,IF(ISNUMBER(K23),K23,"TBD"))</f>
        <v>0</v>
      </c>
      <c r="N23" s="1">
        <f>IF(ISNUMBER(J23),VLOOKUP(J23,ACTtoSAT,2,FALSE),"TBD")</f>
        <v>0</v>
      </c>
      <c r="O23" s="1">
        <f>IF(ISNUMBER(M23),IF(ISNUMBER(N23),MAX(M23,N23),M23),IF(ISNUMBER(N23),N23,"TBD"))</f>
        <v>0</v>
      </c>
      <c r="P23" s="1" t="s">
        <v>101</v>
      </c>
      <c r="Q23" s="1" t="s">
        <v>102</v>
      </c>
      <c r="R23" s="1" t="s">
        <v>103</v>
      </c>
      <c r="S23" s="1">
        <f>IF(AND(H23&lt;&gt;0,O23&lt;&gt;0),IF(ISNUMBER(VLOOKUP(TEXT(MAX(FLOOR(H23*10,1)/10,1.5),"0.0")&amp;":"&amp;MAX(O23,710),StrategyLookup,4,FALSE)),VLOOKUP(TEXT(MAX(FLOOR(H23*10,1)/10,1.5),"0.0")&amp;":"&amp;MAX(O23,710),StrategyLookup,4,FALSE),"TBD"),"TBD")</f>
        <v>0</v>
      </c>
      <c r="T23" s="11">
        <f>IF(ISNUMBER(S23),VLOOKUP(IF(OR(S23=5,S23=6),S23&amp;IF(H23&gt;=3,"+","&lt;"),S23&amp;""),TargetLookup,IF(B23=-1,6,IF(OR(P23="W",P23="A"),4,2)),FALSE),"TBD")</f>
        <v>0</v>
      </c>
      <c r="U23" s="11">
        <f>IF(ISNUMBER(S23),VLOOKUP(IF(OR(S23=5,S23=6),S23&amp;IF(H23&gt;=3,"+","&lt;"),S23&amp;""),TargetLookup,IF(B23=-1,7,IF(OR(P23="W",P23="A"),5,3)),FALSE),"TBD")</f>
        <v>0</v>
      </c>
      <c r="V23" s="18" t="s">
        <v>160</v>
      </c>
      <c r="W23" s="19" t="s">
        <v>131</v>
      </c>
      <c r="X23" s="19" t="s">
        <v>106</v>
      </c>
      <c r="Y23" s="19">
        <f>V23&amp;X23&amp;D23</f>
        <v>0</v>
      </c>
      <c r="Z23" s="11">
        <f t="array" ref="Z23">1-PRODUCT(IF(Students=E23,MGRMoneyMult,1))</f>
        <v>0</v>
      </c>
      <c r="AA23" s="12">
        <f t="array" ref="AA23">1-PRODUCT(IF(Students=E23,RGRMoneyMult,1))</f>
        <v>0</v>
      </c>
      <c r="AB23" s="13">
        <f>COUNTIFS(Students,E23,Results,"Accepted!")+COUNTIFS(Students,E23,Results,"CHOICE!")</f>
        <v>0</v>
      </c>
      <c r="AC23" s="1">
        <f>COUNTIFS(Students,E23,Results,"Deferred")+COUNTIFS(Students,E23,Results,"Waitlist")</f>
        <v>0</v>
      </c>
      <c r="AD23" s="13">
        <f>COUNTIFS(Students,E23,Results,"Denied")</f>
        <v>0</v>
      </c>
      <c r="AE23" s="13">
        <f>AB23+AC23+AD23+COUNTIFS(Students,E23,Results,"Submitted")</f>
        <v>0</v>
      </c>
      <c r="AF23" s="12">
        <v>0.8246509554976271</v>
      </c>
      <c r="AG23" s="12">
        <v>0.8011501774270933</v>
      </c>
      <c r="AH23" s="12">
        <v>0.7014398343364263</v>
      </c>
      <c r="AI23" s="12">
        <v>0.6782440292505938</v>
      </c>
      <c r="AJ23" s="13">
        <f>COUNTIFS(Students,E23,Results,"CHOICE!")</f>
        <v>0</v>
      </c>
      <c r="AK23" s="1">
        <f>COUNTIFS(MoneyYesNo,1,RGRcount,1,Students,E23,Results,"Accepted!")</f>
        <v>0</v>
      </c>
      <c r="AL23" s="1">
        <f>COUNTIFS(MoneyYesNo,1,MGRcount,1,Students,E23,Results,"Accepted!")-AK23</f>
        <v>0</v>
      </c>
      <c r="AM23" s="1">
        <f>COUNTIFS(MoneyYesNo,1,Students,E23,Results,"Accepted!")-AK23-AL23</f>
        <v>0</v>
      </c>
      <c r="AN23" s="13">
        <f>COUNTIFS(Students,E23,Results,"Accepted!")-AK23-AL23-AM23</f>
        <v>0</v>
      </c>
      <c r="AO23" s="1">
        <f>SUMIFS(RGRcount,Students,E23,MoneyYesNo,1)</f>
        <v>0</v>
      </c>
      <c r="AP23" s="1">
        <f>SUMIFS(MGRcount,Students,E23,MoneyYesNo,1)-AO23</f>
        <v>0</v>
      </c>
      <c r="AQ23" s="1">
        <f>SUMIF(Students,E23,MoneyYesNo)-AO23-AP23</f>
        <v>0</v>
      </c>
      <c r="AR23" s="13">
        <f>SUM(AO23,AP23,AQ23)</f>
        <v>0</v>
      </c>
      <c r="AS23" s="1">
        <f>SUMIF(Students,E23,RGRcount)</f>
        <v>0</v>
      </c>
      <c r="AT23" s="1">
        <f>SUMIF(Students,E23,MGRcount)-AS23</f>
        <v>0</v>
      </c>
      <c r="AU23" s="1">
        <f>COUNTIF(Students,E23)-AS23-AT23</f>
        <v>0</v>
      </c>
      <c r="AV23" s="1">
        <f>SUMIF(Students,E23,FarBelowTGRCount)</f>
        <v>0</v>
      </c>
      <c r="AW23" s="47">
        <f>COUNTIF(Students,E23)</f>
        <v>0</v>
      </c>
      <c r="AX23" s="11">
        <f>IF(AW23&gt;0,AE23/AW23,0)</f>
        <v>0</v>
      </c>
      <c r="AY23" s="11">
        <f t="array" ref="AY23">1-PRODUCT(IF(Students=E23,MGRMult,1))</f>
        <v>0</v>
      </c>
      <c r="AZ23" s="12">
        <f t="array" ref="AZ23">1-PRODUCT(IF(Students=E23,RGRMult,1))</f>
        <v>0</v>
      </c>
      <c r="BA23" s="1">
        <f>COUNTIFS(Students,E23,Classes,HailMaryLabel)</f>
        <v>0</v>
      </c>
      <c r="BB23" s="1">
        <f>COUNTIFS(Students,E23,Classes,LongshotLabel)</f>
        <v>0</v>
      </c>
      <c r="BC23" s="1">
        <f>COUNTIFS(Students,E23,Classes,ReachLabel)</f>
        <v>0</v>
      </c>
      <c r="BD23" s="1">
        <f>COUNTIFS(Students,E23,Classes,MatchLabel)</f>
        <v>0</v>
      </c>
      <c r="BE23" s="1">
        <f>COUNTIFS(Students,E23,Classes,SafetyLabel)</f>
        <v>0</v>
      </c>
      <c r="BF23" s="1">
        <f>COUNTIFS(Students,E23,Classes,SecureLabel)</f>
        <v>0</v>
      </c>
      <c r="BG23" s="1">
        <f>COUNTIFS(Students,E23,Classes,SureThingLabel)</f>
        <v>0</v>
      </c>
      <c r="BH23" s="13">
        <f>COUNTIFS(Students,E23,Classes,"Other")</f>
        <v>0</v>
      </c>
      <c r="BI23" s="1">
        <f>COUNTIFS(Students,E23,Classes,ReachLabel,MoneyYesNo,1)</f>
        <v>0</v>
      </c>
      <c r="BJ23" s="1">
        <f>COUNTIFS(Students,E23,Classes,MatchLabel,MoneyYesNo,1)</f>
        <v>0</v>
      </c>
      <c r="BK23" s="1">
        <f>COUNTIFS(Students,E23,Classes,SafetyLabel,MoneyYesNo,1)</f>
        <v>0</v>
      </c>
      <c r="BL23" s="1">
        <f>COUNTIFS(Students,E23,Classes,SecureLabel,MoneyYesNo,1)</f>
        <v>0</v>
      </c>
      <c r="BM23" s="1">
        <f>COUNTIFS(Students,E23,Classes,SureThingLabel,MoneyYesNo,1)</f>
        <v>0</v>
      </c>
      <c r="BN23" s="1">
        <f>SUM(BI23:BM23)</f>
        <v>0</v>
      </c>
      <c r="BO23" s="1">
        <f>SUMIFS(RGRcount,Students,E23,MoneyYesNo,1,Odds,"&gt;=20")</f>
        <v>0</v>
      </c>
      <c r="BP23" s="1">
        <f>SUMIFS(MGRcount,Students,E23,MoneyYesNo,1,Odds,"&gt;=20")-BO23</f>
        <v>0</v>
      </c>
      <c r="BQ23" s="1">
        <f>SUMIFS(MGRcount,Students,E23,MoneyYesNo,1,Odds,"&gt;=50")</f>
        <v>0</v>
      </c>
      <c r="BR23" s="1">
        <f>SUMIFS(RGRcount,Students,E23,MoneyYesNo,1,Odds,"&gt;=10")</f>
        <v>0</v>
      </c>
      <c r="BS23" s="1">
        <f>SUMIFS(MGRcount,Students,E23,MoneyYesNo,1,Odds,"&gt;=10")-BR23</f>
        <v>0</v>
      </c>
      <c r="BT23" s="1">
        <f>COUNTIFS(Students,E23,ILPublic,1)</f>
        <v>0</v>
      </c>
      <c r="BU23" s="1">
        <f>COUNTIFS(Students,E23,ILPublic,1,MoneyYesNo,1,Classes,MatchLabel)+COUNTIFS(Students,E23,ILPublic,1,MoneyYesNo,1,Classes,SafetyLabel)+COUNTIFS(Students,E23,ILPublic,1,MoneyYesNo,1,Classes,SecureLabel)+COUNTIFS(Students,E23,ILPublic,1,MoneyYesNo,1,Classes,SureThingLabel)</f>
        <v>0</v>
      </c>
      <c r="BV23" s="1">
        <f>COUNTIFS(Students,E23,ILPublic,1, Classes,SecureLabel)</f>
        <v>0</v>
      </c>
      <c r="BW23" s="1">
        <f>COUNTIFS(Students,E23,MoneyChicago,1)</f>
        <v>0</v>
      </c>
      <c r="BX23" s="1">
        <f>COUNTIFS(Students,E23,MatchOrUnder,1)</f>
        <v>0</v>
      </c>
      <c r="BY23" s="1">
        <f>SUMIF(Students,E23,MGRcount)</f>
        <v>0</v>
      </c>
      <c r="BZ23" s="1">
        <f>COUNTIFS(Students,E23,BadMoney,1)</f>
        <v>0</v>
      </c>
      <c r="CA23" s="1">
        <f>COUNTIFS(Students,E23,GoldenThree,1)</f>
        <v>0</v>
      </c>
      <c r="CB23" s="1">
        <f>COUNTIFS(Students,E23,NCESids,147536)</f>
        <v>0</v>
      </c>
      <c r="CC23" s="1">
        <f>COUNTIFS(Students,E23,NCESids,144157)+COUNTIFS(Students,E23,NCESids,144166)+COUNTIFS(Students,E23,NCESids,144175)+COUNTIFS(Students,E23,NCESids,144184)+COUNTIFS(Students,E23,NCESids,144193)+COUNTIFS(Students,E23,NCESids,144209)+COUNTIFS(Students,E23,NCESids,144218)</f>
        <v>0</v>
      </c>
      <c r="CD23" s="1">
        <f>COUNTIFS(Students,E23,Results,"Accepted!",FarBelowTGRCount,0)+COUNTIFS(Students,E23,Results,"CHOICE!",FarBelowTGRCount,0)</f>
        <v>0</v>
      </c>
    </row>
    <row r="24" spans="1:82">
      <c r="A24" s="18" t="s">
        <v>96</v>
      </c>
      <c r="B24" s="19">
        <v>0</v>
      </c>
      <c r="C24" s="18" t="s">
        <v>97</v>
      </c>
      <c r="D24" s="18" t="s">
        <v>184</v>
      </c>
      <c r="E24" s="19">
        <v>23340223</v>
      </c>
      <c r="F24" s="19" t="s">
        <v>185</v>
      </c>
      <c r="G24" s="10" t="s">
        <v>186</v>
      </c>
      <c r="H24" s="46">
        <v>2.8074</v>
      </c>
      <c r="I24" s="46">
        <v>3.0074</v>
      </c>
      <c r="J24" s="1">
        <v>22</v>
      </c>
      <c r="K24" s="1">
        <f>IF(ISNUMBER(I24),ROUND(583.58+106.27*I24,-1),"TBD")</f>
        <v>0</v>
      </c>
      <c r="L24" s="1">
        <v>830</v>
      </c>
      <c r="M24" s="1">
        <f>IF(ISNUMBER(L24),L24,IF(ISNUMBER(K24),K24,"TBD"))</f>
        <v>0</v>
      </c>
      <c r="N24" s="1">
        <f>IF(ISNUMBER(J24),VLOOKUP(J24,ACTtoSAT,2,FALSE),"TBD")</f>
        <v>0</v>
      </c>
      <c r="O24" s="1">
        <f>IF(ISNUMBER(M24),IF(ISNUMBER(N24),MAX(M24,N24),M24),IF(ISNUMBER(N24),N24,"TBD"))</f>
        <v>0</v>
      </c>
      <c r="P24" s="1" t="s">
        <v>101</v>
      </c>
      <c r="Q24" s="1" t="s">
        <v>102</v>
      </c>
      <c r="R24" s="1" t="s">
        <v>103</v>
      </c>
      <c r="S24" s="1">
        <f>IF(AND(H24&lt;&gt;0,O24&lt;&gt;0),IF(ISNUMBER(VLOOKUP(TEXT(MAX(FLOOR(H24*10,1)/10,1.5),"0.0")&amp;":"&amp;MAX(O24,710),StrategyLookup,4,FALSE)),VLOOKUP(TEXT(MAX(FLOOR(H24*10,1)/10,1.5),"0.0")&amp;":"&amp;MAX(O24,710),StrategyLookup,4,FALSE),"TBD"),"TBD")</f>
        <v>0</v>
      </c>
      <c r="T24" s="11">
        <f>IF(ISNUMBER(S24),VLOOKUP(IF(OR(S24=5,S24=6),S24&amp;IF(H24&gt;=3,"+","&lt;"),S24&amp;""),TargetLookup,IF(B24=-1,6,IF(OR(P24="W",P24="A"),4,2)),FALSE),"TBD")</f>
        <v>0</v>
      </c>
      <c r="U24" s="11">
        <f>IF(ISNUMBER(S24),VLOOKUP(IF(OR(S24=5,S24=6),S24&amp;IF(H24&gt;=3,"+","&lt;"),S24&amp;""),TargetLookup,IF(B24=-1,7,IF(OR(P24="W",P24="A"),5,3)),FALSE),"TBD")</f>
        <v>0</v>
      </c>
      <c r="V24" s="18" t="s">
        <v>115</v>
      </c>
      <c r="W24" s="19" t="s">
        <v>116</v>
      </c>
      <c r="X24" s="19" t="s">
        <v>106</v>
      </c>
      <c r="Y24" s="19">
        <f>V24&amp;X24&amp;D24</f>
        <v>0</v>
      </c>
      <c r="Z24" s="11">
        <f t="array" ref="Z24">1-PRODUCT(IF(Students=E24,MGRMoneyMult,1))</f>
        <v>0</v>
      </c>
      <c r="AA24" s="12">
        <f t="array" ref="AA24">1-PRODUCT(IF(Students=E24,RGRMoneyMult,1))</f>
        <v>0</v>
      </c>
      <c r="AB24" s="13">
        <f>COUNTIFS(Students,E24,Results,"Accepted!")+COUNTIFS(Students,E24,Results,"CHOICE!")</f>
        <v>0</v>
      </c>
      <c r="AC24" s="1">
        <f>COUNTIFS(Students,E24,Results,"Deferred")+COUNTIFS(Students,E24,Results,"Waitlist")</f>
        <v>0</v>
      </c>
      <c r="AD24" s="13">
        <f>COUNTIFS(Students,E24,Results,"Denied")</f>
        <v>0</v>
      </c>
      <c r="AE24" s="13">
        <f>AB24+AC24+AD24+COUNTIFS(Students,E24,Results,"Submitted")</f>
        <v>0</v>
      </c>
      <c r="AF24" s="12">
        <v>0.7034172833618293</v>
      </c>
      <c r="AG24" s="12">
        <v>0.5799067858069029</v>
      </c>
      <c r="AH24" s="12">
        <v>0.6025001437117637</v>
      </c>
      <c r="AI24" s="12">
        <v>0.5853475715524719</v>
      </c>
      <c r="AJ24" s="13">
        <f>COUNTIFS(Students,E24,Results,"CHOICE!")</f>
        <v>0</v>
      </c>
      <c r="AK24" s="1">
        <f>COUNTIFS(MoneyYesNo,1,RGRcount,1,Students,E24,Results,"Accepted!")</f>
        <v>0</v>
      </c>
      <c r="AL24" s="1">
        <f>COUNTIFS(MoneyYesNo,1,MGRcount,1,Students,E24,Results,"Accepted!")-AK24</f>
        <v>0</v>
      </c>
      <c r="AM24" s="1">
        <f>COUNTIFS(MoneyYesNo,1,Students,E24,Results,"Accepted!")-AK24-AL24</f>
        <v>0</v>
      </c>
      <c r="AN24" s="13">
        <f>COUNTIFS(Students,E24,Results,"Accepted!")-AK24-AL24-AM24</f>
        <v>0</v>
      </c>
      <c r="AO24" s="1">
        <f>SUMIFS(RGRcount,Students,E24,MoneyYesNo,1)</f>
        <v>0</v>
      </c>
      <c r="AP24" s="1">
        <f>SUMIFS(MGRcount,Students,E24,MoneyYesNo,1)-AO24</f>
        <v>0</v>
      </c>
      <c r="AQ24" s="1">
        <f>SUMIF(Students,E24,MoneyYesNo)-AO24-AP24</f>
        <v>0</v>
      </c>
      <c r="AR24" s="13">
        <f>SUM(AO24,AP24,AQ24)</f>
        <v>0</v>
      </c>
      <c r="AS24" s="1">
        <f>SUMIF(Students,E24,RGRcount)</f>
        <v>0</v>
      </c>
      <c r="AT24" s="1">
        <f>SUMIF(Students,E24,MGRcount)-AS24</f>
        <v>0</v>
      </c>
      <c r="AU24" s="1">
        <f>COUNTIF(Students,E24)-AS24-AT24</f>
        <v>0</v>
      </c>
      <c r="AV24" s="1">
        <f>SUMIF(Students,E24,FarBelowTGRCount)</f>
        <v>0</v>
      </c>
      <c r="AW24" s="47">
        <f>COUNTIF(Students,E24)</f>
        <v>0</v>
      </c>
      <c r="AX24" s="11">
        <f>IF(AW24&gt;0,AE24/AW24,0)</f>
        <v>0</v>
      </c>
      <c r="AY24" s="11">
        <f t="array" ref="AY24">1-PRODUCT(IF(Students=E24,MGRMult,1))</f>
        <v>0</v>
      </c>
      <c r="AZ24" s="12">
        <f t="array" ref="AZ24">1-PRODUCT(IF(Students=E24,RGRMult,1))</f>
        <v>0</v>
      </c>
      <c r="BA24" s="1">
        <f>COUNTIFS(Students,E24,Classes,HailMaryLabel)</f>
        <v>0</v>
      </c>
      <c r="BB24" s="1">
        <f>COUNTIFS(Students,E24,Classes,LongshotLabel)</f>
        <v>0</v>
      </c>
      <c r="BC24" s="1">
        <f>COUNTIFS(Students,E24,Classes,ReachLabel)</f>
        <v>0</v>
      </c>
      <c r="BD24" s="1">
        <f>COUNTIFS(Students,E24,Classes,MatchLabel)</f>
        <v>0</v>
      </c>
      <c r="BE24" s="1">
        <f>COUNTIFS(Students,E24,Classes,SafetyLabel)</f>
        <v>0</v>
      </c>
      <c r="BF24" s="1">
        <f>COUNTIFS(Students,E24,Classes,SecureLabel)</f>
        <v>0</v>
      </c>
      <c r="BG24" s="1">
        <f>COUNTIFS(Students,E24,Classes,SureThingLabel)</f>
        <v>0</v>
      </c>
      <c r="BH24" s="13">
        <f>COUNTIFS(Students,E24,Classes,"Other")</f>
        <v>0</v>
      </c>
      <c r="BI24" s="1">
        <f>COUNTIFS(Students,E24,Classes,ReachLabel,MoneyYesNo,1)</f>
        <v>0</v>
      </c>
      <c r="BJ24" s="1">
        <f>COUNTIFS(Students,E24,Classes,MatchLabel,MoneyYesNo,1)</f>
        <v>0</v>
      </c>
      <c r="BK24" s="1">
        <f>COUNTIFS(Students,E24,Classes,SafetyLabel,MoneyYesNo,1)</f>
        <v>0</v>
      </c>
      <c r="BL24" s="1">
        <f>COUNTIFS(Students,E24,Classes,SecureLabel,MoneyYesNo,1)</f>
        <v>0</v>
      </c>
      <c r="BM24" s="1">
        <f>COUNTIFS(Students,E24,Classes,SureThingLabel,MoneyYesNo,1)</f>
        <v>0</v>
      </c>
      <c r="BN24" s="1">
        <f>SUM(BI24:BM24)</f>
        <v>0</v>
      </c>
      <c r="BO24" s="1">
        <f>SUMIFS(RGRcount,Students,E24,MoneyYesNo,1,Odds,"&gt;=20")</f>
        <v>0</v>
      </c>
      <c r="BP24" s="1">
        <f>SUMIFS(MGRcount,Students,E24,MoneyYesNo,1,Odds,"&gt;=20")-BO24</f>
        <v>0</v>
      </c>
      <c r="BQ24" s="1">
        <f>SUMIFS(MGRcount,Students,E24,MoneyYesNo,1,Odds,"&gt;=50")</f>
        <v>0</v>
      </c>
      <c r="BR24" s="1">
        <f>SUMIFS(RGRcount,Students,E24,MoneyYesNo,1,Odds,"&gt;=10")</f>
        <v>0</v>
      </c>
      <c r="BS24" s="1">
        <f>SUMIFS(MGRcount,Students,E24,MoneyYesNo,1,Odds,"&gt;=10")-BR24</f>
        <v>0</v>
      </c>
      <c r="BT24" s="1">
        <f>COUNTIFS(Students,E24,ILPublic,1)</f>
        <v>0</v>
      </c>
      <c r="BU24" s="1">
        <f>COUNTIFS(Students,E24,ILPublic,1,MoneyYesNo,1,Classes,MatchLabel)+COUNTIFS(Students,E24,ILPublic,1,MoneyYesNo,1,Classes,SafetyLabel)+COUNTIFS(Students,E24,ILPublic,1,MoneyYesNo,1,Classes,SecureLabel)+COUNTIFS(Students,E24,ILPublic,1,MoneyYesNo,1,Classes,SureThingLabel)</f>
        <v>0</v>
      </c>
      <c r="BV24" s="1">
        <f>COUNTIFS(Students,E24,ILPublic,1, Classes,SecureLabel)</f>
        <v>0</v>
      </c>
      <c r="BW24" s="1">
        <f>COUNTIFS(Students,E24,MoneyChicago,1)</f>
        <v>0</v>
      </c>
      <c r="BX24" s="1">
        <f>COUNTIFS(Students,E24,MatchOrUnder,1)</f>
        <v>0</v>
      </c>
      <c r="BY24" s="1">
        <f>SUMIF(Students,E24,MGRcount)</f>
        <v>0</v>
      </c>
      <c r="BZ24" s="1">
        <f>COUNTIFS(Students,E24,BadMoney,1)</f>
        <v>0</v>
      </c>
      <c r="CA24" s="1">
        <f>COUNTIFS(Students,E24,GoldenThree,1)</f>
        <v>0</v>
      </c>
      <c r="CB24" s="1">
        <f>COUNTIFS(Students,E24,NCESids,147536)</f>
        <v>0</v>
      </c>
      <c r="CC24" s="1">
        <f>COUNTIFS(Students,E24,NCESids,144157)+COUNTIFS(Students,E24,NCESids,144166)+COUNTIFS(Students,E24,NCESids,144175)+COUNTIFS(Students,E24,NCESids,144184)+COUNTIFS(Students,E24,NCESids,144193)+COUNTIFS(Students,E24,NCESids,144209)+COUNTIFS(Students,E24,NCESids,144218)</f>
        <v>0</v>
      </c>
      <c r="CD24" s="1">
        <f>COUNTIFS(Students,E24,Results,"Accepted!",FarBelowTGRCount,0)+COUNTIFS(Students,E24,Results,"CHOICE!",FarBelowTGRCount,0)</f>
        <v>0</v>
      </c>
    </row>
    <row r="25" spans="1:82">
      <c r="A25" s="18" t="s">
        <v>96</v>
      </c>
      <c r="B25" s="19">
        <v>-1</v>
      </c>
      <c r="C25" s="18" t="s">
        <v>97</v>
      </c>
      <c r="D25" s="18" t="s">
        <v>187</v>
      </c>
      <c r="E25" s="19">
        <v>23018720</v>
      </c>
      <c r="F25" s="19" t="s">
        <v>188</v>
      </c>
      <c r="G25" s="10" t="s">
        <v>189</v>
      </c>
      <c r="H25" s="46">
        <v>2.3788</v>
      </c>
      <c r="I25" s="46">
        <v>2.5788</v>
      </c>
      <c r="J25" s="1">
        <v>20</v>
      </c>
      <c r="K25" s="1">
        <f>IF(ISNUMBER(I25),ROUND(583.58+106.27*I25,-1),"TBD")</f>
        <v>0</v>
      </c>
      <c r="L25" s="1">
        <v>1200</v>
      </c>
      <c r="M25" s="1">
        <f>IF(ISNUMBER(L25),L25,IF(ISNUMBER(K25),K25,"TBD"))</f>
        <v>0</v>
      </c>
      <c r="N25" s="1">
        <f>IF(ISNUMBER(J25),VLOOKUP(J25,ACTtoSAT,2,FALSE),"TBD")</f>
        <v>0</v>
      </c>
      <c r="O25" s="1">
        <f>IF(ISNUMBER(M25),IF(ISNUMBER(N25),MAX(M25,N25),M25),IF(ISNUMBER(N25),N25,"TBD"))</f>
        <v>0</v>
      </c>
      <c r="P25" s="1" t="s">
        <v>101</v>
      </c>
      <c r="Q25" s="1" t="s">
        <v>102</v>
      </c>
      <c r="R25" s="1" t="s">
        <v>103</v>
      </c>
      <c r="S25" s="1">
        <f>IF(AND(H25&lt;&gt;0,O25&lt;&gt;0),IF(ISNUMBER(VLOOKUP(TEXT(MAX(FLOOR(H25*10,1)/10,1.5),"0.0")&amp;":"&amp;MAX(O25,710),StrategyLookup,4,FALSE)),VLOOKUP(TEXT(MAX(FLOOR(H25*10,1)/10,1.5),"0.0")&amp;":"&amp;MAX(O25,710),StrategyLookup,4,FALSE),"TBD"),"TBD")</f>
        <v>0</v>
      </c>
      <c r="T25" s="11">
        <f>IF(ISNUMBER(S25),VLOOKUP(IF(OR(S25=5,S25=6),S25&amp;IF(H25&gt;=3,"+","&lt;"),S25&amp;""),TargetLookup,IF(B25=-1,6,IF(OR(P25="W",P25="A"),4,2)),FALSE),"TBD")</f>
        <v>0</v>
      </c>
      <c r="U25" s="11">
        <f>IF(ISNUMBER(S25),VLOOKUP(IF(OR(S25=5,S25=6),S25&amp;IF(H25&gt;=3,"+","&lt;"),S25&amp;""),TargetLookup,IF(B25=-1,7,IF(OR(P25="W",P25="A"),5,3)),FALSE),"TBD")</f>
        <v>0</v>
      </c>
      <c r="V25" s="18" t="s">
        <v>110</v>
      </c>
      <c r="W25" s="19" t="s">
        <v>125</v>
      </c>
      <c r="X25" s="19" t="s">
        <v>106</v>
      </c>
      <c r="Y25" s="19">
        <f>V25&amp;X25&amp;D25</f>
        <v>0</v>
      </c>
      <c r="Z25" s="11">
        <f t="array" ref="Z25">1-PRODUCT(IF(Students=E25,MGRMoneyMult,1))</f>
        <v>0</v>
      </c>
      <c r="AA25" s="12">
        <f t="array" ref="AA25">1-PRODUCT(IF(Students=E25,RGRMoneyMult,1))</f>
        <v>0</v>
      </c>
      <c r="AB25" s="13">
        <f>COUNTIFS(Students,E25,Results,"Accepted!")+COUNTIFS(Students,E25,Results,"CHOICE!")</f>
        <v>0</v>
      </c>
      <c r="AC25" s="1">
        <f>COUNTIFS(Students,E25,Results,"Deferred")+COUNTIFS(Students,E25,Results,"Waitlist")</f>
        <v>0</v>
      </c>
      <c r="AD25" s="13">
        <f>COUNTIFS(Students,E25,Results,"Denied")</f>
        <v>0</v>
      </c>
      <c r="AE25" s="13">
        <f>AB25+AC25+AD25+COUNTIFS(Students,E25,Results,"Submitted")</f>
        <v>0</v>
      </c>
      <c r="AF25" s="12">
        <v>0.6718600951081</v>
      </c>
      <c r="AG25" s="12">
        <v>0.5485954088366479</v>
      </c>
      <c r="AH25" s="12">
        <v>0.5479003847098305</v>
      </c>
      <c r="AI25" s="12">
        <v>0.5242380150099556</v>
      </c>
      <c r="AJ25" s="13">
        <f>COUNTIFS(Students,E25,Results,"CHOICE!")</f>
        <v>0</v>
      </c>
      <c r="AK25" s="1">
        <f>COUNTIFS(MoneyYesNo,1,RGRcount,1,Students,E25,Results,"Accepted!")</f>
        <v>0</v>
      </c>
      <c r="AL25" s="1">
        <f>COUNTIFS(MoneyYesNo,1,MGRcount,1,Students,E25,Results,"Accepted!")-AK25</f>
        <v>0</v>
      </c>
      <c r="AM25" s="1">
        <f>COUNTIFS(MoneyYesNo,1,Students,E25,Results,"Accepted!")-AK25-AL25</f>
        <v>0</v>
      </c>
      <c r="AN25" s="13">
        <f>COUNTIFS(Students,E25,Results,"Accepted!")-AK25-AL25-AM25</f>
        <v>0</v>
      </c>
      <c r="AO25" s="1">
        <f>SUMIFS(RGRcount,Students,E25,MoneyYesNo,1)</f>
        <v>0</v>
      </c>
      <c r="AP25" s="1">
        <f>SUMIFS(MGRcount,Students,E25,MoneyYesNo,1)-AO25</f>
        <v>0</v>
      </c>
      <c r="AQ25" s="1">
        <f>SUMIF(Students,E25,MoneyYesNo)-AO25-AP25</f>
        <v>0</v>
      </c>
      <c r="AR25" s="13">
        <f>SUM(AO25,AP25,AQ25)</f>
        <v>0</v>
      </c>
      <c r="AS25" s="1">
        <f>SUMIF(Students,E25,RGRcount)</f>
        <v>0</v>
      </c>
      <c r="AT25" s="1">
        <f>SUMIF(Students,E25,MGRcount)-AS25</f>
        <v>0</v>
      </c>
      <c r="AU25" s="1">
        <f>COUNTIF(Students,E25)-AS25-AT25</f>
        <v>0</v>
      </c>
      <c r="AV25" s="1">
        <f>SUMIF(Students,E25,FarBelowTGRCount)</f>
        <v>0</v>
      </c>
      <c r="AW25" s="47">
        <f>COUNTIF(Students,E25)</f>
        <v>0</v>
      </c>
      <c r="AX25" s="11">
        <f>IF(AW25&gt;0,AE25/AW25,0)</f>
        <v>0</v>
      </c>
      <c r="AY25" s="11">
        <f t="array" ref="AY25">1-PRODUCT(IF(Students=E25,MGRMult,1))</f>
        <v>0</v>
      </c>
      <c r="AZ25" s="12">
        <f t="array" ref="AZ25">1-PRODUCT(IF(Students=E25,RGRMult,1))</f>
        <v>0</v>
      </c>
      <c r="BA25" s="1">
        <f>COUNTIFS(Students,E25,Classes,HailMaryLabel)</f>
        <v>0</v>
      </c>
      <c r="BB25" s="1">
        <f>COUNTIFS(Students,E25,Classes,LongshotLabel)</f>
        <v>0</v>
      </c>
      <c r="BC25" s="1">
        <f>COUNTIFS(Students,E25,Classes,ReachLabel)</f>
        <v>0</v>
      </c>
      <c r="BD25" s="1">
        <f>COUNTIFS(Students,E25,Classes,MatchLabel)</f>
        <v>0</v>
      </c>
      <c r="BE25" s="1">
        <f>COUNTIFS(Students,E25,Classes,SafetyLabel)</f>
        <v>0</v>
      </c>
      <c r="BF25" s="1">
        <f>COUNTIFS(Students,E25,Classes,SecureLabel)</f>
        <v>0</v>
      </c>
      <c r="BG25" s="1">
        <f>COUNTIFS(Students,E25,Classes,SureThingLabel)</f>
        <v>0</v>
      </c>
      <c r="BH25" s="13">
        <f>COUNTIFS(Students,E25,Classes,"Other")</f>
        <v>0</v>
      </c>
      <c r="BI25" s="1">
        <f>COUNTIFS(Students,E25,Classes,ReachLabel,MoneyYesNo,1)</f>
        <v>0</v>
      </c>
      <c r="BJ25" s="1">
        <f>COUNTIFS(Students,E25,Classes,MatchLabel,MoneyYesNo,1)</f>
        <v>0</v>
      </c>
      <c r="BK25" s="1">
        <f>COUNTIFS(Students,E25,Classes,SafetyLabel,MoneyYesNo,1)</f>
        <v>0</v>
      </c>
      <c r="BL25" s="1">
        <f>COUNTIFS(Students,E25,Classes,SecureLabel,MoneyYesNo,1)</f>
        <v>0</v>
      </c>
      <c r="BM25" s="1">
        <f>COUNTIFS(Students,E25,Classes,SureThingLabel,MoneyYesNo,1)</f>
        <v>0</v>
      </c>
      <c r="BN25" s="1">
        <f>SUM(BI25:BM25)</f>
        <v>0</v>
      </c>
      <c r="BO25" s="1">
        <f>SUMIFS(RGRcount,Students,E25,MoneyYesNo,1,Odds,"&gt;=20")</f>
        <v>0</v>
      </c>
      <c r="BP25" s="1">
        <f>SUMIFS(MGRcount,Students,E25,MoneyYesNo,1,Odds,"&gt;=20")-BO25</f>
        <v>0</v>
      </c>
      <c r="BQ25" s="1">
        <f>SUMIFS(MGRcount,Students,E25,MoneyYesNo,1,Odds,"&gt;=50")</f>
        <v>0</v>
      </c>
      <c r="BR25" s="1">
        <f>SUMIFS(RGRcount,Students,E25,MoneyYesNo,1,Odds,"&gt;=10")</f>
        <v>0</v>
      </c>
      <c r="BS25" s="1">
        <f>SUMIFS(MGRcount,Students,E25,MoneyYesNo,1,Odds,"&gt;=10")-BR25</f>
        <v>0</v>
      </c>
      <c r="BT25" s="1">
        <f>COUNTIFS(Students,E25,ILPublic,1)</f>
        <v>0</v>
      </c>
      <c r="BU25" s="1">
        <f>COUNTIFS(Students,E25,ILPublic,1,MoneyYesNo,1,Classes,MatchLabel)+COUNTIFS(Students,E25,ILPublic,1,MoneyYesNo,1,Classes,SafetyLabel)+COUNTIFS(Students,E25,ILPublic,1,MoneyYesNo,1,Classes,SecureLabel)+COUNTIFS(Students,E25,ILPublic,1,MoneyYesNo,1,Classes,SureThingLabel)</f>
        <v>0</v>
      </c>
      <c r="BV25" s="1">
        <f>COUNTIFS(Students,E25,ILPublic,1, Classes,SecureLabel)</f>
        <v>0</v>
      </c>
      <c r="BW25" s="1">
        <f>COUNTIFS(Students,E25,MoneyChicago,1)</f>
        <v>0</v>
      </c>
      <c r="BX25" s="1">
        <f>COUNTIFS(Students,E25,MatchOrUnder,1)</f>
        <v>0</v>
      </c>
      <c r="BY25" s="1">
        <f>SUMIF(Students,E25,MGRcount)</f>
        <v>0</v>
      </c>
      <c r="BZ25" s="1">
        <f>COUNTIFS(Students,E25,BadMoney,1)</f>
        <v>0</v>
      </c>
      <c r="CA25" s="1">
        <f>COUNTIFS(Students,E25,GoldenThree,1)</f>
        <v>0</v>
      </c>
      <c r="CB25" s="1">
        <f>COUNTIFS(Students,E25,NCESids,147536)</f>
        <v>0</v>
      </c>
      <c r="CC25" s="1">
        <f>COUNTIFS(Students,E25,NCESids,144157)+COUNTIFS(Students,E25,NCESids,144166)+COUNTIFS(Students,E25,NCESids,144175)+COUNTIFS(Students,E25,NCESids,144184)+COUNTIFS(Students,E25,NCESids,144193)+COUNTIFS(Students,E25,NCESids,144209)+COUNTIFS(Students,E25,NCESids,144218)</f>
        <v>0</v>
      </c>
      <c r="CD25" s="1">
        <f>COUNTIFS(Students,E25,Results,"Accepted!",FarBelowTGRCount,0)+COUNTIFS(Students,E25,Results,"CHOICE!",FarBelowTGRCount,0)</f>
        <v>0</v>
      </c>
    </row>
    <row r="26" spans="1:82">
      <c r="A26" s="18" t="s">
        <v>96</v>
      </c>
      <c r="B26" s="19">
        <v>0</v>
      </c>
      <c r="C26" s="18" t="s">
        <v>97</v>
      </c>
      <c r="D26" s="18" t="s">
        <v>190</v>
      </c>
      <c r="E26" s="19">
        <v>22347828</v>
      </c>
      <c r="F26" s="19" t="s">
        <v>191</v>
      </c>
      <c r="G26" s="10" t="s">
        <v>192</v>
      </c>
      <c r="H26" s="46">
        <v>3.7269</v>
      </c>
      <c r="I26" s="46">
        <v>3.9269</v>
      </c>
      <c r="J26" s="1">
        <v>18</v>
      </c>
      <c r="K26" s="1">
        <f>IF(ISNUMBER(I26),ROUND(583.58+106.27*I26,-1),"TBD")</f>
        <v>0</v>
      </c>
      <c r="L26" s="1">
        <v>1000</v>
      </c>
      <c r="M26" s="1">
        <f>IF(ISNUMBER(L26),L26,IF(ISNUMBER(K26),K26,"TBD"))</f>
        <v>0</v>
      </c>
      <c r="N26" s="1">
        <f>IF(ISNUMBER(J26),VLOOKUP(J26,ACTtoSAT,2,FALSE),"TBD")</f>
        <v>0</v>
      </c>
      <c r="O26" s="1">
        <f>IF(ISNUMBER(M26),IF(ISNUMBER(N26),MAX(M26,N26),M26),IF(ISNUMBER(N26),N26,"TBD"))</f>
        <v>0</v>
      </c>
      <c r="P26" s="1" t="s">
        <v>101</v>
      </c>
      <c r="Q26" s="1" t="s">
        <v>123</v>
      </c>
      <c r="R26" s="1" t="s">
        <v>124</v>
      </c>
      <c r="S26" s="1">
        <f>IF(AND(H26&lt;&gt;0,O26&lt;&gt;0),IF(ISNUMBER(VLOOKUP(TEXT(MAX(FLOOR(H26*10,1)/10,1.5),"0.0")&amp;":"&amp;MAX(O26,710),StrategyLookup,4,FALSE)),VLOOKUP(TEXT(MAX(FLOOR(H26*10,1)/10,1.5),"0.0")&amp;":"&amp;MAX(O26,710),StrategyLookup,4,FALSE),"TBD"),"TBD")</f>
        <v>0</v>
      </c>
      <c r="T26" s="11">
        <f>IF(ISNUMBER(S26),VLOOKUP(IF(OR(S26=5,S26=6),S26&amp;IF(H26&gt;=3,"+","&lt;"),S26&amp;""),TargetLookup,IF(B26=-1,6,IF(OR(P26="W",P26="A"),4,2)),FALSE),"TBD")</f>
        <v>0</v>
      </c>
      <c r="U26" s="11">
        <f>IF(ISNUMBER(S26),VLOOKUP(IF(OR(S26=5,S26=6),S26&amp;IF(H26&gt;=3,"+","&lt;"),S26&amp;""),TargetLookup,IF(B26=-1,7,IF(OR(P26="W",P26="A"),5,3)),FALSE),"TBD")</f>
        <v>0</v>
      </c>
      <c r="V26" s="18" t="s">
        <v>160</v>
      </c>
      <c r="W26" s="19" t="s">
        <v>136</v>
      </c>
      <c r="X26" s="19" t="s">
        <v>106</v>
      </c>
      <c r="Y26" s="19">
        <f>V26&amp;X26&amp;D26</f>
        <v>0</v>
      </c>
      <c r="Z26" s="11">
        <f t="array" ref="Z26">1-PRODUCT(IF(Students=E26,MGRMoneyMult,1))</f>
        <v>0</v>
      </c>
      <c r="AA26" s="12">
        <f t="array" ref="AA26">1-PRODUCT(IF(Students=E26,RGRMoneyMult,1))</f>
        <v>0</v>
      </c>
      <c r="AB26" s="13">
        <f>COUNTIFS(Students,E26,Results,"Accepted!")+COUNTIFS(Students,E26,Results,"CHOICE!")</f>
        <v>0</v>
      </c>
      <c r="AC26" s="1">
        <f>COUNTIFS(Students,E26,Results,"Deferred")+COUNTIFS(Students,E26,Results,"Waitlist")</f>
        <v>0</v>
      </c>
      <c r="AD26" s="13">
        <f>COUNTIFS(Students,E26,Results,"Denied")</f>
        <v>0</v>
      </c>
      <c r="AE26" s="13">
        <f>AB26+AC26+AD26+COUNTIFS(Students,E26,Results,"Submitted")</f>
        <v>0</v>
      </c>
      <c r="AF26" s="12">
        <v>0.8233995376260282</v>
      </c>
      <c r="AG26" s="12">
        <v>0.7553469537278343</v>
      </c>
      <c r="AH26" s="12">
        <v>0.71236609882113</v>
      </c>
      <c r="AI26" s="12">
        <v>0.6859150089220805</v>
      </c>
      <c r="AJ26" s="13">
        <f>COUNTIFS(Students,E26,Results,"CHOICE!")</f>
        <v>0</v>
      </c>
      <c r="AK26" s="1">
        <f>COUNTIFS(MoneyYesNo,1,RGRcount,1,Students,E26,Results,"Accepted!")</f>
        <v>0</v>
      </c>
      <c r="AL26" s="1">
        <f>COUNTIFS(MoneyYesNo,1,MGRcount,1,Students,E26,Results,"Accepted!")-AK26</f>
        <v>0</v>
      </c>
      <c r="AM26" s="1">
        <f>COUNTIFS(MoneyYesNo,1,Students,E26,Results,"Accepted!")-AK26-AL26</f>
        <v>0</v>
      </c>
      <c r="AN26" s="13">
        <f>COUNTIFS(Students,E26,Results,"Accepted!")-AK26-AL26-AM26</f>
        <v>0</v>
      </c>
      <c r="AO26" s="1">
        <f>SUMIFS(RGRcount,Students,E26,MoneyYesNo,1)</f>
        <v>0</v>
      </c>
      <c r="AP26" s="1">
        <f>SUMIFS(MGRcount,Students,E26,MoneyYesNo,1)-AO26</f>
        <v>0</v>
      </c>
      <c r="AQ26" s="1">
        <f>SUMIF(Students,E26,MoneyYesNo)-AO26-AP26</f>
        <v>0</v>
      </c>
      <c r="AR26" s="13">
        <f>SUM(AO26,AP26,AQ26)</f>
        <v>0</v>
      </c>
      <c r="AS26" s="1">
        <f>SUMIF(Students,E26,RGRcount)</f>
        <v>0</v>
      </c>
      <c r="AT26" s="1">
        <f>SUMIF(Students,E26,MGRcount)-AS26</f>
        <v>0</v>
      </c>
      <c r="AU26" s="1">
        <f>COUNTIF(Students,E26)-AS26-AT26</f>
        <v>0</v>
      </c>
      <c r="AV26" s="1">
        <f>SUMIF(Students,E26,FarBelowTGRCount)</f>
        <v>0</v>
      </c>
      <c r="AW26" s="47">
        <f>COUNTIF(Students,E26)</f>
        <v>0</v>
      </c>
      <c r="AX26" s="11">
        <f>IF(AW26&gt;0,AE26/AW26,0)</f>
        <v>0</v>
      </c>
      <c r="AY26" s="11">
        <f t="array" ref="AY26">1-PRODUCT(IF(Students=E26,MGRMult,1))</f>
        <v>0</v>
      </c>
      <c r="AZ26" s="12">
        <f t="array" ref="AZ26">1-PRODUCT(IF(Students=E26,RGRMult,1))</f>
        <v>0</v>
      </c>
      <c r="BA26" s="1">
        <f>COUNTIFS(Students,E26,Classes,HailMaryLabel)</f>
        <v>0</v>
      </c>
      <c r="BB26" s="1">
        <f>COUNTIFS(Students,E26,Classes,LongshotLabel)</f>
        <v>0</v>
      </c>
      <c r="BC26" s="1">
        <f>COUNTIFS(Students,E26,Classes,ReachLabel)</f>
        <v>0</v>
      </c>
      <c r="BD26" s="1">
        <f>COUNTIFS(Students,E26,Classes,MatchLabel)</f>
        <v>0</v>
      </c>
      <c r="BE26" s="1">
        <f>COUNTIFS(Students,E26,Classes,SafetyLabel)</f>
        <v>0</v>
      </c>
      <c r="BF26" s="1">
        <f>COUNTIFS(Students,E26,Classes,SecureLabel)</f>
        <v>0</v>
      </c>
      <c r="BG26" s="1">
        <f>COUNTIFS(Students,E26,Classes,SureThingLabel)</f>
        <v>0</v>
      </c>
      <c r="BH26" s="13">
        <f>COUNTIFS(Students,E26,Classes,"Other")</f>
        <v>0</v>
      </c>
      <c r="BI26" s="1">
        <f>COUNTIFS(Students,E26,Classes,ReachLabel,MoneyYesNo,1)</f>
        <v>0</v>
      </c>
      <c r="BJ26" s="1">
        <f>COUNTIFS(Students,E26,Classes,MatchLabel,MoneyYesNo,1)</f>
        <v>0</v>
      </c>
      <c r="BK26" s="1">
        <f>COUNTIFS(Students,E26,Classes,SafetyLabel,MoneyYesNo,1)</f>
        <v>0</v>
      </c>
      <c r="BL26" s="1">
        <f>COUNTIFS(Students,E26,Classes,SecureLabel,MoneyYesNo,1)</f>
        <v>0</v>
      </c>
      <c r="BM26" s="1">
        <f>COUNTIFS(Students,E26,Classes,SureThingLabel,MoneyYesNo,1)</f>
        <v>0</v>
      </c>
      <c r="BN26" s="1">
        <f>SUM(BI26:BM26)</f>
        <v>0</v>
      </c>
      <c r="BO26" s="1">
        <f>SUMIFS(RGRcount,Students,E26,MoneyYesNo,1,Odds,"&gt;=20")</f>
        <v>0</v>
      </c>
      <c r="BP26" s="1">
        <f>SUMIFS(MGRcount,Students,E26,MoneyYesNo,1,Odds,"&gt;=20")-BO26</f>
        <v>0</v>
      </c>
      <c r="BQ26" s="1">
        <f>SUMIFS(MGRcount,Students,E26,MoneyYesNo,1,Odds,"&gt;=50")</f>
        <v>0</v>
      </c>
      <c r="BR26" s="1">
        <f>SUMIFS(RGRcount,Students,E26,MoneyYesNo,1,Odds,"&gt;=10")</f>
        <v>0</v>
      </c>
      <c r="BS26" s="1">
        <f>SUMIFS(MGRcount,Students,E26,MoneyYesNo,1,Odds,"&gt;=10")-BR26</f>
        <v>0</v>
      </c>
      <c r="BT26" s="1">
        <f>COUNTIFS(Students,E26,ILPublic,1)</f>
        <v>0</v>
      </c>
      <c r="BU26" s="1">
        <f>COUNTIFS(Students,E26,ILPublic,1,MoneyYesNo,1,Classes,MatchLabel)+COUNTIFS(Students,E26,ILPublic,1,MoneyYesNo,1,Classes,SafetyLabel)+COUNTIFS(Students,E26,ILPublic,1,MoneyYesNo,1,Classes,SecureLabel)+COUNTIFS(Students,E26,ILPublic,1,MoneyYesNo,1,Classes,SureThingLabel)</f>
        <v>0</v>
      </c>
      <c r="BV26" s="1">
        <f>COUNTIFS(Students,E26,ILPublic,1, Classes,SecureLabel)</f>
        <v>0</v>
      </c>
      <c r="BW26" s="1">
        <f>COUNTIFS(Students,E26,MoneyChicago,1)</f>
        <v>0</v>
      </c>
      <c r="BX26" s="1">
        <f>COUNTIFS(Students,E26,MatchOrUnder,1)</f>
        <v>0</v>
      </c>
      <c r="BY26" s="1">
        <f>SUMIF(Students,E26,MGRcount)</f>
        <v>0</v>
      </c>
      <c r="BZ26" s="1">
        <f>COUNTIFS(Students,E26,BadMoney,1)</f>
        <v>0</v>
      </c>
      <c r="CA26" s="1">
        <f>COUNTIFS(Students,E26,GoldenThree,1)</f>
        <v>0</v>
      </c>
      <c r="CB26" s="1">
        <f>COUNTIFS(Students,E26,NCESids,147536)</f>
        <v>0</v>
      </c>
      <c r="CC26" s="1">
        <f>COUNTIFS(Students,E26,NCESids,144157)+COUNTIFS(Students,E26,NCESids,144166)+COUNTIFS(Students,E26,NCESids,144175)+COUNTIFS(Students,E26,NCESids,144184)+COUNTIFS(Students,E26,NCESids,144193)+COUNTIFS(Students,E26,NCESids,144209)+COUNTIFS(Students,E26,NCESids,144218)</f>
        <v>0</v>
      </c>
      <c r="CD26" s="1">
        <f>COUNTIFS(Students,E26,Results,"Accepted!",FarBelowTGRCount,0)+COUNTIFS(Students,E26,Results,"CHOICE!",FarBelowTGRCount,0)</f>
        <v>0</v>
      </c>
    </row>
    <row r="27" spans="1:82">
      <c r="A27" s="18" t="s">
        <v>96</v>
      </c>
      <c r="B27" s="19">
        <v>-1</v>
      </c>
      <c r="C27" s="18" t="s">
        <v>97</v>
      </c>
      <c r="D27" s="18" t="s">
        <v>193</v>
      </c>
      <c r="E27" s="19">
        <v>22410481</v>
      </c>
      <c r="F27" s="19" t="s">
        <v>194</v>
      </c>
      <c r="G27" s="10" t="s">
        <v>195</v>
      </c>
      <c r="H27" s="46">
        <v>2.6077</v>
      </c>
      <c r="I27" s="46">
        <v>2.8077</v>
      </c>
      <c r="J27" s="1">
        <v>15</v>
      </c>
      <c r="K27" s="1">
        <f>IF(ISNUMBER(I27),ROUND(583.58+106.27*I27,-1),"TBD")</f>
        <v>0</v>
      </c>
      <c r="L27" s="1">
        <v>1020</v>
      </c>
      <c r="M27" s="1">
        <f>IF(ISNUMBER(L27),L27,IF(ISNUMBER(K27),K27,"TBD"))</f>
        <v>0</v>
      </c>
      <c r="N27" s="1">
        <f>IF(ISNUMBER(J27),VLOOKUP(J27,ACTtoSAT,2,FALSE),"TBD")</f>
        <v>0</v>
      </c>
      <c r="O27" s="1">
        <f>IF(ISNUMBER(M27),IF(ISNUMBER(N27),MAX(M27,N27),M27),IF(ISNUMBER(N27),N27,"TBD"))</f>
        <v>0</v>
      </c>
      <c r="P27" s="1" t="s">
        <v>101</v>
      </c>
      <c r="Q27" s="1" t="s">
        <v>123</v>
      </c>
      <c r="R27" s="1" t="s">
        <v>124</v>
      </c>
      <c r="S27" s="1">
        <f>IF(AND(H27&lt;&gt;0,O27&lt;&gt;0),IF(ISNUMBER(VLOOKUP(TEXT(MAX(FLOOR(H27*10,1)/10,1.5),"0.0")&amp;":"&amp;MAX(O27,710),StrategyLookup,4,FALSE)),VLOOKUP(TEXT(MAX(FLOOR(H27*10,1)/10,1.5),"0.0")&amp;":"&amp;MAX(O27,710),StrategyLookup,4,FALSE),"TBD"),"TBD")</f>
        <v>0</v>
      </c>
      <c r="T27" s="11">
        <f>IF(ISNUMBER(S27),VLOOKUP(IF(OR(S27=5,S27=6),S27&amp;IF(H27&gt;=3,"+","&lt;"),S27&amp;""),TargetLookup,IF(B27=-1,6,IF(OR(P27="W",P27="A"),4,2)),FALSE),"TBD")</f>
        <v>0</v>
      </c>
      <c r="U27" s="11">
        <f>IF(ISNUMBER(S27),VLOOKUP(IF(OR(S27=5,S27=6),S27&amp;IF(H27&gt;=3,"+","&lt;"),S27&amp;""),TargetLookup,IF(B27=-1,7,IF(OR(P27="W",P27="A"),5,3)),FALSE),"TBD")</f>
        <v>0</v>
      </c>
      <c r="V27" s="18" t="s">
        <v>110</v>
      </c>
      <c r="W27" s="19" t="s">
        <v>105</v>
      </c>
      <c r="X27" s="19" t="s">
        <v>106</v>
      </c>
      <c r="Y27" s="19">
        <f>V27&amp;X27&amp;D27</f>
        <v>0</v>
      </c>
      <c r="Z27" s="11">
        <f t="array" ref="Z27">1-PRODUCT(IF(Students=E27,MGRMoneyMult,1))</f>
        <v>0</v>
      </c>
      <c r="AA27" s="12">
        <f t="array" ref="AA27">1-PRODUCT(IF(Students=E27,RGRMoneyMult,1))</f>
        <v>0</v>
      </c>
      <c r="AB27" s="13">
        <f>COUNTIFS(Students,E27,Results,"Accepted!")+COUNTIFS(Students,E27,Results,"CHOICE!")</f>
        <v>0</v>
      </c>
      <c r="AC27" s="1">
        <f>COUNTIFS(Students,E27,Results,"Deferred")+COUNTIFS(Students,E27,Results,"Waitlist")</f>
        <v>0</v>
      </c>
      <c r="AD27" s="13">
        <f>COUNTIFS(Students,E27,Results,"Denied")</f>
        <v>0</v>
      </c>
      <c r="AE27" s="13">
        <f>AB27+AC27+AD27+COUNTIFS(Students,E27,Results,"Submitted")</f>
        <v>0</v>
      </c>
      <c r="AF27" s="12">
        <v>0.4709818</v>
      </c>
      <c r="AG27" s="12">
        <v>0.4127</v>
      </c>
      <c r="AH27" s="12">
        <v>0.3588640779265407</v>
      </c>
      <c r="AI27" s="12">
        <v>0.3365110490987254</v>
      </c>
      <c r="AJ27" s="13">
        <f>COUNTIFS(Students,E27,Results,"CHOICE!")</f>
        <v>0</v>
      </c>
      <c r="AK27" s="1">
        <f>COUNTIFS(MoneyYesNo,1,RGRcount,1,Students,E27,Results,"Accepted!")</f>
        <v>0</v>
      </c>
      <c r="AL27" s="1">
        <f>COUNTIFS(MoneyYesNo,1,MGRcount,1,Students,E27,Results,"Accepted!")-AK27</f>
        <v>0</v>
      </c>
      <c r="AM27" s="1">
        <f>COUNTIFS(MoneyYesNo,1,Students,E27,Results,"Accepted!")-AK27-AL27</f>
        <v>0</v>
      </c>
      <c r="AN27" s="13">
        <f>COUNTIFS(Students,E27,Results,"Accepted!")-AK27-AL27-AM27</f>
        <v>0</v>
      </c>
      <c r="AO27" s="1">
        <f>SUMIFS(RGRcount,Students,E27,MoneyYesNo,1)</f>
        <v>0</v>
      </c>
      <c r="AP27" s="1">
        <f>SUMIFS(MGRcount,Students,E27,MoneyYesNo,1)-AO27</f>
        <v>0</v>
      </c>
      <c r="AQ27" s="1">
        <f>SUMIF(Students,E27,MoneyYesNo)-AO27-AP27</f>
        <v>0</v>
      </c>
      <c r="AR27" s="13">
        <f>SUM(AO27,AP27,AQ27)</f>
        <v>0</v>
      </c>
      <c r="AS27" s="1">
        <f>SUMIF(Students,E27,RGRcount)</f>
        <v>0</v>
      </c>
      <c r="AT27" s="1">
        <f>SUMIF(Students,E27,MGRcount)-AS27</f>
        <v>0</v>
      </c>
      <c r="AU27" s="1">
        <f>COUNTIF(Students,E27)-AS27-AT27</f>
        <v>0</v>
      </c>
      <c r="AV27" s="1">
        <f>SUMIF(Students,E27,FarBelowTGRCount)</f>
        <v>0</v>
      </c>
      <c r="AW27" s="47">
        <f>COUNTIF(Students,E27)</f>
        <v>0</v>
      </c>
      <c r="AX27" s="11">
        <f>IF(AW27&gt;0,AE27/AW27,0)</f>
        <v>0</v>
      </c>
      <c r="AY27" s="11">
        <f t="array" ref="AY27">1-PRODUCT(IF(Students=E27,MGRMult,1))</f>
        <v>0</v>
      </c>
      <c r="AZ27" s="12">
        <f t="array" ref="AZ27">1-PRODUCT(IF(Students=E27,RGRMult,1))</f>
        <v>0</v>
      </c>
      <c r="BA27" s="1">
        <f>COUNTIFS(Students,E27,Classes,HailMaryLabel)</f>
        <v>0</v>
      </c>
      <c r="BB27" s="1">
        <f>COUNTIFS(Students,E27,Classes,LongshotLabel)</f>
        <v>0</v>
      </c>
      <c r="BC27" s="1">
        <f>COUNTIFS(Students,E27,Classes,ReachLabel)</f>
        <v>0</v>
      </c>
      <c r="BD27" s="1">
        <f>COUNTIFS(Students,E27,Classes,MatchLabel)</f>
        <v>0</v>
      </c>
      <c r="BE27" s="1">
        <f>COUNTIFS(Students,E27,Classes,SafetyLabel)</f>
        <v>0</v>
      </c>
      <c r="BF27" s="1">
        <f>COUNTIFS(Students,E27,Classes,SecureLabel)</f>
        <v>0</v>
      </c>
      <c r="BG27" s="1">
        <f>COUNTIFS(Students,E27,Classes,SureThingLabel)</f>
        <v>0</v>
      </c>
      <c r="BH27" s="13">
        <f>COUNTIFS(Students,E27,Classes,"Other")</f>
        <v>0</v>
      </c>
      <c r="BI27" s="1">
        <f>COUNTIFS(Students,E27,Classes,ReachLabel,MoneyYesNo,1)</f>
        <v>0</v>
      </c>
      <c r="BJ27" s="1">
        <f>COUNTIFS(Students,E27,Classes,MatchLabel,MoneyYesNo,1)</f>
        <v>0</v>
      </c>
      <c r="BK27" s="1">
        <f>COUNTIFS(Students,E27,Classes,SafetyLabel,MoneyYesNo,1)</f>
        <v>0</v>
      </c>
      <c r="BL27" s="1">
        <f>COUNTIFS(Students,E27,Classes,SecureLabel,MoneyYesNo,1)</f>
        <v>0</v>
      </c>
      <c r="BM27" s="1">
        <f>COUNTIFS(Students,E27,Classes,SureThingLabel,MoneyYesNo,1)</f>
        <v>0</v>
      </c>
      <c r="BN27" s="1">
        <f>SUM(BI27:BM27)</f>
        <v>0</v>
      </c>
      <c r="BO27" s="1">
        <f>SUMIFS(RGRcount,Students,E27,MoneyYesNo,1,Odds,"&gt;=20")</f>
        <v>0</v>
      </c>
      <c r="BP27" s="1">
        <f>SUMIFS(MGRcount,Students,E27,MoneyYesNo,1,Odds,"&gt;=20")-BO27</f>
        <v>0</v>
      </c>
      <c r="BQ27" s="1">
        <f>SUMIFS(MGRcount,Students,E27,MoneyYesNo,1,Odds,"&gt;=50")</f>
        <v>0</v>
      </c>
      <c r="BR27" s="1">
        <f>SUMIFS(RGRcount,Students,E27,MoneyYesNo,1,Odds,"&gt;=10")</f>
        <v>0</v>
      </c>
      <c r="BS27" s="1">
        <f>SUMIFS(MGRcount,Students,E27,MoneyYesNo,1,Odds,"&gt;=10")-BR27</f>
        <v>0</v>
      </c>
      <c r="BT27" s="1">
        <f>COUNTIFS(Students,E27,ILPublic,1)</f>
        <v>0</v>
      </c>
      <c r="BU27" s="1">
        <f>COUNTIFS(Students,E27,ILPublic,1,MoneyYesNo,1,Classes,MatchLabel)+COUNTIFS(Students,E27,ILPublic,1,MoneyYesNo,1,Classes,SafetyLabel)+COUNTIFS(Students,E27,ILPublic,1,MoneyYesNo,1,Classes,SecureLabel)+COUNTIFS(Students,E27,ILPublic,1,MoneyYesNo,1,Classes,SureThingLabel)</f>
        <v>0</v>
      </c>
      <c r="BV27" s="1">
        <f>COUNTIFS(Students,E27,ILPublic,1, Classes,SecureLabel)</f>
        <v>0</v>
      </c>
      <c r="BW27" s="1">
        <f>COUNTIFS(Students,E27,MoneyChicago,1)</f>
        <v>0</v>
      </c>
      <c r="BX27" s="1">
        <f>COUNTIFS(Students,E27,MatchOrUnder,1)</f>
        <v>0</v>
      </c>
      <c r="BY27" s="1">
        <f>SUMIF(Students,E27,MGRcount)</f>
        <v>0</v>
      </c>
      <c r="BZ27" s="1">
        <f>COUNTIFS(Students,E27,BadMoney,1)</f>
        <v>0</v>
      </c>
      <c r="CA27" s="1">
        <f>COUNTIFS(Students,E27,GoldenThree,1)</f>
        <v>0</v>
      </c>
      <c r="CB27" s="1">
        <f>COUNTIFS(Students,E27,NCESids,147536)</f>
        <v>0</v>
      </c>
      <c r="CC27" s="1">
        <f>COUNTIFS(Students,E27,NCESids,144157)+COUNTIFS(Students,E27,NCESids,144166)+COUNTIFS(Students,E27,NCESids,144175)+COUNTIFS(Students,E27,NCESids,144184)+COUNTIFS(Students,E27,NCESids,144193)+COUNTIFS(Students,E27,NCESids,144209)+COUNTIFS(Students,E27,NCESids,144218)</f>
        <v>0</v>
      </c>
      <c r="CD27" s="1">
        <f>COUNTIFS(Students,E27,Results,"Accepted!",FarBelowTGRCount,0)+COUNTIFS(Students,E27,Results,"CHOICE!",FarBelowTGRCount,0)</f>
        <v>0</v>
      </c>
    </row>
    <row r="28" spans="1:82">
      <c r="A28" s="18" t="s">
        <v>96</v>
      </c>
      <c r="B28" s="19">
        <v>0</v>
      </c>
      <c r="C28" s="18" t="s">
        <v>97</v>
      </c>
      <c r="D28" s="18" t="s">
        <v>196</v>
      </c>
      <c r="E28" s="19">
        <v>24090662</v>
      </c>
      <c r="F28" s="19" t="s">
        <v>197</v>
      </c>
      <c r="G28" s="10" t="s">
        <v>198</v>
      </c>
      <c r="H28" s="46">
        <v>2.2347</v>
      </c>
      <c r="I28" s="46">
        <v>2.4347</v>
      </c>
      <c r="J28" s="1">
        <v>18</v>
      </c>
      <c r="K28" s="1">
        <f>IF(ISNUMBER(I28),ROUND(583.58+106.27*I28,-1),"TBD")</f>
        <v>0</v>
      </c>
      <c r="L28" s="1">
        <v>950</v>
      </c>
      <c r="M28" s="1">
        <f>IF(ISNUMBER(L28),L28,IF(ISNUMBER(K28),K28,"TBD"))</f>
        <v>0</v>
      </c>
      <c r="N28" s="1">
        <f>IF(ISNUMBER(J28),VLOOKUP(J28,ACTtoSAT,2,FALSE),"TBD")</f>
        <v>0</v>
      </c>
      <c r="O28" s="1">
        <f>IF(ISNUMBER(M28),IF(ISNUMBER(N28),MAX(M28,N28),M28),IF(ISNUMBER(N28),N28,"TBD"))</f>
        <v>0</v>
      </c>
      <c r="P28" s="1" t="s">
        <v>101</v>
      </c>
      <c r="Q28" s="1" t="s">
        <v>123</v>
      </c>
      <c r="R28" s="1" t="s">
        <v>124</v>
      </c>
      <c r="S28" s="1">
        <f>IF(AND(H28&lt;&gt;0,O28&lt;&gt;0),IF(ISNUMBER(VLOOKUP(TEXT(MAX(FLOOR(H28*10,1)/10,1.5),"0.0")&amp;":"&amp;MAX(O28,710),StrategyLookup,4,FALSE)),VLOOKUP(TEXT(MAX(FLOOR(H28*10,1)/10,1.5),"0.0")&amp;":"&amp;MAX(O28,710),StrategyLookup,4,FALSE),"TBD"),"TBD")</f>
        <v>0</v>
      </c>
      <c r="T28" s="11">
        <f>IF(ISNUMBER(S28),VLOOKUP(IF(OR(S28=5,S28=6),S28&amp;IF(H28&gt;=3,"+","&lt;"),S28&amp;""),TargetLookup,IF(B28=-1,6,IF(OR(P28="W",P28="A"),4,2)),FALSE),"TBD")</f>
        <v>0</v>
      </c>
      <c r="U28" s="11">
        <f>IF(ISNUMBER(S28),VLOOKUP(IF(OR(S28=5,S28=6),S28&amp;IF(H28&gt;=3,"+","&lt;"),S28&amp;""),TargetLookup,IF(B28=-1,7,IF(OR(P28="W",P28="A"),5,3)),FALSE),"TBD")</f>
        <v>0</v>
      </c>
      <c r="V28" s="18" t="s">
        <v>115</v>
      </c>
      <c r="W28" s="19" t="s">
        <v>116</v>
      </c>
      <c r="X28" s="19" t="s">
        <v>106</v>
      </c>
      <c r="Y28" s="19">
        <f>V28&amp;X28&amp;D28</f>
        <v>0</v>
      </c>
      <c r="Z28" s="11">
        <f t="array" ref="Z28">1-PRODUCT(IF(Students=E28,MGRMoneyMult,1))</f>
        <v>0</v>
      </c>
      <c r="AA28" s="12">
        <f t="array" ref="AA28">1-PRODUCT(IF(Students=E28,RGRMoneyMult,1))</f>
        <v>0</v>
      </c>
      <c r="AB28" s="13">
        <f>COUNTIFS(Students,E28,Results,"Accepted!")+COUNTIFS(Students,E28,Results,"CHOICE!")</f>
        <v>0</v>
      </c>
      <c r="AC28" s="1">
        <f>COUNTIFS(Students,E28,Results,"Deferred")+COUNTIFS(Students,E28,Results,"Waitlist")</f>
        <v>0</v>
      </c>
      <c r="AD28" s="13">
        <f>COUNTIFS(Students,E28,Results,"Denied")</f>
        <v>0</v>
      </c>
      <c r="AE28" s="13">
        <f>AB28+AC28+AD28+COUNTIFS(Students,E28,Results,"Submitted")</f>
        <v>0</v>
      </c>
      <c r="AF28" s="12">
        <v>0.5052590484358751</v>
      </c>
      <c r="AG28" s="12">
        <v>0.4921162661801403</v>
      </c>
      <c r="AH28" s="12">
        <v>0.4057660280747646</v>
      </c>
      <c r="AI28" s="12">
        <v>0.3789133296763576</v>
      </c>
      <c r="AJ28" s="13">
        <f>COUNTIFS(Students,E28,Results,"CHOICE!")</f>
        <v>0</v>
      </c>
      <c r="AK28" s="1">
        <f>COUNTIFS(MoneyYesNo,1,RGRcount,1,Students,E28,Results,"Accepted!")</f>
        <v>0</v>
      </c>
      <c r="AL28" s="1">
        <f>COUNTIFS(MoneyYesNo,1,MGRcount,1,Students,E28,Results,"Accepted!")-AK28</f>
        <v>0</v>
      </c>
      <c r="AM28" s="1">
        <f>COUNTIFS(MoneyYesNo,1,Students,E28,Results,"Accepted!")-AK28-AL28</f>
        <v>0</v>
      </c>
      <c r="AN28" s="13">
        <f>COUNTIFS(Students,E28,Results,"Accepted!")-AK28-AL28-AM28</f>
        <v>0</v>
      </c>
      <c r="AO28" s="1">
        <f>SUMIFS(RGRcount,Students,E28,MoneyYesNo,1)</f>
        <v>0</v>
      </c>
      <c r="AP28" s="1">
        <f>SUMIFS(MGRcount,Students,E28,MoneyYesNo,1)-AO28</f>
        <v>0</v>
      </c>
      <c r="AQ28" s="1">
        <f>SUMIF(Students,E28,MoneyYesNo)-AO28-AP28</f>
        <v>0</v>
      </c>
      <c r="AR28" s="13">
        <f>SUM(AO28,AP28,AQ28)</f>
        <v>0</v>
      </c>
      <c r="AS28" s="1">
        <f>SUMIF(Students,E28,RGRcount)</f>
        <v>0</v>
      </c>
      <c r="AT28" s="1">
        <f>SUMIF(Students,E28,MGRcount)-AS28</f>
        <v>0</v>
      </c>
      <c r="AU28" s="1">
        <f>COUNTIF(Students,E28)-AS28-AT28</f>
        <v>0</v>
      </c>
      <c r="AV28" s="1">
        <f>SUMIF(Students,E28,FarBelowTGRCount)</f>
        <v>0</v>
      </c>
      <c r="AW28" s="47">
        <f>COUNTIF(Students,E28)</f>
        <v>0</v>
      </c>
      <c r="AX28" s="11">
        <f>IF(AW28&gt;0,AE28/AW28,0)</f>
        <v>0</v>
      </c>
      <c r="AY28" s="11">
        <f t="array" ref="AY28">1-PRODUCT(IF(Students=E28,MGRMult,1))</f>
        <v>0</v>
      </c>
      <c r="AZ28" s="12">
        <f t="array" ref="AZ28">1-PRODUCT(IF(Students=E28,RGRMult,1))</f>
        <v>0</v>
      </c>
      <c r="BA28" s="1">
        <f>COUNTIFS(Students,E28,Classes,HailMaryLabel)</f>
        <v>0</v>
      </c>
      <c r="BB28" s="1">
        <f>COUNTIFS(Students,E28,Classes,LongshotLabel)</f>
        <v>0</v>
      </c>
      <c r="BC28" s="1">
        <f>COUNTIFS(Students,E28,Classes,ReachLabel)</f>
        <v>0</v>
      </c>
      <c r="BD28" s="1">
        <f>COUNTIFS(Students,E28,Classes,MatchLabel)</f>
        <v>0</v>
      </c>
      <c r="BE28" s="1">
        <f>COUNTIFS(Students,E28,Classes,SafetyLabel)</f>
        <v>0</v>
      </c>
      <c r="BF28" s="1">
        <f>COUNTIFS(Students,E28,Classes,SecureLabel)</f>
        <v>0</v>
      </c>
      <c r="BG28" s="1">
        <f>COUNTIFS(Students,E28,Classes,SureThingLabel)</f>
        <v>0</v>
      </c>
      <c r="BH28" s="13">
        <f>COUNTIFS(Students,E28,Classes,"Other")</f>
        <v>0</v>
      </c>
      <c r="BI28" s="1">
        <f>COUNTIFS(Students,E28,Classes,ReachLabel,MoneyYesNo,1)</f>
        <v>0</v>
      </c>
      <c r="BJ28" s="1">
        <f>COUNTIFS(Students,E28,Classes,MatchLabel,MoneyYesNo,1)</f>
        <v>0</v>
      </c>
      <c r="BK28" s="1">
        <f>COUNTIFS(Students,E28,Classes,SafetyLabel,MoneyYesNo,1)</f>
        <v>0</v>
      </c>
      <c r="BL28" s="1">
        <f>COUNTIFS(Students,E28,Classes,SecureLabel,MoneyYesNo,1)</f>
        <v>0</v>
      </c>
      <c r="BM28" s="1">
        <f>COUNTIFS(Students,E28,Classes,SureThingLabel,MoneyYesNo,1)</f>
        <v>0</v>
      </c>
      <c r="BN28" s="1">
        <f>SUM(BI28:BM28)</f>
        <v>0</v>
      </c>
      <c r="BO28" s="1">
        <f>SUMIFS(RGRcount,Students,E28,MoneyYesNo,1,Odds,"&gt;=20")</f>
        <v>0</v>
      </c>
      <c r="BP28" s="1">
        <f>SUMIFS(MGRcount,Students,E28,MoneyYesNo,1,Odds,"&gt;=20")-BO28</f>
        <v>0</v>
      </c>
      <c r="BQ28" s="1">
        <f>SUMIFS(MGRcount,Students,E28,MoneyYesNo,1,Odds,"&gt;=50")</f>
        <v>0</v>
      </c>
      <c r="BR28" s="1">
        <f>SUMIFS(RGRcount,Students,E28,MoneyYesNo,1,Odds,"&gt;=10")</f>
        <v>0</v>
      </c>
      <c r="BS28" s="1">
        <f>SUMIFS(MGRcount,Students,E28,MoneyYesNo,1,Odds,"&gt;=10")-BR28</f>
        <v>0</v>
      </c>
      <c r="BT28" s="1">
        <f>COUNTIFS(Students,E28,ILPublic,1)</f>
        <v>0</v>
      </c>
      <c r="BU28" s="1">
        <f>COUNTIFS(Students,E28,ILPublic,1,MoneyYesNo,1,Classes,MatchLabel)+COUNTIFS(Students,E28,ILPublic,1,MoneyYesNo,1,Classes,SafetyLabel)+COUNTIFS(Students,E28,ILPublic,1,MoneyYesNo,1,Classes,SecureLabel)+COUNTIFS(Students,E28,ILPublic,1,MoneyYesNo,1,Classes,SureThingLabel)</f>
        <v>0</v>
      </c>
      <c r="BV28" s="1">
        <f>COUNTIFS(Students,E28,ILPublic,1, Classes,SecureLabel)</f>
        <v>0</v>
      </c>
      <c r="BW28" s="1">
        <f>COUNTIFS(Students,E28,MoneyChicago,1)</f>
        <v>0</v>
      </c>
      <c r="BX28" s="1">
        <f>COUNTIFS(Students,E28,MatchOrUnder,1)</f>
        <v>0</v>
      </c>
      <c r="BY28" s="1">
        <f>SUMIF(Students,E28,MGRcount)</f>
        <v>0</v>
      </c>
      <c r="BZ28" s="1">
        <f>COUNTIFS(Students,E28,BadMoney,1)</f>
        <v>0</v>
      </c>
      <c r="CA28" s="1">
        <f>COUNTIFS(Students,E28,GoldenThree,1)</f>
        <v>0</v>
      </c>
      <c r="CB28" s="1">
        <f>COUNTIFS(Students,E28,NCESids,147536)</f>
        <v>0</v>
      </c>
      <c r="CC28" s="1">
        <f>COUNTIFS(Students,E28,NCESids,144157)+COUNTIFS(Students,E28,NCESids,144166)+COUNTIFS(Students,E28,NCESids,144175)+COUNTIFS(Students,E28,NCESids,144184)+COUNTIFS(Students,E28,NCESids,144193)+COUNTIFS(Students,E28,NCESids,144209)+COUNTIFS(Students,E28,NCESids,144218)</f>
        <v>0</v>
      </c>
      <c r="CD28" s="1">
        <f>COUNTIFS(Students,E28,Results,"Accepted!",FarBelowTGRCount,0)+COUNTIFS(Students,E28,Results,"CHOICE!",FarBelowTGRCount,0)</f>
        <v>0</v>
      </c>
    </row>
    <row r="29" spans="1:82">
      <c r="A29" s="18" t="s">
        <v>96</v>
      </c>
      <c r="B29" s="19">
        <v>0</v>
      </c>
      <c r="C29" s="18" t="s">
        <v>97</v>
      </c>
      <c r="D29" s="18" t="s">
        <v>199</v>
      </c>
      <c r="E29" s="19">
        <v>22165076</v>
      </c>
      <c r="F29" s="19" t="s">
        <v>200</v>
      </c>
      <c r="G29" s="10" t="s">
        <v>201</v>
      </c>
      <c r="H29" s="46">
        <v>3.788</v>
      </c>
      <c r="I29" s="46">
        <v>3.988</v>
      </c>
      <c r="J29" s="1">
        <v>29</v>
      </c>
      <c r="K29" s="1">
        <f>IF(ISNUMBER(I29),ROUND(583.58+106.27*I29,-1),"TBD")</f>
        <v>0</v>
      </c>
      <c r="L29" s="1">
        <v>1110</v>
      </c>
      <c r="M29" s="1">
        <f>IF(ISNUMBER(L29),L29,IF(ISNUMBER(K29),K29,"TBD"))</f>
        <v>0</v>
      </c>
      <c r="N29" s="1">
        <f>IF(ISNUMBER(J29),VLOOKUP(J29,ACTtoSAT,2,FALSE),"TBD")</f>
        <v>0</v>
      </c>
      <c r="O29" s="1">
        <f>IF(ISNUMBER(M29),IF(ISNUMBER(N29),MAX(M29,N29),M29),IF(ISNUMBER(N29),N29,"TBD"))</f>
        <v>0</v>
      </c>
      <c r="P29" s="1" t="s">
        <v>101</v>
      </c>
      <c r="Q29" s="1" t="s">
        <v>123</v>
      </c>
      <c r="R29" s="1" t="s">
        <v>124</v>
      </c>
      <c r="S29" s="1">
        <f>IF(AND(H29&lt;&gt;0,O29&lt;&gt;0),IF(ISNUMBER(VLOOKUP(TEXT(MAX(FLOOR(H29*10,1)/10,1.5),"0.0")&amp;":"&amp;MAX(O29,710),StrategyLookup,4,FALSE)),VLOOKUP(TEXT(MAX(FLOOR(H29*10,1)/10,1.5),"0.0")&amp;":"&amp;MAX(O29,710),StrategyLookup,4,FALSE),"TBD"),"TBD")</f>
        <v>0</v>
      </c>
      <c r="T29" s="11">
        <f>IF(ISNUMBER(S29),VLOOKUP(IF(OR(S29=5,S29=6),S29&amp;IF(H29&gt;=3,"+","&lt;"),S29&amp;""),TargetLookup,IF(B29=-1,6,IF(OR(P29="W",P29="A"),4,2)),FALSE),"TBD")</f>
        <v>0</v>
      </c>
      <c r="U29" s="11">
        <f>IF(ISNUMBER(S29),VLOOKUP(IF(OR(S29=5,S29=6),S29&amp;IF(H29&gt;=3,"+","&lt;"),S29&amp;""),TargetLookup,IF(B29=-1,7,IF(OR(P29="W",P29="A"),5,3)),FALSE),"TBD")</f>
        <v>0</v>
      </c>
      <c r="V29" s="18" t="s">
        <v>115</v>
      </c>
      <c r="W29" s="19" t="s">
        <v>146</v>
      </c>
      <c r="X29" s="19" t="s">
        <v>106</v>
      </c>
      <c r="Y29" s="19">
        <f>V29&amp;X29&amp;D29</f>
        <v>0</v>
      </c>
      <c r="Z29" s="11">
        <f t="array" ref="Z29">1-PRODUCT(IF(Students=E29,MGRMoneyMult,1))</f>
        <v>0</v>
      </c>
      <c r="AA29" s="12">
        <f t="array" ref="AA29">1-PRODUCT(IF(Students=E29,RGRMoneyMult,1))</f>
        <v>0</v>
      </c>
      <c r="AB29" s="13">
        <f>COUNTIFS(Students,E29,Results,"Accepted!")+COUNTIFS(Students,E29,Results,"CHOICE!")</f>
        <v>0</v>
      </c>
      <c r="AC29" s="1">
        <f>COUNTIFS(Students,E29,Results,"Deferred")+COUNTIFS(Students,E29,Results,"Waitlist")</f>
        <v>0</v>
      </c>
      <c r="AD29" s="13">
        <f>COUNTIFS(Students,E29,Results,"Denied")</f>
        <v>0</v>
      </c>
      <c r="AE29" s="13">
        <f>AB29+AC29+AD29+COUNTIFS(Students,E29,Results,"Submitted")</f>
        <v>0</v>
      </c>
      <c r="AF29" s="12">
        <v>0.9191279369176114</v>
      </c>
      <c r="AG29" s="12">
        <v>0.9099682545577144</v>
      </c>
      <c r="AH29" s="12">
        <v>0.8740909539070105</v>
      </c>
      <c r="AI29" s="12">
        <v>0.8612790905436192</v>
      </c>
      <c r="AJ29" s="13">
        <f>COUNTIFS(Students,E29,Results,"CHOICE!")</f>
        <v>0</v>
      </c>
      <c r="AK29" s="1">
        <f>COUNTIFS(MoneyYesNo,1,RGRcount,1,Students,E29,Results,"Accepted!")</f>
        <v>0</v>
      </c>
      <c r="AL29" s="1">
        <f>COUNTIFS(MoneyYesNo,1,MGRcount,1,Students,E29,Results,"Accepted!")-AK29</f>
        <v>0</v>
      </c>
      <c r="AM29" s="1">
        <f>COUNTIFS(MoneyYesNo,1,Students,E29,Results,"Accepted!")-AK29-AL29</f>
        <v>0</v>
      </c>
      <c r="AN29" s="13">
        <f>COUNTIFS(Students,E29,Results,"Accepted!")-AK29-AL29-AM29</f>
        <v>0</v>
      </c>
      <c r="AO29" s="1">
        <f>SUMIFS(RGRcount,Students,E29,MoneyYesNo,1)</f>
        <v>0</v>
      </c>
      <c r="AP29" s="1">
        <f>SUMIFS(MGRcount,Students,E29,MoneyYesNo,1)-AO29</f>
        <v>0</v>
      </c>
      <c r="AQ29" s="1">
        <f>SUMIF(Students,E29,MoneyYesNo)-AO29-AP29</f>
        <v>0</v>
      </c>
      <c r="AR29" s="13">
        <f>SUM(AO29,AP29,AQ29)</f>
        <v>0</v>
      </c>
      <c r="AS29" s="1">
        <f>SUMIF(Students,E29,RGRcount)</f>
        <v>0</v>
      </c>
      <c r="AT29" s="1">
        <f>SUMIF(Students,E29,MGRcount)-AS29</f>
        <v>0</v>
      </c>
      <c r="AU29" s="1">
        <f>COUNTIF(Students,E29)-AS29-AT29</f>
        <v>0</v>
      </c>
      <c r="AV29" s="1">
        <f>SUMIF(Students,E29,FarBelowTGRCount)</f>
        <v>0</v>
      </c>
      <c r="AW29" s="47">
        <f>COUNTIF(Students,E29)</f>
        <v>0</v>
      </c>
      <c r="AX29" s="11">
        <f>IF(AW29&gt;0,AE29/AW29,0)</f>
        <v>0</v>
      </c>
      <c r="AY29" s="11">
        <f t="array" ref="AY29">1-PRODUCT(IF(Students=E29,MGRMult,1))</f>
        <v>0</v>
      </c>
      <c r="AZ29" s="12">
        <f t="array" ref="AZ29">1-PRODUCT(IF(Students=E29,RGRMult,1))</f>
        <v>0</v>
      </c>
      <c r="BA29" s="1">
        <f>COUNTIFS(Students,E29,Classes,HailMaryLabel)</f>
        <v>0</v>
      </c>
      <c r="BB29" s="1">
        <f>COUNTIFS(Students,E29,Classes,LongshotLabel)</f>
        <v>0</v>
      </c>
      <c r="BC29" s="1">
        <f>COUNTIFS(Students,E29,Classes,ReachLabel)</f>
        <v>0</v>
      </c>
      <c r="BD29" s="1">
        <f>COUNTIFS(Students,E29,Classes,MatchLabel)</f>
        <v>0</v>
      </c>
      <c r="BE29" s="1">
        <f>COUNTIFS(Students,E29,Classes,SafetyLabel)</f>
        <v>0</v>
      </c>
      <c r="BF29" s="1">
        <f>COUNTIFS(Students,E29,Classes,SecureLabel)</f>
        <v>0</v>
      </c>
      <c r="BG29" s="1">
        <f>COUNTIFS(Students,E29,Classes,SureThingLabel)</f>
        <v>0</v>
      </c>
      <c r="BH29" s="13">
        <f>COUNTIFS(Students,E29,Classes,"Other")</f>
        <v>0</v>
      </c>
      <c r="BI29" s="1">
        <f>COUNTIFS(Students,E29,Classes,ReachLabel,MoneyYesNo,1)</f>
        <v>0</v>
      </c>
      <c r="BJ29" s="1">
        <f>COUNTIFS(Students,E29,Classes,MatchLabel,MoneyYesNo,1)</f>
        <v>0</v>
      </c>
      <c r="BK29" s="1">
        <f>COUNTIFS(Students,E29,Classes,SafetyLabel,MoneyYesNo,1)</f>
        <v>0</v>
      </c>
      <c r="BL29" s="1">
        <f>COUNTIFS(Students,E29,Classes,SecureLabel,MoneyYesNo,1)</f>
        <v>0</v>
      </c>
      <c r="BM29" s="1">
        <f>COUNTIFS(Students,E29,Classes,SureThingLabel,MoneyYesNo,1)</f>
        <v>0</v>
      </c>
      <c r="BN29" s="1">
        <f>SUM(BI29:BM29)</f>
        <v>0</v>
      </c>
      <c r="BO29" s="1">
        <f>SUMIFS(RGRcount,Students,E29,MoneyYesNo,1,Odds,"&gt;=20")</f>
        <v>0</v>
      </c>
      <c r="BP29" s="1">
        <f>SUMIFS(MGRcount,Students,E29,MoneyYesNo,1,Odds,"&gt;=20")-BO29</f>
        <v>0</v>
      </c>
      <c r="BQ29" s="1">
        <f>SUMIFS(MGRcount,Students,E29,MoneyYesNo,1,Odds,"&gt;=50")</f>
        <v>0</v>
      </c>
      <c r="BR29" s="1">
        <f>SUMIFS(RGRcount,Students,E29,MoneyYesNo,1,Odds,"&gt;=10")</f>
        <v>0</v>
      </c>
      <c r="BS29" s="1">
        <f>SUMIFS(MGRcount,Students,E29,MoneyYesNo,1,Odds,"&gt;=10")-BR29</f>
        <v>0</v>
      </c>
      <c r="BT29" s="1">
        <f>COUNTIFS(Students,E29,ILPublic,1)</f>
        <v>0</v>
      </c>
      <c r="BU29" s="1">
        <f>COUNTIFS(Students,E29,ILPublic,1,MoneyYesNo,1,Classes,MatchLabel)+COUNTIFS(Students,E29,ILPublic,1,MoneyYesNo,1,Classes,SafetyLabel)+COUNTIFS(Students,E29,ILPublic,1,MoneyYesNo,1,Classes,SecureLabel)+COUNTIFS(Students,E29,ILPublic,1,MoneyYesNo,1,Classes,SureThingLabel)</f>
        <v>0</v>
      </c>
      <c r="BV29" s="1">
        <f>COUNTIFS(Students,E29,ILPublic,1, Classes,SecureLabel)</f>
        <v>0</v>
      </c>
      <c r="BW29" s="1">
        <f>COUNTIFS(Students,E29,MoneyChicago,1)</f>
        <v>0</v>
      </c>
      <c r="BX29" s="1">
        <f>COUNTIFS(Students,E29,MatchOrUnder,1)</f>
        <v>0</v>
      </c>
      <c r="BY29" s="1">
        <f>SUMIF(Students,E29,MGRcount)</f>
        <v>0</v>
      </c>
      <c r="BZ29" s="1">
        <f>COUNTIFS(Students,E29,BadMoney,1)</f>
        <v>0</v>
      </c>
      <c r="CA29" s="1">
        <f>COUNTIFS(Students,E29,GoldenThree,1)</f>
        <v>0</v>
      </c>
      <c r="CB29" s="1">
        <f>COUNTIFS(Students,E29,NCESids,147536)</f>
        <v>0</v>
      </c>
      <c r="CC29" s="1">
        <f>COUNTIFS(Students,E29,NCESids,144157)+COUNTIFS(Students,E29,NCESids,144166)+COUNTIFS(Students,E29,NCESids,144175)+COUNTIFS(Students,E29,NCESids,144184)+COUNTIFS(Students,E29,NCESids,144193)+COUNTIFS(Students,E29,NCESids,144209)+COUNTIFS(Students,E29,NCESids,144218)</f>
        <v>0</v>
      </c>
      <c r="CD29" s="1">
        <f>COUNTIFS(Students,E29,Results,"Accepted!",FarBelowTGRCount,0)+COUNTIFS(Students,E29,Results,"CHOICE!",FarBelowTGRCount,0)</f>
        <v>0</v>
      </c>
    </row>
    <row r="30" spans="1:82">
      <c r="A30" s="18" t="s">
        <v>96</v>
      </c>
      <c r="B30" s="19">
        <v>0</v>
      </c>
      <c r="C30" s="18" t="s">
        <v>153</v>
      </c>
      <c r="D30" s="18" t="s">
        <v>202</v>
      </c>
      <c r="E30" s="19">
        <v>30084672</v>
      </c>
      <c r="F30" s="19" t="s">
        <v>203</v>
      </c>
      <c r="G30" s="10" t="s">
        <v>204</v>
      </c>
      <c r="H30" s="46">
        <v>1.9915</v>
      </c>
      <c r="I30" s="46">
        <v>2.1915</v>
      </c>
      <c r="J30" s="1">
        <v>15</v>
      </c>
      <c r="K30" s="1">
        <f>IF(ISNUMBER(I30),ROUND(583.58+106.27*I30,-1),"TBD")</f>
        <v>0</v>
      </c>
      <c r="L30" s="1">
        <v>1150</v>
      </c>
      <c r="M30" s="1">
        <f>IF(ISNUMBER(L30),L30,IF(ISNUMBER(K30),K30,"TBD"))</f>
        <v>0</v>
      </c>
      <c r="N30" s="1">
        <f>IF(ISNUMBER(J30),VLOOKUP(J30,ACTtoSAT,2,FALSE),"TBD")</f>
        <v>0</v>
      </c>
      <c r="O30" s="1">
        <f>IF(ISNUMBER(M30),IF(ISNUMBER(N30),MAX(M30,N30),M30),IF(ISNUMBER(N30),N30,"TBD"))</f>
        <v>0</v>
      </c>
      <c r="P30" s="1" t="s">
        <v>101</v>
      </c>
      <c r="Q30" s="1" t="s">
        <v>102</v>
      </c>
      <c r="R30" s="1" t="s">
        <v>103</v>
      </c>
      <c r="S30" s="1">
        <f>IF(AND(H30&lt;&gt;0,O30&lt;&gt;0),IF(ISNUMBER(VLOOKUP(TEXT(MAX(FLOOR(H30*10,1)/10,1.5),"0.0")&amp;":"&amp;MAX(O30,710),StrategyLookup,4,FALSE)),VLOOKUP(TEXT(MAX(FLOOR(H30*10,1)/10,1.5),"0.0")&amp;":"&amp;MAX(O30,710),StrategyLookup,4,FALSE),"TBD"),"TBD")</f>
        <v>0</v>
      </c>
      <c r="T30" s="11">
        <f>IF(ISNUMBER(S30),VLOOKUP(IF(OR(S30=5,S30=6),S30&amp;IF(H30&gt;=3,"+","&lt;"),S30&amp;""),TargetLookup,IF(B30=-1,6,IF(OR(P30="W",P30="A"),4,2)),FALSE),"TBD")</f>
        <v>0</v>
      </c>
      <c r="U30" s="11">
        <f>IF(ISNUMBER(S30),VLOOKUP(IF(OR(S30=5,S30=6),S30&amp;IF(H30&gt;=3,"+","&lt;"),S30&amp;""),TargetLookup,IF(B30=-1,7,IF(OR(P30="W",P30="A"),5,3)),FALSE),"TBD")</f>
        <v>0</v>
      </c>
      <c r="V30" s="18" t="s">
        <v>104</v>
      </c>
      <c r="W30" s="19" t="s">
        <v>116</v>
      </c>
      <c r="X30" s="19" t="s">
        <v>106</v>
      </c>
      <c r="Y30" s="19">
        <f>V30&amp;X30&amp;D30</f>
        <v>0</v>
      </c>
      <c r="Z30" s="11">
        <f t="array" ref="Z30">1-PRODUCT(IF(Students=E30,MGRMoneyMult,1))</f>
        <v>0</v>
      </c>
      <c r="AA30" s="12">
        <f t="array" ref="AA30">1-PRODUCT(IF(Students=E30,RGRMoneyMult,1))</f>
        <v>0</v>
      </c>
      <c r="AB30" s="13">
        <f>COUNTIFS(Students,E30,Results,"Accepted!")+COUNTIFS(Students,E30,Results,"CHOICE!")</f>
        <v>0</v>
      </c>
      <c r="AC30" s="1">
        <f>COUNTIFS(Students,E30,Results,"Deferred")+COUNTIFS(Students,E30,Results,"Waitlist")</f>
        <v>0</v>
      </c>
      <c r="AD30" s="13">
        <f>COUNTIFS(Students,E30,Results,"Denied")</f>
        <v>0</v>
      </c>
      <c r="AE30" s="13">
        <f>AB30+AC30+AD30+COUNTIFS(Students,E30,Results,"Submitted")</f>
        <v>0</v>
      </c>
      <c r="AF30" s="12">
        <v>0.283636</v>
      </c>
      <c r="AG30" s="12">
        <v>0.12</v>
      </c>
      <c r="AH30" s="12">
        <v>0.34</v>
      </c>
      <c r="AI30" s="12">
        <v>0.34</v>
      </c>
      <c r="AJ30" s="13">
        <f>COUNTIFS(Students,E30,Results,"CHOICE!")</f>
        <v>0</v>
      </c>
      <c r="AK30" s="1">
        <f>COUNTIFS(MoneyYesNo,1,RGRcount,1,Students,E30,Results,"Accepted!")</f>
        <v>0</v>
      </c>
      <c r="AL30" s="1">
        <f>COUNTIFS(MoneyYesNo,1,MGRcount,1,Students,E30,Results,"Accepted!")-AK30</f>
        <v>0</v>
      </c>
      <c r="AM30" s="1">
        <f>COUNTIFS(MoneyYesNo,1,Students,E30,Results,"Accepted!")-AK30-AL30</f>
        <v>0</v>
      </c>
      <c r="AN30" s="13">
        <f>COUNTIFS(Students,E30,Results,"Accepted!")-AK30-AL30-AM30</f>
        <v>0</v>
      </c>
      <c r="AO30" s="1">
        <f>SUMIFS(RGRcount,Students,E30,MoneyYesNo,1)</f>
        <v>0</v>
      </c>
      <c r="AP30" s="1">
        <f>SUMIFS(MGRcount,Students,E30,MoneyYesNo,1)-AO30</f>
        <v>0</v>
      </c>
      <c r="AQ30" s="1">
        <f>SUMIF(Students,E30,MoneyYesNo)-AO30-AP30</f>
        <v>0</v>
      </c>
      <c r="AR30" s="13">
        <f>SUM(AO30,AP30,AQ30)</f>
        <v>0</v>
      </c>
      <c r="AS30" s="1">
        <f>SUMIF(Students,E30,RGRcount)</f>
        <v>0</v>
      </c>
      <c r="AT30" s="1">
        <f>SUMIF(Students,E30,MGRcount)-AS30</f>
        <v>0</v>
      </c>
      <c r="AU30" s="1">
        <f>COUNTIF(Students,E30)-AS30-AT30</f>
        <v>0</v>
      </c>
      <c r="AV30" s="1">
        <f>SUMIF(Students,E30,FarBelowTGRCount)</f>
        <v>0</v>
      </c>
      <c r="AW30" s="47">
        <f>COUNTIF(Students,E30)</f>
        <v>0</v>
      </c>
      <c r="AX30" s="11">
        <f>IF(AW30&gt;0,AE30/AW30,0)</f>
        <v>0</v>
      </c>
      <c r="AY30" s="11">
        <f t="array" ref="AY30">1-PRODUCT(IF(Students=E30,MGRMult,1))</f>
        <v>0</v>
      </c>
      <c r="AZ30" s="12">
        <f t="array" ref="AZ30">1-PRODUCT(IF(Students=E30,RGRMult,1))</f>
        <v>0</v>
      </c>
      <c r="BA30" s="1">
        <f>COUNTIFS(Students,E30,Classes,HailMaryLabel)</f>
        <v>0</v>
      </c>
      <c r="BB30" s="1">
        <f>COUNTIFS(Students,E30,Classes,LongshotLabel)</f>
        <v>0</v>
      </c>
      <c r="BC30" s="1">
        <f>COUNTIFS(Students,E30,Classes,ReachLabel)</f>
        <v>0</v>
      </c>
      <c r="BD30" s="1">
        <f>COUNTIFS(Students,E30,Classes,MatchLabel)</f>
        <v>0</v>
      </c>
      <c r="BE30" s="1">
        <f>COUNTIFS(Students,E30,Classes,SafetyLabel)</f>
        <v>0</v>
      </c>
      <c r="BF30" s="1">
        <f>COUNTIFS(Students,E30,Classes,SecureLabel)</f>
        <v>0</v>
      </c>
      <c r="BG30" s="1">
        <f>COUNTIFS(Students,E30,Classes,SureThingLabel)</f>
        <v>0</v>
      </c>
      <c r="BH30" s="13">
        <f>COUNTIFS(Students,E30,Classes,"Other")</f>
        <v>0</v>
      </c>
      <c r="BI30" s="1">
        <f>COUNTIFS(Students,E30,Classes,ReachLabel,MoneyYesNo,1)</f>
        <v>0</v>
      </c>
      <c r="BJ30" s="1">
        <f>COUNTIFS(Students,E30,Classes,MatchLabel,MoneyYesNo,1)</f>
        <v>0</v>
      </c>
      <c r="BK30" s="1">
        <f>COUNTIFS(Students,E30,Classes,SafetyLabel,MoneyYesNo,1)</f>
        <v>0</v>
      </c>
      <c r="BL30" s="1">
        <f>COUNTIFS(Students,E30,Classes,SecureLabel,MoneyYesNo,1)</f>
        <v>0</v>
      </c>
      <c r="BM30" s="1">
        <f>COUNTIFS(Students,E30,Classes,SureThingLabel,MoneyYesNo,1)</f>
        <v>0</v>
      </c>
      <c r="BN30" s="1">
        <f>SUM(BI30:BM30)</f>
        <v>0</v>
      </c>
      <c r="BO30" s="1">
        <f>SUMIFS(RGRcount,Students,E30,MoneyYesNo,1,Odds,"&gt;=20")</f>
        <v>0</v>
      </c>
      <c r="BP30" s="1">
        <f>SUMIFS(MGRcount,Students,E30,MoneyYesNo,1,Odds,"&gt;=20")-BO30</f>
        <v>0</v>
      </c>
      <c r="BQ30" s="1">
        <f>SUMIFS(MGRcount,Students,E30,MoneyYesNo,1,Odds,"&gt;=50")</f>
        <v>0</v>
      </c>
      <c r="BR30" s="1">
        <f>SUMIFS(RGRcount,Students,E30,MoneyYesNo,1,Odds,"&gt;=10")</f>
        <v>0</v>
      </c>
      <c r="BS30" s="1">
        <f>SUMIFS(MGRcount,Students,E30,MoneyYesNo,1,Odds,"&gt;=10")-BR30</f>
        <v>0</v>
      </c>
      <c r="BT30" s="1">
        <f>COUNTIFS(Students,E30,ILPublic,1)</f>
        <v>0</v>
      </c>
      <c r="BU30" s="1">
        <f>COUNTIFS(Students,E30,ILPublic,1,MoneyYesNo,1,Classes,MatchLabel)+COUNTIFS(Students,E30,ILPublic,1,MoneyYesNo,1,Classes,SafetyLabel)+COUNTIFS(Students,E30,ILPublic,1,MoneyYesNo,1,Classes,SecureLabel)+COUNTIFS(Students,E30,ILPublic,1,MoneyYesNo,1,Classes,SureThingLabel)</f>
        <v>0</v>
      </c>
      <c r="BV30" s="1">
        <f>COUNTIFS(Students,E30,ILPublic,1, Classes,SecureLabel)</f>
        <v>0</v>
      </c>
      <c r="BW30" s="1">
        <f>COUNTIFS(Students,E30,MoneyChicago,1)</f>
        <v>0</v>
      </c>
      <c r="BX30" s="1">
        <f>COUNTIFS(Students,E30,MatchOrUnder,1)</f>
        <v>0</v>
      </c>
      <c r="BY30" s="1">
        <f>SUMIF(Students,E30,MGRcount)</f>
        <v>0</v>
      </c>
      <c r="BZ30" s="1">
        <f>COUNTIFS(Students,E30,BadMoney,1)</f>
        <v>0</v>
      </c>
      <c r="CA30" s="1">
        <f>COUNTIFS(Students,E30,GoldenThree,1)</f>
        <v>0</v>
      </c>
      <c r="CB30" s="1">
        <f>COUNTIFS(Students,E30,NCESids,147536)</f>
        <v>0</v>
      </c>
      <c r="CC30" s="1">
        <f>COUNTIFS(Students,E30,NCESids,144157)+COUNTIFS(Students,E30,NCESids,144166)+COUNTIFS(Students,E30,NCESids,144175)+COUNTIFS(Students,E30,NCESids,144184)+COUNTIFS(Students,E30,NCESids,144193)+COUNTIFS(Students,E30,NCESids,144209)+COUNTIFS(Students,E30,NCESids,144218)</f>
        <v>0</v>
      </c>
      <c r="CD30" s="1">
        <f>COUNTIFS(Students,E30,Results,"Accepted!",FarBelowTGRCount,0)+COUNTIFS(Students,E30,Results,"CHOICE!",FarBelowTGRCount,0)</f>
        <v>0</v>
      </c>
    </row>
    <row r="31" spans="1:82">
      <c r="A31" s="18" t="s">
        <v>96</v>
      </c>
      <c r="B31" s="19">
        <v>-1</v>
      </c>
      <c r="C31" s="18" t="s">
        <v>153</v>
      </c>
      <c r="D31" s="18" t="s">
        <v>205</v>
      </c>
      <c r="E31" s="19">
        <v>24230510</v>
      </c>
      <c r="F31" s="19" t="s">
        <v>206</v>
      </c>
      <c r="G31" s="10" t="s">
        <v>207</v>
      </c>
      <c r="H31" s="46">
        <v>2.9385</v>
      </c>
      <c r="I31" s="46">
        <v>3.1385</v>
      </c>
      <c r="J31" s="1">
        <v>16</v>
      </c>
      <c r="K31" s="1">
        <f>IF(ISNUMBER(I31),ROUND(583.58+106.27*I31,-1),"TBD")</f>
        <v>0</v>
      </c>
      <c r="L31" s="1">
        <v>1390</v>
      </c>
      <c r="M31" s="1">
        <f>IF(ISNUMBER(L31),L31,IF(ISNUMBER(K31),K31,"TBD"))</f>
        <v>0</v>
      </c>
      <c r="N31" s="1">
        <f>IF(ISNUMBER(J31),VLOOKUP(J31,ACTtoSAT,2,FALSE),"TBD")</f>
        <v>0</v>
      </c>
      <c r="O31" s="1">
        <f>IF(ISNUMBER(M31),IF(ISNUMBER(N31),MAX(M31,N31),M31),IF(ISNUMBER(N31),N31,"TBD"))</f>
        <v>0</v>
      </c>
      <c r="P31" s="1" t="s">
        <v>101</v>
      </c>
      <c r="Q31" s="1" t="s">
        <v>102</v>
      </c>
      <c r="R31" s="1" t="s">
        <v>103</v>
      </c>
      <c r="S31" s="1">
        <f>IF(AND(H31&lt;&gt;0,O31&lt;&gt;0),IF(ISNUMBER(VLOOKUP(TEXT(MAX(FLOOR(H31*10,1)/10,1.5),"0.0")&amp;":"&amp;MAX(O31,710),StrategyLookup,4,FALSE)),VLOOKUP(TEXT(MAX(FLOOR(H31*10,1)/10,1.5),"0.0")&amp;":"&amp;MAX(O31,710),StrategyLookup,4,FALSE),"TBD"),"TBD")</f>
        <v>0</v>
      </c>
      <c r="T31" s="11">
        <f>IF(ISNUMBER(S31),VLOOKUP(IF(OR(S31=5,S31=6),S31&amp;IF(H31&gt;=3,"+","&lt;"),S31&amp;""),TargetLookup,IF(B31=-1,6,IF(OR(P31="W",P31="A"),4,2)),FALSE),"TBD")</f>
        <v>0</v>
      </c>
      <c r="U31" s="11">
        <f>IF(ISNUMBER(S31),VLOOKUP(IF(OR(S31=5,S31=6),S31&amp;IF(H31&gt;=3,"+","&lt;"),S31&amp;""),TargetLookup,IF(B31=-1,7,IF(OR(P31="W",P31="A"),5,3)),FALSE),"TBD")</f>
        <v>0</v>
      </c>
      <c r="V31" s="18" t="s">
        <v>110</v>
      </c>
      <c r="W31" s="19" t="s">
        <v>111</v>
      </c>
      <c r="X31" s="19" t="s">
        <v>106</v>
      </c>
      <c r="Y31" s="19">
        <f>V31&amp;X31&amp;D31</f>
        <v>0</v>
      </c>
      <c r="Z31" s="11">
        <f t="array" ref="Z31">1-PRODUCT(IF(Students=E31,MGRMoneyMult,1))</f>
        <v>0</v>
      </c>
      <c r="AA31" s="12">
        <f t="array" ref="AA31">1-PRODUCT(IF(Students=E31,RGRMoneyMult,1))</f>
        <v>0</v>
      </c>
      <c r="AB31" s="13">
        <f>COUNTIFS(Students,E31,Results,"Accepted!")+COUNTIFS(Students,E31,Results,"CHOICE!")</f>
        <v>0</v>
      </c>
      <c r="AC31" s="1">
        <f>COUNTIFS(Students,E31,Results,"Deferred")+COUNTIFS(Students,E31,Results,"Waitlist")</f>
        <v>0</v>
      </c>
      <c r="AD31" s="13">
        <f>COUNTIFS(Students,E31,Results,"Denied")</f>
        <v>0</v>
      </c>
      <c r="AE31" s="13">
        <f>AB31+AC31+AD31+COUNTIFS(Students,E31,Results,"Submitted")</f>
        <v>0</v>
      </c>
      <c r="AF31" s="12">
        <v>0.70828867366432</v>
      </c>
      <c r="AG31" s="12">
        <v>0.5388673664320001</v>
      </c>
      <c r="AH31" s="12">
        <v>0.4815158723117697</v>
      </c>
      <c r="AI31" s="12">
        <v>0.4440241919977626</v>
      </c>
      <c r="AJ31" s="13">
        <f>COUNTIFS(Students,E31,Results,"CHOICE!")</f>
        <v>0</v>
      </c>
      <c r="AK31" s="1">
        <f>COUNTIFS(MoneyYesNo,1,RGRcount,1,Students,E31,Results,"Accepted!")</f>
        <v>0</v>
      </c>
      <c r="AL31" s="1">
        <f>COUNTIFS(MoneyYesNo,1,MGRcount,1,Students,E31,Results,"Accepted!")-AK31</f>
        <v>0</v>
      </c>
      <c r="AM31" s="1">
        <f>COUNTIFS(MoneyYesNo,1,Students,E31,Results,"Accepted!")-AK31-AL31</f>
        <v>0</v>
      </c>
      <c r="AN31" s="13">
        <f>COUNTIFS(Students,E31,Results,"Accepted!")-AK31-AL31-AM31</f>
        <v>0</v>
      </c>
      <c r="AO31" s="1">
        <f>SUMIFS(RGRcount,Students,E31,MoneyYesNo,1)</f>
        <v>0</v>
      </c>
      <c r="AP31" s="1">
        <f>SUMIFS(MGRcount,Students,E31,MoneyYesNo,1)-AO31</f>
        <v>0</v>
      </c>
      <c r="AQ31" s="1">
        <f>SUMIF(Students,E31,MoneyYesNo)-AO31-AP31</f>
        <v>0</v>
      </c>
      <c r="AR31" s="13">
        <f>SUM(AO31,AP31,AQ31)</f>
        <v>0</v>
      </c>
      <c r="AS31" s="1">
        <f>SUMIF(Students,E31,RGRcount)</f>
        <v>0</v>
      </c>
      <c r="AT31" s="1">
        <f>SUMIF(Students,E31,MGRcount)-AS31</f>
        <v>0</v>
      </c>
      <c r="AU31" s="1">
        <f>COUNTIF(Students,E31)-AS31-AT31</f>
        <v>0</v>
      </c>
      <c r="AV31" s="1">
        <f>SUMIF(Students,E31,FarBelowTGRCount)</f>
        <v>0</v>
      </c>
      <c r="AW31" s="47">
        <f>COUNTIF(Students,E31)</f>
        <v>0</v>
      </c>
      <c r="AX31" s="11">
        <f>IF(AW31&gt;0,AE31/AW31,0)</f>
        <v>0</v>
      </c>
      <c r="AY31" s="11">
        <f t="array" ref="AY31">1-PRODUCT(IF(Students=E31,MGRMult,1))</f>
        <v>0</v>
      </c>
      <c r="AZ31" s="12">
        <f t="array" ref="AZ31">1-PRODUCT(IF(Students=E31,RGRMult,1))</f>
        <v>0</v>
      </c>
      <c r="BA31" s="1">
        <f>COUNTIFS(Students,E31,Classes,HailMaryLabel)</f>
        <v>0</v>
      </c>
      <c r="BB31" s="1">
        <f>COUNTIFS(Students,E31,Classes,LongshotLabel)</f>
        <v>0</v>
      </c>
      <c r="BC31" s="1">
        <f>COUNTIFS(Students,E31,Classes,ReachLabel)</f>
        <v>0</v>
      </c>
      <c r="BD31" s="1">
        <f>COUNTIFS(Students,E31,Classes,MatchLabel)</f>
        <v>0</v>
      </c>
      <c r="BE31" s="1">
        <f>COUNTIFS(Students,E31,Classes,SafetyLabel)</f>
        <v>0</v>
      </c>
      <c r="BF31" s="1">
        <f>COUNTIFS(Students,E31,Classes,SecureLabel)</f>
        <v>0</v>
      </c>
      <c r="BG31" s="1">
        <f>COUNTIFS(Students,E31,Classes,SureThingLabel)</f>
        <v>0</v>
      </c>
      <c r="BH31" s="13">
        <f>COUNTIFS(Students,E31,Classes,"Other")</f>
        <v>0</v>
      </c>
      <c r="BI31" s="1">
        <f>COUNTIFS(Students,E31,Classes,ReachLabel,MoneyYesNo,1)</f>
        <v>0</v>
      </c>
      <c r="BJ31" s="1">
        <f>COUNTIFS(Students,E31,Classes,MatchLabel,MoneyYesNo,1)</f>
        <v>0</v>
      </c>
      <c r="BK31" s="1">
        <f>COUNTIFS(Students,E31,Classes,SafetyLabel,MoneyYesNo,1)</f>
        <v>0</v>
      </c>
      <c r="BL31" s="1">
        <f>COUNTIFS(Students,E31,Classes,SecureLabel,MoneyYesNo,1)</f>
        <v>0</v>
      </c>
      <c r="BM31" s="1">
        <f>COUNTIFS(Students,E31,Classes,SureThingLabel,MoneyYesNo,1)</f>
        <v>0</v>
      </c>
      <c r="BN31" s="1">
        <f>SUM(BI31:BM31)</f>
        <v>0</v>
      </c>
      <c r="BO31" s="1">
        <f>SUMIFS(RGRcount,Students,E31,MoneyYesNo,1,Odds,"&gt;=20")</f>
        <v>0</v>
      </c>
      <c r="BP31" s="1">
        <f>SUMIFS(MGRcount,Students,E31,MoneyYesNo,1,Odds,"&gt;=20")-BO31</f>
        <v>0</v>
      </c>
      <c r="BQ31" s="1">
        <f>SUMIFS(MGRcount,Students,E31,MoneyYesNo,1,Odds,"&gt;=50")</f>
        <v>0</v>
      </c>
      <c r="BR31" s="1">
        <f>SUMIFS(RGRcount,Students,E31,MoneyYesNo,1,Odds,"&gt;=10")</f>
        <v>0</v>
      </c>
      <c r="BS31" s="1">
        <f>SUMIFS(MGRcount,Students,E31,MoneyYesNo,1,Odds,"&gt;=10")-BR31</f>
        <v>0</v>
      </c>
      <c r="BT31" s="1">
        <f>COUNTIFS(Students,E31,ILPublic,1)</f>
        <v>0</v>
      </c>
      <c r="BU31" s="1">
        <f>COUNTIFS(Students,E31,ILPublic,1,MoneyYesNo,1,Classes,MatchLabel)+COUNTIFS(Students,E31,ILPublic,1,MoneyYesNo,1,Classes,SafetyLabel)+COUNTIFS(Students,E31,ILPublic,1,MoneyYesNo,1,Classes,SecureLabel)+COUNTIFS(Students,E31,ILPublic,1,MoneyYesNo,1,Classes,SureThingLabel)</f>
        <v>0</v>
      </c>
      <c r="BV31" s="1">
        <f>COUNTIFS(Students,E31,ILPublic,1, Classes,SecureLabel)</f>
        <v>0</v>
      </c>
      <c r="BW31" s="1">
        <f>COUNTIFS(Students,E31,MoneyChicago,1)</f>
        <v>0</v>
      </c>
      <c r="BX31" s="1">
        <f>COUNTIFS(Students,E31,MatchOrUnder,1)</f>
        <v>0</v>
      </c>
      <c r="BY31" s="1">
        <f>SUMIF(Students,E31,MGRcount)</f>
        <v>0</v>
      </c>
      <c r="BZ31" s="1">
        <f>COUNTIFS(Students,E31,BadMoney,1)</f>
        <v>0</v>
      </c>
      <c r="CA31" s="1">
        <f>COUNTIFS(Students,E31,GoldenThree,1)</f>
        <v>0</v>
      </c>
      <c r="CB31" s="1">
        <f>COUNTIFS(Students,E31,NCESids,147536)</f>
        <v>0</v>
      </c>
      <c r="CC31" s="1">
        <f>COUNTIFS(Students,E31,NCESids,144157)+COUNTIFS(Students,E31,NCESids,144166)+COUNTIFS(Students,E31,NCESids,144175)+COUNTIFS(Students,E31,NCESids,144184)+COUNTIFS(Students,E31,NCESids,144193)+COUNTIFS(Students,E31,NCESids,144209)+COUNTIFS(Students,E31,NCESids,144218)</f>
        <v>0</v>
      </c>
      <c r="CD31" s="1">
        <f>COUNTIFS(Students,E31,Results,"Accepted!",FarBelowTGRCount,0)+COUNTIFS(Students,E31,Results,"CHOICE!",FarBelowTGRCount,0)</f>
        <v>0</v>
      </c>
    </row>
    <row r="32" spans="1:82">
      <c r="A32" s="18" t="s">
        <v>96</v>
      </c>
      <c r="B32" s="19">
        <v>0</v>
      </c>
      <c r="C32" s="18" t="s">
        <v>97</v>
      </c>
      <c r="D32" s="18" t="s">
        <v>208</v>
      </c>
      <c r="E32" s="19">
        <v>23416005</v>
      </c>
      <c r="F32" s="19" t="s">
        <v>209</v>
      </c>
      <c r="G32" s="10" t="s">
        <v>210</v>
      </c>
      <c r="H32" s="46">
        <v>3.2635</v>
      </c>
      <c r="I32" s="46">
        <v>3.4635</v>
      </c>
      <c r="J32" s="1">
        <v>21</v>
      </c>
      <c r="K32" s="1">
        <f>IF(ISNUMBER(I32),ROUND(583.58+106.27*I32,-1),"TBD")</f>
        <v>0</v>
      </c>
      <c r="L32" s="1">
        <v>1020</v>
      </c>
      <c r="M32" s="1">
        <f>IF(ISNUMBER(L32),L32,IF(ISNUMBER(K32),K32,"TBD"))</f>
        <v>0</v>
      </c>
      <c r="N32" s="1">
        <f>IF(ISNUMBER(J32),VLOOKUP(J32,ACTtoSAT,2,FALSE),"TBD")</f>
        <v>0</v>
      </c>
      <c r="O32" s="1">
        <f>IF(ISNUMBER(M32),IF(ISNUMBER(N32),MAX(M32,N32),M32),IF(ISNUMBER(N32),N32,"TBD"))</f>
        <v>0</v>
      </c>
      <c r="P32" s="1" t="s">
        <v>101</v>
      </c>
      <c r="Q32" s="1" t="s">
        <v>123</v>
      </c>
      <c r="R32" s="1" t="s">
        <v>124</v>
      </c>
      <c r="S32" s="1">
        <f>IF(AND(H32&lt;&gt;0,O32&lt;&gt;0),IF(ISNUMBER(VLOOKUP(TEXT(MAX(FLOOR(H32*10,1)/10,1.5),"0.0")&amp;":"&amp;MAX(O32,710),StrategyLookup,4,FALSE)),VLOOKUP(TEXT(MAX(FLOOR(H32*10,1)/10,1.5),"0.0")&amp;":"&amp;MAX(O32,710),StrategyLookup,4,FALSE),"TBD"),"TBD")</f>
        <v>0</v>
      </c>
      <c r="T32" s="11">
        <f>IF(ISNUMBER(S32),VLOOKUP(IF(OR(S32=5,S32=6),S32&amp;IF(H32&gt;=3,"+","&lt;"),S32&amp;""),TargetLookup,IF(B32=-1,6,IF(OR(P32="W",P32="A"),4,2)),FALSE),"TBD")</f>
        <v>0</v>
      </c>
      <c r="U32" s="11">
        <f>IF(ISNUMBER(S32),VLOOKUP(IF(OR(S32=5,S32=6),S32&amp;IF(H32&gt;=3,"+","&lt;"),S32&amp;""),TargetLookup,IF(B32=-1,7,IF(OR(P32="W",P32="A"),5,3)),FALSE),"TBD")</f>
        <v>0</v>
      </c>
      <c r="V32" s="18" t="s">
        <v>160</v>
      </c>
      <c r="W32" s="19" t="s">
        <v>105</v>
      </c>
      <c r="X32" s="19" t="s">
        <v>106</v>
      </c>
      <c r="Y32" s="19">
        <f>V32&amp;X32&amp;D32</f>
        <v>0</v>
      </c>
      <c r="Z32" s="11">
        <f t="array" ref="Z32">1-PRODUCT(IF(Students=E32,MGRMoneyMult,1))</f>
        <v>0</v>
      </c>
      <c r="AA32" s="12">
        <f t="array" ref="AA32">1-PRODUCT(IF(Students=E32,RGRMoneyMult,1))</f>
        <v>0</v>
      </c>
      <c r="AB32" s="13">
        <f>COUNTIFS(Students,E32,Results,"Accepted!")+COUNTIFS(Students,E32,Results,"CHOICE!")</f>
        <v>0</v>
      </c>
      <c r="AC32" s="1">
        <f>COUNTIFS(Students,E32,Results,"Deferred")+COUNTIFS(Students,E32,Results,"Waitlist")</f>
        <v>0</v>
      </c>
      <c r="AD32" s="13">
        <f>COUNTIFS(Students,E32,Results,"Denied")</f>
        <v>0</v>
      </c>
      <c r="AE32" s="13">
        <f>AB32+AC32+AD32+COUNTIFS(Students,E32,Results,"Submitted")</f>
        <v>0</v>
      </c>
      <c r="AF32" s="12">
        <v>0.7746763134214678</v>
      </c>
      <c r="AG32" s="12">
        <v>0.7567770102556733</v>
      </c>
      <c r="AH32" s="12">
        <v>0.650016341189539</v>
      </c>
      <c r="AI32" s="12">
        <v>0.6269270891965928</v>
      </c>
      <c r="AJ32" s="13">
        <f>COUNTIFS(Students,E32,Results,"CHOICE!")</f>
        <v>0</v>
      </c>
      <c r="AK32" s="1">
        <f>COUNTIFS(MoneyYesNo,1,RGRcount,1,Students,E32,Results,"Accepted!")</f>
        <v>0</v>
      </c>
      <c r="AL32" s="1">
        <f>COUNTIFS(MoneyYesNo,1,MGRcount,1,Students,E32,Results,"Accepted!")-AK32</f>
        <v>0</v>
      </c>
      <c r="AM32" s="1">
        <f>COUNTIFS(MoneyYesNo,1,Students,E32,Results,"Accepted!")-AK32-AL32</f>
        <v>0</v>
      </c>
      <c r="AN32" s="13">
        <f>COUNTIFS(Students,E32,Results,"Accepted!")-AK32-AL32-AM32</f>
        <v>0</v>
      </c>
      <c r="AO32" s="1">
        <f>SUMIFS(RGRcount,Students,E32,MoneyYesNo,1)</f>
        <v>0</v>
      </c>
      <c r="AP32" s="1">
        <f>SUMIFS(MGRcount,Students,E32,MoneyYesNo,1)-AO32</f>
        <v>0</v>
      </c>
      <c r="AQ32" s="1">
        <f>SUMIF(Students,E32,MoneyYesNo)-AO32-AP32</f>
        <v>0</v>
      </c>
      <c r="AR32" s="13">
        <f>SUM(AO32,AP32,AQ32)</f>
        <v>0</v>
      </c>
      <c r="AS32" s="1">
        <f>SUMIF(Students,E32,RGRcount)</f>
        <v>0</v>
      </c>
      <c r="AT32" s="1">
        <f>SUMIF(Students,E32,MGRcount)-AS32</f>
        <v>0</v>
      </c>
      <c r="AU32" s="1">
        <f>COUNTIF(Students,E32)-AS32-AT32</f>
        <v>0</v>
      </c>
      <c r="AV32" s="1">
        <f>SUMIF(Students,E32,FarBelowTGRCount)</f>
        <v>0</v>
      </c>
      <c r="AW32" s="47">
        <f>COUNTIF(Students,E32)</f>
        <v>0</v>
      </c>
      <c r="AX32" s="11">
        <f>IF(AW32&gt;0,AE32/AW32,0)</f>
        <v>0</v>
      </c>
      <c r="AY32" s="11">
        <f t="array" ref="AY32">1-PRODUCT(IF(Students=E32,MGRMult,1))</f>
        <v>0</v>
      </c>
      <c r="AZ32" s="12">
        <f t="array" ref="AZ32">1-PRODUCT(IF(Students=E32,RGRMult,1))</f>
        <v>0</v>
      </c>
      <c r="BA32" s="1">
        <f>COUNTIFS(Students,E32,Classes,HailMaryLabel)</f>
        <v>0</v>
      </c>
      <c r="BB32" s="1">
        <f>COUNTIFS(Students,E32,Classes,LongshotLabel)</f>
        <v>0</v>
      </c>
      <c r="BC32" s="1">
        <f>COUNTIFS(Students,E32,Classes,ReachLabel)</f>
        <v>0</v>
      </c>
      <c r="BD32" s="1">
        <f>COUNTIFS(Students,E32,Classes,MatchLabel)</f>
        <v>0</v>
      </c>
      <c r="BE32" s="1">
        <f>COUNTIFS(Students,E32,Classes,SafetyLabel)</f>
        <v>0</v>
      </c>
      <c r="BF32" s="1">
        <f>COUNTIFS(Students,E32,Classes,SecureLabel)</f>
        <v>0</v>
      </c>
      <c r="BG32" s="1">
        <f>COUNTIFS(Students,E32,Classes,SureThingLabel)</f>
        <v>0</v>
      </c>
      <c r="BH32" s="13">
        <f>COUNTIFS(Students,E32,Classes,"Other")</f>
        <v>0</v>
      </c>
      <c r="BI32" s="1">
        <f>COUNTIFS(Students,E32,Classes,ReachLabel,MoneyYesNo,1)</f>
        <v>0</v>
      </c>
      <c r="BJ32" s="1">
        <f>COUNTIFS(Students,E32,Classes,MatchLabel,MoneyYesNo,1)</f>
        <v>0</v>
      </c>
      <c r="BK32" s="1">
        <f>COUNTIFS(Students,E32,Classes,SafetyLabel,MoneyYesNo,1)</f>
        <v>0</v>
      </c>
      <c r="BL32" s="1">
        <f>COUNTIFS(Students,E32,Classes,SecureLabel,MoneyYesNo,1)</f>
        <v>0</v>
      </c>
      <c r="BM32" s="1">
        <f>COUNTIFS(Students,E32,Classes,SureThingLabel,MoneyYesNo,1)</f>
        <v>0</v>
      </c>
      <c r="BN32" s="1">
        <f>SUM(BI32:BM32)</f>
        <v>0</v>
      </c>
      <c r="BO32" s="1">
        <f>SUMIFS(RGRcount,Students,E32,MoneyYesNo,1,Odds,"&gt;=20")</f>
        <v>0</v>
      </c>
      <c r="BP32" s="1">
        <f>SUMIFS(MGRcount,Students,E32,MoneyYesNo,1,Odds,"&gt;=20")-BO32</f>
        <v>0</v>
      </c>
      <c r="BQ32" s="1">
        <f>SUMIFS(MGRcount,Students,E32,MoneyYesNo,1,Odds,"&gt;=50")</f>
        <v>0</v>
      </c>
      <c r="BR32" s="1">
        <f>SUMIFS(RGRcount,Students,E32,MoneyYesNo,1,Odds,"&gt;=10")</f>
        <v>0</v>
      </c>
      <c r="BS32" s="1">
        <f>SUMIFS(MGRcount,Students,E32,MoneyYesNo,1,Odds,"&gt;=10")-BR32</f>
        <v>0</v>
      </c>
      <c r="BT32" s="1">
        <f>COUNTIFS(Students,E32,ILPublic,1)</f>
        <v>0</v>
      </c>
      <c r="BU32" s="1">
        <f>COUNTIFS(Students,E32,ILPublic,1,MoneyYesNo,1,Classes,MatchLabel)+COUNTIFS(Students,E32,ILPublic,1,MoneyYesNo,1,Classes,SafetyLabel)+COUNTIFS(Students,E32,ILPublic,1,MoneyYesNo,1,Classes,SecureLabel)+COUNTIFS(Students,E32,ILPublic,1,MoneyYesNo,1,Classes,SureThingLabel)</f>
        <v>0</v>
      </c>
      <c r="BV32" s="1">
        <f>COUNTIFS(Students,E32,ILPublic,1, Classes,SecureLabel)</f>
        <v>0</v>
      </c>
      <c r="BW32" s="1">
        <f>COUNTIFS(Students,E32,MoneyChicago,1)</f>
        <v>0</v>
      </c>
      <c r="BX32" s="1">
        <f>COUNTIFS(Students,E32,MatchOrUnder,1)</f>
        <v>0</v>
      </c>
      <c r="BY32" s="1">
        <f>SUMIF(Students,E32,MGRcount)</f>
        <v>0</v>
      </c>
      <c r="BZ32" s="1">
        <f>COUNTIFS(Students,E32,BadMoney,1)</f>
        <v>0</v>
      </c>
      <c r="CA32" s="1">
        <f>COUNTIFS(Students,E32,GoldenThree,1)</f>
        <v>0</v>
      </c>
      <c r="CB32" s="1">
        <f>COUNTIFS(Students,E32,NCESids,147536)</f>
        <v>0</v>
      </c>
      <c r="CC32" s="1">
        <f>COUNTIFS(Students,E32,NCESids,144157)+COUNTIFS(Students,E32,NCESids,144166)+COUNTIFS(Students,E32,NCESids,144175)+COUNTIFS(Students,E32,NCESids,144184)+COUNTIFS(Students,E32,NCESids,144193)+COUNTIFS(Students,E32,NCESids,144209)+COUNTIFS(Students,E32,NCESids,144218)</f>
        <v>0</v>
      </c>
      <c r="CD32" s="1">
        <f>COUNTIFS(Students,E32,Results,"Accepted!",FarBelowTGRCount,0)+COUNTIFS(Students,E32,Results,"CHOICE!",FarBelowTGRCount,0)</f>
        <v>0</v>
      </c>
    </row>
    <row r="33" spans="1:82">
      <c r="A33" s="18" t="s">
        <v>96</v>
      </c>
      <c r="B33" s="19">
        <v>0</v>
      </c>
      <c r="C33" s="18" t="s">
        <v>97</v>
      </c>
      <c r="D33" s="18" t="s">
        <v>211</v>
      </c>
      <c r="E33" s="19">
        <v>22248900</v>
      </c>
      <c r="F33" s="19" t="s">
        <v>212</v>
      </c>
      <c r="G33" s="10" t="s">
        <v>213</v>
      </c>
      <c r="H33" s="46">
        <v>3.1365</v>
      </c>
      <c r="I33" s="46">
        <v>3.3365</v>
      </c>
      <c r="J33" s="1">
        <v>22</v>
      </c>
      <c r="K33" s="1">
        <f>IF(ISNUMBER(I33),ROUND(583.58+106.27*I33,-1),"TBD")</f>
        <v>0</v>
      </c>
      <c r="L33" s="1">
        <v>900</v>
      </c>
      <c r="M33" s="1">
        <f>IF(ISNUMBER(L33),L33,IF(ISNUMBER(K33),K33,"TBD"))</f>
        <v>0</v>
      </c>
      <c r="N33" s="1">
        <f>IF(ISNUMBER(J33),VLOOKUP(J33,ACTtoSAT,2,FALSE),"TBD")</f>
        <v>0</v>
      </c>
      <c r="O33" s="1">
        <f>IF(ISNUMBER(M33),IF(ISNUMBER(N33),MAX(M33,N33),M33),IF(ISNUMBER(N33),N33,"TBD"))</f>
        <v>0</v>
      </c>
      <c r="P33" s="1" t="s">
        <v>101</v>
      </c>
      <c r="Q33" s="1" t="s">
        <v>123</v>
      </c>
      <c r="R33" s="1" t="s">
        <v>124</v>
      </c>
      <c r="S33" s="1">
        <f>IF(AND(H33&lt;&gt;0,O33&lt;&gt;0),IF(ISNUMBER(VLOOKUP(TEXT(MAX(FLOOR(H33*10,1)/10,1.5),"0.0")&amp;":"&amp;MAX(O33,710),StrategyLookup,4,FALSE)),VLOOKUP(TEXT(MAX(FLOOR(H33*10,1)/10,1.5),"0.0")&amp;":"&amp;MAX(O33,710),StrategyLookup,4,FALSE),"TBD"),"TBD")</f>
        <v>0</v>
      </c>
      <c r="T33" s="11">
        <f>IF(ISNUMBER(S33),VLOOKUP(IF(OR(S33=5,S33=6),S33&amp;IF(H33&gt;=3,"+","&lt;"),S33&amp;""),TargetLookup,IF(B33=-1,6,IF(OR(P33="W",P33="A"),4,2)),FALSE),"TBD")</f>
        <v>0</v>
      </c>
      <c r="U33" s="11">
        <f>IF(ISNUMBER(S33),VLOOKUP(IF(OR(S33=5,S33=6),S33&amp;IF(H33&gt;=3,"+","&lt;"),S33&amp;""),TargetLookup,IF(B33=-1,7,IF(OR(P33="W",P33="A"),5,3)),FALSE),"TBD")</f>
        <v>0</v>
      </c>
      <c r="V33" s="18" t="s">
        <v>180</v>
      </c>
      <c r="W33" s="19" t="s">
        <v>111</v>
      </c>
      <c r="X33" s="19" t="s">
        <v>106</v>
      </c>
      <c r="Y33" s="19">
        <f>V33&amp;X33&amp;D33</f>
        <v>0</v>
      </c>
      <c r="Z33" s="11">
        <f t="array" ref="Z33">1-PRODUCT(IF(Students=E33,MGRMoneyMult,1))</f>
        <v>0</v>
      </c>
      <c r="AA33" s="12">
        <f t="array" ref="AA33">1-PRODUCT(IF(Students=E33,RGRMoneyMult,1))</f>
        <v>0</v>
      </c>
      <c r="AB33" s="13">
        <f>COUNTIFS(Students,E33,Results,"Accepted!")+COUNTIFS(Students,E33,Results,"CHOICE!")</f>
        <v>0</v>
      </c>
      <c r="AC33" s="1">
        <f>COUNTIFS(Students,E33,Results,"Deferred")+COUNTIFS(Students,E33,Results,"Waitlist")</f>
        <v>0</v>
      </c>
      <c r="AD33" s="13">
        <f>COUNTIFS(Students,E33,Results,"Denied")</f>
        <v>0</v>
      </c>
      <c r="AE33" s="13">
        <f>AB33+AC33+AD33+COUNTIFS(Students,E33,Results,"Submitted")</f>
        <v>0</v>
      </c>
      <c r="AF33" s="12">
        <v>0</v>
      </c>
      <c r="AG33" s="12">
        <v>0</v>
      </c>
      <c r="AH33" s="12">
        <v>0</v>
      </c>
      <c r="AI33" s="12">
        <v>0</v>
      </c>
      <c r="AJ33" s="13">
        <f>COUNTIFS(Students,E33,Results,"CHOICE!")</f>
        <v>0</v>
      </c>
      <c r="AK33" s="1">
        <f>COUNTIFS(MoneyYesNo,1,RGRcount,1,Students,E33,Results,"Accepted!")</f>
        <v>0</v>
      </c>
      <c r="AL33" s="1">
        <f>COUNTIFS(MoneyYesNo,1,MGRcount,1,Students,E33,Results,"Accepted!")-AK33</f>
        <v>0</v>
      </c>
      <c r="AM33" s="1">
        <f>COUNTIFS(MoneyYesNo,1,Students,E33,Results,"Accepted!")-AK33-AL33</f>
        <v>0</v>
      </c>
      <c r="AN33" s="13">
        <f>COUNTIFS(Students,E33,Results,"Accepted!")-AK33-AL33-AM33</f>
        <v>0</v>
      </c>
      <c r="AO33" s="1">
        <f>SUMIFS(RGRcount,Students,E33,MoneyYesNo,1)</f>
        <v>0</v>
      </c>
      <c r="AP33" s="1">
        <f>SUMIFS(MGRcount,Students,E33,MoneyYesNo,1)-AO33</f>
        <v>0</v>
      </c>
      <c r="AQ33" s="1">
        <f>SUMIF(Students,E33,MoneyYesNo)-AO33-AP33</f>
        <v>0</v>
      </c>
      <c r="AR33" s="13">
        <f>SUM(AO33,AP33,AQ33)</f>
        <v>0</v>
      </c>
      <c r="AS33" s="1">
        <f>SUMIF(Students,E33,RGRcount)</f>
        <v>0</v>
      </c>
      <c r="AT33" s="1">
        <f>SUMIF(Students,E33,MGRcount)-AS33</f>
        <v>0</v>
      </c>
      <c r="AU33" s="1">
        <f>COUNTIF(Students,E33)-AS33-AT33</f>
        <v>0</v>
      </c>
      <c r="AV33" s="1">
        <f>SUMIF(Students,E33,FarBelowTGRCount)</f>
        <v>0</v>
      </c>
      <c r="AW33" s="47">
        <f>COUNTIF(Students,E33)</f>
        <v>0</v>
      </c>
      <c r="AX33" s="11">
        <f>IF(AW33&gt;0,AE33/AW33,0)</f>
        <v>0</v>
      </c>
      <c r="AY33" s="11">
        <f t="array" ref="AY33">1-PRODUCT(IF(Students=E33,MGRMult,1))</f>
        <v>0</v>
      </c>
      <c r="AZ33" s="12">
        <f t="array" ref="AZ33">1-PRODUCT(IF(Students=E33,RGRMult,1))</f>
        <v>0</v>
      </c>
      <c r="BA33" s="1">
        <f>COUNTIFS(Students,E33,Classes,HailMaryLabel)</f>
        <v>0</v>
      </c>
      <c r="BB33" s="1">
        <f>COUNTIFS(Students,E33,Classes,LongshotLabel)</f>
        <v>0</v>
      </c>
      <c r="BC33" s="1">
        <f>COUNTIFS(Students,E33,Classes,ReachLabel)</f>
        <v>0</v>
      </c>
      <c r="BD33" s="1">
        <f>COUNTIFS(Students,E33,Classes,MatchLabel)</f>
        <v>0</v>
      </c>
      <c r="BE33" s="1">
        <f>COUNTIFS(Students,E33,Classes,SafetyLabel)</f>
        <v>0</v>
      </c>
      <c r="BF33" s="1">
        <f>COUNTIFS(Students,E33,Classes,SecureLabel)</f>
        <v>0</v>
      </c>
      <c r="BG33" s="1">
        <f>COUNTIFS(Students,E33,Classes,SureThingLabel)</f>
        <v>0</v>
      </c>
      <c r="BH33" s="13">
        <f>COUNTIFS(Students,E33,Classes,"Other")</f>
        <v>0</v>
      </c>
      <c r="BI33" s="1">
        <f>COUNTIFS(Students,E33,Classes,ReachLabel,MoneyYesNo,1)</f>
        <v>0</v>
      </c>
      <c r="BJ33" s="1">
        <f>COUNTIFS(Students,E33,Classes,MatchLabel,MoneyYesNo,1)</f>
        <v>0</v>
      </c>
      <c r="BK33" s="1">
        <f>COUNTIFS(Students,E33,Classes,SafetyLabel,MoneyYesNo,1)</f>
        <v>0</v>
      </c>
      <c r="BL33" s="1">
        <f>COUNTIFS(Students,E33,Classes,SecureLabel,MoneyYesNo,1)</f>
        <v>0</v>
      </c>
      <c r="BM33" s="1">
        <f>COUNTIFS(Students,E33,Classes,SureThingLabel,MoneyYesNo,1)</f>
        <v>0</v>
      </c>
      <c r="BN33" s="1">
        <f>SUM(BI33:BM33)</f>
        <v>0</v>
      </c>
      <c r="BO33" s="1">
        <f>SUMIFS(RGRcount,Students,E33,MoneyYesNo,1,Odds,"&gt;=20")</f>
        <v>0</v>
      </c>
      <c r="BP33" s="1">
        <f>SUMIFS(MGRcount,Students,E33,MoneyYesNo,1,Odds,"&gt;=20")-BO33</f>
        <v>0</v>
      </c>
      <c r="BQ33" s="1">
        <f>SUMIFS(MGRcount,Students,E33,MoneyYesNo,1,Odds,"&gt;=50")</f>
        <v>0</v>
      </c>
      <c r="BR33" s="1">
        <f>SUMIFS(RGRcount,Students,E33,MoneyYesNo,1,Odds,"&gt;=10")</f>
        <v>0</v>
      </c>
      <c r="BS33" s="1">
        <f>SUMIFS(MGRcount,Students,E33,MoneyYesNo,1,Odds,"&gt;=10")-BR33</f>
        <v>0</v>
      </c>
      <c r="BT33" s="1">
        <f>COUNTIFS(Students,E33,ILPublic,1)</f>
        <v>0</v>
      </c>
      <c r="BU33" s="1">
        <f>COUNTIFS(Students,E33,ILPublic,1,MoneyYesNo,1,Classes,MatchLabel)+COUNTIFS(Students,E33,ILPublic,1,MoneyYesNo,1,Classes,SafetyLabel)+COUNTIFS(Students,E33,ILPublic,1,MoneyYesNo,1,Classes,SecureLabel)+COUNTIFS(Students,E33,ILPublic,1,MoneyYesNo,1,Classes,SureThingLabel)</f>
        <v>0</v>
      </c>
      <c r="BV33" s="1">
        <f>COUNTIFS(Students,E33,ILPublic,1, Classes,SecureLabel)</f>
        <v>0</v>
      </c>
      <c r="BW33" s="1">
        <f>COUNTIFS(Students,E33,MoneyChicago,1)</f>
        <v>0</v>
      </c>
      <c r="BX33" s="1">
        <f>COUNTIFS(Students,E33,MatchOrUnder,1)</f>
        <v>0</v>
      </c>
      <c r="BY33" s="1">
        <f>SUMIF(Students,E33,MGRcount)</f>
        <v>0</v>
      </c>
      <c r="BZ33" s="1">
        <f>COUNTIFS(Students,E33,BadMoney,1)</f>
        <v>0</v>
      </c>
      <c r="CA33" s="1">
        <f>COUNTIFS(Students,E33,GoldenThree,1)</f>
        <v>0</v>
      </c>
      <c r="CB33" s="1">
        <f>COUNTIFS(Students,E33,NCESids,147536)</f>
        <v>0</v>
      </c>
      <c r="CC33" s="1">
        <f>COUNTIFS(Students,E33,NCESids,144157)+COUNTIFS(Students,E33,NCESids,144166)+COUNTIFS(Students,E33,NCESids,144175)+COUNTIFS(Students,E33,NCESids,144184)+COUNTIFS(Students,E33,NCESids,144193)+COUNTIFS(Students,E33,NCESids,144209)+COUNTIFS(Students,E33,NCESids,144218)</f>
        <v>0</v>
      </c>
      <c r="CD33" s="1">
        <f>COUNTIFS(Students,E33,Results,"Accepted!",FarBelowTGRCount,0)+COUNTIFS(Students,E33,Results,"CHOICE!",FarBelowTGRCount,0)</f>
        <v>0</v>
      </c>
    </row>
    <row r="34" spans="1:82">
      <c r="A34" s="18" t="s">
        <v>96</v>
      </c>
      <c r="B34" s="19">
        <v>0</v>
      </c>
      <c r="C34" s="18" t="s">
        <v>97</v>
      </c>
      <c r="D34" s="18" t="s">
        <v>214</v>
      </c>
      <c r="E34" s="19">
        <v>22511393</v>
      </c>
      <c r="F34" s="19" t="s">
        <v>215</v>
      </c>
      <c r="G34" s="10" t="s">
        <v>216</v>
      </c>
      <c r="H34" s="46">
        <v>3.5962</v>
      </c>
      <c r="I34" s="46">
        <v>3.7962</v>
      </c>
      <c r="J34" s="1">
        <v>19</v>
      </c>
      <c r="K34" s="1">
        <f>IF(ISNUMBER(I34),ROUND(583.58+106.27*I34,-1),"TBD")</f>
        <v>0</v>
      </c>
      <c r="L34" s="1">
        <v>910</v>
      </c>
      <c r="M34" s="1">
        <f>IF(ISNUMBER(L34),L34,IF(ISNUMBER(K34),K34,"TBD"))</f>
        <v>0</v>
      </c>
      <c r="N34" s="1">
        <f>IF(ISNUMBER(J34),VLOOKUP(J34,ACTtoSAT,2,FALSE),"TBD")</f>
        <v>0</v>
      </c>
      <c r="O34" s="1">
        <f>IF(ISNUMBER(M34),IF(ISNUMBER(N34),MAX(M34,N34),M34),IF(ISNUMBER(N34),N34,"TBD"))</f>
        <v>0</v>
      </c>
      <c r="P34" s="1" t="s">
        <v>101</v>
      </c>
      <c r="Q34" s="1" t="s">
        <v>123</v>
      </c>
      <c r="R34" s="1" t="s">
        <v>124</v>
      </c>
      <c r="S34" s="1">
        <f>IF(AND(H34&lt;&gt;0,O34&lt;&gt;0),IF(ISNUMBER(VLOOKUP(TEXT(MAX(FLOOR(H34*10,1)/10,1.5),"0.0")&amp;":"&amp;MAX(O34,710),StrategyLookup,4,FALSE)),VLOOKUP(TEXT(MAX(FLOOR(H34*10,1)/10,1.5),"0.0")&amp;":"&amp;MAX(O34,710),StrategyLookup,4,FALSE),"TBD"),"TBD")</f>
        <v>0</v>
      </c>
      <c r="T34" s="11">
        <f>IF(ISNUMBER(S34),VLOOKUP(IF(OR(S34=5,S34=6),S34&amp;IF(H34&gt;=3,"+","&lt;"),S34&amp;""),TargetLookup,IF(B34=-1,6,IF(OR(P34="W",P34="A"),4,2)),FALSE),"TBD")</f>
        <v>0</v>
      </c>
      <c r="U34" s="11">
        <f>IF(ISNUMBER(S34),VLOOKUP(IF(OR(S34=5,S34=6),S34&amp;IF(H34&gt;=3,"+","&lt;"),S34&amp;""),TargetLookup,IF(B34=-1,7,IF(OR(P34="W",P34="A"),5,3)),FALSE),"TBD")</f>
        <v>0</v>
      </c>
      <c r="V34" s="18" t="s">
        <v>160</v>
      </c>
      <c r="W34" s="19" t="s">
        <v>131</v>
      </c>
      <c r="X34" s="19" t="s">
        <v>106</v>
      </c>
      <c r="Y34" s="19">
        <f>V34&amp;X34&amp;D34</f>
        <v>0</v>
      </c>
      <c r="Z34" s="11">
        <f t="array" ref="Z34">1-PRODUCT(IF(Students=E34,MGRMoneyMult,1))</f>
        <v>0</v>
      </c>
      <c r="AA34" s="12">
        <f t="array" ref="AA34">1-PRODUCT(IF(Students=E34,RGRMoneyMult,1))</f>
        <v>0</v>
      </c>
      <c r="AB34" s="13">
        <f>COUNTIFS(Students,E34,Results,"Accepted!")+COUNTIFS(Students,E34,Results,"CHOICE!")</f>
        <v>0</v>
      </c>
      <c r="AC34" s="1">
        <f>COUNTIFS(Students,E34,Results,"Deferred")+COUNTIFS(Students,E34,Results,"Waitlist")</f>
        <v>0</v>
      </c>
      <c r="AD34" s="13">
        <f>COUNTIFS(Students,E34,Results,"Denied")</f>
        <v>0</v>
      </c>
      <c r="AE34" s="13">
        <f>AB34+AC34+AD34+COUNTIFS(Students,E34,Results,"Submitted")</f>
        <v>0</v>
      </c>
      <c r="AF34" s="12">
        <v>0.8309779790456998</v>
      </c>
      <c r="AG34" s="12">
        <v>0.8058975840553103</v>
      </c>
      <c r="AH34" s="12">
        <v>0.7629587074568314</v>
      </c>
      <c r="AI34" s="12">
        <v>0.7485666840323001</v>
      </c>
      <c r="AJ34" s="13">
        <f>COUNTIFS(Students,E34,Results,"CHOICE!")</f>
        <v>0</v>
      </c>
      <c r="AK34" s="1">
        <f>COUNTIFS(MoneyYesNo,1,RGRcount,1,Students,E34,Results,"Accepted!")</f>
        <v>0</v>
      </c>
      <c r="AL34" s="1">
        <f>COUNTIFS(MoneyYesNo,1,MGRcount,1,Students,E34,Results,"Accepted!")-AK34</f>
        <v>0</v>
      </c>
      <c r="AM34" s="1">
        <f>COUNTIFS(MoneyYesNo,1,Students,E34,Results,"Accepted!")-AK34-AL34</f>
        <v>0</v>
      </c>
      <c r="AN34" s="13">
        <f>COUNTIFS(Students,E34,Results,"Accepted!")-AK34-AL34-AM34</f>
        <v>0</v>
      </c>
      <c r="AO34" s="1">
        <f>SUMIFS(RGRcount,Students,E34,MoneyYesNo,1)</f>
        <v>0</v>
      </c>
      <c r="AP34" s="1">
        <f>SUMIFS(MGRcount,Students,E34,MoneyYesNo,1)-AO34</f>
        <v>0</v>
      </c>
      <c r="AQ34" s="1">
        <f>SUMIF(Students,E34,MoneyYesNo)-AO34-AP34</f>
        <v>0</v>
      </c>
      <c r="AR34" s="13">
        <f>SUM(AO34,AP34,AQ34)</f>
        <v>0</v>
      </c>
      <c r="AS34" s="1">
        <f>SUMIF(Students,E34,RGRcount)</f>
        <v>0</v>
      </c>
      <c r="AT34" s="1">
        <f>SUMIF(Students,E34,MGRcount)-AS34</f>
        <v>0</v>
      </c>
      <c r="AU34" s="1">
        <f>COUNTIF(Students,E34)-AS34-AT34</f>
        <v>0</v>
      </c>
      <c r="AV34" s="1">
        <f>SUMIF(Students,E34,FarBelowTGRCount)</f>
        <v>0</v>
      </c>
      <c r="AW34" s="47">
        <f>COUNTIF(Students,E34)</f>
        <v>0</v>
      </c>
      <c r="AX34" s="11">
        <f>IF(AW34&gt;0,AE34/AW34,0)</f>
        <v>0</v>
      </c>
      <c r="AY34" s="11">
        <f t="array" ref="AY34">1-PRODUCT(IF(Students=E34,MGRMult,1))</f>
        <v>0</v>
      </c>
      <c r="AZ34" s="12">
        <f t="array" ref="AZ34">1-PRODUCT(IF(Students=E34,RGRMult,1))</f>
        <v>0</v>
      </c>
      <c r="BA34" s="1">
        <f>COUNTIFS(Students,E34,Classes,HailMaryLabel)</f>
        <v>0</v>
      </c>
      <c r="BB34" s="1">
        <f>COUNTIFS(Students,E34,Classes,LongshotLabel)</f>
        <v>0</v>
      </c>
      <c r="BC34" s="1">
        <f>COUNTIFS(Students,E34,Classes,ReachLabel)</f>
        <v>0</v>
      </c>
      <c r="BD34" s="1">
        <f>COUNTIFS(Students,E34,Classes,MatchLabel)</f>
        <v>0</v>
      </c>
      <c r="BE34" s="1">
        <f>COUNTIFS(Students,E34,Classes,SafetyLabel)</f>
        <v>0</v>
      </c>
      <c r="BF34" s="1">
        <f>COUNTIFS(Students,E34,Classes,SecureLabel)</f>
        <v>0</v>
      </c>
      <c r="BG34" s="1">
        <f>COUNTIFS(Students,E34,Classes,SureThingLabel)</f>
        <v>0</v>
      </c>
      <c r="BH34" s="13">
        <f>COUNTIFS(Students,E34,Classes,"Other")</f>
        <v>0</v>
      </c>
      <c r="BI34" s="1">
        <f>COUNTIFS(Students,E34,Classes,ReachLabel,MoneyYesNo,1)</f>
        <v>0</v>
      </c>
      <c r="BJ34" s="1">
        <f>COUNTIFS(Students,E34,Classes,MatchLabel,MoneyYesNo,1)</f>
        <v>0</v>
      </c>
      <c r="BK34" s="1">
        <f>COUNTIFS(Students,E34,Classes,SafetyLabel,MoneyYesNo,1)</f>
        <v>0</v>
      </c>
      <c r="BL34" s="1">
        <f>COUNTIFS(Students,E34,Classes,SecureLabel,MoneyYesNo,1)</f>
        <v>0</v>
      </c>
      <c r="BM34" s="1">
        <f>COUNTIFS(Students,E34,Classes,SureThingLabel,MoneyYesNo,1)</f>
        <v>0</v>
      </c>
      <c r="BN34" s="1">
        <f>SUM(BI34:BM34)</f>
        <v>0</v>
      </c>
      <c r="BO34" s="1">
        <f>SUMIFS(RGRcount,Students,E34,MoneyYesNo,1,Odds,"&gt;=20")</f>
        <v>0</v>
      </c>
      <c r="BP34" s="1">
        <f>SUMIFS(MGRcount,Students,E34,MoneyYesNo,1,Odds,"&gt;=20")-BO34</f>
        <v>0</v>
      </c>
      <c r="BQ34" s="1">
        <f>SUMIFS(MGRcount,Students,E34,MoneyYesNo,1,Odds,"&gt;=50")</f>
        <v>0</v>
      </c>
      <c r="BR34" s="1">
        <f>SUMIFS(RGRcount,Students,E34,MoneyYesNo,1,Odds,"&gt;=10")</f>
        <v>0</v>
      </c>
      <c r="BS34" s="1">
        <f>SUMIFS(MGRcount,Students,E34,MoneyYesNo,1,Odds,"&gt;=10")-BR34</f>
        <v>0</v>
      </c>
      <c r="BT34" s="1">
        <f>COUNTIFS(Students,E34,ILPublic,1)</f>
        <v>0</v>
      </c>
      <c r="BU34" s="1">
        <f>COUNTIFS(Students,E34,ILPublic,1,MoneyYesNo,1,Classes,MatchLabel)+COUNTIFS(Students,E34,ILPublic,1,MoneyYesNo,1,Classes,SafetyLabel)+COUNTIFS(Students,E34,ILPublic,1,MoneyYesNo,1,Classes,SecureLabel)+COUNTIFS(Students,E34,ILPublic,1,MoneyYesNo,1,Classes,SureThingLabel)</f>
        <v>0</v>
      </c>
      <c r="BV34" s="1">
        <f>COUNTIFS(Students,E34,ILPublic,1, Classes,SecureLabel)</f>
        <v>0</v>
      </c>
      <c r="BW34" s="1">
        <f>COUNTIFS(Students,E34,MoneyChicago,1)</f>
        <v>0</v>
      </c>
      <c r="BX34" s="1">
        <f>COUNTIFS(Students,E34,MatchOrUnder,1)</f>
        <v>0</v>
      </c>
      <c r="BY34" s="1">
        <f>SUMIF(Students,E34,MGRcount)</f>
        <v>0</v>
      </c>
      <c r="BZ34" s="1">
        <f>COUNTIFS(Students,E34,BadMoney,1)</f>
        <v>0</v>
      </c>
      <c r="CA34" s="1">
        <f>COUNTIFS(Students,E34,GoldenThree,1)</f>
        <v>0</v>
      </c>
      <c r="CB34" s="1">
        <f>COUNTIFS(Students,E34,NCESids,147536)</f>
        <v>0</v>
      </c>
      <c r="CC34" s="1">
        <f>COUNTIFS(Students,E34,NCESids,144157)+COUNTIFS(Students,E34,NCESids,144166)+COUNTIFS(Students,E34,NCESids,144175)+COUNTIFS(Students,E34,NCESids,144184)+COUNTIFS(Students,E34,NCESids,144193)+COUNTIFS(Students,E34,NCESids,144209)+COUNTIFS(Students,E34,NCESids,144218)</f>
        <v>0</v>
      </c>
      <c r="CD34" s="1">
        <f>COUNTIFS(Students,E34,Results,"Accepted!",FarBelowTGRCount,0)+COUNTIFS(Students,E34,Results,"CHOICE!",FarBelowTGRCount,0)</f>
        <v>0</v>
      </c>
    </row>
    <row r="35" spans="1:82">
      <c r="A35" s="18" t="s">
        <v>96</v>
      </c>
      <c r="B35" s="19">
        <v>0</v>
      </c>
      <c r="C35" s="18" t="s">
        <v>97</v>
      </c>
      <c r="D35" s="18" t="s">
        <v>217</v>
      </c>
      <c r="E35" s="19">
        <v>30490744</v>
      </c>
      <c r="F35" s="19" t="s">
        <v>218</v>
      </c>
      <c r="G35" s="10" t="s">
        <v>219</v>
      </c>
      <c r="H35" s="46">
        <v>2.8646</v>
      </c>
      <c r="I35" s="46">
        <v>3.0646</v>
      </c>
      <c r="J35" s="1">
        <v>24</v>
      </c>
      <c r="K35" s="1">
        <f>IF(ISNUMBER(I35),ROUND(583.58+106.27*I35,-1),"TBD")</f>
        <v>0</v>
      </c>
      <c r="L35" s="1">
        <v>730</v>
      </c>
      <c r="M35" s="1">
        <f>IF(ISNUMBER(L35),L35,IF(ISNUMBER(K35),K35,"TBD"))</f>
        <v>0</v>
      </c>
      <c r="N35" s="1">
        <f>IF(ISNUMBER(J35),VLOOKUP(J35,ACTtoSAT,2,FALSE),"TBD")</f>
        <v>0</v>
      </c>
      <c r="O35" s="1">
        <f>IF(ISNUMBER(M35),IF(ISNUMBER(N35),MAX(M35,N35),M35),IF(ISNUMBER(N35),N35,"TBD"))</f>
        <v>0</v>
      </c>
      <c r="P35" s="1" t="s">
        <v>101</v>
      </c>
      <c r="Q35" s="1" t="s">
        <v>123</v>
      </c>
      <c r="R35" s="1" t="s">
        <v>124</v>
      </c>
      <c r="S35" s="1">
        <f>IF(AND(H35&lt;&gt;0,O35&lt;&gt;0),IF(ISNUMBER(VLOOKUP(TEXT(MAX(FLOOR(H35*10,1)/10,1.5),"0.0")&amp;":"&amp;MAX(O35,710),StrategyLookup,4,FALSE)),VLOOKUP(TEXT(MAX(FLOOR(H35*10,1)/10,1.5),"0.0")&amp;":"&amp;MAX(O35,710),StrategyLookup,4,FALSE),"TBD"),"TBD")</f>
        <v>0</v>
      </c>
      <c r="T35" s="11">
        <f>IF(ISNUMBER(S35),VLOOKUP(IF(OR(S35=5,S35=6),S35&amp;IF(H35&gt;=3,"+","&lt;"),S35&amp;""),TargetLookup,IF(B35=-1,6,IF(OR(P35="W",P35="A"),4,2)),FALSE),"TBD")</f>
        <v>0</v>
      </c>
      <c r="U35" s="11">
        <f>IF(ISNUMBER(S35),VLOOKUP(IF(OR(S35=5,S35=6),S35&amp;IF(H35&gt;=3,"+","&lt;"),S35&amp;""),TargetLookup,IF(B35=-1,7,IF(OR(P35="W",P35="A"),5,3)),FALSE),"TBD")</f>
        <v>0</v>
      </c>
      <c r="V35" s="18" t="s">
        <v>135</v>
      </c>
      <c r="W35" s="19" t="s">
        <v>125</v>
      </c>
      <c r="X35" s="19" t="s">
        <v>106</v>
      </c>
      <c r="Y35" s="19">
        <f>V35&amp;X35&amp;D35</f>
        <v>0</v>
      </c>
      <c r="Z35" s="11">
        <f t="array" ref="Z35">1-PRODUCT(IF(Students=E35,MGRMoneyMult,1))</f>
        <v>0</v>
      </c>
      <c r="AA35" s="12">
        <f t="array" ref="AA35">1-PRODUCT(IF(Students=E35,RGRMoneyMult,1))</f>
        <v>0</v>
      </c>
      <c r="AB35" s="13">
        <f>COUNTIFS(Students,E35,Results,"Accepted!")+COUNTIFS(Students,E35,Results,"CHOICE!")</f>
        <v>0</v>
      </c>
      <c r="AC35" s="1">
        <f>COUNTIFS(Students,E35,Results,"Deferred")+COUNTIFS(Students,E35,Results,"Waitlist")</f>
        <v>0</v>
      </c>
      <c r="AD35" s="13">
        <f>COUNTIFS(Students,E35,Results,"Denied")</f>
        <v>0</v>
      </c>
      <c r="AE35" s="13">
        <f>AB35+AC35+AD35+COUNTIFS(Students,E35,Results,"Submitted")</f>
        <v>0</v>
      </c>
      <c r="AF35" s="12">
        <v>0.7158963931496295</v>
      </c>
      <c r="AG35" s="12">
        <v>0.6739039741166443</v>
      </c>
      <c r="AH35" s="12">
        <v>0.6394132360521438</v>
      </c>
      <c r="AI35" s="12">
        <v>0.6215760553364794</v>
      </c>
      <c r="AJ35" s="13">
        <f>COUNTIFS(Students,E35,Results,"CHOICE!")</f>
        <v>0</v>
      </c>
      <c r="AK35" s="1">
        <f>COUNTIFS(MoneyYesNo,1,RGRcount,1,Students,E35,Results,"Accepted!")</f>
        <v>0</v>
      </c>
      <c r="AL35" s="1">
        <f>COUNTIFS(MoneyYesNo,1,MGRcount,1,Students,E35,Results,"Accepted!")-AK35</f>
        <v>0</v>
      </c>
      <c r="AM35" s="1">
        <f>COUNTIFS(MoneyYesNo,1,Students,E35,Results,"Accepted!")-AK35-AL35</f>
        <v>0</v>
      </c>
      <c r="AN35" s="13">
        <f>COUNTIFS(Students,E35,Results,"Accepted!")-AK35-AL35-AM35</f>
        <v>0</v>
      </c>
      <c r="AO35" s="1">
        <f>SUMIFS(RGRcount,Students,E35,MoneyYesNo,1)</f>
        <v>0</v>
      </c>
      <c r="AP35" s="1">
        <f>SUMIFS(MGRcount,Students,E35,MoneyYesNo,1)-AO35</f>
        <v>0</v>
      </c>
      <c r="AQ35" s="1">
        <f>SUMIF(Students,E35,MoneyYesNo)-AO35-AP35</f>
        <v>0</v>
      </c>
      <c r="AR35" s="13">
        <f>SUM(AO35,AP35,AQ35)</f>
        <v>0</v>
      </c>
      <c r="AS35" s="1">
        <f>SUMIF(Students,E35,RGRcount)</f>
        <v>0</v>
      </c>
      <c r="AT35" s="1">
        <f>SUMIF(Students,E35,MGRcount)-AS35</f>
        <v>0</v>
      </c>
      <c r="AU35" s="1">
        <f>COUNTIF(Students,E35)-AS35-AT35</f>
        <v>0</v>
      </c>
      <c r="AV35" s="1">
        <f>SUMIF(Students,E35,FarBelowTGRCount)</f>
        <v>0</v>
      </c>
      <c r="AW35" s="47">
        <f>COUNTIF(Students,E35)</f>
        <v>0</v>
      </c>
      <c r="AX35" s="11">
        <f>IF(AW35&gt;0,AE35/AW35,0)</f>
        <v>0</v>
      </c>
      <c r="AY35" s="11">
        <f t="array" ref="AY35">1-PRODUCT(IF(Students=E35,MGRMult,1))</f>
        <v>0</v>
      </c>
      <c r="AZ35" s="12">
        <f t="array" ref="AZ35">1-PRODUCT(IF(Students=E35,RGRMult,1))</f>
        <v>0</v>
      </c>
      <c r="BA35" s="1">
        <f>COUNTIFS(Students,E35,Classes,HailMaryLabel)</f>
        <v>0</v>
      </c>
      <c r="BB35" s="1">
        <f>COUNTIFS(Students,E35,Classes,LongshotLabel)</f>
        <v>0</v>
      </c>
      <c r="BC35" s="1">
        <f>COUNTIFS(Students,E35,Classes,ReachLabel)</f>
        <v>0</v>
      </c>
      <c r="BD35" s="1">
        <f>COUNTIFS(Students,E35,Classes,MatchLabel)</f>
        <v>0</v>
      </c>
      <c r="BE35" s="1">
        <f>COUNTIFS(Students,E35,Classes,SafetyLabel)</f>
        <v>0</v>
      </c>
      <c r="BF35" s="1">
        <f>COUNTIFS(Students,E35,Classes,SecureLabel)</f>
        <v>0</v>
      </c>
      <c r="BG35" s="1">
        <f>COUNTIFS(Students,E35,Classes,SureThingLabel)</f>
        <v>0</v>
      </c>
      <c r="BH35" s="13">
        <f>COUNTIFS(Students,E35,Classes,"Other")</f>
        <v>0</v>
      </c>
      <c r="BI35" s="1">
        <f>COUNTIFS(Students,E35,Classes,ReachLabel,MoneyYesNo,1)</f>
        <v>0</v>
      </c>
      <c r="BJ35" s="1">
        <f>COUNTIFS(Students,E35,Classes,MatchLabel,MoneyYesNo,1)</f>
        <v>0</v>
      </c>
      <c r="BK35" s="1">
        <f>COUNTIFS(Students,E35,Classes,SafetyLabel,MoneyYesNo,1)</f>
        <v>0</v>
      </c>
      <c r="BL35" s="1">
        <f>COUNTIFS(Students,E35,Classes,SecureLabel,MoneyYesNo,1)</f>
        <v>0</v>
      </c>
      <c r="BM35" s="1">
        <f>COUNTIFS(Students,E35,Classes,SureThingLabel,MoneyYesNo,1)</f>
        <v>0</v>
      </c>
      <c r="BN35" s="1">
        <f>SUM(BI35:BM35)</f>
        <v>0</v>
      </c>
      <c r="BO35" s="1">
        <f>SUMIFS(RGRcount,Students,E35,MoneyYesNo,1,Odds,"&gt;=20")</f>
        <v>0</v>
      </c>
      <c r="BP35" s="1">
        <f>SUMIFS(MGRcount,Students,E35,MoneyYesNo,1,Odds,"&gt;=20")-BO35</f>
        <v>0</v>
      </c>
      <c r="BQ35" s="1">
        <f>SUMIFS(MGRcount,Students,E35,MoneyYesNo,1,Odds,"&gt;=50")</f>
        <v>0</v>
      </c>
      <c r="BR35" s="1">
        <f>SUMIFS(RGRcount,Students,E35,MoneyYesNo,1,Odds,"&gt;=10")</f>
        <v>0</v>
      </c>
      <c r="BS35" s="1">
        <f>SUMIFS(MGRcount,Students,E35,MoneyYesNo,1,Odds,"&gt;=10")-BR35</f>
        <v>0</v>
      </c>
      <c r="BT35" s="1">
        <f>COUNTIFS(Students,E35,ILPublic,1)</f>
        <v>0</v>
      </c>
      <c r="BU35" s="1">
        <f>COUNTIFS(Students,E35,ILPublic,1,MoneyYesNo,1,Classes,MatchLabel)+COUNTIFS(Students,E35,ILPublic,1,MoneyYesNo,1,Classes,SafetyLabel)+COUNTIFS(Students,E35,ILPublic,1,MoneyYesNo,1,Classes,SecureLabel)+COUNTIFS(Students,E35,ILPublic,1,MoneyYesNo,1,Classes,SureThingLabel)</f>
        <v>0</v>
      </c>
      <c r="BV35" s="1">
        <f>COUNTIFS(Students,E35,ILPublic,1, Classes,SecureLabel)</f>
        <v>0</v>
      </c>
      <c r="BW35" s="1">
        <f>COUNTIFS(Students,E35,MoneyChicago,1)</f>
        <v>0</v>
      </c>
      <c r="BX35" s="1">
        <f>COUNTIFS(Students,E35,MatchOrUnder,1)</f>
        <v>0</v>
      </c>
      <c r="BY35" s="1">
        <f>SUMIF(Students,E35,MGRcount)</f>
        <v>0</v>
      </c>
      <c r="BZ35" s="1">
        <f>COUNTIFS(Students,E35,BadMoney,1)</f>
        <v>0</v>
      </c>
      <c r="CA35" s="1">
        <f>COUNTIFS(Students,E35,GoldenThree,1)</f>
        <v>0</v>
      </c>
      <c r="CB35" s="1">
        <f>COUNTIFS(Students,E35,NCESids,147536)</f>
        <v>0</v>
      </c>
      <c r="CC35" s="1">
        <f>COUNTIFS(Students,E35,NCESids,144157)+COUNTIFS(Students,E35,NCESids,144166)+COUNTIFS(Students,E35,NCESids,144175)+COUNTIFS(Students,E35,NCESids,144184)+COUNTIFS(Students,E35,NCESids,144193)+COUNTIFS(Students,E35,NCESids,144209)+COUNTIFS(Students,E35,NCESids,144218)</f>
        <v>0</v>
      </c>
      <c r="CD35" s="1">
        <f>COUNTIFS(Students,E35,Results,"Accepted!",FarBelowTGRCount,0)+COUNTIFS(Students,E35,Results,"CHOICE!",FarBelowTGRCount,0)</f>
        <v>0</v>
      </c>
    </row>
    <row r="36" spans="1:82">
      <c r="A36" s="18" t="s">
        <v>96</v>
      </c>
      <c r="B36" s="19">
        <v>0</v>
      </c>
      <c r="C36" s="18" t="s">
        <v>97</v>
      </c>
      <c r="D36" s="18" t="s">
        <v>220</v>
      </c>
      <c r="E36" s="19">
        <v>23152737</v>
      </c>
      <c r="F36" s="19" t="s">
        <v>221</v>
      </c>
      <c r="G36" s="10" t="s">
        <v>222</v>
      </c>
      <c r="H36" s="46">
        <v>3.0173</v>
      </c>
      <c r="I36" s="46">
        <v>3.2173</v>
      </c>
      <c r="J36" s="1">
        <v>17</v>
      </c>
      <c r="K36" s="1">
        <f>IF(ISNUMBER(I36),ROUND(583.58+106.27*I36,-1),"TBD")</f>
        <v>0</v>
      </c>
      <c r="L36" s="1">
        <v>880</v>
      </c>
      <c r="M36" s="1">
        <f>IF(ISNUMBER(L36),L36,IF(ISNUMBER(K36),K36,"TBD"))</f>
        <v>0</v>
      </c>
      <c r="N36" s="1">
        <f>IF(ISNUMBER(J36),VLOOKUP(J36,ACTtoSAT,2,FALSE),"TBD")</f>
        <v>0</v>
      </c>
      <c r="O36" s="1">
        <f>IF(ISNUMBER(M36),IF(ISNUMBER(N36),MAX(M36,N36),M36),IF(ISNUMBER(N36),N36,"TBD"))</f>
        <v>0</v>
      </c>
      <c r="P36" s="1" t="s">
        <v>101</v>
      </c>
      <c r="Q36" s="1" t="s">
        <v>102</v>
      </c>
      <c r="R36" s="1" t="s">
        <v>103</v>
      </c>
      <c r="S36" s="1">
        <f>IF(AND(H36&lt;&gt;0,O36&lt;&gt;0),IF(ISNUMBER(VLOOKUP(TEXT(MAX(FLOOR(H36*10,1)/10,1.5),"0.0")&amp;":"&amp;MAX(O36,710),StrategyLookup,4,FALSE)),VLOOKUP(TEXT(MAX(FLOOR(H36*10,1)/10,1.5),"0.0")&amp;":"&amp;MAX(O36,710),StrategyLookup,4,FALSE),"TBD"),"TBD")</f>
        <v>0</v>
      </c>
      <c r="T36" s="11">
        <f>IF(ISNUMBER(S36),VLOOKUP(IF(OR(S36=5,S36=6),S36&amp;IF(H36&gt;=3,"+","&lt;"),S36&amp;""),TargetLookup,IF(B36=-1,6,IF(OR(P36="W",P36="A"),4,2)),FALSE),"TBD")</f>
        <v>0</v>
      </c>
      <c r="U36" s="11">
        <f>IF(ISNUMBER(S36),VLOOKUP(IF(OR(S36=5,S36=6),S36&amp;IF(H36&gt;=3,"+","&lt;"),S36&amp;""),TargetLookup,IF(B36=-1,7,IF(OR(P36="W",P36="A"),5,3)),FALSE),"TBD")</f>
        <v>0</v>
      </c>
      <c r="V36" s="18" t="s">
        <v>104</v>
      </c>
      <c r="W36" s="19" t="s">
        <v>170</v>
      </c>
      <c r="X36" s="19" t="s">
        <v>106</v>
      </c>
      <c r="Y36" s="19">
        <f>V36&amp;X36&amp;D36</f>
        <v>0</v>
      </c>
      <c r="Z36" s="11">
        <f t="array" ref="Z36">1-PRODUCT(IF(Students=E36,MGRMoneyMult,1))</f>
        <v>0</v>
      </c>
      <c r="AA36" s="12">
        <f t="array" ref="AA36">1-PRODUCT(IF(Students=E36,RGRMoneyMult,1))</f>
        <v>0</v>
      </c>
      <c r="AB36" s="13">
        <f>COUNTIFS(Students,E36,Results,"Accepted!")+COUNTIFS(Students,E36,Results,"CHOICE!")</f>
        <v>0</v>
      </c>
      <c r="AC36" s="1">
        <f>COUNTIFS(Students,E36,Results,"Deferred")+COUNTIFS(Students,E36,Results,"Waitlist")</f>
        <v>0</v>
      </c>
      <c r="AD36" s="13">
        <f>COUNTIFS(Students,E36,Results,"Denied")</f>
        <v>0</v>
      </c>
      <c r="AE36" s="13">
        <f>AB36+AC36+AD36+COUNTIFS(Students,E36,Results,"Submitted")</f>
        <v>0</v>
      </c>
      <c r="AF36" s="12">
        <v>0.6987271770732928</v>
      </c>
      <c r="AG36" s="12">
        <v>0.5795275124223707</v>
      </c>
      <c r="AH36" s="12">
        <v>0.4991512649016795</v>
      </c>
      <c r="AI36" s="12">
        <v>0.4651849874539534</v>
      </c>
      <c r="AJ36" s="13">
        <f>COUNTIFS(Students,E36,Results,"CHOICE!")</f>
        <v>0</v>
      </c>
      <c r="AK36" s="1">
        <f>COUNTIFS(MoneyYesNo,1,RGRcount,1,Students,E36,Results,"Accepted!")</f>
        <v>0</v>
      </c>
      <c r="AL36" s="1">
        <f>COUNTIFS(MoneyYesNo,1,MGRcount,1,Students,E36,Results,"Accepted!")-AK36</f>
        <v>0</v>
      </c>
      <c r="AM36" s="1">
        <f>COUNTIFS(MoneyYesNo,1,Students,E36,Results,"Accepted!")-AK36-AL36</f>
        <v>0</v>
      </c>
      <c r="AN36" s="13">
        <f>COUNTIFS(Students,E36,Results,"Accepted!")-AK36-AL36-AM36</f>
        <v>0</v>
      </c>
      <c r="AO36" s="1">
        <f>SUMIFS(RGRcount,Students,E36,MoneyYesNo,1)</f>
        <v>0</v>
      </c>
      <c r="AP36" s="1">
        <f>SUMIFS(MGRcount,Students,E36,MoneyYesNo,1)-AO36</f>
        <v>0</v>
      </c>
      <c r="AQ36" s="1">
        <f>SUMIF(Students,E36,MoneyYesNo)-AO36-AP36</f>
        <v>0</v>
      </c>
      <c r="AR36" s="13">
        <f>SUM(AO36,AP36,AQ36)</f>
        <v>0</v>
      </c>
      <c r="AS36" s="1">
        <f>SUMIF(Students,E36,RGRcount)</f>
        <v>0</v>
      </c>
      <c r="AT36" s="1">
        <f>SUMIF(Students,E36,MGRcount)-AS36</f>
        <v>0</v>
      </c>
      <c r="AU36" s="1">
        <f>COUNTIF(Students,E36)-AS36-AT36</f>
        <v>0</v>
      </c>
      <c r="AV36" s="1">
        <f>SUMIF(Students,E36,FarBelowTGRCount)</f>
        <v>0</v>
      </c>
      <c r="AW36" s="47">
        <f>COUNTIF(Students,E36)</f>
        <v>0</v>
      </c>
      <c r="AX36" s="11">
        <f>IF(AW36&gt;0,AE36/AW36,0)</f>
        <v>0</v>
      </c>
      <c r="AY36" s="11">
        <f t="array" ref="AY36">1-PRODUCT(IF(Students=E36,MGRMult,1))</f>
        <v>0</v>
      </c>
      <c r="AZ36" s="12">
        <f t="array" ref="AZ36">1-PRODUCT(IF(Students=E36,RGRMult,1))</f>
        <v>0</v>
      </c>
      <c r="BA36" s="1">
        <f>COUNTIFS(Students,E36,Classes,HailMaryLabel)</f>
        <v>0</v>
      </c>
      <c r="BB36" s="1">
        <f>COUNTIFS(Students,E36,Classes,LongshotLabel)</f>
        <v>0</v>
      </c>
      <c r="BC36" s="1">
        <f>COUNTIFS(Students,E36,Classes,ReachLabel)</f>
        <v>0</v>
      </c>
      <c r="BD36" s="1">
        <f>COUNTIFS(Students,E36,Classes,MatchLabel)</f>
        <v>0</v>
      </c>
      <c r="BE36" s="1">
        <f>COUNTIFS(Students,E36,Classes,SafetyLabel)</f>
        <v>0</v>
      </c>
      <c r="BF36" s="1">
        <f>COUNTIFS(Students,E36,Classes,SecureLabel)</f>
        <v>0</v>
      </c>
      <c r="BG36" s="1">
        <f>COUNTIFS(Students,E36,Classes,SureThingLabel)</f>
        <v>0</v>
      </c>
      <c r="BH36" s="13">
        <f>COUNTIFS(Students,E36,Classes,"Other")</f>
        <v>0</v>
      </c>
      <c r="BI36" s="1">
        <f>COUNTIFS(Students,E36,Classes,ReachLabel,MoneyYesNo,1)</f>
        <v>0</v>
      </c>
      <c r="BJ36" s="1">
        <f>COUNTIFS(Students,E36,Classes,MatchLabel,MoneyYesNo,1)</f>
        <v>0</v>
      </c>
      <c r="BK36" s="1">
        <f>COUNTIFS(Students,E36,Classes,SafetyLabel,MoneyYesNo,1)</f>
        <v>0</v>
      </c>
      <c r="BL36" s="1">
        <f>COUNTIFS(Students,E36,Classes,SecureLabel,MoneyYesNo,1)</f>
        <v>0</v>
      </c>
      <c r="BM36" s="1">
        <f>COUNTIFS(Students,E36,Classes,SureThingLabel,MoneyYesNo,1)</f>
        <v>0</v>
      </c>
      <c r="BN36" s="1">
        <f>SUM(BI36:BM36)</f>
        <v>0</v>
      </c>
      <c r="BO36" s="1">
        <f>SUMIFS(RGRcount,Students,E36,MoneyYesNo,1,Odds,"&gt;=20")</f>
        <v>0</v>
      </c>
      <c r="BP36" s="1">
        <f>SUMIFS(MGRcount,Students,E36,MoneyYesNo,1,Odds,"&gt;=20")-BO36</f>
        <v>0</v>
      </c>
      <c r="BQ36" s="1">
        <f>SUMIFS(MGRcount,Students,E36,MoneyYesNo,1,Odds,"&gt;=50")</f>
        <v>0</v>
      </c>
      <c r="BR36" s="1">
        <f>SUMIFS(RGRcount,Students,E36,MoneyYesNo,1,Odds,"&gt;=10")</f>
        <v>0</v>
      </c>
      <c r="BS36" s="1">
        <f>SUMIFS(MGRcount,Students,E36,MoneyYesNo,1,Odds,"&gt;=10")-BR36</f>
        <v>0</v>
      </c>
      <c r="BT36" s="1">
        <f>COUNTIFS(Students,E36,ILPublic,1)</f>
        <v>0</v>
      </c>
      <c r="BU36" s="1">
        <f>COUNTIFS(Students,E36,ILPublic,1,MoneyYesNo,1,Classes,MatchLabel)+COUNTIFS(Students,E36,ILPublic,1,MoneyYesNo,1,Classes,SafetyLabel)+COUNTIFS(Students,E36,ILPublic,1,MoneyYesNo,1,Classes,SecureLabel)+COUNTIFS(Students,E36,ILPublic,1,MoneyYesNo,1,Classes,SureThingLabel)</f>
        <v>0</v>
      </c>
      <c r="BV36" s="1">
        <f>COUNTIFS(Students,E36,ILPublic,1, Classes,SecureLabel)</f>
        <v>0</v>
      </c>
      <c r="BW36" s="1">
        <f>COUNTIFS(Students,E36,MoneyChicago,1)</f>
        <v>0</v>
      </c>
      <c r="BX36" s="1">
        <f>COUNTIFS(Students,E36,MatchOrUnder,1)</f>
        <v>0</v>
      </c>
      <c r="BY36" s="1">
        <f>SUMIF(Students,E36,MGRcount)</f>
        <v>0</v>
      </c>
      <c r="BZ36" s="1">
        <f>COUNTIFS(Students,E36,BadMoney,1)</f>
        <v>0</v>
      </c>
      <c r="CA36" s="1">
        <f>COUNTIFS(Students,E36,GoldenThree,1)</f>
        <v>0</v>
      </c>
      <c r="CB36" s="1">
        <f>COUNTIFS(Students,E36,NCESids,147536)</f>
        <v>0</v>
      </c>
      <c r="CC36" s="1">
        <f>COUNTIFS(Students,E36,NCESids,144157)+COUNTIFS(Students,E36,NCESids,144166)+COUNTIFS(Students,E36,NCESids,144175)+COUNTIFS(Students,E36,NCESids,144184)+COUNTIFS(Students,E36,NCESids,144193)+COUNTIFS(Students,E36,NCESids,144209)+COUNTIFS(Students,E36,NCESids,144218)</f>
        <v>0</v>
      </c>
      <c r="CD36" s="1">
        <f>COUNTIFS(Students,E36,Results,"Accepted!",FarBelowTGRCount,0)+COUNTIFS(Students,E36,Results,"CHOICE!",FarBelowTGRCount,0)</f>
        <v>0</v>
      </c>
    </row>
    <row r="37" spans="1:82">
      <c r="A37" s="18" t="s">
        <v>96</v>
      </c>
      <c r="B37" s="19">
        <v>0</v>
      </c>
      <c r="C37" s="18" t="s">
        <v>153</v>
      </c>
      <c r="D37" s="18" t="s">
        <v>223</v>
      </c>
      <c r="E37" s="19">
        <v>24136022</v>
      </c>
      <c r="F37" s="19" t="s">
        <v>224</v>
      </c>
      <c r="G37" s="10" t="s">
        <v>225</v>
      </c>
      <c r="H37" s="46">
        <v>2.1404</v>
      </c>
      <c r="I37" s="46">
        <v>2.3404</v>
      </c>
      <c r="J37" s="1">
        <v>17</v>
      </c>
      <c r="K37" s="1">
        <f>IF(ISNUMBER(I37),ROUND(583.58+106.27*I37,-1),"TBD")</f>
        <v>0</v>
      </c>
      <c r="L37" s="1">
        <v>850</v>
      </c>
      <c r="M37" s="1">
        <f>IF(ISNUMBER(L37),L37,IF(ISNUMBER(K37),K37,"TBD"))</f>
        <v>0</v>
      </c>
      <c r="N37" s="1">
        <f>IF(ISNUMBER(J37),VLOOKUP(J37,ACTtoSAT,2,FALSE),"TBD")</f>
        <v>0</v>
      </c>
      <c r="O37" s="1">
        <f>IF(ISNUMBER(M37),IF(ISNUMBER(N37),MAX(M37,N37),M37),IF(ISNUMBER(N37),N37,"TBD"))</f>
        <v>0</v>
      </c>
      <c r="P37" s="1" t="s">
        <v>129</v>
      </c>
      <c r="Q37" s="1" t="s">
        <v>102</v>
      </c>
      <c r="R37" s="1" t="s">
        <v>226</v>
      </c>
      <c r="S37" s="1">
        <f>IF(AND(H37&lt;&gt;0,O37&lt;&gt;0),IF(ISNUMBER(VLOOKUP(TEXT(MAX(FLOOR(H37*10,1)/10,1.5),"0.0")&amp;":"&amp;MAX(O37,710),StrategyLookup,4,FALSE)),VLOOKUP(TEXT(MAX(FLOOR(H37*10,1)/10,1.5),"0.0")&amp;":"&amp;MAX(O37,710),StrategyLookup,4,FALSE),"TBD"),"TBD")</f>
        <v>0</v>
      </c>
      <c r="T37" s="11">
        <f>IF(ISNUMBER(S37),VLOOKUP(IF(OR(S37=5,S37=6),S37&amp;IF(H37&gt;=3,"+","&lt;"),S37&amp;""),TargetLookup,IF(B37=-1,6,IF(OR(P37="W",P37="A"),4,2)),FALSE),"TBD")</f>
        <v>0</v>
      </c>
      <c r="U37" s="11">
        <f>IF(ISNUMBER(S37),VLOOKUP(IF(OR(S37=5,S37=6),S37&amp;IF(H37&gt;=3,"+","&lt;"),S37&amp;""),TargetLookup,IF(B37=-1,7,IF(OR(P37="W",P37="A"),5,3)),FALSE),"TBD")</f>
        <v>0</v>
      </c>
      <c r="V37" s="18" t="s">
        <v>104</v>
      </c>
      <c r="W37" s="19" t="s">
        <v>170</v>
      </c>
      <c r="X37" s="19" t="s">
        <v>106</v>
      </c>
      <c r="Y37" s="19">
        <f>V37&amp;X37&amp;D37</f>
        <v>0</v>
      </c>
      <c r="Z37" s="11">
        <f t="array" ref="Z37">1-PRODUCT(IF(Students=E37,MGRMoneyMult,1))</f>
        <v>0</v>
      </c>
      <c r="AA37" s="12">
        <f t="array" ref="AA37">1-PRODUCT(IF(Students=E37,RGRMoneyMult,1))</f>
        <v>0</v>
      </c>
      <c r="AB37" s="13">
        <f>COUNTIFS(Students,E37,Results,"Accepted!")+COUNTIFS(Students,E37,Results,"CHOICE!")</f>
        <v>0</v>
      </c>
      <c r="AC37" s="1">
        <f>COUNTIFS(Students,E37,Results,"Deferred")+COUNTIFS(Students,E37,Results,"Waitlist")</f>
        <v>0</v>
      </c>
      <c r="AD37" s="13">
        <f>COUNTIFS(Students,E37,Results,"Denied")</f>
        <v>0</v>
      </c>
      <c r="AE37" s="13">
        <f>AB37+AC37+AD37+COUNTIFS(Students,E37,Results,"Submitted")</f>
        <v>0</v>
      </c>
      <c r="AF37" s="12">
        <v>0.4405162542165364</v>
      </c>
      <c r="AG37" s="12">
        <v>0.4108841715983599</v>
      </c>
      <c r="AH37" s="12">
        <v>0.3433719980535815</v>
      </c>
      <c r="AI37" s="12">
        <v>0.3259755964938991</v>
      </c>
      <c r="AJ37" s="13">
        <f>COUNTIFS(Students,E37,Results,"CHOICE!")</f>
        <v>0</v>
      </c>
      <c r="AK37" s="1">
        <f>COUNTIFS(MoneyYesNo,1,RGRcount,1,Students,E37,Results,"Accepted!")</f>
        <v>0</v>
      </c>
      <c r="AL37" s="1">
        <f>COUNTIFS(MoneyYesNo,1,MGRcount,1,Students,E37,Results,"Accepted!")-AK37</f>
        <v>0</v>
      </c>
      <c r="AM37" s="1">
        <f>COUNTIFS(MoneyYesNo,1,Students,E37,Results,"Accepted!")-AK37-AL37</f>
        <v>0</v>
      </c>
      <c r="AN37" s="13">
        <f>COUNTIFS(Students,E37,Results,"Accepted!")-AK37-AL37-AM37</f>
        <v>0</v>
      </c>
      <c r="AO37" s="1">
        <f>SUMIFS(RGRcount,Students,E37,MoneyYesNo,1)</f>
        <v>0</v>
      </c>
      <c r="AP37" s="1">
        <f>SUMIFS(MGRcount,Students,E37,MoneyYesNo,1)-AO37</f>
        <v>0</v>
      </c>
      <c r="AQ37" s="1">
        <f>SUMIF(Students,E37,MoneyYesNo)-AO37-AP37</f>
        <v>0</v>
      </c>
      <c r="AR37" s="13">
        <f>SUM(AO37,AP37,AQ37)</f>
        <v>0</v>
      </c>
      <c r="AS37" s="1">
        <f>SUMIF(Students,E37,RGRcount)</f>
        <v>0</v>
      </c>
      <c r="AT37" s="1">
        <f>SUMIF(Students,E37,MGRcount)-AS37</f>
        <v>0</v>
      </c>
      <c r="AU37" s="1">
        <f>COUNTIF(Students,E37)-AS37-AT37</f>
        <v>0</v>
      </c>
      <c r="AV37" s="1">
        <f>SUMIF(Students,E37,FarBelowTGRCount)</f>
        <v>0</v>
      </c>
      <c r="AW37" s="47">
        <f>COUNTIF(Students,E37)</f>
        <v>0</v>
      </c>
      <c r="AX37" s="11">
        <f>IF(AW37&gt;0,AE37/AW37,0)</f>
        <v>0</v>
      </c>
      <c r="AY37" s="11">
        <f t="array" ref="AY37">1-PRODUCT(IF(Students=E37,MGRMult,1))</f>
        <v>0</v>
      </c>
      <c r="AZ37" s="12">
        <f t="array" ref="AZ37">1-PRODUCT(IF(Students=E37,RGRMult,1))</f>
        <v>0</v>
      </c>
      <c r="BA37" s="1">
        <f>COUNTIFS(Students,E37,Classes,HailMaryLabel)</f>
        <v>0</v>
      </c>
      <c r="BB37" s="1">
        <f>COUNTIFS(Students,E37,Classes,LongshotLabel)</f>
        <v>0</v>
      </c>
      <c r="BC37" s="1">
        <f>COUNTIFS(Students,E37,Classes,ReachLabel)</f>
        <v>0</v>
      </c>
      <c r="BD37" s="1">
        <f>COUNTIFS(Students,E37,Classes,MatchLabel)</f>
        <v>0</v>
      </c>
      <c r="BE37" s="1">
        <f>COUNTIFS(Students,E37,Classes,SafetyLabel)</f>
        <v>0</v>
      </c>
      <c r="BF37" s="1">
        <f>COUNTIFS(Students,E37,Classes,SecureLabel)</f>
        <v>0</v>
      </c>
      <c r="BG37" s="1">
        <f>COUNTIFS(Students,E37,Classes,SureThingLabel)</f>
        <v>0</v>
      </c>
      <c r="BH37" s="13">
        <f>COUNTIFS(Students,E37,Classes,"Other")</f>
        <v>0</v>
      </c>
      <c r="BI37" s="1">
        <f>COUNTIFS(Students,E37,Classes,ReachLabel,MoneyYesNo,1)</f>
        <v>0</v>
      </c>
      <c r="BJ37" s="1">
        <f>COUNTIFS(Students,E37,Classes,MatchLabel,MoneyYesNo,1)</f>
        <v>0</v>
      </c>
      <c r="BK37" s="1">
        <f>COUNTIFS(Students,E37,Classes,SafetyLabel,MoneyYesNo,1)</f>
        <v>0</v>
      </c>
      <c r="BL37" s="1">
        <f>COUNTIFS(Students,E37,Classes,SecureLabel,MoneyYesNo,1)</f>
        <v>0</v>
      </c>
      <c r="BM37" s="1">
        <f>COUNTIFS(Students,E37,Classes,SureThingLabel,MoneyYesNo,1)</f>
        <v>0</v>
      </c>
      <c r="BN37" s="1">
        <f>SUM(BI37:BM37)</f>
        <v>0</v>
      </c>
      <c r="BO37" s="1">
        <f>SUMIFS(RGRcount,Students,E37,MoneyYesNo,1,Odds,"&gt;=20")</f>
        <v>0</v>
      </c>
      <c r="BP37" s="1">
        <f>SUMIFS(MGRcount,Students,E37,MoneyYesNo,1,Odds,"&gt;=20")-BO37</f>
        <v>0</v>
      </c>
      <c r="BQ37" s="1">
        <f>SUMIFS(MGRcount,Students,E37,MoneyYesNo,1,Odds,"&gt;=50")</f>
        <v>0</v>
      </c>
      <c r="BR37" s="1">
        <f>SUMIFS(RGRcount,Students,E37,MoneyYesNo,1,Odds,"&gt;=10")</f>
        <v>0</v>
      </c>
      <c r="BS37" s="1">
        <f>SUMIFS(MGRcount,Students,E37,MoneyYesNo,1,Odds,"&gt;=10")-BR37</f>
        <v>0</v>
      </c>
      <c r="BT37" s="1">
        <f>COUNTIFS(Students,E37,ILPublic,1)</f>
        <v>0</v>
      </c>
      <c r="BU37" s="1">
        <f>COUNTIFS(Students,E37,ILPublic,1,MoneyYesNo,1,Classes,MatchLabel)+COUNTIFS(Students,E37,ILPublic,1,MoneyYesNo,1,Classes,SafetyLabel)+COUNTIFS(Students,E37,ILPublic,1,MoneyYesNo,1,Classes,SecureLabel)+COUNTIFS(Students,E37,ILPublic,1,MoneyYesNo,1,Classes,SureThingLabel)</f>
        <v>0</v>
      </c>
      <c r="BV37" s="1">
        <f>COUNTIFS(Students,E37,ILPublic,1, Classes,SecureLabel)</f>
        <v>0</v>
      </c>
      <c r="BW37" s="1">
        <f>COUNTIFS(Students,E37,MoneyChicago,1)</f>
        <v>0</v>
      </c>
      <c r="BX37" s="1">
        <f>COUNTIFS(Students,E37,MatchOrUnder,1)</f>
        <v>0</v>
      </c>
      <c r="BY37" s="1">
        <f>SUMIF(Students,E37,MGRcount)</f>
        <v>0</v>
      </c>
      <c r="BZ37" s="1">
        <f>COUNTIFS(Students,E37,BadMoney,1)</f>
        <v>0</v>
      </c>
      <c r="CA37" s="1">
        <f>COUNTIFS(Students,E37,GoldenThree,1)</f>
        <v>0</v>
      </c>
      <c r="CB37" s="1">
        <f>COUNTIFS(Students,E37,NCESids,147536)</f>
        <v>0</v>
      </c>
      <c r="CC37" s="1">
        <f>COUNTIFS(Students,E37,NCESids,144157)+COUNTIFS(Students,E37,NCESids,144166)+COUNTIFS(Students,E37,NCESids,144175)+COUNTIFS(Students,E37,NCESids,144184)+COUNTIFS(Students,E37,NCESids,144193)+COUNTIFS(Students,E37,NCESids,144209)+COUNTIFS(Students,E37,NCESids,144218)</f>
        <v>0</v>
      </c>
      <c r="CD37" s="1">
        <f>COUNTIFS(Students,E37,Results,"Accepted!",FarBelowTGRCount,0)+COUNTIFS(Students,E37,Results,"CHOICE!",FarBelowTGRCount,0)</f>
        <v>0</v>
      </c>
    </row>
    <row r="38" spans="1:82">
      <c r="A38" s="18" t="s">
        <v>96</v>
      </c>
      <c r="B38" s="19">
        <v>0</v>
      </c>
      <c r="C38" s="18" t="s">
        <v>97</v>
      </c>
      <c r="D38" s="18" t="s">
        <v>227</v>
      </c>
      <c r="E38" s="19">
        <v>23438312</v>
      </c>
      <c r="F38" s="19" t="s">
        <v>228</v>
      </c>
      <c r="G38" s="10" t="s">
        <v>229</v>
      </c>
      <c r="H38" s="46">
        <v>3.4442</v>
      </c>
      <c r="I38" s="46">
        <v>3.6442</v>
      </c>
      <c r="J38" s="1">
        <v>20</v>
      </c>
      <c r="K38" s="1">
        <f>IF(ISNUMBER(I38),ROUND(583.58+106.27*I38,-1),"TBD")</f>
        <v>0</v>
      </c>
      <c r="L38" s="1">
        <v>840</v>
      </c>
      <c r="M38" s="1">
        <f>IF(ISNUMBER(L38),L38,IF(ISNUMBER(K38),K38,"TBD"))</f>
        <v>0</v>
      </c>
      <c r="N38" s="1">
        <f>IF(ISNUMBER(J38),VLOOKUP(J38,ACTtoSAT,2,FALSE),"TBD")</f>
        <v>0</v>
      </c>
      <c r="O38" s="1">
        <f>IF(ISNUMBER(M38),IF(ISNUMBER(N38),MAX(M38,N38),M38),IF(ISNUMBER(N38),N38,"TBD"))</f>
        <v>0</v>
      </c>
      <c r="P38" s="1" t="s">
        <v>101</v>
      </c>
      <c r="Q38" s="1" t="s">
        <v>102</v>
      </c>
      <c r="R38" s="1" t="s">
        <v>103</v>
      </c>
      <c r="S38" s="1">
        <f>IF(AND(H38&lt;&gt;0,O38&lt;&gt;0),IF(ISNUMBER(VLOOKUP(TEXT(MAX(FLOOR(H38*10,1)/10,1.5),"0.0")&amp;":"&amp;MAX(O38,710),StrategyLookup,4,FALSE)),VLOOKUP(TEXT(MAX(FLOOR(H38*10,1)/10,1.5),"0.0")&amp;":"&amp;MAX(O38,710),StrategyLookup,4,FALSE),"TBD"),"TBD")</f>
        <v>0</v>
      </c>
      <c r="T38" s="11">
        <f>IF(ISNUMBER(S38),VLOOKUP(IF(OR(S38=5,S38=6),S38&amp;IF(H38&gt;=3,"+","&lt;"),S38&amp;""),TargetLookup,IF(B38=-1,6,IF(OR(P38="W",P38="A"),4,2)),FALSE),"TBD")</f>
        <v>0</v>
      </c>
      <c r="U38" s="11">
        <f>IF(ISNUMBER(S38),VLOOKUP(IF(OR(S38=5,S38=6),S38&amp;IF(H38&gt;=3,"+","&lt;"),S38&amp;""),TargetLookup,IF(B38=-1,7,IF(OR(P38="W",P38="A"),5,3)),FALSE),"TBD")</f>
        <v>0</v>
      </c>
      <c r="V38" s="18" t="s">
        <v>135</v>
      </c>
      <c r="W38" s="19" t="s">
        <v>146</v>
      </c>
      <c r="X38" s="19" t="s">
        <v>106</v>
      </c>
      <c r="Y38" s="19">
        <f>V38&amp;X38&amp;D38</f>
        <v>0</v>
      </c>
      <c r="Z38" s="11">
        <f t="array" ref="Z38">1-PRODUCT(IF(Students=E38,MGRMoneyMult,1))</f>
        <v>0</v>
      </c>
      <c r="AA38" s="12">
        <f t="array" ref="AA38">1-PRODUCT(IF(Students=E38,RGRMoneyMult,1))</f>
        <v>0</v>
      </c>
      <c r="AB38" s="13">
        <f>COUNTIFS(Students,E38,Results,"Accepted!")+COUNTIFS(Students,E38,Results,"CHOICE!")</f>
        <v>0</v>
      </c>
      <c r="AC38" s="1">
        <f>COUNTIFS(Students,E38,Results,"Deferred")+COUNTIFS(Students,E38,Results,"Waitlist")</f>
        <v>0</v>
      </c>
      <c r="AD38" s="13">
        <f>COUNTIFS(Students,E38,Results,"Denied")</f>
        <v>0</v>
      </c>
      <c r="AE38" s="13">
        <f>AB38+AC38+AD38+COUNTIFS(Students,E38,Results,"Submitted")</f>
        <v>0</v>
      </c>
      <c r="AF38" s="12">
        <v>0.7976141313318279</v>
      </c>
      <c r="AG38" s="12">
        <v>0.7667694045124875</v>
      </c>
      <c r="AH38" s="12">
        <v>0.7289114992050058</v>
      </c>
      <c r="AI38" s="12">
        <v>0.7076143141153082</v>
      </c>
      <c r="AJ38" s="13">
        <f>COUNTIFS(Students,E38,Results,"CHOICE!")</f>
        <v>0</v>
      </c>
      <c r="AK38" s="1">
        <f>COUNTIFS(MoneyYesNo,1,RGRcount,1,Students,E38,Results,"Accepted!")</f>
        <v>0</v>
      </c>
      <c r="AL38" s="1">
        <f>COUNTIFS(MoneyYesNo,1,MGRcount,1,Students,E38,Results,"Accepted!")-AK38</f>
        <v>0</v>
      </c>
      <c r="AM38" s="1">
        <f>COUNTIFS(MoneyYesNo,1,Students,E38,Results,"Accepted!")-AK38-AL38</f>
        <v>0</v>
      </c>
      <c r="AN38" s="13">
        <f>COUNTIFS(Students,E38,Results,"Accepted!")-AK38-AL38-AM38</f>
        <v>0</v>
      </c>
      <c r="AO38" s="1">
        <f>SUMIFS(RGRcount,Students,E38,MoneyYesNo,1)</f>
        <v>0</v>
      </c>
      <c r="AP38" s="1">
        <f>SUMIFS(MGRcount,Students,E38,MoneyYesNo,1)-AO38</f>
        <v>0</v>
      </c>
      <c r="AQ38" s="1">
        <f>SUMIF(Students,E38,MoneyYesNo)-AO38-AP38</f>
        <v>0</v>
      </c>
      <c r="AR38" s="13">
        <f>SUM(AO38,AP38,AQ38)</f>
        <v>0</v>
      </c>
      <c r="AS38" s="1">
        <f>SUMIF(Students,E38,RGRcount)</f>
        <v>0</v>
      </c>
      <c r="AT38" s="1">
        <f>SUMIF(Students,E38,MGRcount)-AS38</f>
        <v>0</v>
      </c>
      <c r="AU38" s="1">
        <f>COUNTIF(Students,E38)-AS38-AT38</f>
        <v>0</v>
      </c>
      <c r="AV38" s="1">
        <f>SUMIF(Students,E38,FarBelowTGRCount)</f>
        <v>0</v>
      </c>
      <c r="AW38" s="47">
        <f>COUNTIF(Students,E38)</f>
        <v>0</v>
      </c>
      <c r="AX38" s="11">
        <f>IF(AW38&gt;0,AE38/AW38,0)</f>
        <v>0</v>
      </c>
      <c r="AY38" s="11">
        <f t="array" ref="AY38">1-PRODUCT(IF(Students=E38,MGRMult,1))</f>
        <v>0</v>
      </c>
      <c r="AZ38" s="12">
        <f t="array" ref="AZ38">1-PRODUCT(IF(Students=E38,RGRMult,1))</f>
        <v>0</v>
      </c>
      <c r="BA38" s="1">
        <f>COUNTIFS(Students,E38,Classes,HailMaryLabel)</f>
        <v>0</v>
      </c>
      <c r="BB38" s="1">
        <f>COUNTIFS(Students,E38,Classes,LongshotLabel)</f>
        <v>0</v>
      </c>
      <c r="BC38" s="1">
        <f>COUNTIFS(Students,E38,Classes,ReachLabel)</f>
        <v>0</v>
      </c>
      <c r="BD38" s="1">
        <f>COUNTIFS(Students,E38,Classes,MatchLabel)</f>
        <v>0</v>
      </c>
      <c r="BE38" s="1">
        <f>COUNTIFS(Students,E38,Classes,SafetyLabel)</f>
        <v>0</v>
      </c>
      <c r="BF38" s="1">
        <f>COUNTIFS(Students,E38,Classes,SecureLabel)</f>
        <v>0</v>
      </c>
      <c r="BG38" s="1">
        <f>COUNTIFS(Students,E38,Classes,SureThingLabel)</f>
        <v>0</v>
      </c>
      <c r="BH38" s="13">
        <f>COUNTIFS(Students,E38,Classes,"Other")</f>
        <v>0</v>
      </c>
      <c r="BI38" s="1">
        <f>COUNTIFS(Students,E38,Classes,ReachLabel,MoneyYesNo,1)</f>
        <v>0</v>
      </c>
      <c r="BJ38" s="1">
        <f>COUNTIFS(Students,E38,Classes,MatchLabel,MoneyYesNo,1)</f>
        <v>0</v>
      </c>
      <c r="BK38" s="1">
        <f>COUNTIFS(Students,E38,Classes,SafetyLabel,MoneyYesNo,1)</f>
        <v>0</v>
      </c>
      <c r="BL38" s="1">
        <f>COUNTIFS(Students,E38,Classes,SecureLabel,MoneyYesNo,1)</f>
        <v>0</v>
      </c>
      <c r="BM38" s="1">
        <f>COUNTIFS(Students,E38,Classes,SureThingLabel,MoneyYesNo,1)</f>
        <v>0</v>
      </c>
      <c r="BN38" s="1">
        <f>SUM(BI38:BM38)</f>
        <v>0</v>
      </c>
      <c r="BO38" s="1">
        <f>SUMIFS(RGRcount,Students,E38,MoneyYesNo,1,Odds,"&gt;=20")</f>
        <v>0</v>
      </c>
      <c r="BP38" s="1">
        <f>SUMIFS(MGRcount,Students,E38,MoneyYesNo,1,Odds,"&gt;=20")-BO38</f>
        <v>0</v>
      </c>
      <c r="BQ38" s="1">
        <f>SUMIFS(MGRcount,Students,E38,MoneyYesNo,1,Odds,"&gt;=50")</f>
        <v>0</v>
      </c>
      <c r="BR38" s="1">
        <f>SUMIFS(RGRcount,Students,E38,MoneyYesNo,1,Odds,"&gt;=10")</f>
        <v>0</v>
      </c>
      <c r="BS38" s="1">
        <f>SUMIFS(MGRcount,Students,E38,MoneyYesNo,1,Odds,"&gt;=10")-BR38</f>
        <v>0</v>
      </c>
      <c r="BT38" s="1">
        <f>COUNTIFS(Students,E38,ILPublic,1)</f>
        <v>0</v>
      </c>
      <c r="BU38" s="1">
        <f>COUNTIFS(Students,E38,ILPublic,1,MoneyYesNo,1,Classes,MatchLabel)+COUNTIFS(Students,E38,ILPublic,1,MoneyYesNo,1,Classes,SafetyLabel)+COUNTIFS(Students,E38,ILPublic,1,MoneyYesNo,1,Classes,SecureLabel)+COUNTIFS(Students,E38,ILPublic,1,MoneyYesNo,1,Classes,SureThingLabel)</f>
        <v>0</v>
      </c>
      <c r="BV38" s="1">
        <f>COUNTIFS(Students,E38,ILPublic,1, Classes,SecureLabel)</f>
        <v>0</v>
      </c>
      <c r="BW38" s="1">
        <f>COUNTIFS(Students,E38,MoneyChicago,1)</f>
        <v>0</v>
      </c>
      <c r="BX38" s="1">
        <f>COUNTIFS(Students,E38,MatchOrUnder,1)</f>
        <v>0</v>
      </c>
      <c r="BY38" s="1">
        <f>SUMIF(Students,E38,MGRcount)</f>
        <v>0</v>
      </c>
      <c r="BZ38" s="1">
        <f>COUNTIFS(Students,E38,BadMoney,1)</f>
        <v>0</v>
      </c>
      <c r="CA38" s="1">
        <f>COUNTIFS(Students,E38,GoldenThree,1)</f>
        <v>0</v>
      </c>
      <c r="CB38" s="1">
        <f>COUNTIFS(Students,E38,NCESids,147536)</f>
        <v>0</v>
      </c>
      <c r="CC38" s="1">
        <f>COUNTIFS(Students,E38,NCESids,144157)+COUNTIFS(Students,E38,NCESids,144166)+COUNTIFS(Students,E38,NCESids,144175)+COUNTIFS(Students,E38,NCESids,144184)+COUNTIFS(Students,E38,NCESids,144193)+COUNTIFS(Students,E38,NCESids,144209)+COUNTIFS(Students,E38,NCESids,144218)</f>
        <v>0</v>
      </c>
      <c r="CD38" s="1">
        <f>COUNTIFS(Students,E38,Results,"Accepted!",FarBelowTGRCount,0)+COUNTIFS(Students,E38,Results,"CHOICE!",FarBelowTGRCount,0)</f>
        <v>0</v>
      </c>
    </row>
    <row r="39" spans="1:82">
      <c r="A39" s="18" t="s">
        <v>96</v>
      </c>
      <c r="B39" s="19">
        <v>0</v>
      </c>
      <c r="C39" s="18" t="s">
        <v>97</v>
      </c>
      <c r="D39" s="18" t="s">
        <v>230</v>
      </c>
      <c r="E39" s="19">
        <v>24155152</v>
      </c>
      <c r="F39" s="19" t="s">
        <v>231</v>
      </c>
      <c r="G39" s="10" t="s">
        <v>232</v>
      </c>
      <c r="H39" s="46">
        <v>3.1788</v>
      </c>
      <c r="I39" s="46">
        <v>3.3788</v>
      </c>
      <c r="J39" s="1">
        <v>21</v>
      </c>
      <c r="K39" s="1">
        <f>IF(ISNUMBER(I39),ROUND(583.58+106.27*I39,-1),"TBD")</f>
        <v>0</v>
      </c>
      <c r="L39" s="1" t="s">
        <v>180</v>
      </c>
      <c r="M39" s="1">
        <f>IF(ISNUMBER(L39),L39,IF(ISNUMBER(K39),K39,"TBD"))</f>
        <v>0</v>
      </c>
      <c r="N39" s="1">
        <f>IF(ISNUMBER(J39),VLOOKUP(J39,ACTtoSAT,2,FALSE),"TBD")</f>
        <v>0</v>
      </c>
      <c r="O39" s="1">
        <f>IF(ISNUMBER(M39),IF(ISNUMBER(N39),MAX(M39,N39),M39),IF(ISNUMBER(N39),N39,"TBD"))</f>
        <v>0</v>
      </c>
      <c r="P39" s="1" t="s">
        <v>129</v>
      </c>
      <c r="Q39" s="1" t="s">
        <v>102</v>
      </c>
      <c r="R39" s="1" t="s">
        <v>226</v>
      </c>
      <c r="S39" s="1">
        <f>IF(AND(H39&lt;&gt;0,O39&lt;&gt;0),IF(ISNUMBER(VLOOKUP(TEXT(MAX(FLOOR(H39*10,1)/10,1.5),"0.0")&amp;":"&amp;MAX(O39,710),StrategyLookup,4,FALSE)),VLOOKUP(TEXT(MAX(FLOOR(H39*10,1)/10,1.5),"0.0")&amp;":"&amp;MAX(O39,710),StrategyLookup,4,FALSE),"TBD"),"TBD")</f>
        <v>0</v>
      </c>
      <c r="T39" s="11">
        <f>IF(ISNUMBER(S39),VLOOKUP(IF(OR(S39=5,S39=6),S39&amp;IF(H39&gt;=3,"+","&lt;"),S39&amp;""),TargetLookup,IF(B39=-1,6,IF(OR(P39="W",P39="A"),4,2)),FALSE),"TBD")</f>
        <v>0</v>
      </c>
      <c r="U39" s="11">
        <f>IF(ISNUMBER(S39),VLOOKUP(IF(OR(S39=5,S39=6),S39&amp;IF(H39&gt;=3,"+","&lt;"),S39&amp;""),TargetLookup,IF(B39=-1,7,IF(OR(P39="W",P39="A"),5,3)),FALSE),"TBD")</f>
        <v>0</v>
      </c>
      <c r="V39" s="18" t="s">
        <v>104</v>
      </c>
      <c r="W39" s="19" t="s">
        <v>136</v>
      </c>
      <c r="X39" s="19" t="s">
        <v>106</v>
      </c>
      <c r="Y39" s="19">
        <f>V39&amp;X39&amp;D39</f>
        <v>0</v>
      </c>
      <c r="Z39" s="11">
        <f t="array" ref="Z39">1-PRODUCT(IF(Students=E39,MGRMoneyMult,1))</f>
        <v>0</v>
      </c>
      <c r="AA39" s="12">
        <f t="array" ref="AA39">1-PRODUCT(IF(Students=E39,RGRMoneyMult,1))</f>
        <v>0</v>
      </c>
      <c r="AB39" s="13">
        <f>COUNTIFS(Students,E39,Results,"Accepted!")+COUNTIFS(Students,E39,Results,"CHOICE!")</f>
        <v>0</v>
      </c>
      <c r="AC39" s="1">
        <f>COUNTIFS(Students,E39,Results,"Deferred")+COUNTIFS(Students,E39,Results,"Waitlist")</f>
        <v>0</v>
      </c>
      <c r="AD39" s="13">
        <f>COUNTIFS(Students,E39,Results,"Denied")</f>
        <v>0</v>
      </c>
      <c r="AE39" s="13">
        <f>AB39+AC39+AD39+COUNTIFS(Students,E39,Results,"Submitted")</f>
        <v>0</v>
      </c>
      <c r="AF39" s="12">
        <v>0.7188893319346235</v>
      </c>
      <c r="AG39" s="12">
        <v>0.6913483862489724</v>
      </c>
      <c r="AH39" s="12">
        <v>0.5785043279974923</v>
      </c>
      <c r="AI39" s="12">
        <v>0.55271572908483</v>
      </c>
      <c r="AJ39" s="13">
        <f>COUNTIFS(Students,E39,Results,"CHOICE!")</f>
        <v>0</v>
      </c>
      <c r="AK39" s="1">
        <f>COUNTIFS(MoneyYesNo,1,RGRcount,1,Students,E39,Results,"Accepted!")</f>
        <v>0</v>
      </c>
      <c r="AL39" s="1">
        <f>COUNTIFS(MoneyYesNo,1,MGRcount,1,Students,E39,Results,"Accepted!")-AK39</f>
        <v>0</v>
      </c>
      <c r="AM39" s="1">
        <f>COUNTIFS(MoneyYesNo,1,Students,E39,Results,"Accepted!")-AK39-AL39</f>
        <v>0</v>
      </c>
      <c r="AN39" s="13">
        <f>COUNTIFS(Students,E39,Results,"Accepted!")-AK39-AL39-AM39</f>
        <v>0</v>
      </c>
      <c r="AO39" s="1">
        <f>SUMIFS(RGRcount,Students,E39,MoneyYesNo,1)</f>
        <v>0</v>
      </c>
      <c r="AP39" s="1">
        <f>SUMIFS(MGRcount,Students,E39,MoneyYesNo,1)-AO39</f>
        <v>0</v>
      </c>
      <c r="AQ39" s="1">
        <f>SUMIF(Students,E39,MoneyYesNo)-AO39-AP39</f>
        <v>0</v>
      </c>
      <c r="AR39" s="13">
        <f>SUM(AO39,AP39,AQ39)</f>
        <v>0</v>
      </c>
      <c r="AS39" s="1">
        <f>SUMIF(Students,E39,RGRcount)</f>
        <v>0</v>
      </c>
      <c r="AT39" s="1">
        <f>SUMIF(Students,E39,MGRcount)-AS39</f>
        <v>0</v>
      </c>
      <c r="AU39" s="1">
        <f>COUNTIF(Students,E39)-AS39-AT39</f>
        <v>0</v>
      </c>
      <c r="AV39" s="1">
        <f>SUMIF(Students,E39,FarBelowTGRCount)</f>
        <v>0</v>
      </c>
      <c r="AW39" s="47">
        <f>COUNTIF(Students,E39)</f>
        <v>0</v>
      </c>
      <c r="AX39" s="11">
        <f>IF(AW39&gt;0,AE39/AW39,0)</f>
        <v>0</v>
      </c>
      <c r="AY39" s="11">
        <f t="array" ref="AY39">1-PRODUCT(IF(Students=E39,MGRMult,1))</f>
        <v>0</v>
      </c>
      <c r="AZ39" s="12">
        <f t="array" ref="AZ39">1-PRODUCT(IF(Students=E39,RGRMult,1))</f>
        <v>0</v>
      </c>
      <c r="BA39" s="1">
        <f>COUNTIFS(Students,E39,Classes,HailMaryLabel)</f>
        <v>0</v>
      </c>
      <c r="BB39" s="1">
        <f>COUNTIFS(Students,E39,Classes,LongshotLabel)</f>
        <v>0</v>
      </c>
      <c r="BC39" s="1">
        <f>COUNTIFS(Students,E39,Classes,ReachLabel)</f>
        <v>0</v>
      </c>
      <c r="BD39" s="1">
        <f>COUNTIFS(Students,E39,Classes,MatchLabel)</f>
        <v>0</v>
      </c>
      <c r="BE39" s="1">
        <f>COUNTIFS(Students,E39,Classes,SafetyLabel)</f>
        <v>0</v>
      </c>
      <c r="BF39" s="1">
        <f>COUNTIFS(Students,E39,Classes,SecureLabel)</f>
        <v>0</v>
      </c>
      <c r="BG39" s="1">
        <f>COUNTIFS(Students,E39,Classes,SureThingLabel)</f>
        <v>0</v>
      </c>
      <c r="BH39" s="13">
        <f>COUNTIFS(Students,E39,Classes,"Other")</f>
        <v>0</v>
      </c>
      <c r="BI39" s="1">
        <f>COUNTIFS(Students,E39,Classes,ReachLabel,MoneyYesNo,1)</f>
        <v>0</v>
      </c>
      <c r="BJ39" s="1">
        <f>COUNTIFS(Students,E39,Classes,MatchLabel,MoneyYesNo,1)</f>
        <v>0</v>
      </c>
      <c r="BK39" s="1">
        <f>COUNTIFS(Students,E39,Classes,SafetyLabel,MoneyYesNo,1)</f>
        <v>0</v>
      </c>
      <c r="BL39" s="1">
        <f>COUNTIFS(Students,E39,Classes,SecureLabel,MoneyYesNo,1)</f>
        <v>0</v>
      </c>
      <c r="BM39" s="1">
        <f>COUNTIFS(Students,E39,Classes,SureThingLabel,MoneyYesNo,1)</f>
        <v>0</v>
      </c>
      <c r="BN39" s="1">
        <f>SUM(BI39:BM39)</f>
        <v>0</v>
      </c>
      <c r="BO39" s="1">
        <f>SUMIFS(RGRcount,Students,E39,MoneyYesNo,1,Odds,"&gt;=20")</f>
        <v>0</v>
      </c>
      <c r="BP39" s="1">
        <f>SUMIFS(MGRcount,Students,E39,MoneyYesNo,1,Odds,"&gt;=20")-BO39</f>
        <v>0</v>
      </c>
      <c r="BQ39" s="1">
        <f>SUMIFS(MGRcount,Students,E39,MoneyYesNo,1,Odds,"&gt;=50")</f>
        <v>0</v>
      </c>
      <c r="BR39" s="1">
        <f>SUMIFS(RGRcount,Students,E39,MoneyYesNo,1,Odds,"&gt;=10")</f>
        <v>0</v>
      </c>
      <c r="BS39" s="1">
        <f>SUMIFS(MGRcount,Students,E39,MoneyYesNo,1,Odds,"&gt;=10")-BR39</f>
        <v>0</v>
      </c>
      <c r="BT39" s="1">
        <f>COUNTIFS(Students,E39,ILPublic,1)</f>
        <v>0</v>
      </c>
      <c r="BU39" s="1">
        <f>COUNTIFS(Students,E39,ILPublic,1,MoneyYesNo,1,Classes,MatchLabel)+COUNTIFS(Students,E39,ILPublic,1,MoneyYesNo,1,Classes,SafetyLabel)+COUNTIFS(Students,E39,ILPublic,1,MoneyYesNo,1,Classes,SecureLabel)+COUNTIFS(Students,E39,ILPublic,1,MoneyYesNo,1,Classes,SureThingLabel)</f>
        <v>0</v>
      </c>
      <c r="BV39" s="1">
        <f>COUNTIFS(Students,E39,ILPublic,1, Classes,SecureLabel)</f>
        <v>0</v>
      </c>
      <c r="BW39" s="1">
        <f>COUNTIFS(Students,E39,MoneyChicago,1)</f>
        <v>0</v>
      </c>
      <c r="BX39" s="1">
        <f>COUNTIFS(Students,E39,MatchOrUnder,1)</f>
        <v>0</v>
      </c>
      <c r="BY39" s="1">
        <f>SUMIF(Students,E39,MGRcount)</f>
        <v>0</v>
      </c>
      <c r="BZ39" s="1">
        <f>COUNTIFS(Students,E39,BadMoney,1)</f>
        <v>0</v>
      </c>
      <c r="CA39" s="1">
        <f>COUNTIFS(Students,E39,GoldenThree,1)</f>
        <v>0</v>
      </c>
      <c r="CB39" s="1">
        <f>COUNTIFS(Students,E39,NCESids,147536)</f>
        <v>0</v>
      </c>
      <c r="CC39" s="1">
        <f>COUNTIFS(Students,E39,NCESids,144157)+COUNTIFS(Students,E39,NCESids,144166)+COUNTIFS(Students,E39,NCESids,144175)+COUNTIFS(Students,E39,NCESids,144184)+COUNTIFS(Students,E39,NCESids,144193)+COUNTIFS(Students,E39,NCESids,144209)+COUNTIFS(Students,E39,NCESids,144218)</f>
        <v>0</v>
      </c>
      <c r="CD39" s="1">
        <f>COUNTIFS(Students,E39,Results,"Accepted!",FarBelowTGRCount,0)+COUNTIFS(Students,E39,Results,"CHOICE!",FarBelowTGRCount,0)</f>
        <v>0</v>
      </c>
    </row>
    <row r="40" spans="1:82">
      <c r="A40" s="18" t="s">
        <v>96</v>
      </c>
      <c r="B40" s="19">
        <v>0</v>
      </c>
      <c r="C40" s="18" t="s">
        <v>97</v>
      </c>
      <c r="D40" s="18" t="s">
        <v>233</v>
      </c>
      <c r="E40" s="19">
        <v>30323075</v>
      </c>
      <c r="F40" s="19" t="s">
        <v>234</v>
      </c>
      <c r="G40" s="10" t="s">
        <v>235</v>
      </c>
      <c r="H40" s="46">
        <v>3.4021</v>
      </c>
      <c r="I40" s="46">
        <v>3.6021</v>
      </c>
      <c r="J40" s="1">
        <v>21</v>
      </c>
      <c r="K40" s="1">
        <f>IF(ISNUMBER(I40),ROUND(583.58+106.27*I40,-1),"TBD")</f>
        <v>0</v>
      </c>
      <c r="L40" s="1">
        <v>1270</v>
      </c>
      <c r="M40" s="1">
        <f>IF(ISNUMBER(L40),L40,IF(ISNUMBER(K40),K40,"TBD"))</f>
        <v>0</v>
      </c>
      <c r="N40" s="1">
        <f>IF(ISNUMBER(J40),VLOOKUP(J40,ACTtoSAT,2,FALSE),"TBD")</f>
        <v>0</v>
      </c>
      <c r="O40" s="1">
        <f>IF(ISNUMBER(M40),IF(ISNUMBER(N40),MAX(M40,N40),M40),IF(ISNUMBER(N40),N40,"TBD"))</f>
        <v>0</v>
      </c>
      <c r="P40" s="1" t="s">
        <v>101</v>
      </c>
      <c r="Q40" s="1" t="s">
        <v>123</v>
      </c>
      <c r="R40" s="1" t="s">
        <v>124</v>
      </c>
      <c r="S40" s="1">
        <f>IF(AND(H40&lt;&gt;0,O40&lt;&gt;0),IF(ISNUMBER(VLOOKUP(TEXT(MAX(FLOOR(H40*10,1)/10,1.5),"0.0")&amp;":"&amp;MAX(O40,710),StrategyLookup,4,FALSE)),VLOOKUP(TEXT(MAX(FLOOR(H40*10,1)/10,1.5),"0.0")&amp;":"&amp;MAX(O40,710),StrategyLookup,4,FALSE),"TBD"),"TBD")</f>
        <v>0</v>
      </c>
      <c r="T40" s="11">
        <f>IF(ISNUMBER(S40),VLOOKUP(IF(OR(S40=5,S40=6),S40&amp;IF(H40&gt;=3,"+","&lt;"),S40&amp;""),TargetLookup,IF(B40=-1,6,IF(OR(P40="W",P40="A"),4,2)),FALSE),"TBD")</f>
        <v>0</v>
      </c>
      <c r="U40" s="11">
        <f>IF(ISNUMBER(S40),VLOOKUP(IF(OR(S40=5,S40=6),S40&amp;IF(H40&gt;=3,"+","&lt;"),S40&amp;""),TargetLookup,IF(B40=-1,7,IF(OR(P40="W",P40="A"),5,3)),FALSE),"TBD")</f>
        <v>0</v>
      </c>
      <c r="V40" s="18" t="s">
        <v>115</v>
      </c>
      <c r="W40" s="19" t="s">
        <v>105</v>
      </c>
      <c r="X40" s="19" t="s">
        <v>106</v>
      </c>
      <c r="Y40" s="19">
        <f>V40&amp;X40&amp;D40</f>
        <v>0</v>
      </c>
      <c r="Z40" s="11">
        <f t="array" ref="Z40">1-PRODUCT(IF(Students=E40,MGRMoneyMult,1))</f>
        <v>0</v>
      </c>
      <c r="AA40" s="12">
        <f t="array" ref="AA40">1-PRODUCT(IF(Students=E40,RGRMoneyMult,1))</f>
        <v>0</v>
      </c>
      <c r="AB40" s="13">
        <f>COUNTIFS(Students,E40,Results,"Accepted!")+COUNTIFS(Students,E40,Results,"CHOICE!")</f>
        <v>0</v>
      </c>
      <c r="AC40" s="1">
        <f>COUNTIFS(Students,E40,Results,"Deferred")+COUNTIFS(Students,E40,Results,"Waitlist")</f>
        <v>0</v>
      </c>
      <c r="AD40" s="13">
        <f>COUNTIFS(Students,E40,Results,"Denied")</f>
        <v>0</v>
      </c>
      <c r="AE40" s="13">
        <f>AB40+AC40+AD40+COUNTIFS(Students,E40,Results,"Submitted")</f>
        <v>0</v>
      </c>
      <c r="AF40" s="12">
        <v>0.8152618501161628</v>
      </c>
      <c r="AG40" s="12">
        <v>0.7616403234594955</v>
      </c>
      <c r="AH40" s="12">
        <v>0.6928120531973919</v>
      </c>
      <c r="AI40" s="12">
        <v>0.6674203839274189</v>
      </c>
      <c r="AJ40" s="13">
        <f>COUNTIFS(Students,E40,Results,"CHOICE!")</f>
        <v>0</v>
      </c>
      <c r="AK40" s="1">
        <f>COUNTIFS(MoneyYesNo,1,RGRcount,1,Students,E40,Results,"Accepted!")</f>
        <v>0</v>
      </c>
      <c r="AL40" s="1">
        <f>COUNTIFS(MoneyYesNo,1,MGRcount,1,Students,E40,Results,"Accepted!")-AK40</f>
        <v>0</v>
      </c>
      <c r="AM40" s="1">
        <f>COUNTIFS(MoneyYesNo,1,Students,E40,Results,"Accepted!")-AK40-AL40</f>
        <v>0</v>
      </c>
      <c r="AN40" s="13">
        <f>COUNTIFS(Students,E40,Results,"Accepted!")-AK40-AL40-AM40</f>
        <v>0</v>
      </c>
      <c r="AO40" s="1">
        <f>SUMIFS(RGRcount,Students,E40,MoneyYesNo,1)</f>
        <v>0</v>
      </c>
      <c r="AP40" s="1">
        <f>SUMIFS(MGRcount,Students,E40,MoneyYesNo,1)-AO40</f>
        <v>0</v>
      </c>
      <c r="AQ40" s="1">
        <f>SUMIF(Students,E40,MoneyYesNo)-AO40-AP40</f>
        <v>0</v>
      </c>
      <c r="AR40" s="13">
        <f>SUM(AO40,AP40,AQ40)</f>
        <v>0</v>
      </c>
      <c r="AS40" s="1">
        <f>SUMIF(Students,E40,RGRcount)</f>
        <v>0</v>
      </c>
      <c r="AT40" s="1">
        <f>SUMIF(Students,E40,MGRcount)-AS40</f>
        <v>0</v>
      </c>
      <c r="AU40" s="1">
        <f>COUNTIF(Students,E40)-AS40-AT40</f>
        <v>0</v>
      </c>
      <c r="AV40" s="1">
        <f>SUMIF(Students,E40,FarBelowTGRCount)</f>
        <v>0</v>
      </c>
      <c r="AW40" s="47">
        <f>COUNTIF(Students,E40)</f>
        <v>0</v>
      </c>
      <c r="AX40" s="11">
        <f>IF(AW40&gt;0,AE40/AW40,0)</f>
        <v>0</v>
      </c>
      <c r="AY40" s="11">
        <f t="array" ref="AY40">1-PRODUCT(IF(Students=E40,MGRMult,1))</f>
        <v>0</v>
      </c>
      <c r="AZ40" s="12">
        <f t="array" ref="AZ40">1-PRODUCT(IF(Students=E40,RGRMult,1))</f>
        <v>0</v>
      </c>
      <c r="BA40" s="1">
        <f>COUNTIFS(Students,E40,Classes,HailMaryLabel)</f>
        <v>0</v>
      </c>
      <c r="BB40" s="1">
        <f>COUNTIFS(Students,E40,Classes,LongshotLabel)</f>
        <v>0</v>
      </c>
      <c r="BC40" s="1">
        <f>COUNTIFS(Students,E40,Classes,ReachLabel)</f>
        <v>0</v>
      </c>
      <c r="BD40" s="1">
        <f>COUNTIFS(Students,E40,Classes,MatchLabel)</f>
        <v>0</v>
      </c>
      <c r="BE40" s="1">
        <f>COUNTIFS(Students,E40,Classes,SafetyLabel)</f>
        <v>0</v>
      </c>
      <c r="BF40" s="1">
        <f>COUNTIFS(Students,E40,Classes,SecureLabel)</f>
        <v>0</v>
      </c>
      <c r="BG40" s="1">
        <f>COUNTIFS(Students,E40,Classes,SureThingLabel)</f>
        <v>0</v>
      </c>
      <c r="BH40" s="13">
        <f>COUNTIFS(Students,E40,Classes,"Other")</f>
        <v>0</v>
      </c>
      <c r="BI40" s="1">
        <f>COUNTIFS(Students,E40,Classes,ReachLabel,MoneyYesNo,1)</f>
        <v>0</v>
      </c>
      <c r="BJ40" s="1">
        <f>COUNTIFS(Students,E40,Classes,MatchLabel,MoneyYesNo,1)</f>
        <v>0</v>
      </c>
      <c r="BK40" s="1">
        <f>COUNTIFS(Students,E40,Classes,SafetyLabel,MoneyYesNo,1)</f>
        <v>0</v>
      </c>
      <c r="BL40" s="1">
        <f>COUNTIFS(Students,E40,Classes,SecureLabel,MoneyYesNo,1)</f>
        <v>0</v>
      </c>
      <c r="BM40" s="1">
        <f>COUNTIFS(Students,E40,Classes,SureThingLabel,MoneyYesNo,1)</f>
        <v>0</v>
      </c>
      <c r="BN40" s="1">
        <f>SUM(BI40:BM40)</f>
        <v>0</v>
      </c>
      <c r="BO40" s="1">
        <f>SUMIFS(RGRcount,Students,E40,MoneyYesNo,1,Odds,"&gt;=20")</f>
        <v>0</v>
      </c>
      <c r="BP40" s="1">
        <f>SUMIFS(MGRcount,Students,E40,MoneyYesNo,1,Odds,"&gt;=20")-BO40</f>
        <v>0</v>
      </c>
      <c r="BQ40" s="1">
        <f>SUMIFS(MGRcount,Students,E40,MoneyYesNo,1,Odds,"&gt;=50")</f>
        <v>0</v>
      </c>
      <c r="BR40" s="1">
        <f>SUMIFS(RGRcount,Students,E40,MoneyYesNo,1,Odds,"&gt;=10")</f>
        <v>0</v>
      </c>
      <c r="BS40" s="1">
        <f>SUMIFS(MGRcount,Students,E40,MoneyYesNo,1,Odds,"&gt;=10")-BR40</f>
        <v>0</v>
      </c>
      <c r="BT40" s="1">
        <f>COUNTIFS(Students,E40,ILPublic,1)</f>
        <v>0</v>
      </c>
      <c r="BU40" s="1">
        <f>COUNTIFS(Students,E40,ILPublic,1,MoneyYesNo,1,Classes,MatchLabel)+COUNTIFS(Students,E40,ILPublic,1,MoneyYesNo,1,Classes,SafetyLabel)+COUNTIFS(Students,E40,ILPublic,1,MoneyYesNo,1,Classes,SecureLabel)+COUNTIFS(Students,E40,ILPublic,1,MoneyYesNo,1,Classes,SureThingLabel)</f>
        <v>0</v>
      </c>
      <c r="BV40" s="1">
        <f>COUNTIFS(Students,E40,ILPublic,1, Classes,SecureLabel)</f>
        <v>0</v>
      </c>
      <c r="BW40" s="1">
        <f>COUNTIFS(Students,E40,MoneyChicago,1)</f>
        <v>0</v>
      </c>
      <c r="BX40" s="1">
        <f>COUNTIFS(Students,E40,MatchOrUnder,1)</f>
        <v>0</v>
      </c>
      <c r="BY40" s="1">
        <f>SUMIF(Students,E40,MGRcount)</f>
        <v>0</v>
      </c>
      <c r="BZ40" s="1">
        <f>COUNTIFS(Students,E40,BadMoney,1)</f>
        <v>0</v>
      </c>
      <c r="CA40" s="1">
        <f>COUNTIFS(Students,E40,GoldenThree,1)</f>
        <v>0</v>
      </c>
      <c r="CB40" s="1">
        <f>COUNTIFS(Students,E40,NCESids,147536)</f>
        <v>0</v>
      </c>
      <c r="CC40" s="1">
        <f>COUNTIFS(Students,E40,NCESids,144157)+COUNTIFS(Students,E40,NCESids,144166)+COUNTIFS(Students,E40,NCESids,144175)+COUNTIFS(Students,E40,NCESids,144184)+COUNTIFS(Students,E40,NCESids,144193)+COUNTIFS(Students,E40,NCESids,144209)+COUNTIFS(Students,E40,NCESids,144218)</f>
        <v>0</v>
      </c>
      <c r="CD40" s="1">
        <f>COUNTIFS(Students,E40,Results,"Accepted!",FarBelowTGRCount,0)+COUNTIFS(Students,E40,Results,"CHOICE!",FarBelowTGRCount,0)</f>
        <v>0</v>
      </c>
    </row>
    <row r="41" spans="1:82">
      <c r="A41" s="18" t="s">
        <v>96</v>
      </c>
      <c r="B41" s="19">
        <v>0</v>
      </c>
      <c r="C41" s="18" t="s">
        <v>97</v>
      </c>
      <c r="D41" s="18" t="s">
        <v>236</v>
      </c>
      <c r="E41" s="19">
        <v>22489025</v>
      </c>
      <c r="F41" s="19" t="s">
        <v>237</v>
      </c>
      <c r="G41" s="10" t="s">
        <v>238</v>
      </c>
      <c r="H41" s="46">
        <v>3.4558</v>
      </c>
      <c r="I41" s="46">
        <v>3.6558</v>
      </c>
      <c r="J41" s="1">
        <v>20</v>
      </c>
      <c r="K41" s="1">
        <f>IF(ISNUMBER(I41),ROUND(583.58+106.27*I41,-1),"TBD")</f>
        <v>0</v>
      </c>
      <c r="L41" s="1">
        <v>1250</v>
      </c>
      <c r="M41" s="1">
        <f>IF(ISNUMBER(L41),L41,IF(ISNUMBER(K41),K41,"TBD"))</f>
        <v>0</v>
      </c>
      <c r="N41" s="1">
        <f>IF(ISNUMBER(J41),VLOOKUP(J41,ACTtoSAT,2,FALSE),"TBD")</f>
        <v>0</v>
      </c>
      <c r="O41" s="1">
        <f>IF(ISNUMBER(M41),IF(ISNUMBER(N41),MAX(M41,N41),M41),IF(ISNUMBER(N41),N41,"TBD"))</f>
        <v>0</v>
      </c>
      <c r="P41" s="1" t="s">
        <v>129</v>
      </c>
      <c r="Q41" s="1" t="s">
        <v>123</v>
      </c>
      <c r="R41" s="1" t="s">
        <v>130</v>
      </c>
      <c r="S41" s="1">
        <f>IF(AND(H41&lt;&gt;0,O41&lt;&gt;0),IF(ISNUMBER(VLOOKUP(TEXT(MAX(FLOOR(H41*10,1)/10,1.5),"0.0")&amp;":"&amp;MAX(O41,710),StrategyLookup,4,FALSE)),VLOOKUP(TEXT(MAX(FLOOR(H41*10,1)/10,1.5),"0.0")&amp;":"&amp;MAX(O41,710),StrategyLookup,4,FALSE),"TBD"),"TBD")</f>
        <v>0</v>
      </c>
      <c r="T41" s="11">
        <f>IF(ISNUMBER(S41),VLOOKUP(IF(OR(S41=5,S41=6),S41&amp;IF(H41&gt;=3,"+","&lt;"),S41&amp;""),TargetLookup,IF(B41=-1,6,IF(OR(P41="W",P41="A"),4,2)),FALSE),"TBD")</f>
        <v>0</v>
      </c>
      <c r="U41" s="11">
        <f>IF(ISNUMBER(S41),VLOOKUP(IF(OR(S41=5,S41=6),S41&amp;IF(H41&gt;=3,"+","&lt;"),S41&amp;""),TargetLookup,IF(B41=-1,7,IF(OR(P41="W",P41="A"),5,3)),FALSE),"TBD")</f>
        <v>0</v>
      </c>
      <c r="V41" s="18" t="s">
        <v>104</v>
      </c>
      <c r="W41" s="19" t="s">
        <v>146</v>
      </c>
      <c r="X41" s="19" t="s">
        <v>106</v>
      </c>
      <c r="Y41" s="19">
        <f>V41&amp;X41&amp;D41</f>
        <v>0</v>
      </c>
      <c r="Z41" s="11">
        <f t="array" ref="Z41">1-PRODUCT(IF(Students=E41,MGRMoneyMult,1))</f>
        <v>0</v>
      </c>
      <c r="AA41" s="12">
        <f t="array" ref="AA41">1-PRODUCT(IF(Students=E41,RGRMoneyMult,1))</f>
        <v>0</v>
      </c>
      <c r="AB41" s="13">
        <f>COUNTIFS(Students,E41,Results,"Accepted!")+COUNTIFS(Students,E41,Results,"CHOICE!")</f>
        <v>0</v>
      </c>
      <c r="AC41" s="1">
        <f>COUNTIFS(Students,E41,Results,"Deferred")+COUNTIFS(Students,E41,Results,"Waitlist")</f>
        <v>0</v>
      </c>
      <c r="AD41" s="13">
        <f>COUNTIFS(Students,E41,Results,"Denied")</f>
        <v>0</v>
      </c>
      <c r="AE41" s="13">
        <f>AB41+AC41+AD41+COUNTIFS(Students,E41,Results,"Submitted")</f>
        <v>0</v>
      </c>
      <c r="AF41" s="12">
        <v>0.8572858541364838</v>
      </c>
      <c r="AG41" s="12">
        <v>0.8253855593567782</v>
      </c>
      <c r="AH41" s="12">
        <v>0.7256422915272879</v>
      </c>
      <c r="AI41" s="12">
        <v>0.7017138992820305</v>
      </c>
      <c r="AJ41" s="13">
        <f>COUNTIFS(Students,E41,Results,"CHOICE!")</f>
        <v>0</v>
      </c>
      <c r="AK41" s="1">
        <f>COUNTIFS(MoneyYesNo,1,RGRcount,1,Students,E41,Results,"Accepted!")</f>
        <v>0</v>
      </c>
      <c r="AL41" s="1">
        <f>COUNTIFS(MoneyYesNo,1,MGRcount,1,Students,E41,Results,"Accepted!")-AK41</f>
        <v>0</v>
      </c>
      <c r="AM41" s="1">
        <f>COUNTIFS(MoneyYesNo,1,Students,E41,Results,"Accepted!")-AK41-AL41</f>
        <v>0</v>
      </c>
      <c r="AN41" s="13">
        <f>COUNTIFS(Students,E41,Results,"Accepted!")-AK41-AL41-AM41</f>
        <v>0</v>
      </c>
      <c r="AO41" s="1">
        <f>SUMIFS(RGRcount,Students,E41,MoneyYesNo,1)</f>
        <v>0</v>
      </c>
      <c r="AP41" s="1">
        <f>SUMIFS(MGRcount,Students,E41,MoneyYesNo,1)-AO41</f>
        <v>0</v>
      </c>
      <c r="AQ41" s="1">
        <f>SUMIF(Students,E41,MoneyYesNo)-AO41-AP41</f>
        <v>0</v>
      </c>
      <c r="AR41" s="13">
        <f>SUM(AO41,AP41,AQ41)</f>
        <v>0</v>
      </c>
      <c r="AS41" s="1">
        <f>SUMIF(Students,E41,RGRcount)</f>
        <v>0</v>
      </c>
      <c r="AT41" s="1">
        <f>SUMIF(Students,E41,MGRcount)-AS41</f>
        <v>0</v>
      </c>
      <c r="AU41" s="1">
        <f>COUNTIF(Students,E41)-AS41-AT41</f>
        <v>0</v>
      </c>
      <c r="AV41" s="1">
        <f>SUMIF(Students,E41,FarBelowTGRCount)</f>
        <v>0</v>
      </c>
      <c r="AW41" s="47">
        <f>COUNTIF(Students,E41)</f>
        <v>0</v>
      </c>
      <c r="AX41" s="11">
        <f>IF(AW41&gt;0,AE41/AW41,0)</f>
        <v>0</v>
      </c>
      <c r="AY41" s="11">
        <f t="array" ref="AY41">1-PRODUCT(IF(Students=E41,MGRMult,1))</f>
        <v>0</v>
      </c>
      <c r="AZ41" s="12">
        <f t="array" ref="AZ41">1-PRODUCT(IF(Students=E41,RGRMult,1))</f>
        <v>0</v>
      </c>
      <c r="BA41" s="1">
        <f>COUNTIFS(Students,E41,Classes,HailMaryLabel)</f>
        <v>0</v>
      </c>
      <c r="BB41" s="1">
        <f>COUNTIFS(Students,E41,Classes,LongshotLabel)</f>
        <v>0</v>
      </c>
      <c r="BC41" s="1">
        <f>COUNTIFS(Students,E41,Classes,ReachLabel)</f>
        <v>0</v>
      </c>
      <c r="BD41" s="1">
        <f>COUNTIFS(Students,E41,Classes,MatchLabel)</f>
        <v>0</v>
      </c>
      <c r="BE41" s="1">
        <f>COUNTIFS(Students,E41,Classes,SafetyLabel)</f>
        <v>0</v>
      </c>
      <c r="BF41" s="1">
        <f>COUNTIFS(Students,E41,Classes,SecureLabel)</f>
        <v>0</v>
      </c>
      <c r="BG41" s="1">
        <f>COUNTIFS(Students,E41,Classes,SureThingLabel)</f>
        <v>0</v>
      </c>
      <c r="BH41" s="13">
        <f>COUNTIFS(Students,E41,Classes,"Other")</f>
        <v>0</v>
      </c>
      <c r="BI41" s="1">
        <f>COUNTIFS(Students,E41,Classes,ReachLabel,MoneyYesNo,1)</f>
        <v>0</v>
      </c>
      <c r="BJ41" s="1">
        <f>COUNTIFS(Students,E41,Classes,MatchLabel,MoneyYesNo,1)</f>
        <v>0</v>
      </c>
      <c r="BK41" s="1">
        <f>COUNTIFS(Students,E41,Classes,SafetyLabel,MoneyYesNo,1)</f>
        <v>0</v>
      </c>
      <c r="BL41" s="1">
        <f>COUNTIFS(Students,E41,Classes,SecureLabel,MoneyYesNo,1)</f>
        <v>0</v>
      </c>
      <c r="BM41" s="1">
        <f>COUNTIFS(Students,E41,Classes,SureThingLabel,MoneyYesNo,1)</f>
        <v>0</v>
      </c>
      <c r="BN41" s="1">
        <f>SUM(BI41:BM41)</f>
        <v>0</v>
      </c>
      <c r="BO41" s="1">
        <f>SUMIFS(RGRcount,Students,E41,MoneyYesNo,1,Odds,"&gt;=20")</f>
        <v>0</v>
      </c>
      <c r="BP41" s="1">
        <f>SUMIFS(MGRcount,Students,E41,MoneyYesNo,1,Odds,"&gt;=20")-BO41</f>
        <v>0</v>
      </c>
      <c r="BQ41" s="1">
        <f>SUMIFS(MGRcount,Students,E41,MoneyYesNo,1,Odds,"&gt;=50")</f>
        <v>0</v>
      </c>
      <c r="BR41" s="1">
        <f>SUMIFS(RGRcount,Students,E41,MoneyYesNo,1,Odds,"&gt;=10")</f>
        <v>0</v>
      </c>
      <c r="BS41" s="1">
        <f>SUMIFS(MGRcount,Students,E41,MoneyYesNo,1,Odds,"&gt;=10")-BR41</f>
        <v>0</v>
      </c>
      <c r="BT41" s="1">
        <f>COUNTIFS(Students,E41,ILPublic,1)</f>
        <v>0</v>
      </c>
      <c r="BU41" s="1">
        <f>COUNTIFS(Students,E41,ILPublic,1,MoneyYesNo,1,Classes,MatchLabel)+COUNTIFS(Students,E41,ILPublic,1,MoneyYesNo,1,Classes,SafetyLabel)+COUNTIFS(Students,E41,ILPublic,1,MoneyYesNo,1,Classes,SecureLabel)+COUNTIFS(Students,E41,ILPublic,1,MoneyYesNo,1,Classes,SureThingLabel)</f>
        <v>0</v>
      </c>
      <c r="BV41" s="1">
        <f>COUNTIFS(Students,E41,ILPublic,1, Classes,SecureLabel)</f>
        <v>0</v>
      </c>
      <c r="BW41" s="1">
        <f>COUNTIFS(Students,E41,MoneyChicago,1)</f>
        <v>0</v>
      </c>
      <c r="BX41" s="1">
        <f>COUNTIFS(Students,E41,MatchOrUnder,1)</f>
        <v>0</v>
      </c>
      <c r="BY41" s="1">
        <f>SUMIF(Students,E41,MGRcount)</f>
        <v>0</v>
      </c>
      <c r="BZ41" s="1">
        <f>COUNTIFS(Students,E41,BadMoney,1)</f>
        <v>0</v>
      </c>
      <c r="CA41" s="1">
        <f>COUNTIFS(Students,E41,GoldenThree,1)</f>
        <v>0</v>
      </c>
      <c r="CB41" s="1">
        <f>COUNTIFS(Students,E41,NCESids,147536)</f>
        <v>0</v>
      </c>
      <c r="CC41" s="1">
        <f>COUNTIFS(Students,E41,NCESids,144157)+COUNTIFS(Students,E41,NCESids,144166)+COUNTIFS(Students,E41,NCESids,144175)+COUNTIFS(Students,E41,NCESids,144184)+COUNTIFS(Students,E41,NCESids,144193)+COUNTIFS(Students,E41,NCESids,144209)+COUNTIFS(Students,E41,NCESids,144218)</f>
        <v>0</v>
      </c>
      <c r="CD41" s="1">
        <f>COUNTIFS(Students,E41,Results,"Accepted!",FarBelowTGRCount,0)+COUNTIFS(Students,E41,Results,"CHOICE!",FarBelowTGRCount,0)</f>
        <v>0</v>
      </c>
    </row>
    <row r="42" spans="1:82">
      <c r="A42" s="18" t="s">
        <v>96</v>
      </c>
      <c r="B42" s="19">
        <v>0</v>
      </c>
      <c r="C42" s="18" t="s">
        <v>97</v>
      </c>
      <c r="D42" s="18" t="s">
        <v>239</v>
      </c>
      <c r="E42" s="19">
        <v>30313392</v>
      </c>
      <c r="F42" s="19" t="s">
        <v>240</v>
      </c>
      <c r="G42" s="10" t="s">
        <v>241</v>
      </c>
      <c r="H42" s="46">
        <v>2.5173</v>
      </c>
      <c r="I42" s="46">
        <v>2.7173</v>
      </c>
      <c r="J42" s="1">
        <v>15</v>
      </c>
      <c r="K42" s="1">
        <f>IF(ISNUMBER(I42),ROUND(583.58+106.27*I42,-1),"TBD")</f>
        <v>0</v>
      </c>
      <c r="L42" s="1">
        <v>1340</v>
      </c>
      <c r="M42" s="1">
        <f>IF(ISNUMBER(L42),L42,IF(ISNUMBER(K42),K42,"TBD"))</f>
        <v>0</v>
      </c>
      <c r="N42" s="1">
        <f>IF(ISNUMBER(J42),VLOOKUP(J42,ACTtoSAT,2,FALSE),"TBD")</f>
        <v>0</v>
      </c>
      <c r="O42" s="1">
        <f>IF(ISNUMBER(M42),IF(ISNUMBER(N42),MAX(M42,N42),M42),IF(ISNUMBER(N42),N42,"TBD"))</f>
        <v>0</v>
      </c>
      <c r="P42" s="1" t="s">
        <v>101</v>
      </c>
      <c r="Q42" s="1" t="s">
        <v>123</v>
      </c>
      <c r="R42" s="1" t="s">
        <v>124</v>
      </c>
      <c r="S42" s="1">
        <f>IF(AND(H42&lt;&gt;0,O42&lt;&gt;0),IF(ISNUMBER(VLOOKUP(TEXT(MAX(FLOOR(H42*10,1)/10,1.5),"0.0")&amp;":"&amp;MAX(O42,710),StrategyLookup,4,FALSE)),VLOOKUP(TEXT(MAX(FLOOR(H42*10,1)/10,1.5),"0.0")&amp;":"&amp;MAX(O42,710),StrategyLookup,4,FALSE),"TBD"),"TBD")</f>
        <v>0</v>
      </c>
      <c r="T42" s="11">
        <f>IF(ISNUMBER(S42),VLOOKUP(IF(OR(S42=5,S42=6),S42&amp;IF(H42&gt;=3,"+","&lt;"),S42&amp;""),TargetLookup,IF(B42=-1,6,IF(OR(P42="W",P42="A"),4,2)),FALSE),"TBD")</f>
        <v>0</v>
      </c>
      <c r="U42" s="11">
        <f>IF(ISNUMBER(S42),VLOOKUP(IF(OR(S42=5,S42=6),S42&amp;IF(H42&gt;=3,"+","&lt;"),S42&amp;""),TargetLookup,IF(B42=-1,7,IF(OR(P42="W",P42="A"),5,3)),FALSE),"TBD")</f>
        <v>0</v>
      </c>
      <c r="V42" s="18" t="s">
        <v>104</v>
      </c>
      <c r="W42" s="19" t="s">
        <v>125</v>
      </c>
      <c r="X42" s="19" t="s">
        <v>106</v>
      </c>
      <c r="Y42" s="19">
        <f>V42&amp;X42&amp;D42</f>
        <v>0</v>
      </c>
      <c r="Z42" s="11">
        <f t="array" ref="Z42">1-PRODUCT(IF(Students=E42,MGRMoneyMult,1))</f>
        <v>0</v>
      </c>
      <c r="AA42" s="12">
        <f t="array" ref="AA42">1-PRODUCT(IF(Students=E42,RGRMoneyMult,1))</f>
        <v>0</v>
      </c>
      <c r="AB42" s="13">
        <f>COUNTIFS(Students,E42,Results,"Accepted!")+COUNTIFS(Students,E42,Results,"CHOICE!")</f>
        <v>0</v>
      </c>
      <c r="AC42" s="1">
        <f>COUNTIFS(Students,E42,Results,"Deferred")+COUNTIFS(Students,E42,Results,"Waitlist")</f>
        <v>0</v>
      </c>
      <c r="AD42" s="13">
        <f>COUNTIFS(Students,E42,Results,"Denied")</f>
        <v>0</v>
      </c>
      <c r="AE42" s="13">
        <f>AB42+AC42+AD42+COUNTIFS(Students,E42,Results,"Submitted")</f>
        <v>0</v>
      </c>
      <c r="AF42" s="12">
        <v>0.7034249334156051</v>
      </c>
      <c r="AG42" s="12">
        <v>0.47929590931948</v>
      </c>
      <c r="AH42" s="12">
        <v>0.4476820173503766</v>
      </c>
      <c r="AI42" s="12">
        <v>0.4142179982381243</v>
      </c>
      <c r="AJ42" s="13">
        <f>COUNTIFS(Students,E42,Results,"CHOICE!")</f>
        <v>0</v>
      </c>
      <c r="AK42" s="1">
        <f>COUNTIFS(MoneyYesNo,1,RGRcount,1,Students,E42,Results,"Accepted!")</f>
        <v>0</v>
      </c>
      <c r="AL42" s="1">
        <f>COUNTIFS(MoneyYesNo,1,MGRcount,1,Students,E42,Results,"Accepted!")-AK42</f>
        <v>0</v>
      </c>
      <c r="AM42" s="1">
        <f>COUNTIFS(MoneyYesNo,1,Students,E42,Results,"Accepted!")-AK42-AL42</f>
        <v>0</v>
      </c>
      <c r="AN42" s="13">
        <f>COUNTIFS(Students,E42,Results,"Accepted!")-AK42-AL42-AM42</f>
        <v>0</v>
      </c>
      <c r="AO42" s="1">
        <f>SUMIFS(RGRcount,Students,E42,MoneyYesNo,1)</f>
        <v>0</v>
      </c>
      <c r="AP42" s="1">
        <f>SUMIFS(MGRcount,Students,E42,MoneyYesNo,1)-AO42</f>
        <v>0</v>
      </c>
      <c r="AQ42" s="1">
        <f>SUMIF(Students,E42,MoneyYesNo)-AO42-AP42</f>
        <v>0</v>
      </c>
      <c r="AR42" s="13">
        <f>SUM(AO42,AP42,AQ42)</f>
        <v>0</v>
      </c>
      <c r="AS42" s="1">
        <f>SUMIF(Students,E42,RGRcount)</f>
        <v>0</v>
      </c>
      <c r="AT42" s="1">
        <f>SUMIF(Students,E42,MGRcount)-AS42</f>
        <v>0</v>
      </c>
      <c r="AU42" s="1">
        <f>COUNTIF(Students,E42)-AS42-AT42</f>
        <v>0</v>
      </c>
      <c r="AV42" s="1">
        <f>SUMIF(Students,E42,FarBelowTGRCount)</f>
        <v>0</v>
      </c>
      <c r="AW42" s="47">
        <f>COUNTIF(Students,E42)</f>
        <v>0</v>
      </c>
      <c r="AX42" s="11">
        <f>IF(AW42&gt;0,AE42/AW42,0)</f>
        <v>0</v>
      </c>
      <c r="AY42" s="11">
        <f t="array" ref="AY42">1-PRODUCT(IF(Students=E42,MGRMult,1))</f>
        <v>0</v>
      </c>
      <c r="AZ42" s="12">
        <f t="array" ref="AZ42">1-PRODUCT(IF(Students=E42,RGRMult,1))</f>
        <v>0</v>
      </c>
      <c r="BA42" s="1">
        <f>COUNTIFS(Students,E42,Classes,HailMaryLabel)</f>
        <v>0</v>
      </c>
      <c r="BB42" s="1">
        <f>COUNTIFS(Students,E42,Classes,LongshotLabel)</f>
        <v>0</v>
      </c>
      <c r="BC42" s="1">
        <f>COUNTIFS(Students,E42,Classes,ReachLabel)</f>
        <v>0</v>
      </c>
      <c r="BD42" s="1">
        <f>COUNTIFS(Students,E42,Classes,MatchLabel)</f>
        <v>0</v>
      </c>
      <c r="BE42" s="1">
        <f>COUNTIFS(Students,E42,Classes,SafetyLabel)</f>
        <v>0</v>
      </c>
      <c r="BF42" s="1">
        <f>COUNTIFS(Students,E42,Classes,SecureLabel)</f>
        <v>0</v>
      </c>
      <c r="BG42" s="1">
        <f>COUNTIFS(Students,E42,Classes,SureThingLabel)</f>
        <v>0</v>
      </c>
      <c r="BH42" s="13">
        <f>COUNTIFS(Students,E42,Classes,"Other")</f>
        <v>0</v>
      </c>
      <c r="BI42" s="1">
        <f>COUNTIFS(Students,E42,Classes,ReachLabel,MoneyYesNo,1)</f>
        <v>0</v>
      </c>
      <c r="BJ42" s="1">
        <f>COUNTIFS(Students,E42,Classes,MatchLabel,MoneyYesNo,1)</f>
        <v>0</v>
      </c>
      <c r="BK42" s="1">
        <f>COUNTIFS(Students,E42,Classes,SafetyLabel,MoneyYesNo,1)</f>
        <v>0</v>
      </c>
      <c r="BL42" s="1">
        <f>COUNTIFS(Students,E42,Classes,SecureLabel,MoneyYesNo,1)</f>
        <v>0</v>
      </c>
      <c r="BM42" s="1">
        <f>COUNTIFS(Students,E42,Classes,SureThingLabel,MoneyYesNo,1)</f>
        <v>0</v>
      </c>
      <c r="BN42" s="1">
        <f>SUM(BI42:BM42)</f>
        <v>0</v>
      </c>
      <c r="BO42" s="1">
        <f>SUMIFS(RGRcount,Students,E42,MoneyYesNo,1,Odds,"&gt;=20")</f>
        <v>0</v>
      </c>
      <c r="BP42" s="1">
        <f>SUMIFS(MGRcount,Students,E42,MoneyYesNo,1,Odds,"&gt;=20")-BO42</f>
        <v>0</v>
      </c>
      <c r="BQ42" s="1">
        <f>SUMIFS(MGRcount,Students,E42,MoneyYesNo,1,Odds,"&gt;=50")</f>
        <v>0</v>
      </c>
      <c r="BR42" s="1">
        <f>SUMIFS(RGRcount,Students,E42,MoneyYesNo,1,Odds,"&gt;=10")</f>
        <v>0</v>
      </c>
      <c r="BS42" s="1">
        <f>SUMIFS(MGRcount,Students,E42,MoneyYesNo,1,Odds,"&gt;=10")-BR42</f>
        <v>0</v>
      </c>
      <c r="BT42" s="1">
        <f>COUNTIFS(Students,E42,ILPublic,1)</f>
        <v>0</v>
      </c>
      <c r="BU42" s="1">
        <f>COUNTIFS(Students,E42,ILPublic,1,MoneyYesNo,1,Classes,MatchLabel)+COUNTIFS(Students,E42,ILPublic,1,MoneyYesNo,1,Classes,SafetyLabel)+COUNTIFS(Students,E42,ILPublic,1,MoneyYesNo,1,Classes,SecureLabel)+COUNTIFS(Students,E42,ILPublic,1,MoneyYesNo,1,Classes,SureThingLabel)</f>
        <v>0</v>
      </c>
      <c r="BV42" s="1">
        <f>COUNTIFS(Students,E42,ILPublic,1, Classes,SecureLabel)</f>
        <v>0</v>
      </c>
      <c r="BW42" s="1">
        <f>COUNTIFS(Students,E42,MoneyChicago,1)</f>
        <v>0</v>
      </c>
      <c r="BX42" s="1">
        <f>COUNTIFS(Students,E42,MatchOrUnder,1)</f>
        <v>0</v>
      </c>
      <c r="BY42" s="1">
        <f>SUMIF(Students,E42,MGRcount)</f>
        <v>0</v>
      </c>
      <c r="BZ42" s="1">
        <f>COUNTIFS(Students,E42,BadMoney,1)</f>
        <v>0</v>
      </c>
      <c r="CA42" s="1">
        <f>COUNTIFS(Students,E42,GoldenThree,1)</f>
        <v>0</v>
      </c>
      <c r="CB42" s="1">
        <f>COUNTIFS(Students,E42,NCESids,147536)</f>
        <v>0</v>
      </c>
      <c r="CC42" s="1">
        <f>COUNTIFS(Students,E42,NCESids,144157)+COUNTIFS(Students,E42,NCESids,144166)+COUNTIFS(Students,E42,NCESids,144175)+COUNTIFS(Students,E42,NCESids,144184)+COUNTIFS(Students,E42,NCESids,144193)+COUNTIFS(Students,E42,NCESids,144209)+COUNTIFS(Students,E42,NCESids,144218)</f>
        <v>0</v>
      </c>
      <c r="CD42" s="1">
        <f>COUNTIFS(Students,E42,Results,"Accepted!",FarBelowTGRCount,0)+COUNTIFS(Students,E42,Results,"CHOICE!",FarBelowTGRCount,0)</f>
        <v>0</v>
      </c>
    </row>
    <row r="43" spans="1:82">
      <c r="A43" s="18" t="s">
        <v>96</v>
      </c>
      <c r="B43" s="19">
        <v>0</v>
      </c>
      <c r="C43" s="18" t="s">
        <v>97</v>
      </c>
      <c r="D43" s="18" t="s">
        <v>242</v>
      </c>
      <c r="E43" s="19">
        <v>23476024</v>
      </c>
      <c r="F43" s="19" t="s">
        <v>243</v>
      </c>
      <c r="G43" s="10" t="s">
        <v>244</v>
      </c>
      <c r="H43" s="46">
        <v>3.0312</v>
      </c>
      <c r="I43" s="46">
        <v>3.2312</v>
      </c>
      <c r="J43" s="1">
        <v>20</v>
      </c>
      <c r="K43" s="1">
        <f>IF(ISNUMBER(I43),ROUND(583.58+106.27*I43,-1),"TBD")</f>
        <v>0</v>
      </c>
      <c r="L43" s="1">
        <v>1280</v>
      </c>
      <c r="M43" s="1">
        <f>IF(ISNUMBER(L43),L43,IF(ISNUMBER(K43),K43,"TBD"))</f>
        <v>0</v>
      </c>
      <c r="N43" s="1">
        <f>IF(ISNUMBER(J43),VLOOKUP(J43,ACTtoSAT,2,FALSE),"TBD")</f>
        <v>0</v>
      </c>
      <c r="O43" s="1">
        <f>IF(ISNUMBER(M43),IF(ISNUMBER(N43),MAX(M43,N43),M43),IF(ISNUMBER(N43),N43,"TBD"))</f>
        <v>0</v>
      </c>
      <c r="P43" s="1" t="s">
        <v>101</v>
      </c>
      <c r="Q43" s="1" t="s">
        <v>123</v>
      </c>
      <c r="R43" s="1" t="s">
        <v>124</v>
      </c>
      <c r="S43" s="1">
        <f>IF(AND(H43&lt;&gt;0,O43&lt;&gt;0),IF(ISNUMBER(VLOOKUP(TEXT(MAX(FLOOR(H43*10,1)/10,1.5),"0.0")&amp;":"&amp;MAX(O43,710),StrategyLookup,4,FALSE)),VLOOKUP(TEXT(MAX(FLOOR(H43*10,1)/10,1.5),"0.0")&amp;":"&amp;MAX(O43,710),StrategyLookup,4,FALSE),"TBD"),"TBD")</f>
        <v>0</v>
      </c>
      <c r="T43" s="11">
        <f>IF(ISNUMBER(S43),VLOOKUP(IF(OR(S43=5,S43=6),S43&amp;IF(H43&gt;=3,"+","&lt;"),S43&amp;""),TargetLookup,IF(B43=-1,6,IF(OR(P43="W",P43="A"),4,2)),FALSE),"TBD")</f>
        <v>0</v>
      </c>
      <c r="U43" s="11">
        <f>IF(ISNUMBER(S43),VLOOKUP(IF(OR(S43=5,S43=6),S43&amp;IF(H43&gt;=3,"+","&lt;"),S43&amp;""),TargetLookup,IF(B43=-1,7,IF(OR(P43="W",P43="A"),5,3)),FALSE),"TBD")</f>
        <v>0</v>
      </c>
      <c r="V43" s="18" t="s">
        <v>135</v>
      </c>
      <c r="W43" s="19" t="s">
        <v>136</v>
      </c>
      <c r="X43" s="19" t="s">
        <v>106</v>
      </c>
      <c r="Y43" s="19">
        <f>V43&amp;X43&amp;D43</f>
        <v>0</v>
      </c>
      <c r="Z43" s="11">
        <f t="array" ref="Z43">1-PRODUCT(IF(Students=E43,MGRMoneyMult,1))</f>
        <v>0</v>
      </c>
      <c r="AA43" s="12">
        <f t="array" ref="AA43">1-PRODUCT(IF(Students=E43,RGRMoneyMult,1))</f>
        <v>0</v>
      </c>
      <c r="AB43" s="13">
        <f>COUNTIFS(Students,E43,Results,"Accepted!")+COUNTIFS(Students,E43,Results,"CHOICE!")</f>
        <v>0</v>
      </c>
      <c r="AC43" s="1">
        <f>COUNTIFS(Students,E43,Results,"Deferred")+COUNTIFS(Students,E43,Results,"Waitlist")</f>
        <v>0</v>
      </c>
      <c r="AD43" s="13">
        <f>COUNTIFS(Students,E43,Results,"Denied")</f>
        <v>0</v>
      </c>
      <c r="AE43" s="13">
        <f>AB43+AC43+AD43+COUNTIFS(Students,E43,Results,"Submitted")</f>
        <v>0</v>
      </c>
      <c r="AF43" s="12">
        <v>0.732921706864654</v>
      </c>
      <c r="AG43" s="12">
        <v>0.7227636233012291</v>
      </c>
      <c r="AH43" s="12">
        <v>0.6413229292434537</v>
      </c>
      <c r="AI43" s="12">
        <v>0.6222114634262871</v>
      </c>
      <c r="AJ43" s="13">
        <f>COUNTIFS(Students,E43,Results,"CHOICE!")</f>
        <v>0</v>
      </c>
      <c r="AK43" s="1">
        <f>COUNTIFS(MoneyYesNo,1,RGRcount,1,Students,E43,Results,"Accepted!")</f>
        <v>0</v>
      </c>
      <c r="AL43" s="1">
        <f>COUNTIFS(MoneyYesNo,1,MGRcount,1,Students,E43,Results,"Accepted!")-AK43</f>
        <v>0</v>
      </c>
      <c r="AM43" s="1">
        <f>COUNTIFS(MoneyYesNo,1,Students,E43,Results,"Accepted!")-AK43-AL43</f>
        <v>0</v>
      </c>
      <c r="AN43" s="13">
        <f>COUNTIFS(Students,E43,Results,"Accepted!")-AK43-AL43-AM43</f>
        <v>0</v>
      </c>
      <c r="AO43" s="1">
        <f>SUMIFS(RGRcount,Students,E43,MoneyYesNo,1)</f>
        <v>0</v>
      </c>
      <c r="AP43" s="1">
        <f>SUMIFS(MGRcount,Students,E43,MoneyYesNo,1)-AO43</f>
        <v>0</v>
      </c>
      <c r="AQ43" s="1">
        <f>SUMIF(Students,E43,MoneyYesNo)-AO43-AP43</f>
        <v>0</v>
      </c>
      <c r="AR43" s="13">
        <f>SUM(AO43,AP43,AQ43)</f>
        <v>0</v>
      </c>
      <c r="AS43" s="1">
        <f>SUMIF(Students,E43,RGRcount)</f>
        <v>0</v>
      </c>
      <c r="AT43" s="1">
        <f>SUMIF(Students,E43,MGRcount)-AS43</f>
        <v>0</v>
      </c>
      <c r="AU43" s="1">
        <f>COUNTIF(Students,E43)-AS43-AT43</f>
        <v>0</v>
      </c>
      <c r="AV43" s="1">
        <f>SUMIF(Students,E43,FarBelowTGRCount)</f>
        <v>0</v>
      </c>
      <c r="AW43" s="47">
        <f>COUNTIF(Students,E43)</f>
        <v>0</v>
      </c>
      <c r="AX43" s="11">
        <f>IF(AW43&gt;0,AE43/AW43,0)</f>
        <v>0</v>
      </c>
      <c r="AY43" s="11">
        <f t="array" ref="AY43">1-PRODUCT(IF(Students=E43,MGRMult,1))</f>
        <v>0</v>
      </c>
      <c r="AZ43" s="12">
        <f t="array" ref="AZ43">1-PRODUCT(IF(Students=E43,RGRMult,1))</f>
        <v>0</v>
      </c>
      <c r="BA43" s="1">
        <f>COUNTIFS(Students,E43,Classes,HailMaryLabel)</f>
        <v>0</v>
      </c>
      <c r="BB43" s="1">
        <f>COUNTIFS(Students,E43,Classes,LongshotLabel)</f>
        <v>0</v>
      </c>
      <c r="BC43" s="1">
        <f>COUNTIFS(Students,E43,Classes,ReachLabel)</f>
        <v>0</v>
      </c>
      <c r="BD43" s="1">
        <f>COUNTIFS(Students,E43,Classes,MatchLabel)</f>
        <v>0</v>
      </c>
      <c r="BE43" s="1">
        <f>COUNTIFS(Students,E43,Classes,SafetyLabel)</f>
        <v>0</v>
      </c>
      <c r="BF43" s="1">
        <f>COUNTIFS(Students,E43,Classes,SecureLabel)</f>
        <v>0</v>
      </c>
      <c r="BG43" s="1">
        <f>COUNTIFS(Students,E43,Classes,SureThingLabel)</f>
        <v>0</v>
      </c>
      <c r="BH43" s="13">
        <f>COUNTIFS(Students,E43,Classes,"Other")</f>
        <v>0</v>
      </c>
      <c r="BI43" s="1">
        <f>COUNTIFS(Students,E43,Classes,ReachLabel,MoneyYesNo,1)</f>
        <v>0</v>
      </c>
      <c r="BJ43" s="1">
        <f>COUNTIFS(Students,E43,Classes,MatchLabel,MoneyYesNo,1)</f>
        <v>0</v>
      </c>
      <c r="BK43" s="1">
        <f>COUNTIFS(Students,E43,Classes,SafetyLabel,MoneyYesNo,1)</f>
        <v>0</v>
      </c>
      <c r="BL43" s="1">
        <f>COUNTIFS(Students,E43,Classes,SecureLabel,MoneyYesNo,1)</f>
        <v>0</v>
      </c>
      <c r="BM43" s="1">
        <f>COUNTIFS(Students,E43,Classes,SureThingLabel,MoneyYesNo,1)</f>
        <v>0</v>
      </c>
      <c r="BN43" s="1">
        <f>SUM(BI43:BM43)</f>
        <v>0</v>
      </c>
      <c r="BO43" s="1">
        <f>SUMIFS(RGRcount,Students,E43,MoneyYesNo,1,Odds,"&gt;=20")</f>
        <v>0</v>
      </c>
      <c r="BP43" s="1">
        <f>SUMIFS(MGRcount,Students,E43,MoneyYesNo,1,Odds,"&gt;=20")-BO43</f>
        <v>0</v>
      </c>
      <c r="BQ43" s="1">
        <f>SUMIFS(MGRcount,Students,E43,MoneyYesNo,1,Odds,"&gt;=50")</f>
        <v>0</v>
      </c>
      <c r="BR43" s="1">
        <f>SUMIFS(RGRcount,Students,E43,MoneyYesNo,1,Odds,"&gt;=10")</f>
        <v>0</v>
      </c>
      <c r="BS43" s="1">
        <f>SUMIFS(MGRcount,Students,E43,MoneyYesNo,1,Odds,"&gt;=10")-BR43</f>
        <v>0</v>
      </c>
      <c r="BT43" s="1">
        <f>COUNTIFS(Students,E43,ILPublic,1)</f>
        <v>0</v>
      </c>
      <c r="BU43" s="1">
        <f>COUNTIFS(Students,E43,ILPublic,1,MoneyYesNo,1,Classes,MatchLabel)+COUNTIFS(Students,E43,ILPublic,1,MoneyYesNo,1,Classes,SafetyLabel)+COUNTIFS(Students,E43,ILPublic,1,MoneyYesNo,1,Classes,SecureLabel)+COUNTIFS(Students,E43,ILPublic,1,MoneyYesNo,1,Classes,SureThingLabel)</f>
        <v>0</v>
      </c>
      <c r="BV43" s="1">
        <f>COUNTIFS(Students,E43,ILPublic,1, Classes,SecureLabel)</f>
        <v>0</v>
      </c>
      <c r="BW43" s="1">
        <f>COUNTIFS(Students,E43,MoneyChicago,1)</f>
        <v>0</v>
      </c>
      <c r="BX43" s="1">
        <f>COUNTIFS(Students,E43,MatchOrUnder,1)</f>
        <v>0</v>
      </c>
      <c r="BY43" s="1">
        <f>SUMIF(Students,E43,MGRcount)</f>
        <v>0</v>
      </c>
      <c r="BZ43" s="1">
        <f>COUNTIFS(Students,E43,BadMoney,1)</f>
        <v>0</v>
      </c>
      <c r="CA43" s="1">
        <f>COUNTIFS(Students,E43,GoldenThree,1)</f>
        <v>0</v>
      </c>
      <c r="CB43" s="1">
        <f>COUNTIFS(Students,E43,NCESids,147536)</f>
        <v>0</v>
      </c>
      <c r="CC43" s="1">
        <f>COUNTIFS(Students,E43,NCESids,144157)+COUNTIFS(Students,E43,NCESids,144166)+COUNTIFS(Students,E43,NCESids,144175)+COUNTIFS(Students,E43,NCESids,144184)+COUNTIFS(Students,E43,NCESids,144193)+COUNTIFS(Students,E43,NCESids,144209)+COUNTIFS(Students,E43,NCESids,144218)</f>
        <v>0</v>
      </c>
      <c r="CD43" s="1">
        <f>COUNTIFS(Students,E43,Results,"Accepted!",FarBelowTGRCount,0)+COUNTIFS(Students,E43,Results,"CHOICE!",FarBelowTGRCount,0)</f>
        <v>0</v>
      </c>
    </row>
    <row r="44" spans="1:82">
      <c r="A44" s="18" t="s">
        <v>96</v>
      </c>
      <c r="B44" s="19">
        <v>0</v>
      </c>
      <c r="C44" s="18" t="s">
        <v>97</v>
      </c>
      <c r="D44" s="18" t="s">
        <v>245</v>
      </c>
      <c r="E44" s="19">
        <v>22853391</v>
      </c>
      <c r="F44" s="19" t="s">
        <v>246</v>
      </c>
      <c r="G44" s="10" t="s">
        <v>247</v>
      </c>
      <c r="H44" s="46">
        <v>3.0346</v>
      </c>
      <c r="I44" s="46">
        <v>3.2346</v>
      </c>
      <c r="J44" s="1">
        <v>17</v>
      </c>
      <c r="K44" s="1">
        <f>IF(ISNUMBER(I44),ROUND(583.58+106.27*I44,-1),"TBD")</f>
        <v>0</v>
      </c>
      <c r="L44" s="1">
        <v>980</v>
      </c>
      <c r="M44" s="1">
        <f>IF(ISNUMBER(L44),L44,IF(ISNUMBER(K44),K44,"TBD"))</f>
        <v>0</v>
      </c>
      <c r="N44" s="1">
        <f>IF(ISNUMBER(J44),VLOOKUP(J44,ACTtoSAT,2,FALSE),"TBD")</f>
        <v>0</v>
      </c>
      <c r="O44" s="1">
        <f>IF(ISNUMBER(M44),IF(ISNUMBER(N44),MAX(M44,N44),M44),IF(ISNUMBER(N44),N44,"TBD"))</f>
        <v>0</v>
      </c>
      <c r="P44" s="1" t="s">
        <v>101</v>
      </c>
      <c r="Q44" s="1" t="s">
        <v>102</v>
      </c>
      <c r="R44" s="1" t="s">
        <v>103</v>
      </c>
      <c r="S44" s="1">
        <f>IF(AND(H44&lt;&gt;0,O44&lt;&gt;0),IF(ISNUMBER(VLOOKUP(TEXT(MAX(FLOOR(H44*10,1)/10,1.5),"0.0")&amp;":"&amp;MAX(O44,710),StrategyLookup,4,FALSE)),VLOOKUP(TEXT(MAX(FLOOR(H44*10,1)/10,1.5),"0.0")&amp;":"&amp;MAX(O44,710),StrategyLookup,4,FALSE),"TBD"),"TBD")</f>
        <v>0</v>
      </c>
      <c r="T44" s="11">
        <f>IF(ISNUMBER(S44),VLOOKUP(IF(OR(S44=5,S44=6),S44&amp;IF(H44&gt;=3,"+","&lt;"),S44&amp;""),TargetLookup,IF(B44=-1,6,IF(OR(P44="W",P44="A"),4,2)),FALSE),"TBD")</f>
        <v>0</v>
      </c>
      <c r="U44" s="11">
        <f>IF(ISNUMBER(S44),VLOOKUP(IF(OR(S44=5,S44=6),S44&amp;IF(H44&gt;=3,"+","&lt;"),S44&amp;""),TargetLookup,IF(B44=-1,7,IF(OR(P44="W",P44="A"),5,3)),FALSE),"TBD")</f>
        <v>0</v>
      </c>
      <c r="V44" s="18" t="s">
        <v>115</v>
      </c>
      <c r="W44" s="19" t="s">
        <v>111</v>
      </c>
      <c r="X44" s="19" t="s">
        <v>106</v>
      </c>
      <c r="Y44" s="19">
        <f>V44&amp;X44&amp;D44</f>
        <v>0</v>
      </c>
      <c r="Z44" s="11">
        <f t="array" ref="Z44">1-PRODUCT(IF(Students=E44,MGRMoneyMult,1))</f>
        <v>0</v>
      </c>
      <c r="AA44" s="12">
        <f t="array" ref="AA44">1-PRODUCT(IF(Students=E44,RGRMoneyMult,1))</f>
        <v>0</v>
      </c>
      <c r="AB44" s="13">
        <f>COUNTIFS(Students,E44,Results,"Accepted!")+COUNTIFS(Students,E44,Results,"CHOICE!")</f>
        <v>0</v>
      </c>
      <c r="AC44" s="1">
        <f>COUNTIFS(Students,E44,Results,"Deferred")+COUNTIFS(Students,E44,Results,"Waitlist")</f>
        <v>0</v>
      </c>
      <c r="AD44" s="13">
        <f>COUNTIFS(Students,E44,Results,"Denied")</f>
        <v>0</v>
      </c>
      <c r="AE44" s="13">
        <f>AB44+AC44+AD44+COUNTIFS(Students,E44,Results,"Submitted")</f>
        <v>0</v>
      </c>
      <c r="AF44" s="12">
        <v>0.7061184656463987</v>
      </c>
      <c r="AG44" s="12">
        <v>0.6284551606386272</v>
      </c>
      <c r="AH44" s="12">
        <v>0.5598384245955519</v>
      </c>
      <c r="AI44" s="12">
        <v>0.5429424742794769</v>
      </c>
      <c r="AJ44" s="13">
        <f>COUNTIFS(Students,E44,Results,"CHOICE!")</f>
        <v>0</v>
      </c>
      <c r="AK44" s="1">
        <f>COUNTIFS(MoneyYesNo,1,RGRcount,1,Students,E44,Results,"Accepted!")</f>
        <v>0</v>
      </c>
      <c r="AL44" s="1">
        <f>COUNTIFS(MoneyYesNo,1,MGRcount,1,Students,E44,Results,"Accepted!")-AK44</f>
        <v>0</v>
      </c>
      <c r="AM44" s="1">
        <f>COUNTIFS(MoneyYesNo,1,Students,E44,Results,"Accepted!")-AK44-AL44</f>
        <v>0</v>
      </c>
      <c r="AN44" s="13">
        <f>COUNTIFS(Students,E44,Results,"Accepted!")-AK44-AL44-AM44</f>
        <v>0</v>
      </c>
      <c r="AO44" s="1">
        <f>SUMIFS(RGRcount,Students,E44,MoneyYesNo,1)</f>
        <v>0</v>
      </c>
      <c r="AP44" s="1">
        <f>SUMIFS(MGRcount,Students,E44,MoneyYesNo,1)-AO44</f>
        <v>0</v>
      </c>
      <c r="AQ44" s="1">
        <f>SUMIF(Students,E44,MoneyYesNo)-AO44-AP44</f>
        <v>0</v>
      </c>
      <c r="AR44" s="13">
        <f>SUM(AO44,AP44,AQ44)</f>
        <v>0</v>
      </c>
      <c r="AS44" s="1">
        <f>SUMIF(Students,E44,RGRcount)</f>
        <v>0</v>
      </c>
      <c r="AT44" s="1">
        <f>SUMIF(Students,E44,MGRcount)-AS44</f>
        <v>0</v>
      </c>
      <c r="AU44" s="1">
        <f>COUNTIF(Students,E44)-AS44-AT44</f>
        <v>0</v>
      </c>
      <c r="AV44" s="1">
        <f>SUMIF(Students,E44,FarBelowTGRCount)</f>
        <v>0</v>
      </c>
      <c r="AW44" s="47">
        <f>COUNTIF(Students,E44)</f>
        <v>0</v>
      </c>
      <c r="AX44" s="11">
        <f>IF(AW44&gt;0,AE44/AW44,0)</f>
        <v>0</v>
      </c>
      <c r="AY44" s="11">
        <f t="array" ref="AY44">1-PRODUCT(IF(Students=E44,MGRMult,1))</f>
        <v>0</v>
      </c>
      <c r="AZ44" s="12">
        <f t="array" ref="AZ44">1-PRODUCT(IF(Students=E44,RGRMult,1))</f>
        <v>0</v>
      </c>
      <c r="BA44" s="1">
        <f>COUNTIFS(Students,E44,Classes,HailMaryLabel)</f>
        <v>0</v>
      </c>
      <c r="BB44" s="1">
        <f>COUNTIFS(Students,E44,Classes,LongshotLabel)</f>
        <v>0</v>
      </c>
      <c r="BC44" s="1">
        <f>COUNTIFS(Students,E44,Classes,ReachLabel)</f>
        <v>0</v>
      </c>
      <c r="BD44" s="1">
        <f>COUNTIFS(Students,E44,Classes,MatchLabel)</f>
        <v>0</v>
      </c>
      <c r="BE44" s="1">
        <f>COUNTIFS(Students,E44,Classes,SafetyLabel)</f>
        <v>0</v>
      </c>
      <c r="BF44" s="1">
        <f>COUNTIFS(Students,E44,Classes,SecureLabel)</f>
        <v>0</v>
      </c>
      <c r="BG44" s="1">
        <f>COUNTIFS(Students,E44,Classes,SureThingLabel)</f>
        <v>0</v>
      </c>
      <c r="BH44" s="13">
        <f>COUNTIFS(Students,E44,Classes,"Other")</f>
        <v>0</v>
      </c>
      <c r="BI44" s="1">
        <f>COUNTIFS(Students,E44,Classes,ReachLabel,MoneyYesNo,1)</f>
        <v>0</v>
      </c>
      <c r="BJ44" s="1">
        <f>COUNTIFS(Students,E44,Classes,MatchLabel,MoneyYesNo,1)</f>
        <v>0</v>
      </c>
      <c r="BK44" s="1">
        <f>COUNTIFS(Students,E44,Classes,SafetyLabel,MoneyYesNo,1)</f>
        <v>0</v>
      </c>
      <c r="BL44" s="1">
        <f>COUNTIFS(Students,E44,Classes,SecureLabel,MoneyYesNo,1)</f>
        <v>0</v>
      </c>
      <c r="BM44" s="1">
        <f>COUNTIFS(Students,E44,Classes,SureThingLabel,MoneyYesNo,1)</f>
        <v>0</v>
      </c>
      <c r="BN44" s="1">
        <f>SUM(BI44:BM44)</f>
        <v>0</v>
      </c>
      <c r="BO44" s="1">
        <f>SUMIFS(RGRcount,Students,E44,MoneyYesNo,1,Odds,"&gt;=20")</f>
        <v>0</v>
      </c>
      <c r="BP44" s="1">
        <f>SUMIFS(MGRcount,Students,E44,MoneyYesNo,1,Odds,"&gt;=20")-BO44</f>
        <v>0</v>
      </c>
      <c r="BQ44" s="1">
        <f>SUMIFS(MGRcount,Students,E44,MoneyYesNo,1,Odds,"&gt;=50")</f>
        <v>0</v>
      </c>
      <c r="BR44" s="1">
        <f>SUMIFS(RGRcount,Students,E44,MoneyYesNo,1,Odds,"&gt;=10")</f>
        <v>0</v>
      </c>
      <c r="BS44" s="1">
        <f>SUMIFS(MGRcount,Students,E44,MoneyYesNo,1,Odds,"&gt;=10")-BR44</f>
        <v>0</v>
      </c>
      <c r="BT44" s="1">
        <f>COUNTIFS(Students,E44,ILPublic,1)</f>
        <v>0</v>
      </c>
      <c r="BU44" s="1">
        <f>COUNTIFS(Students,E44,ILPublic,1,MoneyYesNo,1,Classes,MatchLabel)+COUNTIFS(Students,E44,ILPublic,1,MoneyYesNo,1,Classes,SafetyLabel)+COUNTIFS(Students,E44,ILPublic,1,MoneyYesNo,1,Classes,SecureLabel)+COUNTIFS(Students,E44,ILPublic,1,MoneyYesNo,1,Classes,SureThingLabel)</f>
        <v>0</v>
      </c>
      <c r="BV44" s="1">
        <f>COUNTIFS(Students,E44,ILPublic,1, Classes,SecureLabel)</f>
        <v>0</v>
      </c>
      <c r="BW44" s="1">
        <f>COUNTIFS(Students,E44,MoneyChicago,1)</f>
        <v>0</v>
      </c>
      <c r="BX44" s="1">
        <f>COUNTIFS(Students,E44,MatchOrUnder,1)</f>
        <v>0</v>
      </c>
      <c r="BY44" s="1">
        <f>SUMIF(Students,E44,MGRcount)</f>
        <v>0</v>
      </c>
      <c r="BZ44" s="1">
        <f>COUNTIFS(Students,E44,BadMoney,1)</f>
        <v>0</v>
      </c>
      <c r="CA44" s="1">
        <f>COUNTIFS(Students,E44,GoldenThree,1)</f>
        <v>0</v>
      </c>
      <c r="CB44" s="1">
        <f>COUNTIFS(Students,E44,NCESids,147536)</f>
        <v>0</v>
      </c>
      <c r="CC44" s="1">
        <f>COUNTIFS(Students,E44,NCESids,144157)+COUNTIFS(Students,E44,NCESids,144166)+COUNTIFS(Students,E44,NCESids,144175)+COUNTIFS(Students,E44,NCESids,144184)+COUNTIFS(Students,E44,NCESids,144193)+COUNTIFS(Students,E44,NCESids,144209)+COUNTIFS(Students,E44,NCESids,144218)</f>
        <v>0</v>
      </c>
      <c r="CD44" s="1">
        <f>COUNTIFS(Students,E44,Results,"Accepted!",FarBelowTGRCount,0)+COUNTIFS(Students,E44,Results,"CHOICE!",FarBelowTGRCount,0)</f>
        <v>0</v>
      </c>
    </row>
    <row r="45" spans="1:82">
      <c r="A45" s="18" t="s">
        <v>96</v>
      </c>
      <c r="B45" s="19">
        <v>0</v>
      </c>
      <c r="C45" s="18" t="s">
        <v>153</v>
      </c>
      <c r="D45" s="18" t="s">
        <v>248</v>
      </c>
      <c r="E45" s="19">
        <v>23478035</v>
      </c>
      <c r="F45" s="19" t="s">
        <v>249</v>
      </c>
      <c r="G45" s="10" t="s">
        <v>250</v>
      </c>
      <c r="H45" s="46">
        <v>2.7135</v>
      </c>
      <c r="I45" s="46">
        <v>2.9135</v>
      </c>
      <c r="J45" s="1">
        <v>17</v>
      </c>
      <c r="K45" s="1">
        <f>IF(ISNUMBER(I45),ROUND(583.58+106.27*I45,-1),"TBD")</f>
        <v>0</v>
      </c>
      <c r="L45" s="1">
        <v>1060</v>
      </c>
      <c r="M45" s="1">
        <f>IF(ISNUMBER(L45),L45,IF(ISNUMBER(K45),K45,"TBD"))</f>
        <v>0</v>
      </c>
      <c r="N45" s="1">
        <f>IF(ISNUMBER(J45),VLOOKUP(J45,ACTtoSAT,2,FALSE),"TBD")</f>
        <v>0</v>
      </c>
      <c r="O45" s="1">
        <f>IF(ISNUMBER(M45),IF(ISNUMBER(N45),MAX(M45,N45),M45),IF(ISNUMBER(N45),N45,"TBD"))</f>
        <v>0</v>
      </c>
      <c r="P45" s="1" t="s">
        <v>129</v>
      </c>
      <c r="Q45" s="1" t="s">
        <v>102</v>
      </c>
      <c r="R45" s="1" t="s">
        <v>226</v>
      </c>
      <c r="S45" s="1">
        <f>IF(AND(H45&lt;&gt;0,O45&lt;&gt;0),IF(ISNUMBER(VLOOKUP(TEXT(MAX(FLOOR(H45*10,1)/10,1.5),"0.0")&amp;":"&amp;MAX(O45,710),StrategyLookup,4,FALSE)),VLOOKUP(TEXT(MAX(FLOOR(H45*10,1)/10,1.5),"0.0")&amp;":"&amp;MAX(O45,710),StrategyLookup,4,FALSE),"TBD"),"TBD")</f>
        <v>0</v>
      </c>
      <c r="T45" s="11">
        <f>IF(ISNUMBER(S45),VLOOKUP(IF(OR(S45=5,S45=6),S45&amp;IF(H45&gt;=3,"+","&lt;"),S45&amp;""),TargetLookup,IF(B45=-1,6,IF(OR(P45="W",P45="A"),4,2)),FALSE),"TBD")</f>
        <v>0</v>
      </c>
      <c r="U45" s="11">
        <f>IF(ISNUMBER(S45),VLOOKUP(IF(OR(S45=5,S45=6),S45&amp;IF(H45&gt;=3,"+","&lt;"),S45&amp;""),TargetLookup,IF(B45=-1,7,IF(OR(P45="W",P45="A"),5,3)),FALSE),"TBD")</f>
        <v>0</v>
      </c>
      <c r="V45" s="18" t="s">
        <v>104</v>
      </c>
      <c r="W45" s="19" t="s">
        <v>116</v>
      </c>
      <c r="X45" s="19" t="s">
        <v>106</v>
      </c>
      <c r="Y45" s="19">
        <f>V45&amp;X45&amp;D45</f>
        <v>0</v>
      </c>
      <c r="Z45" s="11">
        <f t="array" ref="Z45">1-PRODUCT(IF(Students=E45,MGRMoneyMult,1))</f>
        <v>0</v>
      </c>
      <c r="AA45" s="12">
        <f t="array" ref="AA45">1-PRODUCT(IF(Students=E45,RGRMoneyMult,1))</f>
        <v>0</v>
      </c>
      <c r="AB45" s="13">
        <f>COUNTIFS(Students,E45,Results,"Accepted!")+COUNTIFS(Students,E45,Results,"CHOICE!")</f>
        <v>0</v>
      </c>
      <c r="AC45" s="1">
        <f>COUNTIFS(Students,E45,Results,"Deferred")+COUNTIFS(Students,E45,Results,"Waitlist")</f>
        <v>0</v>
      </c>
      <c r="AD45" s="13">
        <f>COUNTIFS(Students,E45,Results,"Denied")</f>
        <v>0</v>
      </c>
      <c r="AE45" s="13">
        <f>AB45+AC45+AD45+COUNTIFS(Students,E45,Results,"Submitted")</f>
        <v>0</v>
      </c>
      <c r="AF45" s="12">
        <v>0.6871171230147854</v>
      </c>
      <c r="AG45" s="12">
        <v>0.5327507592159992</v>
      </c>
      <c r="AH45" s="12">
        <v>0.5016251758407404</v>
      </c>
      <c r="AI45" s="12">
        <v>0.4759113654946853</v>
      </c>
      <c r="AJ45" s="13">
        <f>COUNTIFS(Students,E45,Results,"CHOICE!")</f>
        <v>0</v>
      </c>
      <c r="AK45" s="1">
        <f>COUNTIFS(MoneyYesNo,1,RGRcount,1,Students,E45,Results,"Accepted!")</f>
        <v>0</v>
      </c>
      <c r="AL45" s="1">
        <f>COUNTIFS(MoneyYesNo,1,MGRcount,1,Students,E45,Results,"Accepted!")-AK45</f>
        <v>0</v>
      </c>
      <c r="AM45" s="1">
        <f>COUNTIFS(MoneyYesNo,1,Students,E45,Results,"Accepted!")-AK45-AL45</f>
        <v>0</v>
      </c>
      <c r="AN45" s="13">
        <f>COUNTIFS(Students,E45,Results,"Accepted!")-AK45-AL45-AM45</f>
        <v>0</v>
      </c>
      <c r="AO45" s="1">
        <f>SUMIFS(RGRcount,Students,E45,MoneyYesNo,1)</f>
        <v>0</v>
      </c>
      <c r="AP45" s="1">
        <f>SUMIFS(MGRcount,Students,E45,MoneyYesNo,1)-AO45</f>
        <v>0</v>
      </c>
      <c r="AQ45" s="1">
        <f>SUMIF(Students,E45,MoneyYesNo)-AO45-AP45</f>
        <v>0</v>
      </c>
      <c r="AR45" s="13">
        <f>SUM(AO45,AP45,AQ45)</f>
        <v>0</v>
      </c>
      <c r="AS45" s="1">
        <f>SUMIF(Students,E45,RGRcount)</f>
        <v>0</v>
      </c>
      <c r="AT45" s="1">
        <f>SUMIF(Students,E45,MGRcount)-AS45</f>
        <v>0</v>
      </c>
      <c r="AU45" s="1">
        <f>COUNTIF(Students,E45)-AS45-AT45</f>
        <v>0</v>
      </c>
      <c r="AV45" s="1">
        <f>SUMIF(Students,E45,FarBelowTGRCount)</f>
        <v>0</v>
      </c>
      <c r="AW45" s="47">
        <f>COUNTIF(Students,E45)</f>
        <v>0</v>
      </c>
      <c r="AX45" s="11">
        <f>IF(AW45&gt;0,AE45/AW45,0)</f>
        <v>0</v>
      </c>
      <c r="AY45" s="11">
        <f t="array" ref="AY45">1-PRODUCT(IF(Students=E45,MGRMult,1))</f>
        <v>0</v>
      </c>
      <c r="AZ45" s="12">
        <f t="array" ref="AZ45">1-PRODUCT(IF(Students=E45,RGRMult,1))</f>
        <v>0</v>
      </c>
      <c r="BA45" s="1">
        <f>COUNTIFS(Students,E45,Classes,HailMaryLabel)</f>
        <v>0</v>
      </c>
      <c r="BB45" s="1">
        <f>COUNTIFS(Students,E45,Classes,LongshotLabel)</f>
        <v>0</v>
      </c>
      <c r="BC45" s="1">
        <f>COUNTIFS(Students,E45,Classes,ReachLabel)</f>
        <v>0</v>
      </c>
      <c r="BD45" s="1">
        <f>COUNTIFS(Students,E45,Classes,MatchLabel)</f>
        <v>0</v>
      </c>
      <c r="BE45" s="1">
        <f>COUNTIFS(Students,E45,Classes,SafetyLabel)</f>
        <v>0</v>
      </c>
      <c r="BF45" s="1">
        <f>COUNTIFS(Students,E45,Classes,SecureLabel)</f>
        <v>0</v>
      </c>
      <c r="BG45" s="1">
        <f>COUNTIFS(Students,E45,Classes,SureThingLabel)</f>
        <v>0</v>
      </c>
      <c r="BH45" s="13">
        <f>COUNTIFS(Students,E45,Classes,"Other")</f>
        <v>0</v>
      </c>
      <c r="BI45" s="1">
        <f>COUNTIFS(Students,E45,Classes,ReachLabel,MoneyYesNo,1)</f>
        <v>0</v>
      </c>
      <c r="BJ45" s="1">
        <f>COUNTIFS(Students,E45,Classes,MatchLabel,MoneyYesNo,1)</f>
        <v>0</v>
      </c>
      <c r="BK45" s="1">
        <f>COUNTIFS(Students,E45,Classes,SafetyLabel,MoneyYesNo,1)</f>
        <v>0</v>
      </c>
      <c r="BL45" s="1">
        <f>COUNTIFS(Students,E45,Classes,SecureLabel,MoneyYesNo,1)</f>
        <v>0</v>
      </c>
      <c r="BM45" s="1">
        <f>COUNTIFS(Students,E45,Classes,SureThingLabel,MoneyYesNo,1)</f>
        <v>0</v>
      </c>
      <c r="BN45" s="1">
        <f>SUM(BI45:BM45)</f>
        <v>0</v>
      </c>
      <c r="BO45" s="1">
        <f>SUMIFS(RGRcount,Students,E45,MoneyYesNo,1,Odds,"&gt;=20")</f>
        <v>0</v>
      </c>
      <c r="BP45" s="1">
        <f>SUMIFS(MGRcount,Students,E45,MoneyYesNo,1,Odds,"&gt;=20")-BO45</f>
        <v>0</v>
      </c>
      <c r="BQ45" s="1">
        <f>SUMIFS(MGRcount,Students,E45,MoneyYesNo,1,Odds,"&gt;=50")</f>
        <v>0</v>
      </c>
      <c r="BR45" s="1">
        <f>SUMIFS(RGRcount,Students,E45,MoneyYesNo,1,Odds,"&gt;=10")</f>
        <v>0</v>
      </c>
      <c r="BS45" s="1">
        <f>SUMIFS(MGRcount,Students,E45,MoneyYesNo,1,Odds,"&gt;=10")-BR45</f>
        <v>0</v>
      </c>
      <c r="BT45" s="1">
        <f>COUNTIFS(Students,E45,ILPublic,1)</f>
        <v>0</v>
      </c>
      <c r="BU45" s="1">
        <f>COUNTIFS(Students,E45,ILPublic,1,MoneyYesNo,1,Classes,MatchLabel)+COUNTIFS(Students,E45,ILPublic,1,MoneyYesNo,1,Classes,SafetyLabel)+COUNTIFS(Students,E45,ILPublic,1,MoneyYesNo,1,Classes,SecureLabel)+COUNTIFS(Students,E45,ILPublic,1,MoneyYesNo,1,Classes,SureThingLabel)</f>
        <v>0</v>
      </c>
      <c r="BV45" s="1">
        <f>COUNTIFS(Students,E45,ILPublic,1, Classes,SecureLabel)</f>
        <v>0</v>
      </c>
      <c r="BW45" s="1">
        <f>COUNTIFS(Students,E45,MoneyChicago,1)</f>
        <v>0</v>
      </c>
      <c r="BX45" s="1">
        <f>COUNTIFS(Students,E45,MatchOrUnder,1)</f>
        <v>0</v>
      </c>
      <c r="BY45" s="1">
        <f>SUMIF(Students,E45,MGRcount)</f>
        <v>0</v>
      </c>
      <c r="BZ45" s="1">
        <f>COUNTIFS(Students,E45,BadMoney,1)</f>
        <v>0</v>
      </c>
      <c r="CA45" s="1">
        <f>COUNTIFS(Students,E45,GoldenThree,1)</f>
        <v>0</v>
      </c>
      <c r="CB45" s="1">
        <f>COUNTIFS(Students,E45,NCESids,147536)</f>
        <v>0</v>
      </c>
      <c r="CC45" s="1">
        <f>COUNTIFS(Students,E45,NCESids,144157)+COUNTIFS(Students,E45,NCESids,144166)+COUNTIFS(Students,E45,NCESids,144175)+COUNTIFS(Students,E45,NCESids,144184)+COUNTIFS(Students,E45,NCESids,144193)+COUNTIFS(Students,E45,NCESids,144209)+COUNTIFS(Students,E45,NCESids,144218)</f>
        <v>0</v>
      </c>
      <c r="CD45" s="1">
        <f>COUNTIFS(Students,E45,Results,"Accepted!",FarBelowTGRCount,0)+COUNTIFS(Students,E45,Results,"CHOICE!",FarBelowTGRCount,0)</f>
        <v>0</v>
      </c>
    </row>
    <row r="46" spans="1:82">
      <c r="A46" s="18" t="s">
        <v>96</v>
      </c>
      <c r="B46" s="19">
        <v>0</v>
      </c>
      <c r="C46" s="18" t="s">
        <v>153</v>
      </c>
      <c r="D46" s="18" t="s">
        <v>251</v>
      </c>
      <c r="E46" s="19">
        <v>23477954</v>
      </c>
      <c r="F46" s="19" t="s">
        <v>252</v>
      </c>
      <c r="G46" s="10" t="s">
        <v>253</v>
      </c>
      <c r="H46" s="46">
        <v>2.8404</v>
      </c>
      <c r="I46" s="46">
        <v>3.0404</v>
      </c>
      <c r="J46" s="1">
        <v>18</v>
      </c>
      <c r="K46" s="1">
        <f>IF(ISNUMBER(I46),ROUND(583.58+106.27*I46,-1),"TBD")</f>
        <v>0</v>
      </c>
      <c r="L46" s="1">
        <v>1060</v>
      </c>
      <c r="M46" s="1">
        <f>IF(ISNUMBER(L46),L46,IF(ISNUMBER(K46),K46,"TBD"))</f>
        <v>0</v>
      </c>
      <c r="N46" s="1">
        <f>IF(ISNUMBER(J46),VLOOKUP(J46,ACTtoSAT,2,FALSE),"TBD")</f>
        <v>0</v>
      </c>
      <c r="O46" s="1">
        <f>IF(ISNUMBER(M46),IF(ISNUMBER(N46),MAX(M46,N46),M46),IF(ISNUMBER(N46),N46,"TBD"))</f>
        <v>0</v>
      </c>
      <c r="P46" s="1" t="s">
        <v>129</v>
      </c>
      <c r="Q46" s="1" t="s">
        <v>102</v>
      </c>
      <c r="R46" s="1" t="s">
        <v>226</v>
      </c>
      <c r="S46" s="1">
        <f>IF(AND(H46&lt;&gt;0,O46&lt;&gt;0),IF(ISNUMBER(VLOOKUP(TEXT(MAX(FLOOR(H46*10,1)/10,1.5),"0.0")&amp;":"&amp;MAX(O46,710),StrategyLookup,4,FALSE)),VLOOKUP(TEXT(MAX(FLOOR(H46*10,1)/10,1.5),"0.0")&amp;":"&amp;MAX(O46,710),StrategyLookup,4,FALSE),"TBD"),"TBD")</f>
        <v>0</v>
      </c>
      <c r="T46" s="11">
        <f>IF(ISNUMBER(S46),VLOOKUP(IF(OR(S46=5,S46=6),S46&amp;IF(H46&gt;=3,"+","&lt;"),S46&amp;""),TargetLookup,IF(B46=-1,6,IF(OR(P46="W",P46="A"),4,2)),FALSE),"TBD")</f>
        <v>0</v>
      </c>
      <c r="U46" s="11">
        <f>IF(ISNUMBER(S46),VLOOKUP(IF(OR(S46=5,S46=6),S46&amp;IF(H46&gt;=3,"+","&lt;"),S46&amp;""),TargetLookup,IF(B46=-1,7,IF(OR(P46="W",P46="A"),5,3)),FALSE),"TBD")</f>
        <v>0</v>
      </c>
      <c r="V46" s="18" t="s">
        <v>104</v>
      </c>
      <c r="W46" s="19" t="s">
        <v>146</v>
      </c>
      <c r="X46" s="19" t="s">
        <v>106</v>
      </c>
      <c r="Y46" s="19">
        <f>V46&amp;X46&amp;D46</f>
        <v>0</v>
      </c>
      <c r="Z46" s="11">
        <f t="array" ref="Z46">1-PRODUCT(IF(Students=E46,MGRMoneyMult,1))</f>
        <v>0</v>
      </c>
      <c r="AA46" s="12">
        <f t="array" ref="AA46">1-PRODUCT(IF(Students=E46,RGRMoneyMult,1))</f>
        <v>0</v>
      </c>
      <c r="AB46" s="13">
        <f>COUNTIFS(Students,E46,Results,"Accepted!")+COUNTIFS(Students,E46,Results,"CHOICE!")</f>
        <v>0</v>
      </c>
      <c r="AC46" s="1">
        <f>COUNTIFS(Students,E46,Results,"Deferred")+COUNTIFS(Students,E46,Results,"Waitlist")</f>
        <v>0</v>
      </c>
      <c r="AD46" s="13">
        <f>COUNTIFS(Students,E46,Results,"Denied")</f>
        <v>0</v>
      </c>
      <c r="AE46" s="13">
        <f>AB46+AC46+AD46+COUNTIFS(Students,E46,Results,"Submitted")</f>
        <v>0</v>
      </c>
      <c r="AF46" s="12">
        <v>0.6965453847975487</v>
      </c>
      <c r="AG46" s="12">
        <v>0.5352647376305032</v>
      </c>
      <c r="AH46" s="12">
        <v>0.48880586056119</v>
      </c>
      <c r="AI46" s="12">
        <v>0.4636590964327185</v>
      </c>
      <c r="AJ46" s="13">
        <f>COUNTIFS(Students,E46,Results,"CHOICE!")</f>
        <v>0</v>
      </c>
      <c r="AK46" s="1">
        <f>COUNTIFS(MoneyYesNo,1,RGRcount,1,Students,E46,Results,"Accepted!")</f>
        <v>0</v>
      </c>
      <c r="AL46" s="1">
        <f>COUNTIFS(MoneyYesNo,1,MGRcount,1,Students,E46,Results,"Accepted!")-AK46</f>
        <v>0</v>
      </c>
      <c r="AM46" s="1">
        <f>COUNTIFS(MoneyYesNo,1,Students,E46,Results,"Accepted!")-AK46-AL46</f>
        <v>0</v>
      </c>
      <c r="AN46" s="13">
        <f>COUNTIFS(Students,E46,Results,"Accepted!")-AK46-AL46-AM46</f>
        <v>0</v>
      </c>
      <c r="AO46" s="1">
        <f>SUMIFS(RGRcount,Students,E46,MoneyYesNo,1)</f>
        <v>0</v>
      </c>
      <c r="AP46" s="1">
        <f>SUMIFS(MGRcount,Students,E46,MoneyYesNo,1)-AO46</f>
        <v>0</v>
      </c>
      <c r="AQ46" s="1">
        <f>SUMIF(Students,E46,MoneyYesNo)-AO46-AP46</f>
        <v>0</v>
      </c>
      <c r="AR46" s="13">
        <f>SUM(AO46,AP46,AQ46)</f>
        <v>0</v>
      </c>
      <c r="AS46" s="1">
        <f>SUMIF(Students,E46,RGRcount)</f>
        <v>0</v>
      </c>
      <c r="AT46" s="1">
        <f>SUMIF(Students,E46,MGRcount)-AS46</f>
        <v>0</v>
      </c>
      <c r="AU46" s="1">
        <f>COUNTIF(Students,E46)-AS46-AT46</f>
        <v>0</v>
      </c>
      <c r="AV46" s="1">
        <f>SUMIF(Students,E46,FarBelowTGRCount)</f>
        <v>0</v>
      </c>
      <c r="AW46" s="47">
        <f>COUNTIF(Students,E46)</f>
        <v>0</v>
      </c>
      <c r="AX46" s="11">
        <f>IF(AW46&gt;0,AE46/AW46,0)</f>
        <v>0</v>
      </c>
      <c r="AY46" s="11">
        <f t="array" ref="AY46">1-PRODUCT(IF(Students=E46,MGRMult,1))</f>
        <v>0</v>
      </c>
      <c r="AZ46" s="12">
        <f t="array" ref="AZ46">1-PRODUCT(IF(Students=E46,RGRMult,1))</f>
        <v>0</v>
      </c>
      <c r="BA46" s="1">
        <f>COUNTIFS(Students,E46,Classes,HailMaryLabel)</f>
        <v>0</v>
      </c>
      <c r="BB46" s="1">
        <f>COUNTIFS(Students,E46,Classes,LongshotLabel)</f>
        <v>0</v>
      </c>
      <c r="BC46" s="1">
        <f>COUNTIFS(Students,E46,Classes,ReachLabel)</f>
        <v>0</v>
      </c>
      <c r="BD46" s="1">
        <f>COUNTIFS(Students,E46,Classes,MatchLabel)</f>
        <v>0</v>
      </c>
      <c r="BE46" s="1">
        <f>COUNTIFS(Students,E46,Classes,SafetyLabel)</f>
        <v>0</v>
      </c>
      <c r="BF46" s="1">
        <f>COUNTIFS(Students,E46,Classes,SecureLabel)</f>
        <v>0</v>
      </c>
      <c r="BG46" s="1">
        <f>COUNTIFS(Students,E46,Classes,SureThingLabel)</f>
        <v>0</v>
      </c>
      <c r="BH46" s="13">
        <f>COUNTIFS(Students,E46,Classes,"Other")</f>
        <v>0</v>
      </c>
      <c r="BI46" s="1">
        <f>COUNTIFS(Students,E46,Classes,ReachLabel,MoneyYesNo,1)</f>
        <v>0</v>
      </c>
      <c r="BJ46" s="1">
        <f>COUNTIFS(Students,E46,Classes,MatchLabel,MoneyYesNo,1)</f>
        <v>0</v>
      </c>
      <c r="BK46" s="1">
        <f>COUNTIFS(Students,E46,Classes,SafetyLabel,MoneyYesNo,1)</f>
        <v>0</v>
      </c>
      <c r="BL46" s="1">
        <f>COUNTIFS(Students,E46,Classes,SecureLabel,MoneyYesNo,1)</f>
        <v>0</v>
      </c>
      <c r="BM46" s="1">
        <f>COUNTIFS(Students,E46,Classes,SureThingLabel,MoneyYesNo,1)</f>
        <v>0</v>
      </c>
      <c r="BN46" s="1">
        <f>SUM(BI46:BM46)</f>
        <v>0</v>
      </c>
      <c r="BO46" s="1">
        <f>SUMIFS(RGRcount,Students,E46,MoneyYesNo,1,Odds,"&gt;=20")</f>
        <v>0</v>
      </c>
      <c r="BP46" s="1">
        <f>SUMIFS(MGRcount,Students,E46,MoneyYesNo,1,Odds,"&gt;=20")-BO46</f>
        <v>0</v>
      </c>
      <c r="BQ46" s="1">
        <f>SUMIFS(MGRcount,Students,E46,MoneyYesNo,1,Odds,"&gt;=50")</f>
        <v>0</v>
      </c>
      <c r="BR46" s="1">
        <f>SUMIFS(RGRcount,Students,E46,MoneyYesNo,1,Odds,"&gt;=10")</f>
        <v>0</v>
      </c>
      <c r="BS46" s="1">
        <f>SUMIFS(MGRcount,Students,E46,MoneyYesNo,1,Odds,"&gt;=10")-BR46</f>
        <v>0</v>
      </c>
      <c r="BT46" s="1">
        <f>COUNTIFS(Students,E46,ILPublic,1)</f>
        <v>0</v>
      </c>
      <c r="BU46" s="1">
        <f>COUNTIFS(Students,E46,ILPublic,1,MoneyYesNo,1,Classes,MatchLabel)+COUNTIFS(Students,E46,ILPublic,1,MoneyYesNo,1,Classes,SafetyLabel)+COUNTIFS(Students,E46,ILPublic,1,MoneyYesNo,1,Classes,SecureLabel)+COUNTIFS(Students,E46,ILPublic,1,MoneyYesNo,1,Classes,SureThingLabel)</f>
        <v>0</v>
      </c>
      <c r="BV46" s="1">
        <f>COUNTIFS(Students,E46,ILPublic,1, Classes,SecureLabel)</f>
        <v>0</v>
      </c>
      <c r="BW46" s="1">
        <f>COUNTIFS(Students,E46,MoneyChicago,1)</f>
        <v>0</v>
      </c>
      <c r="BX46" s="1">
        <f>COUNTIFS(Students,E46,MatchOrUnder,1)</f>
        <v>0</v>
      </c>
      <c r="BY46" s="1">
        <f>SUMIF(Students,E46,MGRcount)</f>
        <v>0</v>
      </c>
      <c r="BZ46" s="1">
        <f>COUNTIFS(Students,E46,BadMoney,1)</f>
        <v>0</v>
      </c>
      <c r="CA46" s="1">
        <f>COUNTIFS(Students,E46,GoldenThree,1)</f>
        <v>0</v>
      </c>
      <c r="CB46" s="1">
        <f>COUNTIFS(Students,E46,NCESids,147536)</f>
        <v>0</v>
      </c>
      <c r="CC46" s="1">
        <f>COUNTIFS(Students,E46,NCESids,144157)+COUNTIFS(Students,E46,NCESids,144166)+COUNTIFS(Students,E46,NCESids,144175)+COUNTIFS(Students,E46,NCESids,144184)+COUNTIFS(Students,E46,NCESids,144193)+COUNTIFS(Students,E46,NCESids,144209)+COUNTIFS(Students,E46,NCESids,144218)</f>
        <v>0</v>
      </c>
      <c r="CD46" s="1">
        <f>COUNTIFS(Students,E46,Results,"Accepted!",FarBelowTGRCount,0)+COUNTIFS(Students,E46,Results,"CHOICE!",FarBelowTGRCount,0)</f>
        <v>0</v>
      </c>
    </row>
    <row r="47" spans="1:82">
      <c r="A47" s="18" t="s">
        <v>96</v>
      </c>
      <c r="B47" s="19">
        <v>0</v>
      </c>
      <c r="C47" s="18" t="s">
        <v>97</v>
      </c>
      <c r="D47" s="18" t="s">
        <v>254</v>
      </c>
      <c r="E47" s="19">
        <v>23473460</v>
      </c>
      <c r="F47" s="19" t="s">
        <v>255</v>
      </c>
      <c r="G47" s="10" t="s">
        <v>256</v>
      </c>
      <c r="H47" s="46">
        <v>3.3308</v>
      </c>
      <c r="I47" s="46">
        <v>3.5308</v>
      </c>
      <c r="J47" s="1">
        <v>20</v>
      </c>
      <c r="K47" s="1">
        <f>IF(ISNUMBER(I47),ROUND(583.58+106.27*I47,-1),"TBD")</f>
        <v>0</v>
      </c>
      <c r="L47" s="1">
        <v>810</v>
      </c>
      <c r="M47" s="1">
        <f>IF(ISNUMBER(L47),L47,IF(ISNUMBER(K47),K47,"TBD"))</f>
        <v>0</v>
      </c>
      <c r="N47" s="1">
        <f>IF(ISNUMBER(J47),VLOOKUP(J47,ACTtoSAT,2,FALSE),"TBD")</f>
        <v>0</v>
      </c>
      <c r="O47" s="1">
        <f>IF(ISNUMBER(M47),IF(ISNUMBER(N47),MAX(M47,N47),M47),IF(ISNUMBER(N47),N47,"TBD"))</f>
        <v>0</v>
      </c>
      <c r="P47" s="1" t="s">
        <v>101</v>
      </c>
      <c r="Q47" s="1" t="s">
        <v>123</v>
      </c>
      <c r="R47" s="1" t="s">
        <v>124</v>
      </c>
      <c r="S47" s="1">
        <f>IF(AND(H47&lt;&gt;0,O47&lt;&gt;0),IF(ISNUMBER(VLOOKUP(TEXT(MAX(FLOOR(H47*10,1)/10,1.5),"0.0")&amp;":"&amp;MAX(O47,710),StrategyLookup,4,FALSE)),VLOOKUP(TEXT(MAX(FLOOR(H47*10,1)/10,1.5),"0.0")&amp;":"&amp;MAX(O47,710),StrategyLookup,4,FALSE),"TBD"),"TBD")</f>
        <v>0</v>
      </c>
      <c r="T47" s="11">
        <f>IF(ISNUMBER(S47),VLOOKUP(IF(OR(S47=5,S47=6),S47&amp;IF(H47&gt;=3,"+","&lt;"),S47&amp;""),TargetLookup,IF(B47=-1,6,IF(OR(P47="W",P47="A"),4,2)),FALSE),"TBD")</f>
        <v>0</v>
      </c>
      <c r="U47" s="11">
        <f>IF(ISNUMBER(S47),VLOOKUP(IF(OR(S47=5,S47=6),S47&amp;IF(H47&gt;=3,"+","&lt;"),S47&amp;""),TargetLookup,IF(B47=-1,7,IF(OR(P47="W",P47="A"),5,3)),FALSE),"TBD")</f>
        <v>0</v>
      </c>
      <c r="V47" s="18" t="s">
        <v>104</v>
      </c>
      <c r="W47" s="19" t="s">
        <v>125</v>
      </c>
      <c r="X47" s="19" t="s">
        <v>106</v>
      </c>
      <c r="Y47" s="19">
        <f>V47&amp;X47&amp;D47</f>
        <v>0</v>
      </c>
      <c r="Z47" s="11">
        <f t="array" ref="Z47">1-PRODUCT(IF(Students=E47,MGRMoneyMult,1))</f>
        <v>0</v>
      </c>
      <c r="AA47" s="12">
        <f t="array" ref="AA47">1-PRODUCT(IF(Students=E47,RGRMoneyMult,1))</f>
        <v>0</v>
      </c>
      <c r="AB47" s="13">
        <f>COUNTIFS(Students,E47,Results,"Accepted!")+COUNTIFS(Students,E47,Results,"CHOICE!")</f>
        <v>0</v>
      </c>
      <c r="AC47" s="1">
        <f>COUNTIFS(Students,E47,Results,"Deferred")+COUNTIFS(Students,E47,Results,"Waitlist")</f>
        <v>0</v>
      </c>
      <c r="AD47" s="13">
        <f>COUNTIFS(Students,E47,Results,"Denied")</f>
        <v>0</v>
      </c>
      <c r="AE47" s="13">
        <f>AB47+AC47+AD47+COUNTIFS(Students,E47,Results,"Submitted")</f>
        <v>0</v>
      </c>
      <c r="AF47" s="12">
        <v>0.7563447000161715</v>
      </c>
      <c r="AG47" s="12">
        <v>0.7253309452650138</v>
      </c>
      <c r="AH47" s="12">
        <v>0.6461230196901202</v>
      </c>
      <c r="AI47" s="12">
        <v>0.6215914803903018</v>
      </c>
      <c r="AJ47" s="13">
        <f>COUNTIFS(Students,E47,Results,"CHOICE!")</f>
        <v>0</v>
      </c>
      <c r="AK47" s="1">
        <f>COUNTIFS(MoneyYesNo,1,RGRcount,1,Students,E47,Results,"Accepted!")</f>
        <v>0</v>
      </c>
      <c r="AL47" s="1">
        <f>COUNTIFS(MoneyYesNo,1,MGRcount,1,Students,E47,Results,"Accepted!")-AK47</f>
        <v>0</v>
      </c>
      <c r="AM47" s="1">
        <f>COUNTIFS(MoneyYesNo,1,Students,E47,Results,"Accepted!")-AK47-AL47</f>
        <v>0</v>
      </c>
      <c r="AN47" s="13">
        <f>COUNTIFS(Students,E47,Results,"Accepted!")-AK47-AL47-AM47</f>
        <v>0</v>
      </c>
      <c r="AO47" s="1">
        <f>SUMIFS(RGRcount,Students,E47,MoneyYesNo,1)</f>
        <v>0</v>
      </c>
      <c r="AP47" s="1">
        <f>SUMIFS(MGRcount,Students,E47,MoneyYesNo,1)-AO47</f>
        <v>0</v>
      </c>
      <c r="AQ47" s="1">
        <f>SUMIF(Students,E47,MoneyYesNo)-AO47-AP47</f>
        <v>0</v>
      </c>
      <c r="AR47" s="13">
        <f>SUM(AO47,AP47,AQ47)</f>
        <v>0</v>
      </c>
      <c r="AS47" s="1">
        <f>SUMIF(Students,E47,RGRcount)</f>
        <v>0</v>
      </c>
      <c r="AT47" s="1">
        <f>SUMIF(Students,E47,MGRcount)-AS47</f>
        <v>0</v>
      </c>
      <c r="AU47" s="1">
        <f>COUNTIF(Students,E47)-AS47-AT47</f>
        <v>0</v>
      </c>
      <c r="AV47" s="1">
        <f>SUMIF(Students,E47,FarBelowTGRCount)</f>
        <v>0</v>
      </c>
      <c r="AW47" s="47">
        <f>COUNTIF(Students,E47)</f>
        <v>0</v>
      </c>
      <c r="AX47" s="11">
        <f>IF(AW47&gt;0,AE47/AW47,0)</f>
        <v>0</v>
      </c>
      <c r="AY47" s="11">
        <f t="array" ref="AY47">1-PRODUCT(IF(Students=E47,MGRMult,1))</f>
        <v>0</v>
      </c>
      <c r="AZ47" s="12">
        <f t="array" ref="AZ47">1-PRODUCT(IF(Students=E47,RGRMult,1))</f>
        <v>0</v>
      </c>
      <c r="BA47" s="1">
        <f>COUNTIFS(Students,E47,Classes,HailMaryLabel)</f>
        <v>0</v>
      </c>
      <c r="BB47" s="1">
        <f>COUNTIFS(Students,E47,Classes,LongshotLabel)</f>
        <v>0</v>
      </c>
      <c r="BC47" s="1">
        <f>COUNTIFS(Students,E47,Classes,ReachLabel)</f>
        <v>0</v>
      </c>
      <c r="BD47" s="1">
        <f>COUNTIFS(Students,E47,Classes,MatchLabel)</f>
        <v>0</v>
      </c>
      <c r="BE47" s="1">
        <f>COUNTIFS(Students,E47,Classes,SafetyLabel)</f>
        <v>0</v>
      </c>
      <c r="BF47" s="1">
        <f>COUNTIFS(Students,E47,Classes,SecureLabel)</f>
        <v>0</v>
      </c>
      <c r="BG47" s="1">
        <f>COUNTIFS(Students,E47,Classes,SureThingLabel)</f>
        <v>0</v>
      </c>
      <c r="BH47" s="13">
        <f>COUNTIFS(Students,E47,Classes,"Other")</f>
        <v>0</v>
      </c>
      <c r="BI47" s="1">
        <f>COUNTIFS(Students,E47,Classes,ReachLabel,MoneyYesNo,1)</f>
        <v>0</v>
      </c>
      <c r="BJ47" s="1">
        <f>COUNTIFS(Students,E47,Classes,MatchLabel,MoneyYesNo,1)</f>
        <v>0</v>
      </c>
      <c r="BK47" s="1">
        <f>COUNTIFS(Students,E47,Classes,SafetyLabel,MoneyYesNo,1)</f>
        <v>0</v>
      </c>
      <c r="BL47" s="1">
        <f>COUNTIFS(Students,E47,Classes,SecureLabel,MoneyYesNo,1)</f>
        <v>0</v>
      </c>
      <c r="BM47" s="1">
        <f>COUNTIFS(Students,E47,Classes,SureThingLabel,MoneyYesNo,1)</f>
        <v>0</v>
      </c>
      <c r="BN47" s="1">
        <f>SUM(BI47:BM47)</f>
        <v>0</v>
      </c>
      <c r="BO47" s="1">
        <f>SUMIFS(RGRcount,Students,E47,MoneyYesNo,1,Odds,"&gt;=20")</f>
        <v>0</v>
      </c>
      <c r="BP47" s="1">
        <f>SUMIFS(MGRcount,Students,E47,MoneyYesNo,1,Odds,"&gt;=20")-BO47</f>
        <v>0</v>
      </c>
      <c r="BQ47" s="1">
        <f>SUMIFS(MGRcount,Students,E47,MoneyYesNo,1,Odds,"&gt;=50")</f>
        <v>0</v>
      </c>
      <c r="BR47" s="1">
        <f>SUMIFS(RGRcount,Students,E47,MoneyYesNo,1,Odds,"&gt;=10")</f>
        <v>0</v>
      </c>
      <c r="BS47" s="1">
        <f>SUMIFS(MGRcount,Students,E47,MoneyYesNo,1,Odds,"&gt;=10")-BR47</f>
        <v>0</v>
      </c>
      <c r="BT47" s="1">
        <f>COUNTIFS(Students,E47,ILPublic,1)</f>
        <v>0</v>
      </c>
      <c r="BU47" s="1">
        <f>COUNTIFS(Students,E47,ILPublic,1,MoneyYesNo,1,Classes,MatchLabel)+COUNTIFS(Students,E47,ILPublic,1,MoneyYesNo,1,Classes,SafetyLabel)+COUNTIFS(Students,E47,ILPublic,1,MoneyYesNo,1,Classes,SecureLabel)+COUNTIFS(Students,E47,ILPublic,1,MoneyYesNo,1,Classes,SureThingLabel)</f>
        <v>0</v>
      </c>
      <c r="BV47" s="1">
        <f>COUNTIFS(Students,E47,ILPublic,1, Classes,SecureLabel)</f>
        <v>0</v>
      </c>
      <c r="BW47" s="1">
        <f>COUNTIFS(Students,E47,MoneyChicago,1)</f>
        <v>0</v>
      </c>
      <c r="BX47" s="1">
        <f>COUNTIFS(Students,E47,MatchOrUnder,1)</f>
        <v>0</v>
      </c>
      <c r="BY47" s="1">
        <f>SUMIF(Students,E47,MGRcount)</f>
        <v>0</v>
      </c>
      <c r="BZ47" s="1">
        <f>COUNTIFS(Students,E47,BadMoney,1)</f>
        <v>0</v>
      </c>
      <c r="CA47" s="1">
        <f>COUNTIFS(Students,E47,GoldenThree,1)</f>
        <v>0</v>
      </c>
      <c r="CB47" s="1">
        <f>COUNTIFS(Students,E47,NCESids,147536)</f>
        <v>0</v>
      </c>
      <c r="CC47" s="1">
        <f>COUNTIFS(Students,E47,NCESids,144157)+COUNTIFS(Students,E47,NCESids,144166)+COUNTIFS(Students,E47,NCESids,144175)+COUNTIFS(Students,E47,NCESids,144184)+COUNTIFS(Students,E47,NCESids,144193)+COUNTIFS(Students,E47,NCESids,144209)+COUNTIFS(Students,E47,NCESids,144218)</f>
        <v>0</v>
      </c>
      <c r="CD47" s="1">
        <f>COUNTIFS(Students,E47,Results,"Accepted!",FarBelowTGRCount,0)+COUNTIFS(Students,E47,Results,"CHOICE!",FarBelowTGRCount,0)</f>
        <v>0</v>
      </c>
    </row>
    <row r="48" spans="1:82">
      <c r="A48" s="18" t="s">
        <v>96</v>
      </c>
      <c r="B48" s="19">
        <v>0</v>
      </c>
      <c r="C48" s="18" t="s">
        <v>97</v>
      </c>
      <c r="D48" s="18" t="s">
        <v>257</v>
      </c>
      <c r="E48" s="19">
        <v>23383224</v>
      </c>
      <c r="F48" s="19" t="s">
        <v>258</v>
      </c>
      <c r="G48" s="10" t="s">
        <v>259</v>
      </c>
      <c r="H48" s="46">
        <v>3.4462</v>
      </c>
      <c r="I48" s="46">
        <v>3.6462</v>
      </c>
      <c r="J48" s="1">
        <v>20</v>
      </c>
      <c r="K48" s="1">
        <f>IF(ISNUMBER(I48),ROUND(583.58+106.27*I48,-1),"TBD")</f>
        <v>0</v>
      </c>
      <c r="L48" s="1">
        <v>1050</v>
      </c>
      <c r="M48" s="1">
        <f>IF(ISNUMBER(L48),L48,IF(ISNUMBER(K48),K48,"TBD"))</f>
        <v>0</v>
      </c>
      <c r="N48" s="1">
        <f>IF(ISNUMBER(J48),VLOOKUP(J48,ACTtoSAT,2,FALSE),"TBD")</f>
        <v>0</v>
      </c>
      <c r="O48" s="1">
        <f>IF(ISNUMBER(M48),IF(ISNUMBER(N48),MAX(M48,N48),M48),IF(ISNUMBER(N48),N48,"TBD"))</f>
        <v>0</v>
      </c>
      <c r="P48" s="1" t="s">
        <v>101</v>
      </c>
      <c r="Q48" s="1" t="s">
        <v>123</v>
      </c>
      <c r="R48" s="1" t="s">
        <v>124</v>
      </c>
      <c r="S48" s="1">
        <f>IF(AND(H48&lt;&gt;0,O48&lt;&gt;0),IF(ISNUMBER(VLOOKUP(TEXT(MAX(FLOOR(H48*10,1)/10,1.5),"0.0")&amp;":"&amp;MAX(O48,710),StrategyLookup,4,FALSE)),VLOOKUP(TEXT(MAX(FLOOR(H48*10,1)/10,1.5),"0.0")&amp;":"&amp;MAX(O48,710),StrategyLookup,4,FALSE),"TBD"),"TBD")</f>
        <v>0</v>
      </c>
      <c r="T48" s="11">
        <f>IF(ISNUMBER(S48),VLOOKUP(IF(OR(S48=5,S48=6),S48&amp;IF(H48&gt;=3,"+","&lt;"),S48&amp;""),TargetLookup,IF(B48=-1,6,IF(OR(P48="W",P48="A"),4,2)),FALSE),"TBD")</f>
        <v>0</v>
      </c>
      <c r="U48" s="11">
        <f>IF(ISNUMBER(S48),VLOOKUP(IF(OR(S48=5,S48=6),S48&amp;IF(H48&gt;=3,"+","&lt;"),S48&amp;""),TargetLookup,IF(B48=-1,7,IF(OR(P48="W",P48="A"),5,3)),FALSE),"TBD")</f>
        <v>0</v>
      </c>
      <c r="V48" s="18" t="s">
        <v>135</v>
      </c>
      <c r="W48" s="19" t="s">
        <v>111</v>
      </c>
      <c r="X48" s="19" t="s">
        <v>106</v>
      </c>
      <c r="Y48" s="19">
        <f>V48&amp;X48&amp;D48</f>
        <v>0</v>
      </c>
      <c r="Z48" s="11">
        <f t="array" ref="Z48">1-PRODUCT(IF(Students=E48,MGRMoneyMult,1))</f>
        <v>0</v>
      </c>
      <c r="AA48" s="12">
        <f t="array" ref="AA48">1-PRODUCT(IF(Students=E48,RGRMoneyMult,1))</f>
        <v>0</v>
      </c>
      <c r="AB48" s="13">
        <f>COUNTIFS(Students,E48,Results,"Accepted!")+COUNTIFS(Students,E48,Results,"CHOICE!")</f>
        <v>0</v>
      </c>
      <c r="AC48" s="1">
        <f>COUNTIFS(Students,E48,Results,"Deferred")+COUNTIFS(Students,E48,Results,"Waitlist")</f>
        <v>0</v>
      </c>
      <c r="AD48" s="13">
        <f>COUNTIFS(Students,E48,Results,"Denied")</f>
        <v>0</v>
      </c>
      <c r="AE48" s="13">
        <f>AB48+AC48+AD48+COUNTIFS(Students,E48,Results,"Submitted")</f>
        <v>0</v>
      </c>
      <c r="AF48" s="12">
        <v>0.8044649486872236</v>
      </c>
      <c r="AG48" s="12">
        <v>0.7766124664417117</v>
      </c>
      <c r="AH48" s="12">
        <v>0.699327721222999</v>
      </c>
      <c r="AI48" s="12">
        <v>0.6800802900069386</v>
      </c>
      <c r="AJ48" s="13">
        <f>COUNTIFS(Students,E48,Results,"CHOICE!")</f>
        <v>0</v>
      </c>
      <c r="AK48" s="1">
        <f>COUNTIFS(MoneyYesNo,1,RGRcount,1,Students,E48,Results,"Accepted!")</f>
        <v>0</v>
      </c>
      <c r="AL48" s="1">
        <f>COUNTIFS(MoneyYesNo,1,MGRcount,1,Students,E48,Results,"Accepted!")-AK48</f>
        <v>0</v>
      </c>
      <c r="AM48" s="1">
        <f>COUNTIFS(MoneyYesNo,1,Students,E48,Results,"Accepted!")-AK48-AL48</f>
        <v>0</v>
      </c>
      <c r="AN48" s="13">
        <f>COUNTIFS(Students,E48,Results,"Accepted!")-AK48-AL48-AM48</f>
        <v>0</v>
      </c>
      <c r="AO48" s="1">
        <f>SUMIFS(RGRcount,Students,E48,MoneyYesNo,1)</f>
        <v>0</v>
      </c>
      <c r="AP48" s="1">
        <f>SUMIFS(MGRcount,Students,E48,MoneyYesNo,1)-AO48</f>
        <v>0</v>
      </c>
      <c r="AQ48" s="1">
        <f>SUMIF(Students,E48,MoneyYesNo)-AO48-AP48</f>
        <v>0</v>
      </c>
      <c r="AR48" s="13">
        <f>SUM(AO48,AP48,AQ48)</f>
        <v>0</v>
      </c>
      <c r="AS48" s="1">
        <f>SUMIF(Students,E48,RGRcount)</f>
        <v>0</v>
      </c>
      <c r="AT48" s="1">
        <f>SUMIF(Students,E48,MGRcount)-AS48</f>
        <v>0</v>
      </c>
      <c r="AU48" s="1">
        <f>COUNTIF(Students,E48)-AS48-AT48</f>
        <v>0</v>
      </c>
      <c r="AV48" s="1">
        <f>SUMIF(Students,E48,FarBelowTGRCount)</f>
        <v>0</v>
      </c>
      <c r="AW48" s="47">
        <f>COUNTIF(Students,E48)</f>
        <v>0</v>
      </c>
      <c r="AX48" s="11">
        <f>IF(AW48&gt;0,AE48/AW48,0)</f>
        <v>0</v>
      </c>
      <c r="AY48" s="11">
        <f t="array" ref="AY48">1-PRODUCT(IF(Students=E48,MGRMult,1))</f>
        <v>0</v>
      </c>
      <c r="AZ48" s="12">
        <f t="array" ref="AZ48">1-PRODUCT(IF(Students=E48,RGRMult,1))</f>
        <v>0</v>
      </c>
      <c r="BA48" s="1">
        <f>COUNTIFS(Students,E48,Classes,HailMaryLabel)</f>
        <v>0</v>
      </c>
      <c r="BB48" s="1">
        <f>COUNTIFS(Students,E48,Classes,LongshotLabel)</f>
        <v>0</v>
      </c>
      <c r="BC48" s="1">
        <f>COUNTIFS(Students,E48,Classes,ReachLabel)</f>
        <v>0</v>
      </c>
      <c r="BD48" s="1">
        <f>COUNTIFS(Students,E48,Classes,MatchLabel)</f>
        <v>0</v>
      </c>
      <c r="BE48" s="1">
        <f>COUNTIFS(Students,E48,Classes,SafetyLabel)</f>
        <v>0</v>
      </c>
      <c r="BF48" s="1">
        <f>COUNTIFS(Students,E48,Classes,SecureLabel)</f>
        <v>0</v>
      </c>
      <c r="BG48" s="1">
        <f>COUNTIFS(Students,E48,Classes,SureThingLabel)</f>
        <v>0</v>
      </c>
      <c r="BH48" s="13">
        <f>COUNTIFS(Students,E48,Classes,"Other")</f>
        <v>0</v>
      </c>
      <c r="BI48" s="1">
        <f>COUNTIFS(Students,E48,Classes,ReachLabel,MoneyYesNo,1)</f>
        <v>0</v>
      </c>
      <c r="BJ48" s="1">
        <f>COUNTIFS(Students,E48,Classes,MatchLabel,MoneyYesNo,1)</f>
        <v>0</v>
      </c>
      <c r="BK48" s="1">
        <f>COUNTIFS(Students,E48,Classes,SafetyLabel,MoneyYesNo,1)</f>
        <v>0</v>
      </c>
      <c r="BL48" s="1">
        <f>COUNTIFS(Students,E48,Classes,SecureLabel,MoneyYesNo,1)</f>
        <v>0</v>
      </c>
      <c r="BM48" s="1">
        <f>COUNTIFS(Students,E48,Classes,SureThingLabel,MoneyYesNo,1)</f>
        <v>0</v>
      </c>
      <c r="BN48" s="1">
        <f>SUM(BI48:BM48)</f>
        <v>0</v>
      </c>
      <c r="BO48" s="1">
        <f>SUMIFS(RGRcount,Students,E48,MoneyYesNo,1,Odds,"&gt;=20")</f>
        <v>0</v>
      </c>
      <c r="BP48" s="1">
        <f>SUMIFS(MGRcount,Students,E48,MoneyYesNo,1,Odds,"&gt;=20")-BO48</f>
        <v>0</v>
      </c>
      <c r="BQ48" s="1">
        <f>SUMIFS(MGRcount,Students,E48,MoneyYesNo,1,Odds,"&gt;=50")</f>
        <v>0</v>
      </c>
      <c r="BR48" s="1">
        <f>SUMIFS(RGRcount,Students,E48,MoneyYesNo,1,Odds,"&gt;=10")</f>
        <v>0</v>
      </c>
      <c r="BS48" s="1">
        <f>SUMIFS(MGRcount,Students,E48,MoneyYesNo,1,Odds,"&gt;=10")-BR48</f>
        <v>0</v>
      </c>
      <c r="BT48" s="1">
        <f>COUNTIFS(Students,E48,ILPublic,1)</f>
        <v>0</v>
      </c>
      <c r="BU48" s="1">
        <f>COUNTIFS(Students,E48,ILPublic,1,MoneyYesNo,1,Classes,MatchLabel)+COUNTIFS(Students,E48,ILPublic,1,MoneyYesNo,1,Classes,SafetyLabel)+COUNTIFS(Students,E48,ILPublic,1,MoneyYesNo,1,Classes,SecureLabel)+COUNTIFS(Students,E48,ILPublic,1,MoneyYesNo,1,Classes,SureThingLabel)</f>
        <v>0</v>
      </c>
      <c r="BV48" s="1">
        <f>COUNTIFS(Students,E48,ILPublic,1, Classes,SecureLabel)</f>
        <v>0</v>
      </c>
      <c r="BW48" s="1">
        <f>COUNTIFS(Students,E48,MoneyChicago,1)</f>
        <v>0</v>
      </c>
      <c r="BX48" s="1">
        <f>COUNTIFS(Students,E48,MatchOrUnder,1)</f>
        <v>0</v>
      </c>
      <c r="BY48" s="1">
        <f>SUMIF(Students,E48,MGRcount)</f>
        <v>0</v>
      </c>
      <c r="BZ48" s="1">
        <f>COUNTIFS(Students,E48,BadMoney,1)</f>
        <v>0</v>
      </c>
      <c r="CA48" s="1">
        <f>COUNTIFS(Students,E48,GoldenThree,1)</f>
        <v>0</v>
      </c>
      <c r="CB48" s="1">
        <f>COUNTIFS(Students,E48,NCESids,147536)</f>
        <v>0</v>
      </c>
      <c r="CC48" s="1">
        <f>COUNTIFS(Students,E48,NCESids,144157)+COUNTIFS(Students,E48,NCESids,144166)+COUNTIFS(Students,E48,NCESids,144175)+COUNTIFS(Students,E48,NCESids,144184)+COUNTIFS(Students,E48,NCESids,144193)+COUNTIFS(Students,E48,NCESids,144209)+COUNTIFS(Students,E48,NCESids,144218)</f>
        <v>0</v>
      </c>
      <c r="CD48" s="1">
        <f>COUNTIFS(Students,E48,Results,"Accepted!",FarBelowTGRCount,0)+COUNTIFS(Students,E48,Results,"CHOICE!",FarBelowTGRCount,0)</f>
        <v>0</v>
      </c>
    </row>
    <row r="49" spans="1:82">
      <c r="A49" s="18" t="s">
        <v>96</v>
      </c>
      <c r="B49" s="19">
        <v>0</v>
      </c>
      <c r="C49" s="18" t="s">
        <v>97</v>
      </c>
      <c r="D49" s="18" t="s">
        <v>260</v>
      </c>
      <c r="E49" s="19">
        <v>23403578</v>
      </c>
      <c r="F49" s="19" t="s">
        <v>261</v>
      </c>
      <c r="G49" s="10" t="s">
        <v>262</v>
      </c>
      <c r="H49" s="46">
        <v>3.178</v>
      </c>
      <c r="I49" s="46">
        <v>3.378</v>
      </c>
      <c r="J49" s="1">
        <v>18</v>
      </c>
      <c r="K49" s="1">
        <f>IF(ISNUMBER(I49),ROUND(583.58+106.27*I49,-1),"TBD")</f>
        <v>0</v>
      </c>
      <c r="L49" s="1">
        <v>1180</v>
      </c>
      <c r="M49" s="1">
        <f>IF(ISNUMBER(L49),L49,IF(ISNUMBER(K49),K49,"TBD"))</f>
        <v>0</v>
      </c>
      <c r="N49" s="1">
        <f>IF(ISNUMBER(J49),VLOOKUP(J49,ACTtoSAT,2,FALSE),"TBD")</f>
        <v>0</v>
      </c>
      <c r="O49" s="1">
        <f>IF(ISNUMBER(M49),IF(ISNUMBER(N49),MAX(M49,N49),M49),IF(ISNUMBER(N49),N49,"TBD"))</f>
        <v>0</v>
      </c>
      <c r="P49" s="1" t="s">
        <v>129</v>
      </c>
      <c r="Q49" s="1" t="s">
        <v>123</v>
      </c>
      <c r="R49" s="1" t="s">
        <v>130</v>
      </c>
      <c r="S49" s="1">
        <f>IF(AND(H49&lt;&gt;0,O49&lt;&gt;0),IF(ISNUMBER(VLOOKUP(TEXT(MAX(FLOOR(H49*10,1)/10,1.5),"0.0")&amp;":"&amp;MAX(O49,710),StrategyLookup,4,FALSE)),VLOOKUP(TEXT(MAX(FLOOR(H49*10,1)/10,1.5),"0.0")&amp;":"&amp;MAX(O49,710),StrategyLookup,4,FALSE),"TBD"),"TBD")</f>
        <v>0</v>
      </c>
      <c r="T49" s="11">
        <f>IF(ISNUMBER(S49),VLOOKUP(IF(OR(S49=5,S49=6),S49&amp;IF(H49&gt;=3,"+","&lt;"),S49&amp;""),TargetLookup,IF(B49=-1,6,IF(OR(P49="W",P49="A"),4,2)),FALSE),"TBD")</f>
        <v>0</v>
      </c>
      <c r="U49" s="11">
        <f>IF(ISNUMBER(S49),VLOOKUP(IF(OR(S49=5,S49=6),S49&amp;IF(H49&gt;=3,"+","&lt;"),S49&amp;""),TargetLookup,IF(B49=-1,7,IF(OR(P49="W",P49="A"),5,3)),FALSE),"TBD")</f>
        <v>0</v>
      </c>
      <c r="V49" s="18" t="s">
        <v>115</v>
      </c>
      <c r="W49" s="19" t="s">
        <v>116</v>
      </c>
      <c r="X49" s="19" t="s">
        <v>106</v>
      </c>
      <c r="Y49" s="19">
        <f>V49&amp;X49&amp;D49</f>
        <v>0</v>
      </c>
      <c r="Z49" s="11">
        <f t="array" ref="Z49">1-PRODUCT(IF(Students=E49,MGRMoneyMult,1))</f>
        <v>0</v>
      </c>
      <c r="AA49" s="12">
        <f t="array" ref="AA49">1-PRODUCT(IF(Students=E49,RGRMoneyMult,1))</f>
        <v>0</v>
      </c>
      <c r="AB49" s="13">
        <f>COUNTIFS(Students,E49,Results,"Accepted!")+COUNTIFS(Students,E49,Results,"CHOICE!")</f>
        <v>0</v>
      </c>
      <c r="AC49" s="1">
        <f>COUNTIFS(Students,E49,Results,"Deferred")+COUNTIFS(Students,E49,Results,"Waitlist")</f>
        <v>0</v>
      </c>
      <c r="AD49" s="13">
        <f>COUNTIFS(Students,E49,Results,"Denied")</f>
        <v>0</v>
      </c>
      <c r="AE49" s="13">
        <f>AB49+AC49+AD49+COUNTIFS(Students,E49,Results,"Submitted")</f>
        <v>0</v>
      </c>
      <c r="AF49" s="12">
        <v>0.7085569487679472</v>
      </c>
      <c r="AG49" s="12">
        <v>0.6749627897301237</v>
      </c>
      <c r="AH49" s="12">
        <v>0.5494624563490189</v>
      </c>
      <c r="AI49" s="12">
        <v>0.5271056827161693</v>
      </c>
      <c r="AJ49" s="13">
        <f>COUNTIFS(Students,E49,Results,"CHOICE!")</f>
        <v>0</v>
      </c>
      <c r="AK49" s="1">
        <f>COUNTIFS(MoneyYesNo,1,RGRcount,1,Students,E49,Results,"Accepted!")</f>
        <v>0</v>
      </c>
      <c r="AL49" s="1">
        <f>COUNTIFS(MoneyYesNo,1,MGRcount,1,Students,E49,Results,"Accepted!")-AK49</f>
        <v>0</v>
      </c>
      <c r="AM49" s="1">
        <f>COUNTIFS(MoneyYesNo,1,Students,E49,Results,"Accepted!")-AK49-AL49</f>
        <v>0</v>
      </c>
      <c r="AN49" s="13">
        <f>COUNTIFS(Students,E49,Results,"Accepted!")-AK49-AL49-AM49</f>
        <v>0</v>
      </c>
      <c r="AO49" s="1">
        <f>SUMIFS(RGRcount,Students,E49,MoneyYesNo,1)</f>
        <v>0</v>
      </c>
      <c r="AP49" s="1">
        <f>SUMIFS(MGRcount,Students,E49,MoneyYesNo,1)-AO49</f>
        <v>0</v>
      </c>
      <c r="AQ49" s="1">
        <f>SUMIF(Students,E49,MoneyYesNo)-AO49-AP49</f>
        <v>0</v>
      </c>
      <c r="AR49" s="13">
        <f>SUM(AO49,AP49,AQ49)</f>
        <v>0</v>
      </c>
      <c r="AS49" s="1">
        <f>SUMIF(Students,E49,RGRcount)</f>
        <v>0</v>
      </c>
      <c r="AT49" s="1">
        <f>SUMIF(Students,E49,MGRcount)-AS49</f>
        <v>0</v>
      </c>
      <c r="AU49" s="1">
        <f>COUNTIF(Students,E49)-AS49-AT49</f>
        <v>0</v>
      </c>
      <c r="AV49" s="1">
        <f>SUMIF(Students,E49,FarBelowTGRCount)</f>
        <v>0</v>
      </c>
      <c r="AW49" s="47">
        <f>COUNTIF(Students,E49)</f>
        <v>0</v>
      </c>
      <c r="AX49" s="11">
        <f>IF(AW49&gt;0,AE49/AW49,0)</f>
        <v>0</v>
      </c>
      <c r="AY49" s="11">
        <f t="array" ref="AY49">1-PRODUCT(IF(Students=E49,MGRMult,1))</f>
        <v>0</v>
      </c>
      <c r="AZ49" s="12">
        <f t="array" ref="AZ49">1-PRODUCT(IF(Students=E49,RGRMult,1))</f>
        <v>0</v>
      </c>
      <c r="BA49" s="1">
        <f>COUNTIFS(Students,E49,Classes,HailMaryLabel)</f>
        <v>0</v>
      </c>
      <c r="BB49" s="1">
        <f>COUNTIFS(Students,E49,Classes,LongshotLabel)</f>
        <v>0</v>
      </c>
      <c r="BC49" s="1">
        <f>COUNTIFS(Students,E49,Classes,ReachLabel)</f>
        <v>0</v>
      </c>
      <c r="BD49" s="1">
        <f>COUNTIFS(Students,E49,Classes,MatchLabel)</f>
        <v>0</v>
      </c>
      <c r="BE49" s="1">
        <f>COUNTIFS(Students,E49,Classes,SafetyLabel)</f>
        <v>0</v>
      </c>
      <c r="BF49" s="1">
        <f>COUNTIFS(Students,E49,Classes,SecureLabel)</f>
        <v>0</v>
      </c>
      <c r="BG49" s="1">
        <f>COUNTIFS(Students,E49,Classes,SureThingLabel)</f>
        <v>0</v>
      </c>
      <c r="BH49" s="13">
        <f>COUNTIFS(Students,E49,Classes,"Other")</f>
        <v>0</v>
      </c>
      <c r="BI49" s="1">
        <f>COUNTIFS(Students,E49,Classes,ReachLabel,MoneyYesNo,1)</f>
        <v>0</v>
      </c>
      <c r="BJ49" s="1">
        <f>COUNTIFS(Students,E49,Classes,MatchLabel,MoneyYesNo,1)</f>
        <v>0</v>
      </c>
      <c r="BK49" s="1">
        <f>COUNTIFS(Students,E49,Classes,SafetyLabel,MoneyYesNo,1)</f>
        <v>0</v>
      </c>
      <c r="BL49" s="1">
        <f>COUNTIFS(Students,E49,Classes,SecureLabel,MoneyYesNo,1)</f>
        <v>0</v>
      </c>
      <c r="BM49" s="1">
        <f>COUNTIFS(Students,E49,Classes,SureThingLabel,MoneyYesNo,1)</f>
        <v>0</v>
      </c>
      <c r="BN49" s="1">
        <f>SUM(BI49:BM49)</f>
        <v>0</v>
      </c>
      <c r="BO49" s="1">
        <f>SUMIFS(RGRcount,Students,E49,MoneyYesNo,1,Odds,"&gt;=20")</f>
        <v>0</v>
      </c>
      <c r="BP49" s="1">
        <f>SUMIFS(MGRcount,Students,E49,MoneyYesNo,1,Odds,"&gt;=20")-BO49</f>
        <v>0</v>
      </c>
      <c r="BQ49" s="1">
        <f>SUMIFS(MGRcount,Students,E49,MoneyYesNo,1,Odds,"&gt;=50")</f>
        <v>0</v>
      </c>
      <c r="BR49" s="1">
        <f>SUMIFS(RGRcount,Students,E49,MoneyYesNo,1,Odds,"&gt;=10")</f>
        <v>0</v>
      </c>
      <c r="BS49" s="1">
        <f>SUMIFS(MGRcount,Students,E49,MoneyYesNo,1,Odds,"&gt;=10")-BR49</f>
        <v>0</v>
      </c>
      <c r="BT49" s="1">
        <f>COUNTIFS(Students,E49,ILPublic,1)</f>
        <v>0</v>
      </c>
      <c r="BU49" s="1">
        <f>COUNTIFS(Students,E49,ILPublic,1,MoneyYesNo,1,Classes,MatchLabel)+COUNTIFS(Students,E49,ILPublic,1,MoneyYesNo,1,Classes,SafetyLabel)+COUNTIFS(Students,E49,ILPublic,1,MoneyYesNo,1,Classes,SecureLabel)+COUNTIFS(Students,E49,ILPublic,1,MoneyYesNo,1,Classes,SureThingLabel)</f>
        <v>0</v>
      </c>
      <c r="BV49" s="1">
        <f>COUNTIFS(Students,E49,ILPublic,1, Classes,SecureLabel)</f>
        <v>0</v>
      </c>
      <c r="BW49" s="1">
        <f>COUNTIFS(Students,E49,MoneyChicago,1)</f>
        <v>0</v>
      </c>
      <c r="BX49" s="1">
        <f>COUNTIFS(Students,E49,MatchOrUnder,1)</f>
        <v>0</v>
      </c>
      <c r="BY49" s="1">
        <f>SUMIF(Students,E49,MGRcount)</f>
        <v>0</v>
      </c>
      <c r="BZ49" s="1">
        <f>COUNTIFS(Students,E49,BadMoney,1)</f>
        <v>0</v>
      </c>
      <c r="CA49" s="1">
        <f>COUNTIFS(Students,E49,GoldenThree,1)</f>
        <v>0</v>
      </c>
      <c r="CB49" s="1">
        <f>COUNTIFS(Students,E49,NCESids,147536)</f>
        <v>0</v>
      </c>
      <c r="CC49" s="1">
        <f>COUNTIFS(Students,E49,NCESids,144157)+COUNTIFS(Students,E49,NCESids,144166)+COUNTIFS(Students,E49,NCESids,144175)+COUNTIFS(Students,E49,NCESids,144184)+COUNTIFS(Students,E49,NCESids,144193)+COUNTIFS(Students,E49,NCESids,144209)+COUNTIFS(Students,E49,NCESids,144218)</f>
        <v>0</v>
      </c>
      <c r="CD49" s="1">
        <f>COUNTIFS(Students,E49,Results,"Accepted!",FarBelowTGRCount,0)+COUNTIFS(Students,E49,Results,"CHOICE!",FarBelowTGRCount,0)</f>
        <v>0</v>
      </c>
    </row>
    <row r="50" spans="1:82">
      <c r="A50" s="18" t="s">
        <v>96</v>
      </c>
      <c r="B50" s="19">
        <v>0</v>
      </c>
      <c r="C50" s="18" t="s">
        <v>153</v>
      </c>
      <c r="D50" s="18" t="s">
        <v>263</v>
      </c>
      <c r="E50" s="19">
        <v>30494148</v>
      </c>
      <c r="F50" s="19" t="s">
        <v>264</v>
      </c>
      <c r="G50" s="10" t="s">
        <v>265</v>
      </c>
      <c r="H50" s="46">
        <v>2.9</v>
      </c>
      <c r="I50" s="46">
        <v>3.1</v>
      </c>
      <c r="J50" s="1">
        <v>13</v>
      </c>
      <c r="K50" s="1">
        <f>IF(ISNUMBER(I50),ROUND(583.58+106.27*I50,-1),"TBD")</f>
        <v>0</v>
      </c>
      <c r="L50" s="1">
        <v>750</v>
      </c>
      <c r="M50" s="1">
        <f>IF(ISNUMBER(L50),L50,IF(ISNUMBER(K50),K50,"TBD"))</f>
        <v>0</v>
      </c>
      <c r="N50" s="1">
        <f>IF(ISNUMBER(J50),VLOOKUP(J50,ACTtoSAT,2,FALSE),"TBD")</f>
        <v>0</v>
      </c>
      <c r="O50" s="1">
        <f>IF(ISNUMBER(M50),IF(ISNUMBER(N50),MAX(M50,N50),M50),IF(ISNUMBER(N50),N50,"TBD"))</f>
        <v>0</v>
      </c>
      <c r="P50" s="1" t="s">
        <v>101</v>
      </c>
      <c r="Q50" s="1" t="s">
        <v>102</v>
      </c>
      <c r="R50" s="1" t="s">
        <v>103</v>
      </c>
      <c r="S50" s="1">
        <f>IF(AND(H50&lt;&gt;0,O50&lt;&gt;0),IF(ISNUMBER(VLOOKUP(TEXT(MAX(FLOOR(H50*10,1)/10,1.5),"0.0")&amp;":"&amp;MAX(O50,710),StrategyLookup,4,FALSE)),VLOOKUP(TEXT(MAX(FLOOR(H50*10,1)/10,1.5),"0.0")&amp;":"&amp;MAX(O50,710),StrategyLookup,4,FALSE),"TBD"),"TBD")</f>
        <v>0</v>
      </c>
      <c r="T50" s="11">
        <f>IF(ISNUMBER(S50),VLOOKUP(IF(OR(S50=5,S50=6),S50&amp;IF(H50&gt;=3,"+","&lt;"),S50&amp;""),TargetLookup,IF(B50=-1,6,IF(OR(P50="W",P50="A"),4,2)),FALSE),"TBD")</f>
        <v>0</v>
      </c>
      <c r="U50" s="11">
        <f>IF(ISNUMBER(S50),VLOOKUP(IF(OR(S50=5,S50=6),S50&amp;IF(H50&gt;=3,"+","&lt;"),S50&amp;""),TargetLookup,IF(B50=-1,7,IF(OR(P50="W",P50="A"),5,3)),FALSE),"TBD")</f>
        <v>0</v>
      </c>
      <c r="V50" s="18" t="s">
        <v>180</v>
      </c>
      <c r="W50" s="19" t="s">
        <v>105</v>
      </c>
      <c r="X50" s="19" t="s">
        <v>106</v>
      </c>
      <c r="Y50" s="19">
        <f>V50&amp;X50&amp;D50</f>
        <v>0</v>
      </c>
      <c r="Z50" s="11">
        <f t="array" ref="Z50">1-PRODUCT(IF(Students=E50,MGRMoneyMult,1))</f>
        <v>0</v>
      </c>
      <c r="AA50" s="12">
        <f t="array" ref="AA50">1-PRODUCT(IF(Students=E50,RGRMoneyMult,1))</f>
        <v>0</v>
      </c>
      <c r="AB50" s="13">
        <f>COUNTIFS(Students,E50,Results,"Accepted!")+COUNTIFS(Students,E50,Results,"CHOICE!")</f>
        <v>0</v>
      </c>
      <c r="AC50" s="1">
        <f>COUNTIFS(Students,E50,Results,"Deferred")+COUNTIFS(Students,E50,Results,"Waitlist")</f>
        <v>0</v>
      </c>
      <c r="AD50" s="13">
        <f>COUNTIFS(Students,E50,Results,"Denied")</f>
        <v>0</v>
      </c>
      <c r="AE50" s="13">
        <f>AB50+AC50+AD50+COUNTIFS(Students,E50,Results,"Submitted")</f>
        <v>0</v>
      </c>
      <c r="AF50" s="12">
        <v>0</v>
      </c>
      <c r="AG50" s="12">
        <v>0</v>
      </c>
      <c r="AH50" s="12">
        <v>0</v>
      </c>
      <c r="AI50" s="12">
        <v>0</v>
      </c>
      <c r="AJ50" s="13">
        <f>COUNTIFS(Students,E50,Results,"CHOICE!")</f>
        <v>0</v>
      </c>
      <c r="AK50" s="1">
        <f>COUNTIFS(MoneyYesNo,1,RGRcount,1,Students,E50,Results,"Accepted!")</f>
        <v>0</v>
      </c>
      <c r="AL50" s="1">
        <f>COUNTIFS(MoneyYesNo,1,MGRcount,1,Students,E50,Results,"Accepted!")-AK50</f>
        <v>0</v>
      </c>
      <c r="AM50" s="1">
        <f>COUNTIFS(MoneyYesNo,1,Students,E50,Results,"Accepted!")-AK50-AL50</f>
        <v>0</v>
      </c>
      <c r="AN50" s="13">
        <f>COUNTIFS(Students,E50,Results,"Accepted!")-AK50-AL50-AM50</f>
        <v>0</v>
      </c>
      <c r="AO50" s="1">
        <f>SUMIFS(RGRcount,Students,E50,MoneyYesNo,1)</f>
        <v>0</v>
      </c>
      <c r="AP50" s="1">
        <f>SUMIFS(MGRcount,Students,E50,MoneyYesNo,1)-AO50</f>
        <v>0</v>
      </c>
      <c r="AQ50" s="1">
        <f>SUMIF(Students,E50,MoneyYesNo)-AO50-AP50</f>
        <v>0</v>
      </c>
      <c r="AR50" s="13">
        <f>SUM(AO50,AP50,AQ50)</f>
        <v>0</v>
      </c>
      <c r="AS50" s="1">
        <f>SUMIF(Students,E50,RGRcount)</f>
        <v>0</v>
      </c>
      <c r="AT50" s="1">
        <f>SUMIF(Students,E50,MGRcount)-AS50</f>
        <v>0</v>
      </c>
      <c r="AU50" s="1">
        <f>COUNTIF(Students,E50)-AS50-AT50</f>
        <v>0</v>
      </c>
      <c r="AV50" s="1">
        <f>SUMIF(Students,E50,FarBelowTGRCount)</f>
        <v>0</v>
      </c>
      <c r="AW50" s="47">
        <f>COUNTIF(Students,E50)</f>
        <v>0</v>
      </c>
      <c r="AX50" s="11">
        <f>IF(AW50&gt;0,AE50/AW50,0)</f>
        <v>0</v>
      </c>
      <c r="AY50" s="11">
        <f t="array" ref="AY50">1-PRODUCT(IF(Students=E50,MGRMult,1))</f>
        <v>0</v>
      </c>
      <c r="AZ50" s="12">
        <f t="array" ref="AZ50">1-PRODUCT(IF(Students=E50,RGRMult,1))</f>
        <v>0</v>
      </c>
      <c r="BA50" s="1">
        <f>COUNTIFS(Students,E50,Classes,HailMaryLabel)</f>
        <v>0</v>
      </c>
      <c r="BB50" s="1">
        <f>COUNTIFS(Students,E50,Classes,LongshotLabel)</f>
        <v>0</v>
      </c>
      <c r="BC50" s="1">
        <f>COUNTIFS(Students,E50,Classes,ReachLabel)</f>
        <v>0</v>
      </c>
      <c r="BD50" s="1">
        <f>COUNTIFS(Students,E50,Classes,MatchLabel)</f>
        <v>0</v>
      </c>
      <c r="BE50" s="1">
        <f>COUNTIFS(Students,E50,Classes,SafetyLabel)</f>
        <v>0</v>
      </c>
      <c r="BF50" s="1">
        <f>COUNTIFS(Students,E50,Classes,SecureLabel)</f>
        <v>0</v>
      </c>
      <c r="BG50" s="1">
        <f>COUNTIFS(Students,E50,Classes,SureThingLabel)</f>
        <v>0</v>
      </c>
      <c r="BH50" s="13">
        <f>COUNTIFS(Students,E50,Classes,"Other")</f>
        <v>0</v>
      </c>
      <c r="BI50" s="1">
        <f>COUNTIFS(Students,E50,Classes,ReachLabel,MoneyYesNo,1)</f>
        <v>0</v>
      </c>
      <c r="BJ50" s="1">
        <f>COUNTIFS(Students,E50,Classes,MatchLabel,MoneyYesNo,1)</f>
        <v>0</v>
      </c>
      <c r="BK50" s="1">
        <f>COUNTIFS(Students,E50,Classes,SafetyLabel,MoneyYesNo,1)</f>
        <v>0</v>
      </c>
      <c r="BL50" s="1">
        <f>COUNTIFS(Students,E50,Classes,SecureLabel,MoneyYesNo,1)</f>
        <v>0</v>
      </c>
      <c r="BM50" s="1">
        <f>COUNTIFS(Students,E50,Classes,SureThingLabel,MoneyYesNo,1)</f>
        <v>0</v>
      </c>
      <c r="BN50" s="1">
        <f>SUM(BI50:BM50)</f>
        <v>0</v>
      </c>
      <c r="BO50" s="1">
        <f>SUMIFS(RGRcount,Students,E50,MoneyYesNo,1,Odds,"&gt;=20")</f>
        <v>0</v>
      </c>
      <c r="BP50" s="1">
        <f>SUMIFS(MGRcount,Students,E50,MoneyYesNo,1,Odds,"&gt;=20")-BO50</f>
        <v>0</v>
      </c>
      <c r="BQ50" s="1">
        <f>SUMIFS(MGRcount,Students,E50,MoneyYesNo,1,Odds,"&gt;=50")</f>
        <v>0</v>
      </c>
      <c r="BR50" s="1">
        <f>SUMIFS(RGRcount,Students,E50,MoneyYesNo,1,Odds,"&gt;=10")</f>
        <v>0</v>
      </c>
      <c r="BS50" s="1">
        <f>SUMIFS(MGRcount,Students,E50,MoneyYesNo,1,Odds,"&gt;=10")-BR50</f>
        <v>0</v>
      </c>
      <c r="BT50" s="1">
        <f>COUNTIFS(Students,E50,ILPublic,1)</f>
        <v>0</v>
      </c>
      <c r="BU50" s="1">
        <f>COUNTIFS(Students,E50,ILPublic,1,MoneyYesNo,1,Classes,MatchLabel)+COUNTIFS(Students,E50,ILPublic,1,MoneyYesNo,1,Classes,SafetyLabel)+COUNTIFS(Students,E50,ILPublic,1,MoneyYesNo,1,Classes,SecureLabel)+COUNTIFS(Students,E50,ILPublic,1,MoneyYesNo,1,Classes,SureThingLabel)</f>
        <v>0</v>
      </c>
      <c r="BV50" s="1">
        <f>COUNTIFS(Students,E50,ILPublic,1, Classes,SecureLabel)</f>
        <v>0</v>
      </c>
      <c r="BW50" s="1">
        <f>COUNTIFS(Students,E50,MoneyChicago,1)</f>
        <v>0</v>
      </c>
      <c r="BX50" s="1">
        <f>COUNTIFS(Students,E50,MatchOrUnder,1)</f>
        <v>0</v>
      </c>
      <c r="BY50" s="1">
        <f>SUMIF(Students,E50,MGRcount)</f>
        <v>0</v>
      </c>
      <c r="BZ50" s="1">
        <f>COUNTIFS(Students,E50,BadMoney,1)</f>
        <v>0</v>
      </c>
      <c r="CA50" s="1">
        <f>COUNTIFS(Students,E50,GoldenThree,1)</f>
        <v>0</v>
      </c>
      <c r="CB50" s="1">
        <f>COUNTIFS(Students,E50,NCESids,147536)</f>
        <v>0</v>
      </c>
      <c r="CC50" s="1">
        <f>COUNTIFS(Students,E50,NCESids,144157)+COUNTIFS(Students,E50,NCESids,144166)+COUNTIFS(Students,E50,NCESids,144175)+COUNTIFS(Students,E50,NCESids,144184)+COUNTIFS(Students,E50,NCESids,144193)+COUNTIFS(Students,E50,NCESids,144209)+COUNTIFS(Students,E50,NCESids,144218)</f>
        <v>0</v>
      </c>
      <c r="CD50" s="1">
        <f>COUNTIFS(Students,E50,Results,"Accepted!",FarBelowTGRCount,0)+COUNTIFS(Students,E50,Results,"CHOICE!",FarBelowTGRCount,0)</f>
        <v>0</v>
      </c>
    </row>
    <row r="51" spans="1:82">
      <c r="A51" s="18" t="s">
        <v>96</v>
      </c>
      <c r="B51" s="19">
        <v>0</v>
      </c>
      <c r="C51" s="18" t="s">
        <v>97</v>
      </c>
      <c r="D51" s="18" t="s">
        <v>266</v>
      </c>
      <c r="E51" s="19">
        <v>23107053</v>
      </c>
      <c r="F51" s="19" t="s">
        <v>267</v>
      </c>
      <c r="G51" s="10" t="s">
        <v>268</v>
      </c>
      <c r="H51" s="46">
        <v>3.0173</v>
      </c>
      <c r="I51" s="46">
        <v>3.2173</v>
      </c>
      <c r="J51" s="1">
        <v>20</v>
      </c>
      <c r="K51" s="1">
        <f>IF(ISNUMBER(I51),ROUND(583.58+106.27*I51,-1),"TBD")</f>
        <v>0</v>
      </c>
      <c r="L51" s="1">
        <v>1270</v>
      </c>
      <c r="M51" s="1">
        <f>IF(ISNUMBER(L51),L51,IF(ISNUMBER(K51),K51,"TBD"))</f>
        <v>0</v>
      </c>
      <c r="N51" s="1">
        <f>IF(ISNUMBER(J51),VLOOKUP(J51,ACTtoSAT,2,FALSE),"TBD")</f>
        <v>0</v>
      </c>
      <c r="O51" s="1">
        <f>IF(ISNUMBER(M51),IF(ISNUMBER(N51),MAX(M51,N51),M51),IF(ISNUMBER(N51),N51,"TBD"))</f>
        <v>0</v>
      </c>
      <c r="P51" s="1" t="s">
        <v>101</v>
      </c>
      <c r="Q51" s="1" t="s">
        <v>102</v>
      </c>
      <c r="R51" s="1" t="s">
        <v>103</v>
      </c>
      <c r="S51" s="1">
        <f>IF(AND(H51&lt;&gt;0,O51&lt;&gt;0),IF(ISNUMBER(VLOOKUP(TEXT(MAX(FLOOR(H51*10,1)/10,1.5),"0.0")&amp;":"&amp;MAX(O51,710),StrategyLookup,4,FALSE)),VLOOKUP(TEXT(MAX(FLOOR(H51*10,1)/10,1.5),"0.0")&amp;":"&amp;MAX(O51,710),StrategyLookup,4,FALSE),"TBD"),"TBD")</f>
        <v>0</v>
      </c>
      <c r="T51" s="11">
        <f>IF(ISNUMBER(S51),VLOOKUP(IF(OR(S51=5,S51=6),S51&amp;IF(H51&gt;=3,"+","&lt;"),S51&amp;""),TargetLookup,IF(B51=-1,6,IF(OR(P51="W",P51="A"),4,2)),FALSE),"TBD")</f>
        <v>0</v>
      </c>
      <c r="U51" s="11">
        <f>IF(ISNUMBER(S51),VLOOKUP(IF(OR(S51=5,S51=6),S51&amp;IF(H51&gt;=3,"+","&lt;"),S51&amp;""),TargetLookup,IF(B51=-1,7,IF(OR(P51="W",P51="A"),5,3)),FALSE),"TBD")</f>
        <v>0</v>
      </c>
      <c r="V51" s="18" t="s">
        <v>160</v>
      </c>
      <c r="W51" s="19" t="s">
        <v>136</v>
      </c>
      <c r="X51" s="19" t="s">
        <v>106</v>
      </c>
      <c r="Y51" s="19">
        <f>V51&amp;X51&amp;D51</f>
        <v>0</v>
      </c>
      <c r="Z51" s="11">
        <f t="array" ref="Z51">1-PRODUCT(IF(Students=E51,MGRMoneyMult,1))</f>
        <v>0</v>
      </c>
      <c r="AA51" s="12">
        <f t="array" ref="AA51">1-PRODUCT(IF(Students=E51,RGRMoneyMult,1))</f>
        <v>0</v>
      </c>
      <c r="AB51" s="13">
        <f>COUNTIFS(Students,E51,Results,"Accepted!")+COUNTIFS(Students,E51,Results,"CHOICE!")</f>
        <v>0</v>
      </c>
      <c r="AC51" s="1">
        <f>COUNTIFS(Students,E51,Results,"Deferred")+COUNTIFS(Students,E51,Results,"Waitlist")</f>
        <v>0</v>
      </c>
      <c r="AD51" s="13">
        <f>COUNTIFS(Students,E51,Results,"Denied")</f>
        <v>0</v>
      </c>
      <c r="AE51" s="13">
        <f>AB51+AC51+AD51+COUNTIFS(Students,E51,Results,"Submitted")</f>
        <v>0</v>
      </c>
      <c r="AF51" s="12">
        <v>0.7217022011041275</v>
      </c>
      <c r="AG51" s="12">
        <v>0.7091780165956828</v>
      </c>
      <c r="AH51" s="12">
        <v>0.5974950698109335</v>
      </c>
      <c r="AI51" s="12">
        <v>0.5775545492545631</v>
      </c>
      <c r="AJ51" s="13">
        <f>COUNTIFS(Students,E51,Results,"CHOICE!")</f>
        <v>0</v>
      </c>
      <c r="AK51" s="1">
        <f>COUNTIFS(MoneyYesNo,1,RGRcount,1,Students,E51,Results,"Accepted!")</f>
        <v>0</v>
      </c>
      <c r="AL51" s="1">
        <f>COUNTIFS(MoneyYesNo,1,MGRcount,1,Students,E51,Results,"Accepted!")-AK51</f>
        <v>0</v>
      </c>
      <c r="AM51" s="1">
        <f>COUNTIFS(MoneyYesNo,1,Students,E51,Results,"Accepted!")-AK51-AL51</f>
        <v>0</v>
      </c>
      <c r="AN51" s="13">
        <f>COUNTIFS(Students,E51,Results,"Accepted!")-AK51-AL51-AM51</f>
        <v>0</v>
      </c>
      <c r="AO51" s="1">
        <f>SUMIFS(RGRcount,Students,E51,MoneyYesNo,1)</f>
        <v>0</v>
      </c>
      <c r="AP51" s="1">
        <f>SUMIFS(MGRcount,Students,E51,MoneyYesNo,1)-AO51</f>
        <v>0</v>
      </c>
      <c r="AQ51" s="1">
        <f>SUMIF(Students,E51,MoneyYesNo)-AO51-AP51</f>
        <v>0</v>
      </c>
      <c r="AR51" s="13">
        <f>SUM(AO51,AP51,AQ51)</f>
        <v>0</v>
      </c>
      <c r="AS51" s="1">
        <f>SUMIF(Students,E51,RGRcount)</f>
        <v>0</v>
      </c>
      <c r="AT51" s="1">
        <f>SUMIF(Students,E51,MGRcount)-AS51</f>
        <v>0</v>
      </c>
      <c r="AU51" s="1">
        <f>COUNTIF(Students,E51)-AS51-AT51</f>
        <v>0</v>
      </c>
      <c r="AV51" s="1">
        <f>SUMIF(Students,E51,FarBelowTGRCount)</f>
        <v>0</v>
      </c>
      <c r="AW51" s="47">
        <f>COUNTIF(Students,E51)</f>
        <v>0</v>
      </c>
      <c r="AX51" s="11">
        <f>IF(AW51&gt;0,AE51/AW51,0)</f>
        <v>0</v>
      </c>
      <c r="AY51" s="11">
        <f t="array" ref="AY51">1-PRODUCT(IF(Students=E51,MGRMult,1))</f>
        <v>0</v>
      </c>
      <c r="AZ51" s="12">
        <f t="array" ref="AZ51">1-PRODUCT(IF(Students=E51,RGRMult,1))</f>
        <v>0</v>
      </c>
      <c r="BA51" s="1">
        <f>COUNTIFS(Students,E51,Classes,HailMaryLabel)</f>
        <v>0</v>
      </c>
      <c r="BB51" s="1">
        <f>COUNTIFS(Students,E51,Classes,LongshotLabel)</f>
        <v>0</v>
      </c>
      <c r="BC51" s="1">
        <f>COUNTIFS(Students,E51,Classes,ReachLabel)</f>
        <v>0</v>
      </c>
      <c r="BD51" s="1">
        <f>COUNTIFS(Students,E51,Classes,MatchLabel)</f>
        <v>0</v>
      </c>
      <c r="BE51" s="1">
        <f>COUNTIFS(Students,E51,Classes,SafetyLabel)</f>
        <v>0</v>
      </c>
      <c r="BF51" s="1">
        <f>COUNTIFS(Students,E51,Classes,SecureLabel)</f>
        <v>0</v>
      </c>
      <c r="BG51" s="1">
        <f>COUNTIFS(Students,E51,Classes,SureThingLabel)</f>
        <v>0</v>
      </c>
      <c r="BH51" s="13">
        <f>COUNTIFS(Students,E51,Classes,"Other")</f>
        <v>0</v>
      </c>
      <c r="BI51" s="1">
        <f>COUNTIFS(Students,E51,Classes,ReachLabel,MoneyYesNo,1)</f>
        <v>0</v>
      </c>
      <c r="BJ51" s="1">
        <f>COUNTIFS(Students,E51,Classes,MatchLabel,MoneyYesNo,1)</f>
        <v>0</v>
      </c>
      <c r="BK51" s="1">
        <f>COUNTIFS(Students,E51,Classes,SafetyLabel,MoneyYesNo,1)</f>
        <v>0</v>
      </c>
      <c r="BL51" s="1">
        <f>COUNTIFS(Students,E51,Classes,SecureLabel,MoneyYesNo,1)</f>
        <v>0</v>
      </c>
      <c r="BM51" s="1">
        <f>COUNTIFS(Students,E51,Classes,SureThingLabel,MoneyYesNo,1)</f>
        <v>0</v>
      </c>
      <c r="BN51" s="1">
        <f>SUM(BI51:BM51)</f>
        <v>0</v>
      </c>
      <c r="BO51" s="1">
        <f>SUMIFS(RGRcount,Students,E51,MoneyYesNo,1,Odds,"&gt;=20")</f>
        <v>0</v>
      </c>
      <c r="BP51" s="1">
        <f>SUMIFS(MGRcount,Students,E51,MoneyYesNo,1,Odds,"&gt;=20")-BO51</f>
        <v>0</v>
      </c>
      <c r="BQ51" s="1">
        <f>SUMIFS(MGRcount,Students,E51,MoneyYesNo,1,Odds,"&gt;=50")</f>
        <v>0</v>
      </c>
      <c r="BR51" s="1">
        <f>SUMIFS(RGRcount,Students,E51,MoneyYesNo,1,Odds,"&gt;=10")</f>
        <v>0</v>
      </c>
      <c r="BS51" s="1">
        <f>SUMIFS(MGRcount,Students,E51,MoneyYesNo,1,Odds,"&gt;=10")-BR51</f>
        <v>0</v>
      </c>
      <c r="BT51" s="1">
        <f>COUNTIFS(Students,E51,ILPublic,1)</f>
        <v>0</v>
      </c>
      <c r="BU51" s="1">
        <f>COUNTIFS(Students,E51,ILPublic,1,MoneyYesNo,1,Classes,MatchLabel)+COUNTIFS(Students,E51,ILPublic,1,MoneyYesNo,1,Classes,SafetyLabel)+COUNTIFS(Students,E51,ILPublic,1,MoneyYesNo,1,Classes,SecureLabel)+COUNTIFS(Students,E51,ILPublic,1,MoneyYesNo,1,Classes,SureThingLabel)</f>
        <v>0</v>
      </c>
      <c r="BV51" s="1">
        <f>COUNTIFS(Students,E51,ILPublic,1, Classes,SecureLabel)</f>
        <v>0</v>
      </c>
      <c r="BW51" s="1">
        <f>COUNTIFS(Students,E51,MoneyChicago,1)</f>
        <v>0</v>
      </c>
      <c r="BX51" s="1">
        <f>COUNTIFS(Students,E51,MatchOrUnder,1)</f>
        <v>0</v>
      </c>
      <c r="BY51" s="1">
        <f>SUMIF(Students,E51,MGRcount)</f>
        <v>0</v>
      </c>
      <c r="BZ51" s="1">
        <f>COUNTIFS(Students,E51,BadMoney,1)</f>
        <v>0</v>
      </c>
      <c r="CA51" s="1">
        <f>COUNTIFS(Students,E51,GoldenThree,1)</f>
        <v>0</v>
      </c>
      <c r="CB51" s="1">
        <f>COUNTIFS(Students,E51,NCESids,147536)</f>
        <v>0</v>
      </c>
      <c r="CC51" s="1">
        <f>COUNTIFS(Students,E51,NCESids,144157)+COUNTIFS(Students,E51,NCESids,144166)+COUNTIFS(Students,E51,NCESids,144175)+COUNTIFS(Students,E51,NCESids,144184)+COUNTIFS(Students,E51,NCESids,144193)+COUNTIFS(Students,E51,NCESids,144209)+COUNTIFS(Students,E51,NCESids,144218)</f>
        <v>0</v>
      </c>
      <c r="CD51" s="1">
        <f>COUNTIFS(Students,E51,Results,"Accepted!",FarBelowTGRCount,0)+COUNTIFS(Students,E51,Results,"CHOICE!",FarBelowTGRCount,0)</f>
        <v>0</v>
      </c>
    </row>
    <row r="52" spans="1:82">
      <c r="A52" s="18" t="s">
        <v>96</v>
      </c>
      <c r="B52" s="19">
        <v>0</v>
      </c>
      <c r="C52" s="18" t="s">
        <v>97</v>
      </c>
      <c r="D52" s="18" t="s">
        <v>269</v>
      </c>
      <c r="E52" s="19">
        <v>23560568</v>
      </c>
      <c r="F52" s="19" t="s">
        <v>270</v>
      </c>
      <c r="G52" s="10" t="s">
        <v>271</v>
      </c>
      <c r="H52" s="46">
        <v>3</v>
      </c>
      <c r="I52" s="46">
        <v>3.2</v>
      </c>
      <c r="J52" s="1">
        <v>23</v>
      </c>
      <c r="K52" s="1">
        <f>IF(ISNUMBER(I52),ROUND(583.58+106.27*I52,-1),"TBD")</f>
        <v>0</v>
      </c>
      <c r="L52" s="1">
        <v>900</v>
      </c>
      <c r="M52" s="1">
        <f>IF(ISNUMBER(L52),L52,IF(ISNUMBER(K52),K52,"TBD"))</f>
        <v>0</v>
      </c>
      <c r="N52" s="1">
        <f>IF(ISNUMBER(J52),VLOOKUP(J52,ACTtoSAT,2,FALSE),"TBD")</f>
        <v>0</v>
      </c>
      <c r="O52" s="1">
        <f>IF(ISNUMBER(M52),IF(ISNUMBER(N52),MAX(M52,N52),M52),IF(ISNUMBER(N52),N52,"TBD"))</f>
        <v>0</v>
      </c>
      <c r="P52" s="1" t="s">
        <v>101</v>
      </c>
      <c r="Q52" s="1" t="s">
        <v>102</v>
      </c>
      <c r="R52" s="1" t="s">
        <v>103</v>
      </c>
      <c r="S52" s="1">
        <f>IF(AND(H52&lt;&gt;0,O52&lt;&gt;0),IF(ISNUMBER(VLOOKUP(TEXT(MAX(FLOOR(H52*10,1)/10,1.5),"0.0")&amp;":"&amp;MAX(O52,710),StrategyLookup,4,FALSE)),VLOOKUP(TEXT(MAX(FLOOR(H52*10,1)/10,1.5),"0.0")&amp;":"&amp;MAX(O52,710),StrategyLookup,4,FALSE),"TBD"),"TBD")</f>
        <v>0</v>
      </c>
      <c r="T52" s="11">
        <f>IF(ISNUMBER(S52),VLOOKUP(IF(OR(S52=5,S52=6),S52&amp;IF(H52&gt;=3,"+","&lt;"),S52&amp;""),TargetLookup,IF(B52=-1,6,IF(OR(P52="W",P52="A"),4,2)),FALSE),"TBD")</f>
        <v>0</v>
      </c>
      <c r="U52" s="11">
        <f>IF(ISNUMBER(S52),VLOOKUP(IF(OR(S52=5,S52=6),S52&amp;IF(H52&gt;=3,"+","&lt;"),S52&amp;""),TargetLookup,IF(B52=-1,7,IF(OR(P52="W",P52="A"),5,3)),FALSE),"TBD")</f>
        <v>0</v>
      </c>
      <c r="V52" s="18" t="s">
        <v>135</v>
      </c>
      <c r="W52" s="19" t="s">
        <v>105</v>
      </c>
      <c r="X52" s="19" t="s">
        <v>106</v>
      </c>
      <c r="Y52" s="19">
        <f>V52&amp;X52&amp;D52</f>
        <v>0</v>
      </c>
      <c r="Z52" s="11">
        <f t="array" ref="Z52">1-PRODUCT(IF(Students=E52,MGRMoneyMult,1))</f>
        <v>0</v>
      </c>
      <c r="AA52" s="12">
        <f t="array" ref="AA52">1-PRODUCT(IF(Students=E52,RGRMoneyMult,1))</f>
        <v>0</v>
      </c>
      <c r="AB52" s="13">
        <f>COUNTIFS(Students,E52,Results,"Accepted!")+COUNTIFS(Students,E52,Results,"CHOICE!")</f>
        <v>0</v>
      </c>
      <c r="AC52" s="1">
        <f>COUNTIFS(Students,E52,Results,"Deferred")+COUNTIFS(Students,E52,Results,"Waitlist")</f>
        <v>0</v>
      </c>
      <c r="AD52" s="13">
        <f>COUNTIFS(Students,E52,Results,"Denied")</f>
        <v>0</v>
      </c>
      <c r="AE52" s="13">
        <f>AB52+AC52+AD52+COUNTIFS(Students,E52,Results,"Submitted")</f>
        <v>0</v>
      </c>
      <c r="AF52" s="12">
        <v>0.7386978721081335</v>
      </c>
      <c r="AG52" s="12">
        <v>0.7183642323655177</v>
      </c>
      <c r="AH52" s="12">
        <v>0.5906452989169161</v>
      </c>
      <c r="AI52" s="12">
        <v>0.5625115380487281</v>
      </c>
      <c r="AJ52" s="13">
        <f>COUNTIFS(Students,E52,Results,"CHOICE!")</f>
        <v>0</v>
      </c>
      <c r="AK52" s="1">
        <f>COUNTIFS(MoneyYesNo,1,RGRcount,1,Students,E52,Results,"Accepted!")</f>
        <v>0</v>
      </c>
      <c r="AL52" s="1">
        <f>COUNTIFS(MoneyYesNo,1,MGRcount,1,Students,E52,Results,"Accepted!")-AK52</f>
        <v>0</v>
      </c>
      <c r="AM52" s="1">
        <f>COUNTIFS(MoneyYesNo,1,Students,E52,Results,"Accepted!")-AK52-AL52</f>
        <v>0</v>
      </c>
      <c r="AN52" s="13">
        <f>COUNTIFS(Students,E52,Results,"Accepted!")-AK52-AL52-AM52</f>
        <v>0</v>
      </c>
      <c r="AO52" s="1">
        <f>SUMIFS(RGRcount,Students,E52,MoneyYesNo,1)</f>
        <v>0</v>
      </c>
      <c r="AP52" s="1">
        <f>SUMIFS(MGRcount,Students,E52,MoneyYesNo,1)-AO52</f>
        <v>0</v>
      </c>
      <c r="AQ52" s="1">
        <f>SUMIF(Students,E52,MoneyYesNo)-AO52-AP52</f>
        <v>0</v>
      </c>
      <c r="AR52" s="13">
        <f>SUM(AO52,AP52,AQ52)</f>
        <v>0</v>
      </c>
      <c r="AS52" s="1">
        <f>SUMIF(Students,E52,RGRcount)</f>
        <v>0</v>
      </c>
      <c r="AT52" s="1">
        <f>SUMIF(Students,E52,MGRcount)-AS52</f>
        <v>0</v>
      </c>
      <c r="AU52" s="1">
        <f>COUNTIF(Students,E52)-AS52-AT52</f>
        <v>0</v>
      </c>
      <c r="AV52" s="1">
        <f>SUMIF(Students,E52,FarBelowTGRCount)</f>
        <v>0</v>
      </c>
      <c r="AW52" s="47">
        <f>COUNTIF(Students,E52)</f>
        <v>0</v>
      </c>
      <c r="AX52" s="11">
        <f>IF(AW52&gt;0,AE52/AW52,0)</f>
        <v>0</v>
      </c>
      <c r="AY52" s="11">
        <f t="array" ref="AY52">1-PRODUCT(IF(Students=E52,MGRMult,1))</f>
        <v>0</v>
      </c>
      <c r="AZ52" s="12">
        <f t="array" ref="AZ52">1-PRODUCT(IF(Students=E52,RGRMult,1))</f>
        <v>0</v>
      </c>
      <c r="BA52" s="1">
        <f>COUNTIFS(Students,E52,Classes,HailMaryLabel)</f>
        <v>0</v>
      </c>
      <c r="BB52" s="1">
        <f>COUNTIFS(Students,E52,Classes,LongshotLabel)</f>
        <v>0</v>
      </c>
      <c r="BC52" s="1">
        <f>COUNTIFS(Students,E52,Classes,ReachLabel)</f>
        <v>0</v>
      </c>
      <c r="BD52" s="1">
        <f>COUNTIFS(Students,E52,Classes,MatchLabel)</f>
        <v>0</v>
      </c>
      <c r="BE52" s="1">
        <f>COUNTIFS(Students,E52,Classes,SafetyLabel)</f>
        <v>0</v>
      </c>
      <c r="BF52" s="1">
        <f>COUNTIFS(Students,E52,Classes,SecureLabel)</f>
        <v>0</v>
      </c>
      <c r="BG52" s="1">
        <f>COUNTIFS(Students,E52,Classes,SureThingLabel)</f>
        <v>0</v>
      </c>
      <c r="BH52" s="13">
        <f>COUNTIFS(Students,E52,Classes,"Other")</f>
        <v>0</v>
      </c>
      <c r="BI52" s="1">
        <f>COUNTIFS(Students,E52,Classes,ReachLabel,MoneyYesNo,1)</f>
        <v>0</v>
      </c>
      <c r="BJ52" s="1">
        <f>COUNTIFS(Students,E52,Classes,MatchLabel,MoneyYesNo,1)</f>
        <v>0</v>
      </c>
      <c r="BK52" s="1">
        <f>COUNTIFS(Students,E52,Classes,SafetyLabel,MoneyYesNo,1)</f>
        <v>0</v>
      </c>
      <c r="BL52" s="1">
        <f>COUNTIFS(Students,E52,Classes,SecureLabel,MoneyYesNo,1)</f>
        <v>0</v>
      </c>
      <c r="BM52" s="1">
        <f>COUNTIFS(Students,E52,Classes,SureThingLabel,MoneyYesNo,1)</f>
        <v>0</v>
      </c>
      <c r="BN52" s="1">
        <f>SUM(BI52:BM52)</f>
        <v>0</v>
      </c>
      <c r="BO52" s="1">
        <f>SUMIFS(RGRcount,Students,E52,MoneyYesNo,1,Odds,"&gt;=20")</f>
        <v>0</v>
      </c>
      <c r="BP52" s="1">
        <f>SUMIFS(MGRcount,Students,E52,MoneyYesNo,1,Odds,"&gt;=20")-BO52</f>
        <v>0</v>
      </c>
      <c r="BQ52" s="1">
        <f>SUMIFS(MGRcount,Students,E52,MoneyYesNo,1,Odds,"&gt;=50")</f>
        <v>0</v>
      </c>
      <c r="BR52" s="1">
        <f>SUMIFS(RGRcount,Students,E52,MoneyYesNo,1,Odds,"&gt;=10")</f>
        <v>0</v>
      </c>
      <c r="BS52" s="1">
        <f>SUMIFS(MGRcount,Students,E52,MoneyYesNo,1,Odds,"&gt;=10")-BR52</f>
        <v>0</v>
      </c>
      <c r="BT52" s="1">
        <f>COUNTIFS(Students,E52,ILPublic,1)</f>
        <v>0</v>
      </c>
      <c r="BU52" s="1">
        <f>COUNTIFS(Students,E52,ILPublic,1,MoneyYesNo,1,Classes,MatchLabel)+COUNTIFS(Students,E52,ILPublic,1,MoneyYesNo,1,Classes,SafetyLabel)+COUNTIFS(Students,E52,ILPublic,1,MoneyYesNo,1,Classes,SecureLabel)+COUNTIFS(Students,E52,ILPublic,1,MoneyYesNo,1,Classes,SureThingLabel)</f>
        <v>0</v>
      </c>
      <c r="BV52" s="1">
        <f>COUNTIFS(Students,E52,ILPublic,1, Classes,SecureLabel)</f>
        <v>0</v>
      </c>
      <c r="BW52" s="1">
        <f>COUNTIFS(Students,E52,MoneyChicago,1)</f>
        <v>0</v>
      </c>
      <c r="BX52" s="1">
        <f>COUNTIFS(Students,E52,MatchOrUnder,1)</f>
        <v>0</v>
      </c>
      <c r="BY52" s="1">
        <f>SUMIF(Students,E52,MGRcount)</f>
        <v>0</v>
      </c>
      <c r="BZ52" s="1">
        <f>COUNTIFS(Students,E52,BadMoney,1)</f>
        <v>0</v>
      </c>
      <c r="CA52" s="1">
        <f>COUNTIFS(Students,E52,GoldenThree,1)</f>
        <v>0</v>
      </c>
      <c r="CB52" s="1">
        <f>COUNTIFS(Students,E52,NCESids,147536)</f>
        <v>0</v>
      </c>
      <c r="CC52" s="1">
        <f>COUNTIFS(Students,E52,NCESids,144157)+COUNTIFS(Students,E52,NCESids,144166)+COUNTIFS(Students,E52,NCESids,144175)+COUNTIFS(Students,E52,NCESids,144184)+COUNTIFS(Students,E52,NCESids,144193)+COUNTIFS(Students,E52,NCESids,144209)+COUNTIFS(Students,E52,NCESids,144218)</f>
        <v>0</v>
      </c>
      <c r="CD52" s="1">
        <f>COUNTIFS(Students,E52,Results,"Accepted!",FarBelowTGRCount,0)+COUNTIFS(Students,E52,Results,"CHOICE!",FarBelowTGRCount,0)</f>
        <v>0</v>
      </c>
    </row>
    <row r="53" spans="1:82">
      <c r="A53" s="18" t="s">
        <v>96</v>
      </c>
      <c r="B53" s="19">
        <v>0</v>
      </c>
      <c r="C53" s="18" t="s">
        <v>153</v>
      </c>
      <c r="D53" s="18" t="s">
        <v>272</v>
      </c>
      <c r="E53" s="19">
        <v>22587209</v>
      </c>
      <c r="F53" s="19" t="s">
        <v>273</v>
      </c>
      <c r="G53" s="10" t="s">
        <v>274</v>
      </c>
      <c r="H53" s="46">
        <v>1.5845</v>
      </c>
      <c r="I53" s="46">
        <v>1.7845</v>
      </c>
      <c r="J53" s="1">
        <v>14</v>
      </c>
      <c r="K53" s="1">
        <f>IF(ISNUMBER(I53),ROUND(583.58+106.27*I53,-1),"TBD")</f>
        <v>0</v>
      </c>
      <c r="L53" s="1">
        <v>1360</v>
      </c>
      <c r="M53" s="1">
        <f>IF(ISNUMBER(L53),L53,IF(ISNUMBER(K53),K53,"TBD"))</f>
        <v>0</v>
      </c>
      <c r="N53" s="1">
        <f>IF(ISNUMBER(J53),VLOOKUP(J53,ACTtoSAT,2,FALSE),"TBD")</f>
        <v>0</v>
      </c>
      <c r="O53" s="1">
        <f>IF(ISNUMBER(M53),IF(ISNUMBER(N53),MAX(M53,N53),M53),IF(ISNUMBER(N53),N53,"TBD"))</f>
        <v>0</v>
      </c>
      <c r="P53" s="1" t="s">
        <v>101</v>
      </c>
      <c r="Q53" s="1" t="s">
        <v>123</v>
      </c>
      <c r="R53" s="1" t="s">
        <v>124</v>
      </c>
      <c r="S53" s="1">
        <f>IF(AND(H53&lt;&gt;0,O53&lt;&gt;0),IF(ISNUMBER(VLOOKUP(TEXT(MAX(FLOOR(H53*10,1)/10,1.5),"0.0")&amp;":"&amp;MAX(O53,710),StrategyLookup,4,FALSE)),VLOOKUP(TEXT(MAX(FLOOR(H53*10,1)/10,1.5),"0.0")&amp;":"&amp;MAX(O53,710),StrategyLookup,4,FALSE),"TBD"),"TBD")</f>
        <v>0</v>
      </c>
      <c r="T53" s="11">
        <f>IF(ISNUMBER(S53),VLOOKUP(IF(OR(S53=5,S53=6),S53&amp;IF(H53&gt;=3,"+","&lt;"),S53&amp;""),TargetLookup,IF(B53=-1,6,IF(OR(P53="W",P53="A"),4,2)),FALSE),"TBD")</f>
        <v>0</v>
      </c>
      <c r="U53" s="11">
        <f>IF(ISNUMBER(S53),VLOOKUP(IF(OR(S53=5,S53=6),S53&amp;IF(H53&gt;=3,"+","&lt;"),S53&amp;""),TargetLookup,IF(B53=-1,7,IF(OR(P53="W",P53="A"),5,3)),FALSE),"TBD")</f>
        <v>0</v>
      </c>
      <c r="V53" s="18" t="s">
        <v>104</v>
      </c>
      <c r="W53" s="19" t="s">
        <v>146</v>
      </c>
      <c r="X53" s="19" t="s">
        <v>106</v>
      </c>
      <c r="Y53" s="19">
        <f>V53&amp;X53&amp;D53</f>
        <v>0</v>
      </c>
      <c r="Z53" s="11">
        <f t="array" ref="Z53">1-PRODUCT(IF(Students=E53,MGRMoneyMult,1))</f>
        <v>0</v>
      </c>
      <c r="AA53" s="12">
        <f t="array" ref="AA53">1-PRODUCT(IF(Students=E53,RGRMoneyMult,1))</f>
        <v>0</v>
      </c>
      <c r="AB53" s="13">
        <f>COUNTIFS(Students,E53,Results,"Accepted!")+COUNTIFS(Students,E53,Results,"CHOICE!")</f>
        <v>0</v>
      </c>
      <c r="AC53" s="1">
        <f>COUNTIFS(Students,E53,Results,"Deferred")+COUNTIFS(Students,E53,Results,"Waitlist")</f>
        <v>0</v>
      </c>
      <c r="AD53" s="13">
        <f>COUNTIFS(Students,E53,Results,"Denied")</f>
        <v>0</v>
      </c>
      <c r="AE53" s="13">
        <f>AB53+AC53+AD53+COUNTIFS(Students,E53,Results,"Submitted")</f>
        <v>0</v>
      </c>
      <c r="AF53" s="12">
        <v>0.4220166535364055</v>
      </c>
      <c r="AG53" s="12">
        <v>0.373506641397842</v>
      </c>
      <c r="AH53" s="12">
        <v>0.3413208105601705</v>
      </c>
      <c r="AI53" s="12">
        <v>0.3155210908818461</v>
      </c>
      <c r="AJ53" s="13">
        <f>COUNTIFS(Students,E53,Results,"CHOICE!")</f>
        <v>0</v>
      </c>
      <c r="AK53" s="1">
        <f>COUNTIFS(MoneyYesNo,1,RGRcount,1,Students,E53,Results,"Accepted!")</f>
        <v>0</v>
      </c>
      <c r="AL53" s="1">
        <f>COUNTIFS(MoneyYesNo,1,MGRcount,1,Students,E53,Results,"Accepted!")-AK53</f>
        <v>0</v>
      </c>
      <c r="AM53" s="1">
        <f>COUNTIFS(MoneyYesNo,1,Students,E53,Results,"Accepted!")-AK53-AL53</f>
        <v>0</v>
      </c>
      <c r="AN53" s="13">
        <f>COUNTIFS(Students,E53,Results,"Accepted!")-AK53-AL53-AM53</f>
        <v>0</v>
      </c>
      <c r="AO53" s="1">
        <f>SUMIFS(RGRcount,Students,E53,MoneyYesNo,1)</f>
        <v>0</v>
      </c>
      <c r="AP53" s="1">
        <f>SUMIFS(MGRcount,Students,E53,MoneyYesNo,1)-AO53</f>
        <v>0</v>
      </c>
      <c r="AQ53" s="1">
        <f>SUMIF(Students,E53,MoneyYesNo)-AO53-AP53</f>
        <v>0</v>
      </c>
      <c r="AR53" s="13">
        <f>SUM(AO53,AP53,AQ53)</f>
        <v>0</v>
      </c>
      <c r="AS53" s="1">
        <f>SUMIF(Students,E53,RGRcount)</f>
        <v>0</v>
      </c>
      <c r="AT53" s="1">
        <f>SUMIF(Students,E53,MGRcount)-AS53</f>
        <v>0</v>
      </c>
      <c r="AU53" s="1">
        <f>COUNTIF(Students,E53)-AS53-AT53</f>
        <v>0</v>
      </c>
      <c r="AV53" s="1">
        <f>SUMIF(Students,E53,FarBelowTGRCount)</f>
        <v>0</v>
      </c>
      <c r="AW53" s="47">
        <f>COUNTIF(Students,E53)</f>
        <v>0</v>
      </c>
      <c r="AX53" s="11">
        <f>IF(AW53&gt;0,AE53/AW53,0)</f>
        <v>0</v>
      </c>
      <c r="AY53" s="11">
        <f t="array" ref="AY53">1-PRODUCT(IF(Students=E53,MGRMult,1))</f>
        <v>0</v>
      </c>
      <c r="AZ53" s="12">
        <f t="array" ref="AZ53">1-PRODUCT(IF(Students=E53,RGRMult,1))</f>
        <v>0</v>
      </c>
      <c r="BA53" s="1">
        <f>COUNTIFS(Students,E53,Classes,HailMaryLabel)</f>
        <v>0</v>
      </c>
      <c r="BB53" s="1">
        <f>COUNTIFS(Students,E53,Classes,LongshotLabel)</f>
        <v>0</v>
      </c>
      <c r="BC53" s="1">
        <f>COUNTIFS(Students,E53,Classes,ReachLabel)</f>
        <v>0</v>
      </c>
      <c r="BD53" s="1">
        <f>COUNTIFS(Students,E53,Classes,MatchLabel)</f>
        <v>0</v>
      </c>
      <c r="BE53" s="1">
        <f>COUNTIFS(Students,E53,Classes,SafetyLabel)</f>
        <v>0</v>
      </c>
      <c r="BF53" s="1">
        <f>COUNTIFS(Students,E53,Classes,SecureLabel)</f>
        <v>0</v>
      </c>
      <c r="BG53" s="1">
        <f>COUNTIFS(Students,E53,Classes,SureThingLabel)</f>
        <v>0</v>
      </c>
      <c r="BH53" s="13">
        <f>COUNTIFS(Students,E53,Classes,"Other")</f>
        <v>0</v>
      </c>
      <c r="BI53" s="1">
        <f>COUNTIFS(Students,E53,Classes,ReachLabel,MoneyYesNo,1)</f>
        <v>0</v>
      </c>
      <c r="BJ53" s="1">
        <f>COUNTIFS(Students,E53,Classes,MatchLabel,MoneyYesNo,1)</f>
        <v>0</v>
      </c>
      <c r="BK53" s="1">
        <f>COUNTIFS(Students,E53,Classes,SafetyLabel,MoneyYesNo,1)</f>
        <v>0</v>
      </c>
      <c r="BL53" s="1">
        <f>COUNTIFS(Students,E53,Classes,SecureLabel,MoneyYesNo,1)</f>
        <v>0</v>
      </c>
      <c r="BM53" s="1">
        <f>COUNTIFS(Students,E53,Classes,SureThingLabel,MoneyYesNo,1)</f>
        <v>0</v>
      </c>
      <c r="BN53" s="1">
        <f>SUM(BI53:BM53)</f>
        <v>0</v>
      </c>
      <c r="BO53" s="1">
        <f>SUMIFS(RGRcount,Students,E53,MoneyYesNo,1,Odds,"&gt;=20")</f>
        <v>0</v>
      </c>
      <c r="BP53" s="1">
        <f>SUMIFS(MGRcount,Students,E53,MoneyYesNo,1,Odds,"&gt;=20")-BO53</f>
        <v>0</v>
      </c>
      <c r="BQ53" s="1">
        <f>SUMIFS(MGRcount,Students,E53,MoneyYesNo,1,Odds,"&gt;=50")</f>
        <v>0</v>
      </c>
      <c r="BR53" s="1">
        <f>SUMIFS(RGRcount,Students,E53,MoneyYesNo,1,Odds,"&gt;=10")</f>
        <v>0</v>
      </c>
      <c r="BS53" s="1">
        <f>SUMIFS(MGRcount,Students,E53,MoneyYesNo,1,Odds,"&gt;=10")-BR53</f>
        <v>0</v>
      </c>
      <c r="BT53" s="1">
        <f>COUNTIFS(Students,E53,ILPublic,1)</f>
        <v>0</v>
      </c>
      <c r="BU53" s="1">
        <f>COUNTIFS(Students,E53,ILPublic,1,MoneyYesNo,1,Classes,MatchLabel)+COUNTIFS(Students,E53,ILPublic,1,MoneyYesNo,1,Classes,SafetyLabel)+COUNTIFS(Students,E53,ILPublic,1,MoneyYesNo,1,Classes,SecureLabel)+COUNTIFS(Students,E53,ILPublic,1,MoneyYesNo,1,Classes,SureThingLabel)</f>
        <v>0</v>
      </c>
      <c r="BV53" s="1">
        <f>COUNTIFS(Students,E53,ILPublic,1, Classes,SecureLabel)</f>
        <v>0</v>
      </c>
      <c r="BW53" s="1">
        <f>COUNTIFS(Students,E53,MoneyChicago,1)</f>
        <v>0</v>
      </c>
      <c r="BX53" s="1">
        <f>COUNTIFS(Students,E53,MatchOrUnder,1)</f>
        <v>0</v>
      </c>
      <c r="BY53" s="1">
        <f>SUMIF(Students,E53,MGRcount)</f>
        <v>0</v>
      </c>
      <c r="BZ53" s="1">
        <f>COUNTIFS(Students,E53,BadMoney,1)</f>
        <v>0</v>
      </c>
      <c r="CA53" s="1">
        <f>COUNTIFS(Students,E53,GoldenThree,1)</f>
        <v>0</v>
      </c>
      <c r="CB53" s="1">
        <f>COUNTIFS(Students,E53,NCESids,147536)</f>
        <v>0</v>
      </c>
      <c r="CC53" s="1">
        <f>COUNTIFS(Students,E53,NCESids,144157)+COUNTIFS(Students,E53,NCESids,144166)+COUNTIFS(Students,E53,NCESids,144175)+COUNTIFS(Students,E53,NCESids,144184)+COUNTIFS(Students,E53,NCESids,144193)+COUNTIFS(Students,E53,NCESids,144209)+COUNTIFS(Students,E53,NCESids,144218)</f>
        <v>0</v>
      </c>
      <c r="CD53" s="1">
        <f>COUNTIFS(Students,E53,Results,"Accepted!",FarBelowTGRCount,0)+COUNTIFS(Students,E53,Results,"CHOICE!",FarBelowTGRCount,0)</f>
        <v>0</v>
      </c>
    </row>
    <row r="54" spans="1:82">
      <c r="A54" s="18" t="s">
        <v>96</v>
      </c>
      <c r="B54" s="19">
        <v>0</v>
      </c>
      <c r="C54" s="18" t="s">
        <v>97</v>
      </c>
      <c r="D54" s="18" t="s">
        <v>275</v>
      </c>
      <c r="E54" s="19">
        <v>23274999</v>
      </c>
      <c r="F54" s="19" t="s">
        <v>276</v>
      </c>
      <c r="G54" s="10" t="s">
        <v>277</v>
      </c>
      <c r="H54" s="46">
        <v>3.4038</v>
      </c>
      <c r="I54" s="46">
        <v>3.6038</v>
      </c>
      <c r="J54" s="1">
        <v>19</v>
      </c>
      <c r="K54" s="1">
        <f>IF(ISNUMBER(I54),ROUND(583.58+106.27*I54,-1),"TBD")</f>
        <v>0</v>
      </c>
      <c r="L54" s="1">
        <v>1090</v>
      </c>
      <c r="M54" s="1">
        <f>IF(ISNUMBER(L54),L54,IF(ISNUMBER(K54),K54,"TBD"))</f>
        <v>0</v>
      </c>
      <c r="N54" s="1">
        <f>IF(ISNUMBER(J54),VLOOKUP(J54,ACTtoSAT,2,FALSE),"TBD")</f>
        <v>0</v>
      </c>
      <c r="O54" s="1">
        <f>IF(ISNUMBER(M54),IF(ISNUMBER(N54),MAX(M54,N54),M54),IF(ISNUMBER(N54),N54,"TBD"))</f>
        <v>0</v>
      </c>
      <c r="P54" s="1" t="s">
        <v>101</v>
      </c>
      <c r="Q54" s="1" t="s">
        <v>123</v>
      </c>
      <c r="R54" s="1" t="s">
        <v>124</v>
      </c>
      <c r="S54" s="1">
        <f>IF(AND(H54&lt;&gt;0,O54&lt;&gt;0),IF(ISNUMBER(VLOOKUP(TEXT(MAX(FLOOR(H54*10,1)/10,1.5),"0.0")&amp;":"&amp;MAX(O54,710),StrategyLookup,4,FALSE)),VLOOKUP(TEXT(MAX(FLOOR(H54*10,1)/10,1.5),"0.0")&amp;":"&amp;MAX(O54,710),StrategyLookup,4,FALSE),"TBD"),"TBD")</f>
        <v>0</v>
      </c>
      <c r="T54" s="11">
        <f>IF(ISNUMBER(S54),VLOOKUP(IF(OR(S54=5,S54=6),S54&amp;IF(H54&gt;=3,"+","&lt;"),S54&amp;""),TargetLookup,IF(B54=-1,6,IF(OR(P54="W",P54="A"),4,2)),FALSE),"TBD")</f>
        <v>0</v>
      </c>
      <c r="U54" s="11">
        <f>IF(ISNUMBER(S54),VLOOKUP(IF(OR(S54=5,S54=6),S54&amp;IF(H54&gt;=3,"+","&lt;"),S54&amp;""),TargetLookup,IF(B54=-1,7,IF(OR(P54="W",P54="A"),5,3)),FALSE),"TBD")</f>
        <v>0</v>
      </c>
      <c r="V54" s="18" t="s">
        <v>135</v>
      </c>
      <c r="W54" s="19" t="s">
        <v>170</v>
      </c>
      <c r="X54" s="19" t="s">
        <v>106</v>
      </c>
      <c r="Y54" s="19">
        <f>V54&amp;X54&amp;D54</f>
        <v>0</v>
      </c>
      <c r="Z54" s="11">
        <f t="array" ref="Z54">1-PRODUCT(IF(Students=E54,MGRMoneyMult,1))</f>
        <v>0</v>
      </c>
      <c r="AA54" s="12">
        <f t="array" ref="AA54">1-PRODUCT(IF(Students=E54,RGRMoneyMult,1))</f>
        <v>0</v>
      </c>
      <c r="AB54" s="13">
        <f>COUNTIFS(Students,E54,Results,"Accepted!")+COUNTIFS(Students,E54,Results,"CHOICE!")</f>
        <v>0</v>
      </c>
      <c r="AC54" s="1">
        <f>COUNTIFS(Students,E54,Results,"Deferred")+COUNTIFS(Students,E54,Results,"Waitlist")</f>
        <v>0</v>
      </c>
      <c r="AD54" s="13">
        <f>COUNTIFS(Students,E54,Results,"Denied")</f>
        <v>0</v>
      </c>
      <c r="AE54" s="13">
        <f>AB54+AC54+AD54+COUNTIFS(Students,E54,Results,"Submitted")</f>
        <v>0</v>
      </c>
      <c r="AF54" s="12">
        <v>0.7822950870577641</v>
      </c>
      <c r="AG54" s="12">
        <v>0.7713383855118113</v>
      </c>
      <c r="AH54" s="12">
        <v>0.6769558924557624</v>
      </c>
      <c r="AI54" s="12">
        <v>0.6546585209869062</v>
      </c>
      <c r="AJ54" s="13">
        <f>COUNTIFS(Students,E54,Results,"CHOICE!")</f>
        <v>0</v>
      </c>
      <c r="AK54" s="1">
        <f>COUNTIFS(MoneyYesNo,1,RGRcount,1,Students,E54,Results,"Accepted!")</f>
        <v>0</v>
      </c>
      <c r="AL54" s="1">
        <f>COUNTIFS(MoneyYesNo,1,MGRcount,1,Students,E54,Results,"Accepted!")-AK54</f>
        <v>0</v>
      </c>
      <c r="AM54" s="1">
        <f>COUNTIFS(MoneyYesNo,1,Students,E54,Results,"Accepted!")-AK54-AL54</f>
        <v>0</v>
      </c>
      <c r="AN54" s="13">
        <f>COUNTIFS(Students,E54,Results,"Accepted!")-AK54-AL54-AM54</f>
        <v>0</v>
      </c>
      <c r="AO54" s="1">
        <f>SUMIFS(RGRcount,Students,E54,MoneyYesNo,1)</f>
        <v>0</v>
      </c>
      <c r="AP54" s="1">
        <f>SUMIFS(MGRcount,Students,E54,MoneyYesNo,1)-AO54</f>
        <v>0</v>
      </c>
      <c r="AQ54" s="1">
        <f>SUMIF(Students,E54,MoneyYesNo)-AO54-AP54</f>
        <v>0</v>
      </c>
      <c r="AR54" s="13">
        <f>SUM(AO54,AP54,AQ54)</f>
        <v>0</v>
      </c>
      <c r="AS54" s="1">
        <f>SUMIF(Students,E54,RGRcount)</f>
        <v>0</v>
      </c>
      <c r="AT54" s="1">
        <f>SUMIF(Students,E54,MGRcount)-AS54</f>
        <v>0</v>
      </c>
      <c r="AU54" s="1">
        <f>COUNTIF(Students,E54)-AS54-AT54</f>
        <v>0</v>
      </c>
      <c r="AV54" s="1">
        <f>SUMIF(Students,E54,FarBelowTGRCount)</f>
        <v>0</v>
      </c>
      <c r="AW54" s="47">
        <f>COUNTIF(Students,E54)</f>
        <v>0</v>
      </c>
      <c r="AX54" s="11">
        <f>IF(AW54&gt;0,AE54/AW54,0)</f>
        <v>0</v>
      </c>
      <c r="AY54" s="11">
        <f t="array" ref="AY54">1-PRODUCT(IF(Students=E54,MGRMult,1))</f>
        <v>0</v>
      </c>
      <c r="AZ54" s="12">
        <f t="array" ref="AZ54">1-PRODUCT(IF(Students=E54,RGRMult,1))</f>
        <v>0</v>
      </c>
      <c r="BA54" s="1">
        <f>COUNTIFS(Students,E54,Classes,HailMaryLabel)</f>
        <v>0</v>
      </c>
      <c r="BB54" s="1">
        <f>COUNTIFS(Students,E54,Classes,LongshotLabel)</f>
        <v>0</v>
      </c>
      <c r="BC54" s="1">
        <f>COUNTIFS(Students,E54,Classes,ReachLabel)</f>
        <v>0</v>
      </c>
      <c r="BD54" s="1">
        <f>COUNTIFS(Students,E54,Classes,MatchLabel)</f>
        <v>0</v>
      </c>
      <c r="BE54" s="1">
        <f>COUNTIFS(Students,E54,Classes,SafetyLabel)</f>
        <v>0</v>
      </c>
      <c r="BF54" s="1">
        <f>COUNTIFS(Students,E54,Classes,SecureLabel)</f>
        <v>0</v>
      </c>
      <c r="BG54" s="1">
        <f>COUNTIFS(Students,E54,Classes,SureThingLabel)</f>
        <v>0</v>
      </c>
      <c r="BH54" s="13">
        <f>COUNTIFS(Students,E54,Classes,"Other")</f>
        <v>0</v>
      </c>
      <c r="BI54" s="1">
        <f>COUNTIFS(Students,E54,Classes,ReachLabel,MoneyYesNo,1)</f>
        <v>0</v>
      </c>
      <c r="BJ54" s="1">
        <f>COUNTIFS(Students,E54,Classes,MatchLabel,MoneyYesNo,1)</f>
        <v>0</v>
      </c>
      <c r="BK54" s="1">
        <f>COUNTIFS(Students,E54,Classes,SafetyLabel,MoneyYesNo,1)</f>
        <v>0</v>
      </c>
      <c r="BL54" s="1">
        <f>COUNTIFS(Students,E54,Classes,SecureLabel,MoneyYesNo,1)</f>
        <v>0</v>
      </c>
      <c r="BM54" s="1">
        <f>COUNTIFS(Students,E54,Classes,SureThingLabel,MoneyYesNo,1)</f>
        <v>0</v>
      </c>
      <c r="BN54" s="1">
        <f>SUM(BI54:BM54)</f>
        <v>0</v>
      </c>
      <c r="BO54" s="1">
        <f>SUMIFS(RGRcount,Students,E54,MoneyYesNo,1,Odds,"&gt;=20")</f>
        <v>0</v>
      </c>
      <c r="BP54" s="1">
        <f>SUMIFS(MGRcount,Students,E54,MoneyYesNo,1,Odds,"&gt;=20")-BO54</f>
        <v>0</v>
      </c>
      <c r="BQ54" s="1">
        <f>SUMIFS(MGRcount,Students,E54,MoneyYesNo,1,Odds,"&gt;=50")</f>
        <v>0</v>
      </c>
      <c r="BR54" s="1">
        <f>SUMIFS(RGRcount,Students,E54,MoneyYesNo,1,Odds,"&gt;=10")</f>
        <v>0</v>
      </c>
      <c r="BS54" s="1">
        <f>SUMIFS(MGRcount,Students,E54,MoneyYesNo,1,Odds,"&gt;=10")-BR54</f>
        <v>0</v>
      </c>
      <c r="BT54" s="1">
        <f>COUNTIFS(Students,E54,ILPublic,1)</f>
        <v>0</v>
      </c>
      <c r="BU54" s="1">
        <f>COUNTIFS(Students,E54,ILPublic,1,MoneyYesNo,1,Classes,MatchLabel)+COUNTIFS(Students,E54,ILPublic,1,MoneyYesNo,1,Classes,SafetyLabel)+COUNTIFS(Students,E54,ILPublic,1,MoneyYesNo,1,Classes,SecureLabel)+COUNTIFS(Students,E54,ILPublic,1,MoneyYesNo,1,Classes,SureThingLabel)</f>
        <v>0</v>
      </c>
      <c r="BV54" s="1">
        <f>COUNTIFS(Students,E54,ILPublic,1, Classes,SecureLabel)</f>
        <v>0</v>
      </c>
      <c r="BW54" s="1">
        <f>COUNTIFS(Students,E54,MoneyChicago,1)</f>
        <v>0</v>
      </c>
      <c r="BX54" s="1">
        <f>COUNTIFS(Students,E54,MatchOrUnder,1)</f>
        <v>0</v>
      </c>
      <c r="BY54" s="1">
        <f>SUMIF(Students,E54,MGRcount)</f>
        <v>0</v>
      </c>
      <c r="BZ54" s="1">
        <f>COUNTIFS(Students,E54,BadMoney,1)</f>
        <v>0</v>
      </c>
      <c r="CA54" s="1">
        <f>COUNTIFS(Students,E54,GoldenThree,1)</f>
        <v>0</v>
      </c>
      <c r="CB54" s="1">
        <f>COUNTIFS(Students,E54,NCESids,147536)</f>
        <v>0</v>
      </c>
      <c r="CC54" s="1">
        <f>COUNTIFS(Students,E54,NCESids,144157)+COUNTIFS(Students,E54,NCESids,144166)+COUNTIFS(Students,E54,NCESids,144175)+COUNTIFS(Students,E54,NCESids,144184)+COUNTIFS(Students,E54,NCESids,144193)+COUNTIFS(Students,E54,NCESids,144209)+COUNTIFS(Students,E54,NCESids,144218)</f>
        <v>0</v>
      </c>
      <c r="CD54" s="1">
        <f>COUNTIFS(Students,E54,Results,"Accepted!",FarBelowTGRCount,0)+COUNTIFS(Students,E54,Results,"CHOICE!",FarBelowTGRCount,0)</f>
        <v>0</v>
      </c>
    </row>
    <row r="55" spans="1:82">
      <c r="A55" s="18" t="s">
        <v>96</v>
      </c>
      <c r="B55" s="19">
        <v>0</v>
      </c>
      <c r="C55" s="18" t="s">
        <v>97</v>
      </c>
      <c r="D55" s="18" t="s">
        <v>278</v>
      </c>
      <c r="E55" s="19">
        <v>24026808</v>
      </c>
      <c r="F55" s="19" t="s">
        <v>279</v>
      </c>
      <c r="G55" s="10" t="s">
        <v>280</v>
      </c>
      <c r="H55" s="46">
        <v>2.6846</v>
      </c>
      <c r="I55" s="46">
        <v>2.8846</v>
      </c>
      <c r="J55" s="1">
        <v>20</v>
      </c>
      <c r="K55" s="1">
        <f>IF(ISNUMBER(I55),ROUND(583.58+106.27*I55,-1),"TBD")</f>
        <v>0</v>
      </c>
      <c r="L55" s="1">
        <v>1110</v>
      </c>
      <c r="M55" s="1">
        <f>IF(ISNUMBER(L55),L55,IF(ISNUMBER(K55),K55,"TBD"))</f>
        <v>0</v>
      </c>
      <c r="N55" s="1">
        <f>IF(ISNUMBER(J55),VLOOKUP(J55,ACTtoSAT,2,FALSE),"TBD")</f>
        <v>0</v>
      </c>
      <c r="O55" s="1">
        <f>IF(ISNUMBER(M55),IF(ISNUMBER(N55),MAX(M55,N55),M55),IF(ISNUMBER(N55),N55,"TBD"))</f>
        <v>0</v>
      </c>
      <c r="P55" s="1" t="s">
        <v>101</v>
      </c>
      <c r="Q55" s="1" t="s">
        <v>123</v>
      </c>
      <c r="R55" s="1" t="s">
        <v>124</v>
      </c>
      <c r="S55" s="1">
        <f>IF(AND(H55&lt;&gt;0,O55&lt;&gt;0),IF(ISNUMBER(VLOOKUP(TEXT(MAX(FLOOR(H55*10,1)/10,1.5),"0.0")&amp;":"&amp;MAX(O55,710),StrategyLookup,4,FALSE)),VLOOKUP(TEXT(MAX(FLOOR(H55*10,1)/10,1.5),"0.0")&amp;":"&amp;MAX(O55,710),StrategyLookup,4,FALSE),"TBD"),"TBD")</f>
        <v>0</v>
      </c>
      <c r="T55" s="11">
        <f>IF(ISNUMBER(S55),VLOOKUP(IF(OR(S55=5,S55=6),S55&amp;IF(H55&gt;=3,"+","&lt;"),S55&amp;""),TargetLookup,IF(B55=-1,6,IF(OR(P55="W",P55="A"),4,2)),FALSE),"TBD")</f>
        <v>0</v>
      </c>
      <c r="U55" s="11">
        <f>IF(ISNUMBER(S55),VLOOKUP(IF(OR(S55=5,S55=6),S55&amp;IF(H55&gt;=3,"+","&lt;"),S55&amp;""),TargetLookup,IF(B55=-1,7,IF(OR(P55="W",P55="A"),5,3)),FALSE),"TBD")</f>
        <v>0</v>
      </c>
      <c r="V55" s="18" t="s">
        <v>180</v>
      </c>
      <c r="W55" s="19" t="s">
        <v>146</v>
      </c>
      <c r="X55" s="19" t="s">
        <v>106</v>
      </c>
      <c r="Y55" s="19">
        <f>V55&amp;X55&amp;D55</f>
        <v>0</v>
      </c>
      <c r="Z55" s="11">
        <f t="array" ref="Z55">1-PRODUCT(IF(Students=E55,MGRMoneyMult,1))</f>
        <v>0</v>
      </c>
      <c r="AA55" s="12">
        <f t="array" ref="AA55">1-PRODUCT(IF(Students=E55,RGRMoneyMult,1))</f>
        <v>0</v>
      </c>
      <c r="AB55" s="13">
        <f>COUNTIFS(Students,E55,Results,"Accepted!")+COUNTIFS(Students,E55,Results,"CHOICE!")</f>
        <v>0</v>
      </c>
      <c r="AC55" s="1">
        <f>COUNTIFS(Students,E55,Results,"Deferred")+COUNTIFS(Students,E55,Results,"Waitlist")</f>
        <v>0</v>
      </c>
      <c r="AD55" s="13">
        <f>COUNTIFS(Students,E55,Results,"Denied")</f>
        <v>0</v>
      </c>
      <c r="AE55" s="13">
        <f>AB55+AC55+AD55+COUNTIFS(Students,E55,Results,"Submitted")</f>
        <v>0</v>
      </c>
      <c r="AF55" s="12">
        <v>0</v>
      </c>
      <c r="AG55" s="12">
        <v>0</v>
      </c>
      <c r="AH55" s="12">
        <v>0</v>
      </c>
      <c r="AI55" s="12">
        <v>0</v>
      </c>
      <c r="AJ55" s="13">
        <f>COUNTIFS(Students,E55,Results,"CHOICE!")</f>
        <v>0</v>
      </c>
      <c r="AK55" s="1">
        <f>COUNTIFS(MoneyYesNo,1,RGRcount,1,Students,E55,Results,"Accepted!")</f>
        <v>0</v>
      </c>
      <c r="AL55" s="1">
        <f>COUNTIFS(MoneyYesNo,1,MGRcount,1,Students,E55,Results,"Accepted!")-AK55</f>
        <v>0</v>
      </c>
      <c r="AM55" s="1">
        <f>COUNTIFS(MoneyYesNo,1,Students,E55,Results,"Accepted!")-AK55-AL55</f>
        <v>0</v>
      </c>
      <c r="AN55" s="13">
        <f>COUNTIFS(Students,E55,Results,"Accepted!")-AK55-AL55-AM55</f>
        <v>0</v>
      </c>
      <c r="AO55" s="1">
        <f>SUMIFS(RGRcount,Students,E55,MoneyYesNo,1)</f>
        <v>0</v>
      </c>
      <c r="AP55" s="1">
        <f>SUMIFS(MGRcount,Students,E55,MoneyYesNo,1)-AO55</f>
        <v>0</v>
      </c>
      <c r="AQ55" s="1">
        <f>SUMIF(Students,E55,MoneyYesNo)-AO55-AP55</f>
        <v>0</v>
      </c>
      <c r="AR55" s="13">
        <f>SUM(AO55,AP55,AQ55)</f>
        <v>0</v>
      </c>
      <c r="AS55" s="1">
        <f>SUMIF(Students,E55,RGRcount)</f>
        <v>0</v>
      </c>
      <c r="AT55" s="1">
        <f>SUMIF(Students,E55,MGRcount)-AS55</f>
        <v>0</v>
      </c>
      <c r="AU55" s="1">
        <f>COUNTIF(Students,E55)-AS55-AT55</f>
        <v>0</v>
      </c>
      <c r="AV55" s="1">
        <f>SUMIF(Students,E55,FarBelowTGRCount)</f>
        <v>0</v>
      </c>
      <c r="AW55" s="47">
        <f>COUNTIF(Students,E55)</f>
        <v>0</v>
      </c>
      <c r="AX55" s="11">
        <f>IF(AW55&gt;0,AE55/AW55,0)</f>
        <v>0</v>
      </c>
      <c r="AY55" s="11">
        <f t="array" ref="AY55">1-PRODUCT(IF(Students=E55,MGRMult,1))</f>
        <v>0</v>
      </c>
      <c r="AZ55" s="12">
        <f t="array" ref="AZ55">1-PRODUCT(IF(Students=E55,RGRMult,1))</f>
        <v>0</v>
      </c>
      <c r="BA55" s="1">
        <f>COUNTIFS(Students,E55,Classes,HailMaryLabel)</f>
        <v>0</v>
      </c>
      <c r="BB55" s="1">
        <f>COUNTIFS(Students,E55,Classes,LongshotLabel)</f>
        <v>0</v>
      </c>
      <c r="BC55" s="1">
        <f>COUNTIFS(Students,E55,Classes,ReachLabel)</f>
        <v>0</v>
      </c>
      <c r="BD55" s="1">
        <f>COUNTIFS(Students,E55,Classes,MatchLabel)</f>
        <v>0</v>
      </c>
      <c r="BE55" s="1">
        <f>COUNTIFS(Students,E55,Classes,SafetyLabel)</f>
        <v>0</v>
      </c>
      <c r="BF55" s="1">
        <f>COUNTIFS(Students,E55,Classes,SecureLabel)</f>
        <v>0</v>
      </c>
      <c r="BG55" s="1">
        <f>COUNTIFS(Students,E55,Classes,SureThingLabel)</f>
        <v>0</v>
      </c>
      <c r="BH55" s="13">
        <f>COUNTIFS(Students,E55,Classes,"Other")</f>
        <v>0</v>
      </c>
      <c r="BI55" s="1">
        <f>COUNTIFS(Students,E55,Classes,ReachLabel,MoneyYesNo,1)</f>
        <v>0</v>
      </c>
      <c r="BJ55" s="1">
        <f>COUNTIFS(Students,E55,Classes,MatchLabel,MoneyYesNo,1)</f>
        <v>0</v>
      </c>
      <c r="BK55" s="1">
        <f>COUNTIFS(Students,E55,Classes,SafetyLabel,MoneyYesNo,1)</f>
        <v>0</v>
      </c>
      <c r="BL55" s="1">
        <f>COUNTIFS(Students,E55,Classes,SecureLabel,MoneyYesNo,1)</f>
        <v>0</v>
      </c>
      <c r="BM55" s="1">
        <f>COUNTIFS(Students,E55,Classes,SureThingLabel,MoneyYesNo,1)</f>
        <v>0</v>
      </c>
      <c r="BN55" s="1">
        <f>SUM(BI55:BM55)</f>
        <v>0</v>
      </c>
      <c r="BO55" s="1">
        <f>SUMIFS(RGRcount,Students,E55,MoneyYesNo,1,Odds,"&gt;=20")</f>
        <v>0</v>
      </c>
      <c r="BP55" s="1">
        <f>SUMIFS(MGRcount,Students,E55,MoneyYesNo,1,Odds,"&gt;=20")-BO55</f>
        <v>0</v>
      </c>
      <c r="BQ55" s="1">
        <f>SUMIFS(MGRcount,Students,E55,MoneyYesNo,1,Odds,"&gt;=50")</f>
        <v>0</v>
      </c>
      <c r="BR55" s="1">
        <f>SUMIFS(RGRcount,Students,E55,MoneyYesNo,1,Odds,"&gt;=10")</f>
        <v>0</v>
      </c>
      <c r="BS55" s="1">
        <f>SUMIFS(MGRcount,Students,E55,MoneyYesNo,1,Odds,"&gt;=10")-BR55</f>
        <v>0</v>
      </c>
      <c r="BT55" s="1">
        <f>COUNTIFS(Students,E55,ILPublic,1)</f>
        <v>0</v>
      </c>
      <c r="BU55" s="1">
        <f>COUNTIFS(Students,E55,ILPublic,1,MoneyYesNo,1,Classes,MatchLabel)+COUNTIFS(Students,E55,ILPublic,1,MoneyYesNo,1,Classes,SafetyLabel)+COUNTIFS(Students,E55,ILPublic,1,MoneyYesNo,1,Classes,SecureLabel)+COUNTIFS(Students,E55,ILPublic,1,MoneyYesNo,1,Classes,SureThingLabel)</f>
        <v>0</v>
      </c>
      <c r="BV55" s="1">
        <f>COUNTIFS(Students,E55,ILPublic,1, Classes,SecureLabel)</f>
        <v>0</v>
      </c>
      <c r="BW55" s="1">
        <f>COUNTIFS(Students,E55,MoneyChicago,1)</f>
        <v>0</v>
      </c>
      <c r="BX55" s="1">
        <f>COUNTIFS(Students,E55,MatchOrUnder,1)</f>
        <v>0</v>
      </c>
      <c r="BY55" s="1">
        <f>SUMIF(Students,E55,MGRcount)</f>
        <v>0</v>
      </c>
      <c r="BZ55" s="1">
        <f>COUNTIFS(Students,E55,BadMoney,1)</f>
        <v>0</v>
      </c>
      <c r="CA55" s="1">
        <f>COUNTIFS(Students,E55,GoldenThree,1)</f>
        <v>0</v>
      </c>
      <c r="CB55" s="1">
        <f>COUNTIFS(Students,E55,NCESids,147536)</f>
        <v>0</v>
      </c>
      <c r="CC55" s="1">
        <f>COUNTIFS(Students,E55,NCESids,144157)+COUNTIFS(Students,E55,NCESids,144166)+COUNTIFS(Students,E55,NCESids,144175)+COUNTIFS(Students,E55,NCESids,144184)+COUNTIFS(Students,E55,NCESids,144193)+COUNTIFS(Students,E55,NCESids,144209)+COUNTIFS(Students,E55,NCESids,144218)</f>
        <v>0</v>
      </c>
      <c r="CD55" s="1">
        <f>COUNTIFS(Students,E55,Results,"Accepted!",FarBelowTGRCount,0)+COUNTIFS(Students,E55,Results,"CHOICE!",FarBelowTGRCount,0)</f>
        <v>0</v>
      </c>
    </row>
    <row r="56" spans="1:82">
      <c r="A56" s="18" t="s">
        <v>96</v>
      </c>
      <c r="B56" s="19">
        <v>0</v>
      </c>
      <c r="C56" s="18" t="s">
        <v>153</v>
      </c>
      <c r="D56" s="18" t="s">
        <v>281</v>
      </c>
      <c r="E56" s="19">
        <v>22372458</v>
      </c>
      <c r="F56" s="19" t="s">
        <v>282</v>
      </c>
      <c r="G56" s="10" t="s">
        <v>283</v>
      </c>
      <c r="H56" s="46">
        <v>1.9904</v>
      </c>
      <c r="I56" s="46">
        <v>2.1904</v>
      </c>
      <c r="J56" s="1">
        <v>18</v>
      </c>
      <c r="K56" s="1">
        <f>IF(ISNUMBER(I56),ROUND(583.58+106.27*I56,-1),"TBD")</f>
        <v>0</v>
      </c>
      <c r="L56" s="1">
        <v>1030</v>
      </c>
      <c r="M56" s="1">
        <f>IF(ISNUMBER(L56),L56,IF(ISNUMBER(K56),K56,"TBD"))</f>
        <v>0</v>
      </c>
      <c r="N56" s="1">
        <f>IF(ISNUMBER(J56),VLOOKUP(J56,ACTtoSAT,2,FALSE),"TBD")</f>
        <v>0</v>
      </c>
      <c r="O56" s="1">
        <f>IF(ISNUMBER(M56),IF(ISNUMBER(N56),MAX(M56,N56),M56),IF(ISNUMBER(N56),N56,"TBD"))</f>
        <v>0</v>
      </c>
      <c r="P56" s="1" t="s">
        <v>101</v>
      </c>
      <c r="Q56" s="1" t="s">
        <v>123</v>
      </c>
      <c r="R56" s="1" t="s">
        <v>124</v>
      </c>
      <c r="S56" s="1">
        <f>IF(AND(H56&lt;&gt;0,O56&lt;&gt;0),IF(ISNUMBER(VLOOKUP(TEXT(MAX(FLOOR(H56*10,1)/10,1.5),"0.0")&amp;":"&amp;MAX(O56,710),StrategyLookup,4,FALSE)),VLOOKUP(TEXT(MAX(FLOOR(H56*10,1)/10,1.5),"0.0")&amp;":"&amp;MAX(O56,710),StrategyLookup,4,FALSE),"TBD"),"TBD")</f>
        <v>0</v>
      </c>
      <c r="T56" s="11">
        <f>IF(ISNUMBER(S56),VLOOKUP(IF(OR(S56=5,S56=6),S56&amp;IF(H56&gt;=3,"+","&lt;"),S56&amp;""),TargetLookup,IF(B56=-1,6,IF(OR(P56="W",P56="A"),4,2)),FALSE),"TBD")</f>
        <v>0</v>
      </c>
      <c r="U56" s="11">
        <f>IF(ISNUMBER(S56),VLOOKUP(IF(OR(S56=5,S56=6),S56&amp;IF(H56&gt;=3,"+","&lt;"),S56&amp;""),TargetLookup,IF(B56=-1,7,IF(OR(P56="W",P56="A"),5,3)),FALSE),"TBD")</f>
        <v>0</v>
      </c>
      <c r="V56" s="18" t="s">
        <v>104</v>
      </c>
      <c r="W56" s="19" t="s">
        <v>131</v>
      </c>
      <c r="X56" s="19" t="s">
        <v>106</v>
      </c>
      <c r="Y56" s="19">
        <f>V56&amp;X56&amp;D56</f>
        <v>0</v>
      </c>
      <c r="Z56" s="11">
        <f t="array" ref="Z56">1-PRODUCT(IF(Students=E56,MGRMoneyMult,1))</f>
        <v>0</v>
      </c>
      <c r="AA56" s="12">
        <f t="array" ref="AA56">1-PRODUCT(IF(Students=E56,RGRMoneyMult,1))</f>
        <v>0</v>
      </c>
      <c r="AB56" s="13">
        <f>COUNTIFS(Students,E56,Results,"Accepted!")+COUNTIFS(Students,E56,Results,"CHOICE!")</f>
        <v>0</v>
      </c>
      <c r="AC56" s="1">
        <f>COUNTIFS(Students,E56,Results,"Deferred")+COUNTIFS(Students,E56,Results,"Waitlist")</f>
        <v>0</v>
      </c>
      <c r="AD56" s="13">
        <f>COUNTIFS(Students,E56,Results,"Denied")</f>
        <v>0</v>
      </c>
      <c r="AE56" s="13">
        <f>AB56+AC56+AD56+COUNTIFS(Students,E56,Results,"Submitted")</f>
        <v>0</v>
      </c>
      <c r="AF56" s="12">
        <v>0.362114634616</v>
      </c>
      <c r="AG56" s="12">
        <v>0.32513452</v>
      </c>
      <c r="AH56" s="12">
        <v>0.3012444154927666</v>
      </c>
      <c r="AI56" s="12">
        <v>0.2877598273956744</v>
      </c>
      <c r="AJ56" s="13">
        <f>COUNTIFS(Students,E56,Results,"CHOICE!")</f>
        <v>0</v>
      </c>
      <c r="AK56" s="1">
        <f>COUNTIFS(MoneyYesNo,1,RGRcount,1,Students,E56,Results,"Accepted!")</f>
        <v>0</v>
      </c>
      <c r="AL56" s="1">
        <f>COUNTIFS(MoneyYesNo,1,MGRcount,1,Students,E56,Results,"Accepted!")-AK56</f>
        <v>0</v>
      </c>
      <c r="AM56" s="1">
        <f>COUNTIFS(MoneyYesNo,1,Students,E56,Results,"Accepted!")-AK56-AL56</f>
        <v>0</v>
      </c>
      <c r="AN56" s="13">
        <f>COUNTIFS(Students,E56,Results,"Accepted!")-AK56-AL56-AM56</f>
        <v>0</v>
      </c>
      <c r="AO56" s="1">
        <f>SUMIFS(RGRcount,Students,E56,MoneyYesNo,1)</f>
        <v>0</v>
      </c>
      <c r="AP56" s="1">
        <f>SUMIFS(MGRcount,Students,E56,MoneyYesNo,1)-AO56</f>
        <v>0</v>
      </c>
      <c r="AQ56" s="1">
        <f>SUMIF(Students,E56,MoneyYesNo)-AO56-AP56</f>
        <v>0</v>
      </c>
      <c r="AR56" s="13">
        <f>SUM(AO56,AP56,AQ56)</f>
        <v>0</v>
      </c>
      <c r="AS56" s="1">
        <f>SUMIF(Students,E56,RGRcount)</f>
        <v>0</v>
      </c>
      <c r="AT56" s="1">
        <f>SUMIF(Students,E56,MGRcount)-AS56</f>
        <v>0</v>
      </c>
      <c r="AU56" s="1">
        <f>COUNTIF(Students,E56)-AS56-AT56</f>
        <v>0</v>
      </c>
      <c r="AV56" s="1">
        <f>SUMIF(Students,E56,FarBelowTGRCount)</f>
        <v>0</v>
      </c>
      <c r="AW56" s="47">
        <f>COUNTIF(Students,E56)</f>
        <v>0</v>
      </c>
      <c r="AX56" s="11">
        <f>IF(AW56&gt;0,AE56/AW56,0)</f>
        <v>0</v>
      </c>
      <c r="AY56" s="11">
        <f t="array" ref="AY56">1-PRODUCT(IF(Students=E56,MGRMult,1))</f>
        <v>0</v>
      </c>
      <c r="AZ56" s="12">
        <f t="array" ref="AZ56">1-PRODUCT(IF(Students=E56,RGRMult,1))</f>
        <v>0</v>
      </c>
      <c r="BA56" s="1">
        <f>COUNTIFS(Students,E56,Classes,HailMaryLabel)</f>
        <v>0</v>
      </c>
      <c r="BB56" s="1">
        <f>COUNTIFS(Students,E56,Classes,LongshotLabel)</f>
        <v>0</v>
      </c>
      <c r="BC56" s="1">
        <f>COUNTIFS(Students,E56,Classes,ReachLabel)</f>
        <v>0</v>
      </c>
      <c r="BD56" s="1">
        <f>COUNTIFS(Students,E56,Classes,MatchLabel)</f>
        <v>0</v>
      </c>
      <c r="BE56" s="1">
        <f>COUNTIFS(Students,E56,Classes,SafetyLabel)</f>
        <v>0</v>
      </c>
      <c r="BF56" s="1">
        <f>COUNTIFS(Students,E56,Classes,SecureLabel)</f>
        <v>0</v>
      </c>
      <c r="BG56" s="1">
        <f>COUNTIFS(Students,E56,Classes,SureThingLabel)</f>
        <v>0</v>
      </c>
      <c r="BH56" s="13">
        <f>COUNTIFS(Students,E56,Classes,"Other")</f>
        <v>0</v>
      </c>
      <c r="BI56" s="1">
        <f>COUNTIFS(Students,E56,Classes,ReachLabel,MoneyYesNo,1)</f>
        <v>0</v>
      </c>
      <c r="BJ56" s="1">
        <f>COUNTIFS(Students,E56,Classes,MatchLabel,MoneyYesNo,1)</f>
        <v>0</v>
      </c>
      <c r="BK56" s="1">
        <f>COUNTIFS(Students,E56,Classes,SafetyLabel,MoneyYesNo,1)</f>
        <v>0</v>
      </c>
      <c r="BL56" s="1">
        <f>COUNTIFS(Students,E56,Classes,SecureLabel,MoneyYesNo,1)</f>
        <v>0</v>
      </c>
      <c r="BM56" s="1">
        <f>COUNTIFS(Students,E56,Classes,SureThingLabel,MoneyYesNo,1)</f>
        <v>0</v>
      </c>
      <c r="BN56" s="1">
        <f>SUM(BI56:BM56)</f>
        <v>0</v>
      </c>
      <c r="BO56" s="1">
        <f>SUMIFS(RGRcount,Students,E56,MoneyYesNo,1,Odds,"&gt;=20")</f>
        <v>0</v>
      </c>
      <c r="BP56" s="1">
        <f>SUMIFS(MGRcount,Students,E56,MoneyYesNo,1,Odds,"&gt;=20")-BO56</f>
        <v>0</v>
      </c>
      <c r="BQ56" s="1">
        <f>SUMIFS(MGRcount,Students,E56,MoneyYesNo,1,Odds,"&gt;=50")</f>
        <v>0</v>
      </c>
      <c r="BR56" s="1">
        <f>SUMIFS(RGRcount,Students,E56,MoneyYesNo,1,Odds,"&gt;=10")</f>
        <v>0</v>
      </c>
      <c r="BS56" s="1">
        <f>SUMIFS(MGRcount,Students,E56,MoneyYesNo,1,Odds,"&gt;=10")-BR56</f>
        <v>0</v>
      </c>
      <c r="BT56" s="1">
        <f>COUNTIFS(Students,E56,ILPublic,1)</f>
        <v>0</v>
      </c>
      <c r="BU56" s="1">
        <f>COUNTIFS(Students,E56,ILPublic,1,MoneyYesNo,1,Classes,MatchLabel)+COUNTIFS(Students,E56,ILPublic,1,MoneyYesNo,1,Classes,SafetyLabel)+COUNTIFS(Students,E56,ILPublic,1,MoneyYesNo,1,Classes,SecureLabel)+COUNTIFS(Students,E56,ILPublic,1,MoneyYesNo,1,Classes,SureThingLabel)</f>
        <v>0</v>
      </c>
      <c r="BV56" s="1">
        <f>COUNTIFS(Students,E56,ILPublic,1, Classes,SecureLabel)</f>
        <v>0</v>
      </c>
      <c r="BW56" s="1">
        <f>COUNTIFS(Students,E56,MoneyChicago,1)</f>
        <v>0</v>
      </c>
      <c r="BX56" s="1">
        <f>COUNTIFS(Students,E56,MatchOrUnder,1)</f>
        <v>0</v>
      </c>
      <c r="BY56" s="1">
        <f>SUMIF(Students,E56,MGRcount)</f>
        <v>0</v>
      </c>
      <c r="BZ56" s="1">
        <f>COUNTIFS(Students,E56,BadMoney,1)</f>
        <v>0</v>
      </c>
      <c r="CA56" s="1">
        <f>COUNTIFS(Students,E56,GoldenThree,1)</f>
        <v>0</v>
      </c>
      <c r="CB56" s="1">
        <f>COUNTIFS(Students,E56,NCESids,147536)</f>
        <v>0</v>
      </c>
      <c r="CC56" s="1">
        <f>COUNTIFS(Students,E56,NCESids,144157)+COUNTIFS(Students,E56,NCESids,144166)+COUNTIFS(Students,E56,NCESids,144175)+COUNTIFS(Students,E56,NCESids,144184)+COUNTIFS(Students,E56,NCESids,144193)+COUNTIFS(Students,E56,NCESids,144209)+COUNTIFS(Students,E56,NCESids,144218)</f>
        <v>0</v>
      </c>
      <c r="CD56" s="1">
        <f>COUNTIFS(Students,E56,Results,"Accepted!",FarBelowTGRCount,0)+COUNTIFS(Students,E56,Results,"CHOICE!",FarBelowTGRCount,0)</f>
        <v>0</v>
      </c>
    </row>
    <row r="57" spans="1:82">
      <c r="A57" s="18" t="s">
        <v>96</v>
      </c>
      <c r="B57" s="19">
        <v>-1</v>
      </c>
      <c r="C57" s="18" t="s">
        <v>97</v>
      </c>
      <c r="D57" s="18" t="s">
        <v>284</v>
      </c>
      <c r="E57" s="19">
        <v>23395591</v>
      </c>
      <c r="F57" s="19" t="s">
        <v>285</v>
      </c>
      <c r="G57" s="10" t="s">
        <v>286</v>
      </c>
      <c r="H57" s="46">
        <v>2.0333</v>
      </c>
      <c r="I57" s="46">
        <v>2.2333</v>
      </c>
      <c r="J57" s="1">
        <v>15</v>
      </c>
      <c r="K57" s="1">
        <f>IF(ISNUMBER(I57),ROUND(583.58+106.27*I57,-1),"TBD")</f>
        <v>0</v>
      </c>
      <c r="L57" s="1">
        <v>1040</v>
      </c>
      <c r="M57" s="1">
        <f>IF(ISNUMBER(L57),L57,IF(ISNUMBER(K57),K57,"TBD"))</f>
        <v>0</v>
      </c>
      <c r="N57" s="1">
        <f>IF(ISNUMBER(J57),VLOOKUP(J57,ACTtoSAT,2,FALSE),"TBD")</f>
        <v>0</v>
      </c>
      <c r="O57" s="1">
        <f>IF(ISNUMBER(M57),IF(ISNUMBER(N57),MAX(M57,N57),M57),IF(ISNUMBER(N57),N57,"TBD"))</f>
        <v>0</v>
      </c>
      <c r="P57" s="1" t="s">
        <v>101</v>
      </c>
      <c r="Q57" s="1" t="s">
        <v>102</v>
      </c>
      <c r="R57" s="1" t="s">
        <v>103</v>
      </c>
      <c r="S57" s="1">
        <f>IF(AND(H57&lt;&gt;0,O57&lt;&gt;0),IF(ISNUMBER(VLOOKUP(TEXT(MAX(FLOOR(H57*10,1)/10,1.5),"0.0")&amp;":"&amp;MAX(O57,710),StrategyLookup,4,FALSE)),VLOOKUP(TEXT(MAX(FLOOR(H57*10,1)/10,1.5),"0.0")&amp;":"&amp;MAX(O57,710),StrategyLookup,4,FALSE),"TBD"),"TBD")</f>
        <v>0</v>
      </c>
      <c r="T57" s="11">
        <f>IF(ISNUMBER(S57),VLOOKUP(IF(OR(S57=5,S57=6),S57&amp;IF(H57&gt;=3,"+","&lt;"),S57&amp;""),TargetLookup,IF(B57=-1,6,IF(OR(P57="W",P57="A"),4,2)),FALSE),"TBD")</f>
        <v>0</v>
      </c>
      <c r="U57" s="11">
        <f>IF(ISNUMBER(S57),VLOOKUP(IF(OR(S57=5,S57=6),S57&amp;IF(H57&gt;=3,"+","&lt;"),S57&amp;""),TargetLookup,IF(B57=-1,7,IF(OR(P57="W",P57="A"),5,3)),FALSE),"TBD")</f>
        <v>0</v>
      </c>
      <c r="V57" s="18" t="s">
        <v>110</v>
      </c>
      <c r="W57" s="19" t="s">
        <v>146</v>
      </c>
      <c r="X57" s="19" t="s">
        <v>106</v>
      </c>
      <c r="Y57" s="19">
        <f>V57&amp;X57&amp;D57</f>
        <v>0</v>
      </c>
      <c r="Z57" s="11">
        <f t="array" ref="Z57">1-PRODUCT(IF(Students=E57,MGRMoneyMult,1))</f>
        <v>0</v>
      </c>
      <c r="AA57" s="12">
        <f t="array" ref="AA57">1-PRODUCT(IF(Students=E57,RGRMoneyMult,1))</f>
        <v>0</v>
      </c>
      <c r="AB57" s="13">
        <f>COUNTIFS(Students,E57,Results,"Accepted!")+COUNTIFS(Students,E57,Results,"CHOICE!")</f>
        <v>0</v>
      </c>
      <c r="AC57" s="1">
        <f>COUNTIFS(Students,E57,Results,"Deferred")+COUNTIFS(Students,E57,Results,"Waitlist")</f>
        <v>0</v>
      </c>
      <c r="AD57" s="13">
        <f>COUNTIFS(Students,E57,Results,"Denied")</f>
        <v>0</v>
      </c>
      <c r="AE57" s="13">
        <f>AB57+AC57+AD57+COUNTIFS(Students,E57,Results,"Submitted")</f>
        <v>0</v>
      </c>
      <c r="AF57" s="12">
        <v>0.4681885584988358</v>
      </c>
      <c r="AG57" s="12">
        <v>0.445444608892372</v>
      </c>
      <c r="AH57" s="12">
        <v>0.3664120955562987</v>
      </c>
      <c r="AI57" s="12">
        <v>0.3494120856281824</v>
      </c>
      <c r="AJ57" s="13">
        <f>COUNTIFS(Students,E57,Results,"CHOICE!")</f>
        <v>0</v>
      </c>
      <c r="AK57" s="1">
        <f>COUNTIFS(MoneyYesNo,1,RGRcount,1,Students,E57,Results,"Accepted!")</f>
        <v>0</v>
      </c>
      <c r="AL57" s="1">
        <f>COUNTIFS(MoneyYesNo,1,MGRcount,1,Students,E57,Results,"Accepted!")-AK57</f>
        <v>0</v>
      </c>
      <c r="AM57" s="1">
        <f>COUNTIFS(MoneyYesNo,1,Students,E57,Results,"Accepted!")-AK57-AL57</f>
        <v>0</v>
      </c>
      <c r="AN57" s="13">
        <f>COUNTIFS(Students,E57,Results,"Accepted!")-AK57-AL57-AM57</f>
        <v>0</v>
      </c>
      <c r="AO57" s="1">
        <f>SUMIFS(RGRcount,Students,E57,MoneyYesNo,1)</f>
        <v>0</v>
      </c>
      <c r="AP57" s="1">
        <f>SUMIFS(MGRcount,Students,E57,MoneyYesNo,1)-AO57</f>
        <v>0</v>
      </c>
      <c r="AQ57" s="1">
        <f>SUMIF(Students,E57,MoneyYesNo)-AO57-AP57</f>
        <v>0</v>
      </c>
      <c r="AR57" s="13">
        <f>SUM(AO57,AP57,AQ57)</f>
        <v>0</v>
      </c>
      <c r="AS57" s="1">
        <f>SUMIF(Students,E57,RGRcount)</f>
        <v>0</v>
      </c>
      <c r="AT57" s="1">
        <f>SUMIF(Students,E57,MGRcount)-AS57</f>
        <v>0</v>
      </c>
      <c r="AU57" s="1">
        <f>COUNTIF(Students,E57)-AS57-AT57</f>
        <v>0</v>
      </c>
      <c r="AV57" s="1">
        <f>SUMIF(Students,E57,FarBelowTGRCount)</f>
        <v>0</v>
      </c>
      <c r="AW57" s="47">
        <f>COUNTIF(Students,E57)</f>
        <v>0</v>
      </c>
      <c r="AX57" s="11">
        <f>IF(AW57&gt;0,AE57/AW57,0)</f>
        <v>0</v>
      </c>
      <c r="AY57" s="11">
        <f t="array" ref="AY57">1-PRODUCT(IF(Students=E57,MGRMult,1))</f>
        <v>0</v>
      </c>
      <c r="AZ57" s="12">
        <f t="array" ref="AZ57">1-PRODUCT(IF(Students=E57,RGRMult,1))</f>
        <v>0</v>
      </c>
      <c r="BA57" s="1">
        <f>COUNTIFS(Students,E57,Classes,HailMaryLabel)</f>
        <v>0</v>
      </c>
      <c r="BB57" s="1">
        <f>COUNTIFS(Students,E57,Classes,LongshotLabel)</f>
        <v>0</v>
      </c>
      <c r="BC57" s="1">
        <f>COUNTIFS(Students,E57,Classes,ReachLabel)</f>
        <v>0</v>
      </c>
      <c r="BD57" s="1">
        <f>COUNTIFS(Students,E57,Classes,MatchLabel)</f>
        <v>0</v>
      </c>
      <c r="BE57" s="1">
        <f>COUNTIFS(Students,E57,Classes,SafetyLabel)</f>
        <v>0</v>
      </c>
      <c r="BF57" s="1">
        <f>COUNTIFS(Students,E57,Classes,SecureLabel)</f>
        <v>0</v>
      </c>
      <c r="BG57" s="1">
        <f>COUNTIFS(Students,E57,Classes,SureThingLabel)</f>
        <v>0</v>
      </c>
      <c r="BH57" s="13">
        <f>COUNTIFS(Students,E57,Classes,"Other")</f>
        <v>0</v>
      </c>
      <c r="BI57" s="1">
        <f>COUNTIFS(Students,E57,Classes,ReachLabel,MoneyYesNo,1)</f>
        <v>0</v>
      </c>
      <c r="BJ57" s="1">
        <f>COUNTIFS(Students,E57,Classes,MatchLabel,MoneyYesNo,1)</f>
        <v>0</v>
      </c>
      <c r="BK57" s="1">
        <f>COUNTIFS(Students,E57,Classes,SafetyLabel,MoneyYesNo,1)</f>
        <v>0</v>
      </c>
      <c r="BL57" s="1">
        <f>COUNTIFS(Students,E57,Classes,SecureLabel,MoneyYesNo,1)</f>
        <v>0</v>
      </c>
      <c r="BM57" s="1">
        <f>COUNTIFS(Students,E57,Classes,SureThingLabel,MoneyYesNo,1)</f>
        <v>0</v>
      </c>
      <c r="BN57" s="1">
        <f>SUM(BI57:BM57)</f>
        <v>0</v>
      </c>
      <c r="BO57" s="1">
        <f>SUMIFS(RGRcount,Students,E57,MoneyYesNo,1,Odds,"&gt;=20")</f>
        <v>0</v>
      </c>
      <c r="BP57" s="1">
        <f>SUMIFS(MGRcount,Students,E57,MoneyYesNo,1,Odds,"&gt;=20")-BO57</f>
        <v>0</v>
      </c>
      <c r="BQ57" s="1">
        <f>SUMIFS(MGRcount,Students,E57,MoneyYesNo,1,Odds,"&gt;=50")</f>
        <v>0</v>
      </c>
      <c r="BR57" s="1">
        <f>SUMIFS(RGRcount,Students,E57,MoneyYesNo,1,Odds,"&gt;=10")</f>
        <v>0</v>
      </c>
      <c r="BS57" s="1">
        <f>SUMIFS(MGRcount,Students,E57,MoneyYesNo,1,Odds,"&gt;=10")-BR57</f>
        <v>0</v>
      </c>
      <c r="BT57" s="1">
        <f>COUNTIFS(Students,E57,ILPublic,1)</f>
        <v>0</v>
      </c>
      <c r="BU57" s="1">
        <f>COUNTIFS(Students,E57,ILPublic,1,MoneyYesNo,1,Classes,MatchLabel)+COUNTIFS(Students,E57,ILPublic,1,MoneyYesNo,1,Classes,SafetyLabel)+COUNTIFS(Students,E57,ILPublic,1,MoneyYesNo,1,Classes,SecureLabel)+COUNTIFS(Students,E57,ILPublic,1,MoneyYesNo,1,Classes,SureThingLabel)</f>
        <v>0</v>
      </c>
      <c r="BV57" s="1">
        <f>COUNTIFS(Students,E57,ILPublic,1, Classes,SecureLabel)</f>
        <v>0</v>
      </c>
      <c r="BW57" s="1">
        <f>COUNTIFS(Students,E57,MoneyChicago,1)</f>
        <v>0</v>
      </c>
      <c r="BX57" s="1">
        <f>COUNTIFS(Students,E57,MatchOrUnder,1)</f>
        <v>0</v>
      </c>
      <c r="BY57" s="1">
        <f>SUMIF(Students,E57,MGRcount)</f>
        <v>0</v>
      </c>
      <c r="BZ57" s="1">
        <f>COUNTIFS(Students,E57,BadMoney,1)</f>
        <v>0</v>
      </c>
      <c r="CA57" s="1">
        <f>COUNTIFS(Students,E57,GoldenThree,1)</f>
        <v>0</v>
      </c>
      <c r="CB57" s="1">
        <f>COUNTIFS(Students,E57,NCESids,147536)</f>
        <v>0</v>
      </c>
      <c r="CC57" s="1">
        <f>COUNTIFS(Students,E57,NCESids,144157)+COUNTIFS(Students,E57,NCESids,144166)+COUNTIFS(Students,E57,NCESids,144175)+COUNTIFS(Students,E57,NCESids,144184)+COUNTIFS(Students,E57,NCESids,144193)+COUNTIFS(Students,E57,NCESids,144209)+COUNTIFS(Students,E57,NCESids,144218)</f>
        <v>0</v>
      </c>
      <c r="CD57" s="1">
        <f>COUNTIFS(Students,E57,Results,"Accepted!",FarBelowTGRCount,0)+COUNTIFS(Students,E57,Results,"CHOICE!",FarBelowTGRCount,0)</f>
        <v>0</v>
      </c>
    </row>
    <row r="58" spans="1:82">
      <c r="A58" s="18" t="s">
        <v>96</v>
      </c>
      <c r="B58" s="19">
        <v>0</v>
      </c>
      <c r="C58" s="18" t="s">
        <v>97</v>
      </c>
      <c r="D58" s="18" t="s">
        <v>287</v>
      </c>
      <c r="E58" s="19">
        <v>30316543</v>
      </c>
      <c r="F58" s="19" t="s">
        <v>288</v>
      </c>
      <c r="G58" s="10" t="s">
        <v>289</v>
      </c>
      <c r="H58" s="46">
        <v>3.272</v>
      </c>
      <c r="I58" s="46">
        <v>3.472</v>
      </c>
      <c r="J58" s="1">
        <v>22</v>
      </c>
      <c r="K58" s="1">
        <f>IF(ISNUMBER(I58),ROUND(583.58+106.27*I58,-1),"TBD")</f>
        <v>0</v>
      </c>
      <c r="L58" s="1">
        <v>1000</v>
      </c>
      <c r="M58" s="1">
        <f>IF(ISNUMBER(L58),L58,IF(ISNUMBER(K58),K58,"TBD"))</f>
        <v>0</v>
      </c>
      <c r="N58" s="1">
        <f>IF(ISNUMBER(J58),VLOOKUP(J58,ACTtoSAT,2,FALSE),"TBD")</f>
        <v>0</v>
      </c>
      <c r="O58" s="1">
        <f>IF(ISNUMBER(M58),IF(ISNUMBER(N58),MAX(M58,N58),M58),IF(ISNUMBER(N58),N58,"TBD"))</f>
        <v>0</v>
      </c>
      <c r="P58" s="1" t="s">
        <v>101</v>
      </c>
      <c r="Q58" s="1" t="s">
        <v>102</v>
      </c>
      <c r="R58" s="1" t="s">
        <v>103</v>
      </c>
      <c r="S58" s="1">
        <f>IF(AND(H58&lt;&gt;0,O58&lt;&gt;0),IF(ISNUMBER(VLOOKUP(TEXT(MAX(FLOOR(H58*10,1)/10,1.5),"0.0")&amp;":"&amp;MAX(O58,710),StrategyLookup,4,FALSE)),VLOOKUP(TEXT(MAX(FLOOR(H58*10,1)/10,1.5),"0.0")&amp;":"&amp;MAX(O58,710),StrategyLookup,4,FALSE),"TBD"),"TBD")</f>
        <v>0</v>
      </c>
      <c r="T58" s="11">
        <f>IF(ISNUMBER(S58),VLOOKUP(IF(OR(S58=5,S58=6),S58&amp;IF(H58&gt;=3,"+","&lt;"),S58&amp;""),TargetLookup,IF(B58=-1,6,IF(OR(P58="W",P58="A"),4,2)),FALSE),"TBD")</f>
        <v>0</v>
      </c>
      <c r="U58" s="11">
        <f>IF(ISNUMBER(S58),VLOOKUP(IF(OR(S58=5,S58=6),S58&amp;IF(H58&gt;=3,"+","&lt;"),S58&amp;""),TargetLookup,IF(B58=-1,7,IF(OR(P58="W",P58="A"),5,3)),FALSE),"TBD")</f>
        <v>0</v>
      </c>
      <c r="V58" s="18" t="s">
        <v>135</v>
      </c>
      <c r="W58" s="19" t="s">
        <v>131</v>
      </c>
      <c r="X58" s="19" t="s">
        <v>106</v>
      </c>
      <c r="Y58" s="19">
        <f>V58&amp;X58&amp;D58</f>
        <v>0</v>
      </c>
      <c r="Z58" s="11">
        <f t="array" ref="Z58">1-PRODUCT(IF(Students=E58,MGRMoneyMult,1))</f>
        <v>0</v>
      </c>
      <c r="AA58" s="12">
        <f t="array" ref="AA58">1-PRODUCT(IF(Students=E58,RGRMoneyMult,1))</f>
        <v>0</v>
      </c>
      <c r="AB58" s="13">
        <f>COUNTIFS(Students,E58,Results,"Accepted!")+COUNTIFS(Students,E58,Results,"CHOICE!")</f>
        <v>0</v>
      </c>
      <c r="AC58" s="1">
        <f>COUNTIFS(Students,E58,Results,"Deferred")+COUNTIFS(Students,E58,Results,"Waitlist")</f>
        <v>0</v>
      </c>
      <c r="AD58" s="13">
        <f>COUNTIFS(Students,E58,Results,"Denied")</f>
        <v>0</v>
      </c>
      <c r="AE58" s="13">
        <f>AB58+AC58+AD58+COUNTIFS(Students,E58,Results,"Submitted")</f>
        <v>0</v>
      </c>
      <c r="AF58" s="12">
        <v>0.7831910870787941</v>
      </c>
      <c r="AG58" s="12">
        <v>0.7642143637657337</v>
      </c>
      <c r="AH58" s="12">
        <v>0.6796693268668964</v>
      </c>
      <c r="AI58" s="12">
        <v>0.658744767619424</v>
      </c>
      <c r="AJ58" s="13">
        <f>COUNTIFS(Students,E58,Results,"CHOICE!")</f>
        <v>0</v>
      </c>
      <c r="AK58" s="1">
        <f>COUNTIFS(MoneyYesNo,1,RGRcount,1,Students,E58,Results,"Accepted!")</f>
        <v>0</v>
      </c>
      <c r="AL58" s="1">
        <f>COUNTIFS(MoneyYesNo,1,MGRcount,1,Students,E58,Results,"Accepted!")-AK58</f>
        <v>0</v>
      </c>
      <c r="AM58" s="1">
        <f>COUNTIFS(MoneyYesNo,1,Students,E58,Results,"Accepted!")-AK58-AL58</f>
        <v>0</v>
      </c>
      <c r="AN58" s="13">
        <f>COUNTIFS(Students,E58,Results,"Accepted!")-AK58-AL58-AM58</f>
        <v>0</v>
      </c>
      <c r="AO58" s="1">
        <f>SUMIFS(RGRcount,Students,E58,MoneyYesNo,1)</f>
        <v>0</v>
      </c>
      <c r="AP58" s="1">
        <f>SUMIFS(MGRcount,Students,E58,MoneyYesNo,1)-AO58</f>
        <v>0</v>
      </c>
      <c r="AQ58" s="1">
        <f>SUMIF(Students,E58,MoneyYesNo)-AO58-AP58</f>
        <v>0</v>
      </c>
      <c r="AR58" s="13">
        <f>SUM(AO58,AP58,AQ58)</f>
        <v>0</v>
      </c>
      <c r="AS58" s="1">
        <f>SUMIF(Students,E58,RGRcount)</f>
        <v>0</v>
      </c>
      <c r="AT58" s="1">
        <f>SUMIF(Students,E58,MGRcount)-AS58</f>
        <v>0</v>
      </c>
      <c r="AU58" s="1">
        <f>COUNTIF(Students,E58)-AS58-AT58</f>
        <v>0</v>
      </c>
      <c r="AV58" s="1">
        <f>SUMIF(Students,E58,FarBelowTGRCount)</f>
        <v>0</v>
      </c>
      <c r="AW58" s="47">
        <f>COUNTIF(Students,E58)</f>
        <v>0</v>
      </c>
      <c r="AX58" s="11">
        <f>IF(AW58&gt;0,AE58/AW58,0)</f>
        <v>0</v>
      </c>
      <c r="AY58" s="11">
        <f t="array" ref="AY58">1-PRODUCT(IF(Students=E58,MGRMult,1))</f>
        <v>0</v>
      </c>
      <c r="AZ58" s="12">
        <f t="array" ref="AZ58">1-PRODUCT(IF(Students=E58,RGRMult,1))</f>
        <v>0</v>
      </c>
      <c r="BA58" s="1">
        <f>COUNTIFS(Students,E58,Classes,HailMaryLabel)</f>
        <v>0</v>
      </c>
      <c r="BB58" s="1">
        <f>COUNTIFS(Students,E58,Classes,LongshotLabel)</f>
        <v>0</v>
      </c>
      <c r="BC58" s="1">
        <f>COUNTIFS(Students,E58,Classes,ReachLabel)</f>
        <v>0</v>
      </c>
      <c r="BD58" s="1">
        <f>COUNTIFS(Students,E58,Classes,MatchLabel)</f>
        <v>0</v>
      </c>
      <c r="BE58" s="1">
        <f>COUNTIFS(Students,E58,Classes,SafetyLabel)</f>
        <v>0</v>
      </c>
      <c r="BF58" s="1">
        <f>COUNTIFS(Students,E58,Classes,SecureLabel)</f>
        <v>0</v>
      </c>
      <c r="BG58" s="1">
        <f>COUNTIFS(Students,E58,Classes,SureThingLabel)</f>
        <v>0</v>
      </c>
      <c r="BH58" s="13">
        <f>COUNTIFS(Students,E58,Classes,"Other")</f>
        <v>0</v>
      </c>
      <c r="BI58" s="1">
        <f>COUNTIFS(Students,E58,Classes,ReachLabel,MoneyYesNo,1)</f>
        <v>0</v>
      </c>
      <c r="BJ58" s="1">
        <f>COUNTIFS(Students,E58,Classes,MatchLabel,MoneyYesNo,1)</f>
        <v>0</v>
      </c>
      <c r="BK58" s="1">
        <f>COUNTIFS(Students,E58,Classes,SafetyLabel,MoneyYesNo,1)</f>
        <v>0</v>
      </c>
      <c r="BL58" s="1">
        <f>COUNTIFS(Students,E58,Classes,SecureLabel,MoneyYesNo,1)</f>
        <v>0</v>
      </c>
      <c r="BM58" s="1">
        <f>COUNTIFS(Students,E58,Classes,SureThingLabel,MoneyYesNo,1)</f>
        <v>0</v>
      </c>
      <c r="BN58" s="1">
        <f>SUM(BI58:BM58)</f>
        <v>0</v>
      </c>
      <c r="BO58" s="1">
        <f>SUMIFS(RGRcount,Students,E58,MoneyYesNo,1,Odds,"&gt;=20")</f>
        <v>0</v>
      </c>
      <c r="BP58" s="1">
        <f>SUMIFS(MGRcount,Students,E58,MoneyYesNo,1,Odds,"&gt;=20")-BO58</f>
        <v>0</v>
      </c>
      <c r="BQ58" s="1">
        <f>SUMIFS(MGRcount,Students,E58,MoneyYesNo,1,Odds,"&gt;=50")</f>
        <v>0</v>
      </c>
      <c r="BR58" s="1">
        <f>SUMIFS(RGRcount,Students,E58,MoneyYesNo,1,Odds,"&gt;=10")</f>
        <v>0</v>
      </c>
      <c r="BS58" s="1">
        <f>SUMIFS(MGRcount,Students,E58,MoneyYesNo,1,Odds,"&gt;=10")-BR58</f>
        <v>0</v>
      </c>
      <c r="BT58" s="1">
        <f>COUNTIFS(Students,E58,ILPublic,1)</f>
        <v>0</v>
      </c>
      <c r="BU58" s="1">
        <f>COUNTIFS(Students,E58,ILPublic,1,MoneyYesNo,1,Classes,MatchLabel)+COUNTIFS(Students,E58,ILPublic,1,MoneyYesNo,1,Classes,SafetyLabel)+COUNTIFS(Students,E58,ILPublic,1,MoneyYesNo,1,Classes,SecureLabel)+COUNTIFS(Students,E58,ILPublic,1,MoneyYesNo,1,Classes,SureThingLabel)</f>
        <v>0</v>
      </c>
      <c r="BV58" s="1">
        <f>COUNTIFS(Students,E58,ILPublic,1, Classes,SecureLabel)</f>
        <v>0</v>
      </c>
      <c r="BW58" s="1">
        <f>COUNTIFS(Students,E58,MoneyChicago,1)</f>
        <v>0</v>
      </c>
      <c r="BX58" s="1">
        <f>COUNTIFS(Students,E58,MatchOrUnder,1)</f>
        <v>0</v>
      </c>
      <c r="BY58" s="1">
        <f>SUMIF(Students,E58,MGRcount)</f>
        <v>0</v>
      </c>
      <c r="BZ58" s="1">
        <f>COUNTIFS(Students,E58,BadMoney,1)</f>
        <v>0</v>
      </c>
      <c r="CA58" s="1">
        <f>COUNTIFS(Students,E58,GoldenThree,1)</f>
        <v>0</v>
      </c>
      <c r="CB58" s="1">
        <f>COUNTIFS(Students,E58,NCESids,147536)</f>
        <v>0</v>
      </c>
      <c r="CC58" s="1">
        <f>COUNTIFS(Students,E58,NCESids,144157)+COUNTIFS(Students,E58,NCESids,144166)+COUNTIFS(Students,E58,NCESids,144175)+COUNTIFS(Students,E58,NCESids,144184)+COUNTIFS(Students,E58,NCESids,144193)+COUNTIFS(Students,E58,NCESids,144209)+COUNTIFS(Students,E58,NCESids,144218)</f>
        <v>0</v>
      </c>
      <c r="CD58" s="1">
        <f>COUNTIFS(Students,E58,Results,"Accepted!",FarBelowTGRCount,0)+COUNTIFS(Students,E58,Results,"CHOICE!",FarBelowTGRCount,0)</f>
        <v>0</v>
      </c>
    </row>
    <row r="59" spans="1:82">
      <c r="A59" s="18" t="s">
        <v>96</v>
      </c>
      <c r="B59" s="19">
        <v>0</v>
      </c>
      <c r="C59" s="18" t="s">
        <v>97</v>
      </c>
      <c r="D59" s="18" t="s">
        <v>290</v>
      </c>
      <c r="E59" s="19">
        <v>23460954</v>
      </c>
      <c r="F59" s="19" t="s">
        <v>291</v>
      </c>
      <c r="G59" s="10" t="s">
        <v>292</v>
      </c>
      <c r="H59" s="46">
        <v>3.3135</v>
      </c>
      <c r="I59" s="46">
        <v>3.5135</v>
      </c>
      <c r="J59" s="1">
        <v>24</v>
      </c>
      <c r="K59" s="1">
        <f>IF(ISNUMBER(I59),ROUND(583.58+106.27*I59,-1),"TBD")</f>
        <v>0</v>
      </c>
      <c r="L59" s="1">
        <v>1410</v>
      </c>
      <c r="M59" s="1">
        <f>IF(ISNUMBER(L59),L59,IF(ISNUMBER(K59),K59,"TBD"))</f>
        <v>0</v>
      </c>
      <c r="N59" s="1">
        <f>IF(ISNUMBER(J59),VLOOKUP(J59,ACTtoSAT,2,FALSE),"TBD")</f>
        <v>0</v>
      </c>
      <c r="O59" s="1">
        <f>IF(ISNUMBER(M59),IF(ISNUMBER(N59),MAX(M59,N59),M59),IF(ISNUMBER(N59),N59,"TBD"))</f>
        <v>0</v>
      </c>
      <c r="P59" s="1" t="s">
        <v>129</v>
      </c>
      <c r="Q59" s="1" t="s">
        <v>123</v>
      </c>
      <c r="R59" s="1" t="s">
        <v>130</v>
      </c>
      <c r="S59" s="1">
        <f>IF(AND(H59&lt;&gt;0,O59&lt;&gt;0),IF(ISNUMBER(VLOOKUP(TEXT(MAX(FLOOR(H59*10,1)/10,1.5),"0.0")&amp;":"&amp;MAX(O59,710),StrategyLookup,4,FALSE)),VLOOKUP(TEXT(MAX(FLOOR(H59*10,1)/10,1.5),"0.0")&amp;":"&amp;MAX(O59,710),StrategyLookup,4,FALSE),"TBD"),"TBD")</f>
        <v>0</v>
      </c>
      <c r="T59" s="11">
        <f>IF(ISNUMBER(S59),VLOOKUP(IF(OR(S59=5,S59=6),S59&amp;IF(H59&gt;=3,"+","&lt;"),S59&amp;""),TargetLookup,IF(B59=-1,6,IF(OR(P59="W",P59="A"),4,2)),FALSE),"TBD")</f>
        <v>0</v>
      </c>
      <c r="U59" s="11">
        <f>IF(ISNUMBER(S59),VLOOKUP(IF(OR(S59=5,S59=6),S59&amp;IF(H59&gt;=3,"+","&lt;"),S59&amp;""),TargetLookup,IF(B59=-1,7,IF(OR(P59="W",P59="A"),5,3)),FALSE),"TBD")</f>
        <v>0</v>
      </c>
      <c r="V59" s="18" t="s">
        <v>115</v>
      </c>
      <c r="W59" s="19" t="s">
        <v>136</v>
      </c>
      <c r="X59" s="19" t="s">
        <v>106</v>
      </c>
      <c r="Y59" s="19">
        <f>V59&amp;X59&amp;D59</f>
        <v>0</v>
      </c>
      <c r="Z59" s="11">
        <f t="array" ref="Z59">1-PRODUCT(IF(Students=E59,MGRMoneyMult,1))</f>
        <v>0</v>
      </c>
      <c r="AA59" s="12">
        <f t="array" ref="AA59">1-PRODUCT(IF(Students=E59,RGRMoneyMult,1))</f>
        <v>0</v>
      </c>
      <c r="AB59" s="13">
        <f>COUNTIFS(Students,E59,Results,"Accepted!")+COUNTIFS(Students,E59,Results,"CHOICE!")</f>
        <v>0</v>
      </c>
      <c r="AC59" s="1">
        <f>COUNTIFS(Students,E59,Results,"Deferred")+COUNTIFS(Students,E59,Results,"Waitlist")</f>
        <v>0</v>
      </c>
      <c r="AD59" s="13">
        <f>COUNTIFS(Students,E59,Results,"Denied")</f>
        <v>0</v>
      </c>
      <c r="AE59" s="13">
        <f>AB59+AC59+AD59+COUNTIFS(Students,E59,Results,"Submitted")</f>
        <v>0</v>
      </c>
      <c r="AF59" s="12">
        <v>0.8871455555974433</v>
      </c>
      <c r="AG59" s="12">
        <v>0.8751175995695684</v>
      </c>
      <c r="AH59" s="12">
        <v>0.7926744552733569</v>
      </c>
      <c r="AI59" s="12">
        <v>0.7737646753396602</v>
      </c>
      <c r="AJ59" s="13">
        <f>COUNTIFS(Students,E59,Results,"CHOICE!")</f>
        <v>0</v>
      </c>
      <c r="AK59" s="1">
        <f>COUNTIFS(MoneyYesNo,1,RGRcount,1,Students,E59,Results,"Accepted!")</f>
        <v>0</v>
      </c>
      <c r="AL59" s="1">
        <f>COUNTIFS(MoneyYesNo,1,MGRcount,1,Students,E59,Results,"Accepted!")-AK59</f>
        <v>0</v>
      </c>
      <c r="AM59" s="1">
        <f>COUNTIFS(MoneyYesNo,1,Students,E59,Results,"Accepted!")-AK59-AL59</f>
        <v>0</v>
      </c>
      <c r="AN59" s="13">
        <f>COUNTIFS(Students,E59,Results,"Accepted!")-AK59-AL59-AM59</f>
        <v>0</v>
      </c>
      <c r="AO59" s="1">
        <f>SUMIFS(RGRcount,Students,E59,MoneyYesNo,1)</f>
        <v>0</v>
      </c>
      <c r="AP59" s="1">
        <f>SUMIFS(MGRcount,Students,E59,MoneyYesNo,1)-AO59</f>
        <v>0</v>
      </c>
      <c r="AQ59" s="1">
        <f>SUMIF(Students,E59,MoneyYesNo)-AO59-AP59</f>
        <v>0</v>
      </c>
      <c r="AR59" s="13">
        <f>SUM(AO59,AP59,AQ59)</f>
        <v>0</v>
      </c>
      <c r="AS59" s="1">
        <f>SUMIF(Students,E59,RGRcount)</f>
        <v>0</v>
      </c>
      <c r="AT59" s="1">
        <f>SUMIF(Students,E59,MGRcount)-AS59</f>
        <v>0</v>
      </c>
      <c r="AU59" s="1">
        <f>COUNTIF(Students,E59)-AS59-AT59</f>
        <v>0</v>
      </c>
      <c r="AV59" s="1">
        <f>SUMIF(Students,E59,FarBelowTGRCount)</f>
        <v>0</v>
      </c>
      <c r="AW59" s="47">
        <f>COUNTIF(Students,E59)</f>
        <v>0</v>
      </c>
      <c r="AX59" s="11">
        <f>IF(AW59&gt;0,AE59/AW59,0)</f>
        <v>0</v>
      </c>
      <c r="AY59" s="11">
        <f t="array" ref="AY59">1-PRODUCT(IF(Students=E59,MGRMult,1))</f>
        <v>0</v>
      </c>
      <c r="AZ59" s="12">
        <f t="array" ref="AZ59">1-PRODUCT(IF(Students=E59,RGRMult,1))</f>
        <v>0</v>
      </c>
      <c r="BA59" s="1">
        <f>COUNTIFS(Students,E59,Classes,HailMaryLabel)</f>
        <v>0</v>
      </c>
      <c r="BB59" s="1">
        <f>COUNTIFS(Students,E59,Classes,LongshotLabel)</f>
        <v>0</v>
      </c>
      <c r="BC59" s="1">
        <f>COUNTIFS(Students,E59,Classes,ReachLabel)</f>
        <v>0</v>
      </c>
      <c r="BD59" s="1">
        <f>COUNTIFS(Students,E59,Classes,MatchLabel)</f>
        <v>0</v>
      </c>
      <c r="BE59" s="1">
        <f>COUNTIFS(Students,E59,Classes,SafetyLabel)</f>
        <v>0</v>
      </c>
      <c r="BF59" s="1">
        <f>COUNTIFS(Students,E59,Classes,SecureLabel)</f>
        <v>0</v>
      </c>
      <c r="BG59" s="1">
        <f>COUNTIFS(Students,E59,Classes,SureThingLabel)</f>
        <v>0</v>
      </c>
      <c r="BH59" s="13">
        <f>COUNTIFS(Students,E59,Classes,"Other")</f>
        <v>0</v>
      </c>
      <c r="BI59" s="1">
        <f>COUNTIFS(Students,E59,Classes,ReachLabel,MoneyYesNo,1)</f>
        <v>0</v>
      </c>
      <c r="BJ59" s="1">
        <f>COUNTIFS(Students,E59,Classes,MatchLabel,MoneyYesNo,1)</f>
        <v>0</v>
      </c>
      <c r="BK59" s="1">
        <f>COUNTIFS(Students,E59,Classes,SafetyLabel,MoneyYesNo,1)</f>
        <v>0</v>
      </c>
      <c r="BL59" s="1">
        <f>COUNTIFS(Students,E59,Classes,SecureLabel,MoneyYesNo,1)</f>
        <v>0</v>
      </c>
      <c r="BM59" s="1">
        <f>COUNTIFS(Students,E59,Classes,SureThingLabel,MoneyYesNo,1)</f>
        <v>0</v>
      </c>
      <c r="BN59" s="1">
        <f>SUM(BI59:BM59)</f>
        <v>0</v>
      </c>
      <c r="BO59" s="1">
        <f>SUMIFS(RGRcount,Students,E59,MoneyYesNo,1,Odds,"&gt;=20")</f>
        <v>0</v>
      </c>
      <c r="BP59" s="1">
        <f>SUMIFS(MGRcount,Students,E59,MoneyYesNo,1,Odds,"&gt;=20")-BO59</f>
        <v>0</v>
      </c>
      <c r="BQ59" s="1">
        <f>SUMIFS(MGRcount,Students,E59,MoneyYesNo,1,Odds,"&gt;=50")</f>
        <v>0</v>
      </c>
      <c r="BR59" s="1">
        <f>SUMIFS(RGRcount,Students,E59,MoneyYesNo,1,Odds,"&gt;=10")</f>
        <v>0</v>
      </c>
      <c r="BS59" s="1">
        <f>SUMIFS(MGRcount,Students,E59,MoneyYesNo,1,Odds,"&gt;=10")-BR59</f>
        <v>0</v>
      </c>
      <c r="BT59" s="1">
        <f>COUNTIFS(Students,E59,ILPublic,1)</f>
        <v>0</v>
      </c>
      <c r="BU59" s="1">
        <f>COUNTIFS(Students,E59,ILPublic,1,MoneyYesNo,1,Classes,MatchLabel)+COUNTIFS(Students,E59,ILPublic,1,MoneyYesNo,1,Classes,SafetyLabel)+COUNTIFS(Students,E59,ILPublic,1,MoneyYesNo,1,Classes,SecureLabel)+COUNTIFS(Students,E59,ILPublic,1,MoneyYesNo,1,Classes,SureThingLabel)</f>
        <v>0</v>
      </c>
      <c r="BV59" s="1">
        <f>COUNTIFS(Students,E59,ILPublic,1, Classes,SecureLabel)</f>
        <v>0</v>
      </c>
      <c r="BW59" s="1">
        <f>COUNTIFS(Students,E59,MoneyChicago,1)</f>
        <v>0</v>
      </c>
      <c r="BX59" s="1">
        <f>COUNTIFS(Students,E59,MatchOrUnder,1)</f>
        <v>0</v>
      </c>
      <c r="BY59" s="1">
        <f>SUMIF(Students,E59,MGRcount)</f>
        <v>0</v>
      </c>
      <c r="BZ59" s="1">
        <f>COUNTIFS(Students,E59,BadMoney,1)</f>
        <v>0</v>
      </c>
      <c r="CA59" s="1">
        <f>COUNTIFS(Students,E59,GoldenThree,1)</f>
        <v>0</v>
      </c>
      <c r="CB59" s="1">
        <f>COUNTIFS(Students,E59,NCESids,147536)</f>
        <v>0</v>
      </c>
      <c r="CC59" s="1">
        <f>COUNTIFS(Students,E59,NCESids,144157)+COUNTIFS(Students,E59,NCESids,144166)+COUNTIFS(Students,E59,NCESids,144175)+COUNTIFS(Students,E59,NCESids,144184)+COUNTIFS(Students,E59,NCESids,144193)+COUNTIFS(Students,E59,NCESids,144209)+COUNTIFS(Students,E59,NCESids,144218)</f>
        <v>0</v>
      </c>
      <c r="CD59" s="1">
        <f>COUNTIFS(Students,E59,Results,"Accepted!",FarBelowTGRCount,0)+COUNTIFS(Students,E59,Results,"CHOICE!",FarBelowTGRCount,0)</f>
        <v>0</v>
      </c>
    </row>
    <row r="60" spans="1:82">
      <c r="A60" s="18" t="s">
        <v>96</v>
      </c>
      <c r="B60" s="19">
        <v>0</v>
      </c>
      <c r="C60" s="18" t="s">
        <v>153</v>
      </c>
      <c r="D60" s="18" t="s">
        <v>293</v>
      </c>
      <c r="E60" s="19">
        <v>22973915</v>
      </c>
      <c r="F60" s="19" t="s">
        <v>294</v>
      </c>
      <c r="G60" s="10" t="s">
        <v>295</v>
      </c>
      <c r="H60" s="46">
        <v>2.9462</v>
      </c>
      <c r="I60" s="46">
        <v>3.1462</v>
      </c>
      <c r="J60" s="1">
        <v>15</v>
      </c>
      <c r="K60" s="1">
        <f>IF(ISNUMBER(I60),ROUND(583.58+106.27*I60,-1),"TBD")</f>
        <v>0</v>
      </c>
      <c r="L60" s="1">
        <v>1100</v>
      </c>
      <c r="M60" s="1">
        <f>IF(ISNUMBER(L60),L60,IF(ISNUMBER(K60),K60,"TBD"))</f>
        <v>0</v>
      </c>
      <c r="N60" s="1">
        <f>IF(ISNUMBER(J60),VLOOKUP(J60,ACTtoSAT,2,FALSE),"TBD")</f>
        <v>0</v>
      </c>
      <c r="O60" s="1">
        <f>IF(ISNUMBER(M60),IF(ISNUMBER(N60),MAX(M60,N60),M60),IF(ISNUMBER(N60),N60,"TBD"))</f>
        <v>0</v>
      </c>
      <c r="P60" s="1" t="s">
        <v>101</v>
      </c>
      <c r="Q60" s="1" t="s">
        <v>123</v>
      </c>
      <c r="R60" s="1" t="s">
        <v>124</v>
      </c>
      <c r="S60" s="1">
        <f>IF(AND(H60&lt;&gt;0,O60&lt;&gt;0),IF(ISNUMBER(VLOOKUP(TEXT(MAX(FLOOR(H60*10,1)/10,1.5),"0.0")&amp;":"&amp;MAX(O60,710),StrategyLookup,4,FALSE)),VLOOKUP(TEXT(MAX(FLOOR(H60*10,1)/10,1.5),"0.0")&amp;":"&amp;MAX(O60,710),StrategyLookup,4,FALSE),"TBD"),"TBD")</f>
        <v>0</v>
      </c>
      <c r="T60" s="11">
        <f>IF(ISNUMBER(S60),VLOOKUP(IF(OR(S60=5,S60=6),S60&amp;IF(H60&gt;=3,"+","&lt;"),S60&amp;""),TargetLookup,IF(B60=-1,6,IF(OR(P60="W",P60="A"),4,2)),FALSE),"TBD")</f>
        <v>0</v>
      </c>
      <c r="U60" s="11">
        <f>IF(ISNUMBER(S60),VLOOKUP(IF(OR(S60=5,S60=6),S60&amp;IF(H60&gt;=3,"+","&lt;"),S60&amp;""),TargetLookup,IF(B60=-1,7,IF(OR(P60="W",P60="A"),5,3)),FALSE),"TBD")</f>
        <v>0</v>
      </c>
      <c r="V60" s="18" t="s">
        <v>110</v>
      </c>
      <c r="W60" s="19" t="s">
        <v>146</v>
      </c>
      <c r="X60" s="19" t="s">
        <v>106</v>
      </c>
      <c r="Y60" s="19">
        <f>V60&amp;X60&amp;D60</f>
        <v>0</v>
      </c>
      <c r="Z60" s="11">
        <f t="array" ref="Z60">1-PRODUCT(IF(Students=E60,MGRMoneyMult,1))</f>
        <v>0</v>
      </c>
      <c r="AA60" s="12">
        <f t="array" ref="AA60">1-PRODUCT(IF(Students=E60,RGRMoneyMult,1))</f>
        <v>0</v>
      </c>
      <c r="AB60" s="13">
        <f>COUNTIFS(Students,E60,Results,"Accepted!")+COUNTIFS(Students,E60,Results,"CHOICE!")</f>
        <v>0</v>
      </c>
      <c r="AC60" s="1">
        <f>COUNTIFS(Students,E60,Results,"Deferred")+COUNTIFS(Students,E60,Results,"Waitlist")</f>
        <v>0</v>
      </c>
      <c r="AD60" s="13">
        <f>COUNTIFS(Students,E60,Results,"Denied")</f>
        <v>0</v>
      </c>
      <c r="AE60" s="13">
        <f>AB60+AC60+AD60+COUNTIFS(Students,E60,Results,"Submitted")</f>
        <v>0</v>
      </c>
      <c r="AF60" s="12">
        <v>0.7035310176416</v>
      </c>
      <c r="AG60" s="12">
        <v>0.4404590684</v>
      </c>
      <c r="AH60" s="12">
        <v>0.4481261343968781</v>
      </c>
      <c r="AI60" s="12">
        <v>0.404166863524106</v>
      </c>
      <c r="AJ60" s="13">
        <f>COUNTIFS(Students,E60,Results,"CHOICE!")</f>
        <v>0</v>
      </c>
      <c r="AK60" s="1">
        <f>COUNTIFS(MoneyYesNo,1,RGRcount,1,Students,E60,Results,"Accepted!")</f>
        <v>0</v>
      </c>
      <c r="AL60" s="1">
        <f>COUNTIFS(MoneyYesNo,1,MGRcount,1,Students,E60,Results,"Accepted!")-AK60</f>
        <v>0</v>
      </c>
      <c r="AM60" s="1">
        <f>COUNTIFS(MoneyYesNo,1,Students,E60,Results,"Accepted!")-AK60-AL60</f>
        <v>0</v>
      </c>
      <c r="AN60" s="13">
        <f>COUNTIFS(Students,E60,Results,"Accepted!")-AK60-AL60-AM60</f>
        <v>0</v>
      </c>
      <c r="AO60" s="1">
        <f>SUMIFS(RGRcount,Students,E60,MoneyYesNo,1)</f>
        <v>0</v>
      </c>
      <c r="AP60" s="1">
        <f>SUMIFS(MGRcount,Students,E60,MoneyYesNo,1)-AO60</f>
        <v>0</v>
      </c>
      <c r="AQ60" s="1">
        <f>SUMIF(Students,E60,MoneyYesNo)-AO60-AP60</f>
        <v>0</v>
      </c>
      <c r="AR60" s="13">
        <f>SUM(AO60,AP60,AQ60)</f>
        <v>0</v>
      </c>
      <c r="AS60" s="1">
        <f>SUMIF(Students,E60,RGRcount)</f>
        <v>0</v>
      </c>
      <c r="AT60" s="1">
        <f>SUMIF(Students,E60,MGRcount)-AS60</f>
        <v>0</v>
      </c>
      <c r="AU60" s="1">
        <f>COUNTIF(Students,E60)-AS60-AT60</f>
        <v>0</v>
      </c>
      <c r="AV60" s="1">
        <f>SUMIF(Students,E60,FarBelowTGRCount)</f>
        <v>0</v>
      </c>
      <c r="AW60" s="47">
        <f>COUNTIF(Students,E60)</f>
        <v>0</v>
      </c>
      <c r="AX60" s="11">
        <f>IF(AW60&gt;0,AE60/AW60,0)</f>
        <v>0</v>
      </c>
      <c r="AY60" s="11">
        <f t="array" ref="AY60">1-PRODUCT(IF(Students=E60,MGRMult,1))</f>
        <v>0</v>
      </c>
      <c r="AZ60" s="12">
        <f t="array" ref="AZ60">1-PRODUCT(IF(Students=E60,RGRMult,1))</f>
        <v>0</v>
      </c>
      <c r="BA60" s="1">
        <f>COUNTIFS(Students,E60,Classes,HailMaryLabel)</f>
        <v>0</v>
      </c>
      <c r="BB60" s="1">
        <f>COUNTIFS(Students,E60,Classes,LongshotLabel)</f>
        <v>0</v>
      </c>
      <c r="BC60" s="1">
        <f>COUNTIFS(Students,E60,Classes,ReachLabel)</f>
        <v>0</v>
      </c>
      <c r="BD60" s="1">
        <f>COUNTIFS(Students,E60,Classes,MatchLabel)</f>
        <v>0</v>
      </c>
      <c r="BE60" s="1">
        <f>COUNTIFS(Students,E60,Classes,SafetyLabel)</f>
        <v>0</v>
      </c>
      <c r="BF60" s="1">
        <f>COUNTIFS(Students,E60,Classes,SecureLabel)</f>
        <v>0</v>
      </c>
      <c r="BG60" s="1">
        <f>COUNTIFS(Students,E60,Classes,SureThingLabel)</f>
        <v>0</v>
      </c>
      <c r="BH60" s="13">
        <f>COUNTIFS(Students,E60,Classes,"Other")</f>
        <v>0</v>
      </c>
      <c r="BI60" s="1">
        <f>COUNTIFS(Students,E60,Classes,ReachLabel,MoneyYesNo,1)</f>
        <v>0</v>
      </c>
      <c r="BJ60" s="1">
        <f>COUNTIFS(Students,E60,Classes,MatchLabel,MoneyYesNo,1)</f>
        <v>0</v>
      </c>
      <c r="BK60" s="1">
        <f>COUNTIFS(Students,E60,Classes,SafetyLabel,MoneyYesNo,1)</f>
        <v>0</v>
      </c>
      <c r="BL60" s="1">
        <f>COUNTIFS(Students,E60,Classes,SecureLabel,MoneyYesNo,1)</f>
        <v>0</v>
      </c>
      <c r="BM60" s="1">
        <f>COUNTIFS(Students,E60,Classes,SureThingLabel,MoneyYesNo,1)</f>
        <v>0</v>
      </c>
      <c r="BN60" s="1">
        <f>SUM(BI60:BM60)</f>
        <v>0</v>
      </c>
      <c r="BO60" s="1">
        <f>SUMIFS(RGRcount,Students,E60,MoneyYesNo,1,Odds,"&gt;=20")</f>
        <v>0</v>
      </c>
      <c r="BP60" s="1">
        <f>SUMIFS(MGRcount,Students,E60,MoneyYesNo,1,Odds,"&gt;=20")-BO60</f>
        <v>0</v>
      </c>
      <c r="BQ60" s="1">
        <f>SUMIFS(MGRcount,Students,E60,MoneyYesNo,1,Odds,"&gt;=50")</f>
        <v>0</v>
      </c>
      <c r="BR60" s="1">
        <f>SUMIFS(RGRcount,Students,E60,MoneyYesNo,1,Odds,"&gt;=10")</f>
        <v>0</v>
      </c>
      <c r="BS60" s="1">
        <f>SUMIFS(MGRcount,Students,E60,MoneyYesNo,1,Odds,"&gt;=10")-BR60</f>
        <v>0</v>
      </c>
      <c r="BT60" s="1">
        <f>COUNTIFS(Students,E60,ILPublic,1)</f>
        <v>0</v>
      </c>
      <c r="BU60" s="1">
        <f>COUNTIFS(Students,E60,ILPublic,1,MoneyYesNo,1,Classes,MatchLabel)+COUNTIFS(Students,E60,ILPublic,1,MoneyYesNo,1,Classes,SafetyLabel)+COUNTIFS(Students,E60,ILPublic,1,MoneyYesNo,1,Classes,SecureLabel)+COUNTIFS(Students,E60,ILPublic,1,MoneyYesNo,1,Classes,SureThingLabel)</f>
        <v>0</v>
      </c>
      <c r="BV60" s="1">
        <f>COUNTIFS(Students,E60,ILPublic,1, Classes,SecureLabel)</f>
        <v>0</v>
      </c>
      <c r="BW60" s="1">
        <f>COUNTIFS(Students,E60,MoneyChicago,1)</f>
        <v>0</v>
      </c>
      <c r="BX60" s="1">
        <f>COUNTIFS(Students,E60,MatchOrUnder,1)</f>
        <v>0</v>
      </c>
      <c r="BY60" s="1">
        <f>SUMIF(Students,E60,MGRcount)</f>
        <v>0</v>
      </c>
      <c r="BZ60" s="1">
        <f>COUNTIFS(Students,E60,BadMoney,1)</f>
        <v>0</v>
      </c>
      <c r="CA60" s="1">
        <f>COUNTIFS(Students,E60,GoldenThree,1)</f>
        <v>0</v>
      </c>
      <c r="CB60" s="1">
        <f>COUNTIFS(Students,E60,NCESids,147536)</f>
        <v>0</v>
      </c>
      <c r="CC60" s="1">
        <f>COUNTIFS(Students,E60,NCESids,144157)+COUNTIFS(Students,E60,NCESids,144166)+COUNTIFS(Students,E60,NCESids,144175)+COUNTIFS(Students,E60,NCESids,144184)+COUNTIFS(Students,E60,NCESids,144193)+COUNTIFS(Students,E60,NCESids,144209)+COUNTIFS(Students,E60,NCESids,144218)</f>
        <v>0</v>
      </c>
      <c r="CD60" s="1">
        <f>COUNTIFS(Students,E60,Results,"Accepted!",FarBelowTGRCount,0)+COUNTIFS(Students,E60,Results,"CHOICE!",FarBelowTGRCount,0)</f>
        <v>0</v>
      </c>
    </row>
    <row r="61" spans="1:82">
      <c r="A61" s="18" t="s">
        <v>96</v>
      </c>
      <c r="B61" s="19">
        <v>0</v>
      </c>
      <c r="C61" s="18" t="s">
        <v>97</v>
      </c>
      <c r="D61" s="18" t="s">
        <v>296</v>
      </c>
      <c r="E61" s="19">
        <v>22415099</v>
      </c>
      <c r="F61" s="19" t="s">
        <v>297</v>
      </c>
      <c r="G61" s="10" t="s">
        <v>298</v>
      </c>
      <c r="H61" s="46">
        <v>2.5231</v>
      </c>
      <c r="I61" s="46">
        <v>2.7231</v>
      </c>
      <c r="J61" s="1">
        <v>18</v>
      </c>
      <c r="K61" s="1">
        <f>IF(ISNUMBER(I61),ROUND(583.58+106.27*I61,-1),"TBD")</f>
        <v>0</v>
      </c>
      <c r="L61" s="1">
        <v>1250</v>
      </c>
      <c r="M61" s="1">
        <f>IF(ISNUMBER(L61),L61,IF(ISNUMBER(K61),K61,"TBD"))</f>
        <v>0</v>
      </c>
      <c r="N61" s="1">
        <f>IF(ISNUMBER(J61),VLOOKUP(J61,ACTtoSAT,2,FALSE),"TBD")</f>
        <v>0</v>
      </c>
      <c r="O61" s="1">
        <f>IF(ISNUMBER(M61),IF(ISNUMBER(N61),MAX(M61,N61),M61),IF(ISNUMBER(N61),N61,"TBD"))</f>
        <v>0</v>
      </c>
      <c r="P61" s="1" t="s">
        <v>101</v>
      </c>
      <c r="Q61" s="1" t="s">
        <v>123</v>
      </c>
      <c r="R61" s="1" t="s">
        <v>124</v>
      </c>
      <c r="S61" s="1">
        <f>IF(AND(H61&lt;&gt;0,O61&lt;&gt;0),IF(ISNUMBER(VLOOKUP(TEXT(MAX(FLOOR(H61*10,1)/10,1.5),"0.0")&amp;":"&amp;MAX(O61,710),StrategyLookup,4,FALSE)),VLOOKUP(TEXT(MAX(FLOOR(H61*10,1)/10,1.5),"0.0")&amp;":"&amp;MAX(O61,710),StrategyLookup,4,FALSE),"TBD"),"TBD")</f>
        <v>0</v>
      </c>
      <c r="T61" s="11">
        <f>IF(ISNUMBER(S61),VLOOKUP(IF(OR(S61=5,S61=6),S61&amp;IF(H61&gt;=3,"+","&lt;"),S61&amp;""),TargetLookup,IF(B61=-1,6,IF(OR(P61="W",P61="A"),4,2)),FALSE),"TBD")</f>
        <v>0</v>
      </c>
      <c r="U61" s="11">
        <f>IF(ISNUMBER(S61),VLOOKUP(IF(OR(S61=5,S61=6),S61&amp;IF(H61&gt;=3,"+","&lt;"),S61&amp;""),TargetLookup,IF(B61=-1,7,IF(OR(P61="W",P61="A"),5,3)),FALSE),"TBD")</f>
        <v>0</v>
      </c>
      <c r="V61" s="18" t="s">
        <v>104</v>
      </c>
      <c r="W61" s="19" t="s">
        <v>170</v>
      </c>
      <c r="X61" s="19" t="s">
        <v>106</v>
      </c>
      <c r="Y61" s="19">
        <f>V61&amp;X61&amp;D61</f>
        <v>0</v>
      </c>
      <c r="Z61" s="11">
        <f t="array" ref="Z61">1-PRODUCT(IF(Students=E61,MGRMoneyMult,1))</f>
        <v>0</v>
      </c>
      <c r="AA61" s="12">
        <f t="array" ref="AA61">1-PRODUCT(IF(Students=E61,RGRMoneyMult,1))</f>
        <v>0</v>
      </c>
      <c r="AB61" s="13">
        <f>COUNTIFS(Students,E61,Results,"Accepted!")+COUNTIFS(Students,E61,Results,"CHOICE!")</f>
        <v>0</v>
      </c>
      <c r="AC61" s="1">
        <f>COUNTIFS(Students,E61,Results,"Deferred")+COUNTIFS(Students,E61,Results,"Waitlist")</f>
        <v>0</v>
      </c>
      <c r="AD61" s="13">
        <f>COUNTIFS(Students,E61,Results,"Denied")</f>
        <v>0</v>
      </c>
      <c r="AE61" s="13">
        <f>AB61+AC61+AD61+COUNTIFS(Students,E61,Results,"Submitted")</f>
        <v>0</v>
      </c>
      <c r="AF61" s="12">
        <v>0.7011268215365082</v>
      </c>
      <c r="AG61" s="12">
        <v>0.579894743937071</v>
      </c>
      <c r="AH61" s="12">
        <v>0.5129171159921254</v>
      </c>
      <c r="AI61" s="12">
        <v>0.4890346326996017</v>
      </c>
      <c r="AJ61" s="13">
        <f>COUNTIFS(Students,E61,Results,"CHOICE!")</f>
        <v>0</v>
      </c>
      <c r="AK61" s="1">
        <f>COUNTIFS(MoneyYesNo,1,RGRcount,1,Students,E61,Results,"Accepted!")</f>
        <v>0</v>
      </c>
      <c r="AL61" s="1">
        <f>COUNTIFS(MoneyYesNo,1,MGRcount,1,Students,E61,Results,"Accepted!")-AK61</f>
        <v>0</v>
      </c>
      <c r="AM61" s="1">
        <f>COUNTIFS(MoneyYesNo,1,Students,E61,Results,"Accepted!")-AK61-AL61</f>
        <v>0</v>
      </c>
      <c r="AN61" s="13">
        <f>COUNTIFS(Students,E61,Results,"Accepted!")-AK61-AL61-AM61</f>
        <v>0</v>
      </c>
      <c r="AO61" s="1">
        <f>SUMIFS(RGRcount,Students,E61,MoneyYesNo,1)</f>
        <v>0</v>
      </c>
      <c r="AP61" s="1">
        <f>SUMIFS(MGRcount,Students,E61,MoneyYesNo,1)-AO61</f>
        <v>0</v>
      </c>
      <c r="AQ61" s="1">
        <f>SUMIF(Students,E61,MoneyYesNo)-AO61-AP61</f>
        <v>0</v>
      </c>
      <c r="AR61" s="13">
        <f>SUM(AO61,AP61,AQ61)</f>
        <v>0</v>
      </c>
      <c r="AS61" s="1">
        <f>SUMIF(Students,E61,RGRcount)</f>
        <v>0</v>
      </c>
      <c r="AT61" s="1">
        <f>SUMIF(Students,E61,MGRcount)-AS61</f>
        <v>0</v>
      </c>
      <c r="AU61" s="1">
        <f>COUNTIF(Students,E61)-AS61-AT61</f>
        <v>0</v>
      </c>
      <c r="AV61" s="1">
        <f>SUMIF(Students,E61,FarBelowTGRCount)</f>
        <v>0</v>
      </c>
      <c r="AW61" s="47">
        <f>COUNTIF(Students,E61)</f>
        <v>0</v>
      </c>
      <c r="AX61" s="11">
        <f>IF(AW61&gt;0,AE61/AW61,0)</f>
        <v>0</v>
      </c>
      <c r="AY61" s="11">
        <f t="array" ref="AY61">1-PRODUCT(IF(Students=E61,MGRMult,1))</f>
        <v>0</v>
      </c>
      <c r="AZ61" s="12">
        <f t="array" ref="AZ61">1-PRODUCT(IF(Students=E61,RGRMult,1))</f>
        <v>0</v>
      </c>
      <c r="BA61" s="1">
        <f>COUNTIFS(Students,E61,Classes,HailMaryLabel)</f>
        <v>0</v>
      </c>
      <c r="BB61" s="1">
        <f>COUNTIFS(Students,E61,Classes,LongshotLabel)</f>
        <v>0</v>
      </c>
      <c r="BC61" s="1">
        <f>COUNTIFS(Students,E61,Classes,ReachLabel)</f>
        <v>0</v>
      </c>
      <c r="BD61" s="1">
        <f>COUNTIFS(Students,E61,Classes,MatchLabel)</f>
        <v>0</v>
      </c>
      <c r="BE61" s="1">
        <f>COUNTIFS(Students,E61,Classes,SafetyLabel)</f>
        <v>0</v>
      </c>
      <c r="BF61" s="1">
        <f>COUNTIFS(Students,E61,Classes,SecureLabel)</f>
        <v>0</v>
      </c>
      <c r="BG61" s="1">
        <f>COUNTIFS(Students,E61,Classes,SureThingLabel)</f>
        <v>0</v>
      </c>
      <c r="BH61" s="13">
        <f>COUNTIFS(Students,E61,Classes,"Other")</f>
        <v>0</v>
      </c>
      <c r="BI61" s="1">
        <f>COUNTIFS(Students,E61,Classes,ReachLabel,MoneyYesNo,1)</f>
        <v>0</v>
      </c>
      <c r="BJ61" s="1">
        <f>COUNTIFS(Students,E61,Classes,MatchLabel,MoneyYesNo,1)</f>
        <v>0</v>
      </c>
      <c r="BK61" s="1">
        <f>COUNTIFS(Students,E61,Classes,SafetyLabel,MoneyYesNo,1)</f>
        <v>0</v>
      </c>
      <c r="BL61" s="1">
        <f>COUNTIFS(Students,E61,Classes,SecureLabel,MoneyYesNo,1)</f>
        <v>0</v>
      </c>
      <c r="BM61" s="1">
        <f>COUNTIFS(Students,E61,Classes,SureThingLabel,MoneyYesNo,1)</f>
        <v>0</v>
      </c>
      <c r="BN61" s="1">
        <f>SUM(BI61:BM61)</f>
        <v>0</v>
      </c>
      <c r="BO61" s="1">
        <f>SUMIFS(RGRcount,Students,E61,MoneyYesNo,1,Odds,"&gt;=20")</f>
        <v>0</v>
      </c>
      <c r="BP61" s="1">
        <f>SUMIFS(MGRcount,Students,E61,MoneyYesNo,1,Odds,"&gt;=20")-BO61</f>
        <v>0</v>
      </c>
      <c r="BQ61" s="1">
        <f>SUMIFS(MGRcount,Students,E61,MoneyYesNo,1,Odds,"&gt;=50")</f>
        <v>0</v>
      </c>
      <c r="BR61" s="1">
        <f>SUMIFS(RGRcount,Students,E61,MoneyYesNo,1,Odds,"&gt;=10")</f>
        <v>0</v>
      </c>
      <c r="BS61" s="1">
        <f>SUMIFS(MGRcount,Students,E61,MoneyYesNo,1,Odds,"&gt;=10")-BR61</f>
        <v>0</v>
      </c>
      <c r="BT61" s="1">
        <f>COUNTIFS(Students,E61,ILPublic,1)</f>
        <v>0</v>
      </c>
      <c r="BU61" s="1">
        <f>COUNTIFS(Students,E61,ILPublic,1,MoneyYesNo,1,Classes,MatchLabel)+COUNTIFS(Students,E61,ILPublic,1,MoneyYesNo,1,Classes,SafetyLabel)+COUNTIFS(Students,E61,ILPublic,1,MoneyYesNo,1,Classes,SecureLabel)+COUNTIFS(Students,E61,ILPublic,1,MoneyYesNo,1,Classes,SureThingLabel)</f>
        <v>0</v>
      </c>
      <c r="BV61" s="1">
        <f>COUNTIFS(Students,E61,ILPublic,1, Classes,SecureLabel)</f>
        <v>0</v>
      </c>
      <c r="BW61" s="1">
        <f>COUNTIFS(Students,E61,MoneyChicago,1)</f>
        <v>0</v>
      </c>
      <c r="BX61" s="1">
        <f>COUNTIFS(Students,E61,MatchOrUnder,1)</f>
        <v>0</v>
      </c>
      <c r="BY61" s="1">
        <f>SUMIF(Students,E61,MGRcount)</f>
        <v>0</v>
      </c>
      <c r="BZ61" s="1">
        <f>COUNTIFS(Students,E61,BadMoney,1)</f>
        <v>0</v>
      </c>
      <c r="CA61" s="1">
        <f>COUNTIFS(Students,E61,GoldenThree,1)</f>
        <v>0</v>
      </c>
      <c r="CB61" s="1">
        <f>COUNTIFS(Students,E61,NCESids,147536)</f>
        <v>0</v>
      </c>
      <c r="CC61" s="1">
        <f>COUNTIFS(Students,E61,NCESids,144157)+COUNTIFS(Students,E61,NCESids,144166)+COUNTIFS(Students,E61,NCESids,144175)+COUNTIFS(Students,E61,NCESids,144184)+COUNTIFS(Students,E61,NCESids,144193)+COUNTIFS(Students,E61,NCESids,144209)+COUNTIFS(Students,E61,NCESids,144218)</f>
        <v>0</v>
      </c>
      <c r="CD61" s="1">
        <f>COUNTIFS(Students,E61,Results,"Accepted!",FarBelowTGRCount,0)+COUNTIFS(Students,E61,Results,"CHOICE!",FarBelowTGRCount,0)</f>
        <v>0</v>
      </c>
    </row>
    <row r="62" spans="1:82">
      <c r="A62" s="18" t="s">
        <v>96</v>
      </c>
      <c r="B62" s="19">
        <v>0</v>
      </c>
      <c r="C62" s="18" t="s">
        <v>97</v>
      </c>
      <c r="D62" s="18" t="s">
        <v>299</v>
      </c>
      <c r="E62" s="19">
        <v>22366458</v>
      </c>
      <c r="F62" s="19" t="s">
        <v>300</v>
      </c>
      <c r="G62" s="10" t="s">
        <v>301</v>
      </c>
      <c r="H62" s="46">
        <v>3.296</v>
      </c>
      <c r="I62" s="46">
        <v>3.496</v>
      </c>
      <c r="J62" s="1">
        <v>23</v>
      </c>
      <c r="K62" s="1">
        <f>IF(ISNUMBER(I62),ROUND(583.58+106.27*I62,-1),"TBD")</f>
        <v>0</v>
      </c>
      <c r="L62" s="1">
        <v>1110</v>
      </c>
      <c r="M62" s="1">
        <f>IF(ISNUMBER(L62),L62,IF(ISNUMBER(K62),K62,"TBD"))</f>
        <v>0</v>
      </c>
      <c r="N62" s="1">
        <f>IF(ISNUMBER(J62),VLOOKUP(J62,ACTtoSAT,2,FALSE),"TBD")</f>
        <v>0</v>
      </c>
      <c r="O62" s="1">
        <f>IF(ISNUMBER(M62),IF(ISNUMBER(N62),MAX(M62,N62),M62),IF(ISNUMBER(N62),N62,"TBD"))</f>
        <v>0</v>
      </c>
      <c r="P62" s="1" t="s">
        <v>101</v>
      </c>
      <c r="Q62" s="1" t="s">
        <v>102</v>
      </c>
      <c r="R62" s="1" t="s">
        <v>103</v>
      </c>
      <c r="S62" s="1">
        <f>IF(AND(H62&lt;&gt;0,O62&lt;&gt;0),IF(ISNUMBER(VLOOKUP(TEXT(MAX(FLOOR(H62*10,1)/10,1.5),"0.0")&amp;":"&amp;MAX(O62,710),StrategyLookup,4,FALSE)),VLOOKUP(TEXT(MAX(FLOOR(H62*10,1)/10,1.5),"0.0")&amp;":"&amp;MAX(O62,710),StrategyLookup,4,FALSE),"TBD"),"TBD")</f>
        <v>0</v>
      </c>
      <c r="T62" s="11">
        <f>IF(ISNUMBER(S62),VLOOKUP(IF(OR(S62=5,S62=6),S62&amp;IF(H62&gt;=3,"+","&lt;"),S62&amp;""),TargetLookup,IF(B62=-1,6,IF(OR(P62="W",P62="A"),4,2)),FALSE),"TBD")</f>
        <v>0</v>
      </c>
      <c r="U62" s="11">
        <f>IF(ISNUMBER(S62),VLOOKUP(IF(OR(S62=5,S62=6),S62&amp;IF(H62&gt;=3,"+","&lt;"),S62&amp;""),TargetLookup,IF(B62=-1,7,IF(OR(P62="W",P62="A"),5,3)),FALSE),"TBD")</f>
        <v>0</v>
      </c>
      <c r="V62" s="18" t="s">
        <v>110</v>
      </c>
      <c r="W62" s="19" t="s">
        <v>170</v>
      </c>
      <c r="X62" s="19" t="s">
        <v>106</v>
      </c>
      <c r="Y62" s="19">
        <f>V62&amp;X62&amp;D62</f>
        <v>0</v>
      </c>
      <c r="Z62" s="11">
        <f t="array" ref="Z62">1-PRODUCT(IF(Students=E62,MGRMoneyMult,1))</f>
        <v>0</v>
      </c>
      <c r="AA62" s="12">
        <f t="array" ref="AA62">1-PRODUCT(IF(Students=E62,RGRMoneyMult,1))</f>
        <v>0</v>
      </c>
      <c r="AB62" s="13">
        <f>COUNTIFS(Students,E62,Results,"Accepted!")+COUNTIFS(Students,E62,Results,"CHOICE!")</f>
        <v>0</v>
      </c>
      <c r="AC62" s="1">
        <f>COUNTIFS(Students,E62,Results,"Deferred")+COUNTIFS(Students,E62,Results,"Waitlist")</f>
        <v>0</v>
      </c>
      <c r="AD62" s="13">
        <f>COUNTIFS(Students,E62,Results,"Denied")</f>
        <v>0</v>
      </c>
      <c r="AE62" s="13">
        <f>AB62+AC62+AD62+COUNTIFS(Students,E62,Results,"Submitted")</f>
        <v>0</v>
      </c>
      <c r="AF62" s="12">
        <v>0.7941015631416622</v>
      </c>
      <c r="AG62" s="12">
        <v>0.769562774221659</v>
      </c>
      <c r="AH62" s="12">
        <v>0.7011795658765669</v>
      </c>
      <c r="AI62" s="12">
        <v>0.6754554622696215</v>
      </c>
      <c r="AJ62" s="13">
        <f>COUNTIFS(Students,E62,Results,"CHOICE!")</f>
        <v>0</v>
      </c>
      <c r="AK62" s="1">
        <f>COUNTIFS(MoneyYesNo,1,RGRcount,1,Students,E62,Results,"Accepted!")</f>
        <v>0</v>
      </c>
      <c r="AL62" s="1">
        <f>COUNTIFS(MoneyYesNo,1,MGRcount,1,Students,E62,Results,"Accepted!")-AK62</f>
        <v>0</v>
      </c>
      <c r="AM62" s="1">
        <f>COUNTIFS(MoneyYesNo,1,Students,E62,Results,"Accepted!")-AK62-AL62</f>
        <v>0</v>
      </c>
      <c r="AN62" s="13">
        <f>COUNTIFS(Students,E62,Results,"Accepted!")-AK62-AL62-AM62</f>
        <v>0</v>
      </c>
      <c r="AO62" s="1">
        <f>SUMIFS(RGRcount,Students,E62,MoneyYesNo,1)</f>
        <v>0</v>
      </c>
      <c r="AP62" s="1">
        <f>SUMIFS(MGRcount,Students,E62,MoneyYesNo,1)-AO62</f>
        <v>0</v>
      </c>
      <c r="AQ62" s="1">
        <f>SUMIF(Students,E62,MoneyYesNo)-AO62-AP62</f>
        <v>0</v>
      </c>
      <c r="AR62" s="13">
        <f>SUM(AO62,AP62,AQ62)</f>
        <v>0</v>
      </c>
      <c r="AS62" s="1">
        <f>SUMIF(Students,E62,RGRcount)</f>
        <v>0</v>
      </c>
      <c r="AT62" s="1">
        <f>SUMIF(Students,E62,MGRcount)-AS62</f>
        <v>0</v>
      </c>
      <c r="AU62" s="1">
        <f>COUNTIF(Students,E62)-AS62-AT62</f>
        <v>0</v>
      </c>
      <c r="AV62" s="1">
        <f>SUMIF(Students,E62,FarBelowTGRCount)</f>
        <v>0</v>
      </c>
      <c r="AW62" s="47">
        <f>COUNTIF(Students,E62)</f>
        <v>0</v>
      </c>
      <c r="AX62" s="11">
        <f>IF(AW62&gt;0,AE62/AW62,0)</f>
        <v>0</v>
      </c>
      <c r="AY62" s="11">
        <f t="array" ref="AY62">1-PRODUCT(IF(Students=E62,MGRMult,1))</f>
        <v>0</v>
      </c>
      <c r="AZ62" s="12">
        <f t="array" ref="AZ62">1-PRODUCT(IF(Students=E62,RGRMult,1))</f>
        <v>0</v>
      </c>
      <c r="BA62" s="1">
        <f>COUNTIFS(Students,E62,Classes,HailMaryLabel)</f>
        <v>0</v>
      </c>
      <c r="BB62" s="1">
        <f>COUNTIFS(Students,E62,Classes,LongshotLabel)</f>
        <v>0</v>
      </c>
      <c r="BC62" s="1">
        <f>COUNTIFS(Students,E62,Classes,ReachLabel)</f>
        <v>0</v>
      </c>
      <c r="BD62" s="1">
        <f>COUNTIFS(Students,E62,Classes,MatchLabel)</f>
        <v>0</v>
      </c>
      <c r="BE62" s="1">
        <f>COUNTIFS(Students,E62,Classes,SafetyLabel)</f>
        <v>0</v>
      </c>
      <c r="BF62" s="1">
        <f>COUNTIFS(Students,E62,Classes,SecureLabel)</f>
        <v>0</v>
      </c>
      <c r="BG62" s="1">
        <f>COUNTIFS(Students,E62,Classes,SureThingLabel)</f>
        <v>0</v>
      </c>
      <c r="BH62" s="13">
        <f>COUNTIFS(Students,E62,Classes,"Other")</f>
        <v>0</v>
      </c>
      <c r="BI62" s="1">
        <f>COUNTIFS(Students,E62,Classes,ReachLabel,MoneyYesNo,1)</f>
        <v>0</v>
      </c>
      <c r="BJ62" s="1">
        <f>COUNTIFS(Students,E62,Classes,MatchLabel,MoneyYesNo,1)</f>
        <v>0</v>
      </c>
      <c r="BK62" s="1">
        <f>COUNTIFS(Students,E62,Classes,SafetyLabel,MoneyYesNo,1)</f>
        <v>0</v>
      </c>
      <c r="BL62" s="1">
        <f>COUNTIFS(Students,E62,Classes,SecureLabel,MoneyYesNo,1)</f>
        <v>0</v>
      </c>
      <c r="BM62" s="1">
        <f>COUNTIFS(Students,E62,Classes,SureThingLabel,MoneyYesNo,1)</f>
        <v>0</v>
      </c>
      <c r="BN62" s="1">
        <f>SUM(BI62:BM62)</f>
        <v>0</v>
      </c>
      <c r="BO62" s="1">
        <f>SUMIFS(RGRcount,Students,E62,MoneyYesNo,1,Odds,"&gt;=20")</f>
        <v>0</v>
      </c>
      <c r="BP62" s="1">
        <f>SUMIFS(MGRcount,Students,E62,MoneyYesNo,1,Odds,"&gt;=20")-BO62</f>
        <v>0</v>
      </c>
      <c r="BQ62" s="1">
        <f>SUMIFS(MGRcount,Students,E62,MoneyYesNo,1,Odds,"&gt;=50")</f>
        <v>0</v>
      </c>
      <c r="BR62" s="1">
        <f>SUMIFS(RGRcount,Students,E62,MoneyYesNo,1,Odds,"&gt;=10")</f>
        <v>0</v>
      </c>
      <c r="BS62" s="1">
        <f>SUMIFS(MGRcount,Students,E62,MoneyYesNo,1,Odds,"&gt;=10")-BR62</f>
        <v>0</v>
      </c>
      <c r="BT62" s="1">
        <f>COUNTIFS(Students,E62,ILPublic,1)</f>
        <v>0</v>
      </c>
      <c r="BU62" s="1">
        <f>COUNTIFS(Students,E62,ILPublic,1,MoneyYesNo,1,Classes,MatchLabel)+COUNTIFS(Students,E62,ILPublic,1,MoneyYesNo,1,Classes,SafetyLabel)+COUNTIFS(Students,E62,ILPublic,1,MoneyYesNo,1,Classes,SecureLabel)+COUNTIFS(Students,E62,ILPublic,1,MoneyYesNo,1,Classes,SureThingLabel)</f>
        <v>0</v>
      </c>
      <c r="BV62" s="1">
        <f>COUNTIFS(Students,E62,ILPublic,1, Classes,SecureLabel)</f>
        <v>0</v>
      </c>
      <c r="BW62" s="1">
        <f>COUNTIFS(Students,E62,MoneyChicago,1)</f>
        <v>0</v>
      </c>
      <c r="BX62" s="1">
        <f>COUNTIFS(Students,E62,MatchOrUnder,1)</f>
        <v>0</v>
      </c>
      <c r="BY62" s="1">
        <f>SUMIF(Students,E62,MGRcount)</f>
        <v>0</v>
      </c>
      <c r="BZ62" s="1">
        <f>COUNTIFS(Students,E62,BadMoney,1)</f>
        <v>0</v>
      </c>
      <c r="CA62" s="1">
        <f>COUNTIFS(Students,E62,GoldenThree,1)</f>
        <v>0</v>
      </c>
      <c r="CB62" s="1">
        <f>COUNTIFS(Students,E62,NCESids,147536)</f>
        <v>0</v>
      </c>
      <c r="CC62" s="1">
        <f>COUNTIFS(Students,E62,NCESids,144157)+COUNTIFS(Students,E62,NCESids,144166)+COUNTIFS(Students,E62,NCESids,144175)+COUNTIFS(Students,E62,NCESids,144184)+COUNTIFS(Students,E62,NCESids,144193)+COUNTIFS(Students,E62,NCESids,144209)+COUNTIFS(Students,E62,NCESids,144218)</f>
        <v>0</v>
      </c>
      <c r="CD62" s="1">
        <f>COUNTIFS(Students,E62,Results,"Accepted!",FarBelowTGRCount,0)+COUNTIFS(Students,E62,Results,"CHOICE!",FarBelowTGRCount,0)</f>
        <v>0</v>
      </c>
    </row>
    <row r="63" spans="1:82">
      <c r="A63" s="18" t="s">
        <v>96</v>
      </c>
      <c r="B63" s="19">
        <v>0</v>
      </c>
      <c r="C63" s="18" t="s">
        <v>97</v>
      </c>
      <c r="D63" s="18" t="s">
        <v>302</v>
      </c>
      <c r="E63" s="19">
        <v>23461683</v>
      </c>
      <c r="F63" s="19" t="s">
        <v>303</v>
      </c>
      <c r="G63" s="10" t="s">
        <v>304</v>
      </c>
      <c r="H63" s="46">
        <v>3.0135</v>
      </c>
      <c r="I63" s="46">
        <v>3.2135</v>
      </c>
      <c r="J63" s="1">
        <v>22</v>
      </c>
      <c r="K63" s="1">
        <f>IF(ISNUMBER(I63),ROUND(583.58+106.27*I63,-1),"TBD")</f>
        <v>0</v>
      </c>
      <c r="L63" s="1">
        <v>880</v>
      </c>
      <c r="M63" s="1">
        <f>IF(ISNUMBER(L63),L63,IF(ISNUMBER(K63),K63,"TBD"))</f>
        <v>0</v>
      </c>
      <c r="N63" s="1">
        <f>IF(ISNUMBER(J63),VLOOKUP(J63,ACTtoSAT,2,FALSE),"TBD")</f>
        <v>0</v>
      </c>
      <c r="O63" s="1">
        <f>IF(ISNUMBER(M63),IF(ISNUMBER(N63),MAX(M63,N63),M63),IF(ISNUMBER(N63),N63,"TBD"))</f>
        <v>0</v>
      </c>
      <c r="P63" s="1" t="s">
        <v>101</v>
      </c>
      <c r="Q63" s="1" t="s">
        <v>102</v>
      </c>
      <c r="R63" s="1" t="s">
        <v>103</v>
      </c>
      <c r="S63" s="1">
        <f>IF(AND(H63&lt;&gt;0,O63&lt;&gt;0),IF(ISNUMBER(VLOOKUP(TEXT(MAX(FLOOR(H63*10,1)/10,1.5),"0.0")&amp;":"&amp;MAX(O63,710),StrategyLookup,4,FALSE)),VLOOKUP(TEXT(MAX(FLOOR(H63*10,1)/10,1.5),"0.0")&amp;":"&amp;MAX(O63,710),StrategyLookup,4,FALSE),"TBD"),"TBD")</f>
        <v>0</v>
      </c>
      <c r="T63" s="11">
        <f>IF(ISNUMBER(S63),VLOOKUP(IF(OR(S63=5,S63=6),S63&amp;IF(H63&gt;=3,"+","&lt;"),S63&amp;""),TargetLookup,IF(B63=-1,6,IF(OR(P63="W",P63="A"),4,2)),FALSE),"TBD")</f>
        <v>0</v>
      </c>
      <c r="U63" s="11">
        <f>IF(ISNUMBER(S63),VLOOKUP(IF(OR(S63=5,S63=6),S63&amp;IF(H63&gt;=3,"+","&lt;"),S63&amp;""),TargetLookup,IF(B63=-1,7,IF(OR(P63="W",P63="A"),5,3)),FALSE),"TBD")</f>
        <v>0</v>
      </c>
      <c r="V63" s="18" t="s">
        <v>115</v>
      </c>
      <c r="W63" s="19" t="s">
        <v>116</v>
      </c>
      <c r="X63" s="19" t="s">
        <v>106</v>
      </c>
      <c r="Y63" s="19">
        <f>V63&amp;X63&amp;D63</f>
        <v>0</v>
      </c>
      <c r="Z63" s="11">
        <f t="array" ref="Z63">1-PRODUCT(IF(Students=E63,MGRMoneyMult,1))</f>
        <v>0</v>
      </c>
      <c r="AA63" s="12">
        <f t="array" ref="AA63">1-PRODUCT(IF(Students=E63,RGRMoneyMult,1))</f>
        <v>0</v>
      </c>
      <c r="AB63" s="13">
        <f>COUNTIFS(Students,E63,Results,"Accepted!")+COUNTIFS(Students,E63,Results,"CHOICE!")</f>
        <v>0</v>
      </c>
      <c r="AC63" s="1">
        <f>COUNTIFS(Students,E63,Results,"Deferred")+COUNTIFS(Students,E63,Results,"Waitlist")</f>
        <v>0</v>
      </c>
      <c r="AD63" s="13">
        <f>COUNTIFS(Students,E63,Results,"Denied")</f>
        <v>0</v>
      </c>
      <c r="AE63" s="13">
        <f>AB63+AC63+AD63+COUNTIFS(Students,E63,Results,"Submitted")</f>
        <v>0</v>
      </c>
      <c r="AF63" s="12">
        <v>0.6626978764768965</v>
      </c>
      <c r="AG63" s="12">
        <v>0.6382544958573555</v>
      </c>
      <c r="AH63" s="12">
        <v>0.5550898740423548</v>
      </c>
      <c r="AI63" s="12">
        <v>0.5417894103928287</v>
      </c>
      <c r="AJ63" s="13">
        <f>COUNTIFS(Students,E63,Results,"CHOICE!")</f>
        <v>0</v>
      </c>
      <c r="AK63" s="1">
        <f>COUNTIFS(MoneyYesNo,1,RGRcount,1,Students,E63,Results,"Accepted!")</f>
        <v>0</v>
      </c>
      <c r="AL63" s="1">
        <f>COUNTIFS(MoneyYesNo,1,MGRcount,1,Students,E63,Results,"Accepted!")-AK63</f>
        <v>0</v>
      </c>
      <c r="AM63" s="1">
        <f>COUNTIFS(MoneyYesNo,1,Students,E63,Results,"Accepted!")-AK63-AL63</f>
        <v>0</v>
      </c>
      <c r="AN63" s="13">
        <f>COUNTIFS(Students,E63,Results,"Accepted!")-AK63-AL63-AM63</f>
        <v>0</v>
      </c>
      <c r="AO63" s="1">
        <f>SUMIFS(RGRcount,Students,E63,MoneyYesNo,1)</f>
        <v>0</v>
      </c>
      <c r="AP63" s="1">
        <f>SUMIFS(MGRcount,Students,E63,MoneyYesNo,1)-AO63</f>
        <v>0</v>
      </c>
      <c r="AQ63" s="1">
        <f>SUMIF(Students,E63,MoneyYesNo)-AO63-AP63</f>
        <v>0</v>
      </c>
      <c r="AR63" s="13">
        <f>SUM(AO63,AP63,AQ63)</f>
        <v>0</v>
      </c>
      <c r="AS63" s="1">
        <f>SUMIF(Students,E63,RGRcount)</f>
        <v>0</v>
      </c>
      <c r="AT63" s="1">
        <f>SUMIF(Students,E63,MGRcount)-AS63</f>
        <v>0</v>
      </c>
      <c r="AU63" s="1">
        <f>COUNTIF(Students,E63)-AS63-AT63</f>
        <v>0</v>
      </c>
      <c r="AV63" s="1">
        <f>SUMIF(Students,E63,FarBelowTGRCount)</f>
        <v>0</v>
      </c>
      <c r="AW63" s="47">
        <f>COUNTIF(Students,E63)</f>
        <v>0</v>
      </c>
      <c r="AX63" s="11">
        <f>IF(AW63&gt;0,AE63/AW63,0)</f>
        <v>0</v>
      </c>
      <c r="AY63" s="11">
        <f t="array" ref="AY63">1-PRODUCT(IF(Students=E63,MGRMult,1))</f>
        <v>0</v>
      </c>
      <c r="AZ63" s="12">
        <f t="array" ref="AZ63">1-PRODUCT(IF(Students=E63,RGRMult,1))</f>
        <v>0</v>
      </c>
      <c r="BA63" s="1">
        <f>COUNTIFS(Students,E63,Classes,HailMaryLabel)</f>
        <v>0</v>
      </c>
      <c r="BB63" s="1">
        <f>COUNTIFS(Students,E63,Classes,LongshotLabel)</f>
        <v>0</v>
      </c>
      <c r="BC63" s="1">
        <f>COUNTIFS(Students,E63,Classes,ReachLabel)</f>
        <v>0</v>
      </c>
      <c r="BD63" s="1">
        <f>COUNTIFS(Students,E63,Classes,MatchLabel)</f>
        <v>0</v>
      </c>
      <c r="BE63" s="1">
        <f>COUNTIFS(Students,E63,Classes,SafetyLabel)</f>
        <v>0</v>
      </c>
      <c r="BF63" s="1">
        <f>COUNTIFS(Students,E63,Classes,SecureLabel)</f>
        <v>0</v>
      </c>
      <c r="BG63" s="1">
        <f>COUNTIFS(Students,E63,Classes,SureThingLabel)</f>
        <v>0</v>
      </c>
      <c r="BH63" s="13">
        <f>COUNTIFS(Students,E63,Classes,"Other")</f>
        <v>0</v>
      </c>
      <c r="BI63" s="1">
        <f>COUNTIFS(Students,E63,Classes,ReachLabel,MoneyYesNo,1)</f>
        <v>0</v>
      </c>
      <c r="BJ63" s="1">
        <f>COUNTIFS(Students,E63,Classes,MatchLabel,MoneyYesNo,1)</f>
        <v>0</v>
      </c>
      <c r="BK63" s="1">
        <f>COUNTIFS(Students,E63,Classes,SafetyLabel,MoneyYesNo,1)</f>
        <v>0</v>
      </c>
      <c r="BL63" s="1">
        <f>COUNTIFS(Students,E63,Classes,SecureLabel,MoneyYesNo,1)</f>
        <v>0</v>
      </c>
      <c r="BM63" s="1">
        <f>COUNTIFS(Students,E63,Classes,SureThingLabel,MoneyYesNo,1)</f>
        <v>0</v>
      </c>
      <c r="BN63" s="1">
        <f>SUM(BI63:BM63)</f>
        <v>0</v>
      </c>
      <c r="BO63" s="1">
        <f>SUMIFS(RGRcount,Students,E63,MoneyYesNo,1,Odds,"&gt;=20")</f>
        <v>0</v>
      </c>
      <c r="BP63" s="1">
        <f>SUMIFS(MGRcount,Students,E63,MoneyYesNo,1,Odds,"&gt;=20")-BO63</f>
        <v>0</v>
      </c>
      <c r="BQ63" s="1">
        <f>SUMIFS(MGRcount,Students,E63,MoneyYesNo,1,Odds,"&gt;=50")</f>
        <v>0</v>
      </c>
      <c r="BR63" s="1">
        <f>SUMIFS(RGRcount,Students,E63,MoneyYesNo,1,Odds,"&gt;=10")</f>
        <v>0</v>
      </c>
      <c r="BS63" s="1">
        <f>SUMIFS(MGRcount,Students,E63,MoneyYesNo,1,Odds,"&gt;=10")-BR63</f>
        <v>0</v>
      </c>
      <c r="BT63" s="1">
        <f>COUNTIFS(Students,E63,ILPublic,1)</f>
        <v>0</v>
      </c>
      <c r="BU63" s="1">
        <f>COUNTIFS(Students,E63,ILPublic,1,MoneyYesNo,1,Classes,MatchLabel)+COUNTIFS(Students,E63,ILPublic,1,MoneyYesNo,1,Classes,SafetyLabel)+COUNTIFS(Students,E63,ILPublic,1,MoneyYesNo,1,Classes,SecureLabel)+COUNTIFS(Students,E63,ILPublic,1,MoneyYesNo,1,Classes,SureThingLabel)</f>
        <v>0</v>
      </c>
      <c r="BV63" s="1">
        <f>COUNTIFS(Students,E63,ILPublic,1, Classes,SecureLabel)</f>
        <v>0</v>
      </c>
      <c r="BW63" s="1">
        <f>COUNTIFS(Students,E63,MoneyChicago,1)</f>
        <v>0</v>
      </c>
      <c r="BX63" s="1">
        <f>COUNTIFS(Students,E63,MatchOrUnder,1)</f>
        <v>0</v>
      </c>
      <c r="BY63" s="1">
        <f>SUMIF(Students,E63,MGRcount)</f>
        <v>0</v>
      </c>
      <c r="BZ63" s="1">
        <f>COUNTIFS(Students,E63,BadMoney,1)</f>
        <v>0</v>
      </c>
      <c r="CA63" s="1">
        <f>COUNTIFS(Students,E63,GoldenThree,1)</f>
        <v>0</v>
      </c>
      <c r="CB63" s="1">
        <f>COUNTIFS(Students,E63,NCESids,147536)</f>
        <v>0</v>
      </c>
      <c r="CC63" s="1">
        <f>COUNTIFS(Students,E63,NCESids,144157)+COUNTIFS(Students,E63,NCESids,144166)+COUNTIFS(Students,E63,NCESids,144175)+COUNTIFS(Students,E63,NCESids,144184)+COUNTIFS(Students,E63,NCESids,144193)+COUNTIFS(Students,E63,NCESids,144209)+COUNTIFS(Students,E63,NCESids,144218)</f>
        <v>0</v>
      </c>
      <c r="CD63" s="1">
        <f>COUNTIFS(Students,E63,Results,"Accepted!",FarBelowTGRCount,0)+COUNTIFS(Students,E63,Results,"CHOICE!",FarBelowTGRCount,0)</f>
        <v>0</v>
      </c>
    </row>
    <row r="64" spans="1:82">
      <c r="A64" s="18" t="s">
        <v>96</v>
      </c>
      <c r="B64" s="19">
        <v>0</v>
      </c>
      <c r="C64" s="18" t="s">
        <v>153</v>
      </c>
      <c r="D64" s="18" t="s">
        <v>305</v>
      </c>
      <c r="E64" s="19">
        <v>23020881</v>
      </c>
      <c r="F64" s="19" t="s">
        <v>306</v>
      </c>
      <c r="G64" s="10" t="s">
        <v>307</v>
      </c>
      <c r="H64" s="46">
        <v>2.4558</v>
      </c>
      <c r="I64" s="46">
        <v>2.6558</v>
      </c>
      <c r="J64" s="1">
        <v>19</v>
      </c>
      <c r="K64" s="1">
        <f>IF(ISNUMBER(I64),ROUND(583.58+106.27*I64,-1),"TBD")</f>
        <v>0</v>
      </c>
      <c r="L64" s="1">
        <v>810</v>
      </c>
      <c r="M64" s="1">
        <f>IF(ISNUMBER(L64),L64,IF(ISNUMBER(K64),K64,"TBD"))</f>
        <v>0</v>
      </c>
      <c r="N64" s="1">
        <f>IF(ISNUMBER(J64),VLOOKUP(J64,ACTtoSAT,2,FALSE),"TBD")</f>
        <v>0</v>
      </c>
      <c r="O64" s="1">
        <f>IF(ISNUMBER(M64),IF(ISNUMBER(N64),MAX(M64,N64),M64),IF(ISNUMBER(N64),N64,"TBD"))</f>
        <v>0</v>
      </c>
      <c r="P64" s="1" t="s">
        <v>129</v>
      </c>
      <c r="Q64" s="1" t="s">
        <v>102</v>
      </c>
      <c r="R64" s="1" t="s">
        <v>226</v>
      </c>
      <c r="S64" s="1">
        <f>IF(AND(H64&lt;&gt;0,O64&lt;&gt;0),IF(ISNUMBER(VLOOKUP(TEXT(MAX(FLOOR(H64*10,1)/10,1.5),"0.0")&amp;":"&amp;MAX(O64,710),StrategyLookup,4,FALSE)),VLOOKUP(TEXT(MAX(FLOOR(H64*10,1)/10,1.5),"0.0")&amp;":"&amp;MAX(O64,710),StrategyLookup,4,FALSE),"TBD"),"TBD")</f>
        <v>0</v>
      </c>
      <c r="T64" s="11">
        <f>IF(ISNUMBER(S64),VLOOKUP(IF(OR(S64=5,S64=6),S64&amp;IF(H64&gt;=3,"+","&lt;"),S64&amp;""),TargetLookup,IF(B64=-1,6,IF(OR(P64="W",P64="A"),4,2)),FALSE),"TBD")</f>
        <v>0</v>
      </c>
      <c r="U64" s="11">
        <f>IF(ISNUMBER(S64),VLOOKUP(IF(OR(S64=5,S64=6),S64&amp;IF(H64&gt;=3,"+","&lt;"),S64&amp;""),TargetLookup,IF(B64=-1,7,IF(OR(P64="W",P64="A"),5,3)),FALSE),"TBD")</f>
        <v>0</v>
      </c>
      <c r="V64" s="18" t="s">
        <v>104</v>
      </c>
      <c r="W64" s="19" t="s">
        <v>146</v>
      </c>
      <c r="X64" s="19" t="s">
        <v>106</v>
      </c>
      <c r="Y64" s="19">
        <f>V64&amp;X64&amp;D64</f>
        <v>0</v>
      </c>
      <c r="Z64" s="11">
        <f t="array" ref="Z64">1-PRODUCT(IF(Students=E64,MGRMoneyMult,1))</f>
        <v>0</v>
      </c>
      <c r="AA64" s="12">
        <f t="array" ref="AA64">1-PRODUCT(IF(Students=E64,RGRMoneyMult,1))</f>
        <v>0</v>
      </c>
      <c r="AB64" s="13">
        <f>COUNTIFS(Students,E64,Results,"Accepted!")+COUNTIFS(Students,E64,Results,"CHOICE!")</f>
        <v>0</v>
      </c>
      <c r="AC64" s="1">
        <f>COUNTIFS(Students,E64,Results,"Deferred")+COUNTIFS(Students,E64,Results,"Waitlist")</f>
        <v>0</v>
      </c>
      <c r="AD64" s="13">
        <f>COUNTIFS(Students,E64,Results,"Denied")</f>
        <v>0</v>
      </c>
      <c r="AE64" s="13">
        <f>AB64+AC64+AD64+COUNTIFS(Students,E64,Results,"Submitted")</f>
        <v>0</v>
      </c>
      <c r="AF64" s="12">
        <v>0.5257828128420888</v>
      </c>
      <c r="AG64" s="12">
        <v>0.5072415042444441</v>
      </c>
      <c r="AH64" s="12">
        <v>0.4465707420508315</v>
      </c>
      <c r="AI64" s="12">
        <v>0.4324910835165155</v>
      </c>
      <c r="AJ64" s="13">
        <f>COUNTIFS(Students,E64,Results,"CHOICE!")</f>
        <v>0</v>
      </c>
      <c r="AK64" s="1">
        <f>COUNTIFS(MoneyYesNo,1,RGRcount,1,Students,E64,Results,"Accepted!")</f>
        <v>0</v>
      </c>
      <c r="AL64" s="1">
        <f>COUNTIFS(MoneyYesNo,1,MGRcount,1,Students,E64,Results,"Accepted!")-AK64</f>
        <v>0</v>
      </c>
      <c r="AM64" s="1">
        <f>COUNTIFS(MoneyYesNo,1,Students,E64,Results,"Accepted!")-AK64-AL64</f>
        <v>0</v>
      </c>
      <c r="AN64" s="13">
        <f>COUNTIFS(Students,E64,Results,"Accepted!")-AK64-AL64-AM64</f>
        <v>0</v>
      </c>
      <c r="AO64" s="1">
        <f>SUMIFS(RGRcount,Students,E64,MoneyYesNo,1)</f>
        <v>0</v>
      </c>
      <c r="AP64" s="1">
        <f>SUMIFS(MGRcount,Students,E64,MoneyYesNo,1)-AO64</f>
        <v>0</v>
      </c>
      <c r="AQ64" s="1">
        <f>SUMIF(Students,E64,MoneyYesNo)-AO64-AP64</f>
        <v>0</v>
      </c>
      <c r="AR64" s="13">
        <f>SUM(AO64,AP64,AQ64)</f>
        <v>0</v>
      </c>
      <c r="AS64" s="1">
        <f>SUMIF(Students,E64,RGRcount)</f>
        <v>0</v>
      </c>
      <c r="AT64" s="1">
        <f>SUMIF(Students,E64,MGRcount)-AS64</f>
        <v>0</v>
      </c>
      <c r="AU64" s="1">
        <f>COUNTIF(Students,E64)-AS64-AT64</f>
        <v>0</v>
      </c>
      <c r="AV64" s="1">
        <f>SUMIF(Students,E64,FarBelowTGRCount)</f>
        <v>0</v>
      </c>
      <c r="AW64" s="47">
        <f>COUNTIF(Students,E64)</f>
        <v>0</v>
      </c>
      <c r="AX64" s="11">
        <f>IF(AW64&gt;0,AE64/AW64,0)</f>
        <v>0</v>
      </c>
      <c r="AY64" s="11">
        <f t="array" ref="AY64">1-PRODUCT(IF(Students=E64,MGRMult,1))</f>
        <v>0</v>
      </c>
      <c r="AZ64" s="12">
        <f t="array" ref="AZ64">1-PRODUCT(IF(Students=E64,RGRMult,1))</f>
        <v>0</v>
      </c>
      <c r="BA64" s="1">
        <f>COUNTIFS(Students,E64,Classes,HailMaryLabel)</f>
        <v>0</v>
      </c>
      <c r="BB64" s="1">
        <f>COUNTIFS(Students,E64,Classes,LongshotLabel)</f>
        <v>0</v>
      </c>
      <c r="BC64" s="1">
        <f>COUNTIFS(Students,E64,Classes,ReachLabel)</f>
        <v>0</v>
      </c>
      <c r="BD64" s="1">
        <f>COUNTIFS(Students,E64,Classes,MatchLabel)</f>
        <v>0</v>
      </c>
      <c r="BE64" s="1">
        <f>COUNTIFS(Students,E64,Classes,SafetyLabel)</f>
        <v>0</v>
      </c>
      <c r="BF64" s="1">
        <f>COUNTIFS(Students,E64,Classes,SecureLabel)</f>
        <v>0</v>
      </c>
      <c r="BG64" s="1">
        <f>COUNTIFS(Students,E64,Classes,SureThingLabel)</f>
        <v>0</v>
      </c>
      <c r="BH64" s="13">
        <f>COUNTIFS(Students,E64,Classes,"Other")</f>
        <v>0</v>
      </c>
      <c r="BI64" s="1">
        <f>COUNTIFS(Students,E64,Classes,ReachLabel,MoneyYesNo,1)</f>
        <v>0</v>
      </c>
      <c r="BJ64" s="1">
        <f>COUNTIFS(Students,E64,Classes,MatchLabel,MoneyYesNo,1)</f>
        <v>0</v>
      </c>
      <c r="BK64" s="1">
        <f>COUNTIFS(Students,E64,Classes,SafetyLabel,MoneyYesNo,1)</f>
        <v>0</v>
      </c>
      <c r="BL64" s="1">
        <f>COUNTIFS(Students,E64,Classes,SecureLabel,MoneyYesNo,1)</f>
        <v>0</v>
      </c>
      <c r="BM64" s="1">
        <f>COUNTIFS(Students,E64,Classes,SureThingLabel,MoneyYesNo,1)</f>
        <v>0</v>
      </c>
      <c r="BN64" s="1">
        <f>SUM(BI64:BM64)</f>
        <v>0</v>
      </c>
      <c r="BO64" s="1">
        <f>SUMIFS(RGRcount,Students,E64,MoneyYesNo,1,Odds,"&gt;=20")</f>
        <v>0</v>
      </c>
      <c r="BP64" s="1">
        <f>SUMIFS(MGRcount,Students,E64,MoneyYesNo,1,Odds,"&gt;=20")-BO64</f>
        <v>0</v>
      </c>
      <c r="BQ64" s="1">
        <f>SUMIFS(MGRcount,Students,E64,MoneyYesNo,1,Odds,"&gt;=50")</f>
        <v>0</v>
      </c>
      <c r="BR64" s="1">
        <f>SUMIFS(RGRcount,Students,E64,MoneyYesNo,1,Odds,"&gt;=10")</f>
        <v>0</v>
      </c>
      <c r="BS64" s="1">
        <f>SUMIFS(MGRcount,Students,E64,MoneyYesNo,1,Odds,"&gt;=10")-BR64</f>
        <v>0</v>
      </c>
      <c r="BT64" s="1">
        <f>COUNTIFS(Students,E64,ILPublic,1)</f>
        <v>0</v>
      </c>
      <c r="BU64" s="1">
        <f>COUNTIFS(Students,E64,ILPublic,1,MoneyYesNo,1,Classes,MatchLabel)+COUNTIFS(Students,E64,ILPublic,1,MoneyYesNo,1,Classes,SafetyLabel)+COUNTIFS(Students,E64,ILPublic,1,MoneyYesNo,1,Classes,SecureLabel)+COUNTIFS(Students,E64,ILPublic,1,MoneyYesNo,1,Classes,SureThingLabel)</f>
        <v>0</v>
      </c>
      <c r="BV64" s="1">
        <f>COUNTIFS(Students,E64,ILPublic,1, Classes,SecureLabel)</f>
        <v>0</v>
      </c>
      <c r="BW64" s="1">
        <f>COUNTIFS(Students,E64,MoneyChicago,1)</f>
        <v>0</v>
      </c>
      <c r="BX64" s="1">
        <f>COUNTIFS(Students,E64,MatchOrUnder,1)</f>
        <v>0</v>
      </c>
      <c r="BY64" s="1">
        <f>SUMIF(Students,E64,MGRcount)</f>
        <v>0</v>
      </c>
      <c r="BZ64" s="1">
        <f>COUNTIFS(Students,E64,BadMoney,1)</f>
        <v>0</v>
      </c>
      <c r="CA64" s="1">
        <f>COUNTIFS(Students,E64,GoldenThree,1)</f>
        <v>0</v>
      </c>
      <c r="CB64" s="1">
        <f>COUNTIFS(Students,E64,NCESids,147536)</f>
        <v>0</v>
      </c>
      <c r="CC64" s="1">
        <f>COUNTIFS(Students,E64,NCESids,144157)+COUNTIFS(Students,E64,NCESids,144166)+COUNTIFS(Students,E64,NCESids,144175)+COUNTIFS(Students,E64,NCESids,144184)+COUNTIFS(Students,E64,NCESids,144193)+COUNTIFS(Students,E64,NCESids,144209)+COUNTIFS(Students,E64,NCESids,144218)</f>
        <v>0</v>
      </c>
      <c r="CD64" s="1">
        <f>COUNTIFS(Students,E64,Results,"Accepted!",FarBelowTGRCount,0)+COUNTIFS(Students,E64,Results,"CHOICE!",FarBelowTGRCount,0)</f>
        <v>0</v>
      </c>
    </row>
    <row r="65" spans="1:82">
      <c r="A65" s="18" t="s">
        <v>96</v>
      </c>
      <c r="B65" s="19">
        <v>0</v>
      </c>
      <c r="C65" s="18" t="s">
        <v>97</v>
      </c>
      <c r="D65" s="18" t="s">
        <v>308</v>
      </c>
      <c r="E65" s="19">
        <v>23038357</v>
      </c>
      <c r="F65" s="19" t="s">
        <v>309</v>
      </c>
      <c r="G65" s="10" t="s">
        <v>310</v>
      </c>
      <c r="H65" s="46">
        <v>3.786</v>
      </c>
      <c r="I65" s="46">
        <v>3.986</v>
      </c>
      <c r="J65" s="1">
        <v>25</v>
      </c>
      <c r="K65" s="1">
        <f>IF(ISNUMBER(I65),ROUND(583.58+106.27*I65,-1),"TBD")</f>
        <v>0</v>
      </c>
      <c r="L65" s="1">
        <v>1180</v>
      </c>
      <c r="M65" s="1">
        <f>IF(ISNUMBER(L65),L65,IF(ISNUMBER(K65),K65,"TBD"))</f>
        <v>0</v>
      </c>
      <c r="N65" s="1">
        <f>IF(ISNUMBER(J65),VLOOKUP(J65,ACTtoSAT,2,FALSE),"TBD")</f>
        <v>0</v>
      </c>
      <c r="O65" s="1">
        <f>IF(ISNUMBER(M65),IF(ISNUMBER(N65),MAX(M65,N65),M65),IF(ISNUMBER(N65),N65,"TBD"))</f>
        <v>0</v>
      </c>
      <c r="P65" s="1" t="s">
        <v>101</v>
      </c>
      <c r="Q65" s="1" t="s">
        <v>102</v>
      </c>
      <c r="R65" s="1" t="s">
        <v>103</v>
      </c>
      <c r="S65" s="1">
        <f>IF(AND(H65&lt;&gt;0,O65&lt;&gt;0),IF(ISNUMBER(VLOOKUP(TEXT(MAX(FLOOR(H65*10,1)/10,1.5),"0.0")&amp;":"&amp;MAX(O65,710),StrategyLookup,4,FALSE)),VLOOKUP(TEXT(MAX(FLOOR(H65*10,1)/10,1.5),"0.0")&amp;":"&amp;MAX(O65,710),StrategyLookup,4,FALSE),"TBD"),"TBD")</f>
        <v>0</v>
      </c>
      <c r="T65" s="11">
        <f>IF(ISNUMBER(S65),VLOOKUP(IF(OR(S65=5,S65=6),S65&amp;IF(H65&gt;=3,"+","&lt;"),S65&amp;""),TargetLookup,IF(B65=-1,6,IF(OR(P65="W",P65="A"),4,2)),FALSE),"TBD")</f>
        <v>0</v>
      </c>
      <c r="U65" s="11">
        <f>IF(ISNUMBER(S65),VLOOKUP(IF(OR(S65=5,S65=6),S65&amp;IF(H65&gt;=3,"+","&lt;"),S65&amp;""),TargetLookup,IF(B65=-1,7,IF(OR(P65="W",P65="A"),5,3)),FALSE),"TBD")</f>
        <v>0</v>
      </c>
      <c r="V65" s="18" t="s">
        <v>160</v>
      </c>
      <c r="W65" s="19" t="s">
        <v>136</v>
      </c>
      <c r="X65" s="19" t="s">
        <v>106</v>
      </c>
      <c r="Y65" s="19">
        <f>V65&amp;X65&amp;D65</f>
        <v>0</v>
      </c>
      <c r="Z65" s="11">
        <f t="array" ref="Z65">1-PRODUCT(IF(Students=E65,MGRMoneyMult,1))</f>
        <v>0</v>
      </c>
      <c r="AA65" s="12">
        <f t="array" ref="AA65">1-PRODUCT(IF(Students=E65,RGRMoneyMult,1))</f>
        <v>0</v>
      </c>
      <c r="AB65" s="13">
        <f>COUNTIFS(Students,E65,Results,"Accepted!")+COUNTIFS(Students,E65,Results,"CHOICE!")</f>
        <v>0</v>
      </c>
      <c r="AC65" s="1">
        <f>COUNTIFS(Students,E65,Results,"Deferred")+COUNTIFS(Students,E65,Results,"Waitlist")</f>
        <v>0</v>
      </c>
      <c r="AD65" s="13">
        <f>COUNTIFS(Students,E65,Results,"Denied")</f>
        <v>0</v>
      </c>
      <c r="AE65" s="13">
        <f>AB65+AC65+AD65+COUNTIFS(Students,E65,Results,"Submitted")</f>
        <v>0</v>
      </c>
      <c r="AF65" s="12">
        <v>0.7547689359458197</v>
      </c>
      <c r="AG65" s="12">
        <v>0.7232438380198424</v>
      </c>
      <c r="AH65" s="12">
        <v>0.6214958486262818</v>
      </c>
      <c r="AI65" s="12">
        <v>0.6044082234310387</v>
      </c>
      <c r="AJ65" s="13">
        <f>COUNTIFS(Students,E65,Results,"CHOICE!")</f>
        <v>0</v>
      </c>
      <c r="AK65" s="1">
        <f>COUNTIFS(MoneyYesNo,1,RGRcount,1,Students,E65,Results,"Accepted!")</f>
        <v>0</v>
      </c>
      <c r="AL65" s="1">
        <f>COUNTIFS(MoneyYesNo,1,MGRcount,1,Students,E65,Results,"Accepted!")-AK65</f>
        <v>0</v>
      </c>
      <c r="AM65" s="1">
        <f>COUNTIFS(MoneyYesNo,1,Students,E65,Results,"Accepted!")-AK65-AL65</f>
        <v>0</v>
      </c>
      <c r="AN65" s="13">
        <f>COUNTIFS(Students,E65,Results,"Accepted!")-AK65-AL65-AM65</f>
        <v>0</v>
      </c>
      <c r="AO65" s="1">
        <f>SUMIFS(RGRcount,Students,E65,MoneyYesNo,1)</f>
        <v>0</v>
      </c>
      <c r="AP65" s="1">
        <f>SUMIFS(MGRcount,Students,E65,MoneyYesNo,1)-AO65</f>
        <v>0</v>
      </c>
      <c r="AQ65" s="1">
        <f>SUMIF(Students,E65,MoneyYesNo)-AO65-AP65</f>
        <v>0</v>
      </c>
      <c r="AR65" s="13">
        <f>SUM(AO65,AP65,AQ65)</f>
        <v>0</v>
      </c>
      <c r="AS65" s="1">
        <f>SUMIF(Students,E65,RGRcount)</f>
        <v>0</v>
      </c>
      <c r="AT65" s="1">
        <f>SUMIF(Students,E65,MGRcount)-AS65</f>
        <v>0</v>
      </c>
      <c r="AU65" s="1">
        <f>COUNTIF(Students,E65)-AS65-AT65</f>
        <v>0</v>
      </c>
      <c r="AV65" s="1">
        <f>SUMIF(Students,E65,FarBelowTGRCount)</f>
        <v>0</v>
      </c>
      <c r="AW65" s="47">
        <f>COUNTIF(Students,E65)</f>
        <v>0</v>
      </c>
      <c r="AX65" s="11">
        <f>IF(AW65&gt;0,AE65/AW65,0)</f>
        <v>0</v>
      </c>
      <c r="AY65" s="11">
        <f t="array" ref="AY65">1-PRODUCT(IF(Students=E65,MGRMult,1))</f>
        <v>0</v>
      </c>
      <c r="AZ65" s="12">
        <f t="array" ref="AZ65">1-PRODUCT(IF(Students=E65,RGRMult,1))</f>
        <v>0</v>
      </c>
      <c r="BA65" s="1">
        <f>COUNTIFS(Students,E65,Classes,HailMaryLabel)</f>
        <v>0</v>
      </c>
      <c r="BB65" s="1">
        <f>COUNTIFS(Students,E65,Classes,LongshotLabel)</f>
        <v>0</v>
      </c>
      <c r="BC65" s="1">
        <f>COUNTIFS(Students,E65,Classes,ReachLabel)</f>
        <v>0</v>
      </c>
      <c r="BD65" s="1">
        <f>COUNTIFS(Students,E65,Classes,MatchLabel)</f>
        <v>0</v>
      </c>
      <c r="BE65" s="1">
        <f>COUNTIFS(Students,E65,Classes,SafetyLabel)</f>
        <v>0</v>
      </c>
      <c r="BF65" s="1">
        <f>COUNTIFS(Students,E65,Classes,SecureLabel)</f>
        <v>0</v>
      </c>
      <c r="BG65" s="1">
        <f>COUNTIFS(Students,E65,Classes,SureThingLabel)</f>
        <v>0</v>
      </c>
      <c r="BH65" s="13">
        <f>COUNTIFS(Students,E65,Classes,"Other")</f>
        <v>0</v>
      </c>
      <c r="BI65" s="1">
        <f>COUNTIFS(Students,E65,Classes,ReachLabel,MoneyYesNo,1)</f>
        <v>0</v>
      </c>
      <c r="BJ65" s="1">
        <f>COUNTIFS(Students,E65,Classes,MatchLabel,MoneyYesNo,1)</f>
        <v>0</v>
      </c>
      <c r="BK65" s="1">
        <f>COUNTIFS(Students,E65,Classes,SafetyLabel,MoneyYesNo,1)</f>
        <v>0</v>
      </c>
      <c r="BL65" s="1">
        <f>COUNTIFS(Students,E65,Classes,SecureLabel,MoneyYesNo,1)</f>
        <v>0</v>
      </c>
      <c r="BM65" s="1">
        <f>COUNTIFS(Students,E65,Classes,SureThingLabel,MoneyYesNo,1)</f>
        <v>0</v>
      </c>
      <c r="BN65" s="1">
        <f>SUM(BI65:BM65)</f>
        <v>0</v>
      </c>
      <c r="BO65" s="1">
        <f>SUMIFS(RGRcount,Students,E65,MoneyYesNo,1,Odds,"&gt;=20")</f>
        <v>0</v>
      </c>
      <c r="BP65" s="1">
        <f>SUMIFS(MGRcount,Students,E65,MoneyYesNo,1,Odds,"&gt;=20")-BO65</f>
        <v>0</v>
      </c>
      <c r="BQ65" s="1">
        <f>SUMIFS(MGRcount,Students,E65,MoneyYesNo,1,Odds,"&gt;=50")</f>
        <v>0</v>
      </c>
      <c r="BR65" s="1">
        <f>SUMIFS(RGRcount,Students,E65,MoneyYesNo,1,Odds,"&gt;=10")</f>
        <v>0</v>
      </c>
      <c r="BS65" s="1">
        <f>SUMIFS(MGRcount,Students,E65,MoneyYesNo,1,Odds,"&gt;=10")-BR65</f>
        <v>0</v>
      </c>
      <c r="BT65" s="1">
        <f>COUNTIFS(Students,E65,ILPublic,1)</f>
        <v>0</v>
      </c>
      <c r="BU65" s="1">
        <f>COUNTIFS(Students,E65,ILPublic,1,MoneyYesNo,1,Classes,MatchLabel)+COUNTIFS(Students,E65,ILPublic,1,MoneyYesNo,1,Classes,SafetyLabel)+COUNTIFS(Students,E65,ILPublic,1,MoneyYesNo,1,Classes,SecureLabel)+COUNTIFS(Students,E65,ILPublic,1,MoneyYesNo,1,Classes,SureThingLabel)</f>
        <v>0</v>
      </c>
      <c r="BV65" s="1">
        <f>COUNTIFS(Students,E65,ILPublic,1, Classes,SecureLabel)</f>
        <v>0</v>
      </c>
      <c r="BW65" s="1">
        <f>COUNTIFS(Students,E65,MoneyChicago,1)</f>
        <v>0</v>
      </c>
      <c r="BX65" s="1">
        <f>COUNTIFS(Students,E65,MatchOrUnder,1)</f>
        <v>0</v>
      </c>
      <c r="BY65" s="1">
        <f>SUMIF(Students,E65,MGRcount)</f>
        <v>0</v>
      </c>
      <c r="BZ65" s="1">
        <f>COUNTIFS(Students,E65,BadMoney,1)</f>
        <v>0</v>
      </c>
      <c r="CA65" s="1">
        <f>COUNTIFS(Students,E65,GoldenThree,1)</f>
        <v>0</v>
      </c>
      <c r="CB65" s="1">
        <f>COUNTIFS(Students,E65,NCESids,147536)</f>
        <v>0</v>
      </c>
      <c r="CC65" s="1">
        <f>COUNTIFS(Students,E65,NCESids,144157)+COUNTIFS(Students,E65,NCESids,144166)+COUNTIFS(Students,E65,NCESids,144175)+COUNTIFS(Students,E65,NCESids,144184)+COUNTIFS(Students,E65,NCESids,144193)+COUNTIFS(Students,E65,NCESids,144209)+COUNTIFS(Students,E65,NCESids,144218)</f>
        <v>0</v>
      </c>
      <c r="CD65" s="1">
        <f>COUNTIFS(Students,E65,Results,"Accepted!",FarBelowTGRCount,0)+COUNTIFS(Students,E65,Results,"CHOICE!",FarBelowTGRCount,0)</f>
        <v>0</v>
      </c>
    </row>
    <row r="66" spans="1:82">
      <c r="A66" s="18" t="s">
        <v>96</v>
      </c>
      <c r="B66" s="19">
        <v>0</v>
      </c>
      <c r="C66" s="18" t="s">
        <v>97</v>
      </c>
      <c r="D66" s="18" t="s">
        <v>311</v>
      </c>
      <c r="E66" s="19">
        <v>30280677</v>
      </c>
      <c r="F66" s="19" t="s">
        <v>312</v>
      </c>
      <c r="G66" s="10" t="s">
        <v>313</v>
      </c>
      <c r="H66" s="46">
        <v>2.276</v>
      </c>
      <c r="I66" s="46">
        <v>2.476</v>
      </c>
      <c r="J66" s="1">
        <v>18</v>
      </c>
      <c r="K66" s="1">
        <f>IF(ISNUMBER(I66),ROUND(583.58+106.27*I66,-1),"TBD")</f>
        <v>0</v>
      </c>
      <c r="L66" s="1">
        <v>1060</v>
      </c>
      <c r="M66" s="1">
        <f>IF(ISNUMBER(L66),L66,IF(ISNUMBER(K66),K66,"TBD"))</f>
        <v>0</v>
      </c>
      <c r="N66" s="1">
        <f>IF(ISNUMBER(J66),VLOOKUP(J66,ACTtoSAT,2,FALSE),"TBD")</f>
        <v>0</v>
      </c>
      <c r="O66" s="1">
        <f>IF(ISNUMBER(M66),IF(ISNUMBER(N66),MAX(M66,N66),M66),IF(ISNUMBER(N66),N66,"TBD"))</f>
        <v>0</v>
      </c>
      <c r="P66" s="1" t="s">
        <v>101</v>
      </c>
      <c r="Q66" s="1" t="s">
        <v>102</v>
      </c>
      <c r="R66" s="1" t="s">
        <v>103</v>
      </c>
      <c r="S66" s="1">
        <f>IF(AND(H66&lt;&gt;0,O66&lt;&gt;0),IF(ISNUMBER(VLOOKUP(TEXT(MAX(FLOOR(H66*10,1)/10,1.5),"0.0")&amp;":"&amp;MAX(O66,710),StrategyLookup,4,FALSE)),VLOOKUP(TEXT(MAX(FLOOR(H66*10,1)/10,1.5),"0.0")&amp;":"&amp;MAX(O66,710),StrategyLookup,4,FALSE),"TBD"),"TBD")</f>
        <v>0</v>
      </c>
      <c r="T66" s="11">
        <f>IF(ISNUMBER(S66),VLOOKUP(IF(OR(S66=5,S66=6),S66&amp;IF(H66&gt;=3,"+","&lt;"),S66&amp;""),TargetLookup,IF(B66=-1,6,IF(OR(P66="W",P66="A"),4,2)),FALSE),"TBD")</f>
        <v>0</v>
      </c>
      <c r="U66" s="11">
        <f>IF(ISNUMBER(S66),VLOOKUP(IF(OR(S66=5,S66=6),S66&amp;IF(H66&gt;=3,"+","&lt;"),S66&amp;""),TargetLookup,IF(B66=-1,7,IF(OR(P66="W",P66="A"),5,3)),FALSE),"TBD")</f>
        <v>0</v>
      </c>
      <c r="V66" s="18" t="s">
        <v>104</v>
      </c>
      <c r="W66" s="19" t="s">
        <v>170</v>
      </c>
      <c r="X66" s="19" t="s">
        <v>106</v>
      </c>
      <c r="Y66" s="19">
        <f>V66&amp;X66&amp;D66</f>
        <v>0</v>
      </c>
      <c r="Z66" s="11">
        <f t="array" ref="Z66">1-PRODUCT(IF(Students=E66,MGRMoneyMult,1))</f>
        <v>0</v>
      </c>
      <c r="AA66" s="12">
        <f t="array" ref="AA66">1-PRODUCT(IF(Students=E66,RGRMoneyMult,1))</f>
        <v>0</v>
      </c>
      <c r="AB66" s="13">
        <f>COUNTIFS(Students,E66,Results,"Accepted!")+COUNTIFS(Students,E66,Results,"CHOICE!")</f>
        <v>0</v>
      </c>
      <c r="AC66" s="1">
        <f>COUNTIFS(Students,E66,Results,"Deferred")+COUNTIFS(Students,E66,Results,"Waitlist")</f>
        <v>0</v>
      </c>
      <c r="AD66" s="13">
        <f>COUNTIFS(Students,E66,Results,"Denied")</f>
        <v>0</v>
      </c>
      <c r="AE66" s="13">
        <f>AB66+AC66+AD66+COUNTIFS(Students,E66,Results,"Submitted")</f>
        <v>0</v>
      </c>
      <c r="AF66" s="12">
        <v>0.4739443049232941</v>
      </c>
      <c r="AG66" s="12">
        <v>0.42128020295344</v>
      </c>
      <c r="AH66" s="12">
        <v>0.4002821200661575</v>
      </c>
      <c r="AI66" s="12">
        <v>0.3789085802555821</v>
      </c>
      <c r="AJ66" s="13">
        <f>COUNTIFS(Students,E66,Results,"CHOICE!")</f>
        <v>0</v>
      </c>
      <c r="AK66" s="1">
        <f>COUNTIFS(MoneyYesNo,1,RGRcount,1,Students,E66,Results,"Accepted!")</f>
        <v>0</v>
      </c>
      <c r="AL66" s="1">
        <f>COUNTIFS(MoneyYesNo,1,MGRcount,1,Students,E66,Results,"Accepted!")-AK66</f>
        <v>0</v>
      </c>
      <c r="AM66" s="1">
        <f>COUNTIFS(MoneyYesNo,1,Students,E66,Results,"Accepted!")-AK66-AL66</f>
        <v>0</v>
      </c>
      <c r="AN66" s="13">
        <f>COUNTIFS(Students,E66,Results,"Accepted!")-AK66-AL66-AM66</f>
        <v>0</v>
      </c>
      <c r="AO66" s="1">
        <f>SUMIFS(RGRcount,Students,E66,MoneyYesNo,1)</f>
        <v>0</v>
      </c>
      <c r="AP66" s="1">
        <f>SUMIFS(MGRcount,Students,E66,MoneyYesNo,1)-AO66</f>
        <v>0</v>
      </c>
      <c r="AQ66" s="1">
        <f>SUMIF(Students,E66,MoneyYesNo)-AO66-AP66</f>
        <v>0</v>
      </c>
      <c r="AR66" s="13">
        <f>SUM(AO66,AP66,AQ66)</f>
        <v>0</v>
      </c>
      <c r="AS66" s="1">
        <f>SUMIF(Students,E66,RGRcount)</f>
        <v>0</v>
      </c>
      <c r="AT66" s="1">
        <f>SUMIF(Students,E66,MGRcount)-AS66</f>
        <v>0</v>
      </c>
      <c r="AU66" s="1">
        <f>COUNTIF(Students,E66)-AS66-AT66</f>
        <v>0</v>
      </c>
      <c r="AV66" s="1">
        <f>SUMIF(Students,E66,FarBelowTGRCount)</f>
        <v>0</v>
      </c>
      <c r="AW66" s="47">
        <f>COUNTIF(Students,E66)</f>
        <v>0</v>
      </c>
      <c r="AX66" s="11">
        <f>IF(AW66&gt;0,AE66/AW66,0)</f>
        <v>0</v>
      </c>
      <c r="AY66" s="11">
        <f t="array" ref="AY66">1-PRODUCT(IF(Students=E66,MGRMult,1))</f>
        <v>0</v>
      </c>
      <c r="AZ66" s="12">
        <f t="array" ref="AZ66">1-PRODUCT(IF(Students=E66,RGRMult,1))</f>
        <v>0</v>
      </c>
      <c r="BA66" s="1">
        <f>COUNTIFS(Students,E66,Classes,HailMaryLabel)</f>
        <v>0</v>
      </c>
      <c r="BB66" s="1">
        <f>COUNTIFS(Students,E66,Classes,LongshotLabel)</f>
        <v>0</v>
      </c>
      <c r="BC66" s="1">
        <f>COUNTIFS(Students,E66,Classes,ReachLabel)</f>
        <v>0</v>
      </c>
      <c r="BD66" s="1">
        <f>COUNTIFS(Students,E66,Classes,MatchLabel)</f>
        <v>0</v>
      </c>
      <c r="BE66" s="1">
        <f>COUNTIFS(Students,E66,Classes,SafetyLabel)</f>
        <v>0</v>
      </c>
      <c r="BF66" s="1">
        <f>COUNTIFS(Students,E66,Classes,SecureLabel)</f>
        <v>0</v>
      </c>
      <c r="BG66" s="1">
        <f>COUNTIFS(Students,E66,Classes,SureThingLabel)</f>
        <v>0</v>
      </c>
      <c r="BH66" s="13">
        <f>COUNTIFS(Students,E66,Classes,"Other")</f>
        <v>0</v>
      </c>
      <c r="BI66" s="1">
        <f>COUNTIFS(Students,E66,Classes,ReachLabel,MoneyYesNo,1)</f>
        <v>0</v>
      </c>
      <c r="BJ66" s="1">
        <f>COUNTIFS(Students,E66,Classes,MatchLabel,MoneyYesNo,1)</f>
        <v>0</v>
      </c>
      <c r="BK66" s="1">
        <f>COUNTIFS(Students,E66,Classes,SafetyLabel,MoneyYesNo,1)</f>
        <v>0</v>
      </c>
      <c r="BL66" s="1">
        <f>COUNTIFS(Students,E66,Classes,SecureLabel,MoneyYesNo,1)</f>
        <v>0</v>
      </c>
      <c r="BM66" s="1">
        <f>COUNTIFS(Students,E66,Classes,SureThingLabel,MoneyYesNo,1)</f>
        <v>0</v>
      </c>
      <c r="BN66" s="1">
        <f>SUM(BI66:BM66)</f>
        <v>0</v>
      </c>
      <c r="BO66" s="1">
        <f>SUMIFS(RGRcount,Students,E66,MoneyYesNo,1,Odds,"&gt;=20")</f>
        <v>0</v>
      </c>
      <c r="BP66" s="1">
        <f>SUMIFS(MGRcount,Students,E66,MoneyYesNo,1,Odds,"&gt;=20")-BO66</f>
        <v>0</v>
      </c>
      <c r="BQ66" s="1">
        <f>SUMIFS(MGRcount,Students,E66,MoneyYesNo,1,Odds,"&gt;=50")</f>
        <v>0</v>
      </c>
      <c r="BR66" s="1">
        <f>SUMIFS(RGRcount,Students,E66,MoneyYesNo,1,Odds,"&gt;=10")</f>
        <v>0</v>
      </c>
      <c r="BS66" s="1">
        <f>SUMIFS(MGRcount,Students,E66,MoneyYesNo,1,Odds,"&gt;=10")-BR66</f>
        <v>0</v>
      </c>
      <c r="BT66" s="1">
        <f>COUNTIFS(Students,E66,ILPublic,1)</f>
        <v>0</v>
      </c>
      <c r="BU66" s="1">
        <f>COUNTIFS(Students,E66,ILPublic,1,MoneyYesNo,1,Classes,MatchLabel)+COUNTIFS(Students,E66,ILPublic,1,MoneyYesNo,1,Classes,SafetyLabel)+COUNTIFS(Students,E66,ILPublic,1,MoneyYesNo,1,Classes,SecureLabel)+COUNTIFS(Students,E66,ILPublic,1,MoneyYesNo,1,Classes,SureThingLabel)</f>
        <v>0</v>
      </c>
      <c r="BV66" s="1">
        <f>COUNTIFS(Students,E66,ILPublic,1, Classes,SecureLabel)</f>
        <v>0</v>
      </c>
      <c r="BW66" s="1">
        <f>COUNTIFS(Students,E66,MoneyChicago,1)</f>
        <v>0</v>
      </c>
      <c r="BX66" s="1">
        <f>COUNTIFS(Students,E66,MatchOrUnder,1)</f>
        <v>0</v>
      </c>
      <c r="BY66" s="1">
        <f>SUMIF(Students,E66,MGRcount)</f>
        <v>0</v>
      </c>
      <c r="BZ66" s="1">
        <f>COUNTIFS(Students,E66,BadMoney,1)</f>
        <v>0</v>
      </c>
      <c r="CA66" s="1">
        <f>COUNTIFS(Students,E66,GoldenThree,1)</f>
        <v>0</v>
      </c>
      <c r="CB66" s="1">
        <f>COUNTIFS(Students,E66,NCESids,147536)</f>
        <v>0</v>
      </c>
      <c r="CC66" s="1">
        <f>COUNTIFS(Students,E66,NCESids,144157)+COUNTIFS(Students,E66,NCESids,144166)+COUNTIFS(Students,E66,NCESids,144175)+COUNTIFS(Students,E66,NCESids,144184)+COUNTIFS(Students,E66,NCESids,144193)+COUNTIFS(Students,E66,NCESids,144209)+COUNTIFS(Students,E66,NCESids,144218)</f>
        <v>0</v>
      </c>
      <c r="CD66" s="1">
        <f>COUNTIFS(Students,E66,Results,"Accepted!",FarBelowTGRCount,0)+COUNTIFS(Students,E66,Results,"CHOICE!",FarBelowTGRCount,0)</f>
        <v>0</v>
      </c>
    </row>
    <row r="67" spans="1:82">
      <c r="A67" s="18" t="s">
        <v>96</v>
      </c>
      <c r="B67" s="19">
        <v>0</v>
      </c>
      <c r="C67" s="18" t="s">
        <v>97</v>
      </c>
      <c r="D67" s="18" t="s">
        <v>314</v>
      </c>
      <c r="E67" s="19">
        <v>22026339</v>
      </c>
      <c r="F67" s="19" t="s">
        <v>315</v>
      </c>
      <c r="G67" s="10" t="s">
        <v>316</v>
      </c>
      <c r="H67" s="46">
        <v>3.4038</v>
      </c>
      <c r="I67" s="46">
        <v>3.6038</v>
      </c>
      <c r="J67" s="1">
        <v>16</v>
      </c>
      <c r="K67" s="1">
        <f>IF(ISNUMBER(I67),ROUND(583.58+106.27*I67,-1),"TBD")</f>
        <v>0</v>
      </c>
      <c r="L67" s="1">
        <v>1200</v>
      </c>
      <c r="M67" s="1">
        <f>IF(ISNUMBER(L67),L67,IF(ISNUMBER(K67),K67,"TBD"))</f>
        <v>0</v>
      </c>
      <c r="N67" s="1">
        <f>IF(ISNUMBER(J67),VLOOKUP(J67,ACTtoSAT,2,FALSE),"TBD")</f>
        <v>0</v>
      </c>
      <c r="O67" s="1">
        <f>IF(ISNUMBER(M67),IF(ISNUMBER(N67),MAX(M67,N67),M67),IF(ISNUMBER(N67),N67,"TBD"))</f>
        <v>0</v>
      </c>
      <c r="P67" s="1" t="s">
        <v>101</v>
      </c>
      <c r="Q67" s="1" t="s">
        <v>123</v>
      </c>
      <c r="R67" s="1" t="s">
        <v>124</v>
      </c>
      <c r="S67" s="1">
        <f>IF(AND(H67&lt;&gt;0,O67&lt;&gt;0),IF(ISNUMBER(VLOOKUP(TEXT(MAX(FLOOR(H67*10,1)/10,1.5),"0.0")&amp;":"&amp;MAX(O67,710),StrategyLookup,4,FALSE)),VLOOKUP(TEXT(MAX(FLOOR(H67*10,1)/10,1.5),"0.0")&amp;":"&amp;MAX(O67,710),StrategyLookup,4,FALSE),"TBD"),"TBD")</f>
        <v>0</v>
      </c>
      <c r="T67" s="11">
        <f>IF(ISNUMBER(S67),VLOOKUP(IF(OR(S67=5,S67=6),S67&amp;IF(H67&gt;=3,"+","&lt;"),S67&amp;""),TargetLookup,IF(B67=-1,6,IF(OR(P67="W",P67="A"),4,2)),FALSE),"TBD")</f>
        <v>0</v>
      </c>
      <c r="U67" s="11">
        <f>IF(ISNUMBER(S67),VLOOKUP(IF(OR(S67=5,S67=6),S67&amp;IF(H67&gt;=3,"+","&lt;"),S67&amp;""),TargetLookup,IF(B67=-1,7,IF(OR(P67="W",P67="A"),5,3)),FALSE),"TBD")</f>
        <v>0</v>
      </c>
      <c r="V67" s="18" t="s">
        <v>160</v>
      </c>
      <c r="W67" s="19" t="s">
        <v>131</v>
      </c>
      <c r="X67" s="19" t="s">
        <v>106</v>
      </c>
      <c r="Y67" s="19">
        <f>V67&amp;X67&amp;D67</f>
        <v>0</v>
      </c>
      <c r="Z67" s="11">
        <f t="array" ref="Z67">1-PRODUCT(IF(Students=E67,MGRMoneyMult,1))</f>
        <v>0</v>
      </c>
      <c r="AA67" s="12">
        <f t="array" ref="AA67">1-PRODUCT(IF(Students=E67,RGRMoneyMult,1))</f>
        <v>0</v>
      </c>
      <c r="AB67" s="13">
        <f>COUNTIFS(Students,E67,Results,"Accepted!")+COUNTIFS(Students,E67,Results,"CHOICE!")</f>
        <v>0</v>
      </c>
      <c r="AC67" s="1">
        <f>COUNTIFS(Students,E67,Results,"Deferred")+COUNTIFS(Students,E67,Results,"Waitlist")</f>
        <v>0</v>
      </c>
      <c r="AD67" s="13">
        <f>COUNTIFS(Students,E67,Results,"Denied")</f>
        <v>0</v>
      </c>
      <c r="AE67" s="13">
        <f>AB67+AC67+AD67+COUNTIFS(Students,E67,Results,"Submitted")</f>
        <v>0</v>
      </c>
      <c r="AF67" s="12">
        <v>0.8143457441054458</v>
      </c>
      <c r="AG67" s="12">
        <v>0.7774286441596244</v>
      </c>
      <c r="AH67" s="12">
        <v>0.6733772261079914</v>
      </c>
      <c r="AI67" s="12">
        <v>0.6451398300461857</v>
      </c>
      <c r="AJ67" s="13">
        <f>COUNTIFS(Students,E67,Results,"CHOICE!")</f>
        <v>0</v>
      </c>
      <c r="AK67" s="1">
        <f>COUNTIFS(MoneyYesNo,1,RGRcount,1,Students,E67,Results,"Accepted!")</f>
        <v>0</v>
      </c>
      <c r="AL67" s="1">
        <f>COUNTIFS(MoneyYesNo,1,MGRcount,1,Students,E67,Results,"Accepted!")-AK67</f>
        <v>0</v>
      </c>
      <c r="AM67" s="1">
        <f>COUNTIFS(MoneyYesNo,1,Students,E67,Results,"Accepted!")-AK67-AL67</f>
        <v>0</v>
      </c>
      <c r="AN67" s="13">
        <f>COUNTIFS(Students,E67,Results,"Accepted!")-AK67-AL67-AM67</f>
        <v>0</v>
      </c>
      <c r="AO67" s="1">
        <f>SUMIFS(RGRcount,Students,E67,MoneyYesNo,1)</f>
        <v>0</v>
      </c>
      <c r="AP67" s="1">
        <f>SUMIFS(MGRcount,Students,E67,MoneyYesNo,1)-AO67</f>
        <v>0</v>
      </c>
      <c r="AQ67" s="1">
        <f>SUMIF(Students,E67,MoneyYesNo)-AO67-AP67</f>
        <v>0</v>
      </c>
      <c r="AR67" s="13">
        <f>SUM(AO67,AP67,AQ67)</f>
        <v>0</v>
      </c>
      <c r="AS67" s="1">
        <f>SUMIF(Students,E67,RGRcount)</f>
        <v>0</v>
      </c>
      <c r="AT67" s="1">
        <f>SUMIF(Students,E67,MGRcount)-AS67</f>
        <v>0</v>
      </c>
      <c r="AU67" s="1">
        <f>COUNTIF(Students,E67)-AS67-AT67</f>
        <v>0</v>
      </c>
      <c r="AV67" s="1">
        <f>SUMIF(Students,E67,FarBelowTGRCount)</f>
        <v>0</v>
      </c>
      <c r="AW67" s="47">
        <f>COUNTIF(Students,E67)</f>
        <v>0</v>
      </c>
      <c r="AX67" s="11">
        <f>IF(AW67&gt;0,AE67/AW67,0)</f>
        <v>0</v>
      </c>
      <c r="AY67" s="11">
        <f t="array" ref="AY67">1-PRODUCT(IF(Students=E67,MGRMult,1))</f>
        <v>0</v>
      </c>
      <c r="AZ67" s="12">
        <f t="array" ref="AZ67">1-PRODUCT(IF(Students=E67,RGRMult,1))</f>
        <v>0</v>
      </c>
      <c r="BA67" s="1">
        <f>COUNTIFS(Students,E67,Classes,HailMaryLabel)</f>
        <v>0</v>
      </c>
      <c r="BB67" s="1">
        <f>COUNTIFS(Students,E67,Classes,LongshotLabel)</f>
        <v>0</v>
      </c>
      <c r="BC67" s="1">
        <f>COUNTIFS(Students,E67,Classes,ReachLabel)</f>
        <v>0</v>
      </c>
      <c r="BD67" s="1">
        <f>COUNTIFS(Students,E67,Classes,MatchLabel)</f>
        <v>0</v>
      </c>
      <c r="BE67" s="1">
        <f>COUNTIFS(Students,E67,Classes,SafetyLabel)</f>
        <v>0</v>
      </c>
      <c r="BF67" s="1">
        <f>COUNTIFS(Students,E67,Classes,SecureLabel)</f>
        <v>0</v>
      </c>
      <c r="BG67" s="1">
        <f>COUNTIFS(Students,E67,Classes,SureThingLabel)</f>
        <v>0</v>
      </c>
      <c r="BH67" s="13">
        <f>COUNTIFS(Students,E67,Classes,"Other")</f>
        <v>0</v>
      </c>
      <c r="BI67" s="1">
        <f>COUNTIFS(Students,E67,Classes,ReachLabel,MoneyYesNo,1)</f>
        <v>0</v>
      </c>
      <c r="BJ67" s="1">
        <f>COUNTIFS(Students,E67,Classes,MatchLabel,MoneyYesNo,1)</f>
        <v>0</v>
      </c>
      <c r="BK67" s="1">
        <f>COUNTIFS(Students,E67,Classes,SafetyLabel,MoneyYesNo,1)</f>
        <v>0</v>
      </c>
      <c r="BL67" s="1">
        <f>COUNTIFS(Students,E67,Classes,SecureLabel,MoneyYesNo,1)</f>
        <v>0</v>
      </c>
      <c r="BM67" s="1">
        <f>COUNTIFS(Students,E67,Classes,SureThingLabel,MoneyYesNo,1)</f>
        <v>0</v>
      </c>
      <c r="BN67" s="1">
        <f>SUM(BI67:BM67)</f>
        <v>0</v>
      </c>
      <c r="BO67" s="1">
        <f>SUMIFS(RGRcount,Students,E67,MoneyYesNo,1,Odds,"&gt;=20")</f>
        <v>0</v>
      </c>
      <c r="BP67" s="1">
        <f>SUMIFS(MGRcount,Students,E67,MoneyYesNo,1,Odds,"&gt;=20")-BO67</f>
        <v>0</v>
      </c>
      <c r="BQ67" s="1">
        <f>SUMIFS(MGRcount,Students,E67,MoneyYesNo,1,Odds,"&gt;=50")</f>
        <v>0</v>
      </c>
      <c r="BR67" s="1">
        <f>SUMIFS(RGRcount,Students,E67,MoneyYesNo,1,Odds,"&gt;=10")</f>
        <v>0</v>
      </c>
      <c r="BS67" s="1">
        <f>SUMIFS(MGRcount,Students,E67,MoneyYesNo,1,Odds,"&gt;=10")-BR67</f>
        <v>0</v>
      </c>
      <c r="BT67" s="1">
        <f>COUNTIFS(Students,E67,ILPublic,1)</f>
        <v>0</v>
      </c>
      <c r="BU67" s="1">
        <f>COUNTIFS(Students,E67,ILPublic,1,MoneyYesNo,1,Classes,MatchLabel)+COUNTIFS(Students,E67,ILPublic,1,MoneyYesNo,1,Classes,SafetyLabel)+COUNTIFS(Students,E67,ILPublic,1,MoneyYesNo,1,Classes,SecureLabel)+COUNTIFS(Students,E67,ILPublic,1,MoneyYesNo,1,Classes,SureThingLabel)</f>
        <v>0</v>
      </c>
      <c r="BV67" s="1">
        <f>COUNTIFS(Students,E67,ILPublic,1, Classes,SecureLabel)</f>
        <v>0</v>
      </c>
      <c r="BW67" s="1">
        <f>COUNTIFS(Students,E67,MoneyChicago,1)</f>
        <v>0</v>
      </c>
      <c r="BX67" s="1">
        <f>COUNTIFS(Students,E67,MatchOrUnder,1)</f>
        <v>0</v>
      </c>
      <c r="BY67" s="1">
        <f>SUMIF(Students,E67,MGRcount)</f>
        <v>0</v>
      </c>
      <c r="BZ67" s="1">
        <f>COUNTIFS(Students,E67,BadMoney,1)</f>
        <v>0</v>
      </c>
      <c r="CA67" s="1">
        <f>COUNTIFS(Students,E67,GoldenThree,1)</f>
        <v>0</v>
      </c>
      <c r="CB67" s="1">
        <f>COUNTIFS(Students,E67,NCESids,147536)</f>
        <v>0</v>
      </c>
      <c r="CC67" s="1">
        <f>COUNTIFS(Students,E67,NCESids,144157)+COUNTIFS(Students,E67,NCESids,144166)+COUNTIFS(Students,E67,NCESids,144175)+COUNTIFS(Students,E67,NCESids,144184)+COUNTIFS(Students,E67,NCESids,144193)+COUNTIFS(Students,E67,NCESids,144209)+COUNTIFS(Students,E67,NCESids,144218)</f>
        <v>0</v>
      </c>
      <c r="CD67" s="1">
        <f>COUNTIFS(Students,E67,Results,"Accepted!",FarBelowTGRCount,0)+COUNTIFS(Students,E67,Results,"CHOICE!",FarBelowTGRCount,0)</f>
        <v>0</v>
      </c>
    </row>
    <row r="68" spans="1:82">
      <c r="A68" s="18" t="s">
        <v>96</v>
      </c>
      <c r="B68" s="19">
        <v>0</v>
      </c>
      <c r="C68" s="18" t="s">
        <v>97</v>
      </c>
      <c r="D68" s="18" t="s">
        <v>317</v>
      </c>
      <c r="E68" s="19">
        <v>23477628</v>
      </c>
      <c r="F68" s="19" t="s">
        <v>318</v>
      </c>
      <c r="G68" s="10" t="s">
        <v>319</v>
      </c>
      <c r="H68" s="46">
        <v>3.0519</v>
      </c>
      <c r="I68" s="46">
        <v>3.2519</v>
      </c>
      <c r="J68" s="1">
        <v>17</v>
      </c>
      <c r="K68" s="1">
        <f>IF(ISNUMBER(I68),ROUND(583.58+106.27*I68,-1),"TBD")</f>
        <v>0</v>
      </c>
      <c r="L68" s="1">
        <v>990</v>
      </c>
      <c r="M68" s="1">
        <f>IF(ISNUMBER(L68),L68,IF(ISNUMBER(K68),K68,"TBD"))</f>
        <v>0</v>
      </c>
      <c r="N68" s="1">
        <f>IF(ISNUMBER(J68),VLOOKUP(J68,ACTtoSAT,2,FALSE),"TBD")</f>
        <v>0</v>
      </c>
      <c r="O68" s="1">
        <f>IF(ISNUMBER(M68),IF(ISNUMBER(N68),MAX(M68,N68),M68),IF(ISNUMBER(N68),N68,"TBD"))</f>
        <v>0</v>
      </c>
      <c r="P68" s="1" t="s">
        <v>101</v>
      </c>
      <c r="Q68" s="1" t="s">
        <v>123</v>
      </c>
      <c r="R68" s="1" t="s">
        <v>124</v>
      </c>
      <c r="S68" s="1">
        <f>IF(AND(H68&lt;&gt;0,O68&lt;&gt;0),IF(ISNUMBER(VLOOKUP(TEXT(MAX(FLOOR(H68*10,1)/10,1.5),"0.0")&amp;":"&amp;MAX(O68,710),StrategyLookup,4,FALSE)),VLOOKUP(TEXT(MAX(FLOOR(H68*10,1)/10,1.5),"0.0")&amp;":"&amp;MAX(O68,710),StrategyLookup,4,FALSE),"TBD"),"TBD")</f>
        <v>0</v>
      </c>
      <c r="T68" s="11">
        <f>IF(ISNUMBER(S68),VLOOKUP(IF(OR(S68=5,S68=6),S68&amp;IF(H68&gt;=3,"+","&lt;"),S68&amp;""),TargetLookup,IF(B68=-1,6,IF(OR(P68="W",P68="A"),4,2)),FALSE),"TBD")</f>
        <v>0</v>
      </c>
      <c r="U68" s="11">
        <f>IF(ISNUMBER(S68),VLOOKUP(IF(OR(S68=5,S68=6),S68&amp;IF(H68&gt;=3,"+","&lt;"),S68&amp;""),TargetLookup,IF(B68=-1,7,IF(OR(P68="W",P68="A"),5,3)),FALSE),"TBD")</f>
        <v>0</v>
      </c>
      <c r="V68" s="18" t="s">
        <v>160</v>
      </c>
      <c r="W68" s="19" t="s">
        <v>136</v>
      </c>
      <c r="X68" s="19" t="s">
        <v>106</v>
      </c>
      <c r="Y68" s="19">
        <f>V68&amp;X68&amp;D68</f>
        <v>0</v>
      </c>
      <c r="Z68" s="11">
        <f t="array" ref="Z68">1-PRODUCT(IF(Students=E68,MGRMoneyMult,1))</f>
        <v>0</v>
      </c>
      <c r="AA68" s="12">
        <f t="array" ref="AA68">1-PRODUCT(IF(Students=E68,RGRMoneyMult,1))</f>
        <v>0</v>
      </c>
      <c r="AB68" s="13">
        <f>COUNTIFS(Students,E68,Results,"Accepted!")+COUNTIFS(Students,E68,Results,"CHOICE!")</f>
        <v>0</v>
      </c>
      <c r="AC68" s="1">
        <f>COUNTIFS(Students,E68,Results,"Deferred")+COUNTIFS(Students,E68,Results,"Waitlist")</f>
        <v>0</v>
      </c>
      <c r="AD68" s="13">
        <f>COUNTIFS(Students,E68,Results,"Denied")</f>
        <v>0</v>
      </c>
      <c r="AE68" s="13">
        <f>AB68+AC68+AD68+COUNTIFS(Students,E68,Results,"Submitted")</f>
        <v>0</v>
      </c>
      <c r="AF68" s="12">
        <v>0.7048619260118563</v>
      </c>
      <c r="AG68" s="12">
        <v>0.5772332302805278</v>
      </c>
      <c r="AH68" s="12">
        <v>0.5220084920046055</v>
      </c>
      <c r="AI68" s="12">
        <v>0.4982789048650776</v>
      </c>
      <c r="AJ68" s="13">
        <f>COUNTIFS(Students,E68,Results,"CHOICE!")</f>
        <v>0</v>
      </c>
      <c r="AK68" s="1">
        <f>COUNTIFS(MoneyYesNo,1,RGRcount,1,Students,E68,Results,"Accepted!")</f>
        <v>0</v>
      </c>
      <c r="AL68" s="1">
        <f>COUNTIFS(MoneyYesNo,1,MGRcount,1,Students,E68,Results,"Accepted!")-AK68</f>
        <v>0</v>
      </c>
      <c r="AM68" s="1">
        <f>COUNTIFS(MoneyYesNo,1,Students,E68,Results,"Accepted!")-AK68-AL68</f>
        <v>0</v>
      </c>
      <c r="AN68" s="13">
        <f>COUNTIFS(Students,E68,Results,"Accepted!")-AK68-AL68-AM68</f>
        <v>0</v>
      </c>
      <c r="AO68" s="1">
        <f>SUMIFS(RGRcount,Students,E68,MoneyYesNo,1)</f>
        <v>0</v>
      </c>
      <c r="AP68" s="1">
        <f>SUMIFS(MGRcount,Students,E68,MoneyYesNo,1)-AO68</f>
        <v>0</v>
      </c>
      <c r="AQ68" s="1">
        <f>SUMIF(Students,E68,MoneyYesNo)-AO68-AP68</f>
        <v>0</v>
      </c>
      <c r="AR68" s="13">
        <f>SUM(AO68,AP68,AQ68)</f>
        <v>0</v>
      </c>
      <c r="AS68" s="1">
        <f>SUMIF(Students,E68,RGRcount)</f>
        <v>0</v>
      </c>
      <c r="AT68" s="1">
        <f>SUMIF(Students,E68,MGRcount)-AS68</f>
        <v>0</v>
      </c>
      <c r="AU68" s="1">
        <f>COUNTIF(Students,E68)-AS68-AT68</f>
        <v>0</v>
      </c>
      <c r="AV68" s="1">
        <f>SUMIF(Students,E68,FarBelowTGRCount)</f>
        <v>0</v>
      </c>
      <c r="AW68" s="47">
        <f>COUNTIF(Students,E68)</f>
        <v>0</v>
      </c>
      <c r="AX68" s="11">
        <f>IF(AW68&gt;0,AE68/AW68,0)</f>
        <v>0</v>
      </c>
      <c r="AY68" s="11">
        <f t="array" ref="AY68">1-PRODUCT(IF(Students=E68,MGRMult,1))</f>
        <v>0</v>
      </c>
      <c r="AZ68" s="12">
        <f t="array" ref="AZ68">1-PRODUCT(IF(Students=E68,RGRMult,1))</f>
        <v>0</v>
      </c>
      <c r="BA68" s="1">
        <f>COUNTIFS(Students,E68,Classes,HailMaryLabel)</f>
        <v>0</v>
      </c>
      <c r="BB68" s="1">
        <f>COUNTIFS(Students,E68,Classes,LongshotLabel)</f>
        <v>0</v>
      </c>
      <c r="BC68" s="1">
        <f>COUNTIFS(Students,E68,Classes,ReachLabel)</f>
        <v>0</v>
      </c>
      <c r="BD68" s="1">
        <f>COUNTIFS(Students,E68,Classes,MatchLabel)</f>
        <v>0</v>
      </c>
      <c r="BE68" s="1">
        <f>COUNTIFS(Students,E68,Classes,SafetyLabel)</f>
        <v>0</v>
      </c>
      <c r="BF68" s="1">
        <f>COUNTIFS(Students,E68,Classes,SecureLabel)</f>
        <v>0</v>
      </c>
      <c r="BG68" s="1">
        <f>COUNTIFS(Students,E68,Classes,SureThingLabel)</f>
        <v>0</v>
      </c>
      <c r="BH68" s="13">
        <f>COUNTIFS(Students,E68,Classes,"Other")</f>
        <v>0</v>
      </c>
      <c r="BI68" s="1">
        <f>COUNTIFS(Students,E68,Classes,ReachLabel,MoneyYesNo,1)</f>
        <v>0</v>
      </c>
      <c r="BJ68" s="1">
        <f>COUNTIFS(Students,E68,Classes,MatchLabel,MoneyYesNo,1)</f>
        <v>0</v>
      </c>
      <c r="BK68" s="1">
        <f>COUNTIFS(Students,E68,Classes,SafetyLabel,MoneyYesNo,1)</f>
        <v>0</v>
      </c>
      <c r="BL68" s="1">
        <f>COUNTIFS(Students,E68,Classes,SecureLabel,MoneyYesNo,1)</f>
        <v>0</v>
      </c>
      <c r="BM68" s="1">
        <f>COUNTIFS(Students,E68,Classes,SureThingLabel,MoneyYesNo,1)</f>
        <v>0</v>
      </c>
      <c r="BN68" s="1">
        <f>SUM(BI68:BM68)</f>
        <v>0</v>
      </c>
      <c r="BO68" s="1">
        <f>SUMIFS(RGRcount,Students,E68,MoneyYesNo,1,Odds,"&gt;=20")</f>
        <v>0</v>
      </c>
      <c r="BP68" s="1">
        <f>SUMIFS(MGRcount,Students,E68,MoneyYesNo,1,Odds,"&gt;=20")-BO68</f>
        <v>0</v>
      </c>
      <c r="BQ68" s="1">
        <f>SUMIFS(MGRcount,Students,E68,MoneyYesNo,1,Odds,"&gt;=50")</f>
        <v>0</v>
      </c>
      <c r="BR68" s="1">
        <f>SUMIFS(RGRcount,Students,E68,MoneyYesNo,1,Odds,"&gt;=10")</f>
        <v>0</v>
      </c>
      <c r="BS68" s="1">
        <f>SUMIFS(MGRcount,Students,E68,MoneyYesNo,1,Odds,"&gt;=10")-BR68</f>
        <v>0</v>
      </c>
      <c r="BT68" s="1">
        <f>COUNTIFS(Students,E68,ILPublic,1)</f>
        <v>0</v>
      </c>
      <c r="BU68" s="1">
        <f>COUNTIFS(Students,E68,ILPublic,1,MoneyYesNo,1,Classes,MatchLabel)+COUNTIFS(Students,E68,ILPublic,1,MoneyYesNo,1,Classes,SafetyLabel)+COUNTIFS(Students,E68,ILPublic,1,MoneyYesNo,1,Classes,SecureLabel)+COUNTIFS(Students,E68,ILPublic,1,MoneyYesNo,1,Classes,SureThingLabel)</f>
        <v>0</v>
      </c>
      <c r="BV68" s="1">
        <f>COUNTIFS(Students,E68,ILPublic,1, Classes,SecureLabel)</f>
        <v>0</v>
      </c>
      <c r="BW68" s="1">
        <f>COUNTIFS(Students,E68,MoneyChicago,1)</f>
        <v>0</v>
      </c>
      <c r="BX68" s="1">
        <f>COUNTIFS(Students,E68,MatchOrUnder,1)</f>
        <v>0</v>
      </c>
      <c r="BY68" s="1">
        <f>SUMIF(Students,E68,MGRcount)</f>
        <v>0</v>
      </c>
      <c r="BZ68" s="1">
        <f>COUNTIFS(Students,E68,BadMoney,1)</f>
        <v>0</v>
      </c>
      <c r="CA68" s="1">
        <f>COUNTIFS(Students,E68,GoldenThree,1)</f>
        <v>0</v>
      </c>
      <c r="CB68" s="1">
        <f>COUNTIFS(Students,E68,NCESids,147536)</f>
        <v>0</v>
      </c>
      <c r="CC68" s="1">
        <f>COUNTIFS(Students,E68,NCESids,144157)+COUNTIFS(Students,E68,NCESids,144166)+COUNTIFS(Students,E68,NCESids,144175)+COUNTIFS(Students,E68,NCESids,144184)+COUNTIFS(Students,E68,NCESids,144193)+COUNTIFS(Students,E68,NCESids,144209)+COUNTIFS(Students,E68,NCESids,144218)</f>
        <v>0</v>
      </c>
      <c r="CD68" s="1">
        <f>COUNTIFS(Students,E68,Results,"Accepted!",FarBelowTGRCount,0)+COUNTIFS(Students,E68,Results,"CHOICE!",FarBelowTGRCount,0)</f>
        <v>0</v>
      </c>
    </row>
    <row r="69" spans="1:82">
      <c r="A69" s="18" t="s">
        <v>96</v>
      </c>
      <c r="B69" s="19">
        <v>0</v>
      </c>
      <c r="C69" s="18" t="s">
        <v>153</v>
      </c>
      <c r="D69" s="18" t="s">
        <v>320</v>
      </c>
      <c r="E69" s="19">
        <v>23499435</v>
      </c>
      <c r="F69" s="19" t="s">
        <v>321</v>
      </c>
      <c r="G69" s="10" t="s">
        <v>322</v>
      </c>
      <c r="H69" s="46">
        <v>3.5288</v>
      </c>
      <c r="I69" s="46">
        <v>3.7288</v>
      </c>
      <c r="J69" s="1">
        <v>19</v>
      </c>
      <c r="K69" s="1">
        <f>IF(ISNUMBER(I69),ROUND(583.58+106.27*I69,-1),"TBD")</f>
        <v>0</v>
      </c>
      <c r="L69" s="1">
        <v>1330</v>
      </c>
      <c r="M69" s="1">
        <f>IF(ISNUMBER(L69),L69,IF(ISNUMBER(K69),K69,"TBD"))</f>
        <v>0</v>
      </c>
      <c r="N69" s="1">
        <f>IF(ISNUMBER(J69),VLOOKUP(J69,ACTtoSAT,2,FALSE),"TBD")</f>
        <v>0</v>
      </c>
      <c r="O69" s="1">
        <f>IF(ISNUMBER(M69),IF(ISNUMBER(N69),MAX(M69,N69),M69),IF(ISNUMBER(N69),N69,"TBD"))</f>
        <v>0</v>
      </c>
      <c r="P69" s="1" t="s">
        <v>101</v>
      </c>
      <c r="Q69" s="1" t="s">
        <v>102</v>
      </c>
      <c r="R69" s="1" t="s">
        <v>103</v>
      </c>
      <c r="S69" s="1">
        <f>IF(AND(H69&lt;&gt;0,O69&lt;&gt;0),IF(ISNUMBER(VLOOKUP(TEXT(MAX(FLOOR(H69*10,1)/10,1.5),"0.0")&amp;":"&amp;MAX(O69,710),StrategyLookup,4,FALSE)),VLOOKUP(TEXT(MAX(FLOOR(H69*10,1)/10,1.5),"0.0")&amp;":"&amp;MAX(O69,710),StrategyLookup,4,FALSE),"TBD"),"TBD")</f>
        <v>0</v>
      </c>
      <c r="T69" s="11">
        <f>IF(ISNUMBER(S69),VLOOKUP(IF(OR(S69=5,S69=6),S69&amp;IF(H69&gt;=3,"+","&lt;"),S69&amp;""),TargetLookup,IF(B69=-1,6,IF(OR(P69="W",P69="A"),4,2)),FALSE),"TBD")</f>
        <v>0</v>
      </c>
      <c r="U69" s="11">
        <f>IF(ISNUMBER(S69),VLOOKUP(IF(OR(S69=5,S69=6),S69&amp;IF(H69&gt;=3,"+","&lt;"),S69&amp;""),TargetLookup,IF(B69=-1,7,IF(OR(P69="W",P69="A"),5,3)),FALSE),"TBD")</f>
        <v>0</v>
      </c>
      <c r="V69" s="18" t="s">
        <v>115</v>
      </c>
      <c r="W69" s="19" t="s">
        <v>105</v>
      </c>
      <c r="X69" s="19" t="s">
        <v>106</v>
      </c>
      <c r="Y69" s="19">
        <f>V69&amp;X69&amp;D69</f>
        <v>0</v>
      </c>
      <c r="Z69" s="11">
        <f t="array" ref="Z69">1-PRODUCT(IF(Students=E69,MGRMoneyMult,1))</f>
        <v>0</v>
      </c>
      <c r="AA69" s="12">
        <f t="array" ref="AA69">1-PRODUCT(IF(Students=E69,RGRMoneyMult,1))</f>
        <v>0</v>
      </c>
      <c r="AB69" s="13">
        <f>COUNTIFS(Students,E69,Results,"Accepted!")+COUNTIFS(Students,E69,Results,"CHOICE!")</f>
        <v>0</v>
      </c>
      <c r="AC69" s="1">
        <f>COUNTIFS(Students,E69,Results,"Deferred")+COUNTIFS(Students,E69,Results,"Waitlist")</f>
        <v>0</v>
      </c>
      <c r="AD69" s="13">
        <f>COUNTIFS(Students,E69,Results,"Denied")</f>
        <v>0</v>
      </c>
      <c r="AE69" s="13">
        <f>AB69+AC69+AD69+COUNTIFS(Students,E69,Results,"Submitted")</f>
        <v>0</v>
      </c>
      <c r="AF69" s="12">
        <v>0.8334207287889911</v>
      </c>
      <c r="AG69" s="12">
        <v>0.7839585075723265</v>
      </c>
      <c r="AH69" s="12">
        <v>0.7036451392787495</v>
      </c>
      <c r="AI69" s="12">
        <v>0.6783810677734526</v>
      </c>
      <c r="AJ69" s="13">
        <f>COUNTIFS(Students,E69,Results,"CHOICE!")</f>
        <v>0</v>
      </c>
      <c r="AK69" s="1">
        <f>COUNTIFS(MoneyYesNo,1,RGRcount,1,Students,E69,Results,"Accepted!")</f>
        <v>0</v>
      </c>
      <c r="AL69" s="1">
        <f>COUNTIFS(MoneyYesNo,1,MGRcount,1,Students,E69,Results,"Accepted!")-AK69</f>
        <v>0</v>
      </c>
      <c r="AM69" s="1">
        <f>COUNTIFS(MoneyYesNo,1,Students,E69,Results,"Accepted!")-AK69-AL69</f>
        <v>0</v>
      </c>
      <c r="AN69" s="13">
        <f>COUNTIFS(Students,E69,Results,"Accepted!")-AK69-AL69-AM69</f>
        <v>0</v>
      </c>
      <c r="AO69" s="1">
        <f>SUMIFS(RGRcount,Students,E69,MoneyYesNo,1)</f>
        <v>0</v>
      </c>
      <c r="AP69" s="1">
        <f>SUMIFS(MGRcount,Students,E69,MoneyYesNo,1)-AO69</f>
        <v>0</v>
      </c>
      <c r="AQ69" s="1">
        <f>SUMIF(Students,E69,MoneyYesNo)-AO69-AP69</f>
        <v>0</v>
      </c>
      <c r="AR69" s="13">
        <f>SUM(AO69,AP69,AQ69)</f>
        <v>0</v>
      </c>
      <c r="AS69" s="1">
        <f>SUMIF(Students,E69,RGRcount)</f>
        <v>0</v>
      </c>
      <c r="AT69" s="1">
        <f>SUMIF(Students,E69,MGRcount)-AS69</f>
        <v>0</v>
      </c>
      <c r="AU69" s="1">
        <f>COUNTIF(Students,E69)-AS69-AT69</f>
        <v>0</v>
      </c>
      <c r="AV69" s="1">
        <f>SUMIF(Students,E69,FarBelowTGRCount)</f>
        <v>0</v>
      </c>
      <c r="AW69" s="47">
        <f>COUNTIF(Students,E69)</f>
        <v>0</v>
      </c>
      <c r="AX69" s="11">
        <f>IF(AW69&gt;0,AE69/AW69,0)</f>
        <v>0</v>
      </c>
      <c r="AY69" s="11">
        <f t="array" ref="AY69">1-PRODUCT(IF(Students=E69,MGRMult,1))</f>
        <v>0</v>
      </c>
      <c r="AZ69" s="12">
        <f t="array" ref="AZ69">1-PRODUCT(IF(Students=E69,RGRMult,1))</f>
        <v>0</v>
      </c>
      <c r="BA69" s="1">
        <f>COUNTIFS(Students,E69,Classes,HailMaryLabel)</f>
        <v>0</v>
      </c>
      <c r="BB69" s="1">
        <f>COUNTIFS(Students,E69,Classes,LongshotLabel)</f>
        <v>0</v>
      </c>
      <c r="BC69" s="1">
        <f>COUNTIFS(Students,E69,Classes,ReachLabel)</f>
        <v>0</v>
      </c>
      <c r="BD69" s="1">
        <f>COUNTIFS(Students,E69,Classes,MatchLabel)</f>
        <v>0</v>
      </c>
      <c r="BE69" s="1">
        <f>COUNTIFS(Students,E69,Classes,SafetyLabel)</f>
        <v>0</v>
      </c>
      <c r="BF69" s="1">
        <f>COUNTIFS(Students,E69,Classes,SecureLabel)</f>
        <v>0</v>
      </c>
      <c r="BG69" s="1">
        <f>COUNTIFS(Students,E69,Classes,SureThingLabel)</f>
        <v>0</v>
      </c>
      <c r="BH69" s="13">
        <f>COUNTIFS(Students,E69,Classes,"Other")</f>
        <v>0</v>
      </c>
      <c r="BI69" s="1">
        <f>COUNTIFS(Students,E69,Classes,ReachLabel,MoneyYesNo,1)</f>
        <v>0</v>
      </c>
      <c r="BJ69" s="1">
        <f>COUNTIFS(Students,E69,Classes,MatchLabel,MoneyYesNo,1)</f>
        <v>0</v>
      </c>
      <c r="BK69" s="1">
        <f>COUNTIFS(Students,E69,Classes,SafetyLabel,MoneyYesNo,1)</f>
        <v>0</v>
      </c>
      <c r="BL69" s="1">
        <f>COUNTIFS(Students,E69,Classes,SecureLabel,MoneyYesNo,1)</f>
        <v>0</v>
      </c>
      <c r="BM69" s="1">
        <f>COUNTIFS(Students,E69,Classes,SureThingLabel,MoneyYesNo,1)</f>
        <v>0</v>
      </c>
      <c r="BN69" s="1">
        <f>SUM(BI69:BM69)</f>
        <v>0</v>
      </c>
      <c r="BO69" s="1">
        <f>SUMIFS(RGRcount,Students,E69,MoneyYesNo,1,Odds,"&gt;=20")</f>
        <v>0</v>
      </c>
      <c r="BP69" s="1">
        <f>SUMIFS(MGRcount,Students,E69,MoneyYesNo,1,Odds,"&gt;=20")-BO69</f>
        <v>0</v>
      </c>
      <c r="BQ69" s="1">
        <f>SUMIFS(MGRcount,Students,E69,MoneyYesNo,1,Odds,"&gt;=50")</f>
        <v>0</v>
      </c>
      <c r="BR69" s="1">
        <f>SUMIFS(RGRcount,Students,E69,MoneyYesNo,1,Odds,"&gt;=10")</f>
        <v>0</v>
      </c>
      <c r="BS69" s="1">
        <f>SUMIFS(MGRcount,Students,E69,MoneyYesNo,1,Odds,"&gt;=10")-BR69</f>
        <v>0</v>
      </c>
      <c r="BT69" s="1">
        <f>COUNTIFS(Students,E69,ILPublic,1)</f>
        <v>0</v>
      </c>
      <c r="BU69" s="1">
        <f>COUNTIFS(Students,E69,ILPublic,1,MoneyYesNo,1,Classes,MatchLabel)+COUNTIFS(Students,E69,ILPublic,1,MoneyYesNo,1,Classes,SafetyLabel)+COUNTIFS(Students,E69,ILPublic,1,MoneyYesNo,1,Classes,SecureLabel)+COUNTIFS(Students,E69,ILPublic,1,MoneyYesNo,1,Classes,SureThingLabel)</f>
        <v>0</v>
      </c>
      <c r="BV69" s="1">
        <f>COUNTIFS(Students,E69,ILPublic,1, Classes,SecureLabel)</f>
        <v>0</v>
      </c>
      <c r="BW69" s="1">
        <f>COUNTIFS(Students,E69,MoneyChicago,1)</f>
        <v>0</v>
      </c>
      <c r="BX69" s="1">
        <f>COUNTIFS(Students,E69,MatchOrUnder,1)</f>
        <v>0</v>
      </c>
      <c r="BY69" s="1">
        <f>SUMIF(Students,E69,MGRcount)</f>
        <v>0</v>
      </c>
      <c r="BZ69" s="1">
        <f>COUNTIFS(Students,E69,BadMoney,1)</f>
        <v>0</v>
      </c>
      <c r="CA69" s="1">
        <f>COUNTIFS(Students,E69,GoldenThree,1)</f>
        <v>0</v>
      </c>
      <c r="CB69" s="1">
        <f>COUNTIFS(Students,E69,NCESids,147536)</f>
        <v>0</v>
      </c>
      <c r="CC69" s="1">
        <f>COUNTIFS(Students,E69,NCESids,144157)+COUNTIFS(Students,E69,NCESids,144166)+COUNTIFS(Students,E69,NCESids,144175)+COUNTIFS(Students,E69,NCESids,144184)+COUNTIFS(Students,E69,NCESids,144193)+COUNTIFS(Students,E69,NCESids,144209)+COUNTIFS(Students,E69,NCESids,144218)</f>
        <v>0</v>
      </c>
      <c r="CD69" s="1">
        <f>COUNTIFS(Students,E69,Results,"Accepted!",FarBelowTGRCount,0)+COUNTIFS(Students,E69,Results,"CHOICE!",FarBelowTGRCount,0)</f>
        <v>0</v>
      </c>
    </row>
    <row r="70" spans="1:82">
      <c r="A70" s="18" t="s">
        <v>96</v>
      </c>
      <c r="B70" s="19">
        <v>0</v>
      </c>
      <c r="C70" s="18" t="s">
        <v>97</v>
      </c>
      <c r="D70" s="18" t="s">
        <v>323</v>
      </c>
      <c r="E70" s="19">
        <v>23334800</v>
      </c>
      <c r="F70" s="19" t="s">
        <v>324</v>
      </c>
      <c r="G70" s="10" t="s">
        <v>325</v>
      </c>
      <c r="H70" s="46">
        <v>3.7146</v>
      </c>
      <c r="I70" s="46">
        <v>3.9146</v>
      </c>
      <c r="J70" s="1">
        <v>24</v>
      </c>
      <c r="K70" s="1">
        <f>IF(ISNUMBER(I70),ROUND(583.58+106.27*I70,-1),"TBD")</f>
        <v>0</v>
      </c>
      <c r="L70" s="1">
        <v>980</v>
      </c>
      <c r="M70" s="1">
        <f>IF(ISNUMBER(L70),L70,IF(ISNUMBER(K70),K70,"TBD"))</f>
        <v>0</v>
      </c>
      <c r="N70" s="1">
        <f>IF(ISNUMBER(J70),VLOOKUP(J70,ACTtoSAT,2,FALSE),"TBD")</f>
        <v>0</v>
      </c>
      <c r="O70" s="1">
        <f>IF(ISNUMBER(M70),IF(ISNUMBER(N70),MAX(M70,N70),M70),IF(ISNUMBER(N70),N70,"TBD"))</f>
        <v>0</v>
      </c>
      <c r="P70" s="1" t="s">
        <v>101</v>
      </c>
      <c r="Q70" s="1" t="s">
        <v>102</v>
      </c>
      <c r="R70" s="1" t="s">
        <v>103</v>
      </c>
      <c r="S70" s="1">
        <f>IF(AND(H70&lt;&gt;0,O70&lt;&gt;0),IF(ISNUMBER(VLOOKUP(TEXT(MAX(FLOOR(H70*10,1)/10,1.5),"0.0")&amp;":"&amp;MAX(O70,710),StrategyLookup,4,FALSE)),VLOOKUP(TEXT(MAX(FLOOR(H70*10,1)/10,1.5),"0.0")&amp;":"&amp;MAX(O70,710),StrategyLookup,4,FALSE),"TBD"),"TBD")</f>
        <v>0</v>
      </c>
      <c r="T70" s="11">
        <f>IF(ISNUMBER(S70),VLOOKUP(IF(OR(S70=5,S70=6),S70&amp;IF(H70&gt;=3,"+","&lt;"),S70&amp;""),TargetLookup,IF(B70=-1,6,IF(OR(P70="W",P70="A"),4,2)),FALSE),"TBD")</f>
        <v>0</v>
      </c>
      <c r="U70" s="11">
        <f>IF(ISNUMBER(S70),VLOOKUP(IF(OR(S70=5,S70=6),S70&amp;IF(H70&gt;=3,"+","&lt;"),S70&amp;""),TargetLookup,IF(B70=-1,7,IF(OR(P70="W",P70="A"),5,3)),FALSE),"TBD")</f>
        <v>0</v>
      </c>
      <c r="V70" s="18" t="s">
        <v>135</v>
      </c>
      <c r="W70" s="19" t="s">
        <v>131</v>
      </c>
      <c r="X70" s="19" t="s">
        <v>106</v>
      </c>
      <c r="Y70" s="19">
        <f>V70&amp;X70&amp;D70</f>
        <v>0</v>
      </c>
      <c r="Z70" s="11">
        <f t="array" ref="Z70">1-PRODUCT(IF(Students=E70,MGRMoneyMult,1))</f>
        <v>0</v>
      </c>
      <c r="AA70" s="12">
        <f t="array" ref="AA70">1-PRODUCT(IF(Students=E70,RGRMoneyMult,1))</f>
        <v>0</v>
      </c>
      <c r="AB70" s="13">
        <f>COUNTIFS(Students,E70,Results,"Accepted!")+COUNTIFS(Students,E70,Results,"CHOICE!")</f>
        <v>0</v>
      </c>
      <c r="AC70" s="1">
        <f>COUNTIFS(Students,E70,Results,"Deferred")+COUNTIFS(Students,E70,Results,"Waitlist")</f>
        <v>0</v>
      </c>
      <c r="AD70" s="13">
        <f>COUNTIFS(Students,E70,Results,"Denied")</f>
        <v>0</v>
      </c>
      <c r="AE70" s="13">
        <f>AB70+AC70+AD70+COUNTIFS(Students,E70,Results,"Submitted")</f>
        <v>0</v>
      </c>
      <c r="AF70" s="12">
        <v>0.8737785832655808</v>
      </c>
      <c r="AG70" s="12">
        <v>0.8492857504860372</v>
      </c>
      <c r="AH70" s="12">
        <v>0.7888665581726898</v>
      </c>
      <c r="AI70" s="12">
        <v>0.7715022162266332</v>
      </c>
      <c r="AJ70" s="13">
        <f>COUNTIFS(Students,E70,Results,"CHOICE!")</f>
        <v>0</v>
      </c>
      <c r="AK70" s="1">
        <f>COUNTIFS(MoneyYesNo,1,RGRcount,1,Students,E70,Results,"Accepted!")</f>
        <v>0</v>
      </c>
      <c r="AL70" s="1">
        <f>COUNTIFS(MoneyYesNo,1,MGRcount,1,Students,E70,Results,"Accepted!")-AK70</f>
        <v>0</v>
      </c>
      <c r="AM70" s="1">
        <f>COUNTIFS(MoneyYesNo,1,Students,E70,Results,"Accepted!")-AK70-AL70</f>
        <v>0</v>
      </c>
      <c r="AN70" s="13">
        <f>COUNTIFS(Students,E70,Results,"Accepted!")-AK70-AL70-AM70</f>
        <v>0</v>
      </c>
      <c r="AO70" s="1">
        <f>SUMIFS(RGRcount,Students,E70,MoneyYesNo,1)</f>
        <v>0</v>
      </c>
      <c r="AP70" s="1">
        <f>SUMIFS(MGRcount,Students,E70,MoneyYesNo,1)-AO70</f>
        <v>0</v>
      </c>
      <c r="AQ70" s="1">
        <f>SUMIF(Students,E70,MoneyYesNo)-AO70-AP70</f>
        <v>0</v>
      </c>
      <c r="AR70" s="13">
        <f>SUM(AO70,AP70,AQ70)</f>
        <v>0</v>
      </c>
      <c r="AS70" s="1">
        <f>SUMIF(Students,E70,RGRcount)</f>
        <v>0</v>
      </c>
      <c r="AT70" s="1">
        <f>SUMIF(Students,E70,MGRcount)-AS70</f>
        <v>0</v>
      </c>
      <c r="AU70" s="1">
        <f>COUNTIF(Students,E70)-AS70-AT70</f>
        <v>0</v>
      </c>
      <c r="AV70" s="1">
        <f>SUMIF(Students,E70,FarBelowTGRCount)</f>
        <v>0</v>
      </c>
      <c r="AW70" s="47">
        <f>COUNTIF(Students,E70)</f>
        <v>0</v>
      </c>
      <c r="AX70" s="11">
        <f>IF(AW70&gt;0,AE70/AW70,0)</f>
        <v>0</v>
      </c>
      <c r="AY70" s="11">
        <f t="array" ref="AY70">1-PRODUCT(IF(Students=E70,MGRMult,1))</f>
        <v>0</v>
      </c>
      <c r="AZ70" s="12">
        <f t="array" ref="AZ70">1-PRODUCT(IF(Students=E70,RGRMult,1))</f>
        <v>0</v>
      </c>
      <c r="BA70" s="1">
        <f>COUNTIFS(Students,E70,Classes,HailMaryLabel)</f>
        <v>0</v>
      </c>
      <c r="BB70" s="1">
        <f>COUNTIFS(Students,E70,Classes,LongshotLabel)</f>
        <v>0</v>
      </c>
      <c r="BC70" s="1">
        <f>COUNTIFS(Students,E70,Classes,ReachLabel)</f>
        <v>0</v>
      </c>
      <c r="BD70" s="1">
        <f>COUNTIFS(Students,E70,Classes,MatchLabel)</f>
        <v>0</v>
      </c>
      <c r="BE70" s="1">
        <f>COUNTIFS(Students,E70,Classes,SafetyLabel)</f>
        <v>0</v>
      </c>
      <c r="BF70" s="1">
        <f>COUNTIFS(Students,E70,Classes,SecureLabel)</f>
        <v>0</v>
      </c>
      <c r="BG70" s="1">
        <f>COUNTIFS(Students,E70,Classes,SureThingLabel)</f>
        <v>0</v>
      </c>
      <c r="BH70" s="13">
        <f>COUNTIFS(Students,E70,Classes,"Other")</f>
        <v>0</v>
      </c>
      <c r="BI70" s="1">
        <f>COUNTIFS(Students,E70,Classes,ReachLabel,MoneyYesNo,1)</f>
        <v>0</v>
      </c>
      <c r="BJ70" s="1">
        <f>COUNTIFS(Students,E70,Classes,MatchLabel,MoneyYesNo,1)</f>
        <v>0</v>
      </c>
      <c r="BK70" s="1">
        <f>COUNTIFS(Students,E70,Classes,SafetyLabel,MoneyYesNo,1)</f>
        <v>0</v>
      </c>
      <c r="BL70" s="1">
        <f>COUNTIFS(Students,E70,Classes,SecureLabel,MoneyYesNo,1)</f>
        <v>0</v>
      </c>
      <c r="BM70" s="1">
        <f>COUNTIFS(Students,E70,Classes,SureThingLabel,MoneyYesNo,1)</f>
        <v>0</v>
      </c>
      <c r="BN70" s="1">
        <f>SUM(BI70:BM70)</f>
        <v>0</v>
      </c>
      <c r="BO70" s="1">
        <f>SUMIFS(RGRcount,Students,E70,MoneyYesNo,1,Odds,"&gt;=20")</f>
        <v>0</v>
      </c>
      <c r="BP70" s="1">
        <f>SUMIFS(MGRcount,Students,E70,MoneyYesNo,1,Odds,"&gt;=20")-BO70</f>
        <v>0</v>
      </c>
      <c r="BQ70" s="1">
        <f>SUMIFS(MGRcount,Students,E70,MoneyYesNo,1,Odds,"&gt;=50")</f>
        <v>0</v>
      </c>
      <c r="BR70" s="1">
        <f>SUMIFS(RGRcount,Students,E70,MoneyYesNo,1,Odds,"&gt;=10")</f>
        <v>0</v>
      </c>
      <c r="BS70" s="1">
        <f>SUMIFS(MGRcount,Students,E70,MoneyYesNo,1,Odds,"&gt;=10")-BR70</f>
        <v>0</v>
      </c>
      <c r="BT70" s="1">
        <f>COUNTIFS(Students,E70,ILPublic,1)</f>
        <v>0</v>
      </c>
      <c r="BU70" s="1">
        <f>COUNTIFS(Students,E70,ILPublic,1,MoneyYesNo,1,Classes,MatchLabel)+COUNTIFS(Students,E70,ILPublic,1,MoneyYesNo,1,Classes,SafetyLabel)+COUNTIFS(Students,E70,ILPublic,1,MoneyYesNo,1,Classes,SecureLabel)+COUNTIFS(Students,E70,ILPublic,1,MoneyYesNo,1,Classes,SureThingLabel)</f>
        <v>0</v>
      </c>
      <c r="BV70" s="1">
        <f>COUNTIFS(Students,E70,ILPublic,1, Classes,SecureLabel)</f>
        <v>0</v>
      </c>
      <c r="BW70" s="1">
        <f>COUNTIFS(Students,E70,MoneyChicago,1)</f>
        <v>0</v>
      </c>
      <c r="BX70" s="1">
        <f>COUNTIFS(Students,E70,MatchOrUnder,1)</f>
        <v>0</v>
      </c>
      <c r="BY70" s="1">
        <f>SUMIF(Students,E70,MGRcount)</f>
        <v>0</v>
      </c>
      <c r="BZ70" s="1">
        <f>COUNTIFS(Students,E70,BadMoney,1)</f>
        <v>0</v>
      </c>
      <c r="CA70" s="1">
        <f>COUNTIFS(Students,E70,GoldenThree,1)</f>
        <v>0</v>
      </c>
      <c r="CB70" s="1">
        <f>COUNTIFS(Students,E70,NCESids,147536)</f>
        <v>0</v>
      </c>
      <c r="CC70" s="1">
        <f>COUNTIFS(Students,E70,NCESids,144157)+COUNTIFS(Students,E70,NCESids,144166)+COUNTIFS(Students,E70,NCESids,144175)+COUNTIFS(Students,E70,NCESids,144184)+COUNTIFS(Students,E70,NCESids,144193)+COUNTIFS(Students,E70,NCESids,144209)+COUNTIFS(Students,E70,NCESids,144218)</f>
        <v>0</v>
      </c>
      <c r="CD70" s="1">
        <f>COUNTIFS(Students,E70,Results,"Accepted!",FarBelowTGRCount,0)+COUNTIFS(Students,E70,Results,"CHOICE!",FarBelowTGRCount,0)</f>
        <v>0</v>
      </c>
    </row>
    <row r="71" spans="1:82">
      <c r="A71" s="18" t="s">
        <v>96</v>
      </c>
      <c r="B71" s="19">
        <v>0</v>
      </c>
      <c r="C71" s="18" t="s">
        <v>153</v>
      </c>
      <c r="D71" s="18" t="s">
        <v>326</v>
      </c>
      <c r="E71" s="19">
        <v>21854734</v>
      </c>
      <c r="F71" s="19" t="s">
        <v>327</v>
      </c>
      <c r="G71" s="10" t="s">
        <v>328</v>
      </c>
      <c r="H71" s="46">
        <v>1.8</v>
      </c>
      <c r="I71" s="46">
        <v>2</v>
      </c>
      <c r="J71" s="1">
        <v>16</v>
      </c>
      <c r="K71" s="1">
        <f>IF(ISNUMBER(I71),ROUND(583.58+106.27*I71,-1),"TBD")</f>
        <v>0</v>
      </c>
      <c r="L71" s="1">
        <v>1090</v>
      </c>
      <c r="M71" s="1">
        <f>IF(ISNUMBER(L71),L71,IF(ISNUMBER(K71),K71,"TBD"))</f>
        <v>0</v>
      </c>
      <c r="N71" s="1">
        <f>IF(ISNUMBER(J71),VLOOKUP(J71,ACTtoSAT,2,FALSE),"TBD")</f>
        <v>0</v>
      </c>
      <c r="O71" s="1">
        <f>IF(ISNUMBER(M71),IF(ISNUMBER(N71),MAX(M71,N71),M71),IF(ISNUMBER(N71),N71,"TBD"))</f>
        <v>0</v>
      </c>
      <c r="P71" s="1" t="s">
        <v>101</v>
      </c>
      <c r="Q71" s="1" t="s">
        <v>123</v>
      </c>
      <c r="R71" s="1" t="s">
        <v>124</v>
      </c>
      <c r="S71" s="1">
        <f>IF(AND(H71&lt;&gt;0,O71&lt;&gt;0),IF(ISNUMBER(VLOOKUP(TEXT(MAX(FLOOR(H71*10,1)/10,1.5),"0.0")&amp;":"&amp;MAX(O71,710),StrategyLookup,4,FALSE)),VLOOKUP(TEXT(MAX(FLOOR(H71*10,1)/10,1.5),"0.0")&amp;":"&amp;MAX(O71,710),StrategyLookup,4,FALSE),"TBD"),"TBD")</f>
        <v>0</v>
      </c>
      <c r="T71" s="11">
        <f>IF(ISNUMBER(S71),VLOOKUP(IF(OR(S71=5,S71=6),S71&amp;IF(H71&gt;=3,"+","&lt;"),S71&amp;""),TargetLookup,IF(B71=-1,6,IF(OR(P71="W",P71="A"),4,2)),FALSE),"TBD")</f>
        <v>0</v>
      </c>
      <c r="U71" s="11">
        <f>IF(ISNUMBER(S71),VLOOKUP(IF(OR(S71=5,S71=6),S71&amp;IF(H71&gt;=3,"+","&lt;"),S71&amp;""),TargetLookup,IF(B71=-1,7,IF(OR(P71="W",P71="A"),5,3)),FALSE),"TBD")</f>
        <v>0</v>
      </c>
      <c r="V71" s="18" t="s">
        <v>110</v>
      </c>
      <c r="W71" s="19" t="s">
        <v>105</v>
      </c>
      <c r="X71" s="19" t="s">
        <v>106</v>
      </c>
      <c r="Y71" s="19">
        <f>V71&amp;X71&amp;D71</f>
        <v>0</v>
      </c>
      <c r="Z71" s="11">
        <f t="array" ref="Z71">1-PRODUCT(IF(Students=E71,MGRMoneyMult,1))</f>
        <v>0</v>
      </c>
      <c r="AA71" s="12">
        <f t="array" ref="AA71">1-PRODUCT(IF(Students=E71,RGRMoneyMult,1))</f>
        <v>0</v>
      </c>
      <c r="AB71" s="13">
        <f>COUNTIFS(Students,E71,Results,"Accepted!")+COUNTIFS(Students,E71,Results,"CHOICE!")</f>
        <v>0</v>
      </c>
      <c r="AC71" s="1">
        <f>COUNTIFS(Students,E71,Results,"Deferred")+COUNTIFS(Students,E71,Results,"Waitlist")</f>
        <v>0</v>
      </c>
      <c r="AD71" s="13">
        <f>COUNTIFS(Students,E71,Results,"Denied")</f>
        <v>0</v>
      </c>
      <c r="AE71" s="13">
        <f>AB71+AC71+AD71+COUNTIFS(Students,E71,Results,"Submitted")</f>
        <v>0</v>
      </c>
      <c r="AF71" s="12">
        <v>0.365439744</v>
      </c>
      <c r="AG71" s="12">
        <v>0.33696</v>
      </c>
      <c r="AH71" s="12">
        <v>0.3175477885828213</v>
      </c>
      <c r="AI71" s="12">
        <v>0.292680065390903</v>
      </c>
      <c r="AJ71" s="13">
        <f>COUNTIFS(Students,E71,Results,"CHOICE!")</f>
        <v>0</v>
      </c>
      <c r="AK71" s="1">
        <f>COUNTIFS(MoneyYesNo,1,RGRcount,1,Students,E71,Results,"Accepted!")</f>
        <v>0</v>
      </c>
      <c r="AL71" s="1">
        <f>COUNTIFS(MoneyYesNo,1,MGRcount,1,Students,E71,Results,"Accepted!")-AK71</f>
        <v>0</v>
      </c>
      <c r="AM71" s="1">
        <f>COUNTIFS(MoneyYesNo,1,Students,E71,Results,"Accepted!")-AK71-AL71</f>
        <v>0</v>
      </c>
      <c r="AN71" s="13">
        <f>COUNTIFS(Students,E71,Results,"Accepted!")-AK71-AL71-AM71</f>
        <v>0</v>
      </c>
      <c r="AO71" s="1">
        <f>SUMIFS(RGRcount,Students,E71,MoneyYesNo,1)</f>
        <v>0</v>
      </c>
      <c r="AP71" s="1">
        <f>SUMIFS(MGRcount,Students,E71,MoneyYesNo,1)-AO71</f>
        <v>0</v>
      </c>
      <c r="AQ71" s="1">
        <f>SUMIF(Students,E71,MoneyYesNo)-AO71-AP71</f>
        <v>0</v>
      </c>
      <c r="AR71" s="13">
        <f>SUM(AO71,AP71,AQ71)</f>
        <v>0</v>
      </c>
      <c r="AS71" s="1">
        <f>SUMIF(Students,E71,RGRcount)</f>
        <v>0</v>
      </c>
      <c r="AT71" s="1">
        <f>SUMIF(Students,E71,MGRcount)-AS71</f>
        <v>0</v>
      </c>
      <c r="AU71" s="1">
        <f>COUNTIF(Students,E71)-AS71-AT71</f>
        <v>0</v>
      </c>
      <c r="AV71" s="1">
        <f>SUMIF(Students,E71,FarBelowTGRCount)</f>
        <v>0</v>
      </c>
      <c r="AW71" s="47">
        <f>COUNTIF(Students,E71)</f>
        <v>0</v>
      </c>
      <c r="AX71" s="11">
        <f>IF(AW71&gt;0,AE71/AW71,0)</f>
        <v>0</v>
      </c>
      <c r="AY71" s="11">
        <f t="array" ref="AY71">1-PRODUCT(IF(Students=E71,MGRMult,1))</f>
        <v>0</v>
      </c>
      <c r="AZ71" s="12">
        <f t="array" ref="AZ71">1-PRODUCT(IF(Students=E71,RGRMult,1))</f>
        <v>0</v>
      </c>
      <c r="BA71" s="1">
        <f>COUNTIFS(Students,E71,Classes,HailMaryLabel)</f>
        <v>0</v>
      </c>
      <c r="BB71" s="1">
        <f>COUNTIFS(Students,E71,Classes,LongshotLabel)</f>
        <v>0</v>
      </c>
      <c r="BC71" s="1">
        <f>COUNTIFS(Students,E71,Classes,ReachLabel)</f>
        <v>0</v>
      </c>
      <c r="BD71" s="1">
        <f>COUNTIFS(Students,E71,Classes,MatchLabel)</f>
        <v>0</v>
      </c>
      <c r="BE71" s="1">
        <f>COUNTIFS(Students,E71,Classes,SafetyLabel)</f>
        <v>0</v>
      </c>
      <c r="BF71" s="1">
        <f>COUNTIFS(Students,E71,Classes,SecureLabel)</f>
        <v>0</v>
      </c>
      <c r="BG71" s="1">
        <f>COUNTIFS(Students,E71,Classes,SureThingLabel)</f>
        <v>0</v>
      </c>
      <c r="BH71" s="13">
        <f>COUNTIFS(Students,E71,Classes,"Other")</f>
        <v>0</v>
      </c>
      <c r="BI71" s="1">
        <f>COUNTIFS(Students,E71,Classes,ReachLabel,MoneyYesNo,1)</f>
        <v>0</v>
      </c>
      <c r="BJ71" s="1">
        <f>COUNTIFS(Students,E71,Classes,MatchLabel,MoneyYesNo,1)</f>
        <v>0</v>
      </c>
      <c r="BK71" s="1">
        <f>COUNTIFS(Students,E71,Classes,SafetyLabel,MoneyYesNo,1)</f>
        <v>0</v>
      </c>
      <c r="BL71" s="1">
        <f>COUNTIFS(Students,E71,Classes,SecureLabel,MoneyYesNo,1)</f>
        <v>0</v>
      </c>
      <c r="BM71" s="1">
        <f>COUNTIFS(Students,E71,Classes,SureThingLabel,MoneyYesNo,1)</f>
        <v>0</v>
      </c>
      <c r="BN71" s="1">
        <f>SUM(BI71:BM71)</f>
        <v>0</v>
      </c>
      <c r="BO71" s="1">
        <f>SUMIFS(RGRcount,Students,E71,MoneyYesNo,1,Odds,"&gt;=20")</f>
        <v>0</v>
      </c>
      <c r="BP71" s="1">
        <f>SUMIFS(MGRcount,Students,E71,MoneyYesNo,1,Odds,"&gt;=20")-BO71</f>
        <v>0</v>
      </c>
      <c r="BQ71" s="1">
        <f>SUMIFS(MGRcount,Students,E71,MoneyYesNo,1,Odds,"&gt;=50")</f>
        <v>0</v>
      </c>
      <c r="BR71" s="1">
        <f>SUMIFS(RGRcount,Students,E71,MoneyYesNo,1,Odds,"&gt;=10")</f>
        <v>0</v>
      </c>
      <c r="BS71" s="1">
        <f>SUMIFS(MGRcount,Students,E71,MoneyYesNo,1,Odds,"&gt;=10")-BR71</f>
        <v>0</v>
      </c>
      <c r="BT71" s="1">
        <f>COUNTIFS(Students,E71,ILPublic,1)</f>
        <v>0</v>
      </c>
      <c r="BU71" s="1">
        <f>COUNTIFS(Students,E71,ILPublic,1,MoneyYesNo,1,Classes,MatchLabel)+COUNTIFS(Students,E71,ILPublic,1,MoneyYesNo,1,Classes,SafetyLabel)+COUNTIFS(Students,E71,ILPublic,1,MoneyYesNo,1,Classes,SecureLabel)+COUNTIFS(Students,E71,ILPublic,1,MoneyYesNo,1,Classes,SureThingLabel)</f>
        <v>0</v>
      </c>
      <c r="BV71" s="1">
        <f>COUNTIFS(Students,E71,ILPublic,1, Classes,SecureLabel)</f>
        <v>0</v>
      </c>
      <c r="BW71" s="1">
        <f>COUNTIFS(Students,E71,MoneyChicago,1)</f>
        <v>0</v>
      </c>
      <c r="BX71" s="1">
        <f>COUNTIFS(Students,E71,MatchOrUnder,1)</f>
        <v>0</v>
      </c>
      <c r="BY71" s="1">
        <f>SUMIF(Students,E71,MGRcount)</f>
        <v>0</v>
      </c>
      <c r="BZ71" s="1">
        <f>COUNTIFS(Students,E71,BadMoney,1)</f>
        <v>0</v>
      </c>
      <c r="CA71" s="1">
        <f>COUNTIFS(Students,E71,GoldenThree,1)</f>
        <v>0</v>
      </c>
      <c r="CB71" s="1">
        <f>COUNTIFS(Students,E71,NCESids,147536)</f>
        <v>0</v>
      </c>
      <c r="CC71" s="1">
        <f>COUNTIFS(Students,E71,NCESids,144157)+COUNTIFS(Students,E71,NCESids,144166)+COUNTIFS(Students,E71,NCESids,144175)+COUNTIFS(Students,E71,NCESids,144184)+COUNTIFS(Students,E71,NCESids,144193)+COUNTIFS(Students,E71,NCESids,144209)+COUNTIFS(Students,E71,NCESids,144218)</f>
        <v>0</v>
      </c>
      <c r="CD71" s="1">
        <f>COUNTIFS(Students,E71,Results,"Accepted!",FarBelowTGRCount,0)+COUNTIFS(Students,E71,Results,"CHOICE!",FarBelowTGRCount,0)</f>
        <v>0</v>
      </c>
    </row>
    <row r="72" spans="1:82">
      <c r="A72" s="18" t="s">
        <v>96</v>
      </c>
      <c r="B72" s="19">
        <v>0</v>
      </c>
      <c r="C72" s="18" t="s">
        <v>97</v>
      </c>
      <c r="D72" s="18" t="s">
        <v>329</v>
      </c>
      <c r="E72" s="19">
        <v>22981462</v>
      </c>
      <c r="F72" s="19" t="s">
        <v>330</v>
      </c>
      <c r="G72" s="10" t="s">
        <v>331</v>
      </c>
      <c r="H72" s="46">
        <v>3.812</v>
      </c>
      <c r="I72" s="46">
        <v>4.012</v>
      </c>
      <c r="J72" s="1">
        <v>21</v>
      </c>
      <c r="K72" s="1">
        <f>IF(ISNUMBER(I72),ROUND(583.58+106.27*I72,-1),"TBD")</f>
        <v>0</v>
      </c>
      <c r="L72" s="1">
        <v>1110</v>
      </c>
      <c r="M72" s="1">
        <f>IF(ISNUMBER(L72),L72,IF(ISNUMBER(K72),K72,"TBD"))</f>
        <v>0</v>
      </c>
      <c r="N72" s="1">
        <f>IF(ISNUMBER(J72),VLOOKUP(J72,ACTtoSAT,2,FALSE),"TBD")</f>
        <v>0</v>
      </c>
      <c r="O72" s="1">
        <f>IF(ISNUMBER(M72),IF(ISNUMBER(N72),MAX(M72,N72),M72),IF(ISNUMBER(N72),N72,"TBD"))</f>
        <v>0</v>
      </c>
      <c r="P72" s="1" t="s">
        <v>101</v>
      </c>
      <c r="Q72" s="1" t="s">
        <v>102</v>
      </c>
      <c r="R72" s="1" t="s">
        <v>103</v>
      </c>
      <c r="S72" s="1">
        <f>IF(AND(H72&lt;&gt;0,O72&lt;&gt;0),IF(ISNUMBER(VLOOKUP(TEXT(MAX(FLOOR(H72*10,1)/10,1.5),"0.0")&amp;":"&amp;MAX(O72,710),StrategyLookup,4,FALSE)),VLOOKUP(TEXT(MAX(FLOOR(H72*10,1)/10,1.5),"0.0")&amp;":"&amp;MAX(O72,710),StrategyLookup,4,FALSE),"TBD"),"TBD")</f>
        <v>0</v>
      </c>
      <c r="T72" s="11">
        <f>IF(ISNUMBER(S72),VLOOKUP(IF(OR(S72=5,S72=6),S72&amp;IF(H72&gt;=3,"+","&lt;"),S72&amp;""),TargetLookup,IF(B72=-1,6,IF(OR(P72="W",P72="A"),4,2)),FALSE),"TBD")</f>
        <v>0</v>
      </c>
      <c r="U72" s="11">
        <f>IF(ISNUMBER(S72),VLOOKUP(IF(OR(S72=5,S72=6),S72&amp;IF(H72&gt;=3,"+","&lt;"),S72&amp;""),TargetLookup,IF(B72=-1,7,IF(OR(P72="W",P72="A"),5,3)),FALSE),"TBD")</f>
        <v>0</v>
      </c>
      <c r="V72" s="18" t="s">
        <v>135</v>
      </c>
      <c r="W72" s="19" t="s">
        <v>111</v>
      </c>
      <c r="X72" s="19" t="s">
        <v>106</v>
      </c>
      <c r="Y72" s="19">
        <f>V72&amp;X72&amp;D72</f>
        <v>0</v>
      </c>
      <c r="Z72" s="11">
        <f t="array" ref="Z72">1-PRODUCT(IF(Students=E72,MGRMoneyMult,1))</f>
        <v>0</v>
      </c>
      <c r="AA72" s="12">
        <f t="array" ref="AA72">1-PRODUCT(IF(Students=E72,RGRMoneyMult,1))</f>
        <v>0</v>
      </c>
      <c r="AB72" s="13">
        <f>COUNTIFS(Students,E72,Results,"Accepted!")+COUNTIFS(Students,E72,Results,"CHOICE!")</f>
        <v>0</v>
      </c>
      <c r="AC72" s="1">
        <f>COUNTIFS(Students,E72,Results,"Deferred")+COUNTIFS(Students,E72,Results,"Waitlist")</f>
        <v>0</v>
      </c>
      <c r="AD72" s="13">
        <f>COUNTIFS(Students,E72,Results,"Denied")</f>
        <v>0</v>
      </c>
      <c r="AE72" s="13">
        <f>AB72+AC72+AD72+COUNTIFS(Students,E72,Results,"Submitted")</f>
        <v>0</v>
      </c>
      <c r="AF72" s="12">
        <v>0.8462556979468193</v>
      </c>
      <c r="AG72" s="12">
        <v>0.8037873432140703</v>
      </c>
      <c r="AH72" s="12">
        <v>0.7241181471649183</v>
      </c>
      <c r="AI72" s="12">
        <v>0.7009265346686032</v>
      </c>
      <c r="AJ72" s="13">
        <f>COUNTIFS(Students,E72,Results,"CHOICE!")</f>
        <v>0</v>
      </c>
      <c r="AK72" s="1">
        <f>COUNTIFS(MoneyYesNo,1,RGRcount,1,Students,E72,Results,"Accepted!")</f>
        <v>0</v>
      </c>
      <c r="AL72" s="1">
        <f>COUNTIFS(MoneyYesNo,1,MGRcount,1,Students,E72,Results,"Accepted!")-AK72</f>
        <v>0</v>
      </c>
      <c r="AM72" s="1">
        <f>COUNTIFS(MoneyYesNo,1,Students,E72,Results,"Accepted!")-AK72-AL72</f>
        <v>0</v>
      </c>
      <c r="AN72" s="13">
        <f>COUNTIFS(Students,E72,Results,"Accepted!")-AK72-AL72-AM72</f>
        <v>0</v>
      </c>
      <c r="AO72" s="1">
        <f>SUMIFS(RGRcount,Students,E72,MoneyYesNo,1)</f>
        <v>0</v>
      </c>
      <c r="AP72" s="1">
        <f>SUMIFS(MGRcount,Students,E72,MoneyYesNo,1)-AO72</f>
        <v>0</v>
      </c>
      <c r="AQ72" s="1">
        <f>SUMIF(Students,E72,MoneyYesNo)-AO72-AP72</f>
        <v>0</v>
      </c>
      <c r="AR72" s="13">
        <f>SUM(AO72,AP72,AQ72)</f>
        <v>0</v>
      </c>
      <c r="AS72" s="1">
        <f>SUMIF(Students,E72,RGRcount)</f>
        <v>0</v>
      </c>
      <c r="AT72" s="1">
        <f>SUMIF(Students,E72,MGRcount)-AS72</f>
        <v>0</v>
      </c>
      <c r="AU72" s="1">
        <f>COUNTIF(Students,E72)-AS72-AT72</f>
        <v>0</v>
      </c>
      <c r="AV72" s="1">
        <f>SUMIF(Students,E72,FarBelowTGRCount)</f>
        <v>0</v>
      </c>
      <c r="AW72" s="47">
        <f>COUNTIF(Students,E72)</f>
        <v>0</v>
      </c>
      <c r="AX72" s="11">
        <f>IF(AW72&gt;0,AE72/AW72,0)</f>
        <v>0</v>
      </c>
      <c r="AY72" s="11">
        <f t="array" ref="AY72">1-PRODUCT(IF(Students=E72,MGRMult,1))</f>
        <v>0</v>
      </c>
      <c r="AZ72" s="12">
        <f t="array" ref="AZ72">1-PRODUCT(IF(Students=E72,RGRMult,1))</f>
        <v>0</v>
      </c>
      <c r="BA72" s="1">
        <f>COUNTIFS(Students,E72,Classes,HailMaryLabel)</f>
        <v>0</v>
      </c>
      <c r="BB72" s="1">
        <f>COUNTIFS(Students,E72,Classes,LongshotLabel)</f>
        <v>0</v>
      </c>
      <c r="BC72" s="1">
        <f>COUNTIFS(Students,E72,Classes,ReachLabel)</f>
        <v>0</v>
      </c>
      <c r="BD72" s="1">
        <f>COUNTIFS(Students,E72,Classes,MatchLabel)</f>
        <v>0</v>
      </c>
      <c r="BE72" s="1">
        <f>COUNTIFS(Students,E72,Classes,SafetyLabel)</f>
        <v>0</v>
      </c>
      <c r="BF72" s="1">
        <f>COUNTIFS(Students,E72,Classes,SecureLabel)</f>
        <v>0</v>
      </c>
      <c r="BG72" s="1">
        <f>COUNTIFS(Students,E72,Classes,SureThingLabel)</f>
        <v>0</v>
      </c>
      <c r="BH72" s="13">
        <f>COUNTIFS(Students,E72,Classes,"Other")</f>
        <v>0</v>
      </c>
      <c r="BI72" s="1">
        <f>COUNTIFS(Students,E72,Classes,ReachLabel,MoneyYesNo,1)</f>
        <v>0</v>
      </c>
      <c r="BJ72" s="1">
        <f>COUNTIFS(Students,E72,Classes,MatchLabel,MoneyYesNo,1)</f>
        <v>0</v>
      </c>
      <c r="BK72" s="1">
        <f>COUNTIFS(Students,E72,Classes,SafetyLabel,MoneyYesNo,1)</f>
        <v>0</v>
      </c>
      <c r="BL72" s="1">
        <f>COUNTIFS(Students,E72,Classes,SecureLabel,MoneyYesNo,1)</f>
        <v>0</v>
      </c>
      <c r="BM72" s="1">
        <f>COUNTIFS(Students,E72,Classes,SureThingLabel,MoneyYesNo,1)</f>
        <v>0</v>
      </c>
      <c r="BN72" s="1">
        <f>SUM(BI72:BM72)</f>
        <v>0</v>
      </c>
      <c r="BO72" s="1">
        <f>SUMIFS(RGRcount,Students,E72,MoneyYesNo,1,Odds,"&gt;=20")</f>
        <v>0</v>
      </c>
      <c r="BP72" s="1">
        <f>SUMIFS(MGRcount,Students,E72,MoneyYesNo,1,Odds,"&gt;=20")-BO72</f>
        <v>0</v>
      </c>
      <c r="BQ72" s="1">
        <f>SUMIFS(MGRcount,Students,E72,MoneyYesNo,1,Odds,"&gt;=50")</f>
        <v>0</v>
      </c>
      <c r="BR72" s="1">
        <f>SUMIFS(RGRcount,Students,E72,MoneyYesNo,1,Odds,"&gt;=10")</f>
        <v>0</v>
      </c>
      <c r="BS72" s="1">
        <f>SUMIFS(MGRcount,Students,E72,MoneyYesNo,1,Odds,"&gt;=10")-BR72</f>
        <v>0</v>
      </c>
      <c r="BT72" s="1">
        <f>COUNTIFS(Students,E72,ILPublic,1)</f>
        <v>0</v>
      </c>
      <c r="BU72" s="1">
        <f>COUNTIFS(Students,E72,ILPublic,1,MoneyYesNo,1,Classes,MatchLabel)+COUNTIFS(Students,E72,ILPublic,1,MoneyYesNo,1,Classes,SafetyLabel)+COUNTIFS(Students,E72,ILPublic,1,MoneyYesNo,1,Classes,SecureLabel)+COUNTIFS(Students,E72,ILPublic,1,MoneyYesNo,1,Classes,SureThingLabel)</f>
        <v>0</v>
      </c>
      <c r="BV72" s="1">
        <f>COUNTIFS(Students,E72,ILPublic,1, Classes,SecureLabel)</f>
        <v>0</v>
      </c>
      <c r="BW72" s="1">
        <f>COUNTIFS(Students,E72,MoneyChicago,1)</f>
        <v>0</v>
      </c>
      <c r="BX72" s="1">
        <f>COUNTIFS(Students,E72,MatchOrUnder,1)</f>
        <v>0</v>
      </c>
      <c r="BY72" s="1">
        <f>SUMIF(Students,E72,MGRcount)</f>
        <v>0</v>
      </c>
      <c r="BZ72" s="1">
        <f>COUNTIFS(Students,E72,BadMoney,1)</f>
        <v>0</v>
      </c>
      <c r="CA72" s="1">
        <f>COUNTIFS(Students,E72,GoldenThree,1)</f>
        <v>0</v>
      </c>
      <c r="CB72" s="1">
        <f>COUNTIFS(Students,E72,NCESids,147536)</f>
        <v>0</v>
      </c>
      <c r="CC72" s="1">
        <f>COUNTIFS(Students,E72,NCESids,144157)+COUNTIFS(Students,E72,NCESids,144166)+COUNTIFS(Students,E72,NCESids,144175)+COUNTIFS(Students,E72,NCESids,144184)+COUNTIFS(Students,E72,NCESids,144193)+COUNTIFS(Students,E72,NCESids,144209)+COUNTIFS(Students,E72,NCESids,144218)</f>
        <v>0</v>
      </c>
      <c r="CD72" s="1">
        <f>COUNTIFS(Students,E72,Results,"Accepted!",FarBelowTGRCount,0)+COUNTIFS(Students,E72,Results,"CHOICE!",FarBelowTGRCount,0)</f>
        <v>0</v>
      </c>
    </row>
    <row r="73" spans="1:82">
      <c r="A73" s="18" t="s">
        <v>96</v>
      </c>
      <c r="B73" s="19">
        <v>0</v>
      </c>
      <c r="C73" s="18" t="s">
        <v>153</v>
      </c>
      <c r="D73" s="18" t="s">
        <v>332</v>
      </c>
      <c r="E73" s="19">
        <v>22540938</v>
      </c>
      <c r="F73" s="19" t="s">
        <v>333</v>
      </c>
      <c r="G73" s="10" t="s">
        <v>334</v>
      </c>
      <c r="H73" s="46">
        <v>3.4808</v>
      </c>
      <c r="I73" s="46">
        <v>3.6808</v>
      </c>
      <c r="J73" s="1">
        <v>20</v>
      </c>
      <c r="K73" s="1">
        <f>IF(ISNUMBER(I73),ROUND(583.58+106.27*I73,-1),"TBD")</f>
        <v>0</v>
      </c>
      <c r="L73" s="1">
        <v>1040</v>
      </c>
      <c r="M73" s="1">
        <f>IF(ISNUMBER(L73),L73,IF(ISNUMBER(K73),K73,"TBD"))</f>
        <v>0</v>
      </c>
      <c r="N73" s="1">
        <f>IF(ISNUMBER(J73),VLOOKUP(J73,ACTtoSAT,2,FALSE),"TBD")</f>
        <v>0</v>
      </c>
      <c r="O73" s="1">
        <f>IF(ISNUMBER(M73),IF(ISNUMBER(N73),MAX(M73,N73),M73),IF(ISNUMBER(N73),N73,"TBD"))</f>
        <v>0</v>
      </c>
      <c r="P73" s="1" t="s">
        <v>101</v>
      </c>
      <c r="Q73" s="1" t="s">
        <v>102</v>
      </c>
      <c r="R73" s="1" t="s">
        <v>103</v>
      </c>
      <c r="S73" s="1">
        <f>IF(AND(H73&lt;&gt;0,O73&lt;&gt;0),IF(ISNUMBER(VLOOKUP(TEXT(MAX(FLOOR(H73*10,1)/10,1.5),"0.0")&amp;":"&amp;MAX(O73,710),StrategyLookup,4,FALSE)),VLOOKUP(TEXT(MAX(FLOOR(H73*10,1)/10,1.5),"0.0")&amp;":"&amp;MAX(O73,710),StrategyLookup,4,FALSE),"TBD"),"TBD")</f>
        <v>0</v>
      </c>
      <c r="T73" s="11">
        <f>IF(ISNUMBER(S73),VLOOKUP(IF(OR(S73=5,S73=6),S73&amp;IF(H73&gt;=3,"+","&lt;"),S73&amp;""),TargetLookup,IF(B73=-1,6,IF(OR(P73="W",P73="A"),4,2)),FALSE),"TBD")</f>
        <v>0</v>
      </c>
      <c r="U73" s="11">
        <f>IF(ISNUMBER(S73),VLOOKUP(IF(OR(S73=5,S73=6),S73&amp;IF(H73&gt;=3,"+","&lt;"),S73&amp;""),TargetLookup,IF(B73=-1,7,IF(OR(P73="W",P73="A"),5,3)),FALSE),"TBD")</f>
        <v>0</v>
      </c>
      <c r="V73" s="18" t="s">
        <v>110</v>
      </c>
      <c r="W73" s="19" t="s">
        <v>125</v>
      </c>
      <c r="X73" s="19" t="s">
        <v>106</v>
      </c>
      <c r="Y73" s="19">
        <f>V73&amp;X73&amp;D73</f>
        <v>0</v>
      </c>
      <c r="Z73" s="11">
        <f t="array" ref="Z73">1-PRODUCT(IF(Students=E73,MGRMoneyMult,1))</f>
        <v>0</v>
      </c>
      <c r="AA73" s="12">
        <f t="array" ref="AA73">1-PRODUCT(IF(Students=E73,RGRMoneyMult,1))</f>
        <v>0</v>
      </c>
      <c r="AB73" s="13">
        <f>COUNTIFS(Students,E73,Results,"Accepted!")+COUNTIFS(Students,E73,Results,"CHOICE!")</f>
        <v>0</v>
      </c>
      <c r="AC73" s="1">
        <f>COUNTIFS(Students,E73,Results,"Deferred")+COUNTIFS(Students,E73,Results,"Waitlist")</f>
        <v>0</v>
      </c>
      <c r="AD73" s="13">
        <f>COUNTIFS(Students,E73,Results,"Denied")</f>
        <v>0</v>
      </c>
      <c r="AE73" s="13">
        <f>AB73+AC73+AD73+COUNTIFS(Students,E73,Results,"Submitted")</f>
        <v>0</v>
      </c>
      <c r="AF73" s="12">
        <v>0.7871954912152013</v>
      </c>
      <c r="AG73" s="12">
        <v>0.77393403639918</v>
      </c>
      <c r="AH73" s="12">
        <v>0.6769995101687185</v>
      </c>
      <c r="AI73" s="12">
        <v>0.654213352556935</v>
      </c>
      <c r="AJ73" s="13">
        <f>COUNTIFS(Students,E73,Results,"CHOICE!")</f>
        <v>0</v>
      </c>
      <c r="AK73" s="1">
        <f>COUNTIFS(MoneyYesNo,1,RGRcount,1,Students,E73,Results,"Accepted!")</f>
        <v>0</v>
      </c>
      <c r="AL73" s="1">
        <f>COUNTIFS(MoneyYesNo,1,MGRcount,1,Students,E73,Results,"Accepted!")-AK73</f>
        <v>0</v>
      </c>
      <c r="AM73" s="1">
        <f>COUNTIFS(MoneyYesNo,1,Students,E73,Results,"Accepted!")-AK73-AL73</f>
        <v>0</v>
      </c>
      <c r="AN73" s="13">
        <f>COUNTIFS(Students,E73,Results,"Accepted!")-AK73-AL73-AM73</f>
        <v>0</v>
      </c>
      <c r="AO73" s="1">
        <f>SUMIFS(RGRcount,Students,E73,MoneyYesNo,1)</f>
        <v>0</v>
      </c>
      <c r="AP73" s="1">
        <f>SUMIFS(MGRcount,Students,E73,MoneyYesNo,1)-AO73</f>
        <v>0</v>
      </c>
      <c r="AQ73" s="1">
        <f>SUMIF(Students,E73,MoneyYesNo)-AO73-AP73</f>
        <v>0</v>
      </c>
      <c r="AR73" s="13">
        <f>SUM(AO73,AP73,AQ73)</f>
        <v>0</v>
      </c>
      <c r="AS73" s="1">
        <f>SUMIF(Students,E73,RGRcount)</f>
        <v>0</v>
      </c>
      <c r="AT73" s="1">
        <f>SUMIF(Students,E73,MGRcount)-AS73</f>
        <v>0</v>
      </c>
      <c r="AU73" s="1">
        <f>COUNTIF(Students,E73)-AS73-AT73</f>
        <v>0</v>
      </c>
      <c r="AV73" s="1">
        <f>SUMIF(Students,E73,FarBelowTGRCount)</f>
        <v>0</v>
      </c>
      <c r="AW73" s="47">
        <f>COUNTIF(Students,E73)</f>
        <v>0</v>
      </c>
      <c r="AX73" s="11">
        <f>IF(AW73&gt;0,AE73/AW73,0)</f>
        <v>0</v>
      </c>
      <c r="AY73" s="11">
        <f t="array" ref="AY73">1-PRODUCT(IF(Students=E73,MGRMult,1))</f>
        <v>0</v>
      </c>
      <c r="AZ73" s="12">
        <f t="array" ref="AZ73">1-PRODUCT(IF(Students=E73,RGRMult,1))</f>
        <v>0</v>
      </c>
      <c r="BA73" s="1">
        <f>COUNTIFS(Students,E73,Classes,HailMaryLabel)</f>
        <v>0</v>
      </c>
      <c r="BB73" s="1">
        <f>COUNTIFS(Students,E73,Classes,LongshotLabel)</f>
        <v>0</v>
      </c>
      <c r="BC73" s="1">
        <f>COUNTIFS(Students,E73,Classes,ReachLabel)</f>
        <v>0</v>
      </c>
      <c r="BD73" s="1">
        <f>COUNTIFS(Students,E73,Classes,MatchLabel)</f>
        <v>0</v>
      </c>
      <c r="BE73" s="1">
        <f>COUNTIFS(Students,E73,Classes,SafetyLabel)</f>
        <v>0</v>
      </c>
      <c r="BF73" s="1">
        <f>COUNTIFS(Students,E73,Classes,SecureLabel)</f>
        <v>0</v>
      </c>
      <c r="BG73" s="1">
        <f>COUNTIFS(Students,E73,Classes,SureThingLabel)</f>
        <v>0</v>
      </c>
      <c r="BH73" s="13">
        <f>COUNTIFS(Students,E73,Classes,"Other")</f>
        <v>0</v>
      </c>
      <c r="BI73" s="1">
        <f>COUNTIFS(Students,E73,Classes,ReachLabel,MoneyYesNo,1)</f>
        <v>0</v>
      </c>
      <c r="BJ73" s="1">
        <f>COUNTIFS(Students,E73,Classes,MatchLabel,MoneyYesNo,1)</f>
        <v>0</v>
      </c>
      <c r="BK73" s="1">
        <f>COUNTIFS(Students,E73,Classes,SafetyLabel,MoneyYesNo,1)</f>
        <v>0</v>
      </c>
      <c r="BL73" s="1">
        <f>COUNTIFS(Students,E73,Classes,SecureLabel,MoneyYesNo,1)</f>
        <v>0</v>
      </c>
      <c r="BM73" s="1">
        <f>COUNTIFS(Students,E73,Classes,SureThingLabel,MoneyYesNo,1)</f>
        <v>0</v>
      </c>
      <c r="BN73" s="1">
        <f>SUM(BI73:BM73)</f>
        <v>0</v>
      </c>
      <c r="BO73" s="1">
        <f>SUMIFS(RGRcount,Students,E73,MoneyYesNo,1,Odds,"&gt;=20")</f>
        <v>0</v>
      </c>
      <c r="BP73" s="1">
        <f>SUMIFS(MGRcount,Students,E73,MoneyYesNo,1,Odds,"&gt;=20")-BO73</f>
        <v>0</v>
      </c>
      <c r="BQ73" s="1">
        <f>SUMIFS(MGRcount,Students,E73,MoneyYesNo,1,Odds,"&gt;=50")</f>
        <v>0</v>
      </c>
      <c r="BR73" s="1">
        <f>SUMIFS(RGRcount,Students,E73,MoneyYesNo,1,Odds,"&gt;=10")</f>
        <v>0</v>
      </c>
      <c r="BS73" s="1">
        <f>SUMIFS(MGRcount,Students,E73,MoneyYesNo,1,Odds,"&gt;=10")-BR73</f>
        <v>0</v>
      </c>
      <c r="BT73" s="1">
        <f>COUNTIFS(Students,E73,ILPublic,1)</f>
        <v>0</v>
      </c>
      <c r="BU73" s="1">
        <f>COUNTIFS(Students,E73,ILPublic,1,MoneyYesNo,1,Classes,MatchLabel)+COUNTIFS(Students,E73,ILPublic,1,MoneyYesNo,1,Classes,SafetyLabel)+COUNTIFS(Students,E73,ILPublic,1,MoneyYesNo,1,Classes,SecureLabel)+COUNTIFS(Students,E73,ILPublic,1,MoneyYesNo,1,Classes,SureThingLabel)</f>
        <v>0</v>
      </c>
      <c r="BV73" s="1">
        <f>COUNTIFS(Students,E73,ILPublic,1, Classes,SecureLabel)</f>
        <v>0</v>
      </c>
      <c r="BW73" s="1">
        <f>COUNTIFS(Students,E73,MoneyChicago,1)</f>
        <v>0</v>
      </c>
      <c r="BX73" s="1">
        <f>COUNTIFS(Students,E73,MatchOrUnder,1)</f>
        <v>0</v>
      </c>
      <c r="BY73" s="1">
        <f>SUMIF(Students,E73,MGRcount)</f>
        <v>0</v>
      </c>
      <c r="BZ73" s="1">
        <f>COUNTIFS(Students,E73,BadMoney,1)</f>
        <v>0</v>
      </c>
      <c r="CA73" s="1">
        <f>COUNTIFS(Students,E73,GoldenThree,1)</f>
        <v>0</v>
      </c>
      <c r="CB73" s="1">
        <f>COUNTIFS(Students,E73,NCESids,147536)</f>
        <v>0</v>
      </c>
      <c r="CC73" s="1">
        <f>COUNTIFS(Students,E73,NCESids,144157)+COUNTIFS(Students,E73,NCESids,144166)+COUNTIFS(Students,E73,NCESids,144175)+COUNTIFS(Students,E73,NCESids,144184)+COUNTIFS(Students,E73,NCESids,144193)+COUNTIFS(Students,E73,NCESids,144209)+COUNTIFS(Students,E73,NCESids,144218)</f>
        <v>0</v>
      </c>
      <c r="CD73" s="1">
        <f>COUNTIFS(Students,E73,Results,"Accepted!",FarBelowTGRCount,0)+COUNTIFS(Students,E73,Results,"CHOICE!",FarBelowTGRCount,0)</f>
        <v>0</v>
      </c>
    </row>
    <row r="74" spans="1:82">
      <c r="A74" s="18" t="s">
        <v>96</v>
      </c>
      <c r="B74" s="19">
        <v>0</v>
      </c>
      <c r="C74" s="18" t="s">
        <v>97</v>
      </c>
      <c r="D74" s="18" t="s">
        <v>335</v>
      </c>
      <c r="E74" s="19">
        <v>22939229</v>
      </c>
      <c r="F74" s="19" t="s">
        <v>336</v>
      </c>
      <c r="G74" s="10" t="s">
        <v>337</v>
      </c>
      <c r="H74" s="46">
        <v>3.2192</v>
      </c>
      <c r="I74" s="46">
        <v>3.4192</v>
      </c>
      <c r="J74" s="1">
        <v>22</v>
      </c>
      <c r="K74" s="1">
        <f>IF(ISNUMBER(I74),ROUND(583.58+106.27*I74,-1),"TBD")</f>
        <v>0</v>
      </c>
      <c r="L74" s="1">
        <v>1120</v>
      </c>
      <c r="M74" s="1">
        <f>IF(ISNUMBER(L74),L74,IF(ISNUMBER(K74),K74,"TBD"))</f>
        <v>0</v>
      </c>
      <c r="N74" s="1">
        <f>IF(ISNUMBER(J74),VLOOKUP(J74,ACTtoSAT,2,FALSE),"TBD")</f>
        <v>0</v>
      </c>
      <c r="O74" s="1">
        <f>IF(ISNUMBER(M74),IF(ISNUMBER(N74),MAX(M74,N74),M74),IF(ISNUMBER(N74),N74,"TBD"))</f>
        <v>0</v>
      </c>
      <c r="P74" s="1" t="s">
        <v>101</v>
      </c>
      <c r="Q74" s="1" t="s">
        <v>102</v>
      </c>
      <c r="R74" s="1" t="s">
        <v>103</v>
      </c>
      <c r="S74" s="1">
        <f>IF(AND(H74&lt;&gt;0,O74&lt;&gt;0),IF(ISNUMBER(VLOOKUP(TEXT(MAX(FLOOR(H74*10,1)/10,1.5),"0.0")&amp;":"&amp;MAX(O74,710),StrategyLookup,4,FALSE)),VLOOKUP(TEXT(MAX(FLOOR(H74*10,1)/10,1.5),"0.0")&amp;":"&amp;MAX(O74,710),StrategyLookup,4,FALSE),"TBD"),"TBD")</f>
        <v>0</v>
      </c>
      <c r="T74" s="11">
        <f>IF(ISNUMBER(S74),VLOOKUP(IF(OR(S74=5,S74=6),S74&amp;IF(H74&gt;=3,"+","&lt;"),S74&amp;""),TargetLookup,IF(B74=-1,6,IF(OR(P74="W",P74="A"),4,2)),FALSE),"TBD")</f>
        <v>0</v>
      </c>
      <c r="U74" s="11">
        <f>IF(ISNUMBER(S74),VLOOKUP(IF(OR(S74=5,S74=6),S74&amp;IF(H74&gt;=3,"+","&lt;"),S74&amp;""),TargetLookup,IF(B74=-1,7,IF(OR(P74="W",P74="A"),5,3)),FALSE),"TBD")</f>
        <v>0</v>
      </c>
      <c r="V74" s="18" t="s">
        <v>110</v>
      </c>
      <c r="W74" s="19" t="s">
        <v>111</v>
      </c>
      <c r="X74" s="19" t="s">
        <v>106</v>
      </c>
      <c r="Y74" s="19">
        <f>V74&amp;X74&amp;D74</f>
        <v>0</v>
      </c>
      <c r="Z74" s="11">
        <f t="array" ref="Z74">1-PRODUCT(IF(Students=E74,MGRMoneyMult,1))</f>
        <v>0</v>
      </c>
      <c r="AA74" s="12">
        <f t="array" ref="AA74">1-PRODUCT(IF(Students=E74,RGRMoneyMult,1))</f>
        <v>0</v>
      </c>
      <c r="AB74" s="13">
        <f>COUNTIFS(Students,E74,Results,"Accepted!")+COUNTIFS(Students,E74,Results,"CHOICE!")</f>
        <v>0</v>
      </c>
      <c r="AC74" s="1">
        <f>COUNTIFS(Students,E74,Results,"Deferred")+COUNTIFS(Students,E74,Results,"Waitlist")</f>
        <v>0</v>
      </c>
      <c r="AD74" s="13">
        <f>COUNTIFS(Students,E74,Results,"Denied")</f>
        <v>0</v>
      </c>
      <c r="AE74" s="13">
        <f>AB74+AC74+AD74+COUNTIFS(Students,E74,Results,"Submitted")</f>
        <v>0</v>
      </c>
      <c r="AF74" s="12">
        <v>0.7711894764183558</v>
      </c>
      <c r="AG74" s="12">
        <v>0.7468297685161449</v>
      </c>
      <c r="AH74" s="12">
        <v>0.7083068558303607</v>
      </c>
      <c r="AI74" s="12">
        <v>0.6927250853772119</v>
      </c>
      <c r="AJ74" s="13">
        <f>COUNTIFS(Students,E74,Results,"CHOICE!")</f>
        <v>0</v>
      </c>
      <c r="AK74" s="1">
        <f>COUNTIFS(MoneyYesNo,1,RGRcount,1,Students,E74,Results,"Accepted!")</f>
        <v>0</v>
      </c>
      <c r="AL74" s="1">
        <f>COUNTIFS(MoneyYesNo,1,MGRcount,1,Students,E74,Results,"Accepted!")-AK74</f>
        <v>0</v>
      </c>
      <c r="AM74" s="1">
        <f>COUNTIFS(MoneyYesNo,1,Students,E74,Results,"Accepted!")-AK74-AL74</f>
        <v>0</v>
      </c>
      <c r="AN74" s="13">
        <f>COUNTIFS(Students,E74,Results,"Accepted!")-AK74-AL74-AM74</f>
        <v>0</v>
      </c>
      <c r="AO74" s="1">
        <f>SUMIFS(RGRcount,Students,E74,MoneyYesNo,1)</f>
        <v>0</v>
      </c>
      <c r="AP74" s="1">
        <f>SUMIFS(MGRcount,Students,E74,MoneyYesNo,1)-AO74</f>
        <v>0</v>
      </c>
      <c r="AQ74" s="1">
        <f>SUMIF(Students,E74,MoneyYesNo)-AO74-AP74</f>
        <v>0</v>
      </c>
      <c r="AR74" s="13">
        <f>SUM(AO74,AP74,AQ74)</f>
        <v>0</v>
      </c>
      <c r="AS74" s="1">
        <f>SUMIF(Students,E74,RGRcount)</f>
        <v>0</v>
      </c>
      <c r="AT74" s="1">
        <f>SUMIF(Students,E74,MGRcount)-AS74</f>
        <v>0</v>
      </c>
      <c r="AU74" s="1">
        <f>COUNTIF(Students,E74)-AS74-AT74</f>
        <v>0</v>
      </c>
      <c r="AV74" s="1">
        <f>SUMIF(Students,E74,FarBelowTGRCount)</f>
        <v>0</v>
      </c>
      <c r="AW74" s="47">
        <f>COUNTIF(Students,E74)</f>
        <v>0</v>
      </c>
      <c r="AX74" s="11">
        <f>IF(AW74&gt;0,AE74/AW74,0)</f>
        <v>0</v>
      </c>
      <c r="AY74" s="11">
        <f t="array" ref="AY74">1-PRODUCT(IF(Students=E74,MGRMult,1))</f>
        <v>0</v>
      </c>
      <c r="AZ74" s="12">
        <f t="array" ref="AZ74">1-PRODUCT(IF(Students=E74,RGRMult,1))</f>
        <v>0</v>
      </c>
      <c r="BA74" s="1">
        <f>COUNTIFS(Students,E74,Classes,HailMaryLabel)</f>
        <v>0</v>
      </c>
      <c r="BB74" s="1">
        <f>COUNTIFS(Students,E74,Classes,LongshotLabel)</f>
        <v>0</v>
      </c>
      <c r="BC74" s="1">
        <f>COUNTIFS(Students,E74,Classes,ReachLabel)</f>
        <v>0</v>
      </c>
      <c r="BD74" s="1">
        <f>COUNTIFS(Students,E74,Classes,MatchLabel)</f>
        <v>0</v>
      </c>
      <c r="BE74" s="1">
        <f>COUNTIFS(Students,E74,Classes,SafetyLabel)</f>
        <v>0</v>
      </c>
      <c r="BF74" s="1">
        <f>COUNTIFS(Students,E74,Classes,SecureLabel)</f>
        <v>0</v>
      </c>
      <c r="BG74" s="1">
        <f>COUNTIFS(Students,E74,Classes,SureThingLabel)</f>
        <v>0</v>
      </c>
      <c r="BH74" s="13">
        <f>COUNTIFS(Students,E74,Classes,"Other")</f>
        <v>0</v>
      </c>
      <c r="BI74" s="1">
        <f>COUNTIFS(Students,E74,Classes,ReachLabel,MoneyYesNo,1)</f>
        <v>0</v>
      </c>
      <c r="BJ74" s="1">
        <f>COUNTIFS(Students,E74,Classes,MatchLabel,MoneyYesNo,1)</f>
        <v>0</v>
      </c>
      <c r="BK74" s="1">
        <f>COUNTIFS(Students,E74,Classes,SafetyLabel,MoneyYesNo,1)</f>
        <v>0</v>
      </c>
      <c r="BL74" s="1">
        <f>COUNTIFS(Students,E74,Classes,SecureLabel,MoneyYesNo,1)</f>
        <v>0</v>
      </c>
      <c r="BM74" s="1">
        <f>COUNTIFS(Students,E74,Classes,SureThingLabel,MoneyYesNo,1)</f>
        <v>0</v>
      </c>
      <c r="BN74" s="1">
        <f>SUM(BI74:BM74)</f>
        <v>0</v>
      </c>
      <c r="BO74" s="1">
        <f>SUMIFS(RGRcount,Students,E74,MoneyYesNo,1,Odds,"&gt;=20")</f>
        <v>0</v>
      </c>
      <c r="BP74" s="1">
        <f>SUMIFS(MGRcount,Students,E74,MoneyYesNo,1,Odds,"&gt;=20")-BO74</f>
        <v>0</v>
      </c>
      <c r="BQ74" s="1">
        <f>SUMIFS(MGRcount,Students,E74,MoneyYesNo,1,Odds,"&gt;=50")</f>
        <v>0</v>
      </c>
      <c r="BR74" s="1">
        <f>SUMIFS(RGRcount,Students,E74,MoneyYesNo,1,Odds,"&gt;=10")</f>
        <v>0</v>
      </c>
      <c r="BS74" s="1">
        <f>SUMIFS(MGRcount,Students,E74,MoneyYesNo,1,Odds,"&gt;=10")-BR74</f>
        <v>0</v>
      </c>
      <c r="BT74" s="1">
        <f>COUNTIFS(Students,E74,ILPublic,1)</f>
        <v>0</v>
      </c>
      <c r="BU74" s="1">
        <f>COUNTIFS(Students,E74,ILPublic,1,MoneyYesNo,1,Classes,MatchLabel)+COUNTIFS(Students,E74,ILPublic,1,MoneyYesNo,1,Classes,SafetyLabel)+COUNTIFS(Students,E74,ILPublic,1,MoneyYesNo,1,Classes,SecureLabel)+COUNTIFS(Students,E74,ILPublic,1,MoneyYesNo,1,Classes,SureThingLabel)</f>
        <v>0</v>
      </c>
      <c r="BV74" s="1">
        <f>COUNTIFS(Students,E74,ILPublic,1, Classes,SecureLabel)</f>
        <v>0</v>
      </c>
      <c r="BW74" s="1">
        <f>COUNTIFS(Students,E74,MoneyChicago,1)</f>
        <v>0</v>
      </c>
      <c r="BX74" s="1">
        <f>COUNTIFS(Students,E74,MatchOrUnder,1)</f>
        <v>0</v>
      </c>
      <c r="BY74" s="1">
        <f>SUMIF(Students,E74,MGRcount)</f>
        <v>0</v>
      </c>
      <c r="BZ74" s="1">
        <f>COUNTIFS(Students,E74,BadMoney,1)</f>
        <v>0</v>
      </c>
      <c r="CA74" s="1">
        <f>COUNTIFS(Students,E74,GoldenThree,1)</f>
        <v>0</v>
      </c>
      <c r="CB74" s="1">
        <f>COUNTIFS(Students,E74,NCESids,147536)</f>
        <v>0</v>
      </c>
      <c r="CC74" s="1">
        <f>COUNTIFS(Students,E74,NCESids,144157)+COUNTIFS(Students,E74,NCESids,144166)+COUNTIFS(Students,E74,NCESids,144175)+COUNTIFS(Students,E74,NCESids,144184)+COUNTIFS(Students,E74,NCESids,144193)+COUNTIFS(Students,E74,NCESids,144209)+COUNTIFS(Students,E74,NCESids,144218)</f>
        <v>0</v>
      </c>
      <c r="CD74" s="1">
        <f>COUNTIFS(Students,E74,Results,"Accepted!",FarBelowTGRCount,0)+COUNTIFS(Students,E74,Results,"CHOICE!",FarBelowTGRCount,0)</f>
        <v>0</v>
      </c>
    </row>
    <row r="75" spans="1:82">
      <c r="A75" s="18" t="s">
        <v>96</v>
      </c>
      <c r="B75" s="19">
        <v>0</v>
      </c>
      <c r="C75" s="18" t="s">
        <v>97</v>
      </c>
      <c r="D75" s="18" t="s">
        <v>338</v>
      </c>
      <c r="E75" s="19">
        <v>30144279</v>
      </c>
      <c r="F75" s="19" t="s">
        <v>339</v>
      </c>
      <c r="G75" s="10" t="s">
        <v>340</v>
      </c>
      <c r="H75" s="46">
        <v>3.5104</v>
      </c>
      <c r="I75" s="46">
        <v>3.7104</v>
      </c>
      <c r="J75" s="1">
        <v>19</v>
      </c>
      <c r="K75" s="1">
        <f>IF(ISNUMBER(I75),ROUND(583.58+106.27*I75,-1),"TBD")</f>
        <v>0</v>
      </c>
      <c r="L75" s="1">
        <v>1000</v>
      </c>
      <c r="M75" s="1">
        <f>IF(ISNUMBER(L75),L75,IF(ISNUMBER(K75),K75,"TBD"))</f>
        <v>0</v>
      </c>
      <c r="N75" s="1">
        <f>IF(ISNUMBER(J75),VLOOKUP(J75,ACTtoSAT,2,FALSE),"TBD")</f>
        <v>0</v>
      </c>
      <c r="O75" s="1">
        <f>IF(ISNUMBER(M75),IF(ISNUMBER(N75),MAX(M75,N75),M75),IF(ISNUMBER(N75),N75,"TBD"))</f>
        <v>0</v>
      </c>
      <c r="P75" s="1" t="s">
        <v>101</v>
      </c>
      <c r="Q75" s="1" t="s">
        <v>123</v>
      </c>
      <c r="R75" s="1" t="s">
        <v>124</v>
      </c>
      <c r="S75" s="1">
        <f>IF(AND(H75&lt;&gt;0,O75&lt;&gt;0),IF(ISNUMBER(VLOOKUP(TEXT(MAX(FLOOR(H75*10,1)/10,1.5),"0.0")&amp;":"&amp;MAX(O75,710),StrategyLookup,4,FALSE)),VLOOKUP(TEXT(MAX(FLOOR(H75*10,1)/10,1.5),"0.0")&amp;":"&amp;MAX(O75,710),StrategyLookup,4,FALSE),"TBD"),"TBD")</f>
        <v>0</v>
      </c>
      <c r="T75" s="11">
        <f>IF(ISNUMBER(S75),VLOOKUP(IF(OR(S75=5,S75=6),S75&amp;IF(H75&gt;=3,"+","&lt;"),S75&amp;""),TargetLookup,IF(B75=-1,6,IF(OR(P75="W",P75="A"),4,2)),FALSE),"TBD")</f>
        <v>0</v>
      </c>
      <c r="U75" s="11">
        <f>IF(ISNUMBER(S75),VLOOKUP(IF(OR(S75=5,S75=6),S75&amp;IF(H75&gt;=3,"+","&lt;"),S75&amp;""),TargetLookup,IF(B75=-1,7,IF(OR(P75="W",P75="A"),5,3)),FALSE),"TBD")</f>
        <v>0</v>
      </c>
      <c r="V75" s="18" t="s">
        <v>115</v>
      </c>
      <c r="W75" s="19" t="s">
        <v>116</v>
      </c>
      <c r="X75" s="19" t="s">
        <v>106</v>
      </c>
      <c r="Y75" s="19">
        <f>V75&amp;X75&amp;D75</f>
        <v>0</v>
      </c>
      <c r="Z75" s="11">
        <f t="array" ref="Z75">1-PRODUCT(IF(Students=E75,MGRMoneyMult,1))</f>
        <v>0</v>
      </c>
      <c r="AA75" s="12">
        <f t="array" ref="AA75">1-PRODUCT(IF(Students=E75,RGRMoneyMult,1))</f>
        <v>0</v>
      </c>
      <c r="AB75" s="13">
        <f>COUNTIFS(Students,E75,Results,"Accepted!")+COUNTIFS(Students,E75,Results,"CHOICE!")</f>
        <v>0</v>
      </c>
      <c r="AC75" s="1">
        <f>COUNTIFS(Students,E75,Results,"Deferred")+COUNTIFS(Students,E75,Results,"Waitlist")</f>
        <v>0</v>
      </c>
      <c r="AD75" s="13">
        <f>COUNTIFS(Students,E75,Results,"Denied")</f>
        <v>0</v>
      </c>
      <c r="AE75" s="13">
        <f>AB75+AC75+AD75+COUNTIFS(Students,E75,Results,"Submitted")</f>
        <v>0</v>
      </c>
      <c r="AF75" s="12">
        <v>0.7840499944338279</v>
      </c>
      <c r="AG75" s="12">
        <v>0.7301433230587626</v>
      </c>
      <c r="AH75" s="12">
        <v>0.6643011289429236</v>
      </c>
      <c r="AI75" s="12">
        <v>0.6420978828704976</v>
      </c>
      <c r="AJ75" s="13">
        <f>COUNTIFS(Students,E75,Results,"CHOICE!")</f>
        <v>0</v>
      </c>
      <c r="AK75" s="1">
        <f>COUNTIFS(MoneyYesNo,1,RGRcount,1,Students,E75,Results,"Accepted!")</f>
        <v>0</v>
      </c>
      <c r="AL75" s="1">
        <f>COUNTIFS(MoneyYesNo,1,MGRcount,1,Students,E75,Results,"Accepted!")-AK75</f>
        <v>0</v>
      </c>
      <c r="AM75" s="1">
        <f>COUNTIFS(MoneyYesNo,1,Students,E75,Results,"Accepted!")-AK75-AL75</f>
        <v>0</v>
      </c>
      <c r="AN75" s="13">
        <f>COUNTIFS(Students,E75,Results,"Accepted!")-AK75-AL75-AM75</f>
        <v>0</v>
      </c>
      <c r="AO75" s="1">
        <f>SUMIFS(RGRcount,Students,E75,MoneyYesNo,1)</f>
        <v>0</v>
      </c>
      <c r="AP75" s="1">
        <f>SUMIFS(MGRcount,Students,E75,MoneyYesNo,1)-AO75</f>
        <v>0</v>
      </c>
      <c r="AQ75" s="1">
        <f>SUMIF(Students,E75,MoneyYesNo)-AO75-AP75</f>
        <v>0</v>
      </c>
      <c r="AR75" s="13">
        <f>SUM(AO75,AP75,AQ75)</f>
        <v>0</v>
      </c>
      <c r="AS75" s="1">
        <f>SUMIF(Students,E75,RGRcount)</f>
        <v>0</v>
      </c>
      <c r="AT75" s="1">
        <f>SUMIF(Students,E75,MGRcount)-AS75</f>
        <v>0</v>
      </c>
      <c r="AU75" s="1">
        <f>COUNTIF(Students,E75)-AS75-AT75</f>
        <v>0</v>
      </c>
      <c r="AV75" s="1">
        <f>SUMIF(Students,E75,FarBelowTGRCount)</f>
        <v>0</v>
      </c>
      <c r="AW75" s="47">
        <f>COUNTIF(Students,E75)</f>
        <v>0</v>
      </c>
      <c r="AX75" s="11">
        <f>IF(AW75&gt;0,AE75/AW75,0)</f>
        <v>0</v>
      </c>
      <c r="AY75" s="11">
        <f t="array" ref="AY75">1-PRODUCT(IF(Students=E75,MGRMult,1))</f>
        <v>0</v>
      </c>
      <c r="AZ75" s="12">
        <f t="array" ref="AZ75">1-PRODUCT(IF(Students=E75,RGRMult,1))</f>
        <v>0</v>
      </c>
      <c r="BA75" s="1">
        <f>COUNTIFS(Students,E75,Classes,HailMaryLabel)</f>
        <v>0</v>
      </c>
      <c r="BB75" s="1">
        <f>COUNTIFS(Students,E75,Classes,LongshotLabel)</f>
        <v>0</v>
      </c>
      <c r="BC75" s="1">
        <f>COUNTIFS(Students,E75,Classes,ReachLabel)</f>
        <v>0</v>
      </c>
      <c r="BD75" s="1">
        <f>COUNTIFS(Students,E75,Classes,MatchLabel)</f>
        <v>0</v>
      </c>
      <c r="BE75" s="1">
        <f>COUNTIFS(Students,E75,Classes,SafetyLabel)</f>
        <v>0</v>
      </c>
      <c r="BF75" s="1">
        <f>COUNTIFS(Students,E75,Classes,SecureLabel)</f>
        <v>0</v>
      </c>
      <c r="BG75" s="1">
        <f>COUNTIFS(Students,E75,Classes,SureThingLabel)</f>
        <v>0</v>
      </c>
      <c r="BH75" s="13">
        <f>COUNTIFS(Students,E75,Classes,"Other")</f>
        <v>0</v>
      </c>
      <c r="BI75" s="1">
        <f>COUNTIFS(Students,E75,Classes,ReachLabel,MoneyYesNo,1)</f>
        <v>0</v>
      </c>
      <c r="BJ75" s="1">
        <f>COUNTIFS(Students,E75,Classes,MatchLabel,MoneyYesNo,1)</f>
        <v>0</v>
      </c>
      <c r="BK75" s="1">
        <f>COUNTIFS(Students,E75,Classes,SafetyLabel,MoneyYesNo,1)</f>
        <v>0</v>
      </c>
      <c r="BL75" s="1">
        <f>COUNTIFS(Students,E75,Classes,SecureLabel,MoneyYesNo,1)</f>
        <v>0</v>
      </c>
      <c r="BM75" s="1">
        <f>COUNTIFS(Students,E75,Classes,SureThingLabel,MoneyYesNo,1)</f>
        <v>0</v>
      </c>
      <c r="BN75" s="1">
        <f>SUM(BI75:BM75)</f>
        <v>0</v>
      </c>
      <c r="BO75" s="1">
        <f>SUMIFS(RGRcount,Students,E75,MoneyYesNo,1,Odds,"&gt;=20")</f>
        <v>0</v>
      </c>
      <c r="BP75" s="1">
        <f>SUMIFS(MGRcount,Students,E75,MoneyYesNo,1,Odds,"&gt;=20")-BO75</f>
        <v>0</v>
      </c>
      <c r="BQ75" s="1">
        <f>SUMIFS(MGRcount,Students,E75,MoneyYesNo,1,Odds,"&gt;=50")</f>
        <v>0</v>
      </c>
      <c r="BR75" s="1">
        <f>SUMIFS(RGRcount,Students,E75,MoneyYesNo,1,Odds,"&gt;=10")</f>
        <v>0</v>
      </c>
      <c r="BS75" s="1">
        <f>SUMIFS(MGRcount,Students,E75,MoneyYesNo,1,Odds,"&gt;=10")-BR75</f>
        <v>0</v>
      </c>
      <c r="BT75" s="1">
        <f>COUNTIFS(Students,E75,ILPublic,1)</f>
        <v>0</v>
      </c>
      <c r="BU75" s="1">
        <f>COUNTIFS(Students,E75,ILPublic,1,MoneyYesNo,1,Classes,MatchLabel)+COUNTIFS(Students,E75,ILPublic,1,MoneyYesNo,1,Classes,SafetyLabel)+COUNTIFS(Students,E75,ILPublic,1,MoneyYesNo,1,Classes,SecureLabel)+COUNTIFS(Students,E75,ILPublic,1,MoneyYesNo,1,Classes,SureThingLabel)</f>
        <v>0</v>
      </c>
      <c r="BV75" s="1">
        <f>COUNTIFS(Students,E75,ILPublic,1, Classes,SecureLabel)</f>
        <v>0</v>
      </c>
      <c r="BW75" s="1">
        <f>COUNTIFS(Students,E75,MoneyChicago,1)</f>
        <v>0</v>
      </c>
      <c r="BX75" s="1">
        <f>COUNTIFS(Students,E75,MatchOrUnder,1)</f>
        <v>0</v>
      </c>
      <c r="BY75" s="1">
        <f>SUMIF(Students,E75,MGRcount)</f>
        <v>0</v>
      </c>
      <c r="BZ75" s="1">
        <f>COUNTIFS(Students,E75,BadMoney,1)</f>
        <v>0</v>
      </c>
      <c r="CA75" s="1">
        <f>COUNTIFS(Students,E75,GoldenThree,1)</f>
        <v>0</v>
      </c>
      <c r="CB75" s="1">
        <f>COUNTIFS(Students,E75,NCESids,147536)</f>
        <v>0</v>
      </c>
      <c r="CC75" s="1">
        <f>COUNTIFS(Students,E75,NCESids,144157)+COUNTIFS(Students,E75,NCESids,144166)+COUNTIFS(Students,E75,NCESids,144175)+COUNTIFS(Students,E75,NCESids,144184)+COUNTIFS(Students,E75,NCESids,144193)+COUNTIFS(Students,E75,NCESids,144209)+COUNTIFS(Students,E75,NCESids,144218)</f>
        <v>0</v>
      </c>
      <c r="CD75" s="1">
        <f>COUNTIFS(Students,E75,Results,"Accepted!",FarBelowTGRCount,0)+COUNTIFS(Students,E75,Results,"CHOICE!",FarBelowTGRCount,0)</f>
        <v>0</v>
      </c>
    </row>
    <row r="76" spans="1:82">
      <c r="A76" s="18" t="s">
        <v>96</v>
      </c>
      <c r="B76" s="19">
        <v>0</v>
      </c>
      <c r="C76" s="18" t="s">
        <v>97</v>
      </c>
      <c r="D76" s="18" t="s">
        <v>341</v>
      </c>
      <c r="E76" s="19">
        <v>24597473</v>
      </c>
      <c r="F76" s="19" t="s">
        <v>342</v>
      </c>
      <c r="G76" s="10" t="s">
        <v>343</v>
      </c>
      <c r="H76" s="46">
        <v>3.5771</v>
      </c>
      <c r="I76" s="46">
        <v>3.7771</v>
      </c>
      <c r="J76" s="1">
        <v>20</v>
      </c>
      <c r="K76" s="1">
        <f>IF(ISNUMBER(I76),ROUND(583.58+106.27*I76,-1),"TBD")</f>
        <v>0</v>
      </c>
      <c r="L76" s="1">
        <v>1020</v>
      </c>
      <c r="M76" s="1">
        <f>IF(ISNUMBER(L76),L76,IF(ISNUMBER(K76),K76,"TBD"))</f>
        <v>0</v>
      </c>
      <c r="N76" s="1">
        <f>IF(ISNUMBER(J76),VLOOKUP(J76,ACTtoSAT,2,FALSE),"TBD")</f>
        <v>0</v>
      </c>
      <c r="O76" s="1">
        <f>IF(ISNUMBER(M76),IF(ISNUMBER(N76),MAX(M76,N76),M76),IF(ISNUMBER(N76),N76,"TBD"))</f>
        <v>0</v>
      </c>
      <c r="P76" s="1" t="s">
        <v>344</v>
      </c>
      <c r="Q76" s="1" t="s">
        <v>102</v>
      </c>
      <c r="R76" s="1" t="s">
        <v>345</v>
      </c>
      <c r="S76" s="1">
        <f>IF(AND(H76&lt;&gt;0,O76&lt;&gt;0),IF(ISNUMBER(VLOOKUP(TEXT(MAX(FLOOR(H76*10,1)/10,1.5),"0.0")&amp;":"&amp;MAX(O76,710),StrategyLookup,4,FALSE)),VLOOKUP(TEXT(MAX(FLOOR(H76*10,1)/10,1.5),"0.0")&amp;":"&amp;MAX(O76,710),StrategyLookup,4,FALSE),"TBD"),"TBD")</f>
        <v>0</v>
      </c>
      <c r="T76" s="11">
        <f>IF(ISNUMBER(S76),VLOOKUP(IF(OR(S76=5,S76=6),S76&amp;IF(H76&gt;=3,"+","&lt;"),S76&amp;""),TargetLookup,IF(B76=-1,6,IF(OR(P76="W",P76="A"),4,2)),FALSE),"TBD")</f>
        <v>0</v>
      </c>
      <c r="U76" s="11">
        <f>IF(ISNUMBER(S76),VLOOKUP(IF(OR(S76=5,S76=6),S76&amp;IF(H76&gt;=3,"+","&lt;"),S76&amp;""),TargetLookup,IF(B76=-1,7,IF(OR(P76="W",P76="A"),5,3)),FALSE),"TBD")</f>
        <v>0</v>
      </c>
      <c r="V76" s="18" t="s">
        <v>104</v>
      </c>
      <c r="W76" s="19" t="s">
        <v>125</v>
      </c>
      <c r="X76" s="19" t="s">
        <v>106</v>
      </c>
      <c r="Y76" s="19">
        <f>V76&amp;X76&amp;D76</f>
        <v>0</v>
      </c>
      <c r="Z76" s="11">
        <f t="array" ref="Z76">1-PRODUCT(IF(Students=E76,MGRMoneyMult,1))</f>
        <v>0</v>
      </c>
      <c r="AA76" s="12">
        <f t="array" ref="AA76">1-PRODUCT(IF(Students=E76,RGRMoneyMult,1))</f>
        <v>0</v>
      </c>
      <c r="AB76" s="13">
        <f>COUNTIFS(Students,E76,Results,"Accepted!")+COUNTIFS(Students,E76,Results,"CHOICE!")</f>
        <v>0</v>
      </c>
      <c r="AC76" s="1">
        <f>COUNTIFS(Students,E76,Results,"Deferred")+COUNTIFS(Students,E76,Results,"Waitlist")</f>
        <v>0</v>
      </c>
      <c r="AD76" s="13">
        <f>COUNTIFS(Students,E76,Results,"Denied")</f>
        <v>0</v>
      </c>
      <c r="AE76" s="13">
        <f>AB76+AC76+AD76+COUNTIFS(Students,E76,Results,"Submitted")</f>
        <v>0</v>
      </c>
      <c r="AF76" s="12">
        <v>0.8419823284737247</v>
      </c>
      <c r="AG76" s="12">
        <v>0.8255292213305713</v>
      </c>
      <c r="AH76" s="12">
        <v>0.7642723063579641</v>
      </c>
      <c r="AI76" s="12">
        <v>0.7443554836429913</v>
      </c>
      <c r="AJ76" s="13">
        <f>COUNTIFS(Students,E76,Results,"CHOICE!")</f>
        <v>0</v>
      </c>
      <c r="AK76" s="1">
        <f>COUNTIFS(MoneyYesNo,1,RGRcount,1,Students,E76,Results,"Accepted!")</f>
        <v>0</v>
      </c>
      <c r="AL76" s="1">
        <f>COUNTIFS(MoneyYesNo,1,MGRcount,1,Students,E76,Results,"Accepted!")-AK76</f>
        <v>0</v>
      </c>
      <c r="AM76" s="1">
        <f>COUNTIFS(MoneyYesNo,1,Students,E76,Results,"Accepted!")-AK76-AL76</f>
        <v>0</v>
      </c>
      <c r="AN76" s="13">
        <f>COUNTIFS(Students,E76,Results,"Accepted!")-AK76-AL76-AM76</f>
        <v>0</v>
      </c>
      <c r="AO76" s="1">
        <f>SUMIFS(RGRcount,Students,E76,MoneyYesNo,1)</f>
        <v>0</v>
      </c>
      <c r="AP76" s="1">
        <f>SUMIFS(MGRcount,Students,E76,MoneyYesNo,1)-AO76</f>
        <v>0</v>
      </c>
      <c r="AQ76" s="1">
        <f>SUMIF(Students,E76,MoneyYesNo)-AO76-AP76</f>
        <v>0</v>
      </c>
      <c r="AR76" s="13">
        <f>SUM(AO76,AP76,AQ76)</f>
        <v>0</v>
      </c>
      <c r="AS76" s="1">
        <f>SUMIF(Students,E76,RGRcount)</f>
        <v>0</v>
      </c>
      <c r="AT76" s="1">
        <f>SUMIF(Students,E76,MGRcount)-AS76</f>
        <v>0</v>
      </c>
      <c r="AU76" s="1">
        <f>COUNTIF(Students,E76)-AS76-AT76</f>
        <v>0</v>
      </c>
      <c r="AV76" s="1">
        <f>SUMIF(Students,E76,FarBelowTGRCount)</f>
        <v>0</v>
      </c>
      <c r="AW76" s="47">
        <f>COUNTIF(Students,E76)</f>
        <v>0</v>
      </c>
      <c r="AX76" s="11">
        <f>IF(AW76&gt;0,AE76/AW76,0)</f>
        <v>0</v>
      </c>
      <c r="AY76" s="11">
        <f t="array" ref="AY76">1-PRODUCT(IF(Students=E76,MGRMult,1))</f>
        <v>0</v>
      </c>
      <c r="AZ76" s="12">
        <f t="array" ref="AZ76">1-PRODUCT(IF(Students=E76,RGRMult,1))</f>
        <v>0</v>
      </c>
      <c r="BA76" s="1">
        <f>COUNTIFS(Students,E76,Classes,HailMaryLabel)</f>
        <v>0</v>
      </c>
      <c r="BB76" s="1">
        <f>COUNTIFS(Students,E76,Classes,LongshotLabel)</f>
        <v>0</v>
      </c>
      <c r="BC76" s="1">
        <f>COUNTIFS(Students,E76,Classes,ReachLabel)</f>
        <v>0</v>
      </c>
      <c r="BD76" s="1">
        <f>COUNTIFS(Students,E76,Classes,MatchLabel)</f>
        <v>0</v>
      </c>
      <c r="BE76" s="1">
        <f>COUNTIFS(Students,E76,Classes,SafetyLabel)</f>
        <v>0</v>
      </c>
      <c r="BF76" s="1">
        <f>COUNTIFS(Students,E76,Classes,SecureLabel)</f>
        <v>0</v>
      </c>
      <c r="BG76" s="1">
        <f>COUNTIFS(Students,E76,Classes,SureThingLabel)</f>
        <v>0</v>
      </c>
      <c r="BH76" s="13">
        <f>COUNTIFS(Students,E76,Classes,"Other")</f>
        <v>0</v>
      </c>
      <c r="BI76" s="1">
        <f>COUNTIFS(Students,E76,Classes,ReachLabel,MoneyYesNo,1)</f>
        <v>0</v>
      </c>
      <c r="BJ76" s="1">
        <f>COUNTIFS(Students,E76,Classes,MatchLabel,MoneyYesNo,1)</f>
        <v>0</v>
      </c>
      <c r="BK76" s="1">
        <f>COUNTIFS(Students,E76,Classes,SafetyLabel,MoneyYesNo,1)</f>
        <v>0</v>
      </c>
      <c r="BL76" s="1">
        <f>COUNTIFS(Students,E76,Classes,SecureLabel,MoneyYesNo,1)</f>
        <v>0</v>
      </c>
      <c r="BM76" s="1">
        <f>COUNTIFS(Students,E76,Classes,SureThingLabel,MoneyYesNo,1)</f>
        <v>0</v>
      </c>
      <c r="BN76" s="1">
        <f>SUM(BI76:BM76)</f>
        <v>0</v>
      </c>
      <c r="BO76" s="1">
        <f>SUMIFS(RGRcount,Students,E76,MoneyYesNo,1,Odds,"&gt;=20")</f>
        <v>0</v>
      </c>
      <c r="BP76" s="1">
        <f>SUMIFS(MGRcount,Students,E76,MoneyYesNo,1,Odds,"&gt;=20")-BO76</f>
        <v>0</v>
      </c>
      <c r="BQ76" s="1">
        <f>SUMIFS(MGRcount,Students,E76,MoneyYesNo,1,Odds,"&gt;=50")</f>
        <v>0</v>
      </c>
      <c r="BR76" s="1">
        <f>SUMIFS(RGRcount,Students,E76,MoneyYesNo,1,Odds,"&gt;=10")</f>
        <v>0</v>
      </c>
      <c r="BS76" s="1">
        <f>SUMIFS(MGRcount,Students,E76,MoneyYesNo,1,Odds,"&gt;=10")-BR76</f>
        <v>0</v>
      </c>
      <c r="BT76" s="1">
        <f>COUNTIFS(Students,E76,ILPublic,1)</f>
        <v>0</v>
      </c>
      <c r="BU76" s="1">
        <f>COUNTIFS(Students,E76,ILPublic,1,MoneyYesNo,1,Classes,MatchLabel)+COUNTIFS(Students,E76,ILPublic,1,MoneyYesNo,1,Classes,SafetyLabel)+COUNTIFS(Students,E76,ILPublic,1,MoneyYesNo,1,Classes,SecureLabel)+COUNTIFS(Students,E76,ILPublic,1,MoneyYesNo,1,Classes,SureThingLabel)</f>
        <v>0</v>
      </c>
      <c r="BV76" s="1">
        <f>COUNTIFS(Students,E76,ILPublic,1, Classes,SecureLabel)</f>
        <v>0</v>
      </c>
      <c r="BW76" s="1">
        <f>COUNTIFS(Students,E76,MoneyChicago,1)</f>
        <v>0</v>
      </c>
      <c r="BX76" s="1">
        <f>COUNTIFS(Students,E76,MatchOrUnder,1)</f>
        <v>0</v>
      </c>
      <c r="BY76" s="1">
        <f>SUMIF(Students,E76,MGRcount)</f>
        <v>0</v>
      </c>
      <c r="BZ76" s="1">
        <f>COUNTIFS(Students,E76,BadMoney,1)</f>
        <v>0</v>
      </c>
      <c r="CA76" s="1">
        <f>COUNTIFS(Students,E76,GoldenThree,1)</f>
        <v>0</v>
      </c>
      <c r="CB76" s="1">
        <f>COUNTIFS(Students,E76,NCESids,147536)</f>
        <v>0</v>
      </c>
      <c r="CC76" s="1">
        <f>COUNTIFS(Students,E76,NCESids,144157)+COUNTIFS(Students,E76,NCESids,144166)+COUNTIFS(Students,E76,NCESids,144175)+COUNTIFS(Students,E76,NCESids,144184)+COUNTIFS(Students,E76,NCESids,144193)+COUNTIFS(Students,E76,NCESids,144209)+COUNTIFS(Students,E76,NCESids,144218)</f>
        <v>0</v>
      </c>
      <c r="CD76" s="1">
        <f>COUNTIFS(Students,E76,Results,"Accepted!",FarBelowTGRCount,0)+COUNTIFS(Students,E76,Results,"CHOICE!",FarBelowTGRCount,0)</f>
        <v>0</v>
      </c>
    </row>
    <row r="77" spans="1:82">
      <c r="A77" s="18" t="s">
        <v>96</v>
      </c>
      <c r="B77" s="19">
        <v>0</v>
      </c>
      <c r="C77" s="18" t="s">
        <v>97</v>
      </c>
      <c r="D77" s="18" t="s">
        <v>346</v>
      </c>
      <c r="E77" s="19">
        <v>23452595</v>
      </c>
      <c r="F77" s="19" t="s">
        <v>347</v>
      </c>
      <c r="G77" s="10" t="s">
        <v>348</v>
      </c>
      <c r="H77" s="46">
        <v>2.8692</v>
      </c>
      <c r="I77" s="46">
        <v>3.0692</v>
      </c>
      <c r="J77" s="1">
        <v>17</v>
      </c>
      <c r="K77" s="1">
        <f>IF(ISNUMBER(I77),ROUND(583.58+106.27*I77,-1),"TBD")</f>
        <v>0</v>
      </c>
      <c r="L77" s="1">
        <v>930</v>
      </c>
      <c r="M77" s="1">
        <f>IF(ISNUMBER(L77),L77,IF(ISNUMBER(K77),K77,"TBD"))</f>
        <v>0</v>
      </c>
      <c r="N77" s="1">
        <f>IF(ISNUMBER(J77),VLOOKUP(J77,ACTtoSAT,2,FALSE),"TBD")</f>
        <v>0</v>
      </c>
      <c r="O77" s="1">
        <f>IF(ISNUMBER(M77),IF(ISNUMBER(N77),MAX(M77,N77),M77),IF(ISNUMBER(N77),N77,"TBD"))</f>
        <v>0</v>
      </c>
      <c r="P77" s="1" t="s">
        <v>101</v>
      </c>
      <c r="Q77" s="1" t="s">
        <v>102</v>
      </c>
      <c r="R77" s="1" t="s">
        <v>103</v>
      </c>
      <c r="S77" s="1">
        <f>IF(AND(H77&lt;&gt;0,O77&lt;&gt;0),IF(ISNUMBER(VLOOKUP(TEXT(MAX(FLOOR(H77*10,1)/10,1.5),"0.0")&amp;":"&amp;MAX(O77,710),StrategyLookup,4,FALSE)),VLOOKUP(TEXT(MAX(FLOOR(H77*10,1)/10,1.5),"0.0")&amp;":"&amp;MAX(O77,710),StrategyLookup,4,FALSE),"TBD"),"TBD")</f>
        <v>0</v>
      </c>
      <c r="T77" s="11">
        <f>IF(ISNUMBER(S77),VLOOKUP(IF(OR(S77=5,S77=6),S77&amp;IF(H77&gt;=3,"+","&lt;"),S77&amp;""),TargetLookup,IF(B77=-1,6,IF(OR(P77="W",P77="A"),4,2)),FALSE),"TBD")</f>
        <v>0</v>
      </c>
      <c r="U77" s="11">
        <f>IF(ISNUMBER(S77),VLOOKUP(IF(OR(S77=5,S77=6),S77&amp;IF(H77&gt;=3,"+","&lt;"),S77&amp;""),TargetLookup,IF(B77=-1,7,IF(OR(P77="W",P77="A"),5,3)),FALSE),"TBD")</f>
        <v>0</v>
      </c>
      <c r="V77" s="18" t="s">
        <v>135</v>
      </c>
      <c r="W77" s="19" t="s">
        <v>105</v>
      </c>
      <c r="X77" s="19" t="s">
        <v>106</v>
      </c>
      <c r="Y77" s="19">
        <f>V77&amp;X77&amp;D77</f>
        <v>0</v>
      </c>
      <c r="Z77" s="11">
        <f t="array" ref="Z77">1-PRODUCT(IF(Students=E77,MGRMoneyMult,1))</f>
        <v>0</v>
      </c>
      <c r="AA77" s="12">
        <f t="array" ref="AA77">1-PRODUCT(IF(Students=E77,RGRMoneyMult,1))</f>
        <v>0</v>
      </c>
      <c r="AB77" s="13">
        <f>COUNTIFS(Students,E77,Results,"Accepted!")+COUNTIFS(Students,E77,Results,"CHOICE!")</f>
        <v>0</v>
      </c>
      <c r="AC77" s="1">
        <f>COUNTIFS(Students,E77,Results,"Deferred")+COUNTIFS(Students,E77,Results,"Waitlist")</f>
        <v>0</v>
      </c>
      <c r="AD77" s="13">
        <f>COUNTIFS(Students,E77,Results,"Denied")</f>
        <v>0</v>
      </c>
      <c r="AE77" s="13">
        <f>AB77+AC77+AD77+COUNTIFS(Students,E77,Results,"Submitted")</f>
        <v>0</v>
      </c>
      <c r="AF77" s="12">
        <v>0.6845853729771108</v>
      </c>
      <c r="AG77" s="12">
        <v>0.5792663218987181</v>
      </c>
      <c r="AH77" s="12">
        <v>0.5452249004956322</v>
      </c>
      <c r="AI77" s="12">
        <v>0.5263248509164858</v>
      </c>
      <c r="AJ77" s="13">
        <f>COUNTIFS(Students,E77,Results,"CHOICE!")</f>
        <v>0</v>
      </c>
      <c r="AK77" s="1">
        <f>COUNTIFS(MoneyYesNo,1,RGRcount,1,Students,E77,Results,"Accepted!")</f>
        <v>0</v>
      </c>
      <c r="AL77" s="1">
        <f>COUNTIFS(MoneyYesNo,1,MGRcount,1,Students,E77,Results,"Accepted!")-AK77</f>
        <v>0</v>
      </c>
      <c r="AM77" s="1">
        <f>COUNTIFS(MoneyYesNo,1,Students,E77,Results,"Accepted!")-AK77-AL77</f>
        <v>0</v>
      </c>
      <c r="AN77" s="13">
        <f>COUNTIFS(Students,E77,Results,"Accepted!")-AK77-AL77-AM77</f>
        <v>0</v>
      </c>
      <c r="AO77" s="1">
        <f>SUMIFS(RGRcount,Students,E77,MoneyYesNo,1)</f>
        <v>0</v>
      </c>
      <c r="AP77" s="1">
        <f>SUMIFS(MGRcount,Students,E77,MoneyYesNo,1)-AO77</f>
        <v>0</v>
      </c>
      <c r="AQ77" s="1">
        <f>SUMIF(Students,E77,MoneyYesNo)-AO77-AP77</f>
        <v>0</v>
      </c>
      <c r="AR77" s="13">
        <f>SUM(AO77,AP77,AQ77)</f>
        <v>0</v>
      </c>
      <c r="AS77" s="1">
        <f>SUMIF(Students,E77,RGRcount)</f>
        <v>0</v>
      </c>
      <c r="AT77" s="1">
        <f>SUMIF(Students,E77,MGRcount)-AS77</f>
        <v>0</v>
      </c>
      <c r="AU77" s="1">
        <f>COUNTIF(Students,E77)-AS77-AT77</f>
        <v>0</v>
      </c>
      <c r="AV77" s="1">
        <f>SUMIF(Students,E77,FarBelowTGRCount)</f>
        <v>0</v>
      </c>
      <c r="AW77" s="47">
        <f>COUNTIF(Students,E77)</f>
        <v>0</v>
      </c>
      <c r="AX77" s="11">
        <f>IF(AW77&gt;0,AE77/AW77,0)</f>
        <v>0</v>
      </c>
      <c r="AY77" s="11">
        <f t="array" ref="AY77">1-PRODUCT(IF(Students=E77,MGRMult,1))</f>
        <v>0</v>
      </c>
      <c r="AZ77" s="12">
        <f t="array" ref="AZ77">1-PRODUCT(IF(Students=E77,RGRMult,1))</f>
        <v>0</v>
      </c>
      <c r="BA77" s="1">
        <f>COUNTIFS(Students,E77,Classes,HailMaryLabel)</f>
        <v>0</v>
      </c>
      <c r="BB77" s="1">
        <f>COUNTIFS(Students,E77,Classes,LongshotLabel)</f>
        <v>0</v>
      </c>
      <c r="BC77" s="1">
        <f>COUNTIFS(Students,E77,Classes,ReachLabel)</f>
        <v>0</v>
      </c>
      <c r="BD77" s="1">
        <f>COUNTIFS(Students,E77,Classes,MatchLabel)</f>
        <v>0</v>
      </c>
      <c r="BE77" s="1">
        <f>COUNTIFS(Students,E77,Classes,SafetyLabel)</f>
        <v>0</v>
      </c>
      <c r="BF77" s="1">
        <f>COUNTIFS(Students,E77,Classes,SecureLabel)</f>
        <v>0</v>
      </c>
      <c r="BG77" s="1">
        <f>COUNTIFS(Students,E77,Classes,SureThingLabel)</f>
        <v>0</v>
      </c>
      <c r="BH77" s="13">
        <f>COUNTIFS(Students,E77,Classes,"Other")</f>
        <v>0</v>
      </c>
      <c r="BI77" s="1">
        <f>COUNTIFS(Students,E77,Classes,ReachLabel,MoneyYesNo,1)</f>
        <v>0</v>
      </c>
      <c r="BJ77" s="1">
        <f>COUNTIFS(Students,E77,Classes,MatchLabel,MoneyYesNo,1)</f>
        <v>0</v>
      </c>
      <c r="BK77" s="1">
        <f>COUNTIFS(Students,E77,Classes,SafetyLabel,MoneyYesNo,1)</f>
        <v>0</v>
      </c>
      <c r="BL77" s="1">
        <f>COUNTIFS(Students,E77,Classes,SecureLabel,MoneyYesNo,1)</f>
        <v>0</v>
      </c>
      <c r="BM77" s="1">
        <f>COUNTIFS(Students,E77,Classes,SureThingLabel,MoneyYesNo,1)</f>
        <v>0</v>
      </c>
      <c r="BN77" s="1">
        <f>SUM(BI77:BM77)</f>
        <v>0</v>
      </c>
      <c r="BO77" s="1">
        <f>SUMIFS(RGRcount,Students,E77,MoneyYesNo,1,Odds,"&gt;=20")</f>
        <v>0</v>
      </c>
      <c r="BP77" s="1">
        <f>SUMIFS(MGRcount,Students,E77,MoneyYesNo,1,Odds,"&gt;=20")-BO77</f>
        <v>0</v>
      </c>
      <c r="BQ77" s="1">
        <f>SUMIFS(MGRcount,Students,E77,MoneyYesNo,1,Odds,"&gt;=50")</f>
        <v>0</v>
      </c>
      <c r="BR77" s="1">
        <f>SUMIFS(RGRcount,Students,E77,MoneyYesNo,1,Odds,"&gt;=10")</f>
        <v>0</v>
      </c>
      <c r="BS77" s="1">
        <f>SUMIFS(MGRcount,Students,E77,MoneyYesNo,1,Odds,"&gt;=10")-BR77</f>
        <v>0</v>
      </c>
      <c r="BT77" s="1">
        <f>COUNTIFS(Students,E77,ILPublic,1)</f>
        <v>0</v>
      </c>
      <c r="BU77" s="1">
        <f>COUNTIFS(Students,E77,ILPublic,1,MoneyYesNo,1,Classes,MatchLabel)+COUNTIFS(Students,E77,ILPublic,1,MoneyYesNo,1,Classes,SafetyLabel)+COUNTIFS(Students,E77,ILPublic,1,MoneyYesNo,1,Classes,SecureLabel)+COUNTIFS(Students,E77,ILPublic,1,MoneyYesNo,1,Classes,SureThingLabel)</f>
        <v>0</v>
      </c>
      <c r="BV77" s="1">
        <f>COUNTIFS(Students,E77,ILPublic,1, Classes,SecureLabel)</f>
        <v>0</v>
      </c>
      <c r="BW77" s="1">
        <f>COUNTIFS(Students,E77,MoneyChicago,1)</f>
        <v>0</v>
      </c>
      <c r="BX77" s="1">
        <f>COUNTIFS(Students,E77,MatchOrUnder,1)</f>
        <v>0</v>
      </c>
      <c r="BY77" s="1">
        <f>SUMIF(Students,E77,MGRcount)</f>
        <v>0</v>
      </c>
      <c r="BZ77" s="1">
        <f>COUNTIFS(Students,E77,BadMoney,1)</f>
        <v>0</v>
      </c>
      <c r="CA77" s="1">
        <f>COUNTIFS(Students,E77,GoldenThree,1)</f>
        <v>0</v>
      </c>
      <c r="CB77" s="1">
        <f>COUNTIFS(Students,E77,NCESids,147536)</f>
        <v>0</v>
      </c>
      <c r="CC77" s="1">
        <f>COUNTIFS(Students,E77,NCESids,144157)+COUNTIFS(Students,E77,NCESids,144166)+COUNTIFS(Students,E77,NCESids,144175)+COUNTIFS(Students,E77,NCESids,144184)+COUNTIFS(Students,E77,NCESids,144193)+COUNTIFS(Students,E77,NCESids,144209)+COUNTIFS(Students,E77,NCESids,144218)</f>
        <v>0</v>
      </c>
      <c r="CD77" s="1">
        <f>COUNTIFS(Students,E77,Results,"Accepted!",FarBelowTGRCount,0)+COUNTIFS(Students,E77,Results,"CHOICE!",FarBelowTGRCount,0)</f>
        <v>0</v>
      </c>
    </row>
  </sheetData>
  <autoFilter ref="A2:CD77"/>
  <conditionalFormatting sqref="A3:A77">
    <cfRule type="expression" dxfId="5" priority="1">
      <formula>IF(MOD(ROW()-2,4)=0,TRUE,FALSE)</formula>
    </cfRule>
  </conditionalFormatting>
  <conditionalFormatting sqref="AA3:AA77">
    <cfRule type="expression" dxfId="8" priority="27">
      <formula>IF(MOD(ROW()-2,4)=0,TRUE,FALSE)</formula>
    </cfRule>
  </conditionalFormatting>
  <conditionalFormatting sqref="AB3:AB77">
    <cfRule type="expression" dxfId="9" priority="28">
      <formula>IF(MOD(ROW()-2,4)=0,TRUE,FALSE)</formula>
    </cfRule>
  </conditionalFormatting>
  <conditionalFormatting sqref="AC3:AC77">
    <cfRule type="expression" dxfId="10" priority="29">
      <formula>IF(MOD(ROW()-2,4)=0,TRUE,FALSE)</formula>
    </cfRule>
  </conditionalFormatting>
  <conditionalFormatting sqref="AD3:AD77">
    <cfRule type="expression" dxfId="9" priority="30">
      <formula>IF(MOD(ROW()-2,4)=0,TRUE,FALSE)</formula>
    </cfRule>
  </conditionalFormatting>
  <conditionalFormatting sqref="AE3:AE77">
    <cfRule type="expression" dxfId="9" priority="31">
      <formula>IF(MOD(ROW()-2,4)=0,TRUE,FALSE)</formula>
    </cfRule>
  </conditionalFormatting>
  <conditionalFormatting sqref="AF3:AF77">
    <cfRule type="expression" dxfId="8" priority="32">
      <formula>IF(MOD(ROW()-2,4)=0,TRUE,FALSE)</formula>
    </cfRule>
  </conditionalFormatting>
  <conditionalFormatting sqref="AG3:AG77">
    <cfRule type="expression" dxfId="8" priority="33">
      <formula>IF(MOD(ROW()-2,4)=0,TRUE,FALSE)</formula>
    </cfRule>
  </conditionalFormatting>
  <conditionalFormatting sqref="AH3:AH77">
    <cfRule type="expression" dxfId="8" priority="34">
      <formula>IF(MOD(ROW()-2,4)=0,TRUE,FALSE)</formula>
    </cfRule>
  </conditionalFormatting>
  <conditionalFormatting sqref="AI3:AI77">
    <cfRule type="expression" dxfId="8" priority="35">
      <formula>IF(MOD(ROW()-2,4)=0,TRUE,FALSE)</formula>
    </cfRule>
  </conditionalFormatting>
  <conditionalFormatting sqref="AJ3:AJ77">
    <cfRule type="expression" dxfId="9" priority="36">
      <formula>IF(MOD(ROW()-2,4)=0,TRUE,FALSE)</formula>
    </cfRule>
  </conditionalFormatting>
  <conditionalFormatting sqref="AK3:AK77">
    <cfRule type="expression" dxfId="10" priority="37">
      <formula>IF(MOD(ROW()-2,4)=0,TRUE,FALSE)</formula>
    </cfRule>
  </conditionalFormatting>
  <conditionalFormatting sqref="AL3:AL77">
    <cfRule type="expression" dxfId="10" priority="38">
      <formula>IF(MOD(ROW()-2,4)=0,TRUE,FALSE)</formula>
    </cfRule>
  </conditionalFormatting>
  <conditionalFormatting sqref="AM3:AM77">
    <cfRule type="expression" dxfId="10" priority="39">
      <formula>IF(MOD(ROW()-2,4)=0,TRUE,FALSE)</formula>
    </cfRule>
  </conditionalFormatting>
  <conditionalFormatting sqref="AN3:AN77">
    <cfRule type="expression" dxfId="9" priority="40">
      <formula>IF(MOD(ROW()-2,4)=0,TRUE,FALSE)</formula>
    </cfRule>
  </conditionalFormatting>
  <conditionalFormatting sqref="AO3:AO77">
    <cfRule type="expression" dxfId="10" priority="41">
      <formula>IF(MOD(ROW()-2,4)=0,TRUE,FALSE)</formula>
    </cfRule>
  </conditionalFormatting>
  <conditionalFormatting sqref="AP3:AP77">
    <cfRule type="expression" dxfId="10" priority="42">
      <formula>IF(MOD(ROW()-2,4)=0,TRUE,FALSE)</formula>
    </cfRule>
  </conditionalFormatting>
  <conditionalFormatting sqref="AQ3:AQ77">
    <cfRule type="expression" dxfId="10" priority="43">
      <formula>IF(MOD(ROW()-2,4)=0,TRUE,FALSE)</formula>
    </cfRule>
  </conditionalFormatting>
  <conditionalFormatting sqref="AR3:AR77">
    <cfRule type="expression" dxfId="9" priority="44">
      <formula>IF(MOD(ROW()-2,4)=0,TRUE,FALSE)</formula>
    </cfRule>
  </conditionalFormatting>
  <conditionalFormatting sqref="AS3:AS77">
    <cfRule type="expression" dxfId="10" priority="45">
      <formula>IF(MOD(ROW()-2,4)=0,TRUE,FALSE)</formula>
    </cfRule>
  </conditionalFormatting>
  <conditionalFormatting sqref="AT3:AT77">
    <cfRule type="expression" dxfId="10" priority="46">
      <formula>IF(MOD(ROW()-2,4)=0,TRUE,FALSE)</formula>
    </cfRule>
  </conditionalFormatting>
  <conditionalFormatting sqref="AU3:AU77">
    <cfRule type="expression" dxfId="10" priority="47">
      <formula>IF(MOD(ROW()-2,4)=0,TRUE,FALSE)</formula>
    </cfRule>
  </conditionalFormatting>
  <conditionalFormatting sqref="AV3:AV77">
    <cfRule type="expression" dxfId="10" priority="48">
      <formula>IF(MOD(ROW()-2,4)=0,TRUE,FALSE)</formula>
    </cfRule>
  </conditionalFormatting>
  <conditionalFormatting sqref="AW3:AW77">
    <cfRule type="expression" dxfId="11" priority="49">
      <formula>IF(MOD(ROW()-2,4)=0,TRUE,FALSE)</formula>
    </cfRule>
  </conditionalFormatting>
  <conditionalFormatting sqref="AX3:AX77">
    <cfRule type="expression" dxfId="7" priority="50">
      <formula>IF(MOD(ROW()-2,4)=0,TRUE,FALSE)</formula>
    </cfRule>
  </conditionalFormatting>
  <conditionalFormatting sqref="AY3:AY77">
    <cfRule type="expression" dxfId="7" priority="51">
      <formula>IF(MOD(ROW()-2,4)=0,TRUE,FALSE)</formula>
    </cfRule>
  </conditionalFormatting>
  <conditionalFormatting sqref="AZ3:AZ77">
    <cfRule type="expression" dxfId="8" priority="52">
      <formula>IF(MOD(ROW()-2,4)=0,TRUE,FALSE)</formula>
    </cfRule>
  </conditionalFormatting>
  <conditionalFormatting sqref="B3:B77">
    <cfRule type="expression" dxfId="5" priority="2">
      <formula>IF(MOD(ROW()-2,4)=0,TRUE,FALSE)</formula>
    </cfRule>
  </conditionalFormatting>
  <conditionalFormatting sqref="BA3:BA77">
    <cfRule type="expression" dxfId="10" priority="53">
      <formula>IF(MOD(ROW()-2,4)=0,TRUE,FALSE)</formula>
    </cfRule>
  </conditionalFormatting>
  <conditionalFormatting sqref="BB3:BB77">
    <cfRule type="expression" dxfId="10" priority="54">
      <formula>IF(MOD(ROW()-2,4)=0,TRUE,FALSE)</formula>
    </cfRule>
  </conditionalFormatting>
  <conditionalFormatting sqref="BC3:BC77">
    <cfRule type="expression" dxfId="10" priority="55">
      <formula>IF(MOD(ROW()-2,4)=0,TRUE,FALSE)</formula>
    </cfRule>
  </conditionalFormatting>
  <conditionalFormatting sqref="BD3:BD77">
    <cfRule type="expression" dxfId="10" priority="56">
      <formula>IF(MOD(ROW()-2,4)=0,TRUE,FALSE)</formula>
    </cfRule>
  </conditionalFormatting>
  <conditionalFormatting sqref="BE3:BE77">
    <cfRule type="expression" dxfId="10" priority="57">
      <formula>IF(MOD(ROW()-2,4)=0,TRUE,FALSE)</formula>
    </cfRule>
  </conditionalFormatting>
  <conditionalFormatting sqref="BF3:BF77">
    <cfRule type="expression" dxfId="10" priority="58">
      <formula>IF(MOD(ROW()-2,4)=0,TRUE,FALSE)</formula>
    </cfRule>
  </conditionalFormatting>
  <conditionalFormatting sqref="BG3:BG77">
    <cfRule type="expression" dxfId="10" priority="59">
      <formula>IF(MOD(ROW()-2,4)=0,TRUE,FALSE)</formula>
    </cfRule>
  </conditionalFormatting>
  <conditionalFormatting sqref="BH3:BH77">
    <cfRule type="expression" dxfId="9" priority="60">
      <formula>IF(MOD(ROW()-2,4)=0,TRUE,FALSE)</formula>
    </cfRule>
  </conditionalFormatting>
  <conditionalFormatting sqref="BI3:BI77">
    <cfRule type="expression" dxfId="10" priority="61">
      <formula>IF(MOD(ROW()-2,4)=0,TRUE,FALSE)</formula>
    </cfRule>
  </conditionalFormatting>
  <conditionalFormatting sqref="BJ3:BJ77">
    <cfRule type="expression" dxfId="10" priority="62">
      <formula>IF(MOD(ROW()-2,4)=0,TRUE,FALSE)</formula>
    </cfRule>
  </conditionalFormatting>
  <conditionalFormatting sqref="BK3:BK77">
    <cfRule type="expression" dxfId="10" priority="63">
      <formula>IF(MOD(ROW()-2,4)=0,TRUE,FALSE)</formula>
    </cfRule>
  </conditionalFormatting>
  <conditionalFormatting sqref="BL3:BL77">
    <cfRule type="expression" dxfId="10" priority="64">
      <formula>IF(MOD(ROW()-2,4)=0,TRUE,FALSE)</formula>
    </cfRule>
  </conditionalFormatting>
  <conditionalFormatting sqref="BM3:BM77">
    <cfRule type="expression" dxfId="10" priority="65">
      <formula>IF(MOD(ROW()-2,4)=0,TRUE,FALSE)</formula>
    </cfRule>
  </conditionalFormatting>
  <conditionalFormatting sqref="BN3:BN77">
    <cfRule type="expression" dxfId="10" priority="66">
      <formula>IF(MOD(ROW()-2,4)=0,TRUE,FALSE)</formula>
    </cfRule>
  </conditionalFormatting>
  <conditionalFormatting sqref="BO3:BO77">
    <cfRule type="expression" dxfId="10" priority="67">
      <formula>IF(MOD(ROW()-2,4)=0,TRUE,FALSE)</formula>
    </cfRule>
  </conditionalFormatting>
  <conditionalFormatting sqref="BP3:BP77">
    <cfRule type="expression" dxfId="10" priority="68">
      <formula>IF(MOD(ROW()-2,4)=0,TRUE,FALSE)</formula>
    </cfRule>
  </conditionalFormatting>
  <conditionalFormatting sqref="BQ3:BQ77">
    <cfRule type="expression" dxfId="10" priority="69">
      <formula>IF(MOD(ROW()-2,4)=0,TRUE,FALSE)</formula>
    </cfRule>
  </conditionalFormatting>
  <conditionalFormatting sqref="BR3:BR77">
    <cfRule type="expression" dxfId="10" priority="70">
      <formula>IF(MOD(ROW()-2,4)=0,TRUE,FALSE)</formula>
    </cfRule>
  </conditionalFormatting>
  <conditionalFormatting sqref="BS3:BS77">
    <cfRule type="expression" dxfId="10" priority="71">
      <formula>IF(MOD(ROW()-2,4)=0,TRUE,FALSE)</formula>
    </cfRule>
  </conditionalFormatting>
  <conditionalFormatting sqref="BT3:BT77">
    <cfRule type="expression" dxfId="10" priority="72">
      <formula>IF(MOD(ROW()-2,4)=0,TRUE,FALSE)</formula>
    </cfRule>
  </conditionalFormatting>
  <conditionalFormatting sqref="BU3:BU77">
    <cfRule type="expression" dxfId="10" priority="73">
      <formula>IF(MOD(ROW()-2,4)=0,TRUE,FALSE)</formula>
    </cfRule>
  </conditionalFormatting>
  <conditionalFormatting sqref="BV3:BV77">
    <cfRule type="expression" dxfId="10" priority="74">
      <formula>IF(MOD(ROW()-2,4)=0,TRUE,FALSE)</formula>
    </cfRule>
  </conditionalFormatting>
  <conditionalFormatting sqref="BW3:BW77">
    <cfRule type="expression" dxfId="10" priority="75">
      <formula>IF(MOD(ROW()-2,4)=0,TRUE,FALSE)</formula>
    </cfRule>
  </conditionalFormatting>
  <conditionalFormatting sqref="BX3:BX77">
    <cfRule type="expression" dxfId="10" priority="76">
      <formula>IF(MOD(ROW()-2,4)=0,TRUE,FALSE)</formula>
    </cfRule>
  </conditionalFormatting>
  <conditionalFormatting sqref="BY3:BY77">
    <cfRule type="expression" dxfId="10" priority="77">
      <formula>IF(MOD(ROW()-2,4)=0,TRUE,FALSE)</formula>
    </cfRule>
  </conditionalFormatting>
  <conditionalFormatting sqref="BZ3:BZ77">
    <cfRule type="expression" dxfId="10" priority="78">
      <formula>IF(MOD(ROW()-2,4)=0,TRUE,FALSE)</formula>
    </cfRule>
  </conditionalFormatting>
  <conditionalFormatting sqref="C3:C77">
    <cfRule type="expression" dxfId="5" priority="3">
      <formula>IF(MOD(ROW()-2,4)=0,TRUE,FALSE)</formula>
    </cfRule>
  </conditionalFormatting>
  <conditionalFormatting sqref="CA3:CA77">
    <cfRule type="expression" dxfId="10" priority="79">
      <formula>IF(MOD(ROW()-2,4)=0,TRUE,FALSE)</formula>
    </cfRule>
  </conditionalFormatting>
  <conditionalFormatting sqref="CB3:CB77">
    <cfRule type="expression" dxfId="10" priority="80">
      <formula>IF(MOD(ROW()-2,4)=0,TRUE,FALSE)</formula>
    </cfRule>
  </conditionalFormatting>
  <conditionalFormatting sqref="CC3:CC77">
    <cfRule type="expression" dxfId="10" priority="81">
      <formula>IF(MOD(ROW()-2,4)=0,TRUE,FALSE)</formula>
    </cfRule>
  </conditionalFormatting>
  <conditionalFormatting sqref="CD3:CD77">
    <cfRule type="expression" dxfId="10" priority="82">
      <formula>IF(MOD(ROW()-2,4)=0,TRUE,FALSE)</formula>
    </cfRule>
  </conditionalFormatting>
  <conditionalFormatting sqref="D3:D77">
    <cfRule type="expression" dxfId="5" priority="4">
      <formula>IF(MOD(ROW()-2,4)=0,TRUE,FALSE)</formula>
    </cfRule>
  </conditionalFormatting>
  <conditionalFormatting sqref="E3:E77">
    <cfRule type="expression" dxfId="5" priority="5">
      <formula>IF(MOD(ROW()-2,4)=0,TRUE,FALSE)</formula>
    </cfRule>
  </conditionalFormatting>
  <conditionalFormatting sqref="F3:F77">
    <cfRule type="expression" dxfId="5" priority="6">
      <formula>IF(MOD(ROW()-2,4)=0,TRUE,FALSE)</formula>
    </cfRule>
  </conditionalFormatting>
  <conditionalFormatting sqref="G3:G77">
    <cfRule type="expression" dxfId="6" priority="7">
      <formula>IF(MOD(ROW()-2,4)=0,TRUE,FALSE)</formula>
    </cfRule>
  </conditionalFormatting>
  <conditionalFormatting sqref="H3:H77">
    <cfRule type="expression" dxfId="5" priority="8">
      <formula>IF(MOD(ROW()-2,4)=0,TRUE,FALSE)</formula>
    </cfRule>
  </conditionalFormatting>
  <conditionalFormatting sqref="I3:I77">
    <cfRule type="expression" dxfId="5" priority="9">
      <formula>IF(MOD(ROW()-2,4)=0,TRUE,FALSE)</formula>
    </cfRule>
  </conditionalFormatting>
  <conditionalFormatting sqref="J3:J77">
    <cfRule type="expression" dxfId="5" priority="10">
      <formula>IF(MOD(ROW()-2,4)=0,TRUE,FALSE)</formula>
    </cfRule>
  </conditionalFormatting>
  <conditionalFormatting sqref="K3:K77">
    <cfRule type="expression" dxfId="5" priority="11">
      <formula>IF(MOD(ROW()-2,4)=0,TRUE,FALSE)</formula>
    </cfRule>
  </conditionalFormatting>
  <conditionalFormatting sqref="L3:L77">
    <cfRule type="expression" dxfId="5" priority="12">
      <formula>IF(MOD(ROW()-2,4)=0,TRUE,FALSE)</formula>
    </cfRule>
  </conditionalFormatting>
  <conditionalFormatting sqref="M3:M77">
    <cfRule type="expression" dxfId="5" priority="13">
      <formula>IF(MOD(ROW()-2,4)=0,TRUE,FALSE)</formula>
    </cfRule>
  </conditionalFormatting>
  <conditionalFormatting sqref="N3:N77">
    <cfRule type="expression" dxfId="5" priority="14">
      <formula>IF(MOD(ROW()-2,4)=0,TRUE,FALSE)</formula>
    </cfRule>
  </conditionalFormatting>
  <conditionalFormatting sqref="O3:O77">
    <cfRule type="expression" dxfId="5" priority="15">
      <formula>IF(MOD(ROW()-2,4)=0,TRUE,FALSE)</formula>
    </cfRule>
  </conditionalFormatting>
  <conditionalFormatting sqref="P3:P77">
    <cfRule type="expression" dxfId="5" priority="16">
      <formula>IF(MOD(ROW()-2,4)=0,TRUE,FALSE)</formula>
    </cfRule>
  </conditionalFormatting>
  <conditionalFormatting sqref="Q3:Q77">
    <cfRule type="expression" dxfId="5" priority="17">
      <formula>IF(MOD(ROW()-2,4)=0,TRUE,FALSE)</formula>
    </cfRule>
  </conditionalFormatting>
  <conditionalFormatting sqref="R3:R77">
    <cfRule type="expression" dxfId="5" priority="18">
      <formula>IF(MOD(ROW()-2,4)=0,TRUE,FALSE)</formula>
    </cfRule>
  </conditionalFormatting>
  <conditionalFormatting sqref="S3:S77">
    <cfRule type="expression" dxfId="5" priority="19">
      <formula>IF(MOD(ROW()-2,4)=0,TRUE,FALSE)</formula>
    </cfRule>
  </conditionalFormatting>
  <conditionalFormatting sqref="T3:T77">
    <cfRule type="expression" dxfId="5" priority="20">
      <formula>IF(MOD(ROW()-2,4)=0,TRUE,FALSE)</formula>
    </cfRule>
  </conditionalFormatting>
  <conditionalFormatting sqref="U3:U77">
    <cfRule type="expression" dxfId="5" priority="21">
      <formula>IF(MOD(ROW()-2,4)=0,TRUE,FALSE)</formula>
    </cfRule>
  </conditionalFormatting>
  <conditionalFormatting sqref="V3:V77">
    <cfRule type="expression" dxfId="5" priority="22">
      <formula>IF(MOD(ROW()-2,4)=0,TRUE,FALSE)</formula>
    </cfRule>
  </conditionalFormatting>
  <conditionalFormatting sqref="W3:W77">
    <cfRule type="expression" dxfId="5" priority="23">
      <formula>IF(MOD(ROW()-2,4)=0,TRUE,FALSE)</formula>
    </cfRule>
  </conditionalFormatting>
  <conditionalFormatting sqref="X3:X77">
    <cfRule type="expression" dxfId="5" priority="24">
      <formula>IF(MOD(ROW()-2,4)=0,TRUE,FALSE)</formula>
    </cfRule>
  </conditionalFormatting>
  <conditionalFormatting sqref="Y3:Y77">
    <cfRule type="expression" dxfId="5" priority="25">
      <formula>IF(MOD(ROW()-2,4)=0,TRUE,FALSE)</formula>
    </cfRule>
  </conditionalFormatting>
  <conditionalFormatting sqref="Z3:Z77">
    <cfRule type="expression" dxfId="7" priority="26">
      <formula>IF(MOD(ROW()-2,4)=0,TRUE,FALSE)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47"/>
  <sheetViews>
    <sheetView workbookViewId="0">
      <pane ySplit="12" topLeftCell="A13" activePane="bottomLeft" state="frozen"/>
      <selection pane="bottomLeft"/>
    </sheetView>
  </sheetViews>
  <sheetFormatPr defaultRowHeight="15" outlineLevelRow="2"/>
  <cols>
    <col min="1" max="4" width="8.7109375" style="18" hidden="1" customWidth="1"/>
    <col min="5" max="5" width="41" customWidth="1"/>
    <col min="6" max="6" width="9.7109375" customWidth="1"/>
    <col min="7" max="7" width="8.5703125" customWidth="1"/>
    <col min="8" max="8" width="8.85546875" customWidth="1"/>
    <col min="9" max="9" width="9.5703125" customWidth="1"/>
    <col min="10" max="10" width="17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  <c r="F1" s="51">
        <f>"Printed on: "&amp;TEXT(TODAY(),"mm/dd")</f>
        <v>0</v>
      </c>
      <c r="I1" s="52">
        <f>"Cnslr: "&amp;INDEX(Counselor,MATCH(D3,KidIDs,0))&amp;" ("&amp;INDEX(Cohort,MATCH(D3,KidIDs,0))&amp;")"</f>
        <v>0</v>
      </c>
      <c r="J1" s="52"/>
    </row>
    <row r="2" spans="1:33">
      <c r="C2" s="18">
        <f>INDEX(KidIDs,D2)</f>
        <v>0</v>
      </c>
      <c r="D2" s="18">
        <v>1</v>
      </c>
      <c r="E2" s="53" t="s">
        <v>353</v>
      </c>
      <c r="F2" s="54" t="s">
        <v>355</v>
      </c>
      <c r="G2" s="55" t="s">
        <v>356</v>
      </c>
      <c r="H2" s="56" t="s">
        <v>357</v>
      </c>
      <c r="I2" s="54" t="s">
        <v>359</v>
      </c>
      <c r="J2" s="57">
        <f>INDEX(ReachStudentTargets,MATCH(D3,KidIDs,0))</f>
        <v>0</v>
      </c>
    </row>
    <row r="3" spans="1:33" ht="15.75" customHeight="1">
      <c r="C3" s="18" t="s">
        <v>349</v>
      </c>
      <c r="D3" s="18">
        <f>INDEX(KidIDs,MATCH(E3,LastFirst,0))</f>
        <v>0</v>
      </c>
      <c r="E3" s="58" t="s">
        <v>98</v>
      </c>
      <c r="F3" s="59">
        <f>INDEX(ActualACT,MATCH(D3,KidIDs,0))&amp;"/"&amp;INDEX(ActualSAT,MATCH(D3,KidIDs,0))</f>
        <v>0</v>
      </c>
      <c r="G3" s="60">
        <f>TEXT(INDEX(KidGPAs,MATCH(D3,KidIDs,0)),"#.00")&amp;"/"&amp;TEXT(INDEX(KidGPAs,MATCH(D3,KidIDs,0)),"#.00")</f>
        <v>0</v>
      </c>
      <c r="H3" s="61">
        <f>INDEX(KidRace,MATCH(D3,KidIDs,0))</f>
        <v>0</v>
      </c>
      <c r="I3" s="62" t="s">
        <v>360</v>
      </c>
      <c r="J3" s="63">
        <f>INDEX(StudentTargets,MATCH(D3,KidIDs,0))</f>
        <v>0</v>
      </c>
    </row>
    <row r="4" spans="1:33">
      <c r="C4" s="18" t="s">
        <v>350</v>
      </c>
      <c r="D4" s="18">
        <f>INDEX(Apps,MATCH(D3,KidIDs,0))</f>
        <v>0</v>
      </c>
      <c r="E4" s="64" t="s">
        <v>354</v>
      </c>
      <c r="F4" s="65">
        <f>INDEX(KidSATs,MATCH(D3,KidIDs,0))</f>
        <v>0</v>
      </c>
      <c r="G4" s="66"/>
      <c r="H4" s="64" t="s">
        <v>358</v>
      </c>
      <c r="I4" s="65"/>
      <c r="J4" s="66"/>
    </row>
    <row r="5" spans="1:33">
      <c r="C5" s="18" t="s">
        <v>351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1-PRODUCT(AF9:AF37)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352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1-PRODUCT(AG9:AG37)</f>
        <v>0</v>
      </c>
      <c r="H6" s="70">
        <f>"&lt;--Shoot for at least 50% for Money "&amp;IGRshortLabel</f>
        <v>0</v>
      </c>
      <c r="I6" s="71"/>
      <c r="J6" s="63"/>
      <c r="AD6" s="49">
        <f>COUNTIF(AD9:AD37,"&lt;1")</f>
        <v>0</v>
      </c>
      <c r="AE6" s="49">
        <f>COUNTIF(AE9:AE37,"&lt;1")</f>
        <v>0</v>
      </c>
      <c r="AF6" s="49">
        <f>COUNTIF(AF9:AF37,"&lt;1")</f>
        <v>0</v>
      </c>
      <c r="AG6" s="49">
        <f>COUNTIF(AG9:AG37,"&lt;1")</f>
        <v>0</v>
      </c>
    </row>
    <row r="7" spans="1:33" ht="6" customHeight="1"/>
    <row r="8" spans="1:33" ht="30" customHeight="1">
      <c r="E8" s="72" t="s">
        <v>361</v>
      </c>
      <c r="F8" s="73">
        <f>IF(OR(H3="H",H3="B",H3="M",H3="I"),"6 yr AA/H Grad Rate","6 yr (all) Grad Rate")</f>
        <v>0</v>
      </c>
      <c r="G8" s="73" t="s">
        <v>362</v>
      </c>
      <c r="H8" s="74" t="s">
        <v>363</v>
      </c>
      <c r="I8" s="73" t="s">
        <v>364</v>
      </c>
      <c r="J8" s="73" t="s">
        <v>365</v>
      </c>
      <c r="K8" s="48" t="s">
        <v>366</v>
      </c>
      <c r="L8" s="48" t="s">
        <v>367</v>
      </c>
      <c r="M8" s="75" t="s">
        <v>368</v>
      </c>
      <c r="N8" s="76" t="s">
        <v>19</v>
      </c>
      <c r="O8" s="76" t="s">
        <v>369</v>
      </c>
      <c r="P8" s="18" t="s">
        <v>370</v>
      </c>
      <c r="Q8" s="18" t="s">
        <v>371</v>
      </c>
      <c r="R8" s="18" t="s">
        <v>372</v>
      </c>
      <c r="S8" s="18" t="s">
        <v>373</v>
      </c>
      <c r="T8" s="77" t="s">
        <v>374</v>
      </c>
      <c r="U8" s="77" t="s">
        <v>375</v>
      </c>
      <c r="V8" s="77" t="s">
        <v>376</v>
      </c>
      <c r="W8" s="77" t="s">
        <v>377</v>
      </c>
      <c r="X8" s="77" t="s">
        <v>378</v>
      </c>
      <c r="Y8" s="77" t="s">
        <v>379</v>
      </c>
      <c r="Z8" s="77" t="s">
        <v>380</v>
      </c>
      <c r="AA8" s="18" t="s">
        <v>381</v>
      </c>
      <c r="AB8" s="18" t="s">
        <v>382</v>
      </c>
      <c r="AC8" s="18" t="s">
        <v>383</v>
      </c>
      <c r="AD8" s="49" t="s">
        <v>384</v>
      </c>
      <c r="AE8" s="49" t="s">
        <v>385</v>
      </c>
      <c r="AF8" s="49" t="s">
        <v>386</v>
      </c>
      <c r="AG8" s="49" t="s">
        <v>387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IF(ISERROR(D9),"",INDEX(IF(OR(H3="H",H3="B",H3="I",H3="M"),AllCollegeAAHGR,AllCollegeGR),MATCH(D9,AllCollegeNCES,0)))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INDEX(AllCollegeSAT25,MATCH(D9,AllCollegeNCES,0))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INDEX(CustomWeightsSAT,MATCH($H3&amp;":"&amp;$D9,CustomWeightsIndex,0))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INDEX(CoefficientsSAT,MATCH($H3&amp;":"&amp;$K9,CoefficientsIndex,0))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IF(ISNUMBER(X9),IF(AND(T9=1,U9=1,V9=1),100,MIN(99,100*EXP(X9)/(1+EXP(X9)))),"N/A")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 outlineLevel="2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IF(ISERROR(D10),"",INDEX(IF(OR(H3="H",H3="B",H3="I",H3="M"),AllCollegeAAHGR,AllCollegeGR),MATCH(D10,AllCollegeNCES,0)))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INDEX(AllCollegeSAT25,MATCH(D10,AllCollegeNCES,0))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INDEX(CustomWeightsSAT,MATCH($H3&amp;":"&amp;$D10,CustomWeightsIndex,0))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INDEX(CoefficientsSAT,MATCH($H3&amp;":"&amp;$K10,CoefficientsIndex,0))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IF(ISNUMBER(X10),IF(AND(T10=1,U10=1,V10=1),100,MIN(99,100*EXP(X10)/(1+EXP(X10)))),"N/A")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 outlineLevel="2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IF(ISERROR(D11),"",INDEX(IF(OR(H3="H",H3="B",H3="I",H3="M"),AllCollegeAAHGR,AllCollegeGR),MATCH(D11,AllCollegeNCES,0)))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INDEX(AllCollegeSAT25,MATCH(D11,AllCollegeNCES,0))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INDEX(CustomWeightsSAT,MATCH($H3&amp;":"&amp;$D11,CustomWeightsIndex,0))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INDEX(CoefficientsSAT,MATCH($H3&amp;":"&amp;$K11,CoefficientsIndex,0))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IF(ISNUMBER(X11),IF(AND(T11=1,U11=1,V11=1),100,MIN(99,100*EXP(X11)/(1+EXP(X11)))),"N/A")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 ht="30" customHeight="1">
      <c r="E12" s="72" t="s">
        <v>388</v>
      </c>
      <c r="F12" s="79">
        <f>IF(OR(H3="H",H3="B",H3="M",H3="I"),"6 yr AA/H Grad Rate","6 yr (all) Grad Rate")</f>
        <v>0</v>
      </c>
      <c r="G12" s="73" t="s">
        <v>362</v>
      </c>
      <c r="H12" s="80" t="s">
        <v>363</v>
      </c>
      <c r="I12" s="79" t="s">
        <v>364</v>
      </c>
      <c r="J12" s="73" t="s">
        <v>365</v>
      </c>
      <c r="AD12" s="49">
        <v>1</v>
      </c>
      <c r="AE12" s="49">
        <v>1</v>
      </c>
      <c r="AF12" s="49">
        <v>1</v>
      </c>
      <c r="AG12" s="49">
        <v>1</v>
      </c>
    </row>
    <row r="13" spans="1:33">
      <c r="A13" s="69">
        <f>A11</f>
        <v>0</v>
      </c>
      <c r="B13" s="69">
        <f>B11</f>
        <v>0</v>
      </c>
      <c r="C13" s="18">
        <f>ROW()-1</f>
        <v>0</v>
      </c>
      <c r="D13" s="18">
        <f>IF((ROW()-C13)&lt;=D4,D5+(ROW()-C13-1),"")</f>
        <v>0</v>
      </c>
      <c r="E13">
        <f>IF(ISNUMBER(D13),INDEX(CollegeNames,D13),"")</f>
        <v>0</v>
      </c>
      <c r="F13" s="11">
        <f>IF(ISNUMBER(D13),INDEX(IF(OR(H3="H",H3="B",H3="I",H3="M"),GradRates,AllGradRates),D13),"")</f>
        <v>0</v>
      </c>
      <c r="G13" s="11">
        <f>IF(ISNUMBER(D13),IF(ISNUMBER(INDEX(Odds,D13)),INDEX(Odds,D13)/100,"N/A"),"")</f>
        <v>0</v>
      </c>
      <c r="H13" s="11">
        <f>IF(ISNUMBER(D13),INDEX(Classes,D13),"")</f>
        <v>0</v>
      </c>
      <c r="I13" s="11">
        <f>IF(ISNUMBER(D13),INDEX(Results,D13),"")</f>
        <v>0</v>
      </c>
      <c r="J13" s="11">
        <f>IFERROR(IF(ISNUMBER(D13),INDEX(AllCollegeMoneyCode,MATCH(INDEX(NCESids,D13),AllCollegeNCES,0)),""),"N/A")</f>
        <v>0</v>
      </c>
      <c r="AD13" s="49">
        <f>IF(ISNUMBER(D13),INDEX(MGRMult,D13),1)</f>
        <v>0</v>
      </c>
      <c r="AE13" s="49">
        <f>IF(ISNUMBER(D13),INDEX(RGRMult,D13),1)</f>
        <v>0</v>
      </c>
      <c r="AF13" s="49">
        <f>IF(ISNUMBER(D13),INDEX(MGRMoneyMult,D13),1)</f>
        <v>0</v>
      </c>
      <c r="AG13" s="49">
        <f>IF(ISNUMBER(D13),INDEX(RGRMoneyMult,D13),1)</f>
        <v>0</v>
      </c>
    </row>
    <row r="14" spans="1:33">
      <c r="A14" s="69">
        <f>A13</f>
        <v>0</v>
      </c>
      <c r="B14" s="69">
        <f>B13</f>
        <v>0</v>
      </c>
      <c r="C14" s="18">
        <f>C13</f>
        <v>0</v>
      </c>
      <c r="D14" s="18">
        <f>IF((ROW()-C14)&lt;=D4,D5+(ROW()-C14-1),"")</f>
        <v>0</v>
      </c>
      <c r="E14">
        <f>IF(ISNUMBER(D14),INDEX(CollegeNames,D14),"")</f>
        <v>0</v>
      </c>
      <c r="F14" s="11">
        <f>IF(ISNUMBER(D14),INDEX(IF(OR(H3="H",H3="B",H3="I",H3="M"),GradRates,AllGradRates),D14),"")</f>
        <v>0</v>
      </c>
      <c r="G14" s="11">
        <f>IF(ISNUMBER(D14),IF(ISNUMBER(INDEX(Odds,D14)),INDEX(Odds,D14)/100,"N/A"),"")</f>
        <v>0</v>
      </c>
      <c r="H14" s="11">
        <f>IF(ISNUMBER(D14),INDEX(Classes,D14),"")</f>
        <v>0</v>
      </c>
      <c r="I14" s="11">
        <f>IF(ISNUMBER(D14),INDEX(Results,D14),"")</f>
        <v>0</v>
      </c>
      <c r="J14" s="11">
        <f>IFERROR(IF(ISNUMBER(D14),INDEX(AllCollegeMoneyCode,MATCH(INDEX(NCESids,D14),AllCollegeNCES,0)),""),"N/A")</f>
        <v>0</v>
      </c>
      <c r="AD14" s="49">
        <f>IF(ISNUMBER(D14),INDEX(MGRMult,D14),1)</f>
        <v>0</v>
      </c>
      <c r="AE14" s="49">
        <f>IF(ISNUMBER(D14),INDEX(RGRMult,D14),1)</f>
        <v>0</v>
      </c>
      <c r="AF14" s="49">
        <f>IF(ISNUMBER(D14),INDEX(MGRMoneyMult,D14),1)</f>
        <v>0</v>
      </c>
      <c r="AG14" s="49">
        <f>IF(ISNUMBER(D14),INDEX(RGRMoneyMult,D14),1)</f>
        <v>0</v>
      </c>
    </row>
    <row r="15" spans="1:33">
      <c r="A15" s="69">
        <f>A14</f>
        <v>0</v>
      </c>
      <c r="B15" s="69">
        <f>B14</f>
        <v>0</v>
      </c>
      <c r="C15" s="18">
        <f>C14</f>
        <v>0</v>
      </c>
      <c r="D15" s="18">
        <f>IF((ROW()-C15)&lt;=D4,D5+(ROW()-C15-1),"")</f>
        <v>0</v>
      </c>
      <c r="E15">
        <f>IF(ISNUMBER(D15),INDEX(CollegeNames,D15),"")</f>
        <v>0</v>
      </c>
      <c r="F15" s="11">
        <f>IF(ISNUMBER(D15),INDEX(IF(OR(H3="H",H3="B",H3="I",H3="M"),GradRates,AllGradRates),D15),"")</f>
        <v>0</v>
      </c>
      <c r="G15" s="11">
        <f>IF(ISNUMBER(D15),IF(ISNUMBER(INDEX(Odds,D15)),INDEX(Odds,D15)/100,"N/A"),"")</f>
        <v>0</v>
      </c>
      <c r="H15" s="11">
        <f>IF(ISNUMBER(D15),INDEX(Classes,D15),"")</f>
        <v>0</v>
      </c>
      <c r="I15" s="11">
        <f>IF(ISNUMBER(D15),INDEX(Results,D15),"")</f>
        <v>0</v>
      </c>
      <c r="J15" s="11">
        <f>IFERROR(IF(ISNUMBER(D15),INDEX(AllCollegeMoneyCode,MATCH(INDEX(NCESids,D15),AllCollegeNCES,0)),""),"N/A")</f>
        <v>0</v>
      </c>
      <c r="AD15" s="49">
        <f>IF(ISNUMBER(D15),INDEX(MGRMult,D15),1)</f>
        <v>0</v>
      </c>
      <c r="AE15" s="49">
        <f>IF(ISNUMBER(D15),INDEX(RGRMult,D15),1)</f>
        <v>0</v>
      </c>
      <c r="AF15" s="49">
        <f>IF(ISNUMBER(D15),INDEX(MGRMoneyMult,D15),1)</f>
        <v>0</v>
      </c>
      <c r="AG15" s="49">
        <f>IF(ISNUMBER(D15),INDEX(RGRMoneyMult,D15),1)</f>
        <v>0</v>
      </c>
    </row>
    <row r="16" spans="1:33">
      <c r="A16" s="69">
        <f>A15</f>
        <v>0</v>
      </c>
      <c r="B16" s="69">
        <f>B15</f>
        <v>0</v>
      </c>
      <c r="C16" s="18">
        <f>C15</f>
        <v>0</v>
      </c>
      <c r="D16" s="18">
        <f>IF((ROW()-C16)&lt;=D4,D5+(ROW()-C16-1),"")</f>
        <v>0</v>
      </c>
      <c r="E16">
        <f>IF(ISNUMBER(D16),INDEX(CollegeNames,D16),"")</f>
        <v>0</v>
      </c>
      <c r="F16" s="11">
        <f>IF(ISNUMBER(D16),INDEX(IF(OR(H3="H",H3="B",H3="I",H3="M"),GradRates,AllGradRates),D16),"")</f>
        <v>0</v>
      </c>
      <c r="G16" s="11">
        <f>IF(ISNUMBER(D16),IF(ISNUMBER(INDEX(Odds,D16)),INDEX(Odds,D16)/100,"N/A"),"")</f>
        <v>0</v>
      </c>
      <c r="H16" s="11">
        <f>IF(ISNUMBER(D16),INDEX(Classes,D16),"")</f>
        <v>0</v>
      </c>
      <c r="I16" s="11">
        <f>IF(ISNUMBER(D16),INDEX(Results,D16),"")</f>
        <v>0</v>
      </c>
      <c r="J16" s="11">
        <f>IFERROR(IF(ISNUMBER(D16),INDEX(AllCollegeMoneyCode,MATCH(INDEX(NCESids,D16),AllCollegeNCES,0)),""),"N/A")</f>
        <v>0</v>
      </c>
      <c r="AD16" s="49">
        <f>IF(ISNUMBER(D16),INDEX(MGRMult,D16),1)</f>
        <v>0</v>
      </c>
      <c r="AE16" s="49">
        <f>IF(ISNUMBER(D16),INDEX(RGRMult,D16),1)</f>
        <v>0</v>
      </c>
      <c r="AF16" s="49">
        <f>IF(ISNUMBER(D16),INDEX(MGRMoneyMult,D16),1)</f>
        <v>0</v>
      </c>
      <c r="AG16" s="49">
        <f>IF(ISNUMBER(D16),INDEX(RGRMoneyMult,D16),1)</f>
        <v>0</v>
      </c>
    </row>
    <row r="17" spans="1:33">
      <c r="A17" s="69">
        <f>A16</f>
        <v>0</v>
      </c>
      <c r="B17" s="69">
        <f>B16</f>
        <v>0</v>
      </c>
      <c r="C17" s="18">
        <f>C16</f>
        <v>0</v>
      </c>
      <c r="D17" s="18">
        <f>IF((ROW()-C17)&lt;=D4,D5+(ROW()-C17-1),"")</f>
        <v>0</v>
      </c>
      <c r="E17">
        <f>IF(ISNUMBER(D17),INDEX(CollegeNames,D17),"")</f>
        <v>0</v>
      </c>
      <c r="F17" s="11">
        <f>IF(ISNUMBER(D17),INDEX(IF(OR(H3="H",H3="B",H3="I",H3="M"),GradRates,AllGradRates),D17),"")</f>
        <v>0</v>
      </c>
      <c r="G17" s="11">
        <f>IF(ISNUMBER(D17),IF(ISNUMBER(INDEX(Odds,D17)),INDEX(Odds,D17)/100,"N/A"),"")</f>
        <v>0</v>
      </c>
      <c r="H17" s="11">
        <f>IF(ISNUMBER(D17),INDEX(Classes,D17),"")</f>
        <v>0</v>
      </c>
      <c r="I17" s="11">
        <f>IF(ISNUMBER(D17),INDEX(Results,D17),"")</f>
        <v>0</v>
      </c>
      <c r="J17" s="11">
        <f>IFERROR(IF(ISNUMBER(D17),INDEX(AllCollegeMoneyCode,MATCH(INDEX(NCESids,D17),AllCollegeNCES,0)),""),"N/A")</f>
        <v>0</v>
      </c>
      <c r="AD17" s="49">
        <f>IF(ISNUMBER(D17),INDEX(MGRMult,D17),1)</f>
        <v>0</v>
      </c>
      <c r="AE17" s="49">
        <f>IF(ISNUMBER(D17),INDEX(RGRMult,D17),1)</f>
        <v>0</v>
      </c>
      <c r="AF17" s="49">
        <f>IF(ISNUMBER(D17),INDEX(MGRMoneyMult,D17),1)</f>
        <v>0</v>
      </c>
      <c r="AG17" s="49">
        <f>IF(ISNUMBER(D17),INDEX(RGRMoneyMult,D17),1)</f>
        <v>0</v>
      </c>
    </row>
    <row r="18" spans="1:33">
      <c r="A18" s="69">
        <f>A17</f>
        <v>0</v>
      </c>
      <c r="B18" s="69">
        <f>B17</f>
        <v>0</v>
      </c>
      <c r="C18" s="18">
        <f>C17</f>
        <v>0</v>
      </c>
      <c r="D18" s="18">
        <f>IF((ROW()-C18)&lt;=D4,D5+(ROW()-C18-1),"")</f>
        <v>0</v>
      </c>
      <c r="E18">
        <f>IF(ISNUMBER(D18),INDEX(CollegeNames,D18),"")</f>
        <v>0</v>
      </c>
      <c r="F18" s="11">
        <f>IF(ISNUMBER(D18),INDEX(IF(OR(H3="H",H3="B",H3="I",H3="M"),GradRates,AllGradRates),D18),"")</f>
        <v>0</v>
      </c>
      <c r="G18" s="11">
        <f>IF(ISNUMBER(D18),IF(ISNUMBER(INDEX(Odds,D18)),INDEX(Odds,D18)/100,"N/A"),"")</f>
        <v>0</v>
      </c>
      <c r="H18" s="11">
        <f>IF(ISNUMBER(D18),INDEX(Classes,D18),"")</f>
        <v>0</v>
      </c>
      <c r="I18" s="11">
        <f>IF(ISNUMBER(D18),INDEX(Results,D18),"")</f>
        <v>0</v>
      </c>
      <c r="J18" s="11">
        <f>IFERROR(IF(ISNUMBER(D18),INDEX(AllCollegeMoneyCode,MATCH(INDEX(NCESids,D18),AllCollegeNCES,0)),""),"N/A")</f>
        <v>0</v>
      </c>
      <c r="AD18" s="49">
        <f>IF(ISNUMBER(D18),INDEX(MGRMult,D18),1)</f>
        <v>0</v>
      </c>
      <c r="AE18" s="49">
        <f>IF(ISNUMBER(D18),INDEX(RGRMult,D18),1)</f>
        <v>0</v>
      </c>
      <c r="AF18" s="49">
        <f>IF(ISNUMBER(D18),INDEX(MGRMoneyMult,D18),1)</f>
        <v>0</v>
      </c>
      <c r="AG18" s="49">
        <f>IF(ISNUMBER(D18),INDEX(RGRMoneyMult,D18),1)</f>
        <v>0</v>
      </c>
    </row>
    <row r="19" spans="1:33">
      <c r="A19" s="69">
        <f>A18</f>
        <v>0</v>
      </c>
      <c r="B19" s="69">
        <f>B18</f>
        <v>0</v>
      </c>
      <c r="C19" s="18">
        <f>C18</f>
        <v>0</v>
      </c>
      <c r="D19" s="18">
        <f>IF((ROW()-C19)&lt;=D4,D5+(ROW()-C19-1),"")</f>
        <v>0</v>
      </c>
      <c r="E19">
        <f>IF(ISNUMBER(D19),INDEX(CollegeNames,D19),"")</f>
        <v>0</v>
      </c>
      <c r="F19" s="11">
        <f>IF(ISNUMBER(D19),INDEX(IF(OR(H3="H",H3="B",H3="I",H3="M"),GradRates,AllGradRates),D19),"")</f>
        <v>0</v>
      </c>
      <c r="G19" s="11">
        <f>IF(ISNUMBER(D19),IF(ISNUMBER(INDEX(Odds,D19)),INDEX(Odds,D19)/100,"N/A"),"")</f>
        <v>0</v>
      </c>
      <c r="H19" s="11">
        <f>IF(ISNUMBER(D19),INDEX(Classes,D19),"")</f>
        <v>0</v>
      </c>
      <c r="I19" s="11">
        <f>IF(ISNUMBER(D19),INDEX(Results,D19),"")</f>
        <v>0</v>
      </c>
      <c r="J19" s="11">
        <f>IFERROR(IF(ISNUMBER(D19),INDEX(AllCollegeMoneyCode,MATCH(INDEX(NCESids,D19),AllCollegeNCES,0)),""),"N/A")</f>
        <v>0</v>
      </c>
      <c r="AD19" s="49">
        <f>IF(ISNUMBER(D19),INDEX(MGRMult,D19),1)</f>
        <v>0</v>
      </c>
      <c r="AE19" s="49">
        <f>IF(ISNUMBER(D19),INDEX(RGRMult,D19),1)</f>
        <v>0</v>
      </c>
      <c r="AF19" s="49">
        <f>IF(ISNUMBER(D19),INDEX(MGRMoneyMult,D19),1)</f>
        <v>0</v>
      </c>
      <c r="AG19" s="49">
        <f>IF(ISNUMBER(D19),INDEX(RGRMoneyMult,D19),1)</f>
        <v>0</v>
      </c>
    </row>
    <row r="20" spans="1:33">
      <c r="A20" s="69">
        <f>A19</f>
        <v>0</v>
      </c>
      <c r="B20" s="69">
        <f>B19</f>
        <v>0</v>
      </c>
      <c r="C20" s="18">
        <f>C19</f>
        <v>0</v>
      </c>
      <c r="D20" s="18">
        <f>IF((ROW()-C20)&lt;=D4,D5+(ROW()-C20-1),"")</f>
        <v>0</v>
      </c>
      <c r="E20">
        <f>IF(ISNUMBER(D20),INDEX(CollegeNames,D20),"")</f>
        <v>0</v>
      </c>
      <c r="F20" s="11">
        <f>IF(ISNUMBER(D20),INDEX(IF(OR(H3="H",H3="B",H3="I",H3="M"),GradRates,AllGradRates),D20),"")</f>
        <v>0</v>
      </c>
      <c r="G20" s="11">
        <f>IF(ISNUMBER(D20),IF(ISNUMBER(INDEX(Odds,D20)),INDEX(Odds,D20)/100,"N/A"),"")</f>
        <v>0</v>
      </c>
      <c r="H20" s="11">
        <f>IF(ISNUMBER(D20),INDEX(Classes,D20),"")</f>
        <v>0</v>
      </c>
      <c r="I20" s="11">
        <f>IF(ISNUMBER(D20),INDEX(Results,D20),"")</f>
        <v>0</v>
      </c>
      <c r="J20" s="11">
        <f>IFERROR(IF(ISNUMBER(D20),INDEX(AllCollegeMoneyCode,MATCH(INDEX(NCESids,D20),AllCollegeNCES,0)),""),"N/A")</f>
        <v>0</v>
      </c>
      <c r="AD20" s="49">
        <f>IF(ISNUMBER(D20),INDEX(MGRMult,D20),1)</f>
        <v>0</v>
      </c>
      <c r="AE20" s="49">
        <f>IF(ISNUMBER(D20),INDEX(RGRMult,D20),1)</f>
        <v>0</v>
      </c>
      <c r="AF20" s="49">
        <f>IF(ISNUMBER(D20),INDEX(MGRMoneyMult,D20),1)</f>
        <v>0</v>
      </c>
      <c r="AG20" s="49">
        <f>IF(ISNUMBER(D20),INDEX(RGRMoneyMult,D20),1)</f>
        <v>0</v>
      </c>
    </row>
    <row r="21" spans="1:33">
      <c r="A21" s="69">
        <f>A20</f>
        <v>0</v>
      </c>
      <c r="B21" s="69">
        <f>B20</f>
        <v>0</v>
      </c>
      <c r="C21" s="18">
        <f>C20</f>
        <v>0</v>
      </c>
      <c r="D21" s="18">
        <f>IF((ROW()-C21)&lt;=D4,D5+(ROW()-C21-1),"")</f>
        <v>0</v>
      </c>
      <c r="E21">
        <f>IF(ISNUMBER(D21),INDEX(CollegeNames,D21),"")</f>
        <v>0</v>
      </c>
      <c r="F21" s="11">
        <f>IF(ISNUMBER(D21),INDEX(IF(OR(H3="H",H3="B",H3="I",H3="M"),GradRates,AllGradRates),D21),"")</f>
        <v>0</v>
      </c>
      <c r="G21" s="11">
        <f>IF(ISNUMBER(D21),IF(ISNUMBER(INDEX(Odds,D21)),INDEX(Odds,D21)/100,"N/A"),"")</f>
        <v>0</v>
      </c>
      <c r="H21" s="11">
        <f>IF(ISNUMBER(D21),INDEX(Classes,D21),"")</f>
        <v>0</v>
      </c>
      <c r="I21" s="11">
        <f>IF(ISNUMBER(D21),INDEX(Results,D21),"")</f>
        <v>0</v>
      </c>
      <c r="J21" s="11">
        <f>IFERROR(IF(ISNUMBER(D21),INDEX(AllCollegeMoneyCode,MATCH(INDEX(NCESids,D21),AllCollegeNCES,0)),""),"N/A")</f>
        <v>0</v>
      </c>
      <c r="AD21" s="49">
        <f>IF(ISNUMBER(D21),INDEX(MGRMult,D21),1)</f>
        <v>0</v>
      </c>
      <c r="AE21" s="49">
        <f>IF(ISNUMBER(D21),INDEX(RGRMult,D21),1)</f>
        <v>0</v>
      </c>
      <c r="AF21" s="49">
        <f>IF(ISNUMBER(D21),INDEX(MGRMoneyMult,D21),1)</f>
        <v>0</v>
      </c>
      <c r="AG21" s="49">
        <f>IF(ISNUMBER(D21),INDEX(RGRMoneyMult,D21),1)</f>
        <v>0</v>
      </c>
    </row>
    <row r="22" spans="1:33">
      <c r="A22" s="69">
        <f>A21</f>
        <v>0</v>
      </c>
      <c r="B22" s="69">
        <f>B21</f>
        <v>0</v>
      </c>
      <c r="C22" s="18">
        <f>C21</f>
        <v>0</v>
      </c>
      <c r="D22" s="18">
        <f>IF((ROW()-C22)&lt;=D4,D5+(ROW()-C22-1),"")</f>
        <v>0</v>
      </c>
      <c r="E22">
        <f>IF(ISNUMBER(D22),INDEX(CollegeNames,D22),"")</f>
        <v>0</v>
      </c>
      <c r="F22" s="11">
        <f>IF(ISNUMBER(D22),INDEX(IF(OR(H3="H",H3="B",H3="I",H3="M"),GradRates,AllGradRates),D22),"")</f>
        <v>0</v>
      </c>
      <c r="G22" s="11">
        <f>IF(ISNUMBER(D22),IF(ISNUMBER(INDEX(Odds,D22)),INDEX(Odds,D22)/100,"N/A"),"")</f>
        <v>0</v>
      </c>
      <c r="H22" s="11">
        <f>IF(ISNUMBER(D22),INDEX(Classes,D22),"")</f>
        <v>0</v>
      </c>
      <c r="I22" s="11">
        <f>IF(ISNUMBER(D22),INDEX(Results,D22),"")</f>
        <v>0</v>
      </c>
      <c r="J22" s="11">
        <f>IFERROR(IF(ISNUMBER(D22),INDEX(AllCollegeMoneyCode,MATCH(INDEX(NCESids,D22),AllCollegeNCES,0)),""),"N/A")</f>
        <v>0</v>
      </c>
      <c r="AD22" s="49">
        <f>IF(ISNUMBER(D22),INDEX(MGRMult,D22),1)</f>
        <v>0</v>
      </c>
      <c r="AE22" s="49">
        <f>IF(ISNUMBER(D22),INDEX(RGRMult,D22),1)</f>
        <v>0</v>
      </c>
      <c r="AF22" s="49">
        <f>IF(ISNUMBER(D22),INDEX(MGRMoneyMult,D22),1)</f>
        <v>0</v>
      </c>
      <c r="AG22" s="49">
        <f>IF(ISNUMBER(D22),INDEX(RGRMoneyMult,D22),1)</f>
        <v>0</v>
      </c>
    </row>
    <row r="23" spans="1:33">
      <c r="A23" s="69">
        <f>A22</f>
        <v>0</v>
      </c>
      <c r="B23" s="69">
        <f>B22</f>
        <v>0</v>
      </c>
      <c r="C23" s="18">
        <f>C22</f>
        <v>0</v>
      </c>
      <c r="D23" s="18">
        <f>IF((ROW()-C23)&lt;=D4,D5+(ROW()-C23-1),"")</f>
        <v>0</v>
      </c>
      <c r="E23">
        <f>IF(ISNUMBER(D23),INDEX(CollegeNames,D23),"")</f>
        <v>0</v>
      </c>
      <c r="F23" s="11">
        <f>IF(ISNUMBER(D23),INDEX(IF(OR(H3="H",H3="B",H3="I",H3="M"),GradRates,AllGradRates),D23),"")</f>
        <v>0</v>
      </c>
      <c r="G23" s="11">
        <f>IF(ISNUMBER(D23),IF(ISNUMBER(INDEX(Odds,D23)),INDEX(Odds,D23)/100,"N/A"),"")</f>
        <v>0</v>
      </c>
      <c r="H23" s="11">
        <f>IF(ISNUMBER(D23),INDEX(Classes,D23),"")</f>
        <v>0</v>
      </c>
      <c r="I23" s="11">
        <f>IF(ISNUMBER(D23),INDEX(Results,D23),"")</f>
        <v>0</v>
      </c>
      <c r="J23" s="11">
        <f>IFERROR(IF(ISNUMBER(D23),INDEX(AllCollegeMoneyCode,MATCH(INDEX(NCESids,D23),AllCollegeNCES,0)),""),"N/A")</f>
        <v>0</v>
      </c>
      <c r="AD23" s="49">
        <f>IF(ISNUMBER(D23),INDEX(MGRMult,D23),1)</f>
        <v>0</v>
      </c>
      <c r="AE23" s="49">
        <f>IF(ISNUMBER(D23),INDEX(RGRMult,D23),1)</f>
        <v>0</v>
      </c>
      <c r="AF23" s="49">
        <f>IF(ISNUMBER(D23),INDEX(MGRMoneyMult,D23),1)</f>
        <v>0</v>
      </c>
      <c r="AG23" s="49">
        <f>IF(ISNUMBER(D23),INDEX(RGRMoneyMult,D23),1)</f>
        <v>0</v>
      </c>
    </row>
    <row r="24" spans="1:33">
      <c r="A24" s="69">
        <f>A23</f>
        <v>0</v>
      </c>
      <c r="B24" s="69">
        <f>B23</f>
        <v>0</v>
      </c>
      <c r="C24" s="18">
        <f>C23</f>
        <v>0</v>
      </c>
      <c r="D24" s="18">
        <f>IF((ROW()-C24)&lt;=D4,D5+(ROW()-C24-1),"")</f>
        <v>0</v>
      </c>
      <c r="E24">
        <f>IF(ISNUMBER(D24),INDEX(CollegeNames,D24),"")</f>
        <v>0</v>
      </c>
      <c r="F24" s="11">
        <f>IF(ISNUMBER(D24),INDEX(IF(OR(H3="H",H3="B",H3="I",H3="M"),GradRates,AllGradRates),D24),"")</f>
        <v>0</v>
      </c>
      <c r="G24" s="11">
        <f>IF(ISNUMBER(D24),IF(ISNUMBER(INDEX(Odds,D24)),INDEX(Odds,D24)/100,"N/A"),"")</f>
        <v>0</v>
      </c>
      <c r="H24" s="11">
        <f>IF(ISNUMBER(D24),INDEX(Classes,D24),"")</f>
        <v>0</v>
      </c>
      <c r="I24" s="11">
        <f>IF(ISNUMBER(D24),INDEX(Results,D24),"")</f>
        <v>0</v>
      </c>
      <c r="J24" s="11">
        <f>IFERROR(IF(ISNUMBER(D24),INDEX(AllCollegeMoneyCode,MATCH(INDEX(NCESids,D24),AllCollegeNCES,0)),""),"N/A")</f>
        <v>0</v>
      </c>
      <c r="AD24" s="49">
        <f>IF(ISNUMBER(D24),INDEX(MGRMult,D24),1)</f>
        <v>0</v>
      </c>
      <c r="AE24" s="49">
        <f>IF(ISNUMBER(D24),INDEX(RGRMult,D24),1)</f>
        <v>0</v>
      </c>
      <c r="AF24" s="49">
        <f>IF(ISNUMBER(D24),INDEX(MGRMoneyMult,D24),1)</f>
        <v>0</v>
      </c>
      <c r="AG24" s="49">
        <f>IF(ISNUMBER(D24),INDEX(RGRMoneyMult,D24),1)</f>
        <v>0</v>
      </c>
    </row>
    <row r="25" spans="1:33">
      <c r="A25" s="69">
        <f>A24</f>
        <v>0</v>
      </c>
      <c r="B25" s="69">
        <f>B24</f>
        <v>0</v>
      </c>
      <c r="C25" s="18">
        <f>C24</f>
        <v>0</v>
      </c>
      <c r="D25" s="18">
        <f>IF((ROW()-C25)&lt;=D4,D5+(ROW()-C25-1),"")</f>
        <v>0</v>
      </c>
      <c r="E25">
        <f>IF(ISNUMBER(D25),INDEX(CollegeNames,D25),"")</f>
        <v>0</v>
      </c>
      <c r="F25" s="11">
        <f>IF(ISNUMBER(D25),INDEX(IF(OR(H3="H",H3="B",H3="I",H3="M"),GradRates,AllGradRates),D25),"")</f>
        <v>0</v>
      </c>
      <c r="G25" s="11">
        <f>IF(ISNUMBER(D25),IF(ISNUMBER(INDEX(Odds,D25)),INDEX(Odds,D25)/100,"N/A"),"")</f>
        <v>0</v>
      </c>
      <c r="H25" s="11">
        <f>IF(ISNUMBER(D25),INDEX(Classes,D25),"")</f>
        <v>0</v>
      </c>
      <c r="I25" s="11">
        <f>IF(ISNUMBER(D25),INDEX(Results,D25),"")</f>
        <v>0</v>
      </c>
      <c r="J25" s="11">
        <f>IFERROR(IF(ISNUMBER(D25),INDEX(AllCollegeMoneyCode,MATCH(INDEX(NCESids,D25),AllCollegeNCES,0)),""),"N/A")</f>
        <v>0</v>
      </c>
      <c r="AD25" s="49">
        <f>IF(ISNUMBER(D25),INDEX(MGRMult,D25),1)</f>
        <v>0</v>
      </c>
      <c r="AE25" s="49">
        <f>IF(ISNUMBER(D25),INDEX(RGRMult,D25),1)</f>
        <v>0</v>
      </c>
      <c r="AF25" s="49">
        <f>IF(ISNUMBER(D25),INDEX(MGRMoneyMult,D25),1)</f>
        <v>0</v>
      </c>
      <c r="AG25" s="49">
        <f>IF(ISNUMBER(D25),INDEX(RGRMoneyMult,D25),1)</f>
        <v>0</v>
      </c>
    </row>
    <row r="26" spans="1:33">
      <c r="A26" s="69">
        <f>A25</f>
        <v>0</v>
      </c>
      <c r="B26" s="69">
        <f>B25</f>
        <v>0</v>
      </c>
      <c r="C26" s="18">
        <f>C25</f>
        <v>0</v>
      </c>
      <c r="D26" s="18">
        <f>IF((ROW()-C26)&lt;=D4,D5+(ROW()-C26-1),"")</f>
        <v>0</v>
      </c>
      <c r="E26">
        <f>IF(ISNUMBER(D26),INDEX(CollegeNames,D26),"")</f>
        <v>0</v>
      </c>
      <c r="F26" s="11">
        <f>IF(ISNUMBER(D26),INDEX(IF(OR(H3="H",H3="B",H3="I",H3="M"),GradRates,AllGradRates),D26),"")</f>
        <v>0</v>
      </c>
      <c r="G26" s="11">
        <f>IF(ISNUMBER(D26),IF(ISNUMBER(INDEX(Odds,D26)),INDEX(Odds,D26)/100,"N/A"),"")</f>
        <v>0</v>
      </c>
      <c r="H26" s="11">
        <f>IF(ISNUMBER(D26),INDEX(Classes,D26),"")</f>
        <v>0</v>
      </c>
      <c r="I26" s="11">
        <f>IF(ISNUMBER(D26),INDEX(Results,D26),"")</f>
        <v>0</v>
      </c>
      <c r="J26" s="11">
        <f>IFERROR(IF(ISNUMBER(D26),INDEX(AllCollegeMoneyCode,MATCH(INDEX(NCESids,D26),AllCollegeNCES,0)),""),"N/A")</f>
        <v>0</v>
      </c>
      <c r="AD26" s="49">
        <f>IF(ISNUMBER(D26),INDEX(MGRMult,D26),1)</f>
        <v>0</v>
      </c>
      <c r="AE26" s="49">
        <f>IF(ISNUMBER(D26),INDEX(RGRMult,D26),1)</f>
        <v>0</v>
      </c>
      <c r="AF26" s="49">
        <f>IF(ISNUMBER(D26),INDEX(MGRMoneyMult,D26),1)</f>
        <v>0</v>
      </c>
      <c r="AG26" s="49">
        <f>IF(ISNUMBER(D26),INDEX(RGRMoneyMult,D26),1)</f>
        <v>0</v>
      </c>
    </row>
    <row r="27" spans="1:33">
      <c r="A27" s="69">
        <f>A26</f>
        <v>0</v>
      </c>
      <c r="B27" s="69">
        <f>B26</f>
        <v>0</v>
      </c>
      <c r="C27" s="18">
        <f>C26</f>
        <v>0</v>
      </c>
      <c r="D27" s="18">
        <f>IF((ROW()-C27)&lt;=D4,D5+(ROW()-C27-1),"")</f>
        <v>0</v>
      </c>
      <c r="E27">
        <f>IF(ISNUMBER(D27),INDEX(CollegeNames,D27),"")</f>
        <v>0</v>
      </c>
      <c r="F27" s="11">
        <f>IF(ISNUMBER(D27),INDEX(IF(OR(H3="H",H3="B",H3="I",H3="M"),GradRates,AllGradRates),D27),"")</f>
        <v>0</v>
      </c>
      <c r="G27" s="11">
        <f>IF(ISNUMBER(D27),IF(ISNUMBER(INDEX(Odds,D27)),INDEX(Odds,D27)/100,"N/A"),"")</f>
        <v>0</v>
      </c>
      <c r="H27" s="11">
        <f>IF(ISNUMBER(D27),INDEX(Classes,D27),"")</f>
        <v>0</v>
      </c>
      <c r="I27" s="11">
        <f>IF(ISNUMBER(D27),INDEX(Results,D27),"")</f>
        <v>0</v>
      </c>
      <c r="J27" s="11">
        <f>IFERROR(IF(ISNUMBER(D27),INDEX(AllCollegeMoneyCode,MATCH(INDEX(NCESids,D27),AllCollegeNCES,0)),""),"N/A")</f>
        <v>0</v>
      </c>
      <c r="AD27" s="49">
        <f>IF(ISNUMBER(D27),INDEX(MGRMult,D27),1)</f>
        <v>0</v>
      </c>
      <c r="AE27" s="49">
        <f>IF(ISNUMBER(D27),INDEX(RGRMult,D27),1)</f>
        <v>0</v>
      </c>
      <c r="AF27" s="49">
        <f>IF(ISNUMBER(D27),INDEX(MGRMoneyMult,D27),1)</f>
        <v>0</v>
      </c>
      <c r="AG27" s="49">
        <f>IF(ISNUMBER(D27),INDEX(RGRMoneyMult,D27),1)</f>
        <v>0</v>
      </c>
    </row>
    <row r="28" spans="1:33">
      <c r="A28" s="69">
        <f>A27</f>
        <v>0</v>
      </c>
      <c r="B28" s="69">
        <f>B27</f>
        <v>0</v>
      </c>
      <c r="C28" s="18">
        <f>C27</f>
        <v>0</v>
      </c>
      <c r="D28" s="18">
        <f>IF((ROW()-C28)&lt;=D4,D5+(ROW()-C28-1),"")</f>
        <v>0</v>
      </c>
      <c r="E28">
        <f>IF(ISNUMBER(D28),INDEX(CollegeNames,D28),"")</f>
        <v>0</v>
      </c>
      <c r="F28" s="11">
        <f>IF(ISNUMBER(D28),INDEX(IF(OR(H3="H",H3="B",H3="I",H3="M"),GradRates,AllGradRates),D28),"")</f>
        <v>0</v>
      </c>
      <c r="G28" s="11">
        <f>IF(ISNUMBER(D28),IF(ISNUMBER(INDEX(Odds,D28)),INDEX(Odds,D28)/100,"N/A"),"")</f>
        <v>0</v>
      </c>
      <c r="H28" s="11">
        <f>IF(ISNUMBER(D28),INDEX(Classes,D28),"")</f>
        <v>0</v>
      </c>
      <c r="I28" s="11">
        <f>IF(ISNUMBER(D28),INDEX(Results,D28),"")</f>
        <v>0</v>
      </c>
      <c r="J28" s="11">
        <f>IFERROR(IF(ISNUMBER(D28),INDEX(AllCollegeMoneyCode,MATCH(INDEX(NCESids,D28),AllCollegeNCES,0)),""),"N/A")</f>
        <v>0</v>
      </c>
      <c r="AD28" s="49">
        <f>IF(ISNUMBER(D28),INDEX(MGRMult,D28),1)</f>
        <v>0</v>
      </c>
      <c r="AE28" s="49">
        <f>IF(ISNUMBER(D28),INDEX(RGRMult,D28),1)</f>
        <v>0</v>
      </c>
      <c r="AF28" s="49">
        <f>IF(ISNUMBER(D28),INDEX(MGRMoneyMult,D28),1)</f>
        <v>0</v>
      </c>
      <c r="AG28" s="49">
        <f>IF(ISNUMBER(D28),INDEX(RGRMoneyMult,D28),1)</f>
        <v>0</v>
      </c>
    </row>
    <row r="29" spans="1:33">
      <c r="A29" s="69">
        <f>A28</f>
        <v>0</v>
      </c>
      <c r="B29" s="69">
        <f>B28</f>
        <v>0</v>
      </c>
      <c r="C29" s="18">
        <f>C28</f>
        <v>0</v>
      </c>
      <c r="D29" s="18">
        <f>IF((ROW()-C29)&lt;=D4,D5+(ROW()-C29-1),"")</f>
        <v>0</v>
      </c>
      <c r="E29">
        <f>IF(ISNUMBER(D29),INDEX(CollegeNames,D29),"")</f>
        <v>0</v>
      </c>
      <c r="F29" s="11">
        <f>IF(ISNUMBER(D29),INDEX(IF(OR(H3="H",H3="B",H3="I",H3="M"),GradRates,AllGradRates),D29),"")</f>
        <v>0</v>
      </c>
      <c r="G29" s="11">
        <f>IF(ISNUMBER(D29),IF(ISNUMBER(INDEX(Odds,D29)),INDEX(Odds,D29)/100,"N/A"),"")</f>
        <v>0</v>
      </c>
      <c r="H29" s="11">
        <f>IF(ISNUMBER(D29),INDEX(Classes,D29),"")</f>
        <v>0</v>
      </c>
      <c r="I29" s="11">
        <f>IF(ISNUMBER(D29),INDEX(Results,D29),"")</f>
        <v>0</v>
      </c>
      <c r="J29" s="11">
        <f>IFERROR(IF(ISNUMBER(D29),INDEX(AllCollegeMoneyCode,MATCH(INDEX(NCESids,D29),AllCollegeNCES,0)),""),"N/A")</f>
        <v>0</v>
      </c>
      <c r="AD29" s="49">
        <f>IF(ISNUMBER(D29),INDEX(MGRMult,D29),1)</f>
        <v>0</v>
      </c>
      <c r="AE29" s="49">
        <f>IF(ISNUMBER(D29),INDEX(RGRMult,D29),1)</f>
        <v>0</v>
      </c>
      <c r="AF29" s="49">
        <f>IF(ISNUMBER(D29),INDEX(MGRMoneyMult,D29),1)</f>
        <v>0</v>
      </c>
      <c r="AG29" s="49">
        <f>IF(ISNUMBER(D29),INDEX(RGRMoneyMult,D29),1)</f>
        <v>0</v>
      </c>
    </row>
    <row r="30" spans="1:33">
      <c r="A30" s="69">
        <f>A29</f>
        <v>0</v>
      </c>
      <c r="B30" s="69">
        <f>B29</f>
        <v>0</v>
      </c>
      <c r="C30" s="18">
        <f>C29</f>
        <v>0</v>
      </c>
      <c r="D30" s="18">
        <f>IF((ROW()-C30)&lt;=D4,D5+(ROW()-C30-1),"")</f>
        <v>0</v>
      </c>
      <c r="E30">
        <f>IF(ISNUMBER(D30),INDEX(CollegeNames,D30),"")</f>
        <v>0</v>
      </c>
      <c r="F30" s="11">
        <f>IF(ISNUMBER(D30),INDEX(IF(OR(H3="H",H3="B",H3="I",H3="M"),GradRates,AllGradRates),D30),"")</f>
        <v>0</v>
      </c>
      <c r="G30" s="11">
        <f>IF(ISNUMBER(D30),IF(ISNUMBER(INDEX(Odds,D30)),INDEX(Odds,D30)/100,"N/A"),"")</f>
        <v>0</v>
      </c>
      <c r="H30" s="11">
        <f>IF(ISNUMBER(D30),INDEX(Classes,D30),"")</f>
        <v>0</v>
      </c>
      <c r="I30" s="11">
        <f>IF(ISNUMBER(D30),INDEX(Results,D30),"")</f>
        <v>0</v>
      </c>
      <c r="J30" s="11">
        <f>IFERROR(IF(ISNUMBER(D30),INDEX(AllCollegeMoneyCode,MATCH(INDEX(NCESids,D30),AllCollegeNCES,0)),""),"N/A")</f>
        <v>0</v>
      </c>
      <c r="AD30" s="49">
        <f>IF(ISNUMBER(D30),INDEX(MGRMult,D30),1)</f>
        <v>0</v>
      </c>
      <c r="AE30" s="49">
        <f>IF(ISNUMBER(D30),INDEX(RGRMult,D30),1)</f>
        <v>0</v>
      </c>
      <c r="AF30" s="49">
        <f>IF(ISNUMBER(D30),INDEX(MGRMoneyMult,D30),1)</f>
        <v>0</v>
      </c>
      <c r="AG30" s="49">
        <f>IF(ISNUMBER(D30),INDEX(RGRMoneyMult,D30),1)</f>
        <v>0</v>
      </c>
    </row>
    <row r="31" spans="1:33">
      <c r="A31" s="69">
        <f>A30</f>
        <v>0</v>
      </c>
      <c r="B31" s="69">
        <f>B30</f>
        <v>0</v>
      </c>
      <c r="C31" s="18">
        <f>C30</f>
        <v>0</v>
      </c>
      <c r="D31" s="18">
        <f>IF((ROW()-C31)&lt;=D4,D5+(ROW()-C31-1),"")</f>
        <v>0</v>
      </c>
      <c r="E31">
        <f>IF(ISNUMBER(D31),INDEX(CollegeNames,D31),"")</f>
        <v>0</v>
      </c>
      <c r="F31" s="11">
        <f>IF(ISNUMBER(D31),INDEX(IF(OR(H3="H",H3="B",H3="I",H3="M"),GradRates,AllGradRates),D31),"")</f>
        <v>0</v>
      </c>
      <c r="G31" s="11">
        <f>IF(ISNUMBER(D31),IF(ISNUMBER(INDEX(Odds,D31)),INDEX(Odds,D31)/100,"N/A"),"")</f>
        <v>0</v>
      </c>
      <c r="H31" s="11">
        <f>IF(ISNUMBER(D31),INDEX(Classes,D31),"")</f>
        <v>0</v>
      </c>
      <c r="I31" s="11">
        <f>IF(ISNUMBER(D31),INDEX(Results,D31),"")</f>
        <v>0</v>
      </c>
      <c r="J31" s="11">
        <f>IFERROR(IF(ISNUMBER(D31),INDEX(AllCollegeMoneyCode,MATCH(INDEX(NCESids,D31),AllCollegeNCES,0)),""),"N/A")</f>
        <v>0</v>
      </c>
      <c r="AD31" s="49">
        <f>IF(ISNUMBER(D31),INDEX(MGRMult,D31),1)</f>
        <v>0</v>
      </c>
      <c r="AE31" s="49">
        <f>IF(ISNUMBER(D31),INDEX(RGRMult,D31),1)</f>
        <v>0</v>
      </c>
      <c r="AF31" s="49">
        <f>IF(ISNUMBER(D31),INDEX(MGRMoneyMult,D31),1)</f>
        <v>0</v>
      </c>
      <c r="AG31" s="49">
        <f>IF(ISNUMBER(D31),INDEX(RGRMoneyMult,D31),1)</f>
        <v>0</v>
      </c>
    </row>
    <row r="32" spans="1:33">
      <c r="A32" s="69">
        <f>A31</f>
        <v>0</v>
      </c>
      <c r="B32" s="69">
        <f>B31</f>
        <v>0</v>
      </c>
      <c r="C32" s="18">
        <f>C31</f>
        <v>0</v>
      </c>
      <c r="D32" s="18">
        <f>IF((ROW()-C32)&lt;=D4,D5+(ROW()-C32-1),"")</f>
        <v>0</v>
      </c>
      <c r="E32">
        <f>IF(ISNUMBER(D32),INDEX(CollegeNames,D32),"")</f>
        <v>0</v>
      </c>
      <c r="F32" s="11">
        <f>IF(ISNUMBER(D32),INDEX(IF(OR(H3="H",H3="B",H3="I",H3="M"),GradRates,AllGradRates),D32),"")</f>
        <v>0</v>
      </c>
      <c r="G32" s="11">
        <f>IF(ISNUMBER(D32),IF(ISNUMBER(INDEX(Odds,D32)),INDEX(Odds,D32)/100,"N/A"),"")</f>
        <v>0</v>
      </c>
      <c r="H32" s="11">
        <f>IF(ISNUMBER(D32),INDEX(Classes,D32),"")</f>
        <v>0</v>
      </c>
      <c r="I32" s="11">
        <f>IF(ISNUMBER(D32),INDEX(Results,D32),"")</f>
        <v>0</v>
      </c>
      <c r="J32" s="11">
        <f>IFERROR(IF(ISNUMBER(D32),INDEX(AllCollegeMoneyCode,MATCH(INDEX(NCESids,D32),AllCollegeNCES,0)),""),"N/A")</f>
        <v>0</v>
      </c>
      <c r="AD32" s="49">
        <f>IF(ISNUMBER(D32),INDEX(MGRMult,D32),1)</f>
        <v>0</v>
      </c>
      <c r="AE32" s="49">
        <f>IF(ISNUMBER(D32),INDEX(RGRMult,D32),1)</f>
        <v>0</v>
      </c>
      <c r="AF32" s="49">
        <f>IF(ISNUMBER(D32),INDEX(MGRMoneyMult,D32),1)</f>
        <v>0</v>
      </c>
      <c r="AG32" s="49">
        <f>IF(ISNUMBER(D32),INDEX(RGRMoneyMult,D32),1)</f>
        <v>0</v>
      </c>
    </row>
    <row r="33" spans="1:33">
      <c r="A33" s="69">
        <f>A32</f>
        <v>0</v>
      </c>
      <c r="B33" s="69">
        <f>B32</f>
        <v>0</v>
      </c>
      <c r="C33" s="18">
        <f>C32</f>
        <v>0</v>
      </c>
      <c r="D33" s="18">
        <f>IF((ROW()-C33)&lt;=D4,D5+(ROW()-C33-1),"")</f>
        <v>0</v>
      </c>
      <c r="E33">
        <f>IF(ISNUMBER(D33),INDEX(CollegeNames,D33),"")</f>
        <v>0</v>
      </c>
      <c r="F33" s="11">
        <f>IF(ISNUMBER(D33),INDEX(IF(OR(H3="H",H3="B",H3="I",H3="M"),GradRates,AllGradRates),D33),"")</f>
        <v>0</v>
      </c>
      <c r="G33" s="11">
        <f>IF(ISNUMBER(D33),IF(ISNUMBER(INDEX(Odds,D33)),INDEX(Odds,D33)/100,"N/A"),"")</f>
        <v>0</v>
      </c>
      <c r="H33" s="11">
        <f>IF(ISNUMBER(D33),INDEX(Classes,D33),"")</f>
        <v>0</v>
      </c>
      <c r="I33" s="11">
        <f>IF(ISNUMBER(D33),INDEX(Results,D33),"")</f>
        <v>0</v>
      </c>
      <c r="J33" s="11">
        <f>IFERROR(IF(ISNUMBER(D33),INDEX(AllCollegeMoneyCode,MATCH(INDEX(NCESids,D33),AllCollegeNCES,0)),""),"N/A")</f>
        <v>0</v>
      </c>
      <c r="AD33" s="49">
        <f>IF(ISNUMBER(D33),INDEX(MGRMult,D33),1)</f>
        <v>0</v>
      </c>
      <c r="AE33" s="49">
        <f>IF(ISNUMBER(D33),INDEX(RGRMult,D33),1)</f>
        <v>0</v>
      </c>
      <c r="AF33" s="49">
        <f>IF(ISNUMBER(D33),INDEX(MGRMoneyMult,D33),1)</f>
        <v>0</v>
      </c>
      <c r="AG33" s="49">
        <f>IF(ISNUMBER(D33),INDEX(RGRMoneyMult,D33),1)</f>
        <v>0</v>
      </c>
    </row>
    <row r="34" spans="1:33">
      <c r="A34" s="69">
        <f>A33</f>
        <v>0</v>
      </c>
      <c r="B34" s="69">
        <f>B33</f>
        <v>0</v>
      </c>
      <c r="C34" s="18">
        <f>C33</f>
        <v>0</v>
      </c>
      <c r="D34" s="18">
        <f>IF((ROW()-C34)&lt;=D4,D5+(ROW()-C34-1),"")</f>
        <v>0</v>
      </c>
      <c r="E34">
        <f>IF(ISNUMBER(D34),INDEX(CollegeNames,D34),"")</f>
        <v>0</v>
      </c>
      <c r="F34" s="11">
        <f>IF(ISNUMBER(D34),INDEX(IF(OR(H3="H",H3="B",H3="I",H3="M"),GradRates,AllGradRates),D34),"")</f>
        <v>0</v>
      </c>
      <c r="G34" s="11">
        <f>IF(ISNUMBER(D34),IF(ISNUMBER(INDEX(Odds,D34)),INDEX(Odds,D34)/100,"N/A"),"")</f>
        <v>0</v>
      </c>
      <c r="H34" s="11">
        <f>IF(ISNUMBER(D34),INDEX(Classes,D34),"")</f>
        <v>0</v>
      </c>
      <c r="I34" s="11">
        <f>IF(ISNUMBER(D34),INDEX(Results,D34),"")</f>
        <v>0</v>
      </c>
      <c r="J34" s="11">
        <f>IFERROR(IF(ISNUMBER(D34),INDEX(AllCollegeMoneyCode,MATCH(INDEX(NCESids,D34),AllCollegeNCES,0)),""),"N/A")</f>
        <v>0</v>
      </c>
      <c r="AD34" s="49">
        <f>IF(ISNUMBER(D34),INDEX(MGRMult,D34),1)</f>
        <v>0</v>
      </c>
      <c r="AE34" s="49">
        <f>IF(ISNUMBER(D34),INDEX(RGRMult,D34),1)</f>
        <v>0</v>
      </c>
      <c r="AF34" s="49">
        <f>IF(ISNUMBER(D34),INDEX(MGRMoneyMult,D34),1)</f>
        <v>0</v>
      </c>
      <c r="AG34" s="49">
        <f>IF(ISNUMBER(D34),INDEX(RGRMoneyMult,D34),1)</f>
        <v>0</v>
      </c>
    </row>
    <row r="35" spans="1:33">
      <c r="A35" s="69">
        <f>A34</f>
        <v>0</v>
      </c>
      <c r="B35" s="69">
        <f>B34</f>
        <v>0</v>
      </c>
      <c r="C35" s="18">
        <f>C34</f>
        <v>0</v>
      </c>
      <c r="D35" s="18">
        <f>IF((ROW()-C35)&lt;=D4,D5+(ROW()-C35-1),"")</f>
        <v>0</v>
      </c>
      <c r="E35">
        <f>IF(ISNUMBER(D35),INDEX(CollegeNames,D35),"")</f>
        <v>0</v>
      </c>
      <c r="F35" s="11">
        <f>IF(ISNUMBER(D35),INDEX(IF(OR(H3="H",H3="B",H3="I",H3="M"),GradRates,AllGradRates),D35),"")</f>
        <v>0</v>
      </c>
      <c r="G35" s="11">
        <f>IF(ISNUMBER(D35),IF(ISNUMBER(INDEX(Odds,D35)),INDEX(Odds,D35)/100,"N/A"),"")</f>
        <v>0</v>
      </c>
      <c r="H35" s="11">
        <f>IF(ISNUMBER(D35),INDEX(Classes,D35),"")</f>
        <v>0</v>
      </c>
      <c r="I35" s="11">
        <f>IF(ISNUMBER(D35),INDEX(Results,D35),"")</f>
        <v>0</v>
      </c>
      <c r="J35" s="11">
        <f>IFERROR(IF(ISNUMBER(D35),INDEX(AllCollegeMoneyCode,MATCH(INDEX(NCESids,D35),AllCollegeNCES,0)),""),"N/A")</f>
        <v>0</v>
      </c>
      <c r="AD35" s="49">
        <f>IF(ISNUMBER(D35),INDEX(MGRMult,D35),1)</f>
        <v>0</v>
      </c>
      <c r="AE35" s="49">
        <f>IF(ISNUMBER(D35),INDEX(RGRMult,D35),1)</f>
        <v>0</v>
      </c>
      <c r="AF35" s="49">
        <f>IF(ISNUMBER(D35),INDEX(MGRMoneyMult,D35),1)</f>
        <v>0</v>
      </c>
      <c r="AG35" s="49">
        <f>IF(ISNUMBER(D35),INDEX(RGRMoneyMult,D35),1)</f>
        <v>0</v>
      </c>
    </row>
    <row r="36" spans="1:33">
      <c r="A36" s="69">
        <f>A35</f>
        <v>0</v>
      </c>
      <c r="B36" s="69">
        <f>B35</f>
        <v>0</v>
      </c>
      <c r="C36" s="18">
        <f>C35</f>
        <v>0</v>
      </c>
      <c r="D36" s="18">
        <f>IF((ROW()-C36)&lt;=D4,D5+(ROW()-C36-1),"")</f>
        <v>0</v>
      </c>
      <c r="E36">
        <f>IF(ISNUMBER(D36),INDEX(CollegeNames,D36),"")</f>
        <v>0</v>
      </c>
      <c r="F36" s="11">
        <f>IF(ISNUMBER(D36),INDEX(IF(OR(H3="H",H3="B",H3="I",H3="M"),GradRates,AllGradRates),D36),"")</f>
        <v>0</v>
      </c>
      <c r="G36" s="11">
        <f>IF(ISNUMBER(D36),IF(ISNUMBER(INDEX(Odds,D36)),INDEX(Odds,D36)/100,"N/A"),"")</f>
        <v>0</v>
      </c>
      <c r="H36" s="11">
        <f>IF(ISNUMBER(D36),INDEX(Classes,D36),"")</f>
        <v>0</v>
      </c>
      <c r="I36" s="11">
        <f>IF(ISNUMBER(D36),INDEX(Results,D36),"")</f>
        <v>0</v>
      </c>
      <c r="J36" s="11">
        <f>IFERROR(IF(ISNUMBER(D36),INDEX(AllCollegeMoneyCode,MATCH(INDEX(NCESids,D36),AllCollegeNCES,0)),""),"N/A")</f>
        <v>0</v>
      </c>
      <c r="AD36" s="49">
        <f>IF(ISNUMBER(D36),INDEX(MGRMult,D36),1)</f>
        <v>0</v>
      </c>
      <c r="AE36" s="49">
        <f>IF(ISNUMBER(D36),INDEX(RGRMult,D36),1)</f>
        <v>0</v>
      </c>
      <c r="AF36" s="49">
        <f>IF(ISNUMBER(D36),INDEX(MGRMoneyMult,D36),1)</f>
        <v>0</v>
      </c>
      <c r="AG36" s="49">
        <f>IF(ISNUMBER(D36),INDEX(RGRMoneyMult,D36),1)</f>
        <v>0</v>
      </c>
    </row>
    <row r="37" spans="1:33">
      <c r="A37" s="69">
        <f>A36</f>
        <v>0</v>
      </c>
      <c r="B37" s="69">
        <f>B36</f>
        <v>0</v>
      </c>
      <c r="C37" s="18">
        <f>C36</f>
        <v>0</v>
      </c>
      <c r="D37" s="18">
        <f>IF((ROW()-C37)&lt;=D4,D5+(ROW()-C37-1),"")</f>
        <v>0</v>
      </c>
      <c r="E37">
        <f>IF(ISNUMBER(D37),INDEX(CollegeNames,D37),"")</f>
        <v>0</v>
      </c>
      <c r="F37" s="11">
        <f>IF(ISNUMBER(D37),INDEX(IF(OR(H3="H",H3="B",H3="I",H3="M"),GradRates,AllGradRates),D37),"")</f>
        <v>0</v>
      </c>
      <c r="G37" s="11">
        <f>IF(ISNUMBER(D37),IF(ISNUMBER(INDEX(Odds,D37)),INDEX(Odds,D37)/100,"N/A"),"")</f>
        <v>0</v>
      </c>
      <c r="H37" s="11">
        <f>IF(ISNUMBER(D37),INDEX(Classes,D37),"")</f>
        <v>0</v>
      </c>
      <c r="I37" s="11">
        <f>IF(ISNUMBER(D37),INDEX(Results,D37),"")</f>
        <v>0</v>
      </c>
      <c r="J37" s="11">
        <f>IFERROR(IF(ISNUMBER(D37),INDEX(AllCollegeMoneyCode,MATCH(INDEX(NCESids,D37),AllCollegeNCES,0)),""),"N/A")</f>
        <v>0</v>
      </c>
      <c r="AD37" s="49">
        <f>IF(ISNUMBER(D37),INDEX(MGRMult,D37),1)</f>
        <v>0</v>
      </c>
      <c r="AE37" s="49">
        <f>IF(ISNUMBER(D37),INDEX(RGRMult,D37),1)</f>
        <v>0</v>
      </c>
      <c r="AF37" s="49">
        <f>IF(ISNUMBER(D37),INDEX(MGRMoneyMult,D37),1)</f>
        <v>0</v>
      </c>
      <c r="AG37" s="49">
        <f>IF(ISNUMBER(D37),INDEX(RGRMoneyMult,D37),1)</f>
        <v>0</v>
      </c>
    </row>
    <row r="38" spans="1:33">
      <c r="E38" s="81" t="s">
        <v>389</v>
      </c>
    </row>
    <row r="39" spans="1:33">
      <c r="E39" s="82" t="s">
        <v>390</v>
      </c>
      <c r="F39" s="83" t="s">
        <v>391</v>
      </c>
      <c r="G39" s="84" t="s">
        <v>392</v>
      </c>
      <c r="H39" s="84"/>
    </row>
    <row r="40" spans="1:33">
      <c r="D40" s="18">
        <v>3</v>
      </c>
      <c r="E40" s="85">
        <f>""&amp;D40&amp;"+ "&amp;LOWER(IdealGRLabel)&amp;" grad rate schools"</f>
        <v>0</v>
      </c>
      <c r="F40" s="61">
        <f>AE6</f>
        <v>0</v>
      </c>
      <c r="G40" s="86">
        <f>IF(F40&gt;=D40,"Yes!","No")</f>
        <v>0</v>
      </c>
      <c r="H40" s="86"/>
    </row>
    <row r="41" spans="1:33">
      <c r="D41" s="18">
        <v>3</v>
      </c>
      <c r="E41" s="85">
        <f>""&amp;D41&amp;"+ "&amp;LOWER(TargetGRLabel)&amp;" grad rate schools"</f>
        <v>0</v>
      </c>
      <c r="F41" s="61">
        <f>AD6-AE6</f>
        <v>0</v>
      </c>
      <c r="G41" s="86">
        <f>IF(F41&gt;=D41,"Yes!","No")</f>
        <v>0</v>
      </c>
      <c r="H41" s="86"/>
    </row>
    <row r="42" spans="1:33">
      <c r="D42" s="18">
        <v>2</v>
      </c>
      <c r="E42" s="85">
        <f>""&amp;D42&amp;"- "&amp;LOWER(FarBelowTGRLabel)&amp;" grad rate schools"</f>
        <v>0</v>
      </c>
      <c r="F42" s="61">
        <f>INDEX(FarBelowTGRApps,MATCH(D3,KidIDs,0))</f>
        <v>0</v>
      </c>
      <c r="G42" s="86">
        <f>IF(F42&lt;=D42,"Yes!","No")</f>
        <v>0</v>
      </c>
      <c r="H42" s="86"/>
    </row>
    <row r="43" spans="1:33">
      <c r="D43" s="18">
        <f>IF(INDEX(Strats,MATCH(D3,KidIds,0))&gt;=10,1,IF(INDEX(Strats,MATCH(D3,KidIds,0))&gt;=5,2,3))</f>
        <v>0</v>
      </c>
      <c r="E43" s="85">
        <f>""&amp;D43&amp;"+ "&amp;LOWER(ReachLabel)&amp;" schools"</f>
        <v>0</v>
      </c>
      <c r="F43" s="61">
        <f>INDEX(ReachApps,MATCH(D3,KidIDs,0))</f>
        <v>0</v>
      </c>
      <c r="G43" s="86">
        <f>IF(F43&gt;=D43,"Yes!","No")</f>
        <v>0</v>
      </c>
      <c r="H43" s="86"/>
    </row>
    <row r="44" spans="1:33">
      <c r="D44" s="18">
        <f>IF(INDEX(Strats,MATCH(D3,KidIds,0))&gt;=10,1,4)</f>
        <v>0</v>
      </c>
      <c r="E44" s="85">
        <f>""&amp;D44&amp;"+ "&amp;LOWER(MatchLabel)&amp;" schools"</f>
        <v>0</v>
      </c>
      <c r="F44" s="61">
        <f>INDEX(MatchApps,MATCH(D3,KidIDs,0))</f>
        <v>0</v>
      </c>
      <c r="G44" s="86">
        <f>IF(F44&gt;=D44,"Yes!","No")</f>
        <v>0</v>
      </c>
      <c r="H44" s="86"/>
    </row>
    <row r="45" spans="1:33">
      <c r="D45" s="18">
        <v>3</v>
      </c>
      <c r="E45" s="85">
        <f>""&amp;D45&amp;"- "&amp;LOWER(SafetyLabel)&amp;" schools"</f>
        <v>0</v>
      </c>
      <c r="F45" s="61">
        <f>INDEX(SafetyApps,MATCH(D3,KidIDs,0))+INDEX(SecureApps,MATCH(D3,KidIDs,0))+INDEX(SureThingApps,MATCH(D3,KidIDs,0))</f>
        <v>0</v>
      </c>
      <c r="G45" s="86">
        <f>IF(F45&lt;=D45,"Yes!","No")</f>
        <v>0</v>
      </c>
      <c r="H45" s="86"/>
    </row>
    <row r="46" spans="1:33">
      <c r="D46" s="18">
        <v>2</v>
      </c>
      <c r="E46" s="85">
        <f>""&amp;D46&amp;"- ""bad"" money options"</f>
        <v>0</v>
      </c>
      <c r="F46" s="61">
        <f>INDEX(BadMoneyApps,MATCH(D3,KidIDs,0))</f>
        <v>0</v>
      </c>
      <c r="G46" s="86">
        <f>IF(F46&lt;=D46,"Yes!","No")</f>
        <v>0</v>
      </c>
      <c r="H46" s="86"/>
    </row>
    <row r="47" spans="1:33">
      <c r="D47" s="18">
        <v>2</v>
      </c>
      <c r="E47" s="87">
        <f>"Advisor: "&amp;INDEX(Advisors,MATCH(D3,KidIDs,0))</f>
        <v>0</v>
      </c>
      <c r="F47" s="87"/>
      <c r="G47" s="87"/>
      <c r="H47" s="87"/>
      <c r="I47" s="87"/>
      <c r="J47" s="87"/>
    </row>
  </sheetData>
  <mergeCells count="10">
    <mergeCell ref="I1:J1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</mergeCells>
  <conditionalFormatting sqref="F13:F37">
    <cfRule type="expression" dxfId="13" priority="5">
      <formula>IF(F13&gt;=A13,TRUE,FALSE)</formula>
    </cfRule>
    <cfRule type="expression" dxfId="14" priority="6">
      <formula>IF(F13&lt;B13,TRUE,FALSE)</formula>
    </cfRule>
    <cfRule type="expression" dxfId="12" priority="7">
      <formula>IF(F13&lt;&gt;"",TRUE,FALSE)</formula>
    </cfRule>
  </conditionalFormatting>
  <conditionalFormatting sqref="F9:F11">
    <cfRule type="expression" dxfId="13" priority="2">
      <formula>IF(F9&gt;=A9,TRUE,FALSE)</formula>
    </cfRule>
    <cfRule type="expression" dxfId="14" priority="3">
      <formula>IF(F9&lt;B9,TRUE,FALSE)</formula>
    </cfRule>
    <cfRule type="expression" dxfId="12" priority="4">
      <formula>IF(F9&lt;&gt;"",TRUE,FALSE)</formula>
    </cfRule>
  </conditionalFormatting>
  <conditionalFormatting sqref="I13:I37">
    <cfRule type="expression" dxfId="12" priority="1">
      <formula>IF(I13&lt;&gt;"",TRUE,FALSE)</formula>
    </cfRule>
  </conditionalFormatting>
  <dataValidations count="4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</dataValidations>
  <pageMargins left="0.5" right="0.5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46"/>
  <sheetViews>
    <sheetView workbookViewId="0"/>
  </sheetViews>
  <sheetFormatPr defaultRowHeight="15"/>
  <cols>
    <col min="1" max="4" width="8.7109375" style="18" hidden="1" customWidth="1"/>
    <col min="5" max="5" width="41" customWidth="1"/>
    <col min="6" max="6" width="9.7109375" customWidth="1"/>
    <col min="7" max="7" width="8.5703125" customWidth="1"/>
    <col min="8" max="8" width="8.85546875" customWidth="1"/>
    <col min="9" max="9" width="9.5703125" customWidth="1"/>
    <col min="10" max="10" width="17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</row>
    <row r="2" spans="1:33">
      <c r="C2" s="18">
        <f>INDEX(KidIDs,D2)</f>
        <v>0</v>
      </c>
      <c r="D2" s="18">
        <v>1</v>
      </c>
      <c r="E2" s="53" t="s">
        <v>353</v>
      </c>
      <c r="F2" s="54" t="s">
        <v>355</v>
      </c>
      <c r="G2" s="55" t="s">
        <v>356</v>
      </c>
      <c r="H2" s="56" t="s">
        <v>357</v>
      </c>
      <c r="I2" s="54" t="s">
        <v>359</v>
      </c>
      <c r="J2" s="57">
        <f>INDEX(ReachStudentTargets,MATCH(D3,KidIDs,0))</f>
        <v>0</v>
      </c>
    </row>
    <row r="3" spans="1:33" ht="15.75" customHeight="1">
      <c r="C3" s="18" t="s">
        <v>349</v>
      </c>
      <c r="D3" s="18">
        <f>INDEX(KidIDs,MATCH(E3,LastFirst,0))</f>
        <v>0</v>
      </c>
      <c r="E3" s="58" t="s">
        <v>98</v>
      </c>
      <c r="F3" s="59">
        <f>INDEX(ActualACT,MATCH(D3,KidIDs,0))&amp;"/"&amp;INDEX(ActualSAT,MATCH(D3,KidIDs,0))</f>
        <v>0</v>
      </c>
      <c r="G3" s="60">
        <f>TEXT(INDEX(KidGPAs,MATCH(D3,KidIDs,0)),"#.00")&amp;"/"&amp;TEXT(INDEX(KidGPAs,MATCH(D3,KidIDs,0)),"#.00")</f>
        <v>0</v>
      </c>
      <c r="H3" s="61">
        <f>INDEX(KidRace,MATCH(D3,KidIDs,0))</f>
        <v>0</v>
      </c>
      <c r="I3" s="62" t="s">
        <v>360</v>
      </c>
      <c r="J3" s="63">
        <f>INDEX(StudentTargets,MATCH(D3,KidIDs,0))</f>
        <v>0</v>
      </c>
    </row>
    <row r="4" spans="1:33">
      <c r="C4" s="18" t="s">
        <v>350</v>
      </c>
      <c r="D4" s="18">
        <f>INDEX(Apps,MATCH(D3,KidIDs,0))</f>
        <v>0</v>
      </c>
      <c r="E4" s="64" t="s">
        <v>354</v>
      </c>
      <c r="F4" s="65">
        <f>INDEX(KidSATs,MATCH(D3,KidIDs,0))</f>
        <v>0</v>
      </c>
      <c r="G4" s="66"/>
      <c r="H4" s="64" t="s">
        <v>358</v>
      </c>
      <c r="I4" s="65"/>
      <c r="J4" s="66"/>
    </row>
    <row r="5" spans="1:33">
      <c r="C5" s="18" t="s">
        <v>351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1-PRODUCT(AF9:AF46)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352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1-PRODUCT(AG9:AG46)</f>
        <v>0</v>
      </c>
      <c r="H6" s="70">
        <f>"&lt;--Shoot for at least 50% for Money "&amp;IGRshortLabel</f>
        <v>0</v>
      </c>
      <c r="I6" s="71"/>
      <c r="J6" s="63"/>
      <c r="AD6" s="49">
        <f>COUNTIF(AD9:AD46,"&lt;1")</f>
        <v>0</v>
      </c>
      <c r="AE6" s="49">
        <f>COUNTIF(AE9:AE46,"&lt;1")</f>
        <v>0</v>
      </c>
      <c r="AF6" s="49">
        <f>COUNTIF(AF9:AF46,"&lt;1")</f>
        <v>0</v>
      </c>
      <c r="AG6" s="49">
        <f>COUNTIF(AG9:AG46,"&lt;1")</f>
        <v>0</v>
      </c>
    </row>
    <row r="7" spans="1:33" ht="6" customHeight="1"/>
    <row r="8" spans="1:33" ht="30" customHeight="1">
      <c r="E8" s="72" t="s">
        <v>361</v>
      </c>
      <c r="F8" s="73">
        <f>IF(OR(H3="H",H3="B",H3="M",H3="I"),"6 yr AA/H Grad Rate","6 yr (all) Grad Rate")</f>
        <v>0</v>
      </c>
      <c r="G8" s="73" t="s">
        <v>362</v>
      </c>
      <c r="H8" s="74" t="s">
        <v>363</v>
      </c>
      <c r="I8" s="73" t="s">
        <v>364</v>
      </c>
      <c r="J8" s="73" t="s">
        <v>365</v>
      </c>
      <c r="K8" s="48" t="s">
        <v>366</v>
      </c>
      <c r="L8" s="48" t="s">
        <v>367</v>
      </c>
      <c r="M8" s="75" t="s">
        <v>368</v>
      </c>
      <c r="N8" s="76" t="s">
        <v>19</v>
      </c>
      <c r="O8" s="76" t="s">
        <v>369</v>
      </c>
      <c r="P8" s="18" t="s">
        <v>370</v>
      </c>
      <c r="Q8" s="18" t="s">
        <v>371</v>
      </c>
      <c r="R8" s="18" t="s">
        <v>372</v>
      </c>
      <c r="S8" s="18" t="s">
        <v>373</v>
      </c>
      <c r="T8" s="77" t="s">
        <v>374</v>
      </c>
      <c r="U8" s="77" t="s">
        <v>375</v>
      </c>
      <c r="V8" s="77" t="s">
        <v>376</v>
      </c>
      <c r="W8" s="77" t="s">
        <v>377</v>
      </c>
      <c r="X8" s="77" t="s">
        <v>378</v>
      </c>
      <c r="Y8" s="77" t="s">
        <v>379</v>
      </c>
      <c r="Z8" s="77" t="s">
        <v>380</v>
      </c>
      <c r="AA8" s="18" t="s">
        <v>381</v>
      </c>
      <c r="AB8" s="18" t="s">
        <v>382</v>
      </c>
      <c r="AC8" s="18" t="s">
        <v>383</v>
      </c>
      <c r="AD8" s="49" t="s">
        <v>384</v>
      </c>
      <c r="AE8" s="49" t="s">
        <v>385</v>
      </c>
      <c r="AF8" s="49" t="s">
        <v>386</v>
      </c>
      <c r="AG8" s="49" t="s">
        <v>387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IF(ISERROR(D9),"",INDEX(IF(OR(H3="H",H3="B",H3="I",H3="M"),AllCollegeAAHGR,AllCollegeGR),MATCH(D9,AllCollegeNCES,0)))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INDEX(AllCollegeSAT25,MATCH(D9,AllCollegeNCES,0))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INDEX(CustomWeightsSAT,MATCH($H3&amp;":"&amp;$D9,CustomWeightsIndex,0))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INDEX(CoefficientsSAT,MATCH($H3&amp;":"&amp;$K9,CoefficientsIndex,0))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IF(ISNUMBER(X9),IF(AND(T9=1,U9=1,V9=1),100,MIN(99,100*EXP(X9)/(1+EXP(X9)))),"N/A")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IF(ISERROR(D10),"",INDEX(IF(OR(H3="H",H3="B",H3="I",H3="M"),AllCollegeAAHGR,AllCollegeGR),MATCH(D10,AllCollegeNCES,0)))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INDEX(AllCollegeSAT25,MATCH(D10,AllCollegeNCES,0))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INDEX(CustomWeightsSAT,MATCH($H3&amp;":"&amp;$D10,CustomWeightsIndex,0))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INDEX(CoefficientsSAT,MATCH($H3&amp;":"&amp;$K10,CoefficientsIndex,0))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IF(ISNUMBER(X10),IF(AND(T10=1,U10=1,V10=1),100,MIN(99,100*EXP(X10)/(1+EXP(X10)))),"N/A")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IF(ISERROR(D11),"",INDEX(IF(OR(H3="H",H3="B",H3="I",H3="M"),AllCollegeAAHGR,AllCollegeGR),MATCH(D11,AllCollegeNCES,0)))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INDEX(AllCollegeSAT25,MATCH(D11,AllCollegeNCES,0))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INDEX(CustomWeightsSAT,MATCH($H3&amp;":"&amp;$D11,CustomWeightsIndex,0))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INDEX(CoefficientsSAT,MATCH($H3&amp;":"&amp;$K11,CoefficientsIndex,0))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IF(ISNUMBER(X11),IF(AND(T11=1,U11=1,V11=1),100,MIN(99,100*EXP(X11)/(1+EXP(X11)))),"N/A")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>
      <c r="A12" s="69">
        <f>A11</f>
        <v>0</v>
      </c>
      <c r="B12" s="69">
        <f>B11</f>
        <v>0</v>
      </c>
      <c r="D12" s="18">
        <f>INDEX(ExtraCollegeNCES,MATCH(E12,ExtraCollegeChoice,0))</f>
        <v>0</v>
      </c>
      <c r="E12" s="78"/>
      <c r="F12" s="11">
        <f>IF(ISERROR(D12),"",INDEX(IF(OR(H3="H",H3="B",H3="I",H3="M"),AllCollegeAAHGR,AllCollegeGR),MATCH(D12,AllCollegeNCES,0)))</f>
        <v>0</v>
      </c>
      <c r="G12" s="11">
        <f>IF(ISERROR(D12),"",IF(ISNUMBER(Y12),Y12/100,"N/A"))</f>
        <v>0</v>
      </c>
      <c r="H12" s="11">
        <f>IF(ISERROR(D12),"",Z12)</f>
        <v>0</v>
      </c>
      <c r="I12" s="11">
        <f>IF(ISERROR(D12),"","N/A")</f>
        <v>0</v>
      </c>
      <c r="J12" s="11">
        <f>IF(ISERROR(D12),"",INDEX(AllCollegeMoneyCode,MATCH(D12,AllCollegeNCES,0)))</f>
        <v>0</v>
      </c>
      <c r="K12" s="48">
        <f>INDEX(AllCollegeBarrons,MATCH(D12,AllCollegeNCES,0))</f>
        <v>0</v>
      </c>
      <c r="L12" s="48">
        <f>IF(ISERROR(D12),"",INDEX(AllCollegeMoney,MATCH(D12,AllCollegeNCES,0)))</f>
        <v>0</v>
      </c>
      <c r="M12" s="48">
        <f>INDEX(AllCollegeSAT25,MATCH(D12,AllCollegeNCES,0))</f>
        <v>0</v>
      </c>
      <c r="N12" s="48">
        <f>G3</f>
        <v>0</v>
      </c>
      <c r="O12" s="48">
        <f>F4</f>
        <v>0</v>
      </c>
      <c r="P12" s="48">
        <f>INDEX(CustomWeightsGPA,MATCH($H3&amp;":"&amp;$D12,CustomWeightsIndex,0))</f>
        <v>0</v>
      </c>
      <c r="Q12" s="48">
        <f>INDEX(CustomWeightsSAT,MATCH($H3&amp;":"&amp;$D12,CustomWeightsIndex,0))</f>
        <v>0</v>
      </c>
      <c r="R12" s="48">
        <f>INDEX(CustomWeightsIntercept,MATCH($H3&amp;":"&amp;$D12,CustomWeightsIndex,0))</f>
        <v>0</v>
      </c>
      <c r="S12" s="48">
        <f>P12*N12+Q12*O12+R12</f>
        <v>0</v>
      </c>
      <c r="T12" s="48">
        <f>INDEX(CoefficientsGPA,MATCH($H3&amp;":"&amp;$K12,CoefficientsIndex,0))</f>
        <v>0</v>
      </c>
      <c r="U12" s="48">
        <f>INDEX(CoefficientsSAT,MATCH($H3&amp;":"&amp;$K12,CoefficientsIndex,0))</f>
        <v>0</v>
      </c>
      <c r="V12" s="48">
        <f>INDEX(CoefficientsIntercept,MATCH($H3&amp;":"&amp;$K12,CoefficientsIndex,0))</f>
        <v>0</v>
      </c>
      <c r="W12" s="48">
        <f>T12*N12+(O12-M12)*U12+V12</f>
        <v>0</v>
      </c>
      <c r="X12" s="48">
        <f>IF(ISNUMBER(S12),S12,W12)</f>
        <v>0</v>
      </c>
      <c r="Y12" s="48">
        <f>IF(ISNUMBER(X12),IF(AND(T12=1,U12=1,V12=1),100,MIN(99,100*EXP(X12)/(1+EXP(X12)))),"N/A")</f>
        <v>0</v>
      </c>
      <c r="Z12" s="48">
        <f>IF(ISNUMBER(Y12),IF(Y12&gt;=99,SureThingLabel,IF(Y12&gt;=95,SecureLabel,IF(Y12&gt;=80,SafetyLabel,IF(Y12&gt;=50,MatchLabel,IF(Y12&gt;=20,ReachLabel,IF(Y12&gt;=10,LongshotLabel,HailMaryLabel)))))),"Other")</f>
        <v>0</v>
      </c>
      <c r="AA12" s="48">
        <f>IF($F12&gt;=J$3,1,0)</f>
        <v>0</v>
      </c>
      <c r="AB12" s="48">
        <f>IF($F12&gt;=J$2,1,0)</f>
        <v>0</v>
      </c>
      <c r="AC12" s="48">
        <f>IF(ISNUMBER(Y12),1-Y12/100,1)</f>
        <v>0</v>
      </c>
      <c r="AD12" s="49">
        <f>IF(AA12=1,AC12,1)</f>
        <v>0</v>
      </c>
      <c r="AE12" s="49">
        <f>IF(AB12=1,AC12,1)</f>
        <v>0</v>
      </c>
      <c r="AF12" s="49">
        <f>IF(L12=1,AD12,1)</f>
        <v>0</v>
      </c>
      <c r="AG12" s="49">
        <f>IF(L12=1,AE12,1)</f>
        <v>0</v>
      </c>
    </row>
    <row r="13" spans="1:33">
      <c r="A13" s="69">
        <f>A12</f>
        <v>0</v>
      </c>
      <c r="B13" s="69">
        <f>B12</f>
        <v>0</v>
      </c>
      <c r="D13" s="18">
        <f>INDEX(ExtraCollegeNCES,MATCH(E13,ExtraCollegeChoice,0))</f>
        <v>0</v>
      </c>
      <c r="E13" s="78"/>
      <c r="F13" s="11">
        <f>IF(ISERROR(D13),"",INDEX(IF(OR(H3="H",H3="B",H3="I",H3="M"),AllCollegeAAHGR,AllCollegeGR),MATCH(D13,AllCollegeNCES,0)))</f>
        <v>0</v>
      </c>
      <c r="G13" s="11">
        <f>IF(ISERROR(D13),"",IF(ISNUMBER(Y13),Y13/100,"N/A"))</f>
        <v>0</v>
      </c>
      <c r="H13" s="11">
        <f>IF(ISERROR(D13),"",Z13)</f>
        <v>0</v>
      </c>
      <c r="I13" s="11">
        <f>IF(ISERROR(D13),"","N/A")</f>
        <v>0</v>
      </c>
      <c r="J13" s="11">
        <f>IF(ISERROR(D13),"",INDEX(AllCollegeMoneyCode,MATCH(D13,AllCollegeNCES,0)))</f>
        <v>0</v>
      </c>
      <c r="K13" s="48">
        <f>INDEX(AllCollegeBarrons,MATCH(D13,AllCollegeNCES,0))</f>
        <v>0</v>
      </c>
      <c r="L13" s="48">
        <f>IF(ISERROR(D13),"",INDEX(AllCollegeMoney,MATCH(D13,AllCollegeNCES,0)))</f>
        <v>0</v>
      </c>
      <c r="M13" s="48">
        <f>INDEX(AllCollegeSAT25,MATCH(D13,AllCollegeNCES,0))</f>
        <v>0</v>
      </c>
      <c r="N13" s="48">
        <f>G3</f>
        <v>0</v>
      </c>
      <c r="O13" s="48">
        <f>F4</f>
        <v>0</v>
      </c>
      <c r="P13" s="48">
        <f>INDEX(CustomWeightsGPA,MATCH($H3&amp;":"&amp;$D13,CustomWeightsIndex,0))</f>
        <v>0</v>
      </c>
      <c r="Q13" s="48">
        <f>INDEX(CustomWeightsSAT,MATCH($H3&amp;":"&amp;$D13,CustomWeightsIndex,0))</f>
        <v>0</v>
      </c>
      <c r="R13" s="48">
        <f>INDEX(CustomWeightsIntercept,MATCH($H3&amp;":"&amp;$D13,CustomWeightsIndex,0))</f>
        <v>0</v>
      </c>
      <c r="S13" s="48">
        <f>P13*N13+Q13*O13+R13</f>
        <v>0</v>
      </c>
      <c r="T13" s="48">
        <f>INDEX(CoefficientsGPA,MATCH($H3&amp;":"&amp;$K13,CoefficientsIndex,0))</f>
        <v>0</v>
      </c>
      <c r="U13" s="48">
        <f>INDEX(CoefficientsSAT,MATCH($H3&amp;":"&amp;$K13,CoefficientsIndex,0))</f>
        <v>0</v>
      </c>
      <c r="V13" s="48">
        <f>INDEX(CoefficientsIntercept,MATCH($H3&amp;":"&amp;$K13,CoefficientsIndex,0))</f>
        <v>0</v>
      </c>
      <c r="W13" s="48">
        <f>T13*N13+(O13-M13)*U13+V13</f>
        <v>0</v>
      </c>
      <c r="X13" s="48">
        <f>IF(ISNUMBER(S13),S13,W13)</f>
        <v>0</v>
      </c>
      <c r="Y13" s="48">
        <f>IF(ISNUMBER(X13),IF(AND(T13=1,U13=1,V13=1),100,MIN(99,100*EXP(X13)/(1+EXP(X13)))),"N/A")</f>
        <v>0</v>
      </c>
      <c r="Z13" s="48">
        <f>IF(ISNUMBER(Y13),IF(Y13&gt;=99,SureThingLabel,IF(Y13&gt;=95,SecureLabel,IF(Y13&gt;=80,SafetyLabel,IF(Y13&gt;=50,MatchLabel,IF(Y13&gt;=20,ReachLabel,IF(Y13&gt;=10,LongshotLabel,HailMaryLabel)))))),"Other")</f>
        <v>0</v>
      </c>
      <c r="AA13" s="48">
        <f>IF($F13&gt;=J$3,1,0)</f>
        <v>0</v>
      </c>
      <c r="AB13" s="48">
        <f>IF($F13&gt;=J$2,1,0)</f>
        <v>0</v>
      </c>
      <c r="AC13" s="48">
        <f>IF(ISNUMBER(Y13),1-Y13/100,1)</f>
        <v>0</v>
      </c>
      <c r="AD13" s="49">
        <f>IF(AA13=1,AC13,1)</f>
        <v>0</v>
      </c>
      <c r="AE13" s="49">
        <f>IF(AB13=1,AC13,1)</f>
        <v>0</v>
      </c>
      <c r="AF13" s="49">
        <f>IF(L13=1,AD13,1)</f>
        <v>0</v>
      </c>
      <c r="AG13" s="49">
        <f>IF(L13=1,AE13,1)</f>
        <v>0</v>
      </c>
    </row>
    <row r="14" spans="1:33">
      <c r="A14" s="69">
        <f>A13</f>
        <v>0</v>
      </c>
      <c r="B14" s="69">
        <f>B13</f>
        <v>0</v>
      </c>
      <c r="D14" s="18">
        <f>INDEX(ExtraCollegeNCES,MATCH(E14,ExtraCollegeChoice,0))</f>
        <v>0</v>
      </c>
      <c r="E14" s="78"/>
      <c r="F14" s="11">
        <f>IF(ISERROR(D14),"",INDEX(IF(OR(H3="H",H3="B",H3="I",H3="M"),AllCollegeAAHGR,AllCollegeGR),MATCH(D14,AllCollegeNCES,0)))</f>
        <v>0</v>
      </c>
      <c r="G14" s="11">
        <f>IF(ISERROR(D14),"",IF(ISNUMBER(Y14),Y14/100,"N/A"))</f>
        <v>0</v>
      </c>
      <c r="H14" s="11">
        <f>IF(ISERROR(D14),"",Z14)</f>
        <v>0</v>
      </c>
      <c r="I14" s="11">
        <f>IF(ISERROR(D14),"","N/A")</f>
        <v>0</v>
      </c>
      <c r="J14" s="11">
        <f>IF(ISERROR(D14),"",INDEX(AllCollegeMoneyCode,MATCH(D14,AllCollegeNCES,0)))</f>
        <v>0</v>
      </c>
      <c r="K14" s="48">
        <f>INDEX(AllCollegeBarrons,MATCH(D14,AllCollegeNCES,0))</f>
        <v>0</v>
      </c>
      <c r="L14" s="48">
        <f>IF(ISERROR(D14),"",INDEX(AllCollegeMoney,MATCH(D14,AllCollegeNCES,0)))</f>
        <v>0</v>
      </c>
      <c r="M14" s="48">
        <f>INDEX(AllCollegeSAT25,MATCH(D14,AllCollegeNCES,0))</f>
        <v>0</v>
      </c>
      <c r="N14" s="48">
        <f>G3</f>
        <v>0</v>
      </c>
      <c r="O14" s="48">
        <f>F4</f>
        <v>0</v>
      </c>
      <c r="P14" s="48">
        <f>INDEX(CustomWeightsGPA,MATCH($H3&amp;":"&amp;$D14,CustomWeightsIndex,0))</f>
        <v>0</v>
      </c>
      <c r="Q14" s="48">
        <f>INDEX(CustomWeightsSAT,MATCH($H3&amp;":"&amp;$D14,CustomWeightsIndex,0))</f>
        <v>0</v>
      </c>
      <c r="R14" s="48">
        <f>INDEX(CustomWeightsIntercept,MATCH($H3&amp;":"&amp;$D14,CustomWeightsIndex,0))</f>
        <v>0</v>
      </c>
      <c r="S14" s="48">
        <f>P14*N14+Q14*O14+R14</f>
        <v>0</v>
      </c>
      <c r="T14" s="48">
        <f>INDEX(CoefficientsGPA,MATCH($H3&amp;":"&amp;$K14,CoefficientsIndex,0))</f>
        <v>0</v>
      </c>
      <c r="U14" s="48">
        <f>INDEX(CoefficientsSAT,MATCH($H3&amp;":"&amp;$K14,CoefficientsIndex,0))</f>
        <v>0</v>
      </c>
      <c r="V14" s="48">
        <f>INDEX(CoefficientsIntercept,MATCH($H3&amp;":"&amp;$K14,CoefficientsIndex,0))</f>
        <v>0</v>
      </c>
      <c r="W14" s="48">
        <f>T14*N14+(O14-M14)*U14+V14</f>
        <v>0</v>
      </c>
      <c r="X14" s="48">
        <f>IF(ISNUMBER(S14),S14,W14)</f>
        <v>0</v>
      </c>
      <c r="Y14" s="48">
        <f>IF(ISNUMBER(X14),IF(AND(T14=1,U14=1,V14=1),100,MIN(99,100*EXP(X14)/(1+EXP(X14)))),"N/A")</f>
        <v>0</v>
      </c>
      <c r="Z14" s="48">
        <f>IF(ISNUMBER(Y14),IF(Y14&gt;=99,SureThingLabel,IF(Y14&gt;=95,SecureLabel,IF(Y14&gt;=80,SafetyLabel,IF(Y14&gt;=50,MatchLabel,IF(Y14&gt;=20,ReachLabel,IF(Y14&gt;=10,LongshotLabel,HailMaryLabel)))))),"Other")</f>
        <v>0</v>
      </c>
      <c r="AA14" s="48">
        <f>IF($F14&gt;=J$3,1,0)</f>
        <v>0</v>
      </c>
      <c r="AB14" s="48">
        <f>IF($F14&gt;=J$2,1,0)</f>
        <v>0</v>
      </c>
      <c r="AC14" s="48">
        <f>IF(ISNUMBER(Y14),1-Y14/100,1)</f>
        <v>0</v>
      </c>
      <c r="AD14" s="49">
        <f>IF(AA14=1,AC14,1)</f>
        <v>0</v>
      </c>
      <c r="AE14" s="49">
        <f>IF(AB14=1,AC14,1)</f>
        <v>0</v>
      </c>
      <c r="AF14" s="49">
        <f>IF(L14=1,AD14,1)</f>
        <v>0</v>
      </c>
      <c r="AG14" s="49">
        <f>IF(L14=1,AE14,1)</f>
        <v>0</v>
      </c>
    </row>
    <row r="15" spans="1:33">
      <c r="A15" s="69">
        <f>A14</f>
        <v>0</v>
      </c>
      <c r="B15" s="69">
        <f>B14</f>
        <v>0</v>
      </c>
      <c r="D15" s="18">
        <f>INDEX(ExtraCollegeNCES,MATCH(E15,ExtraCollegeChoice,0))</f>
        <v>0</v>
      </c>
      <c r="E15" s="78"/>
      <c r="F15" s="11">
        <f>IF(ISERROR(D15),"",INDEX(IF(OR(H3="H",H3="B",H3="I",H3="M"),AllCollegeAAHGR,AllCollegeGR),MATCH(D15,AllCollegeNCES,0)))</f>
        <v>0</v>
      </c>
      <c r="G15" s="11">
        <f>IF(ISERROR(D15),"",IF(ISNUMBER(Y15),Y15/100,"N/A"))</f>
        <v>0</v>
      </c>
      <c r="H15" s="11">
        <f>IF(ISERROR(D15),"",Z15)</f>
        <v>0</v>
      </c>
      <c r="I15" s="11">
        <f>IF(ISERROR(D15),"","N/A")</f>
        <v>0</v>
      </c>
      <c r="J15" s="11">
        <f>IF(ISERROR(D15),"",INDEX(AllCollegeMoneyCode,MATCH(D15,AllCollegeNCES,0)))</f>
        <v>0</v>
      </c>
      <c r="K15" s="48">
        <f>INDEX(AllCollegeBarrons,MATCH(D15,AllCollegeNCES,0))</f>
        <v>0</v>
      </c>
      <c r="L15" s="48">
        <f>IF(ISERROR(D15),"",INDEX(AllCollegeMoney,MATCH(D15,AllCollegeNCES,0)))</f>
        <v>0</v>
      </c>
      <c r="M15" s="48">
        <f>INDEX(AllCollegeSAT25,MATCH(D15,AllCollegeNCES,0))</f>
        <v>0</v>
      </c>
      <c r="N15" s="48">
        <f>G3</f>
        <v>0</v>
      </c>
      <c r="O15" s="48">
        <f>F4</f>
        <v>0</v>
      </c>
      <c r="P15" s="48">
        <f>INDEX(CustomWeightsGPA,MATCH($H3&amp;":"&amp;$D15,CustomWeightsIndex,0))</f>
        <v>0</v>
      </c>
      <c r="Q15" s="48">
        <f>INDEX(CustomWeightsSAT,MATCH($H3&amp;":"&amp;$D15,CustomWeightsIndex,0))</f>
        <v>0</v>
      </c>
      <c r="R15" s="48">
        <f>INDEX(CustomWeightsIntercept,MATCH($H3&amp;":"&amp;$D15,CustomWeightsIndex,0))</f>
        <v>0</v>
      </c>
      <c r="S15" s="48">
        <f>P15*N15+Q15*O15+R15</f>
        <v>0</v>
      </c>
      <c r="T15" s="48">
        <f>INDEX(CoefficientsGPA,MATCH($H3&amp;":"&amp;$K15,CoefficientsIndex,0))</f>
        <v>0</v>
      </c>
      <c r="U15" s="48">
        <f>INDEX(CoefficientsSAT,MATCH($H3&amp;":"&amp;$K15,CoefficientsIndex,0))</f>
        <v>0</v>
      </c>
      <c r="V15" s="48">
        <f>INDEX(CoefficientsIntercept,MATCH($H3&amp;":"&amp;$K15,CoefficientsIndex,0))</f>
        <v>0</v>
      </c>
      <c r="W15" s="48">
        <f>T15*N15+(O15-M15)*U15+V15</f>
        <v>0</v>
      </c>
      <c r="X15" s="48">
        <f>IF(ISNUMBER(S15),S15,W15)</f>
        <v>0</v>
      </c>
      <c r="Y15" s="48">
        <f>IF(ISNUMBER(X15),IF(AND(T15=1,U15=1,V15=1),100,MIN(99,100*EXP(X15)/(1+EXP(X15)))),"N/A")</f>
        <v>0</v>
      </c>
      <c r="Z15" s="48">
        <f>IF(ISNUMBER(Y15),IF(Y15&gt;=99,SureThingLabel,IF(Y15&gt;=95,SecureLabel,IF(Y15&gt;=80,SafetyLabel,IF(Y15&gt;=50,MatchLabel,IF(Y15&gt;=20,ReachLabel,IF(Y15&gt;=10,LongshotLabel,HailMaryLabel)))))),"Other")</f>
        <v>0</v>
      </c>
      <c r="AA15" s="48">
        <f>IF($F15&gt;=J$3,1,0)</f>
        <v>0</v>
      </c>
      <c r="AB15" s="48">
        <f>IF($F15&gt;=J$2,1,0)</f>
        <v>0</v>
      </c>
      <c r="AC15" s="48">
        <f>IF(ISNUMBER(Y15),1-Y15/100,1)</f>
        <v>0</v>
      </c>
      <c r="AD15" s="49">
        <f>IF(AA15=1,AC15,1)</f>
        <v>0</v>
      </c>
      <c r="AE15" s="49">
        <f>IF(AB15=1,AC15,1)</f>
        <v>0</v>
      </c>
      <c r="AF15" s="49">
        <f>IF(L15=1,AD15,1)</f>
        <v>0</v>
      </c>
      <c r="AG15" s="49">
        <f>IF(L15=1,AE15,1)</f>
        <v>0</v>
      </c>
    </row>
    <row r="16" spans="1:33">
      <c r="A16" s="69">
        <f>A15</f>
        <v>0</v>
      </c>
      <c r="B16" s="69">
        <f>B15</f>
        <v>0</v>
      </c>
      <c r="D16" s="18">
        <f>INDEX(ExtraCollegeNCES,MATCH(E16,ExtraCollegeChoice,0))</f>
        <v>0</v>
      </c>
      <c r="E16" s="78"/>
      <c r="F16" s="11">
        <f>IF(ISERROR(D16),"",INDEX(IF(OR(H3="H",H3="B",H3="I",H3="M"),AllCollegeAAHGR,AllCollegeGR),MATCH(D16,AllCollegeNCES,0)))</f>
        <v>0</v>
      </c>
      <c r="G16" s="11">
        <f>IF(ISERROR(D16),"",IF(ISNUMBER(Y16),Y16/100,"N/A"))</f>
        <v>0</v>
      </c>
      <c r="H16" s="11">
        <f>IF(ISERROR(D16),"",Z16)</f>
        <v>0</v>
      </c>
      <c r="I16" s="11">
        <f>IF(ISERROR(D16),"","N/A")</f>
        <v>0</v>
      </c>
      <c r="J16" s="11">
        <f>IF(ISERROR(D16),"",INDEX(AllCollegeMoneyCode,MATCH(D16,AllCollegeNCES,0)))</f>
        <v>0</v>
      </c>
      <c r="K16" s="48">
        <f>INDEX(AllCollegeBarrons,MATCH(D16,AllCollegeNCES,0))</f>
        <v>0</v>
      </c>
      <c r="L16" s="48">
        <f>IF(ISERROR(D16),"",INDEX(AllCollegeMoney,MATCH(D16,AllCollegeNCES,0)))</f>
        <v>0</v>
      </c>
      <c r="M16" s="48">
        <f>INDEX(AllCollegeSAT25,MATCH(D16,AllCollegeNCES,0))</f>
        <v>0</v>
      </c>
      <c r="N16" s="48">
        <f>G3</f>
        <v>0</v>
      </c>
      <c r="O16" s="48">
        <f>F4</f>
        <v>0</v>
      </c>
      <c r="P16" s="48">
        <f>INDEX(CustomWeightsGPA,MATCH($H3&amp;":"&amp;$D16,CustomWeightsIndex,0))</f>
        <v>0</v>
      </c>
      <c r="Q16" s="48">
        <f>INDEX(CustomWeightsSAT,MATCH($H3&amp;":"&amp;$D16,CustomWeightsIndex,0))</f>
        <v>0</v>
      </c>
      <c r="R16" s="48">
        <f>INDEX(CustomWeightsIntercept,MATCH($H3&amp;":"&amp;$D16,CustomWeightsIndex,0))</f>
        <v>0</v>
      </c>
      <c r="S16" s="48">
        <f>P16*N16+Q16*O16+R16</f>
        <v>0</v>
      </c>
      <c r="T16" s="48">
        <f>INDEX(CoefficientsGPA,MATCH($H3&amp;":"&amp;$K16,CoefficientsIndex,0))</f>
        <v>0</v>
      </c>
      <c r="U16" s="48">
        <f>INDEX(CoefficientsSAT,MATCH($H3&amp;":"&amp;$K16,CoefficientsIndex,0))</f>
        <v>0</v>
      </c>
      <c r="V16" s="48">
        <f>INDEX(CoefficientsIntercept,MATCH($H3&amp;":"&amp;$K16,CoefficientsIndex,0))</f>
        <v>0</v>
      </c>
      <c r="W16" s="48">
        <f>T16*N16+(O16-M16)*U16+V16</f>
        <v>0</v>
      </c>
      <c r="X16" s="48">
        <f>IF(ISNUMBER(S16),S16,W16)</f>
        <v>0</v>
      </c>
      <c r="Y16" s="48">
        <f>IF(ISNUMBER(X16),IF(AND(T16=1,U16=1,V16=1),100,MIN(99,100*EXP(X16)/(1+EXP(X16)))),"N/A")</f>
        <v>0</v>
      </c>
      <c r="Z16" s="48">
        <f>IF(ISNUMBER(Y16),IF(Y16&gt;=99,SureThingLabel,IF(Y16&gt;=95,SecureLabel,IF(Y16&gt;=80,SafetyLabel,IF(Y16&gt;=50,MatchLabel,IF(Y16&gt;=20,ReachLabel,IF(Y16&gt;=10,LongshotLabel,HailMaryLabel)))))),"Other")</f>
        <v>0</v>
      </c>
      <c r="AA16" s="48">
        <f>IF($F16&gt;=J$3,1,0)</f>
        <v>0</v>
      </c>
      <c r="AB16" s="48">
        <f>IF($F16&gt;=J$2,1,0)</f>
        <v>0</v>
      </c>
      <c r="AC16" s="48">
        <f>IF(ISNUMBER(Y16),1-Y16/100,1)</f>
        <v>0</v>
      </c>
      <c r="AD16" s="49">
        <f>IF(AA16=1,AC16,1)</f>
        <v>0</v>
      </c>
      <c r="AE16" s="49">
        <f>IF(AB16=1,AC16,1)</f>
        <v>0</v>
      </c>
      <c r="AF16" s="49">
        <f>IF(L16=1,AD16,1)</f>
        <v>0</v>
      </c>
      <c r="AG16" s="49">
        <f>IF(L16=1,AE16,1)</f>
        <v>0</v>
      </c>
    </row>
    <row r="17" spans="1:33">
      <c r="A17" s="69">
        <f>A16</f>
        <v>0</v>
      </c>
      <c r="B17" s="69">
        <f>B16</f>
        <v>0</v>
      </c>
      <c r="D17" s="18">
        <f>INDEX(ExtraCollegeNCES,MATCH(E17,ExtraCollegeChoice,0))</f>
        <v>0</v>
      </c>
      <c r="E17" s="78"/>
      <c r="F17" s="11">
        <f>IF(ISERROR(D17),"",INDEX(IF(OR(H3="H",H3="B",H3="I",H3="M"),AllCollegeAAHGR,AllCollegeGR),MATCH(D17,AllCollegeNCES,0)))</f>
        <v>0</v>
      </c>
      <c r="G17" s="11">
        <f>IF(ISERROR(D17),"",IF(ISNUMBER(Y17),Y17/100,"N/A"))</f>
        <v>0</v>
      </c>
      <c r="H17" s="11">
        <f>IF(ISERROR(D17),"",Z17)</f>
        <v>0</v>
      </c>
      <c r="I17" s="11">
        <f>IF(ISERROR(D17),"","N/A")</f>
        <v>0</v>
      </c>
      <c r="J17" s="11">
        <f>IF(ISERROR(D17),"",INDEX(AllCollegeMoneyCode,MATCH(D17,AllCollegeNCES,0)))</f>
        <v>0</v>
      </c>
      <c r="K17" s="48">
        <f>INDEX(AllCollegeBarrons,MATCH(D17,AllCollegeNCES,0))</f>
        <v>0</v>
      </c>
      <c r="L17" s="48">
        <f>IF(ISERROR(D17),"",INDEX(AllCollegeMoney,MATCH(D17,AllCollegeNCES,0)))</f>
        <v>0</v>
      </c>
      <c r="M17" s="48">
        <f>INDEX(AllCollegeSAT25,MATCH(D17,AllCollegeNCES,0))</f>
        <v>0</v>
      </c>
      <c r="N17" s="48">
        <f>G3</f>
        <v>0</v>
      </c>
      <c r="O17" s="48">
        <f>F4</f>
        <v>0</v>
      </c>
      <c r="P17" s="48">
        <f>INDEX(CustomWeightsGPA,MATCH($H3&amp;":"&amp;$D17,CustomWeightsIndex,0))</f>
        <v>0</v>
      </c>
      <c r="Q17" s="48">
        <f>INDEX(CustomWeightsSAT,MATCH($H3&amp;":"&amp;$D17,CustomWeightsIndex,0))</f>
        <v>0</v>
      </c>
      <c r="R17" s="48">
        <f>INDEX(CustomWeightsIntercept,MATCH($H3&amp;":"&amp;$D17,CustomWeightsIndex,0))</f>
        <v>0</v>
      </c>
      <c r="S17" s="48">
        <f>P17*N17+Q17*O17+R17</f>
        <v>0</v>
      </c>
      <c r="T17" s="48">
        <f>INDEX(CoefficientsGPA,MATCH($H3&amp;":"&amp;$K17,CoefficientsIndex,0))</f>
        <v>0</v>
      </c>
      <c r="U17" s="48">
        <f>INDEX(CoefficientsSAT,MATCH($H3&amp;":"&amp;$K17,CoefficientsIndex,0))</f>
        <v>0</v>
      </c>
      <c r="V17" s="48">
        <f>INDEX(CoefficientsIntercept,MATCH($H3&amp;":"&amp;$K17,CoefficientsIndex,0))</f>
        <v>0</v>
      </c>
      <c r="W17" s="48">
        <f>T17*N17+(O17-M17)*U17+V17</f>
        <v>0</v>
      </c>
      <c r="X17" s="48">
        <f>IF(ISNUMBER(S17),S17,W17)</f>
        <v>0</v>
      </c>
      <c r="Y17" s="48">
        <f>IF(ISNUMBER(X17),IF(AND(T17=1,U17=1,V17=1),100,MIN(99,100*EXP(X17)/(1+EXP(X17)))),"N/A")</f>
        <v>0</v>
      </c>
      <c r="Z17" s="48">
        <f>IF(ISNUMBER(Y17),IF(Y17&gt;=99,SureThingLabel,IF(Y17&gt;=95,SecureLabel,IF(Y17&gt;=80,SafetyLabel,IF(Y17&gt;=50,MatchLabel,IF(Y17&gt;=20,ReachLabel,IF(Y17&gt;=10,LongshotLabel,HailMaryLabel)))))),"Other")</f>
        <v>0</v>
      </c>
      <c r="AA17" s="48">
        <f>IF($F17&gt;=J$3,1,0)</f>
        <v>0</v>
      </c>
      <c r="AB17" s="48">
        <f>IF($F17&gt;=J$2,1,0)</f>
        <v>0</v>
      </c>
      <c r="AC17" s="48">
        <f>IF(ISNUMBER(Y17),1-Y17/100,1)</f>
        <v>0</v>
      </c>
      <c r="AD17" s="49">
        <f>IF(AA17=1,AC17,1)</f>
        <v>0</v>
      </c>
      <c r="AE17" s="49">
        <f>IF(AB17=1,AC17,1)</f>
        <v>0</v>
      </c>
      <c r="AF17" s="49">
        <f>IF(L17=1,AD17,1)</f>
        <v>0</v>
      </c>
      <c r="AG17" s="49">
        <f>IF(L17=1,AE17,1)</f>
        <v>0</v>
      </c>
    </row>
    <row r="18" spans="1:33">
      <c r="A18" s="69">
        <f>A17</f>
        <v>0</v>
      </c>
      <c r="B18" s="69">
        <f>B17</f>
        <v>0</v>
      </c>
      <c r="D18" s="18">
        <f>INDEX(ExtraCollegeNCES,MATCH(E18,ExtraCollegeChoice,0))</f>
        <v>0</v>
      </c>
      <c r="E18" s="78"/>
      <c r="F18" s="11">
        <f>IF(ISERROR(D18),"",INDEX(IF(OR(H3="H",H3="B",H3="I",H3="M"),AllCollegeAAHGR,AllCollegeGR),MATCH(D18,AllCollegeNCES,0)))</f>
        <v>0</v>
      </c>
      <c r="G18" s="11">
        <f>IF(ISERROR(D18),"",IF(ISNUMBER(Y18),Y18/100,"N/A"))</f>
        <v>0</v>
      </c>
      <c r="H18" s="11">
        <f>IF(ISERROR(D18),"",Z18)</f>
        <v>0</v>
      </c>
      <c r="I18" s="11">
        <f>IF(ISERROR(D18),"","N/A")</f>
        <v>0</v>
      </c>
      <c r="J18" s="11">
        <f>IF(ISERROR(D18),"",INDEX(AllCollegeMoneyCode,MATCH(D18,AllCollegeNCES,0)))</f>
        <v>0</v>
      </c>
      <c r="K18" s="48">
        <f>INDEX(AllCollegeBarrons,MATCH(D18,AllCollegeNCES,0))</f>
        <v>0</v>
      </c>
      <c r="L18" s="48">
        <f>IF(ISERROR(D18),"",INDEX(AllCollegeMoney,MATCH(D18,AllCollegeNCES,0)))</f>
        <v>0</v>
      </c>
      <c r="M18" s="48">
        <f>INDEX(AllCollegeSAT25,MATCH(D18,AllCollegeNCES,0))</f>
        <v>0</v>
      </c>
      <c r="N18" s="48">
        <f>G3</f>
        <v>0</v>
      </c>
      <c r="O18" s="48">
        <f>F4</f>
        <v>0</v>
      </c>
      <c r="P18" s="48">
        <f>INDEX(CustomWeightsGPA,MATCH($H3&amp;":"&amp;$D18,CustomWeightsIndex,0))</f>
        <v>0</v>
      </c>
      <c r="Q18" s="48">
        <f>INDEX(CustomWeightsSAT,MATCH($H3&amp;":"&amp;$D18,CustomWeightsIndex,0))</f>
        <v>0</v>
      </c>
      <c r="R18" s="48">
        <f>INDEX(CustomWeightsIntercept,MATCH($H3&amp;":"&amp;$D18,CustomWeightsIndex,0))</f>
        <v>0</v>
      </c>
      <c r="S18" s="48">
        <f>P18*N18+Q18*O18+R18</f>
        <v>0</v>
      </c>
      <c r="T18" s="48">
        <f>INDEX(CoefficientsGPA,MATCH($H3&amp;":"&amp;$K18,CoefficientsIndex,0))</f>
        <v>0</v>
      </c>
      <c r="U18" s="48">
        <f>INDEX(CoefficientsSAT,MATCH($H3&amp;":"&amp;$K18,CoefficientsIndex,0))</f>
        <v>0</v>
      </c>
      <c r="V18" s="48">
        <f>INDEX(CoefficientsIntercept,MATCH($H3&amp;":"&amp;$K18,CoefficientsIndex,0))</f>
        <v>0</v>
      </c>
      <c r="W18" s="48">
        <f>T18*N18+(O18-M18)*U18+V18</f>
        <v>0</v>
      </c>
      <c r="X18" s="48">
        <f>IF(ISNUMBER(S18),S18,W18)</f>
        <v>0</v>
      </c>
      <c r="Y18" s="48">
        <f>IF(ISNUMBER(X18),IF(AND(T18=1,U18=1,V18=1),100,MIN(99,100*EXP(X18)/(1+EXP(X18)))),"N/A")</f>
        <v>0</v>
      </c>
      <c r="Z18" s="48">
        <f>IF(ISNUMBER(Y18),IF(Y18&gt;=99,SureThingLabel,IF(Y18&gt;=95,SecureLabel,IF(Y18&gt;=80,SafetyLabel,IF(Y18&gt;=50,MatchLabel,IF(Y18&gt;=20,ReachLabel,IF(Y18&gt;=10,LongshotLabel,HailMaryLabel)))))),"Other")</f>
        <v>0</v>
      </c>
      <c r="AA18" s="48">
        <f>IF($F18&gt;=J$3,1,0)</f>
        <v>0</v>
      </c>
      <c r="AB18" s="48">
        <f>IF($F18&gt;=J$2,1,0)</f>
        <v>0</v>
      </c>
      <c r="AC18" s="48">
        <f>IF(ISNUMBER(Y18),1-Y18/100,1)</f>
        <v>0</v>
      </c>
      <c r="AD18" s="49">
        <f>IF(AA18=1,AC18,1)</f>
        <v>0</v>
      </c>
      <c r="AE18" s="49">
        <f>IF(AB18=1,AC18,1)</f>
        <v>0</v>
      </c>
      <c r="AF18" s="49">
        <f>IF(L18=1,AD18,1)</f>
        <v>0</v>
      </c>
      <c r="AG18" s="49">
        <f>IF(L18=1,AE18,1)</f>
        <v>0</v>
      </c>
    </row>
    <row r="19" spans="1:33">
      <c r="A19" s="69">
        <f>A18</f>
        <v>0</v>
      </c>
      <c r="B19" s="69">
        <f>B18</f>
        <v>0</v>
      </c>
      <c r="D19" s="18">
        <f>INDEX(ExtraCollegeNCES,MATCH(E19,ExtraCollegeChoice,0))</f>
        <v>0</v>
      </c>
      <c r="E19" s="78"/>
      <c r="F19" s="11">
        <f>IF(ISERROR(D19),"",INDEX(IF(OR(H3="H",H3="B",H3="I",H3="M"),AllCollegeAAHGR,AllCollegeGR),MATCH(D19,AllCollegeNCES,0)))</f>
        <v>0</v>
      </c>
      <c r="G19" s="11">
        <f>IF(ISERROR(D19),"",IF(ISNUMBER(Y19),Y19/100,"N/A"))</f>
        <v>0</v>
      </c>
      <c r="H19" s="11">
        <f>IF(ISERROR(D19),"",Z19)</f>
        <v>0</v>
      </c>
      <c r="I19" s="11">
        <f>IF(ISERROR(D19),"","N/A")</f>
        <v>0</v>
      </c>
      <c r="J19" s="11">
        <f>IF(ISERROR(D19),"",INDEX(AllCollegeMoneyCode,MATCH(D19,AllCollegeNCES,0)))</f>
        <v>0</v>
      </c>
      <c r="K19" s="48">
        <f>INDEX(AllCollegeBarrons,MATCH(D19,AllCollegeNCES,0))</f>
        <v>0</v>
      </c>
      <c r="L19" s="48">
        <f>IF(ISERROR(D19),"",INDEX(AllCollegeMoney,MATCH(D19,AllCollegeNCES,0)))</f>
        <v>0</v>
      </c>
      <c r="M19" s="48">
        <f>INDEX(AllCollegeSAT25,MATCH(D19,AllCollegeNCES,0))</f>
        <v>0</v>
      </c>
      <c r="N19" s="48">
        <f>G3</f>
        <v>0</v>
      </c>
      <c r="O19" s="48">
        <f>F4</f>
        <v>0</v>
      </c>
      <c r="P19" s="48">
        <f>INDEX(CustomWeightsGPA,MATCH($H3&amp;":"&amp;$D19,CustomWeightsIndex,0))</f>
        <v>0</v>
      </c>
      <c r="Q19" s="48">
        <f>INDEX(CustomWeightsSAT,MATCH($H3&amp;":"&amp;$D19,CustomWeightsIndex,0))</f>
        <v>0</v>
      </c>
      <c r="R19" s="48">
        <f>INDEX(CustomWeightsIntercept,MATCH($H3&amp;":"&amp;$D19,CustomWeightsIndex,0))</f>
        <v>0</v>
      </c>
      <c r="S19" s="48">
        <f>P19*N19+Q19*O19+R19</f>
        <v>0</v>
      </c>
      <c r="T19" s="48">
        <f>INDEX(CoefficientsGPA,MATCH($H3&amp;":"&amp;$K19,CoefficientsIndex,0))</f>
        <v>0</v>
      </c>
      <c r="U19" s="48">
        <f>INDEX(CoefficientsSAT,MATCH($H3&amp;":"&amp;$K19,CoefficientsIndex,0))</f>
        <v>0</v>
      </c>
      <c r="V19" s="48">
        <f>INDEX(CoefficientsIntercept,MATCH($H3&amp;":"&amp;$K19,CoefficientsIndex,0))</f>
        <v>0</v>
      </c>
      <c r="W19" s="48">
        <f>T19*N19+(O19-M19)*U19+V19</f>
        <v>0</v>
      </c>
      <c r="X19" s="48">
        <f>IF(ISNUMBER(S19),S19,W19)</f>
        <v>0</v>
      </c>
      <c r="Y19" s="48">
        <f>IF(ISNUMBER(X19),IF(AND(T19=1,U19=1,V19=1),100,MIN(99,100*EXP(X19)/(1+EXP(X19)))),"N/A")</f>
        <v>0</v>
      </c>
      <c r="Z19" s="48">
        <f>IF(ISNUMBER(Y19),IF(Y19&gt;=99,SureThingLabel,IF(Y19&gt;=95,SecureLabel,IF(Y19&gt;=80,SafetyLabel,IF(Y19&gt;=50,MatchLabel,IF(Y19&gt;=20,ReachLabel,IF(Y19&gt;=10,LongshotLabel,HailMaryLabel)))))),"Other")</f>
        <v>0</v>
      </c>
      <c r="AA19" s="48">
        <f>IF($F19&gt;=J$3,1,0)</f>
        <v>0</v>
      </c>
      <c r="AB19" s="48">
        <f>IF($F19&gt;=J$2,1,0)</f>
        <v>0</v>
      </c>
      <c r="AC19" s="48">
        <f>IF(ISNUMBER(Y19),1-Y19/100,1)</f>
        <v>0</v>
      </c>
      <c r="AD19" s="49">
        <f>IF(AA19=1,AC19,1)</f>
        <v>0</v>
      </c>
      <c r="AE19" s="49">
        <f>IF(AB19=1,AC19,1)</f>
        <v>0</v>
      </c>
      <c r="AF19" s="49">
        <f>IF(L19=1,AD19,1)</f>
        <v>0</v>
      </c>
      <c r="AG19" s="49">
        <f>IF(L19=1,AE19,1)</f>
        <v>0</v>
      </c>
    </row>
    <row r="20" spans="1:33">
      <c r="A20" s="69">
        <f>A19</f>
        <v>0</v>
      </c>
      <c r="B20" s="69">
        <f>B19</f>
        <v>0</v>
      </c>
      <c r="D20" s="18">
        <f>INDEX(ExtraCollegeNCES,MATCH(E20,ExtraCollegeChoice,0))</f>
        <v>0</v>
      </c>
      <c r="E20" s="78"/>
      <c r="F20" s="11">
        <f>IF(ISERROR(D20),"",INDEX(IF(OR(H3="H",H3="B",H3="I",H3="M"),AllCollegeAAHGR,AllCollegeGR),MATCH(D20,AllCollegeNCES,0)))</f>
        <v>0</v>
      </c>
      <c r="G20" s="11">
        <f>IF(ISERROR(D20),"",IF(ISNUMBER(Y20),Y20/100,"N/A"))</f>
        <v>0</v>
      </c>
      <c r="H20" s="11">
        <f>IF(ISERROR(D20),"",Z20)</f>
        <v>0</v>
      </c>
      <c r="I20" s="11">
        <f>IF(ISERROR(D20),"","N/A")</f>
        <v>0</v>
      </c>
      <c r="J20" s="11">
        <f>IF(ISERROR(D20),"",INDEX(AllCollegeMoneyCode,MATCH(D20,AllCollegeNCES,0)))</f>
        <v>0</v>
      </c>
      <c r="K20" s="48">
        <f>INDEX(AllCollegeBarrons,MATCH(D20,AllCollegeNCES,0))</f>
        <v>0</v>
      </c>
      <c r="L20" s="48">
        <f>IF(ISERROR(D20),"",INDEX(AllCollegeMoney,MATCH(D20,AllCollegeNCES,0)))</f>
        <v>0</v>
      </c>
      <c r="M20" s="48">
        <f>INDEX(AllCollegeSAT25,MATCH(D20,AllCollegeNCES,0))</f>
        <v>0</v>
      </c>
      <c r="N20" s="48">
        <f>G3</f>
        <v>0</v>
      </c>
      <c r="O20" s="48">
        <f>F4</f>
        <v>0</v>
      </c>
      <c r="P20" s="48">
        <f>INDEX(CustomWeightsGPA,MATCH($H3&amp;":"&amp;$D20,CustomWeightsIndex,0))</f>
        <v>0</v>
      </c>
      <c r="Q20" s="48">
        <f>INDEX(CustomWeightsSAT,MATCH($H3&amp;":"&amp;$D20,CustomWeightsIndex,0))</f>
        <v>0</v>
      </c>
      <c r="R20" s="48">
        <f>INDEX(CustomWeightsIntercept,MATCH($H3&amp;":"&amp;$D20,CustomWeightsIndex,0))</f>
        <v>0</v>
      </c>
      <c r="S20" s="48">
        <f>P20*N20+Q20*O20+R20</f>
        <v>0</v>
      </c>
      <c r="T20" s="48">
        <f>INDEX(CoefficientsGPA,MATCH($H3&amp;":"&amp;$K20,CoefficientsIndex,0))</f>
        <v>0</v>
      </c>
      <c r="U20" s="48">
        <f>INDEX(CoefficientsSAT,MATCH($H3&amp;":"&amp;$K20,CoefficientsIndex,0))</f>
        <v>0</v>
      </c>
      <c r="V20" s="48">
        <f>INDEX(CoefficientsIntercept,MATCH($H3&amp;":"&amp;$K20,CoefficientsIndex,0))</f>
        <v>0</v>
      </c>
      <c r="W20" s="48">
        <f>T20*N20+(O20-M20)*U20+V20</f>
        <v>0</v>
      </c>
      <c r="X20" s="48">
        <f>IF(ISNUMBER(S20),S20,W20)</f>
        <v>0</v>
      </c>
      <c r="Y20" s="48">
        <f>IF(ISNUMBER(X20),IF(AND(T20=1,U20=1,V20=1),100,MIN(99,100*EXP(X20)/(1+EXP(X20)))),"N/A")</f>
        <v>0</v>
      </c>
      <c r="Z20" s="48">
        <f>IF(ISNUMBER(Y20),IF(Y20&gt;=99,SureThingLabel,IF(Y20&gt;=95,SecureLabel,IF(Y20&gt;=80,SafetyLabel,IF(Y20&gt;=50,MatchLabel,IF(Y20&gt;=20,ReachLabel,IF(Y20&gt;=10,LongshotLabel,HailMaryLabel)))))),"Other")</f>
        <v>0</v>
      </c>
      <c r="AA20" s="48">
        <f>IF($F20&gt;=J$3,1,0)</f>
        <v>0</v>
      </c>
      <c r="AB20" s="48">
        <f>IF($F20&gt;=J$2,1,0)</f>
        <v>0</v>
      </c>
      <c r="AC20" s="48">
        <f>IF(ISNUMBER(Y20),1-Y20/100,1)</f>
        <v>0</v>
      </c>
      <c r="AD20" s="49">
        <f>IF(AA20=1,AC20,1)</f>
        <v>0</v>
      </c>
      <c r="AE20" s="49">
        <f>IF(AB20=1,AC20,1)</f>
        <v>0</v>
      </c>
      <c r="AF20" s="49">
        <f>IF(L20=1,AD20,1)</f>
        <v>0</v>
      </c>
      <c r="AG20" s="49">
        <f>IF(L20=1,AE20,1)</f>
        <v>0</v>
      </c>
    </row>
    <row r="21" spans="1:33">
      <c r="A21" s="69">
        <f>A20</f>
        <v>0</v>
      </c>
      <c r="B21" s="69">
        <f>B20</f>
        <v>0</v>
      </c>
      <c r="D21" s="18">
        <f>INDEX(ExtraCollegeNCES,MATCH(E21,ExtraCollegeChoice,0))</f>
        <v>0</v>
      </c>
      <c r="E21" s="78"/>
      <c r="F21" s="11">
        <f>IF(ISERROR(D21),"",INDEX(IF(OR(H3="H",H3="B",H3="I",H3="M"),AllCollegeAAHGR,AllCollegeGR),MATCH(D21,AllCollegeNCES,0)))</f>
        <v>0</v>
      </c>
      <c r="G21" s="11">
        <f>IF(ISERROR(D21),"",IF(ISNUMBER(Y21),Y21/100,"N/A"))</f>
        <v>0</v>
      </c>
      <c r="H21" s="11">
        <f>IF(ISERROR(D21),"",Z21)</f>
        <v>0</v>
      </c>
      <c r="I21" s="11">
        <f>IF(ISERROR(D21),"","N/A")</f>
        <v>0</v>
      </c>
      <c r="J21" s="11">
        <f>IF(ISERROR(D21),"",INDEX(AllCollegeMoneyCode,MATCH(D21,AllCollegeNCES,0)))</f>
        <v>0</v>
      </c>
      <c r="K21" s="48">
        <f>INDEX(AllCollegeBarrons,MATCH(D21,AllCollegeNCES,0))</f>
        <v>0</v>
      </c>
      <c r="L21" s="48">
        <f>IF(ISERROR(D21),"",INDEX(AllCollegeMoney,MATCH(D21,AllCollegeNCES,0)))</f>
        <v>0</v>
      </c>
      <c r="M21" s="48">
        <f>INDEX(AllCollegeSAT25,MATCH(D21,AllCollegeNCES,0))</f>
        <v>0</v>
      </c>
      <c r="N21" s="48">
        <f>G3</f>
        <v>0</v>
      </c>
      <c r="O21" s="48">
        <f>F4</f>
        <v>0</v>
      </c>
      <c r="P21" s="48">
        <f>INDEX(CustomWeightsGPA,MATCH($H3&amp;":"&amp;$D21,CustomWeightsIndex,0))</f>
        <v>0</v>
      </c>
      <c r="Q21" s="48">
        <f>INDEX(CustomWeightsSAT,MATCH($H3&amp;":"&amp;$D21,CustomWeightsIndex,0))</f>
        <v>0</v>
      </c>
      <c r="R21" s="48">
        <f>INDEX(CustomWeightsIntercept,MATCH($H3&amp;":"&amp;$D21,CustomWeightsIndex,0))</f>
        <v>0</v>
      </c>
      <c r="S21" s="48">
        <f>P21*N21+Q21*O21+R21</f>
        <v>0</v>
      </c>
      <c r="T21" s="48">
        <f>INDEX(CoefficientsGPA,MATCH($H3&amp;":"&amp;$K21,CoefficientsIndex,0))</f>
        <v>0</v>
      </c>
      <c r="U21" s="48">
        <f>INDEX(CoefficientsSAT,MATCH($H3&amp;":"&amp;$K21,CoefficientsIndex,0))</f>
        <v>0</v>
      </c>
      <c r="V21" s="48">
        <f>INDEX(CoefficientsIntercept,MATCH($H3&amp;":"&amp;$K21,CoefficientsIndex,0))</f>
        <v>0</v>
      </c>
      <c r="W21" s="48">
        <f>T21*N21+(O21-M21)*U21+V21</f>
        <v>0</v>
      </c>
      <c r="X21" s="48">
        <f>IF(ISNUMBER(S21),S21,W21)</f>
        <v>0</v>
      </c>
      <c r="Y21" s="48">
        <f>IF(ISNUMBER(X21),IF(AND(T21=1,U21=1,V21=1),100,MIN(99,100*EXP(X21)/(1+EXP(X21)))),"N/A")</f>
        <v>0</v>
      </c>
      <c r="Z21" s="48">
        <f>IF(ISNUMBER(Y21),IF(Y21&gt;=99,SureThingLabel,IF(Y21&gt;=95,SecureLabel,IF(Y21&gt;=80,SafetyLabel,IF(Y21&gt;=50,MatchLabel,IF(Y21&gt;=20,ReachLabel,IF(Y21&gt;=10,LongshotLabel,HailMaryLabel)))))),"Other")</f>
        <v>0</v>
      </c>
      <c r="AA21" s="48">
        <f>IF($F21&gt;=J$3,1,0)</f>
        <v>0</v>
      </c>
      <c r="AB21" s="48">
        <f>IF($F21&gt;=J$2,1,0)</f>
        <v>0</v>
      </c>
      <c r="AC21" s="48">
        <f>IF(ISNUMBER(Y21),1-Y21/100,1)</f>
        <v>0</v>
      </c>
      <c r="AD21" s="49">
        <f>IF(AA21=1,AC21,1)</f>
        <v>0</v>
      </c>
      <c r="AE21" s="49">
        <f>IF(AB21=1,AC21,1)</f>
        <v>0</v>
      </c>
      <c r="AF21" s="49">
        <f>IF(L21=1,AD21,1)</f>
        <v>0</v>
      </c>
      <c r="AG21" s="49">
        <f>IF(L21=1,AE21,1)</f>
        <v>0</v>
      </c>
    </row>
    <row r="22" spans="1:33">
      <c r="A22" s="69">
        <f>A21</f>
        <v>0</v>
      </c>
      <c r="B22" s="69">
        <f>B21</f>
        <v>0</v>
      </c>
      <c r="D22" s="18">
        <f>INDEX(ExtraCollegeNCES,MATCH(E22,ExtraCollegeChoice,0))</f>
        <v>0</v>
      </c>
      <c r="E22" s="78"/>
      <c r="F22" s="11">
        <f>IF(ISERROR(D22),"",INDEX(IF(OR(H3="H",H3="B",H3="I",H3="M"),AllCollegeAAHGR,AllCollegeGR),MATCH(D22,AllCollegeNCES,0)))</f>
        <v>0</v>
      </c>
      <c r="G22" s="11">
        <f>IF(ISERROR(D22),"",IF(ISNUMBER(Y22),Y22/100,"N/A"))</f>
        <v>0</v>
      </c>
      <c r="H22" s="11">
        <f>IF(ISERROR(D22),"",Z22)</f>
        <v>0</v>
      </c>
      <c r="I22" s="11">
        <f>IF(ISERROR(D22),"","N/A")</f>
        <v>0</v>
      </c>
      <c r="J22" s="11">
        <f>IF(ISERROR(D22),"",INDEX(AllCollegeMoneyCode,MATCH(D22,AllCollegeNCES,0)))</f>
        <v>0</v>
      </c>
      <c r="K22" s="48">
        <f>INDEX(AllCollegeBarrons,MATCH(D22,AllCollegeNCES,0))</f>
        <v>0</v>
      </c>
      <c r="L22" s="48">
        <f>IF(ISERROR(D22),"",INDEX(AllCollegeMoney,MATCH(D22,AllCollegeNCES,0)))</f>
        <v>0</v>
      </c>
      <c r="M22" s="48">
        <f>INDEX(AllCollegeSAT25,MATCH(D22,AllCollegeNCES,0))</f>
        <v>0</v>
      </c>
      <c r="N22" s="48">
        <f>G3</f>
        <v>0</v>
      </c>
      <c r="O22" s="48">
        <f>F4</f>
        <v>0</v>
      </c>
      <c r="P22" s="48">
        <f>INDEX(CustomWeightsGPA,MATCH($H3&amp;":"&amp;$D22,CustomWeightsIndex,0))</f>
        <v>0</v>
      </c>
      <c r="Q22" s="48">
        <f>INDEX(CustomWeightsSAT,MATCH($H3&amp;":"&amp;$D22,CustomWeightsIndex,0))</f>
        <v>0</v>
      </c>
      <c r="R22" s="48">
        <f>INDEX(CustomWeightsIntercept,MATCH($H3&amp;":"&amp;$D22,CustomWeightsIndex,0))</f>
        <v>0</v>
      </c>
      <c r="S22" s="48">
        <f>P22*N22+Q22*O22+R22</f>
        <v>0</v>
      </c>
      <c r="T22" s="48">
        <f>INDEX(CoefficientsGPA,MATCH($H3&amp;":"&amp;$K22,CoefficientsIndex,0))</f>
        <v>0</v>
      </c>
      <c r="U22" s="48">
        <f>INDEX(CoefficientsSAT,MATCH($H3&amp;":"&amp;$K22,CoefficientsIndex,0))</f>
        <v>0</v>
      </c>
      <c r="V22" s="48">
        <f>INDEX(CoefficientsIntercept,MATCH($H3&amp;":"&amp;$K22,CoefficientsIndex,0))</f>
        <v>0</v>
      </c>
      <c r="W22" s="48">
        <f>T22*N22+(O22-M22)*U22+V22</f>
        <v>0</v>
      </c>
      <c r="X22" s="48">
        <f>IF(ISNUMBER(S22),S22,W22)</f>
        <v>0</v>
      </c>
      <c r="Y22" s="48">
        <f>IF(ISNUMBER(X22),IF(AND(T22=1,U22=1,V22=1),100,MIN(99,100*EXP(X22)/(1+EXP(X22)))),"N/A")</f>
        <v>0</v>
      </c>
      <c r="Z22" s="48">
        <f>IF(ISNUMBER(Y22),IF(Y22&gt;=99,SureThingLabel,IF(Y22&gt;=95,SecureLabel,IF(Y22&gt;=80,SafetyLabel,IF(Y22&gt;=50,MatchLabel,IF(Y22&gt;=20,ReachLabel,IF(Y22&gt;=10,LongshotLabel,HailMaryLabel)))))),"Other")</f>
        <v>0</v>
      </c>
      <c r="AA22" s="48">
        <f>IF($F22&gt;=J$3,1,0)</f>
        <v>0</v>
      </c>
      <c r="AB22" s="48">
        <f>IF($F22&gt;=J$2,1,0)</f>
        <v>0</v>
      </c>
      <c r="AC22" s="48">
        <f>IF(ISNUMBER(Y22),1-Y22/100,1)</f>
        <v>0</v>
      </c>
      <c r="AD22" s="49">
        <f>IF(AA22=1,AC22,1)</f>
        <v>0</v>
      </c>
      <c r="AE22" s="49">
        <f>IF(AB22=1,AC22,1)</f>
        <v>0</v>
      </c>
      <c r="AF22" s="49">
        <f>IF(L22=1,AD22,1)</f>
        <v>0</v>
      </c>
      <c r="AG22" s="49">
        <f>IF(L22=1,AE22,1)</f>
        <v>0</v>
      </c>
    </row>
    <row r="23" spans="1:33">
      <c r="A23" s="69">
        <f>A22</f>
        <v>0</v>
      </c>
      <c r="B23" s="69">
        <f>B22</f>
        <v>0</v>
      </c>
      <c r="D23" s="18">
        <f>INDEX(ExtraCollegeNCES,MATCH(E23,ExtraCollegeChoice,0))</f>
        <v>0</v>
      </c>
      <c r="E23" s="78"/>
      <c r="F23" s="11">
        <f>IF(ISERROR(D23),"",INDEX(IF(OR(H3="H",H3="B",H3="I",H3="M"),AllCollegeAAHGR,AllCollegeGR),MATCH(D23,AllCollegeNCES,0)))</f>
        <v>0</v>
      </c>
      <c r="G23" s="11">
        <f>IF(ISERROR(D23),"",IF(ISNUMBER(Y23),Y23/100,"N/A"))</f>
        <v>0</v>
      </c>
      <c r="H23" s="11">
        <f>IF(ISERROR(D23),"",Z23)</f>
        <v>0</v>
      </c>
      <c r="I23" s="11">
        <f>IF(ISERROR(D23),"","N/A")</f>
        <v>0</v>
      </c>
      <c r="J23" s="11">
        <f>IF(ISERROR(D23),"",INDEX(AllCollegeMoneyCode,MATCH(D23,AllCollegeNCES,0)))</f>
        <v>0</v>
      </c>
      <c r="K23" s="48">
        <f>INDEX(AllCollegeBarrons,MATCH(D23,AllCollegeNCES,0))</f>
        <v>0</v>
      </c>
      <c r="L23" s="48">
        <f>IF(ISERROR(D23),"",INDEX(AllCollegeMoney,MATCH(D23,AllCollegeNCES,0)))</f>
        <v>0</v>
      </c>
      <c r="M23" s="48">
        <f>INDEX(AllCollegeSAT25,MATCH(D23,AllCollegeNCES,0))</f>
        <v>0</v>
      </c>
      <c r="N23" s="48">
        <f>G3</f>
        <v>0</v>
      </c>
      <c r="O23" s="48">
        <f>F4</f>
        <v>0</v>
      </c>
      <c r="P23" s="48">
        <f>INDEX(CustomWeightsGPA,MATCH($H3&amp;":"&amp;$D23,CustomWeightsIndex,0))</f>
        <v>0</v>
      </c>
      <c r="Q23" s="48">
        <f>INDEX(CustomWeightsSAT,MATCH($H3&amp;":"&amp;$D23,CustomWeightsIndex,0))</f>
        <v>0</v>
      </c>
      <c r="R23" s="48">
        <f>INDEX(CustomWeightsIntercept,MATCH($H3&amp;":"&amp;$D23,CustomWeightsIndex,0))</f>
        <v>0</v>
      </c>
      <c r="S23" s="48">
        <f>P23*N23+Q23*O23+R23</f>
        <v>0</v>
      </c>
      <c r="T23" s="48">
        <f>INDEX(CoefficientsGPA,MATCH($H3&amp;":"&amp;$K23,CoefficientsIndex,0))</f>
        <v>0</v>
      </c>
      <c r="U23" s="48">
        <f>INDEX(CoefficientsSAT,MATCH($H3&amp;":"&amp;$K23,CoefficientsIndex,0))</f>
        <v>0</v>
      </c>
      <c r="V23" s="48">
        <f>INDEX(CoefficientsIntercept,MATCH($H3&amp;":"&amp;$K23,CoefficientsIndex,0))</f>
        <v>0</v>
      </c>
      <c r="W23" s="48">
        <f>T23*N23+(O23-M23)*U23+V23</f>
        <v>0</v>
      </c>
      <c r="X23" s="48">
        <f>IF(ISNUMBER(S23),S23,W23)</f>
        <v>0</v>
      </c>
      <c r="Y23" s="48">
        <f>IF(ISNUMBER(X23),IF(AND(T23=1,U23=1,V23=1),100,MIN(99,100*EXP(X23)/(1+EXP(X23)))),"N/A")</f>
        <v>0</v>
      </c>
      <c r="Z23" s="48">
        <f>IF(ISNUMBER(Y23),IF(Y23&gt;=99,SureThingLabel,IF(Y23&gt;=95,SecureLabel,IF(Y23&gt;=80,SafetyLabel,IF(Y23&gt;=50,MatchLabel,IF(Y23&gt;=20,ReachLabel,IF(Y23&gt;=10,LongshotLabel,HailMaryLabel)))))),"Other")</f>
        <v>0</v>
      </c>
      <c r="AA23" s="48">
        <f>IF($F23&gt;=J$3,1,0)</f>
        <v>0</v>
      </c>
      <c r="AB23" s="48">
        <f>IF($F23&gt;=J$2,1,0)</f>
        <v>0</v>
      </c>
      <c r="AC23" s="48">
        <f>IF(ISNUMBER(Y23),1-Y23/100,1)</f>
        <v>0</v>
      </c>
      <c r="AD23" s="49">
        <f>IF(AA23=1,AC23,1)</f>
        <v>0</v>
      </c>
      <c r="AE23" s="49">
        <f>IF(AB23=1,AC23,1)</f>
        <v>0</v>
      </c>
      <c r="AF23" s="49">
        <f>IF(L23=1,AD23,1)</f>
        <v>0</v>
      </c>
      <c r="AG23" s="49">
        <f>IF(L23=1,AE23,1)</f>
        <v>0</v>
      </c>
    </row>
    <row r="24" spans="1:33">
      <c r="A24" s="69">
        <f>A23</f>
        <v>0</v>
      </c>
      <c r="B24" s="69">
        <f>B23</f>
        <v>0</v>
      </c>
      <c r="D24" s="18">
        <f>INDEX(ExtraCollegeNCES,MATCH(E24,ExtraCollegeChoice,0))</f>
        <v>0</v>
      </c>
      <c r="E24" s="78"/>
      <c r="F24" s="11">
        <f>IF(ISERROR(D24),"",INDEX(IF(OR(H3="H",H3="B",H3="I",H3="M"),AllCollegeAAHGR,AllCollegeGR),MATCH(D24,AllCollegeNCES,0)))</f>
        <v>0</v>
      </c>
      <c r="G24" s="11">
        <f>IF(ISERROR(D24),"",IF(ISNUMBER(Y24),Y24/100,"N/A"))</f>
        <v>0</v>
      </c>
      <c r="H24" s="11">
        <f>IF(ISERROR(D24),"",Z24)</f>
        <v>0</v>
      </c>
      <c r="I24" s="11">
        <f>IF(ISERROR(D24),"","N/A")</f>
        <v>0</v>
      </c>
      <c r="J24" s="11">
        <f>IF(ISERROR(D24),"",INDEX(AllCollegeMoneyCode,MATCH(D24,AllCollegeNCES,0)))</f>
        <v>0</v>
      </c>
      <c r="K24" s="48">
        <f>INDEX(AllCollegeBarrons,MATCH(D24,AllCollegeNCES,0))</f>
        <v>0</v>
      </c>
      <c r="L24" s="48">
        <f>IF(ISERROR(D24),"",INDEX(AllCollegeMoney,MATCH(D24,AllCollegeNCES,0)))</f>
        <v>0</v>
      </c>
      <c r="M24" s="48">
        <f>INDEX(AllCollegeSAT25,MATCH(D24,AllCollegeNCES,0))</f>
        <v>0</v>
      </c>
      <c r="N24" s="48">
        <f>G3</f>
        <v>0</v>
      </c>
      <c r="O24" s="48">
        <f>F4</f>
        <v>0</v>
      </c>
      <c r="P24" s="48">
        <f>INDEX(CustomWeightsGPA,MATCH($H3&amp;":"&amp;$D24,CustomWeightsIndex,0))</f>
        <v>0</v>
      </c>
      <c r="Q24" s="48">
        <f>INDEX(CustomWeightsSAT,MATCH($H3&amp;":"&amp;$D24,CustomWeightsIndex,0))</f>
        <v>0</v>
      </c>
      <c r="R24" s="48">
        <f>INDEX(CustomWeightsIntercept,MATCH($H3&amp;":"&amp;$D24,CustomWeightsIndex,0))</f>
        <v>0</v>
      </c>
      <c r="S24" s="48">
        <f>P24*N24+Q24*O24+R24</f>
        <v>0</v>
      </c>
      <c r="T24" s="48">
        <f>INDEX(CoefficientsGPA,MATCH($H3&amp;":"&amp;$K24,CoefficientsIndex,0))</f>
        <v>0</v>
      </c>
      <c r="U24" s="48">
        <f>INDEX(CoefficientsSAT,MATCH($H3&amp;":"&amp;$K24,CoefficientsIndex,0))</f>
        <v>0</v>
      </c>
      <c r="V24" s="48">
        <f>INDEX(CoefficientsIntercept,MATCH($H3&amp;":"&amp;$K24,CoefficientsIndex,0))</f>
        <v>0</v>
      </c>
      <c r="W24" s="48">
        <f>T24*N24+(O24-M24)*U24+V24</f>
        <v>0</v>
      </c>
      <c r="X24" s="48">
        <f>IF(ISNUMBER(S24),S24,W24)</f>
        <v>0</v>
      </c>
      <c r="Y24" s="48">
        <f>IF(ISNUMBER(X24),IF(AND(T24=1,U24=1,V24=1),100,MIN(99,100*EXP(X24)/(1+EXP(X24)))),"N/A")</f>
        <v>0</v>
      </c>
      <c r="Z24" s="48">
        <f>IF(ISNUMBER(Y24),IF(Y24&gt;=99,SureThingLabel,IF(Y24&gt;=95,SecureLabel,IF(Y24&gt;=80,SafetyLabel,IF(Y24&gt;=50,MatchLabel,IF(Y24&gt;=20,ReachLabel,IF(Y24&gt;=10,LongshotLabel,HailMaryLabel)))))),"Other")</f>
        <v>0</v>
      </c>
      <c r="AA24" s="48">
        <f>IF($F24&gt;=J$3,1,0)</f>
        <v>0</v>
      </c>
      <c r="AB24" s="48">
        <f>IF($F24&gt;=J$2,1,0)</f>
        <v>0</v>
      </c>
      <c r="AC24" s="48">
        <f>IF(ISNUMBER(Y24),1-Y24/100,1)</f>
        <v>0</v>
      </c>
      <c r="AD24" s="49">
        <f>IF(AA24=1,AC24,1)</f>
        <v>0</v>
      </c>
      <c r="AE24" s="49">
        <f>IF(AB24=1,AC24,1)</f>
        <v>0</v>
      </c>
      <c r="AF24" s="49">
        <f>IF(L24=1,AD24,1)</f>
        <v>0</v>
      </c>
      <c r="AG24" s="49">
        <f>IF(L24=1,AE24,1)</f>
        <v>0</v>
      </c>
    </row>
    <row r="25" spans="1:33">
      <c r="A25" s="69">
        <f>A24</f>
        <v>0</v>
      </c>
      <c r="B25" s="69">
        <f>B24</f>
        <v>0</v>
      </c>
      <c r="D25" s="18">
        <f>INDEX(ExtraCollegeNCES,MATCH(E25,ExtraCollegeChoice,0))</f>
        <v>0</v>
      </c>
      <c r="E25" s="78"/>
      <c r="F25" s="11">
        <f>IF(ISERROR(D25),"",INDEX(IF(OR(H3="H",H3="B",H3="I",H3="M"),AllCollegeAAHGR,AllCollegeGR),MATCH(D25,AllCollegeNCES,0)))</f>
        <v>0</v>
      </c>
      <c r="G25" s="11">
        <f>IF(ISERROR(D25),"",IF(ISNUMBER(Y25),Y25/100,"N/A"))</f>
        <v>0</v>
      </c>
      <c r="H25" s="11">
        <f>IF(ISERROR(D25),"",Z25)</f>
        <v>0</v>
      </c>
      <c r="I25" s="11">
        <f>IF(ISERROR(D25),"","N/A")</f>
        <v>0</v>
      </c>
      <c r="J25" s="11">
        <f>IF(ISERROR(D25),"",INDEX(AllCollegeMoneyCode,MATCH(D25,AllCollegeNCES,0)))</f>
        <v>0</v>
      </c>
      <c r="K25" s="48">
        <f>INDEX(AllCollegeBarrons,MATCH(D25,AllCollegeNCES,0))</f>
        <v>0</v>
      </c>
      <c r="L25" s="48">
        <f>IF(ISERROR(D25),"",INDEX(AllCollegeMoney,MATCH(D25,AllCollegeNCES,0)))</f>
        <v>0</v>
      </c>
      <c r="M25" s="48">
        <f>INDEX(AllCollegeSAT25,MATCH(D25,AllCollegeNCES,0))</f>
        <v>0</v>
      </c>
      <c r="N25" s="48">
        <f>G3</f>
        <v>0</v>
      </c>
      <c r="O25" s="48">
        <f>F4</f>
        <v>0</v>
      </c>
      <c r="P25" s="48">
        <f>INDEX(CustomWeightsGPA,MATCH($H3&amp;":"&amp;$D25,CustomWeightsIndex,0))</f>
        <v>0</v>
      </c>
      <c r="Q25" s="48">
        <f>INDEX(CustomWeightsSAT,MATCH($H3&amp;":"&amp;$D25,CustomWeightsIndex,0))</f>
        <v>0</v>
      </c>
      <c r="R25" s="48">
        <f>INDEX(CustomWeightsIntercept,MATCH($H3&amp;":"&amp;$D25,CustomWeightsIndex,0))</f>
        <v>0</v>
      </c>
      <c r="S25" s="48">
        <f>P25*N25+Q25*O25+R25</f>
        <v>0</v>
      </c>
      <c r="T25" s="48">
        <f>INDEX(CoefficientsGPA,MATCH($H3&amp;":"&amp;$K25,CoefficientsIndex,0))</f>
        <v>0</v>
      </c>
      <c r="U25" s="48">
        <f>INDEX(CoefficientsSAT,MATCH($H3&amp;":"&amp;$K25,CoefficientsIndex,0))</f>
        <v>0</v>
      </c>
      <c r="V25" s="48">
        <f>INDEX(CoefficientsIntercept,MATCH($H3&amp;":"&amp;$K25,CoefficientsIndex,0))</f>
        <v>0</v>
      </c>
      <c r="W25" s="48">
        <f>T25*N25+(O25-M25)*U25+V25</f>
        <v>0</v>
      </c>
      <c r="X25" s="48">
        <f>IF(ISNUMBER(S25),S25,W25)</f>
        <v>0</v>
      </c>
      <c r="Y25" s="48">
        <f>IF(ISNUMBER(X25),IF(AND(T25=1,U25=1,V25=1),100,MIN(99,100*EXP(X25)/(1+EXP(X25)))),"N/A")</f>
        <v>0</v>
      </c>
      <c r="Z25" s="48">
        <f>IF(ISNUMBER(Y25),IF(Y25&gt;=99,SureThingLabel,IF(Y25&gt;=95,SecureLabel,IF(Y25&gt;=80,SafetyLabel,IF(Y25&gt;=50,MatchLabel,IF(Y25&gt;=20,ReachLabel,IF(Y25&gt;=10,LongshotLabel,HailMaryLabel)))))),"Other")</f>
        <v>0</v>
      </c>
      <c r="AA25" s="48">
        <f>IF($F25&gt;=J$3,1,0)</f>
        <v>0</v>
      </c>
      <c r="AB25" s="48">
        <f>IF($F25&gt;=J$2,1,0)</f>
        <v>0</v>
      </c>
      <c r="AC25" s="48">
        <f>IF(ISNUMBER(Y25),1-Y25/100,1)</f>
        <v>0</v>
      </c>
      <c r="AD25" s="49">
        <f>IF(AA25=1,AC25,1)</f>
        <v>0</v>
      </c>
      <c r="AE25" s="49">
        <f>IF(AB25=1,AC25,1)</f>
        <v>0</v>
      </c>
      <c r="AF25" s="49">
        <f>IF(L25=1,AD25,1)</f>
        <v>0</v>
      </c>
      <c r="AG25" s="49">
        <f>IF(L25=1,AE25,1)</f>
        <v>0</v>
      </c>
    </row>
    <row r="26" spans="1:33">
      <c r="A26" s="69">
        <f>A25</f>
        <v>0</v>
      </c>
      <c r="B26" s="69">
        <f>B25</f>
        <v>0</v>
      </c>
      <c r="D26" s="18">
        <f>INDEX(ExtraCollegeNCES,MATCH(E26,ExtraCollegeChoice,0))</f>
        <v>0</v>
      </c>
      <c r="E26" s="78"/>
      <c r="F26" s="11">
        <f>IF(ISERROR(D26),"",INDEX(IF(OR(H3="H",H3="B",H3="I",H3="M"),AllCollegeAAHGR,AllCollegeGR),MATCH(D26,AllCollegeNCES,0)))</f>
        <v>0</v>
      </c>
      <c r="G26" s="11">
        <f>IF(ISERROR(D26),"",IF(ISNUMBER(Y26),Y26/100,"N/A"))</f>
        <v>0</v>
      </c>
      <c r="H26" s="11">
        <f>IF(ISERROR(D26),"",Z26)</f>
        <v>0</v>
      </c>
      <c r="I26" s="11">
        <f>IF(ISERROR(D26),"","N/A")</f>
        <v>0</v>
      </c>
      <c r="J26" s="11">
        <f>IF(ISERROR(D26),"",INDEX(AllCollegeMoneyCode,MATCH(D26,AllCollegeNCES,0)))</f>
        <v>0</v>
      </c>
      <c r="K26" s="48">
        <f>INDEX(AllCollegeBarrons,MATCH(D26,AllCollegeNCES,0))</f>
        <v>0</v>
      </c>
      <c r="L26" s="48">
        <f>IF(ISERROR(D26),"",INDEX(AllCollegeMoney,MATCH(D26,AllCollegeNCES,0)))</f>
        <v>0</v>
      </c>
      <c r="M26" s="48">
        <f>INDEX(AllCollegeSAT25,MATCH(D26,AllCollegeNCES,0))</f>
        <v>0</v>
      </c>
      <c r="N26" s="48">
        <f>G3</f>
        <v>0</v>
      </c>
      <c r="O26" s="48">
        <f>F4</f>
        <v>0</v>
      </c>
      <c r="P26" s="48">
        <f>INDEX(CustomWeightsGPA,MATCH($H3&amp;":"&amp;$D26,CustomWeightsIndex,0))</f>
        <v>0</v>
      </c>
      <c r="Q26" s="48">
        <f>INDEX(CustomWeightsSAT,MATCH($H3&amp;":"&amp;$D26,CustomWeightsIndex,0))</f>
        <v>0</v>
      </c>
      <c r="R26" s="48">
        <f>INDEX(CustomWeightsIntercept,MATCH($H3&amp;":"&amp;$D26,CustomWeightsIndex,0))</f>
        <v>0</v>
      </c>
      <c r="S26" s="48">
        <f>P26*N26+Q26*O26+R26</f>
        <v>0</v>
      </c>
      <c r="T26" s="48">
        <f>INDEX(CoefficientsGPA,MATCH($H3&amp;":"&amp;$K26,CoefficientsIndex,0))</f>
        <v>0</v>
      </c>
      <c r="U26" s="48">
        <f>INDEX(CoefficientsSAT,MATCH($H3&amp;":"&amp;$K26,CoefficientsIndex,0))</f>
        <v>0</v>
      </c>
      <c r="V26" s="48">
        <f>INDEX(CoefficientsIntercept,MATCH($H3&amp;":"&amp;$K26,CoefficientsIndex,0))</f>
        <v>0</v>
      </c>
      <c r="W26" s="48">
        <f>T26*N26+(O26-M26)*U26+V26</f>
        <v>0</v>
      </c>
      <c r="X26" s="48">
        <f>IF(ISNUMBER(S26),S26,W26)</f>
        <v>0</v>
      </c>
      <c r="Y26" s="48">
        <f>IF(ISNUMBER(X26),IF(AND(T26=1,U26=1,V26=1),100,MIN(99,100*EXP(X26)/(1+EXP(X26)))),"N/A")</f>
        <v>0</v>
      </c>
      <c r="Z26" s="48">
        <f>IF(ISNUMBER(Y26),IF(Y26&gt;=99,SureThingLabel,IF(Y26&gt;=95,SecureLabel,IF(Y26&gt;=80,SafetyLabel,IF(Y26&gt;=50,MatchLabel,IF(Y26&gt;=20,ReachLabel,IF(Y26&gt;=10,LongshotLabel,HailMaryLabel)))))),"Other")</f>
        <v>0</v>
      </c>
      <c r="AA26" s="48">
        <f>IF($F26&gt;=J$3,1,0)</f>
        <v>0</v>
      </c>
      <c r="AB26" s="48">
        <f>IF($F26&gt;=J$2,1,0)</f>
        <v>0</v>
      </c>
      <c r="AC26" s="48">
        <f>IF(ISNUMBER(Y26),1-Y26/100,1)</f>
        <v>0</v>
      </c>
      <c r="AD26" s="49">
        <f>IF(AA26=1,AC26,1)</f>
        <v>0</v>
      </c>
      <c r="AE26" s="49">
        <f>IF(AB26=1,AC26,1)</f>
        <v>0</v>
      </c>
      <c r="AF26" s="49">
        <f>IF(L26=1,AD26,1)</f>
        <v>0</v>
      </c>
      <c r="AG26" s="49">
        <f>IF(L26=1,AE26,1)</f>
        <v>0</v>
      </c>
    </row>
    <row r="27" spans="1:33">
      <c r="A27" s="69">
        <f>A26</f>
        <v>0</v>
      </c>
      <c r="B27" s="69">
        <f>B26</f>
        <v>0</v>
      </c>
      <c r="D27" s="18">
        <f>INDEX(ExtraCollegeNCES,MATCH(E27,ExtraCollegeChoice,0))</f>
        <v>0</v>
      </c>
      <c r="E27" s="78"/>
      <c r="F27" s="11">
        <f>IF(ISERROR(D27),"",INDEX(IF(OR(H3="H",H3="B",H3="I",H3="M"),AllCollegeAAHGR,AllCollegeGR),MATCH(D27,AllCollegeNCES,0)))</f>
        <v>0</v>
      </c>
      <c r="G27" s="11">
        <f>IF(ISERROR(D27),"",IF(ISNUMBER(Y27),Y27/100,"N/A"))</f>
        <v>0</v>
      </c>
      <c r="H27" s="11">
        <f>IF(ISERROR(D27),"",Z27)</f>
        <v>0</v>
      </c>
      <c r="I27" s="11">
        <f>IF(ISERROR(D27),"","N/A")</f>
        <v>0</v>
      </c>
      <c r="J27" s="11">
        <f>IF(ISERROR(D27),"",INDEX(AllCollegeMoneyCode,MATCH(D27,AllCollegeNCES,0)))</f>
        <v>0</v>
      </c>
      <c r="K27" s="48">
        <f>INDEX(AllCollegeBarrons,MATCH(D27,AllCollegeNCES,0))</f>
        <v>0</v>
      </c>
      <c r="L27" s="48">
        <f>IF(ISERROR(D27),"",INDEX(AllCollegeMoney,MATCH(D27,AllCollegeNCES,0)))</f>
        <v>0</v>
      </c>
      <c r="M27" s="48">
        <f>INDEX(AllCollegeSAT25,MATCH(D27,AllCollegeNCES,0))</f>
        <v>0</v>
      </c>
      <c r="N27" s="48">
        <f>G3</f>
        <v>0</v>
      </c>
      <c r="O27" s="48">
        <f>F4</f>
        <v>0</v>
      </c>
      <c r="P27" s="48">
        <f>INDEX(CustomWeightsGPA,MATCH($H3&amp;":"&amp;$D27,CustomWeightsIndex,0))</f>
        <v>0</v>
      </c>
      <c r="Q27" s="48">
        <f>INDEX(CustomWeightsSAT,MATCH($H3&amp;":"&amp;$D27,CustomWeightsIndex,0))</f>
        <v>0</v>
      </c>
      <c r="R27" s="48">
        <f>INDEX(CustomWeightsIntercept,MATCH($H3&amp;":"&amp;$D27,CustomWeightsIndex,0))</f>
        <v>0</v>
      </c>
      <c r="S27" s="48">
        <f>P27*N27+Q27*O27+R27</f>
        <v>0</v>
      </c>
      <c r="T27" s="48">
        <f>INDEX(CoefficientsGPA,MATCH($H3&amp;":"&amp;$K27,CoefficientsIndex,0))</f>
        <v>0</v>
      </c>
      <c r="U27" s="48">
        <f>INDEX(CoefficientsSAT,MATCH($H3&amp;":"&amp;$K27,CoefficientsIndex,0))</f>
        <v>0</v>
      </c>
      <c r="V27" s="48">
        <f>INDEX(CoefficientsIntercept,MATCH($H3&amp;":"&amp;$K27,CoefficientsIndex,0))</f>
        <v>0</v>
      </c>
      <c r="W27" s="48">
        <f>T27*N27+(O27-M27)*U27+V27</f>
        <v>0</v>
      </c>
      <c r="X27" s="48">
        <f>IF(ISNUMBER(S27),S27,W27)</f>
        <v>0</v>
      </c>
      <c r="Y27" s="48">
        <f>IF(ISNUMBER(X27),IF(AND(T27=1,U27=1,V27=1),100,MIN(99,100*EXP(X27)/(1+EXP(X27)))),"N/A")</f>
        <v>0</v>
      </c>
      <c r="Z27" s="48">
        <f>IF(ISNUMBER(Y27),IF(Y27&gt;=99,SureThingLabel,IF(Y27&gt;=95,SecureLabel,IF(Y27&gt;=80,SafetyLabel,IF(Y27&gt;=50,MatchLabel,IF(Y27&gt;=20,ReachLabel,IF(Y27&gt;=10,LongshotLabel,HailMaryLabel)))))),"Other")</f>
        <v>0</v>
      </c>
      <c r="AA27" s="48">
        <f>IF($F27&gt;=J$3,1,0)</f>
        <v>0</v>
      </c>
      <c r="AB27" s="48">
        <f>IF($F27&gt;=J$2,1,0)</f>
        <v>0</v>
      </c>
      <c r="AC27" s="48">
        <f>IF(ISNUMBER(Y27),1-Y27/100,1)</f>
        <v>0</v>
      </c>
      <c r="AD27" s="49">
        <f>IF(AA27=1,AC27,1)</f>
        <v>0</v>
      </c>
      <c r="AE27" s="49">
        <f>IF(AB27=1,AC27,1)</f>
        <v>0</v>
      </c>
      <c r="AF27" s="49">
        <f>IF(L27=1,AD27,1)</f>
        <v>0</v>
      </c>
      <c r="AG27" s="49">
        <f>IF(L27=1,AE27,1)</f>
        <v>0</v>
      </c>
    </row>
    <row r="28" spans="1:33">
      <c r="A28" s="69">
        <f>A27</f>
        <v>0</v>
      </c>
      <c r="B28" s="69">
        <f>B27</f>
        <v>0</v>
      </c>
      <c r="D28" s="18">
        <f>INDEX(ExtraCollegeNCES,MATCH(E28,ExtraCollegeChoice,0))</f>
        <v>0</v>
      </c>
      <c r="E28" s="78"/>
      <c r="F28" s="11">
        <f>IF(ISERROR(D28),"",INDEX(IF(OR(H3="H",H3="B",H3="I",H3="M"),AllCollegeAAHGR,AllCollegeGR),MATCH(D28,AllCollegeNCES,0)))</f>
        <v>0</v>
      </c>
      <c r="G28" s="11">
        <f>IF(ISERROR(D28),"",IF(ISNUMBER(Y28),Y28/100,"N/A"))</f>
        <v>0</v>
      </c>
      <c r="H28" s="11">
        <f>IF(ISERROR(D28),"",Z28)</f>
        <v>0</v>
      </c>
      <c r="I28" s="11">
        <f>IF(ISERROR(D28),"","N/A")</f>
        <v>0</v>
      </c>
      <c r="J28" s="11">
        <f>IF(ISERROR(D28),"",INDEX(AllCollegeMoneyCode,MATCH(D28,AllCollegeNCES,0)))</f>
        <v>0</v>
      </c>
      <c r="K28" s="48">
        <f>INDEX(AllCollegeBarrons,MATCH(D28,AllCollegeNCES,0))</f>
        <v>0</v>
      </c>
      <c r="L28" s="48">
        <f>IF(ISERROR(D28),"",INDEX(AllCollegeMoney,MATCH(D28,AllCollegeNCES,0)))</f>
        <v>0</v>
      </c>
      <c r="M28" s="48">
        <f>INDEX(AllCollegeSAT25,MATCH(D28,AllCollegeNCES,0))</f>
        <v>0</v>
      </c>
      <c r="N28" s="48">
        <f>G3</f>
        <v>0</v>
      </c>
      <c r="O28" s="48">
        <f>F4</f>
        <v>0</v>
      </c>
      <c r="P28" s="48">
        <f>INDEX(CustomWeightsGPA,MATCH($H3&amp;":"&amp;$D28,CustomWeightsIndex,0))</f>
        <v>0</v>
      </c>
      <c r="Q28" s="48">
        <f>INDEX(CustomWeightsSAT,MATCH($H3&amp;":"&amp;$D28,CustomWeightsIndex,0))</f>
        <v>0</v>
      </c>
      <c r="R28" s="48">
        <f>INDEX(CustomWeightsIntercept,MATCH($H3&amp;":"&amp;$D28,CustomWeightsIndex,0))</f>
        <v>0</v>
      </c>
      <c r="S28" s="48">
        <f>P28*N28+Q28*O28+R28</f>
        <v>0</v>
      </c>
      <c r="T28" s="48">
        <f>INDEX(CoefficientsGPA,MATCH($H3&amp;":"&amp;$K28,CoefficientsIndex,0))</f>
        <v>0</v>
      </c>
      <c r="U28" s="48">
        <f>INDEX(CoefficientsSAT,MATCH($H3&amp;":"&amp;$K28,CoefficientsIndex,0))</f>
        <v>0</v>
      </c>
      <c r="V28" s="48">
        <f>INDEX(CoefficientsIntercept,MATCH($H3&amp;":"&amp;$K28,CoefficientsIndex,0))</f>
        <v>0</v>
      </c>
      <c r="W28" s="48">
        <f>T28*N28+(O28-M28)*U28+V28</f>
        <v>0</v>
      </c>
      <c r="X28" s="48">
        <f>IF(ISNUMBER(S28),S28,W28)</f>
        <v>0</v>
      </c>
      <c r="Y28" s="48">
        <f>IF(ISNUMBER(X28),IF(AND(T28=1,U28=1,V28=1),100,MIN(99,100*EXP(X28)/(1+EXP(X28)))),"N/A")</f>
        <v>0</v>
      </c>
      <c r="Z28" s="48">
        <f>IF(ISNUMBER(Y28),IF(Y28&gt;=99,SureThingLabel,IF(Y28&gt;=95,SecureLabel,IF(Y28&gt;=80,SafetyLabel,IF(Y28&gt;=50,MatchLabel,IF(Y28&gt;=20,ReachLabel,IF(Y28&gt;=10,LongshotLabel,HailMaryLabel)))))),"Other")</f>
        <v>0</v>
      </c>
      <c r="AA28" s="48">
        <f>IF($F28&gt;=J$3,1,0)</f>
        <v>0</v>
      </c>
      <c r="AB28" s="48">
        <f>IF($F28&gt;=J$2,1,0)</f>
        <v>0</v>
      </c>
      <c r="AC28" s="48">
        <f>IF(ISNUMBER(Y28),1-Y28/100,1)</f>
        <v>0</v>
      </c>
      <c r="AD28" s="49">
        <f>IF(AA28=1,AC28,1)</f>
        <v>0</v>
      </c>
      <c r="AE28" s="49">
        <f>IF(AB28=1,AC28,1)</f>
        <v>0</v>
      </c>
      <c r="AF28" s="49">
        <f>IF(L28=1,AD28,1)</f>
        <v>0</v>
      </c>
      <c r="AG28" s="49">
        <f>IF(L28=1,AE28,1)</f>
        <v>0</v>
      </c>
    </row>
    <row r="29" spans="1:33">
      <c r="A29" s="69">
        <f>A28</f>
        <v>0</v>
      </c>
      <c r="B29" s="69">
        <f>B28</f>
        <v>0</v>
      </c>
      <c r="D29" s="18">
        <f>INDEX(ExtraCollegeNCES,MATCH(E29,ExtraCollegeChoice,0))</f>
        <v>0</v>
      </c>
      <c r="E29" s="78"/>
      <c r="F29" s="11">
        <f>IF(ISERROR(D29),"",INDEX(IF(OR(H3="H",H3="B",H3="I",H3="M"),AllCollegeAAHGR,AllCollegeGR),MATCH(D29,AllCollegeNCES,0)))</f>
        <v>0</v>
      </c>
      <c r="G29" s="11">
        <f>IF(ISERROR(D29),"",IF(ISNUMBER(Y29),Y29/100,"N/A"))</f>
        <v>0</v>
      </c>
      <c r="H29" s="11">
        <f>IF(ISERROR(D29),"",Z29)</f>
        <v>0</v>
      </c>
      <c r="I29" s="11">
        <f>IF(ISERROR(D29),"","N/A")</f>
        <v>0</v>
      </c>
      <c r="J29" s="11">
        <f>IF(ISERROR(D29),"",INDEX(AllCollegeMoneyCode,MATCH(D29,AllCollegeNCES,0)))</f>
        <v>0</v>
      </c>
      <c r="K29" s="48">
        <f>INDEX(AllCollegeBarrons,MATCH(D29,AllCollegeNCES,0))</f>
        <v>0</v>
      </c>
      <c r="L29" s="48">
        <f>IF(ISERROR(D29),"",INDEX(AllCollegeMoney,MATCH(D29,AllCollegeNCES,0)))</f>
        <v>0</v>
      </c>
      <c r="M29" s="48">
        <f>INDEX(AllCollegeSAT25,MATCH(D29,AllCollegeNCES,0))</f>
        <v>0</v>
      </c>
      <c r="N29" s="48">
        <f>G3</f>
        <v>0</v>
      </c>
      <c r="O29" s="48">
        <f>F4</f>
        <v>0</v>
      </c>
      <c r="P29" s="48">
        <f>INDEX(CustomWeightsGPA,MATCH($H3&amp;":"&amp;$D29,CustomWeightsIndex,0))</f>
        <v>0</v>
      </c>
      <c r="Q29" s="48">
        <f>INDEX(CustomWeightsSAT,MATCH($H3&amp;":"&amp;$D29,CustomWeightsIndex,0))</f>
        <v>0</v>
      </c>
      <c r="R29" s="48">
        <f>INDEX(CustomWeightsIntercept,MATCH($H3&amp;":"&amp;$D29,CustomWeightsIndex,0))</f>
        <v>0</v>
      </c>
      <c r="S29" s="48">
        <f>P29*N29+Q29*O29+R29</f>
        <v>0</v>
      </c>
      <c r="T29" s="48">
        <f>INDEX(CoefficientsGPA,MATCH($H3&amp;":"&amp;$K29,CoefficientsIndex,0))</f>
        <v>0</v>
      </c>
      <c r="U29" s="48">
        <f>INDEX(CoefficientsSAT,MATCH($H3&amp;":"&amp;$K29,CoefficientsIndex,0))</f>
        <v>0</v>
      </c>
      <c r="V29" s="48">
        <f>INDEX(CoefficientsIntercept,MATCH($H3&amp;":"&amp;$K29,CoefficientsIndex,0))</f>
        <v>0</v>
      </c>
      <c r="W29" s="48">
        <f>T29*N29+(O29-M29)*U29+V29</f>
        <v>0</v>
      </c>
      <c r="X29" s="48">
        <f>IF(ISNUMBER(S29),S29,W29)</f>
        <v>0</v>
      </c>
      <c r="Y29" s="48">
        <f>IF(ISNUMBER(X29),IF(AND(T29=1,U29=1,V29=1),100,MIN(99,100*EXP(X29)/(1+EXP(X29)))),"N/A")</f>
        <v>0</v>
      </c>
      <c r="Z29" s="48">
        <f>IF(ISNUMBER(Y29),IF(Y29&gt;=99,SureThingLabel,IF(Y29&gt;=95,SecureLabel,IF(Y29&gt;=80,SafetyLabel,IF(Y29&gt;=50,MatchLabel,IF(Y29&gt;=20,ReachLabel,IF(Y29&gt;=10,LongshotLabel,HailMaryLabel)))))),"Other")</f>
        <v>0</v>
      </c>
      <c r="AA29" s="48">
        <f>IF($F29&gt;=J$3,1,0)</f>
        <v>0</v>
      </c>
      <c r="AB29" s="48">
        <f>IF($F29&gt;=J$2,1,0)</f>
        <v>0</v>
      </c>
      <c r="AC29" s="48">
        <f>IF(ISNUMBER(Y29),1-Y29/100,1)</f>
        <v>0</v>
      </c>
      <c r="AD29" s="49">
        <f>IF(AA29=1,AC29,1)</f>
        <v>0</v>
      </c>
      <c r="AE29" s="49">
        <f>IF(AB29=1,AC29,1)</f>
        <v>0</v>
      </c>
      <c r="AF29" s="49">
        <f>IF(L29=1,AD29,1)</f>
        <v>0</v>
      </c>
      <c r="AG29" s="49">
        <f>IF(L29=1,AE29,1)</f>
        <v>0</v>
      </c>
    </row>
    <row r="30" spans="1:33">
      <c r="A30" s="69">
        <f>A29</f>
        <v>0</v>
      </c>
      <c r="B30" s="69">
        <f>B29</f>
        <v>0</v>
      </c>
      <c r="D30" s="18">
        <f>INDEX(ExtraCollegeNCES,MATCH(E30,ExtraCollegeChoice,0))</f>
        <v>0</v>
      </c>
      <c r="E30" s="78"/>
      <c r="F30" s="11">
        <f>IF(ISERROR(D30),"",INDEX(IF(OR(H3="H",H3="B",H3="I",H3="M"),AllCollegeAAHGR,AllCollegeGR),MATCH(D30,AllCollegeNCES,0)))</f>
        <v>0</v>
      </c>
      <c r="G30" s="11">
        <f>IF(ISERROR(D30),"",IF(ISNUMBER(Y30),Y30/100,"N/A"))</f>
        <v>0</v>
      </c>
      <c r="H30" s="11">
        <f>IF(ISERROR(D30),"",Z30)</f>
        <v>0</v>
      </c>
      <c r="I30" s="11">
        <f>IF(ISERROR(D30),"","N/A")</f>
        <v>0</v>
      </c>
      <c r="J30" s="11">
        <f>IF(ISERROR(D30),"",INDEX(AllCollegeMoneyCode,MATCH(D30,AllCollegeNCES,0)))</f>
        <v>0</v>
      </c>
      <c r="K30" s="48">
        <f>INDEX(AllCollegeBarrons,MATCH(D30,AllCollegeNCES,0))</f>
        <v>0</v>
      </c>
      <c r="L30" s="48">
        <f>IF(ISERROR(D30),"",INDEX(AllCollegeMoney,MATCH(D30,AllCollegeNCES,0)))</f>
        <v>0</v>
      </c>
      <c r="M30" s="48">
        <f>INDEX(AllCollegeSAT25,MATCH(D30,AllCollegeNCES,0))</f>
        <v>0</v>
      </c>
      <c r="N30" s="48">
        <f>G3</f>
        <v>0</v>
      </c>
      <c r="O30" s="48">
        <f>F4</f>
        <v>0</v>
      </c>
      <c r="P30" s="48">
        <f>INDEX(CustomWeightsGPA,MATCH($H3&amp;":"&amp;$D30,CustomWeightsIndex,0))</f>
        <v>0</v>
      </c>
      <c r="Q30" s="48">
        <f>INDEX(CustomWeightsSAT,MATCH($H3&amp;":"&amp;$D30,CustomWeightsIndex,0))</f>
        <v>0</v>
      </c>
      <c r="R30" s="48">
        <f>INDEX(CustomWeightsIntercept,MATCH($H3&amp;":"&amp;$D30,CustomWeightsIndex,0))</f>
        <v>0</v>
      </c>
      <c r="S30" s="48">
        <f>P30*N30+Q30*O30+R30</f>
        <v>0</v>
      </c>
      <c r="T30" s="48">
        <f>INDEX(CoefficientsGPA,MATCH($H3&amp;":"&amp;$K30,CoefficientsIndex,0))</f>
        <v>0</v>
      </c>
      <c r="U30" s="48">
        <f>INDEX(CoefficientsSAT,MATCH($H3&amp;":"&amp;$K30,CoefficientsIndex,0))</f>
        <v>0</v>
      </c>
      <c r="V30" s="48">
        <f>INDEX(CoefficientsIntercept,MATCH($H3&amp;":"&amp;$K30,CoefficientsIndex,0))</f>
        <v>0</v>
      </c>
      <c r="W30" s="48">
        <f>T30*N30+(O30-M30)*U30+V30</f>
        <v>0</v>
      </c>
      <c r="X30" s="48">
        <f>IF(ISNUMBER(S30),S30,W30)</f>
        <v>0</v>
      </c>
      <c r="Y30" s="48">
        <f>IF(ISNUMBER(X30),IF(AND(T30=1,U30=1,V30=1),100,MIN(99,100*EXP(X30)/(1+EXP(X30)))),"N/A")</f>
        <v>0</v>
      </c>
      <c r="Z30" s="48">
        <f>IF(ISNUMBER(Y30),IF(Y30&gt;=99,SureThingLabel,IF(Y30&gt;=95,SecureLabel,IF(Y30&gt;=80,SafetyLabel,IF(Y30&gt;=50,MatchLabel,IF(Y30&gt;=20,ReachLabel,IF(Y30&gt;=10,LongshotLabel,HailMaryLabel)))))),"Other")</f>
        <v>0</v>
      </c>
      <c r="AA30" s="48">
        <f>IF($F30&gt;=J$3,1,0)</f>
        <v>0</v>
      </c>
      <c r="AB30" s="48">
        <f>IF($F30&gt;=J$2,1,0)</f>
        <v>0</v>
      </c>
      <c r="AC30" s="48">
        <f>IF(ISNUMBER(Y30),1-Y30/100,1)</f>
        <v>0</v>
      </c>
      <c r="AD30" s="49">
        <f>IF(AA30=1,AC30,1)</f>
        <v>0</v>
      </c>
      <c r="AE30" s="49">
        <f>IF(AB30=1,AC30,1)</f>
        <v>0</v>
      </c>
      <c r="AF30" s="49">
        <f>IF(L30=1,AD30,1)</f>
        <v>0</v>
      </c>
      <c r="AG30" s="49">
        <f>IF(L30=1,AE30,1)</f>
        <v>0</v>
      </c>
    </row>
    <row r="31" spans="1:33">
      <c r="A31" s="69">
        <f>A30</f>
        <v>0</v>
      </c>
      <c r="B31" s="69">
        <f>B30</f>
        <v>0</v>
      </c>
      <c r="D31" s="18">
        <f>INDEX(ExtraCollegeNCES,MATCH(E31,ExtraCollegeChoice,0))</f>
        <v>0</v>
      </c>
      <c r="E31" s="78"/>
      <c r="F31" s="11">
        <f>IF(ISERROR(D31),"",INDEX(IF(OR(H3="H",H3="B",H3="I",H3="M"),AllCollegeAAHGR,AllCollegeGR),MATCH(D31,AllCollegeNCES,0)))</f>
        <v>0</v>
      </c>
      <c r="G31" s="11">
        <f>IF(ISERROR(D31),"",IF(ISNUMBER(Y31),Y31/100,"N/A"))</f>
        <v>0</v>
      </c>
      <c r="H31" s="11">
        <f>IF(ISERROR(D31),"",Z31)</f>
        <v>0</v>
      </c>
      <c r="I31" s="11">
        <f>IF(ISERROR(D31),"","N/A")</f>
        <v>0</v>
      </c>
      <c r="J31" s="11">
        <f>IF(ISERROR(D31),"",INDEX(AllCollegeMoneyCode,MATCH(D31,AllCollegeNCES,0)))</f>
        <v>0</v>
      </c>
      <c r="K31" s="48">
        <f>INDEX(AllCollegeBarrons,MATCH(D31,AllCollegeNCES,0))</f>
        <v>0</v>
      </c>
      <c r="L31" s="48">
        <f>IF(ISERROR(D31),"",INDEX(AllCollegeMoney,MATCH(D31,AllCollegeNCES,0)))</f>
        <v>0</v>
      </c>
      <c r="M31" s="48">
        <f>INDEX(AllCollegeSAT25,MATCH(D31,AllCollegeNCES,0))</f>
        <v>0</v>
      </c>
      <c r="N31" s="48">
        <f>G3</f>
        <v>0</v>
      </c>
      <c r="O31" s="48">
        <f>F4</f>
        <v>0</v>
      </c>
      <c r="P31" s="48">
        <f>INDEX(CustomWeightsGPA,MATCH($H3&amp;":"&amp;$D31,CustomWeightsIndex,0))</f>
        <v>0</v>
      </c>
      <c r="Q31" s="48">
        <f>INDEX(CustomWeightsSAT,MATCH($H3&amp;":"&amp;$D31,CustomWeightsIndex,0))</f>
        <v>0</v>
      </c>
      <c r="R31" s="48">
        <f>INDEX(CustomWeightsIntercept,MATCH($H3&amp;":"&amp;$D31,CustomWeightsIndex,0))</f>
        <v>0</v>
      </c>
      <c r="S31" s="48">
        <f>P31*N31+Q31*O31+R31</f>
        <v>0</v>
      </c>
      <c r="T31" s="48">
        <f>INDEX(CoefficientsGPA,MATCH($H3&amp;":"&amp;$K31,CoefficientsIndex,0))</f>
        <v>0</v>
      </c>
      <c r="U31" s="48">
        <f>INDEX(CoefficientsSAT,MATCH($H3&amp;":"&amp;$K31,CoefficientsIndex,0))</f>
        <v>0</v>
      </c>
      <c r="V31" s="48">
        <f>INDEX(CoefficientsIntercept,MATCH($H3&amp;":"&amp;$K31,CoefficientsIndex,0))</f>
        <v>0</v>
      </c>
      <c r="W31" s="48">
        <f>T31*N31+(O31-M31)*U31+V31</f>
        <v>0</v>
      </c>
      <c r="X31" s="48">
        <f>IF(ISNUMBER(S31),S31,W31)</f>
        <v>0</v>
      </c>
      <c r="Y31" s="48">
        <f>IF(ISNUMBER(X31),IF(AND(T31=1,U31=1,V31=1),100,MIN(99,100*EXP(X31)/(1+EXP(X31)))),"N/A")</f>
        <v>0</v>
      </c>
      <c r="Z31" s="48">
        <f>IF(ISNUMBER(Y31),IF(Y31&gt;=99,SureThingLabel,IF(Y31&gt;=95,SecureLabel,IF(Y31&gt;=80,SafetyLabel,IF(Y31&gt;=50,MatchLabel,IF(Y31&gt;=20,ReachLabel,IF(Y31&gt;=10,LongshotLabel,HailMaryLabel)))))),"Other")</f>
        <v>0</v>
      </c>
      <c r="AA31" s="48">
        <f>IF($F31&gt;=J$3,1,0)</f>
        <v>0</v>
      </c>
      <c r="AB31" s="48">
        <f>IF($F31&gt;=J$2,1,0)</f>
        <v>0</v>
      </c>
      <c r="AC31" s="48">
        <f>IF(ISNUMBER(Y31),1-Y31/100,1)</f>
        <v>0</v>
      </c>
      <c r="AD31" s="49">
        <f>IF(AA31=1,AC31,1)</f>
        <v>0</v>
      </c>
      <c r="AE31" s="49">
        <f>IF(AB31=1,AC31,1)</f>
        <v>0</v>
      </c>
      <c r="AF31" s="49">
        <f>IF(L31=1,AD31,1)</f>
        <v>0</v>
      </c>
      <c r="AG31" s="49">
        <f>IF(L31=1,AE31,1)</f>
        <v>0</v>
      </c>
    </row>
    <row r="32" spans="1:33">
      <c r="A32" s="69">
        <f>A31</f>
        <v>0</v>
      </c>
      <c r="B32" s="69">
        <f>B31</f>
        <v>0</v>
      </c>
      <c r="D32" s="18">
        <f>INDEX(ExtraCollegeNCES,MATCH(E32,ExtraCollegeChoice,0))</f>
        <v>0</v>
      </c>
      <c r="E32" s="78"/>
      <c r="F32" s="11">
        <f>IF(ISERROR(D32),"",INDEX(IF(OR(H3="H",H3="B",H3="I",H3="M"),AllCollegeAAHGR,AllCollegeGR),MATCH(D32,AllCollegeNCES,0)))</f>
        <v>0</v>
      </c>
      <c r="G32" s="11">
        <f>IF(ISERROR(D32),"",IF(ISNUMBER(Y32),Y32/100,"N/A"))</f>
        <v>0</v>
      </c>
      <c r="H32" s="11">
        <f>IF(ISERROR(D32),"",Z32)</f>
        <v>0</v>
      </c>
      <c r="I32" s="11">
        <f>IF(ISERROR(D32),"","N/A")</f>
        <v>0</v>
      </c>
      <c r="J32" s="11">
        <f>IF(ISERROR(D32),"",INDEX(AllCollegeMoneyCode,MATCH(D32,AllCollegeNCES,0)))</f>
        <v>0</v>
      </c>
      <c r="K32" s="48">
        <f>INDEX(AllCollegeBarrons,MATCH(D32,AllCollegeNCES,0))</f>
        <v>0</v>
      </c>
      <c r="L32" s="48">
        <f>IF(ISERROR(D32),"",INDEX(AllCollegeMoney,MATCH(D32,AllCollegeNCES,0)))</f>
        <v>0</v>
      </c>
      <c r="M32" s="48">
        <f>INDEX(AllCollegeSAT25,MATCH(D32,AllCollegeNCES,0))</f>
        <v>0</v>
      </c>
      <c r="N32" s="48">
        <f>G3</f>
        <v>0</v>
      </c>
      <c r="O32" s="48">
        <f>F4</f>
        <v>0</v>
      </c>
      <c r="P32" s="48">
        <f>INDEX(CustomWeightsGPA,MATCH($H3&amp;":"&amp;$D32,CustomWeightsIndex,0))</f>
        <v>0</v>
      </c>
      <c r="Q32" s="48">
        <f>INDEX(CustomWeightsSAT,MATCH($H3&amp;":"&amp;$D32,CustomWeightsIndex,0))</f>
        <v>0</v>
      </c>
      <c r="R32" s="48">
        <f>INDEX(CustomWeightsIntercept,MATCH($H3&amp;":"&amp;$D32,CustomWeightsIndex,0))</f>
        <v>0</v>
      </c>
      <c r="S32" s="48">
        <f>P32*N32+Q32*O32+R32</f>
        <v>0</v>
      </c>
      <c r="T32" s="48">
        <f>INDEX(CoefficientsGPA,MATCH($H3&amp;":"&amp;$K32,CoefficientsIndex,0))</f>
        <v>0</v>
      </c>
      <c r="U32" s="48">
        <f>INDEX(CoefficientsSAT,MATCH($H3&amp;":"&amp;$K32,CoefficientsIndex,0))</f>
        <v>0</v>
      </c>
      <c r="V32" s="48">
        <f>INDEX(CoefficientsIntercept,MATCH($H3&amp;":"&amp;$K32,CoefficientsIndex,0))</f>
        <v>0</v>
      </c>
      <c r="W32" s="48">
        <f>T32*N32+(O32-M32)*U32+V32</f>
        <v>0</v>
      </c>
      <c r="X32" s="48">
        <f>IF(ISNUMBER(S32),S32,W32)</f>
        <v>0</v>
      </c>
      <c r="Y32" s="48">
        <f>IF(ISNUMBER(X32),IF(AND(T32=1,U32=1,V32=1),100,MIN(99,100*EXP(X32)/(1+EXP(X32)))),"N/A")</f>
        <v>0</v>
      </c>
      <c r="Z32" s="48">
        <f>IF(ISNUMBER(Y32),IF(Y32&gt;=99,SureThingLabel,IF(Y32&gt;=95,SecureLabel,IF(Y32&gt;=80,SafetyLabel,IF(Y32&gt;=50,MatchLabel,IF(Y32&gt;=20,ReachLabel,IF(Y32&gt;=10,LongshotLabel,HailMaryLabel)))))),"Other")</f>
        <v>0</v>
      </c>
      <c r="AA32" s="48">
        <f>IF($F32&gt;=J$3,1,0)</f>
        <v>0</v>
      </c>
      <c r="AB32" s="48">
        <f>IF($F32&gt;=J$2,1,0)</f>
        <v>0</v>
      </c>
      <c r="AC32" s="48">
        <f>IF(ISNUMBER(Y32),1-Y32/100,1)</f>
        <v>0</v>
      </c>
      <c r="AD32" s="49">
        <f>IF(AA32=1,AC32,1)</f>
        <v>0</v>
      </c>
      <c r="AE32" s="49">
        <f>IF(AB32=1,AC32,1)</f>
        <v>0</v>
      </c>
      <c r="AF32" s="49">
        <f>IF(L32=1,AD32,1)</f>
        <v>0</v>
      </c>
      <c r="AG32" s="49">
        <f>IF(L32=1,AE32,1)</f>
        <v>0</v>
      </c>
    </row>
    <row r="33" spans="1:33">
      <c r="A33" s="69">
        <f>A32</f>
        <v>0</v>
      </c>
      <c r="B33" s="69">
        <f>B32</f>
        <v>0</v>
      </c>
      <c r="D33" s="18">
        <f>INDEX(ExtraCollegeNCES,MATCH(E33,ExtraCollegeChoice,0))</f>
        <v>0</v>
      </c>
      <c r="E33" s="78"/>
      <c r="F33" s="11">
        <f>IF(ISERROR(D33),"",INDEX(IF(OR(H3="H",H3="B",H3="I",H3="M"),AllCollegeAAHGR,AllCollegeGR),MATCH(D33,AllCollegeNCES,0)))</f>
        <v>0</v>
      </c>
      <c r="G33" s="11">
        <f>IF(ISERROR(D33),"",IF(ISNUMBER(Y33),Y33/100,"N/A"))</f>
        <v>0</v>
      </c>
      <c r="H33" s="11">
        <f>IF(ISERROR(D33),"",Z33)</f>
        <v>0</v>
      </c>
      <c r="I33" s="11">
        <f>IF(ISERROR(D33),"","N/A")</f>
        <v>0</v>
      </c>
      <c r="J33" s="11">
        <f>IF(ISERROR(D33),"",INDEX(AllCollegeMoneyCode,MATCH(D33,AllCollegeNCES,0)))</f>
        <v>0</v>
      </c>
      <c r="K33" s="48">
        <f>INDEX(AllCollegeBarrons,MATCH(D33,AllCollegeNCES,0))</f>
        <v>0</v>
      </c>
      <c r="L33" s="48">
        <f>IF(ISERROR(D33),"",INDEX(AllCollegeMoney,MATCH(D33,AllCollegeNCES,0)))</f>
        <v>0</v>
      </c>
      <c r="M33" s="48">
        <f>INDEX(AllCollegeSAT25,MATCH(D33,AllCollegeNCES,0))</f>
        <v>0</v>
      </c>
      <c r="N33" s="48">
        <f>G3</f>
        <v>0</v>
      </c>
      <c r="O33" s="48">
        <f>F4</f>
        <v>0</v>
      </c>
      <c r="P33" s="48">
        <f>INDEX(CustomWeightsGPA,MATCH($H3&amp;":"&amp;$D33,CustomWeightsIndex,0))</f>
        <v>0</v>
      </c>
      <c r="Q33" s="48">
        <f>INDEX(CustomWeightsSAT,MATCH($H3&amp;":"&amp;$D33,CustomWeightsIndex,0))</f>
        <v>0</v>
      </c>
      <c r="R33" s="48">
        <f>INDEX(CustomWeightsIntercept,MATCH($H3&amp;":"&amp;$D33,CustomWeightsIndex,0))</f>
        <v>0</v>
      </c>
      <c r="S33" s="48">
        <f>P33*N33+Q33*O33+R33</f>
        <v>0</v>
      </c>
      <c r="T33" s="48">
        <f>INDEX(CoefficientsGPA,MATCH($H3&amp;":"&amp;$K33,CoefficientsIndex,0))</f>
        <v>0</v>
      </c>
      <c r="U33" s="48">
        <f>INDEX(CoefficientsSAT,MATCH($H3&amp;":"&amp;$K33,CoefficientsIndex,0))</f>
        <v>0</v>
      </c>
      <c r="V33" s="48">
        <f>INDEX(CoefficientsIntercept,MATCH($H3&amp;":"&amp;$K33,CoefficientsIndex,0))</f>
        <v>0</v>
      </c>
      <c r="W33" s="48">
        <f>T33*N33+(O33-M33)*U33+V33</f>
        <v>0</v>
      </c>
      <c r="X33" s="48">
        <f>IF(ISNUMBER(S33),S33,W33)</f>
        <v>0</v>
      </c>
      <c r="Y33" s="48">
        <f>IF(ISNUMBER(X33),IF(AND(T33=1,U33=1,V33=1),100,MIN(99,100*EXP(X33)/(1+EXP(X33)))),"N/A")</f>
        <v>0</v>
      </c>
      <c r="Z33" s="48">
        <f>IF(ISNUMBER(Y33),IF(Y33&gt;=99,SureThingLabel,IF(Y33&gt;=95,SecureLabel,IF(Y33&gt;=80,SafetyLabel,IF(Y33&gt;=50,MatchLabel,IF(Y33&gt;=20,ReachLabel,IF(Y33&gt;=10,LongshotLabel,HailMaryLabel)))))),"Other")</f>
        <v>0</v>
      </c>
      <c r="AA33" s="48">
        <f>IF($F33&gt;=J$3,1,0)</f>
        <v>0</v>
      </c>
      <c r="AB33" s="48">
        <f>IF($F33&gt;=J$2,1,0)</f>
        <v>0</v>
      </c>
      <c r="AC33" s="48">
        <f>IF(ISNUMBER(Y33),1-Y33/100,1)</f>
        <v>0</v>
      </c>
      <c r="AD33" s="49">
        <f>IF(AA33=1,AC33,1)</f>
        <v>0</v>
      </c>
      <c r="AE33" s="49">
        <f>IF(AB33=1,AC33,1)</f>
        <v>0</v>
      </c>
      <c r="AF33" s="49">
        <f>IF(L33=1,AD33,1)</f>
        <v>0</v>
      </c>
      <c r="AG33" s="49">
        <f>IF(L33=1,AE33,1)</f>
        <v>0</v>
      </c>
    </row>
    <row r="34" spans="1:33">
      <c r="A34" s="69">
        <f>A33</f>
        <v>0</v>
      </c>
      <c r="B34" s="69">
        <f>B33</f>
        <v>0</v>
      </c>
      <c r="D34" s="18">
        <f>INDEX(ExtraCollegeNCES,MATCH(E34,ExtraCollegeChoice,0))</f>
        <v>0</v>
      </c>
      <c r="E34" s="78"/>
      <c r="F34" s="11">
        <f>IF(ISERROR(D34),"",INDEX(IF(OR(H3="H",H3="B",H3="I",H3="M"),AllCollegeAAHGR,AllCollegeGR),MATCH(D34,AllCollegeNCES,0)))</f>
        <v>0</v>
      </c>
      <c r="G34" s="11">
        <f>IF(ISERROR(D34),"",IF(ISNUMBER(Y34),Y34/100,"N/A"))</f>
        <v>0</v>
      </c>
      <c r="H34" s="11">
        <f>IF(ISERROR(D34),"",Z34)</f>
        <v>0</v>
      </c>
      <c r="I34" s="11">
        <f>IF(ISERROR(D34),"","N/A")</f>
        <v>0</v>
      </c>
      <c r="J34" s="11">
        <f>IF(ISERROR(D34),"",INDEX(AllCollegeMoneyCode,MATCH(D34,AllCollegeNCES,0)))</f>
        <v>0</v>
      </c>
      <c r="K34" s="48">
        <f>INDEX(AllCollegeBarrons,MATCH(D34,AllCollegeNCES,0))</f>
        <v>0</v>
      </c>
      <c r="L34" s="48">
        <f>IF(ISERROR(D34),"",INDEX(AllCollegeMoney,MATCH(D34,AllCollegeNCES,0)))</f>
        <v>0</v>
      </c>
      <c r="M34" s="48">
        <f>INDEX(AllCollegeSAT25,MATCH(D34,AllCollegeNCES,0))</f>
        <v>0</v>
      </c>
      <c r="N34" s="48">
        <f>G3</f>
        <v>0</v>
      </c>
      <c r="O34" s="48">
        <f>F4</f>
        <v>0</v>
      </c>
      <c r="P34" s="48">
        <f>INDEX(CustomWeightsGPA,MATCH($H3&amp;":"&amp;$D34,CustomWeightsIndex,0))</f>
        <v>0</v>
      </c>
      <c r="Q34" s="48">
        <f>INDEX(CustomWeightsSAT,MATCH($H3&amp;":"&amp;$D34,CustomWeightsIndex,0))</f>
        <v>0</v>
      </c>
      <c r="R34" s="48">
        <f>INDEX(CustomWeightsIntercept,MATCH($H3&amp;":"&amp;$D34,CustomWeightsIndex,0))</f>
        <v>0</v>
      </c>
      <c r="S34" s="48">
        <f>P34*N34+Q34*O34+R34</f>
        <v>0</v>
      </c>
      <c r="T34" s="48">
        <f>INDEX(CoefficientsGPA,MATCH($H3&amp;":"&amp;$K34,CoefficientsIndex,0))</f>
        <v>0</v>
      </c>
      <c r="U34" s="48">
        <f>INDEX(CoefficientsSAT,MATCH($H3&amp;":"&amp;$K34,CoefficientsIndex,0))</f>
        <v>0</v>
      </c>
      <c r="V34" s="48">
        <f>INDEX(CoefficientsIntercept,MATCH($H3&amp;":"&amp;$K34,CoefficientsIndex,0))</f>
        <v>0</v>
      </c>
      <c r="W34" s="48">
        <f>T34*N34+(O34-M34)*U34+V34</f>
        <v>0</v>
      </c>
      <c r="X34" s="48">
        <f>IF(ISNUMBER(S34),S34,W34)</f>
        <v>0</v>
      </c>
      <c r="Y34" s="48">
        <f>IF(ISNUMBER(X34),IF(AND(T34=1,U34=1,V34=1),100,MIN(99,100*EXP(X34)/(1+EXP(X34)))),"N/A")</f>
        <v>0</v>
      </c>
      <c r="Z34" s="48">
        <f>IF(ISNUMBER(Y34),IF(Y34&gt;=99,SureThingLabel,IF(Y34&gt;=95,SecureLabel,IF(Y34&gt;=80,SafetyLabel,IF(Y34&gt;=50,MatchLabel,IF(Y34&gt;=20,ReachLabel,IF(Y34&gt;=10,LongshotLabel,HailMaryLabel)))))),"Other")</f>
        <v>0</v>
      </c>
      <c r="AA34" s="48">
        <f>IF($F34&gt;=J$3,1,0)</f>
        <v>0</v>
      </c>
      <c r="AB34" s="48">
        <f>IF($F34&gt;=J$2,1,0)</f>
        <v>0</v>
      </c>
      <c r="AC34" s="48">
        <f>IF(ISNUMBER(Y34),1-Y34/100,1)</f>
        <v>0</v>
      </c>
      <c r="AD34" s="49">
        <f>IF(AA34=1,AC34,1)</f>
        <v>0</v>
      </c>
      <c r="AE34" s="49">
        <f>IF(AB34=1,AC34,1)</f>
        <v>0</v>
      </c>
      <c r="AF34" s="49">
        <f>IF(L34=1,AD34,1)</f>
        <v>0</v>
      </c>
      <c r="AG34" s="49">
        <f>IF(L34=1,AE34,1)</f>
        <v>0</v>
      </c>
    </row>
    <row r="35" spans="1:33">
      <c r="A35" s="69">
        <f>A34</f>
        <v>0</v>
      </c>
      <c r="B35" s="69">
        <f>B34</f>
        <v>0</v>
      </c>
      <c r="D35" s="18">
        <f>INDEX(ExtraCollegeNCES,MATCH(E35,ExtraCollegeChoice,0))</f>
        <v>0</v>
      </c>
      <c r="E35" s="78"/>
      <c r="F35" s="11">
        <f>IF(ISERROR(D35),"",INDEX(IF(OR(H3="H",H3="B",H3="I",H3="M"),AllCollegeAAHGR,AllCollegeGR),MATCH(D35,AllCollegeNCES,0)))</f>
        <v>0</v>
      </c>
      <c r="G35" s="11">
        <f>IF(ISERROR(D35),"",IF(ISNUMBER(Y35),Y35/100,"N/A"))</f>
        <v>0</v>
      </c>
      <c r="H35" s="11">
        <f>IF(ISERROR(D35),"",Z35)</f>
        <v>0</v>
      </c>
      <c r="I35" s="11">
        <f>IF(ISERROR(D35),"","N/A")</f>
        <v>0</v>
      </c>
      <c r="J35" s="11">
        <f>IF(ISERROR(D35),"",INDEX(AllCollegeMoneyCode,MATCH(D35,AllCollegeNCES,0)))</f>
        <v>0</v>
      </c>
      <c r="K35" s="48">
        <f>INDEX(AllCollegeBarrons,MATCH(D35,AllCollegeNCES,0))</f>
        <v>0</v>
      </c>
      <c r="L35" s="48">
        <f>IF(ISERROR(D35),"",INDEX(AllCollegeMoney,MATCH(D35,AllCollegeNCES,0)))</f>
        <v>0</v>
      </c>
      <c r="M35" s="48">
        <f>INDEX(AllCollegeSAT25,MATCH(D35,AllCollegeNCES,0))</f>
        <v>0</v>
      </c>
      <c r="N35" s="48">
        <f>G3</f>
        <v>0</v>
      </c>
      <c r="O35" s="48">
        <f>F4</f>
        <v>0</v>
      </c>
      <c r="P35" s="48">
        <f>INDEX(CustomWeightsGPA,MATCH($H3&amp;":"&amp;$D35,CustomWeightsIndex,0))</f>
        <v>0</v>
      </c>
      <c r="Q35" s="48">
        <f>INDEX(CustomWeightsSAT,MATCH($H3&amp;":"&amp;$D35,CustomWeightsIndex,0))</f>
        <v>0</v>
      </c>
      <c r="R35" s="48">
        <f>INDEX(CustomWeightsIntercept,MATCH($H3&amp;":"&amp;$D35,CustomWeightsIndex,0))</f>
        <v>0</v>
      </c>
      <c r="S35" s="48">
        <f>P35*N35+Q35*O35+R35</f>
        <v>0</v>
      </c>
      <c r="T35" s="48">
        <f>INDEX(CoefficientsGPA,MATCH($H3&amp;":"&amp;$K35,CoefficientsIndex,0))</f>
        <v>0</v>
      </c>
      <c r="U35" s="48">
        <f>INDEX(CoefficientsSAT,MATCH($H3&amp;":"&amp;$K35,CoefficientsIndex,0))</f>
        <v>0</v>
      </c>
      <c r="V35" s="48">
        <f>INDEX(CoefficientsIntercept,MATCH($H3&amp;":"&amp;$K35,CoefficientsIndex,0))</f>
        <v>0</v>
      </c>
      <c r="W35" s="48">
        <f>T35*N35+(O35-M35)*U35+V35</f>
        <v>0</v>
      </c>
      <c r="X35" s="48">
        <f>IF(ISNUMBER(S35),S35,W35)</f>
        <v>0</v>
      </c>
      <c r="Y35" s="48">
        <f>IF(ISNUMBER(X35),IF(AND(T35=1,U35=1,V35=1),100,MIN(99,100*EXP(X35)/(1+EXP(X35)))),"N/A")</f>
        <v>0</v>
      </c>
      <c r="Z35" s="48">
        <f>IF(ISNUMBER(Y35),IF(Y35&gt;=99,SureThingLabel,IF(Y35&gt;=95,SecureLabel,IF(Y35&gt;=80,SafetyLabel,IF(Y35&gt;=50,MatchLabel,IF(Y35&gt;=20,ReachLabel,IF(Y35&gt;=10,LongshotLabel,HailMaryLabel)))))),"Other")</f>
        <v>0</v>
      </c>
      <c r="AA35" s="48">
        <f>IF($F35&gt;=J$3,1,0)</f>
        <v>0</v>
      </c>
      <c r="AB35" s="48">
        <f>IF($F35&gt;=J$2,1,0)</f>
        <v>0</v>
      </c>
      <c r="AC35" s="48">
        <f>IF(ISNUMBER(Y35),1-Y35/100,1)</f>
        <v>0</v>
      </c>
      <c r="AD35" s="49">
        <f>IF(AA35=1,AC35,1)</f>
        <v>0</v>
      </c>
      <c r="AE35" s="49">
        <f>IF(AB35=1,AC35,1)</f>
        <v>0</v>
      </c>
      <c r="AF35" s="49">
        <f>IF(L35=1,AD35,1)</f>
        <v>0</v>
      </c>
      <c r="AG35" s="49">
        <f>IF(L35=1,AE35,1)</f>
        <v>0</v>
      </c>
    </row>
    <row r="36" spans="1:33">
      <c r="A36" s="69">
        <f>A35</f>
        <v>0</v>
      </c>
      <c r="B36" s="69">
        <f>B35</f>
        <v>0</v>
      </c>
      <c r="D36" s="18">
        <f>INDEX(ExtraCollegeNCES,MATCH(E36,ExtraCollegeChoice,0))</f>
        <v>0</v>
      </c>
      <c r="E36" s="78"/>
      <c r="F36" s="11">
        <f>IF(ISERROR(D36),"",INDEX(IF(OR(H3="H",H3="B",H3="I",H3="M"),AllCollegeAAHGR,AllCollegeGR),MATCH(D36,AllCollegeNCES,0)))</f>
        <v>0</v>
      </c>
      <c r="G36" s="11">
        <f>IF(ISERROR(D36),"",IF(ISNUMBER(Y36),Y36/100,"N/A"))</f>
        <v>0</v>
      </c>
      <c r="H36" s="11">
        <f>IF(ISERROR(D36),"",Z36)</f>
        <v>0</v>
      </c>
      <c r="I36" s="11">
        <f>IF(ISERROR(D36),"","N/A")</f>
        <v>0</v>
      </c>
      <c r="J36" s="11">
        <f>IF(ISERROR(D36),"",INDEX(AllCollegeMoneyCode,MATCH(D36,AllCollegeNCES,0)))</f>
        <v>0</v>
      </c>
      <c r="K36" s="48">
        <f>INDEX(AllCollegeBarrons,MATCH(D36,AllCollegeNCES,0))</f>
        <v>0</v>
      </c>
      <c r="L36" s="48">
        <f>IF(ISERROR(D36),"",INDEX(AllCollegeMoney,MATCH(D36,AllCollegeNCES,0)))</f>
        <v>0</v>
      </c>
      <c r="M36" s="48">
        <f>INDEX(AllCollegeSAT25,MATCH(D36,AllCollegeNCES,0))</f>
        <v>0</v>
      </c>
      <c r="N36" s="48">
        <f>G3</f>
        <v>0</v>
      </c>
      <c r="O36" s="48">
        <f>F4</f>
        <v>0</v>
      </c>
      <c r="P36" s="48">
        <f>INDEX(CustomWeightsGPA,MATCH($H3&amp;":"&amp;$D36,CustomWeightsIndex,0))</f>
        <v>0</v>
      </c>
      <c r="Q36" s="48">
        <f>INDEX(CustomWeightsSAT,MATCH($H3&amp;":"&amp;$D36,CustomWeightsIndex,0))</f>
        <v>0</v>
      </c>
      <c r="R36" s="48">
        <f>INDEX(CustomWeightsIntercept,MATCH($H3&amp;":"&amp;$D36,CustomWeightsIndex,0))</f>
        <v>0</v>
      </c>
      <c r="S36" s="48">
        <f>P36*N36+Q36*O36+R36</f>
        <v>0</v>
      </c>
      <c r="T36" s="48">
        <f>INDEX(CoefficientsGPA,MATCH($H3&amp;":"&amp;$K36,CoefficientsIndex,0))</f>
        <v>0</v>
      </c>
      <c r="U36" s="48">
        <f>INDEX(CoefficientsSAT,MATCH($H3&amp;":"&amp;$K36,CoefficientsIndex,0))</f>
        <v>0</v>
      </c>
      <c r="V36" s="48">
        <f>INDEX(CoefficientsIntercept,MATCH($H3&amp;":"&amp;$K36,CoefficientsIndex,0))</f>
        <v>0</v>
      </c>
      <c r="W36" s="48">
        <f>T36*N36+(O36-M36)*U36+V36</f>
        <v>0</v>
      </c>
      <c r="X36" s="48">
        <f>IF(ISNUMBER(S36),S36,W36)</f>
        <v>0</v>
      </c>
      <c r="Y36" s="48">
        <f>IF(ISNUMBER(X36),IF(AND(T36=1,U36=1,V36=1),100,MIN(99,100*EXP(X36)/(1+EXP(X36)))),"N/A")</f>
        <v>0</v>
      </c>
      <c r="Z36" s="48">
        <f>IF(ISNUMBER(Y36),IF(Y36&gt;=99,SureThingLabel,IF(Y36&gt;=95,SecureLabel,IF(Y36&gt;=80,SafetyLabel,IF(Y36&gt;=50,MatchLabel,IF(Y36&gt;=20,ReachLabel,IF(Y36&gt;=10,LongshotLabel,HailMaryLabel)))))),"Other")</f>
        <v>0</v>
      </c>
      <c r="AA36" s="48">
        <f>IF($F36&gt;=J$3,1,0)</f>
        <v>0</v>
      </c>
      <c r="AB36" s="48">
        <f>IF($F36&gt;=J$2,1,0)</f>
        <v>0</v>
      </c>
      <c r="AC36" s="48">
        <f>IF(ISNUMBER(Y36),1-Y36/100,1)</f>
        <v>0</v>
      </c>
      <c r="AD36" s="49">
        <f>IF(AA36=1,AC36,1)</f>
        <v>0</v>
      </c>
      <c r="AE36" s="49">
        <f>IF(AB36=1,AC36,1)</f>
        <v>0</v>
      </c>
      <c r="AF36" s="49">
        <f>IF(L36=1,AD36,1)</f>
        <v>0</v>
      </c>
      <c r="AG36" s="49">
        <f>IF(L36=1,AE36,1)</f>
        <v>0</v>
      </c>
    </row>
    <row r="37" spans="1:33">
      <c r="A37" s="69">
        <f>A36</f>
        <v>0</v>
      </c>
      <c r="B37" s="69">
        <f>B36</f>
        <v>0</v>
      </c>
      <c r="D37" s="18">
        <f>INDEX(ExtraCollegeNCES,MATCH(E37,ExtraCollegeChoice,0))</f>
        <v>0</v>
      </c>
      <c r="E37" s="78"/>
      <c r="F37" s="11">
        <f>IF(ISERROR(D37),"",INDEX(IF(OR(H3="H",H3="B",H3="I",H3="M"),AllCollegeAAHGR,AllCollegeGR),MATCH(D37,AllCollegeNCES,0)))</f>
        <v>0</v>
      </c>
      <c r="G37" s="11">
        <f>IF(ISERROR(D37),"",IF(ISNUMBER(Y37),Y37/100,"N/A"))</f>
        <v>0</v>
      </c>
      <c r="H37" s="11">
        <f>IF(ISERROR(D37),"",Z37)</f>
        <v>0</v>
      </c>
      <c r="I37" s="11">
        <f>IF(ISERROR(D37),"","N/A")</f>
        <v>0</v>
      </c>
      <c r="J37" s="11">
        <f>IF(ISERROR(D37),"",INDEX(AllCollegeMoneyCode,MATCH(D37,AllCollegeNCES,0)))</f>
        <v>0</v>
      </c>
      <c r="K37" s="48">
        <f>INDEX(AllCollegeBarrons,MATCH(D37,AllCollegeNCES,0))</f>
        <v>0</v>
      </c>
      <c r="L37" s="48">
        <f>IF(ISERROR(D37),"",INDEX(AllCollegeMoney,MATCH(D37,AllCollegeNCES,0)))</f>
        <v>0</v>
      </c>
      <c r="M37" s="48">
        <f>INDEX(AllCollegeSAT25,MATCH(D37,AllCollegeNCES,0))</f>
        <v>0</v>
      </c>
      <c r="N37" s="48">
        <f>G3</f>
        <v>0</v>
      </c>
      <c r="O37" s="48">
        <f>F4</f>
        <v>0</v>
      </c>
      <c r="P37" s="48">
        <f>INDEX(CustomWeightsGPA,MATCH($H3&amp;":"&amp;$D37,CustomWeightsIndex,0))</f>
        <v>0</v>
      </c>
      <c r="Q37" s="48">
        <f>INDEX(CustomWeightsSAT,MATCH($H3&amp;":"&amp;$D37,CustomWeightsIndex,0))</f>
        <v>0</v>
      </c>
      <c r="R37" s="48">
        <f>INDEX(CustomWeightsIntercept,MATCH($H3&amp;":"&amp;$D37,CustomWeightsIndex,0))</f>
        <v>0</v>
      </c>
      <c r="S37" s="48">
        <f>P37*N37+Q37*O37+R37</f>
        <v>0</v>
      </c>
      <c r="T37" s="48">
        <f>INDEX(CoefficientsGPA,MATCH($H3&amp;":"&amp;$K37,CoefficientsIndex,0))</f>
        <v>0</v>
      </c>
      <c r="U37" s="48">
        <f>INDEX(CoefficientsSAT,MATCH($H3&amp;":"&amp;$K37,CoefficientsIndex,0))</f>
        <v>0</v>
      </c>
      <c r="V37" s="48">
        <f>INDEX(CoefficientsIntercept,MATCH($H3&amp;":"&amp;$K37,CoefficientsIndex,0))</f>
        <v>0</v>
      </c>
      <c r="W37" s="48">
        <f>T37*N37+(O37-M37)*U37+V37</f>
        <v>0</v>
      </c>
      <c r="X37" s="48">
        <f>IF(ISNUMBER(S37),S37,W37)</f>
        <v>0</v>
      </c>
      <c r="Y37" s="48">
        <f>IF(ISNUMBER(X37),IF(AND(T37=1,U37=1,V37=1),100,MIN(99,100*EXP(X37)/(1+EXP(X37)))),"N/A")</f>
        <v>0</v>
      </c>
      <c r="Z37" s="48">
        <f>IF(ISNUMBER(Y37),IF(Y37&gt;=99,SureThingLabel,IF(Y37&gt;=95,SecureLabel,IF(Y37&gt;=80,SafetyLabel,IF(Y37&gt;=50,MatchLabel,IF(Y37&gt;=20,ReachLabel,IF(Y37&gt;=10,LongshotLabel,HailMaryLabel)))))),"Other")</f>
        <v>0</v>
      </c>
      <c r="AA37" s="48">
        <f>IF($F37&gt;=J$3,1,0)</f>
        <v>0</v>
      </c>
      <c r="AB37" s="48">
        <f>IF($F37&gt;=J$2,1,0)</f>
        <v>0</v>
      </c>
      <c r="AC37" s="48">
        <f>IF(ISNUMBER(Y37),1-Y37/100,1)</f>
        <v>0</v>
      </c>
      <c r="AD37" s="49">
        <f>IF(AA37=1,AC37,1)</f>
        <v>0</v>
      </c>
      <c r="AE37" s="49">
        <f>IF(AB37=1,AC37,1)</f>
        <v>0</v>
      </c>
      <c r="AF37" s="49">
        <f>IF(L37=1,AD37,1)</f>
        <v>0</v>
      </c>
      <c r="AG37" s="49">
        <f>IF(L37=1,AE37,1)</f>
        <v>0</v>
      </c>
    </row>
    <row r="38" spans="1:33">
      <c r="A38" s="69">
        <f>A37</f>
        <v>0</v>
      </c>
      <c r="B38" s="69">
        <f>B37</f>
        <v>0</v>
      </c>
      <c r="D38" s="18">
        <f>INDEX(ExtraCollegeNCES,MATCH(E38,ExtraCollegeChoice,0))</f>
        <v>0</v>
      </c>
      <c r="E38" s="78"/>
      <c r="F38" s="11">
        <f>IF(ISERROR(D38),"",INDEX(IF(OR(H3="H",H3="B",H3="I",H3="M"),AllCollegeAAHGR,AllCollegeGR),MATCH(D38,AllCollegeNCES,0)))</f>
        <v>0</v>
      </c>
      <c r="G38" s="11">
        <f>IF(ISERROR(D38),"",IF(ISNUMBER(Y38),Y38/100,"N/A"))</f>
        <v>0</v>
      </c>
      <c r="H38" s="11">
        <f>IF(ISERROR(D38),"",Z38)</f>
        <v>0</v>
      </c>
      <c r="I38" s="11">
        <f>IF(ISERROR(D38),"","N/A")</f>
        <v>0</v>
      </c>
      <c r="J38" s="11">
        <f>IF(ISERROR(D38),"",INDEX(AllCollegeMoneyCode,MATCH(D38,AllCollegeNCES,0)))</f>
        <v>0</v>
      </c>
      <c r="K38" s="48">
        <f>INDEX(AllCollegeBarrons,MATCH(D38,AllCollegeNCES,0))</f>
        <v>0</v>
      </c>
      <c r="L38" s="48">
        <f>IF(ISERROR(D38),"",INDEX(AllCollegeMoney,MATCH(D38,AllCollegeNCES,0)))</f>
        <v>0</v>
      </c>
      <c r="M38" s="48">
        <f>INDEX(AllCollegeSAT25,MATCH(D38,AllCollegeNCES,0))</f>
        <v>0</v>
      </c>
      <c r="N38" s="48">
        <f>G3</f>
        <v>0</v>
      </c>
      <c r="O38" s="48">
        <f>F4</f>
        <v>0</v>
      </c>
      <c r="P38" s="48">
        <f>INDEX(CustomWeightsGPA,MATCH($H3&amp;":"&amp;$D38,CustomWeightsIndex,0))</f>
        <v>0</v>
      </c>
      <c r="Q38" s="48">
        <f>INDEX(CustomWeightsSAT,MATCH($H3&amp;":"&amp;$D38,CustomWeightsIndex,0))</f>
        <v>0</v>
      </c>
      <c r="R38" s="48">
        <f>INDEX(CustomWeightsIntercept,MATCH($H3&amp;":"&amp;$D38,CustomWeightsIndex,0))</f>
        <v>0</v>
      </c>
      <c r="S38" s="48">
        <f>P38*N38+Q38*O38+R38</f>
        <v>0</v>
      </c>
      <c r="T38" s="48">
        <f>INDEX(CoefficientsGPA,MATCH($H3&amp;":"&amp;$K38,CoefficientsIndex,0))</f>
        <v>0</v>
      </c>
      <c r="U38" s="48">
        <f>INDEX(CoefficientsSAT,MATCH($H3&amp;":"&amp;$K38,CoefficientsIndex,0))</f>
        <v>0</v>
      </c>
      <c r="V38" s="48">
        <f>INDEX(CoefficientsIntercept,MATCH($H3&amp;":"&amp;$K38,CoefficientsIndex,0))</f>
        <v>0</v>
      </c>
      <c r="W38" s="48">
        <f>T38*N38+(O38-M38)*U38+V38</f>
        <v>0</v>
      </c>
      <c r="X38" s="48">
        <f>IF(ISNUMBER(S38),S38,W38)</f>
        <v>0</v>
      </c>
      <c r="Y38" s="48">
        <f>IF(ISNUMBER(X38),IF(AND(T38=1,U38=1,V38=1),100,MIN(99,100*EXP(X38)/(1+EXP(X38)))),"N/A")</f>
        <v>0</v>
      </c>
      <c r="Z38" s="48">
        <f>IF(ISNUMBER(Y38),IF(Y38&gt;=99,SureThingLabel,IF(Y38&gt;=95,SecureLabel,IF(Y38&gt;=80,SafetyLabel,IF(Y38&gt;=50,MatchLabel,IF(Y38&gt;=20,ReachLabel,IF(Y38&gt;=10,LongshotLabel,HailMaryLabel)))))),"Other")</f>
        <v>0</v>
      </c>
      <c r="AA38" s="48">
        <f>IF($F38&gt;=J$3,1,0)</f>
        <v>0</v>
      </c>
      <c r="AB38" s="48">
        <f>IF($F38&gt;=J$2,1,0)</f>
        <v>0</v>
      </c>
      <c r="AC38" s="48">
        <f>IF(ISNUMBER(Y38),1-Y38/100,1)</f>
        <v>0</v>
      </c>
      <c r="AD38" s="49">
        <f>IF(AA38=1,AC38,1)</f>
        <v>0</v>
      </c>
      <c r="AE38" s="49">
        <f>IF(AB38=1,AC38,1)</f>
        <v>0</v>
      </c>
      <c r="AF38" s="49">
        <f>IF(L38=1,AD38,1)</f>
        <v>0</v>
      </c>
      <c r="AG38" s="49">
        <f>IF(L38=1,AE38,1)</f>
        <v>0</v>
      </c>
    </row>
    <row r="39" spans="1:33">
      <c r="A39" s="69">
        <f>A38</f>
        <v>0</v>
      </c>
      <c r="B39" s="69">
        <f>B38</f>
        <v>0</v>
      </c>
      <c r="D39" s="18">
        <f>INDEX(ExtraCollegeNCES,MATCH(E39,ExtraCollegeChoice,0))</f>
        <v>0</v>
      </c>
      <c r="E39" s="78"/>
      <c r="F39" s="11">
        <f>IF(ISERROR(D39),"",INDEX(IF(OR(H3="H",H3="B",H3="I",H3="M"),AllCollegeAAHGR,AllCollegeGR),MATCH(D39,AllCollegeNCES,0)))</f>
        <v>0</v>
      </c>
      <c r="G39" s="11">
        <f>IF(ISERROR(D39),"",IF(ISNUMBER(Y39),Y39/100,"N/A"))</f>
        <v>0</v>
      </c>
      <c r="H39" s="11">
        <f>IF(ISERROR(D39),"",Z39)</f>
        <v>0</v>
      </c>
      <c r="I39" s="11">
        <f>IF(ISERROR(D39),"","N/A")</f>
        <v>0</v>
      </c>
      <c r="J39" s="11">
        <f>IF(ISERROR(D39),"",INDEX(AllCollegeMoneyCode,MATCH(D39,AllCollegeNCES,0)))</f>
        <v>0</v>
      </c>
      <c r="K39" s="48">
        <f>INDEX(AllCollegeBarrons,MATCH(D39,AllCollegeNCES,0))</f>
        <v>0</v>
      </c>
      <c r="L39" s="48">
        <f>IF(ISERROR(D39),"",INDEX(AllCollegeMoney,MATCH(D39,AllCollegeNCES,0)))</f>
        <v>0</v>
      </c>
      <c r="M39" s="48">
        <f>INDEX(AllCollegeSAT25,MATCH(D39,AllCollegeNCES,0))</f>
        <v>0</v>
      </c>
      <c r="N39" s="48">
        <f>G3</f>
        <v>0</v>
      </c>
      <c r="O39" s="48">
        <f>F4</f>
        <v>0</v>
      </c>
      <c r="P39" s="48">
        <f>INDEX(CustomWeightsGPA,MATCH($H3&amp;":"&amp;$D39,CustomWeightsIndex,0))</f>
        <v>0</v>
      </c>
      <c r="Q39" s="48">
        <f>INDEX(CustomWeightsSAT,MATCH($H3&amp;":"&amp;$D39,CustomWeightsIndex,0))</f>
        <v>0</v>
      </c>
      <c r="R39" s="48">
        <f>INDEX(CustomWeightsIntercept,MATCH($H3&amp;":"&amp;$D39,CustomWeightsIndex,0))</f>
        <v>0</v>
      </c>
      <c r="S39" s="48">
        <f>P39*N39+Q39*O39+R39</f>
        <v>0</v>
      </c>
      <c r="T39" s="48">
        <f>INDEX(CoefficientsGPA,MATCH($H3&amp;":"&amp;$K39,CoefficientsIndex,0))</f>
        <v>0</v>
      </c>
      <c r="U39" s="48">
        <f>INDEX(CoefficientsSAT,MATCH($H3&amp;":"&amp;$K39,CoefficientsIndex,0))</f>
        <v>0</v>
      </c>
      <c r="V39" s="48">
        <f>INDEX(CoefficientsIntercept,MATCH($H3&amp;":"&amp;$K39,CoefficientsIndex,0))</f>
        <v>0</v>
      </c>
      <c r="W39" s="48">
        <f>T39*N39+(O39-M39)*U39+V39</f>
        <v>0</v>
      </c>
      <c r="X39" s="48">
        <f>IF(ISNUMBER(S39),S39,W39)</f>
        <v>0</v>
      </c>
      <c r="Y39" s="48">
        <f>IF(ISNUMBER(X39),IF(AND(T39=1,U39=1,V39=1),100,MIN(99,100*EXP(X39)/(1+EXP(X39)))),"N/A")</f>
        <v>0</v>
      </c>
      <c r="Z39" s="48">
        <f>IF(ISNUMBER(Y39),IF(Y39&gt;=99,SureThingLabel,IF(Y39&gt;=95,SecureLabel,IF(Y39&gt;=80,SafetyLabel,IF(Y39&gt;=50,MatchLabel,IF(Y39&gt;=20,ReachLabel,IF(Y39&gt;=10,LongshotLabel,HailMaryLabel)))))),"Other")</f>
        <v>0</v>
      </c>
      <c r="AA39" s="48">
        <f>IF($F39&gt;=J$3,1,0)</f>
        <v>0</v>
      </c>
      <c r="AB39" s="48">
        <f>IF($F39&gt;=J$2,1,0)</f>
        <v>0</v>
      </c>
      <c r="AC39" s="48">
        <f>IF(ISNUMBER(Y39),1-Y39/100,1)</f>
        <v>0</v>
      </c>
      <c r="AD39" s="49">
        <f>IF(AA39=1,AC39,1)</f>
        <v>0</v>
      </c>
      <c r="AE39" s="49">
        <f>IF(AB39=1,AC39,1)</f>
        <v>0</v>
      </c>
      <c r="AF39" s="49">
        <f>IF(L39=1,AD39,1)</f>
        <v>0</v>
      </c>
      <c r="AG39" s="49">
        <f>IF(L39=1,AE39,1)</f>
        <v>0</v>
      </c>
    </row>
    <row r="40" spans="1:33">
      <c r="A40" s="69">
        <f>A39</f>
        <v>0</v>
      </c>
      <c r="B40" s="69">
        <f>B39</f>
        <v>0</v>
      </c>
      <c r="D40" s="18">
        <f>INDEX(ExtraCollegeNCES,MATCH(E40,ExtraCollegeChoice,0))</f>
        <v>0</v>
      </c>
      <c r="E40" s="78"/>
      <c r="F40" s="11">
        <f>IF(ISERROR(D40),"",INDEX(IF(OR(H3="H",H3="B",H3="I",H3="M"),AllCollegeAAHGR,AllCollegeGR),MATCH(D40,AllCollegeNCES,0)))</f>
        <v>0</v>
      </c>
      <c r="G40" s="11">
        <f>IF(ISERROR(D40),"",IF(ISNUMBER(Y40),Y40/100,"N/A"))</f>
        <v>0</v>
      </c>
      <c r="H40" s="11">
        <f>IF(ISERROR(D40),"",Z40)</f>
        <v>0</v>
      </c>
      <c r="I40" s="11">
        <f>IF(ISERROR(D40),"","N/A")</f>
        <v>0</v>
      </c>
      <c r="J40" s="11">
        <f>IF(ISERROR(D40),"",INDEX(AllCollegeMoneyCode,MATCH(D40,AllCollegeNCES,0)))</f>
        <v>0</v>
      </c>
      <c r="K40" s="48">
        <f>INDEX(AllCollegeBarrons,MATCH(D40,AllCollegeNCES,0))</f>
        <v>0</v>
      </c>
      <c r="L40" s="48">
        <f>IF(ISERROR(D40),"",INDEX(AllCollegeMoney,MATCH(D40,AllCollegeNCES,0)))</f>
        <v>0</v>
      </c>
      <c r="M40" s="48">
        <f>INDEX(AllCollegeSAT25,MATCH(D40,AllCollegeNCES,0))</f>
        <v>0</v>
      </c>
      <c r="N40" s="48">
        <f>G3</f>
        <v>0</v>
      </c>
      <c r="O40" s="48">
        <f>F4</f>
        <v>0</v>
      </c>
      <c r="P40" s="48">
        <f>INDEX(CustomWeightsGPA,MATCH($H3&amp;":"&amp;$D40,CustomWeightsIndex,0))</f>
        <v>0</v>
      </c>
      <c r="Q40" s="48">
        <f>INDEX(CustomWeightsSAT,MATCH($H3&amp;":"&amp;$D40,CustomWeightsIndex,0))</f>
        <v>0</v>
      </c>
      <c r="R40" s="48">
        <f>INDEX(CustomWeightsIntercept,MATCH($H3&amp;":"&amp;$D40,CustomWeightsIndex,0))</f>
        <v>0</v>
      </c>
      <c r="S40" s="48">
        <f>P40*N40+Q40*O40+R40</f>
        <v>0</v>
      </c>
      <c r="T40" s="48">
        <f>INDEX(CoefficientsGPA,MATCH($H3&amp;":"&amp;$K40,CoefficientsIndex,0))</f>
        <v>0</v>
      </c>
      <c r="U40" s="48">
        <f>INDEX(CoefficientsSAT,MATCH($H3&amp;":"&amp;$K40,CoefficientsIndex,0))</f>
        <v>0</v>
      </c>
      <c r="V40" s="48">
        <f>INDEX(CoefficientsIntercept,MATCH($H3&amp;":"&amp;$K40,CoefficientsIndex,0))</f>
        <v>0</v>
      </c>
      <c r="W40" s="48">
        <f>T40*N40+(O40-M40)*U40+V40</f>
        <v>0</v>
      </c>
      <c r="X40" s="48">
        <f>IF(ISNUMBER(S40),S40,W40)</f>
        <v>0</v>
      </c>
      <c r="Y40" s="48">
        <f>IF(ISNUMBER(X40),IF(AND(T40=1,U40=1,V40=1),100,MIN(99,100*EXP(X40)/(1+EXP(X40)))),"N/A")</f>
        <v>0</v>
      </c>
      <c r="Z40" s="48">
        <f>IF(ISNUMBER(Y40),IF(Y40&gt;=99,SureThingLabel,IF(Y40&gt;=95,SecureLabel,IF(Y40&gt;=80,SafetyLabel,IF(Y40&gt;=50,MatchLabel,IF(Y40&gt;=20,ReachLabel,IF(Y40&gt;=10,LongshotLabel,HailMaryLabel)))))),"Other")</f>
        <v>0</v>
      </c>
      <c r="AA40" s="48">
        <f>IF($F40&gt;=J$3,1,0)</f>
        <v>0</v>
      </c>
      <c r="AB40" s="48">
        <f>IF($F40&gt;=J$2,1,0)</f>
        <v>0</v>
      </c>
      <c r="AC40" s="48">
        <f>IF(ISNUMBER(Y40),1-Y40/100,1)</f>
        <v>0</v>
      </c>
      <c r="AD40" s="49">
        <f>IF(AA40=1,AC40,1)</f>
        <v>0</v>
      </c>
      <c r="AE40" s="49">
        <f>IF(AB40=1,AC40,1)</f>
        <v>0</v>
      </c>
      <c r="AF40" s="49">
        <f>IF(L40=1,AD40,1)</f>
        <v>0</v>
      </c>
      <c r="AG40" s="49">
        <f>IF(L40=1,AE40,1)</f>
        <v>0</v>
      </c>
    </row>
    <row r="41" spans="1:33">
      <c r="A41" s="69">
        <f>A40</f>
        <v>0</v>
      </c>
      <c r="B41" s="69">
        <f>B40</f>
        <v>0</v>
      </c>
      <c r="D41" s="18">
        <f>INDEX(ExtraCollegeNCES,MATCH(E41,ExtraCollegeChoice,0))</f>
        <v>0</v>
      </c>
      <c r="E41" s="78"/>
      <c r="F41" s="11">
        <f>IF(ISERROR(D41),"",INDEX(IF(OR(H3="H",H3="B",H3="I",H3="M"),AllCollegeAAHGR,AllCollegeGR),MATCH(D41,AllCollegeNCES,0)))</f>
        <v>0</v>
      </c>
      <c r="G41" s="11">
        <f>IF(ISERROR(D41),"",IF(ISNUMBER(Y41),Y41/100,"N/A"))</f>
        <v>0</v>
      </c>
      <c r="H41" s="11">
        <f>IF(ISERROR(D41),"",Z41)</f>
        <v>0</v>
      </c>
      <c r="I41" s="11">
        <f>IF(ISERROR(D41),"","N/A")</f>
        <v>0</v>
      </c>
      <c r="J41" s="11">
        <f>IF(ISERROR(D41),"",INDEX(AllCollegeMoneyCode,MATCH(D41,AllCollegeNCES,0)))</f>
        <v>0</v>
      </c>
      <c r="K41" s="48">
        <f>INDEX(AllCollegeBarrons,MATCH(D41,AllCollegeNCES,0))</f>
        <v>0</v>
      </c>
      <c r="L41" s="48">
        <f>IF(ISERROR(D41),"",INDEX(AllCollegeMoney,MATCH(D41,AllCollegeNCES,0)))</f>
        <v>0</v>
      </c>
      <c r="M41" s="48">
        <f>INDEX(AllCollegeSAT25,MATCH(D41,AllCollegeNCES,0))</f>
        <v>0</v>
      </c>
      <c r="N41" s="48">
        <f>G3</f>
        <v>0</v>
      </c>
      <c r="O41" s="48">
        <f>F4</f>
        <v>0</v>
      </c>
      <c r="P41" s="48">
        <f>INDEX(CustomWeightsGPA,MATCH($H3&amp;":"&amp;$D41,CustomWeightsIndex,0))</f>
        <v>0</v>
      </c>
      <c r="Q41" s="48">
        <f>INDEX(CustomWeightsSAT,MATCH($H3&amp;":"&amp;$D41,CustomWeightsIndex,0))</f>
        <v>0</v>
      </c>
      <c r="R41" s="48">
        <f>INDEX(CustomWeightsIntercept,MATCH($H3&amp;":"&amp;$D41,CustomWeightsIndex,0))</f>
        <v>0</v>
      </c>
      <c r="S41" s="48">
        <f>P41*N41+Q41*O41+R41</f>
        <v>0</v>
      </c>
      <c r="T41" s="48">
        <f>INDEX(CoefficientsGPA,MATCH($H3&amp;":"&amp;$K41,CoefficientsIndex,0))</f>
        <v>0</v>
      </c>
      <c r="U41" s="48">
        <f>INDEX(CoefficientsSAT,MATCH($H3&amp;":"&amp;$K41,CoefficientsIndex,0))</f>
        <v>0</v>
      </c>
      <c r="V41" s="48">
        <f>INDEX(CoefficientsIntercept,MATCH($H3&amp;":"&amp;$K41,CoefficientsIndex,0))</f>
        <v>0</v>
      </c>
      <c r="W41" s="48">
        <f>T41*N41+(O41-M41)*U41+V41</f>
        <v>0</v>
      </c>
      <c r="X41" s="48">
        <f>IF(ISNUMBER(S41),S41,W41)</f>
        <v>0</v>
      </c>
      <c r="Y41" s="48">
        <f>IF(ISNUMBER(X41),IF(AND(T41=1,U41=1,V41=1),100,MIN(99,100*EXP(X41)/(1+EXP(X41)))),"N/A")</f>
        <v>0</v>
      </c>
      <c r="Z41" s="48">
        <f>IF(ISNUMBER(Y41),IF(Y41&gt;=99,SureThingLabel,IF(Y41&gt;=95,SecureLabel,IF(Y41&gt;=80,SafetyLabel,IF(Y41&gt;=50,MatchLabel,IF(Y41&gt;=20,ReachLabel,IF(Y41&gt;=10,LongshotLabel,HailMaryLabel)))))),"Other")</f>
        <v>0</v>
      </c>
      <c r="AA41" s="48">
        <f>IF($F41&gt;=J$3,1,0)</f>
        <v>0</v>
      </c>
      <c r="AB41" s="48">
        <f>IF($F41&gt;=J$2,1,0)</f>
        <v>0</v>
      </c>
      <c r="AC41" s="48">
        <f>IF(ISNUMBER(Y41),1-Y41/100,1)</f>
        <v>0</v>
      </c>
      <c r="AD41" s="49">
        <f>IF(AA41=1,AC41,1)</f>
        <v>0</v>
      </c>
      <c r="AE41" s="49">
        <f>IF(AB41=1,AC41,1)</f>
        <v>0</v>
      </c>
      <c r="AF41" s="49">
        <f>IF(L41=1,AD41,1)</f>
        <v>0</v>
      </c>
      <c r="AG41" s="49">
        <f>IF(L41=1,AE41,1)</f>
        <v>0</v>
      </c>
    </row>
    <row r="42" spans="1:33">
      <c r="A42" s="69">
        <f>A41</f>
        <v>0</v>
      </c>
      <c r="B42" s="69">
        <f>B41</f>
        <v>0</v>
      </c>
      <c r="D42" s="18">
        <f>INDEX(ExtraCollegeNCES,MATCH(E42,ExtraCollegeChoice,0))</f>
        <v>0</v>
      </c>
      <c r="E42" s="78"/>
      <c r="F42" s="11">
        <f>IF(ISERROR(D42),"",INDEX(IF(OR(H3="H",H3="B",H3="I",H3="M"),AllCollegeAAHGR,AllCollegeGR),MATCH(D42,AllCollegeNCES,0)))</f>
        <v>0</v>
      </c>
      <c r="G42" s="11">
        <f>IF(ISERROR(D42),"",IF(ISNUMBER(Y42),Y42/100,"N/A"))</f>
        <v>0</v>
      </c>
      <c r="H42" s="11">
        <f>IF(ISERROR(D42),"",Z42)</f>
        <v>0</v>
      </c>
      <c r="I42" s="11">
        <f>IF(ISERROR(D42),"","N/A")</f>
        <v>0</v>
      </c>
      <c r="J42" s="11">
        <f>IF(ISERROR(D42),"",INDEX(AllCollegeMoneyCode,MATCH(D42,AllCollegeNCES,0)))</f>
        <v>0</v>
      </c>
      <c r="K42" s="48">
        <f>INDEX(AllCollegeBarrons,MATCH(D42,AllCollegeNCES,0))</f>
        <v>0</v>
      </c>
      <c r="L42" s="48">
        <f>IF(ISERROR(D42),"",INDEX(AllCollegeMoney,MATCH(D42,AllCollegeNCES,0)))</f>
        <v>0</v>
      </c>
      <c r="M42" s="48">
        <f>INDEX(AllCollegeSAT25,MATCH(D42,AllCollegeNCES,0))</f>
        <v>0</v>
      </c>
      <c r="N42" s="48">
        <f>G3</f>
        <v>0</v>
      </c>
      <c r="O42" s="48">
        <f>F4</f>
        <v>0</v>
      </c>
      <c r="P42" s="48">
        <f>INDEX(CustomWeightsGPA,MATCH($H3&amp;":"&amp;$D42,CustomWeightsIndex,0))</f>
        <v>0</v>
      </c>
      <c r="Q42" s="48">
        <f>INDEX(CustomWeightsSAT,MATCH($H3&amp;":"&amp;$D42,CustomWeightsIndex,0))</f>
        <v>0</v>
      </c>
      <c r="R42" s="48">
        <f>INDEX(CustomWeightsIntercept,MATCH($H3&amp;":"&amp;$D42,CustomWeightsIndex,0))</f>
        <v>0</v>
      </c>
      <c r="S42" s="48">
        <f>P42*N42+Q42*O42+R42</f>
        <v>0</v>
      </c>
      <c r="T42" s="48">
        <f>INDEX(CoefficientsGPA,MATCH($H3&amp;":"&amp;$K42,CoefficientsIndex,0))</f>
        <v>0</v>
      </c>
      <c r="U42" s="48">
        <f>INDEX(CoefficientsSAT,MATCH($H3&amp;":"&amp;$K42,CoefficientsIndex,0))</f>
        <v>0</v>
      </c>
      <c r="V42" s="48">
        <f>INDEX(CoefficientsIntercept,MATCH($H3&amp;":"&amp;$K42,CoefficientsIndex,0))</f>
        <v>0</v>
      </c>
      <c r="W42" s="48">
        <f>T42*N42+(O42-M42)*U42+V42</f>
        <v>0</v>
      </c>
      <c r="X42" s="48">
        <f>IF(ISNUMBER(S42),S42,W42)</f>
        <v>0</v>
      </c>
      <c r="Y42" s="48">
        <f>IF(ISNUMBER(X42),IF(AND(T42=1,U42=1,V42=1),100,MIN(99,100*EXP(X42)/(1+EXP(X42)))),"N/A")</f>
        <v>0</v>
      </c>
      <c r="Z42" s="48">
        <f>IF(ISNUMBER(Y42),IF(Y42&gt;=99,SureThingLabel,IF(Y42&gt;=95,SecureLabel,IF(Y42&gt;=80,SafetyLabel,IF(Y42&gt;=50,MatchLabel,IF(Y42&gt;=20,ReachLabel,IF(Y42&gt;=10,LongshotLabel,HailMaryLabel)))))),"Other")</f>
        <v>0</v>
      </c>
      <c r="AA42" s="48">
        <f>IF($F42&gt;=J$3,1,0)</f>
        <v>0</v>
      </c>
      <c r="AB42" s="48">
        <f>IF($F42&gt;=J$2,1,0)</f>
        <v>0</v>
      </c>
      <c r="AC42" s="48">
        <f>IF(ISNUMBER(Y42),1-Y42/100,1)</f>
        <v>0</v>
      </c>
      <c r="AD42" s="49">
        <f>IF(AA42=1,AC42,1)</f>
        <v>0</v>
      </c>
      <c r="AE42" s="49">
        <f>IF(AB42=1,AC42,1)</f>
        <v>0</v>
      </c>
      <c r="AF42" s="49">
        <f>IF(L42=1,AD42,1)</f>
        <v>0</v>
      </c>
      <c r="AG42" s="49">
        <f>IF(L42=1,AE42,1)</f>
        <v>0</v>
      </c>
    </row>
    <row r="43" spans="1:33">
      <c r="A43" s="69">
        <f>A42</f>
        <v>0</v>
      </c>
      <c r="B43" s="69">
        <f>B42</f>
        <v>0</v>
      </c>
      <c r="D43" s="18">
        <f>INDEX(ExtraCollegeNCES,MATCH(E43,ExtraCollegeChoice,0))</f>
        <v>0</v>
      </c>
      <c r="E43" s="78"/>
      <c r="F43" s="11">
        <f>IF(ISERROR(D43),"",INDEX(IF(OR(H3="H",H3="B",H3="I",H3="M"),AllCollegeAAHGR,AllCollegeGR),MATCH(D43,AllCollegeNCES,0)))</f>
        <v>0</v>
      </c>
      <c r="G43" s="11">
        <f>IF(ISERROR(D43),"",IF(ISNUMBER(Y43),Y43/100,"N/A"))</f>
        <v>0</v>
      </c>
      <c r="H43" s="11">
        <f>IF(ISERROR(D43),"",Z43)</f>
        <v>0</v>
      </c>
      <c r="I43" s="11">
        <f>IF(ISERROR(D43),"","N/A")</f>
        <v>0</v>
      </c>
      <c r="J43" s="11">
        <f>IF(ISERROR(D43),"",INDEX(AllCollegeMoneyCode,MATCH(D43,AllCollegeNCES,0)))</f>
        <v>0</v>
      </c>
      <c r="K43" s="48">
        <f>INDEX(AllCollegeBarrons,MATCH(D43,AllCollegeNCES,0))</f>
        <v>0</v>
      </c>
      <c r="L43" s="48">
        <f>IF(ISERROR(D43),"",INDEX(AllCollegeMoney,MATCH(D43,AllCollegeNCES,0)))</f>
        <v>0</v>
      </c>
      <c r="M43" s="48">
        <f>INDEX(AllCollegeSAT25,MATCH(D43,AllCollegeNCES,0))</f>
        <v>0</v>
      </c>
      <c r="N43" s="48">
        <f>G3</f>
        <v>0</v>
      </c>
      <c r="O43" s="48">
        <f>F4</f>
        <v>0</v>
      </c>
      <c r="P43" s="48">
        <f>INDEX(CustomWeightsGPA,MATCH($H3&amp;":"&amp;$D43,CustomWeightsIndex,0))</f>
        <v>0</v>
      </c>
      <c r="Q43" s="48">
        <f>INDEX(CustomWeightsSAT,MATCH($H3&amp;":"&amp;$D43,CustomWeightsIndex,0))</f>
        <v>0</v>
      </c>
      <c r="R43" s="48">
        <f>INDEX(CustomWeightsIntercept,MATCH($H3&amp;":"&amp;$D43,CustomWeightsIndex,0))</f>
        <v>0</v>
      </c>
      <c r="S43" s="48">
        <f>P43*N43+Q43*O43+R43</f>
        <v>0</v>
      </c>
      <c r="T43" s="48">
        <f>INDEX(CoefficientsGPA,MATCH($H3&amp;":"&amp;$K43,CoefficientsIndex,0))</f>
        <v>0</v>
      </c>
      <c r="U43" s="48">
        <f>INDEX(CoefficientsSAT,MATCH($H3&amp;":"&amp;$K43,CoefficientsIndex,0))</f>
        <v>0</v>
      </c>
      <c r="V43" s="48">
        <f>INDEX(CoefficientsIntercept,MATCH($H3&amp;":"&amp;$K43,CoefficientsIndex,0))</f>
        <v>0</v>
      </c>
      <c r="W43" s="48">
        <f>T43*N43+(O43-M43)*U43+V43</f>
        <v>0</v>
      </c>
      <c r="X43" s="48">
        <f>IF(ISNUMBER(S43),S43,W43)</f>
        <v>0</v>
      </c>
      <c r="Y43" s="48">
        <f>IF(ISNUMBER(X43),IF(AND(T43=1,U43=1,V43=1),100,MIN(99,100*EXP(X43)/(1+EXP(X43)))),"N/A")</f>
        <v>0</v>
      </c>
      <c r="Z43" s="48">
        <f>IF(ISNUMBER(Y43),IF(Y43&gt;=99,SureThingLabel,IF(Y43&gt;=95,SecureLabel,IF(Y43&gt;=80,SafetyLabel,IF(Y43&gt;=50,MatchLabel,IF(Y43&gt;=20,ReachLabel,IF(Y43&gt;=10,LongshotLabel,HailMaryLabel)))))),"Other")</f>
        <v>0</v>
      </c>
      <c r="AA43" s="48">
        <f>IF($F43&gt;=J$3,1,0)</f>
        <v>0</v>
      </c>
      <c r="AB43" s="48">
        <f>IF($F43&gt;=J$2,1,0)</f>
        <v>0</v>
      </c>
      <c r="AC43" s="48">
        <f>IF(ISNUMBER(Y43),1-Y43/100,1)</f>
        <v>0</v>
      </c>
      <c r="AD43" s="49">
        <f>IF(AA43=1,AC43,1)</f>
        <v>0</v>
      </c>
      <c r="AE43" s="49">
        <f>IF(AB43=1,AC43,1)</f>
        <v>0</v>
      </c>
      <c r="AF43" s="49">
        <f>IF(L43=1,AD43,1)</f>
        <v>0</v>
      </c>
      <c r="AG43" s="49">
        <f>IF(L43=1,AE43,1)</f>
        <v>0</v>
      </c>
    </row>
    <row r="44" spans="1:33">
      <c r="A44" s="69">
        <f>A43</f>
        <v>0</v>
      </c>
      <c r="B44" s="69">
        <f>B43</f>
        <v>0</v>
      </c>
      <c r="D44" s="18">
        <f>INDEX(ExtraCollegeNCES,MATCH(E44,ExtraCollegeChoice,0))</f>
        <v>0</v>
      </c>
      <c r="E44" s="78"/>
      <c r="F44" s="11">
        <f>IF(ISERROR(D44),"",INDEX(IF(OR(H3="H",H3="B",H3="I",H3="M"),AllCollegeAAHGR,AllCollegeGR),MATCH(D44,AllCollegeNCES,0)))</f>
        <v>0</v>
      </c>
      <c r="G44" s="11">
        <f>IF(ISERROR(D44),"",IF(ISNUMBER(Y44),Y44/100,"N/A"))</f>
        <v>0</v>
      </c>
      <c r="H44" s="11">
        <f>IF(ISERROR(D44),"",Z44)</f>
        <v>0</v>
      </c>
      <c r="I44" s="11">
        <f>IF(ISERROR(D44),"","N/A")</f>
        <v>0</v>
      </c>
      <c r="J44" s="11">
        <f>IF(ISERROR(D44),"",INDEX(AllCollegeMoneyCode,MATCH(D44,AllCollegeNCES,0)))</f>
        <v>0</v>
      </c>
      <c r="K44" s="48">
        <f>INDEX(AllCollegeBarrons,MATCH(D44,AllCollegeNCES,0))</f>
        <v>0</v>
      </c>
      <c r="L44" s="48">
        <f>IF(ISERROR(D44),"",INDEX(AllCollegeMoney,MATCH(D44,AllCollegeNCES,0)))</f>
        <v>0</v>
      </c>
      <c r="M44" s="48">
        <f>INDEX(AllCollegeSAT25,MATCH(D44,AllCollegeNCES,0))</f>
        <v>0</v>
      </c>
      <c r="N44" s="48">
        <f>G3</f>
        <v>0</v>
      </c>
      <c r="O44" s="48">
        <f>F4</f>
        <v>0</v>
      </c>
      <c r="P44" s="48">
        <f>INDEX(CustomWeightsGPA,MATCH($H3&amp;":"&amp;$D44,CustomWeightsIndex,0))</f>
        <v>0</v>
      </c>
      <c r="Q44" s="48">
        <f>INDEX(CustomWeightsSAT,MATCH($H3&amp;":"&amp;$D44,CustomWeightsIndex,0))</f>
        <v>0</v>
      </c>
      <c r="R44" s="48">
        <f>INDEX(CustomWeightsIntercept,MATCH($H3&amp;":"&amp;$D44,CustomWeightsIndex,0))</f>
        <v>0</v>
      </c>
      <c r="S44" s="48">
        <f>P44*N44+Q44*O44+R44</f>
        <v>0</v>
      </c>
      <c r="T44" s="48">
        <f>INDEX(CoefficientsGPA,MATCH($H3&amp;":"&amp;$K44,CoefficientsIndex,0))</f>
        <v>0</v>
      </c>
      <c r="U44" s="48">
        <f>INDEX(CoefficientsSAT,MATCH($H3&amp;":"&amp;$K44,CoefficientsIndex,0))</f>
        <v>0</v>
      </c>
      <c r="V44" s="48">
        <f>INDEX(CoefficientsIntercept,MATCH($H3&amp;":"&amp;$K44,CoefficientsIndex,0))</f>
        <v>0</v>
      </c>
      <c r="W44" s="48">
        <f>T44*N44+(O44-M44)*U44+V44</f>
        <v>0</v>
      </c>
      <c r="X44" s="48">
        <f>IF(ISNUMBER(S44),S44,W44)</f>
        <v>0</v>
      </c>
      <c r="Y44" s="48">
        <f>IF(ISNUMBER(X44),IF(AND(T44=1,U44=1,V44=1),100,MIN(99,100*EXP(X44)/(1+EXP(X44)))),"N/A")</f>
        <v>0</v>
      </c>
      <c r="Z44" s="48">
        <f>IF(ISNUMBER(Y44),IF(Y44&gt;=99,SureThingLabel,IF(Y44&gt;=95,SecureLabel,IF(Y44&gt;=80,SafetyLabel,IF(Y44&gt;=50,MatchLabel,IF(Y44&gt;=20,ReachLabel,IF(Y44&gt;=10,LongshotLabel,HailMaryLabel)))))),"Other")</f>
        <v>0</v>
      </c>
      <c r="AA44" s="48">
        <f>IF($F44&gt;=J$3,1,0)</f>
        <v>0</v>
      </c>
      <c r="AB44" s="48">
        <f>IF($F44&gt;=J$2,1,0)</f>
        <v>0</v>
      </c>
      <c r="AC44" s="48">
        <f>IF(ISNUMBER(Y44),1-Y44/100,1)</f>
        <v>0</v>
      </c>
      <c r="AD44" s="49">
        <f>IF(AA44=1,AC44,1)</f>
        <v>0</v>
      </c>
      <c r="AE44" s="49">
        <f>IF(AB44=1,AC44,1)</f>
        <v>0</v>
      </c>
      <c r="AF44" s="49">
        <f>IF(L44=1,AD44,1)</f>
        <v>0</v>
      </c>
      <c r="AG44" s="49">
        <f>IF(L44=1,AE44,1)</f>
        <v>0</v>
      </c>
    </row>
    <row r="45" spans="1:33">
      <c r="A45" s="69">
        <f>A44</f>
        <v>0</v>
      </c>
      <c r="B45" s="69">
        <f>B44</f>
        <v>0</v>
      </c>
      <c r="D45" s="18">
        <f>INDEX(ExtraCollegeNCES,MATCH(E45,ExtraCollegeChoice,0))</f>
        <v>0</v>
      </c>
      <c r="E45" s="78"/>
      <c r="F45" s="11">
        <f>IF(ISERROR(D45),"",INDEX(IF(OR(H3="H",H3="B",H3="I",H3="M"),AllCollegeAAHGR,AllCollegeGR),MATCH(D45,AllCollegeNCES,0)))</f>
        <v>0</v>
      </c>
      <c r="G45" s="11">
        <f>IF(ISERROR(D45),"",IF(ISNUMBER(Y45),Y45/100,"N/A"))</f>
        <v>0</v>
      </c>
      <c r="H45" s="11">
        <f>IF(ISERROR(D45),"",Z45)</f>
        <v>0</v>
      </c>
      <c r="I45" s="11">
        <f>IF(ISERROR(D45),"","N/A")</f>
        <v>0</v>
      </c>
      <c r="J45" s="11">
        <f>IF(ISERROR(D45),"",INDEX(AllCollegeMoneyCode,MATCH(D45,AllCollegeNCES,0)))</f>
        <v>0</v>
      </c>
      <c r="K45" s="48">
        <f>INDEX(AllCollegeBarrons,MATCH(D45,AllCollegeNCES,0))</f>
        <v>0</v>
      </c>
      <c r="L45" s="48">
        <f>IF(ISERROR(D45),"",INDEX(AllCollegeMoney,MATCH(D45,AllCollegeNCES,0)))</f>
        <v>0</v>
      </c>
      <c r="M45" s="48">
        <f>INDEX(AllCollegeSAT25,MATCH(D45,AllCollegeNCES,0))</f>
        <v>0</v>
      </c>
      <c r="N45" s="48">
        <f>G3</f>
        <v>0</v>
      </c>
      <c r="O45" s="48">
        <f>F4</f>
        <v>0</v>
      </c>
      <c r="P45" s="48">
        <f>INDEX(CustomWeightsGPA,MATCH($H3&amp;":"&amp;$D45,CustomWeightsIndex,0))</f>
        <v>0</v>
      </c>
      <c r="Q45" s="48">
        <f>INDEX(CustomWeightsSAT,MATCH($H3&amp;":"&amp;$D45,CustomWeightsIndex,0))</f>
        <v>0</v>
      </c>
      <c r="R45" s="48">
        <f>INDEX(CustomWeightsIntercept,MATCH($H3&amp;":"&amp;$D45,CustomWeightsIndex,0))</f>
        <v>0</v>
      </c>
      <c r="S45" s="48">
        <f>P45*N45+Q45*O45+R45</f>
        <v>0</v>
      </c>
      <c r="T45" s="48">
        <f>INDEX(CoefficientsGPA,MATCH($H3&amp;":"&amp;$K45,CoefficientsIndex,0))</f>
        <v>0</v>
      </c>
      <c r="U45" s="48">
        <f>INDEX(CoefficientsSAT,MATCH($H3&amp;":"&amp;$K45,CoefficientsIndex,0))</f>
        <v>0</v>
      </c>
      <c r="V45" s="48">
        <f>INDEX(CoefficientsIntercept,MATCH($H3&amp;":"&amp;$K45,CoefficientsIndex,0))</f>
        <v>0</v>
      </c>
      <c r="W45" s="48">
        <f>T45*N45+(O45-M45)*U45+V45</f>
        <v>0</v>
      </c>
      <c r="X45" s="48">
        <f>IF(ISNUMBER(S45),S45,W45)</f>
        <v>0</v>
      </c>
      <c r="Y45" s="48">
        <f>IF(ISNUMBER(X45),IF(AND(T45=1,U45=1,V45=1),100,MIN(99,100*EXP(X45)/(1+EXP(X45)))),"N/A")</f>
        <v>0</v>
      </c>
      <c r="Z45" s="48">
        <f>IF(ISNUMBER(Y45),IF(Y45&gt;=99,SureThingLabel,IF(Y45&gt;=95,SecureLabel,IF(Y45&gt;=80,SafetyLabel,IF(Y45&gt;=50,MatchLabel,IF(Y45&gt;=20,ReachLabel,IF(Y45&gt;=10,LongshotLabel,HailMaryLabel)))))),"Other")</f>
        <v>0</v>
      </c>
      <c r="AA45" s="48">
        <f>IF($F45&gt;=J$3,1,0)</f>
        <v>0</v>
      </c>
      <c r="AB45" s="48">
        <f>IF($F45&gt;=J$2,1,0)</f>
        <v>0</v>
      </c>
      <c r="AC45" s="48">
        <f>IF(ISNUMBER(Y45),1-Y45/100,1)</f>
        <v>0</v>
      </c>
      <c r="AD45" s="49">
        <f>IF(AA45=1,AC45,1)</f>
        <v>0</v>
      </c>
      <c r="AE45" s="49">
        <f>IF(AB45=1,AC45,1)</f>
        <v>0</v>
      </c>
      <c r="AF45" s="49">
        <f>IF(L45=1,AD45,1)</f>
        <v>0</v>
      </c>
      <c r="AG45" s="49">
        <f>IF(L45=1,AE45,1)</f>
        <v>0</v>
      </c>
    </row>
    <row r="46" spans="1:33">
      <c r="A46" s="69">
        <f>A45</f>
        <v>0</v>
      </c>
      <c r="B46" s="69">
        <f>B45</f>
        <v>0</v>
      </c>
      <c r="D46" s="18">
        <f>INDEX(ExtraCollegeNCES,MATCH(E46,ExtraCollegeChoice,0))</f>
        <v>0</v>
      </c>
      <c r="E46" s="78"/>
      <c r="F46" s="11">
        <f>IF(ISERROR(D46),"",INDEX(IF(OR(H3="H",H3="B",H3="I",H3="M"),AllCollegeAAHGR,AllCollegeGR),MATCH(D46,AllCollegeNCES,0)))</f>
        <v>0</v>
      </c>
      <c r="G46" s="11">
        <f>IF(ISERROR(D46),"",IF(ISNUMBER(Y46),Y46/100,"N/A"))</f>
        <v>0</v>
      </c>
      <c r="H46" s="11">
        <f>IF(ISERROR(D46),"",Z46)</f>
        <v>0</v>
      </c>
      <c r="I46" s="11">
        <f>IF(ISERROR(D46),"","N/A")</f>
        <v>0</v>
      </c>
      <c r="J46" s="11">
        <f>IF(ISERROR(D46),"",INDEX(AllCollegeMoneyCode,MATCH(D46,AllCollegeNCES,0)))</f>
        <v>0</v>
      </c>
      <c r="K46" s="48">
        <f>INDEX(AllCollegeBarrons,MATCH(D46,AllCollegeNCES,0))</f>
        <v>0</v>
      </c>
      <c r="L46" s="48">
        <f>IF(ISERROR(D46),"",INDEX(AllCollegeMoney,MATCH(D46,AllCollegeNCES,0)))</f>
        <v>0</v>
      </c>
      <c r="M46" s="48">
        <f>INDEX(AllCollegeSAT25,MATCH(D46,AllCollegeNCES,0))</f>
        <v>0</v>
      </c>
      <c r="N46" s="48">
        <f>G3</f>
        <v>0</v>
      </c>
      <c r="O46" s="48">
        <f>F4</f>
        <v>0</v>
      </c>
      <c r="P46" s="48">
        <f>INDEX(CustomWeightsGPA,MATCH($H3&amp;":"&amp;$D46,CustomWeightsIndex,0))</f>
        <v>0</v>
      </c>
      <c r="Q46" s="48">
        <f>INDEX(CustomWeightsSAT,MATCH($H3&amp;":"&amp;$D46,CustomWeightsIndex,0))</f>
        <v>0</v>
      </c>
      <c r="R46" s="48">
        <f>INDEX(CustomWeightsIntercept,MATCH($H3&amp;":"&amp;$D46,CustomWeightsIndex,0))</f>
        <v>0</v>
      </c>
      <c r="S46" s="48">
        <f>P46*N46+Q46*O46+R46</f>
        <v>0</v>
      </c>
      <c r="T46" s="48">
        <f>INDEX(CoefficientsGPA,MATCH($H3&amp;":"&amp;$K46,CoefficientsIndex,0))</f>
        <v>0</v>
      </c>
      <c r="U46" s="48">
        <f>INDEX(CoefficientsSAT,MATCH($H3&amp;":"&amp;$K46,CoefficientsIndex,0))</f>
        <v>0</v>
      </c>
      <c r="V46" s="48">
        <f>INDEX(CoefficientsIntercept,MATCH($H3&amp;":"&amp;$K46,CoefficientsIndex,0))</f>
        <v>0</v>
      </c>
      <c r="W46" s="48">
        <f>T46*N46+(O46-M46)*U46+V46</f>
        <v>0</v>
      </c>
      <c r="X46" s="48">
        <f>IF(ISNUMBER(S46),S46,W46)</f>
        <v>0</v>
      </c>
      <c r="Y46" s="48">
        <f>IF(ISNUMBER(X46),IF(AND(T46=1,U46=1,V46=1),100,MIN(99,100*EXP(X46)/(1+EXP(X46)))),"N/A")</f>
        <v>0</v>
      </c>
      <c r="Z46" s="48">
        <f>IF(ISNUMBER(Y46),IF(Y46&gt;=99,SureThingLabel,IF(Y46&gt;=95,SecureLabel,IF(Y46&gt;=80,SafetyLabel,IF(Y46&gt;=50,MatchLabel,IF(Y46&gt;=20,ReachLabel,IF(Y46&gt;=10,LongshotLabel,HailMaryLabel)))))),"Other")</f>
        <v>0</v>
      </c>
      <c r="AA46" s="48">
        <f>IF($F46&gt;=J$3,1,0)</f>
        <v>0</v>
      </c>
      <c r="AB46" s="48">
        <f>IF($F46&gt;=J$2,1,0)</f>
        <v>0</v>
      </c>
      <c r="AC46" s="48">
        <f>IF(ISNUMBER(Y46),1-Y46/100,1)</f>
        <v>0</v>
      </c>
      <c r="AD46" s="49">
        <f>IF(AA46=1,AC46,1)</f>
        <v>0</v>
      </c>
      <c r="AE46" s="49">
        <f>IF(AB46=1,AC46,1)</f>
        <v>0</v>
      </c>
      <c r="AF46" s="49">
        <f>IF(L46=1,AD46,1)</f>
        <v>0</v>
      </c>
      <c r="AG46" s="49">
        <f>IF(L46=1,AE46,1)</f>
        <v>0</v>
      </c>
    </row>
  </sheetData>
  <conditionalFormatting sqref="F9:F46">
    <cfRule type="expression" dxfId="13" priority="1">
      <formula>IF(F9&gt;=A9,TRUE,FALSE)</formula>
    </cfRule>
    <cfRule type="expression" dxfId="14" priority="2">
      <formula>IF(F9&lt;B9,TRUE,FALSE)</formula>
    </cfRule>
    <cfRule type="expression" dxfId="12" priority="3">
      <formula>IF(F9&lt;&gt;"",TRUE,FALSE)</formula>
    </cfRule>
  </conditionalFormatting>
  <dataValidations count="39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  <dataValidation type="list" allowBlank="1" showInputMessage="1" showErrorMessage="1" sqref="E12">
      <formula1>ExtraCollegeChoice</formula1>
    </dataValidation>
    <dataValidation type="list" allowBlank="1" showInputMessage="1" showErrorMessage="1" sqref="E13">
      <formula1>ExtraCollegeChoice</formula1>
    </dataValidation>
    <dataValidation type="list" allowBlank="1" showInputMessage="1" showErrorMessage="1" sqref="E14">
      <formula1>ExtraCollegeChoice</formula1>
    </dataValidation>
    <dataValidation type="list" allowBlank="1" showInputMessage="1" showErrorMessage="1" sqref="E15">
      <formula1>ExtraCollegeChoice</formula1>
    </dataValidation>
    <dataValidation type="list" allowBlank="1" showInputMessage="1" showErrorMessage="1" sqref="E16">
      <formula1>ExtraCollegeChoice</formula1>
    </dataValidation>
    <dataValidation type="list" allowBlank="1" showInputMessage="1" showErrorMessage="1" sqref="E17">
      <formula1>ExtraCollegeChoice</formula1>
    </dataValidation>
    <dataValidation type="list" allowBlank="1" showInputMessage="1" showErrorMessage="1" sqref="E18">
      <formula1>ExtraCollegeChoice</formula1>
    </dataValidation>
    <dataValidation type="list" allowBlank="1" showInputMessage="1" showErrorMessage="1" sqref="E19">
      <formula1>ExtraCollegeChoice</formula1>
    </dataValidation>
    <dataValidation type="list" allowBlank="1" showInputMessage="1" showErrorMessage="1" sqref="E20">
      <formula1>ExtraCollegeChoice</formula1>
    </dataValidation>
    <dataValidation type="list" allowBlank="1" showInputMessage="1" showErrorMessage="1" sqref="E21">
      <formula1>ExtraCollegeChoice</formula1>
    </dataValidation>
    <dataValidation type="list" allowBlank="1" showInputMessage="1" showErrorMessage="1" sqref="E22">
      <formula1>ExtraCollegeChoice</formula1>
    </dataValidation>
    <dataValidation type="list" allowBlank="1" showInputMessage="1" showErrorMessage="1" sqref="E23">
      <formula1>ExtraCollegeChoice</formula1>
    </dataValidation>
    <dataValidation type="list" allowBlank="1" showInputMessage="1" showErrorMessage="1" sqref="E24">
      <formula1>ExtraCollegeChoice</formula1>
    </dataValidation>
    <dataValidation type="list" allowBlank="1" showInputMessage="1" showErrorMessage="1" sqref="E25">
      <formula1>ExtraCollegeChoice</formula1>
    </dataValidation>
    <dataValidation type="list" allowBlank="1" showInputMessage="1" showErrorMessage="1" sqref="E26">
      <formula1>ExtraCollegeChoice</formula1>
    </dataValidation>
    <dataValidation type="list" allowBlank="1" showInputMessage="1" showErrorMessage="1" sqref="E27">
      <formula1>ExtraCollegeChoice</formula1>
    </dataValidation>
    <dataValidation type="list" allowBlank="1" showInputMessage="1" showErrorMessage="1" sqref="E28">
      <formula1>ExtraCollegeChoice</formula1>
    </dataValidation>
    <dataValidation type="list" allowBlank="1" showInputMessage="1" showErrorMessage="1" sqref="E29">
      <formula1>ExtraCollegeChoice</formula1>
    </dataValidation>
    <dataValidation type="list" allowBlank="1" showInputMessage="1" showErrorMessage="1" sqref="E30">
      <formula1>ExtraCollegeChoice</formula1>
    </dataValidation>
    <dataValidation type="list" allowBlank="1" showInputMessage="1" showErrorMessage="1" sqref="E31">
      <formula1>ExtraCollegeChoice</formula1>
    </dataValidation>
    <dataValidation type="list" allowBlank="1" showInputMessage="1" showErrorMessage="1" sqref="E32">
      <formula1>ExtraCollegeChoice</formula1>
    </dataValidation>
    <dataValidation type="list" allowBlank="1" showInputMessage="1" showErrorMessage="1" sqref="E33">
      <formula1>ExtraCollegeChoice</formula1>
    </dataValidation>
    <dataValidation type="list" allowBlank="1" showInputMessage="1" showErrorMessage="1" sqref="E34">
      <formula1>ExtraCollegeChoice</formula1>
    </dataValidation>
    <dataValidation type="list" allowBlank="1" showInputMessage="1" showErrorMessage="1" sqref="E35">
      <formula1>ExtraCollegeChoice</formula1>
    </dataValidation>
    <dataValidation type="list" allowBlank="1" showInputMessage="1" showErrorMessage="1" sqref="E36">
      <formula1>ExtraCollegeChoice</formula1>
    </dataValidation>
    <dataValidation type="list" allowBlank="1" showInputMessage="1" showErrorMessage="1" sqref="E37">
      <formula1>ExtraCollegeChoice</formula1>
    </dataValidation>
    <dataValidation type="list" allowBlank="1" showInputMessage="1" showErrorMessage="1" sqref="E38">
      <formula1>ExtraCollegeChoice</formula1>
    </dataValidation>
    <dataValidation type="list" allowBlank="1" showInputMessage="1" showErrorMessage="1" sqref="E39">
      <formula1>ExtraCollegeChoice</formula1>
    </dataValidation>
    <dataValidation type="list" allowBlank="1" showInputMessage="1" showErrorMessage="1" sqref="E40">
      <formula1>ExtraCollegeChoice</formula1>
    </dataValidation>
    <dataValidation type="list" allowBlank="1" showInputMessage="1" showErrorMessage="1" sqref="E41">
      <formula1>ExtraCollegeChoice</formula1>
    </dataValidation>
    <dataValidation type="list" allowBlank="1" showInputMessage="1" showErrorMessage="1" sqref="E42">
      <formula1>ExtraCollegeChoice</formula1>
    </dataValidation>
    <dataValidation type="list" allowBlank="1" showInputMessage="1" showErrorMessage="1" sqref="E43">
      <formula1>ExtraCollegeChoice</formula1>
    </dataValidation>
    <dataValidation type="list" allowBlank="1" showInputMessage="1" showErrorMessage="1" sqref="E44">
      <formula1>ExtraCollegeChoice</formula1>
    </dataValidation>
    <dataValidation type="list" allowBlank="1" showInputMessage="1" showErrorMessage="1" sqref="E45">
      <formula1>ExtraCollegeChoice</formula1>
    </dataValidation>
    <dataValidation type="list" allowBlank="1" showInputMessage="1" showErrorMessage="1" sqref="E46">
      <formula1>ExtraCollegeChoice</formula1>
    </dataValidation>
  </dataValidations>
  <pageMargins left="0.5" right="0.5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Y81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defaultRowHeight="15"/>
  <sheetData>
    <row r="1" spans="1:77">
      <c r="A1" s="33" t="s">
        <v>11</v>
      </c>
      <c r="B1" s="33" t="s">
        <v>393</v>
      </c>
      <c r="C1" s="33" t="s">
        <v>394</v>
      </c>
      <c r="D1" s="33" t="s">
        <v>395</v>
      </c>
      <c r="E1" s="88" t="s">
        <v>396</v>
      </c>
      <c r="F1" s="89" t="s">
        <v>397</v>
      </c>
      <c r="G1" s="88" t="s">
        <v>398</v>
      </c>
      <c r="H1" s="88" t="s">
        <v>399</v>
      </c>
      <c r="I1" s="88" t="s">
        <v>400</v>
      </c>
      <c r="J1" s="88" t="s">
        <v>401</v>
      </c>
      <c r="K1" s="88" t="s">
        <v>402</v>
      </c>
      <c r="L1" s="88" t="s">
        <v>403</v>
      </c>
      <c r="M1" s="88" t="s">
        <v>404</v>
      </c>
      <c r="N1" s="89" t="s">
        <v>405</v>
      </c>
      <c r="O1" s="33" t="s">
        <v>33</v>
      </c>
      <c r="P1" s="33" t="s">
        <v>32</v>
      </c>
      <c r="Q1" s="33" t="s">
        <v>31</v>
      </c>
      <c r="R1" s="89" t="s">
        <v>406</v>
      </c>
      <c r="S1" s="33" t="s">
        <v>19</v>
      </c>
      <c r="T1" s="33" t="s">
        <v>369</v>
      </c>
      <c r="U1" s="33" t="s">
        <v>0</v>
      </c>
      <c r="V1" s="33" t="s">
        <v>407</v>
      </c>
      <c r="W1" s="33" t="s">
        <v>408</v>
      </c>
      <c r="X1" s="33" t="s">
        <v>409</v>
      </c>
      <c r="Y1" s="33" t="s">
        <v>410</v>
      </c>
      <c r="Z1" s="89" t="s">
        <v>411</v>
      </c>
      <c r="AA1" s="89" t="s">
        <v>412</v>
      </c>
      <c r="AB1" s="89" t="s">
        <v>413</v>
      </c>
      <c r="AC1" s="89" t="s">
        <v>414</v>
      </c>
      <c r="AD1" s="90" t="s">
        <v>370</v>
      </c>
      <c r="AE1" s="90" t="s">
        <v>371</v>
      </c>
      <c r="AF1" s="90" t="s">
        <v>372</v>
      </c>
      <c r="AG1" s="90" t="s">
        <v>373</v>
      </c>
      <c r="AH1" s="91" t="s">
        <v>374</v>
      </c>
      <c r="AI1" s="91" t="s">
        <v>375</v>
      </c>
      <c r="AJ1" s="91" t="s">
        <v>376</v>
      </c>
      <c r="AK1" s="91" t="s">
        <v>377</v>
      </c>
      <c r="AL1" s="91" t="s">
        <v>378</v>
      </c>
      <c r="AM1" s="91" t="s">
        <v>379</v>
      </c>
      <c r="AN1" s="91" t="s">
        <v>380</v>
      </c>
      <c r="AO1" s="91" t="s">
        <v>415</v>
      </c>
      <c r="AP1" s="90" t="s">
        <v>416</v>
      </c>
      <c r="AQ1" s="90" t="s">
        <v>417</v>
      </c>
      <c r="AR1" s="90" t="s">
        <v>418</v>
      </c>
      <c r="AS1" s="90" t="s">
        <v>419</v>
      </c>
      <c r="AT1" s="90" t="s">
        <v>420</v>
      </c>
      <c r="AU1" s="90" t="s">
        <v>421</v>
      </c>
      <c r="AV1" s="90" t="s">
        <v>422</v>
      </c>
      <c r="AW1" s="90" t="s">
        <v>383</v>
      </c>
      <c r="AX1" s="90" t="s">
        <v>423</v>
      </c>
      <c r="AY1" s="90" t="s">
        <v>424</v>
      </c>
      <c r="AZ1" s="90" t="s">
        <v>425</v>
      </c>
      <c r="BA1" s="90" t="s">
        <v>426</v>
      </c>
      <c r="BB1" s="89" t="s">
        <v>367</v>
      </c>
      <c r="BC1" s="90" t="s">
        <v>427</v>
      </c>
      <c r="BD1" s="90" t="s">
        <v>428</v>
      </c>
      <c r="BE1" s="90" t="s">
        <v>429</v>
      </c>
      <c r="BF1" s="90" t="s">
        <v>69</v>
      </c>
      <c r="BG1" s="90" t="s">
        <v>70</v>
      </c>
      <c r="BH1" s="90" t="s">
        <v>71</v>
      </c>
      <c r="BI1" s="90" t="s">
        <v>72</v>
      </c>
      <c r="BJ1" s="90" t="s">
        <v>430</v>
      </c>
      <c r="BK1" s="90" t="s">
        <v>431</v>
      </c>
      <c r="BL1" s="90" t="s">
        <v>432</v>
      </c>
      <c r="BM1" s="90" t="s">
        <v>433</v>
      </c>
      <c r="BN1" s="90" t="s">
        <v>434</v>
      </c>
      <c r="BO1" s="90" t="s">
        <v>435</v>
      </c>
      <c r="BP1" s="90" t="s">
        <v>436</v>
      </c>
      <c r="BQ1" s="90" t="s">
        <v>437</v>
      </c>
      <c r="BR1" s="90" t="s">
        <v>438</v>
      </c>
      <c r="BS1" s="90" t="s">
        <v>439</v>
      </c>
      <c r="BT1" s="90" t="s">
        <v>440</v>
      </c>
      <c r="BU1" s="90" t="s">
        <v>441</v>
      </c>
      <c r="BV1" s="90" t="s">
        <v>442</v>
      </c>
      <c r="BW1" s="90" t="s">
        <v>443</v>
      </c>
      <c r="BX1" s="90" t="s">
        <v>444</v>
      </c>
      <c r="BY1" s="90" t="s">
        <v>445</v>
      </c>
    </row>
    <row r="2" spans="1:77">
      <c r="A2" t="s">
        <v>96</v>
      </c>
      <c r="B2">
        <v>21702780</v>
      </c>
      <c r="C2" t="s">
        <v>158</v>
      </c>
      <c r="D2" t="s">
        <v>159</v>
      </c>
      <c r="E2" t="s">
        <v>446</v>
      </c>
      <c r="F2" t="s">
        <v>447</v>
      </c>
      <c r="G2" t="s">
        <v>448</v>
      </c>
      <c r="H2" t="s">
        <v>449</v>
      </c>
      <c r="I2" t="s">
        <v>450</v>
      </c>
      <c r="J2" t="s">
        <v>450</v>
      </c>
      <c r="K2">
        <v>0</v>
      </c>
      <c r="L2" t="s">
        <v>446</v>
      </c>
      <c r="M2" t="s">
        <v>446</v>
      </c>
      <c r="N2">
        <v>148496</v>
      </c>
      <c r="O2">
        <f>INDEX(Counselor,MATCH(B2,KidIDs,0))</f>
        <v>0</v>
      </c>
      <c r="P2">
        <f>INDEX(Advisors,MATCH(B2,KidIDs,0))</f>
        <v>0</v>
      </c>
      <c r="Q2">
        <f>INDEX(Cohort,MATCH(B2,KidIDs,0))</f>
        <v>0</v>
      </c>
      <c r="R2">
        <f>INDEX(AllCollegeBarrons,MATCH(N2,AllCollegeNCES,0))</f>
        <v>0</v>
      </c>
      <c r="S2">
        <f>INDEX(KidGPAs,MATCH(B2,KidIDs,0))</f>
        <v>0</v>
      </c>
      <c r="T2">
        <f>INDEX(KidSATs,MATCH(B2,KidIDs,0))</f>
        <v>0</v>
      </c>
      <c r="U2">
        <f>INDEX(Strats,MATCH(B2,KidIDs,0))</f>
        <v>0</v>
      </c>
      <c r="V2">
        <f>INDEX(KidRace,MATCH(B2,KidIDs,0))</f>
        <v>0</v>
      </c>
      <c r="W2">
        <f>IF(OR(V2="M",V2="I"),"H",IF(V2="P","A",V2))</f>
        <v>0</v>
      </c>
      <c r="X2">
        <f>INDEX(StudentTargets,MATCH(B2,KidIDs,0))</f>
        <v>0</v>
      </c>
      <c r="Y2">
        <f>INDEX(ReachStudentTargets,MATCH(B2,KidIDs,0))</f>
        <v>0</v>
      </c>
      <c r="Z2">
        <f>IF(OR(M2="Posse"),1,0)</f>
        <v>0</v>
      </c>
      <c r="AA2">
        <f>IF(ISNUMBER(INDEX(AllCollegeGR, MATCH(N2,AllCollegeNCES,0))),ROUND(INDEX(AllCollegeGR, MATCH(N2,AllCollegeNCES,0))+Z2*IF(INDEX(AllCollegeGR, MATCH(N2,AllCollegeNCES,0))&gt;0.7,(1-INDEX(AllCollegeGR, MATCH(N2,AllCollegeNCES,0)))/2,0.15),2),INDEX(AllCollegeGR, MATCH(N2,AllCollegeNCES,0)))</f>
        <v>0</v>
      </c>
      <c r="AB2">
        <f>IF(ISNUMBER(INDEX(AllCollegeAAHGR, MATCH(N2,AllCollegeNCES,0))),ROUND(INDEX(AllCollegeAAHGR, MATCH(N2,AllCollegeNCES,0))+Z2*IF(INDEX(AllCollegeAAHGR, MATCH(N2,AllCollegeNCES,0))&gt;0.7,(1-INDEX(AllCollegeAAHGR, MATCH(N2,AllCollegeNCES,0)))/2,0.15),2),INDEX(AllCollegeAAHGR, MATCH(N2,AllCollegeNCES,0)))</f>
        <v>0</v>
      </c>
      <c r="AC2">
        <f>IF(OR(W2="H",W2="B"),INDEX(AllCollegeSAT25, MATCH(N2,AllCollegeNCES,0)),INDEX(AllCollegeSAT50, MATCH(N2,AllCollegeNCES,0)))</f>
        <v>0</v>
      </c>
      <c r="AD2">
        <f>INDEX(CustomWeightsGPA,MATCH(W2&amp;":"&amp;N2,CustomWeightsIndex,0))</f>
        <v>0</v>
      </c>
      <c r="AE2">
        <f>INDEX(CustomWeightsSAT,MATCH(W2&amp;":"&amp;N2,CustomWeightsIndex,0))</f>
        <v>0</v>
      </c>
      <c r="AF2">
        <f>INDEX(CustomWeightsIntercept,MATCH(W2&amp;":"&amp;N2,CustomWeightsIndex,0))</f>
        <v>0</v>
      </c>
      <c r="AG2">
        <f>AD2*S2+AE2*T2+AF2</f>
        <v>0</v>
      </c>
      <c r="AH2">
        <f>INDEX(CoefficientsGPA,MATCH(W2&amp;":"&amp;R2,CoefficientsIndex,0))</f>
        <v>0</v>
      </c>
      <c r="AI2">
        <f>INDEX(CoefficientsSAT,MATCH(W2&amp;":"&amp;R2,CoefficientsIndex,0))</f>
        <v>0</v>
      </c>
      <c r="AJ2">
        <f>INDEX(CoefficientsIntercept,MATCH(W2&amp;":"&amp;R2,CoefficientsIndex,0))</f>
        <v>0</v>
      </c>
      <c r="AK2">
        <f>AH2*S2+(T2-AC2)*AI2+AJ2</f>
        <v>0</v>
      </c>
      <c r="AL2">
        <f>IF(ISNUMBER(AG2),AG2,AK2)</f>
        <v>0</v>
      </c>
      <c r="AM2">
        <f>IF(ISNUMBER(AL2),IF(ISNUMBER(AH2),IF(AND(AH2=1,AI2=1,AJ2=1),100,MIN(99,ROUND(100*EXP(AL2)/(1+EXP(AL2)),2))),MIN(99,ROUND(100*EXP(AL2)/(1+EXP(AL2)),2))),IF(ISTEXT(R2),IF(LEFT(R2,1)="2",100,"N/A"),"N/A"))</f>
        <v>0</v>
      </c>
      <c r="AN2">
        <f>IF(ISNUMBER(AM2),IF(AM2&gt;=99,IF(OR(U2=10,U2=11),MatchLabel,SureThingLabel),IF(AM2&gt;=95,SecureLabel,IF(AM2&gt;=80,SafetyLabel,IF(AM2&gt;=50,MatchLabel,IF(AM2&gt;=20,ReachLabel,IF(AM2&gt;=10,LongshotLabel,HailMaryLabel)))))),"Other")</f>
        <v>0</v>
      </c>
      <c r="AO2">
        <f>IF(OR(I2="accepted",I2="cond. accept",I2="summer admit"),IF(J2="yes","CHOICE!","Accepted!"),IF(I2="guar. transfer","Guar. Xfer",IF(I2="denied","Denied",IF(K2=1,"Waitlist",IF(L2=1,"Deferred",IF(G2="pending","Pending",IF(OR(G2="initial materials submitted",G2="mid-year submitted",G2="final submitted"),"Submitted",IF(H2="interest","Interest","?"))))))))</f>
        <v>0</v>
      </c>
      <c r="AP2">
        <f>IF(OR(AN2=ReachLabel,AN2=LongshotLabel,AN2=HailMaryLabel),1,0)</f>
        <v>0</v>
      </c>
      <c r="AQ2">
        <f>IF(OR(AP2=1,AN2=MatchLabel),1,0)</f>
        <v>0</v>
      </c>
      <c r="AR2">
        <f>IF(OR(AN2=MatchLabel,AN2=SafetyLabel,AN2=SecureLabel,AN2=SureThingLabel),1,0)</f>
        <v>0</v>
      </c>
      <c r="AS2">
        <f>IF(OR(W2="H",W2="B",W2="I",W2="M"),IF(ISNUMBER(AB2),ROUND(AB2,2),0),IF(ISNUMBER(AA2),ROUND(AA2,2),0))</f>
        <v>0</v>
      </c>
      <c r="AT2">
        <f>IF(AS2&gt;=X2,1,0)</f>
        <v>0</v>
      </c>
      <c r="AU2">
        <f>IF(AS2&gt;=Y2,1,0)</f>
        <v>0</v>
      </c>
      <c r="AV2">
        <f>IF(AS2&lt;(X2-0.10),1,0)</f>
        <v>0</v>
      </c>
      <c r="AW2">
        <f>1-AM2/100</f>
        <v>0</v>
      </c>
      <c r="AX2">
        <f>IF(AQ2=1,AW2,1)</f>
        <v>0</v>
      </c>
      <c r="AY2">
        <f>IF(AP2=1,AW2,1)</f>
        <v>0</v>
      </c>
      <c r="AZ2">
        <f>IF(AND(AT2=1,ISNUMBER(AW2)),$AW2,1)</f>
        <v>0</v>
      </c>
      <c r="BA2">
        <f>IF(AND(AU2=1,ISNUMBER(AW2)),$AW2,1)</f>
        <v>0</v>
      </c>
      <c r="BB2">
        <f>IF(ISNUMBER(AB2),INDEX(AllCollegeMoney, MATCH(N2,AllCollegeNCES,0)),0)</f>
        <v>0</v>
      </c>
      <c r="BC2">
        <f>IF(AND(AT2=1,ISNUMBER(AW2),BB2=1),$AW2,1)</f>
        <v>0</v>
      </c>
      <c r="BD2">
        <f>IF(AND(AU2=1,ISNUMBER(AW2),BB2=1),$AW2,1)</f>
        <v>0</v>
      </c>
      <c r="BE2">
        <f>IF(ISNUMBER(AB2),INDEX(AllCollegeILPub, MATCH(N2,AllCollegeNCES,0)),0)</f>
        <v>0</v>
      </c>
      <c r="BF2">
        <f>IF(AN2=ReachLabel,AS2,0)</f>
        <v>0</v>
      </c>
      <c r="BG2">
        <f>IF(AN2=MatchLabel,AS2,0)</f>
        <v>0</v>
      </c>
      <c r="BH2">
        <f>IF(AN2=SafetyLabel,AS2,0)</f>
        <v>0</v>
      </c>
      <c r="BI2">
        <f>IF(AN2=SecureLabel,AS2,0)</f>
        <v>0</v>
      </c>
      <c r="BJ2">
        <f>IF(AN2=SureThingLabel,AS2,0)</f>
        <v>0</v>
      </c>
      <c r="BK2">
        <f>MAX(BF2:BJ2)</f>
        <v>0</v>
      </c>
      <c r="BL2">
        <f>MAX(BG2:BJ2)</f>
        <v>0</v>
      </c>
      <c r="BM2">
        <f>MAX(BH2:BJ2)</f>
        <v>0</v>
      </c>
      <c r="BN2">
        <f>IF(AND(AN2=ReachLabel,BB2=1),AS2,0)</f>
        <v>0</v>
      </c>
      <c r="BO2">
        <f>IF(AND(AN2=MatchLabel,BB2=1),AS2,0)</f>
        <v>0</v>
      </c>
      <c r="BP2">
        <f>IF(AND(AN2=SafetyLabel,BB2=1),AS2,0)</f>
        <v>0</v>
      </c>
      <c r="BQ2">
        <f>IF(AND(AN2=SecureLabel,BB2=1),AS2,0)</f>
        <v>0</v>
      </c>
      <c r="BR2">
        <f>IF(AND(AN2=SureThingLabel,BB2=1),AS2,0)</f>
        <v>0</v>
      </c>
      <c r="BS2">
        <f>MAX(BN2:BR2)</f>
        <v>0</v>
      </c>
      <c r="BT2">
        <f>MAX(BO2:BR2)</f>
        <v>0</v>
      </c>
      <c r="BU2">
        <f>MAX(BP2:BR2)</f>
        <v>0</v>
      </c>
      <c r="BV2">
        <f>IF(ISNUMBER(AB2),INDEX(AllCollegeChicago, MATCH(N2,AllCollegeNCES,0))*BB2,0)</f>
        <v>0</v>
      </c>
      <c r="BW2">
        <f>IF(ISNUMBER(AB2),INDEX(AllCollegeMoneyCode, MATCH(N2,AllCollegeNCES,0)),"?")</f>
        <v>0</v>
      </c>
      <c r="BX2">
        <f>IF(OR(BW2="---",BW2="--",BW2="+/--",BW2="+/---"),1,0)</f>
        <v>0</v>
      </c>
      <c r="BY2">
        <f>BB2*AR2*AT2</f>
        <v>0</v>
      </c>
    </row>
    <row r="3" spans="1:77">
      <c r="A3" t="s">
        <v>96</v>
      </c>
      <c r="B3">
        <v>21702780</v>
      </c>
      <c r="C3" t="s">
        <v>158</v>
      </c>
      <c r="D3" t="s">
        <v>159</v>
      </c>
      <c r="E3" t="s">
        <v>446</v>
      </c>
      <c r="F3" t="s">
        <v>451</v>
      </c>
      <c r="G3" t="s">
        <v>448</v>
      </c>
      <c r="H3" t="s">
        <v>449</v>
      </c>
      <c r="I3" t="s">
        <v>450</v>
      </c>
      <c r="J3" t="s">
        <v>450</v>
      </c>
      <c r="K3">
        <v>0</v>
      </c>
      <c r="L3" t="s">
        <v>446</v>
      </c>
      <c r="M3" t="s">
        <v>446</v>
      </c>
      <c r="N3">
        <v>144962</v>
      </c>
      <c r="O3">
        <f>INDEX(Counselor,MATCH(B3,KidIDs,0))</f>
        <v>0</v>
      </c>
      <c r="P3">
        <f>INDEX(Advisors,MATCH(B3,KidIDs,0))</f>
        <v>0</v>
      </c>
      <c r="Q3">
        <f>INDEX(Cohort,MATCH(B3,KidIDs,0))</f>
        <v>0</v>
      </c>
      <c r="R3">
        <f>INDEX(AllCollegeBarrons,MATCH(N3,AllCollegeNCES,0))</f>
        <v>0</v>
      </c>
      <c r="S3">
        <f>INDEX(KidGPAs,MATCH(B3,KidIDs,0))</f>
        <v>0</v>
      </c>
      <c r="T3">
        <f>INDEX(KidSATs,MATCH(B3,KidIDs,0))</f>
        <v>0</v>
      </c>
      <c r="U3">
        <f>INDEX(Strats,MATCH(B3,KidIDs,0))</f>
        <v>0</v>
      </c>
      <c r="V3">
        <f>INDEX(KidRace,MATCH(B3,KidIDs,0))</f>
        <v>0</v>
      </c>
      <c r="W3">
        <f>IF(OR(V3="M",V3="I"),"H",IF(V3="P","A",V3))</f>
        <v>0</v>
      </c>
      <c r="X3">
        <f>INDEX(StudentTargets,MATCH(B3,KidIDs,0))</f>
        <v>0</v>
      </c>
      <c r="Y3">
        <f>INDEX(ReachStudentTargets,MATCH(B3,KidIDs,0))</f>
        <v>0</v>
      </c>
      <c r="Z3">
        <f>IF(OR(M3="Posse"),1,0)</f>
        <v>0</v>
      </c>
      <c r="AA3">
        <f>IF(ISNUMBER(INDEX(AllCollegeGR, MATCH(N3,AllCollegeNCES,0))),ROUND(INDEX(AllCollegeGR, MATCH(N3,AllCollegeNCES,0))+Z3*IF(INDEX(AllCollegeGR, MATCH(N3,AllCollegeNCES,0))&gt;0.7,(1-INDEX(AllCollegeGR, MATCH(N3,AllCollegeNCES,0)))/2,0.15),2),INDEX(AllCollegeGR, MATCH(N3,AllCollegeNCES,0)))</f>
        <v>0</v>
      </c>
      <c r="AB3">
        <f>IF(ISNUMBER(INDEX(AllCollegeAAHGR, MATCH(N3,AllCollegeNCES,0))),ROUND(INDEX(AllCollegeAAHGR, MATCH(N3,AllCollegeNCES,0))+Z3*IF(INDEX(AllCollegeAAHGR, MATCH(N3,AllCollegeNCES,0))&gt;0.7,(1-INDEX(AllCollegeAAHGR, MATCH(N3,AllCollegeNCES,0)))/2,0.15),2),INDEX(AllCollegeAAHGR, MATCH(N3,AllCollegeNCES,0)))</f>
        <v>0</v>
      </c>
      <c r="AC3">
        <f>IF(OR(W3="H",W3="B"),INDEX(AllCollegeSAT25, MATCH(N3,AllCollegeNCES,0)),INDEX(AllCollegeSAT50, MATCH(N3,AllCollegeNCES,0)))</f>
        <v>0</v>
      </c>
      <c r="AD3">
        <f>INDEX(CustomWeightsGPA,MATCH(W3&amp;":"&amp;N3,CustomWeightsIndex,0))</f>
        <v>0</v>
      </c>
      <c r="AE3">
        <f>INDEX(CustomWeightsSAT,MATCH(W3&amp;":"&amp;N3,CustomWeightsIndex,0))</f>
        <v>0</v>
      </c>
      <c r="AF3">
        <f>INDEX(CustomWeightsIntercept,MATCH(W3&amp;":"&amp;N3,CustomWeightsIndex,0))</f>
        <v>0</v>
      </c>
      <c r="AG3">
        <f>AD3*S3+AE3*T3+AF3</f>
        <v>0</v>
      </c>
      <c r="AH3">
        <f>INDEX(CoefficientsGPA,MATCH(W3&amp;":"&amp;R3,CoefficientsIndex,0))</f>
        <v>0</v>
      </c>
      <c r="AI3">
        <f>INDEX(CoefficientsSAT,MATCH(W3&amp;":"&amp;R3,CoefficientsIndex,0))</f>
        <v>0</v>
      </c>
      <c r="AJ3">
        <f>INDEX(CoefficientsIntercept,MATCH(W3&amp;":"&amp;R3,CoefficientsIndex,0))</f>
        <v>0</v>
      </c>
      <c r="AK3">
        <f>AH3*S3+(T3-AC3)*AI3+AJ3</f>
        <v>0</v>
      </c>
      <c r="AL3">
        <f>IF(ISNUMBER(AG3),AG3,AK3)</f>
        <v>0</v>
      </c>
      <c r="AM3">
        <f>IF(ISNUMBER(AL3),IF(ISNUMBER(AH3),IF(AND(AH3=1,AI3=1,AJ3=1),100,MIN(99,ROUND(100*EXP(AL3)/(1+EXP(AL3)),2))),MIN(99,ROUND(100*EXP(AL3)/(1+EXP(AL3)),2))),IF(ISTEXT(R3),IF(LEFT(R3,1)="2",100,"N/A"),"N/A"))</f>
        <v>0</v>
      </c>
      <c r="AN3">
        <f>IF(ISNUMBER(AM3),IF(AM3&gt;=99,IF(OR(U3=10,U3=11),MatchLabel,SureThingLabel),IF(AM3&gt;=95,SecureLabel,IF(AM3&gt;=80,SafetyLabel,IF(AM3&gt;=50,MatchLabel,IF(AM3&gt;=20,ReachLabel,IF(AM3&gt;=10,LongshotLabel,HailMaryLabel)))))),"Other")</f>
        <v>0</v>
      </c>
      <c r="AO3">
        <f>IF(OR(I3="accepted",I3="cond. accept",I3="summer admit"),IF(J3="yes","CHOICE!","Accepted!"),IF(I3="guar. transfer","Guar. Xfer",IF(I3="denied","Denied",IF(K3=1,"Waitlist",IF(L3=1,"Deferred",IF(G3="pending","Pending",IF(OR(G3="initial materials submitted",G3="mid-year submitted",G3="final submitted"),"Submitted",IF(H3="interest","Interest","?"))))))))</f>
        <v>0</v>
      </c>
      <c r="AP3">
        <f>IF(OR(AN3=ReachLabel,AN3=LongshotLabel,AN3=HailMaryLabel),1,0)</f>
        <v>0</v>
      </c>
      <c r="AQ3">
        <f>IF(OR(AP3=1,AN3=MatchLabel),1,0)</f>
        <v>0</v>
      </c>
      <c r="AR3">
        <f>IF(OR(AN3=MatchLabel,AN3=SafetyLabel,AN3=SecureLabel,AN3=SureThingLabel),1,0)</f>
        <v>0</v>
      </c>
      <c r="AS3">
        <f>IF(OR(W3="H",W3="B",W3="I",W3="M"),IF(ISNUMBER(AB3),ROUND(AB3,2),0),IF(ISNUMBER(AA3),ROUND(AA3,2),0))</f>
        <v>0</v>
      </c>
      <c r="AT3">
        <f>IF(AS3&gt;=X3,1,0)</f>
        <v>0</v>
      </c>
      <c r="AU3">
        <f>IF(AS3&gt;=Y3,1,0)</f>
        <v>0</v>
      </c>
      <c r="AV3">
        <f>IF(AS3&lt;(X3-0.10),1,0)</f>
        <v>0</v>
      </c>
      <c r="AW3">
        <f>1-AM3/100</f>
        <v>0</v>
      </c>
      <c r="AX3">
        <f>IF(AQ3=1,AW3,1)</f>
        <v>0</v>
      </c>
      <c r="AY3">
        <f>IF(AP3=1,AW3,1)</f>
        <v>0</v>
      </c>
      <c r="AZ3">
        <f>IF(AND(AT3=1,ISNUMBER(AW3)),$AW3,1)</f>
        <v>0</v>
      </c>
      <c r="BA3">
        <f>IF(AND(AU3=1,ISNUMBER(AW3)),$AW3,1)</f>
        <v>0</v>
      </c>
      <c r="BB3">
        <f>IF(ISNUMBER(AB3),INDEX(AllCollegeMoney, MATCH(N3,AllCollegeNCES,0)),0)</f>
        <v>0</v>
      </c>
      <c r="BC3">
        <f>IF(AND(AT3=1,ISNUMBER(AW3),BB3=1),$AW3,1)</f>
        <v>0</v>
      </c>
      <c r="BD3">
        <f>IF(AND(AU3=1,ISNUMBER(AW3),BB3=1),$AW3,1)</f>
        <v>0</v>
      </c>
      <c r="BE3">
        <f>IF(ISNUMBER(AB3),INDEX(AllCollegeILPub, MATCH(N3,AllCollegeNCES,0)),0)</f>
        <v>0</v>
      </c>
      <c r="BF3">
        <f>IF(AN3=ReachLabel,AS3,0)</f>
        <v>0</v>
      </c>
      <c r="BG3">
        <f>IF(AN3=MatchLabel,AS3,0)</f>
        <v>0</v>
      </c>
      <c r="BH3">
        <f>IF(AN3=SafetyLabel,AS3,0)</f>
        <v>0</v>
      </c>
      <c r="BI3">
        <f>IF(AN3=SecureLabel,AS3,0)</f>
        <v>0</v>
      </c>
      <c r="BJ3">
        <f>IF(AN3=SureThingLabel,AS3,0)</f>
        <v>0</v>
      </c>
      <c r="BK3">
        <f>MAX(BF3:BJ3)</f>
        <v>0</v>
      </c>
      <c r="BL3">
        <f>MAX(BG3:BJ3)</f>
        <v>0</v>
      </c>
      <c r="BM3">
        <f>MAX(BH3:BJ3)</f>
        <v>0</v>
      </c>
      <c r="BN3">
        <f>IF(AND(AN3=ReachLabel,BB3=1),AS3,0)</f>
        <v>0</v>
      </c>
      <c r="BO3">
        <f>IF(AND(AN3=MatchLabel,BB3=1),AS3,0)</f>
        <v>0</v>
      </c>
      <c r="BP3">
        <f>IF(AND(AN3=SafetyLabel,BB3=1),AS3,0)</f>
        <v>0</v>
      </c>
      <c r="BQ3">
        <f>IF(AND(AN3=SecureLabel,BB3=1),AS3,0)</f>
        <v>0</v>
      </c>
      <c r="BR3">
        <f>IF(AND(AN3=SureThingLabel,BB3=1),AS3,0)</f>
        <v>0</v>
      </c>
      <c r="BS3">
        <f>MAX(BN3:BR3)</f>
        <v>0</v>
      </c>
      <c r="BT3">
        <f>MAX(BO3:BR3)</f>
        <v>0</v>
      </c>
      <c r="BU3">
        <f>MAX(BP3:BR3)</f>
        <v>0</v>
      </c>
      <c r="BV3">
        <f>IF(ISNUMBER(AB3),INDEX(AllCollegeChicago, MATCH(N3,AllCollegeNCES,0))*BB3,0)</f>
        <v>0</v>
      </c>
      <c r="BW3">
        <f>IF(ISNUMBER(AB3),INDEX(AllCollegeMoneyCode, MATCH(N3,AllCollegeNCES,0)),"?")</f>
        <v>0</v>
      </c>
      <c r="BX3">
        <f>IF(OR(BW3="---",BW3="--",BW3="+/--",BW3="+/---"),1,0)</f>
        <v>0</v>
      </c>
      <c r="BY3">
        <f>BB3*AR3*AT3</f>
        <v>0</v>
      </c>
    </row>
    <row r="4" spans="1:77">
      <c r="A4" t="s">
        <v>96</v>
      </c>
      <c r="B4">
        <v>21702780</v>
      </c>
      <c r="C4" t="s">
        <v>158</v>
      </c>
      <c r="D4" t="s">
        <v>159</v>
      </c>
      <c r="E4" t="s">
        <v>446</v>
      </c>
      <c r="F4" t="s">
        <v>452</v>
      </c>
      <c r="G4" t="s">
        <v>448</v>
      </c>
      <c r="H4" t="s">
        <v>449</v>
      </c>
      <c r="I4" t="s">
        <v>450</v>
      </c>
      <c r="J4" t="s">
        <v>450</v>
      </c>
      <c r="K4">
        <v>0</v>
      </c>
      <c r="L4" t="s">
        <v>446</v>
      </c>
      <c r="M4" t="s">
        <v>446</v>
      </c>
      <c r="N4">
        <v>143118</v>
      </c>
      <c r="O4">
        <f>INDEX(Counselor,MATCH(B4,KidIDs,0))</f>
        <v>0</v>
      </c>
      <c r="P4">
        <f>INDEX(Advisors,MATCH(B4,KidIDs,0))</f>
        <v>0</v>
      </c>
      <c r="Q4">
        <f>INDEX(Cohort,MATCH(B4,KidIDs,0))</f>
        <v>0</v>
      </c>
      <c r="R4">
        <f>INDEX(AllCollegeBarrons,MATCH(N4,AllCollegeNCES,0))</f>
        <v>0</v>
      </c>
      <c r="S4">
        <f>INDEX(KidGPAs,MATCH(B4,KidIDs,0))</f>
        <v>0</v>
      </c>
      <c r="T4">
        <f>INDEX(KidSATs,MATCH(B4,KidIDs,0))</f>
        <v>0</v>
      </c>
      <c r="U4">
        <f>INDEX(Strats,MATCH(B4,KidIDs,0))</f>
        <v>0</v>
      </c>
      <c r="V4">
        <f>INDEX(KidRace,MATCH(B4,KidIDs,0))</f>
        <v>0</v>
      </c>
      <c r="W4">
        <f>IF(OR(V4="M",V4="I"),"H",IF(V4="P","A",V4))</f>
        <v>0</v>
      </c>
      <c r="X4">
        <f>INDEX(StudentTargets,MATCH(B4,KidIDs,0))</f>
        <v>0</v>
      </c>
      <c r="Y4">
        <f>INDEX(ReachStudentTargets,MATCH(B4,KidIDs,0))</f>
        <v>0</v>
      </c>
      <c r="Z4">
        <f>IF(OR(M4="Posse"),1,0)</f>
        <v>0</v>
      </c>
      <c r="AA4">
        <f>IF(ISNUMBER(INDEX(AllCollegeGR, MATCH(N4,AllCollegeNCES,0))),ROUND(INDEX(AllCollegeGR, MATCH(N4,AllCollegeNCES,0))+Z4*IF(INDEX(AllCollegeGR, MATCH(N4,AllCollegeNCES,0))&gt;0.7,(1-INDEX(AllCollegeGR, MATCH(N4,AllCollegeNCES,0)))/2,0.15),2),INDEX(AllCollegeGR, MATCH(N4,AllCollegeNCES,0)))</f>
        <v>0</v>
      </c>
      <c r="AB4">
        <f>IF(ISNUMBER(INDEX(AllCollegeAAHGR, MATCH(N4,AllCollegeNCES,0))),ROUND(INDEX(AllCollegeAAHGR, MATCH(N4,AllCollegeNCES,0))+Z4*IF(INDEX(AllCollegeAAHGR, MATCH(N4,AllCollegeNCES,0))&gt;0.7,(1-INDEX(AllCollegeAAHGR, MATCH(N4,AllCollegeNCES,0)))/2,0.15),2),INDEX(AllCollegeAAHGR, MATCH(N4,AllCollegeNCES,0)))</f>
        <v>0</v>
      </c>
      <c r="AC4">
        <f>IF(OR(W4="H",W4="B"),INDEX(AllCollegeSAT25, MATCH(N4,AllCollegeNCES,0)),INDEX(AllCollegeSAT50, MATCH(N4,AllCollegeNCES,0)))</f>
        <v>0</v>
      </c>
      <c r="AD4">
        <f>INDEX(CustomWeightsGPA,MATCH(W4&amp;":"&amp;N4,CustomWeightsIndex,0))</f>
        <v>0</v>
      </c>
      <c r="AE4">
        <f>INDEX(CustomWeightsSAT,MATCH(W4&amp;":"&amp;N4,CustomWeightsIndex,0))</f>
        <v>0</v>
      </c>
      <c r="AF4">
        <f>INDEX(CustomWeightsIntercept,MATCH(W4&amp;":"&amp;N4,CustomWeightsIndex,0))</f>
        <v>0</v>
      </c>
      <c r="AG4">
        <f>AD4*S4+AE4*T4+AF4</f>
        <v>0</v>
      </c>
      <c r="AH4">
        <f>INDEX(CoefficientsGPA,MATCH(W4&amp;":"&amp;R4,CoefficientsIndex,0))</f>
        <v>0</v>
      </c>
      <c r="AI4">
        <f>INDEX(CoefficientsSAT,MATCH(W4&amp;":"&amp;R4,CoefficientsIndex,0))</f>
        <v>0</v>
      </c>
      <c r="AJ4">
        <f>INDEX(CoefficientsIntercept,MATCH(W4&amp;":"&amp;R4,CoefficientsIndex,0))</f>
        <v>0</v>
      </c>
      <c r="AK4">
        <f>AH4*S4+(T4-AC4)*AI4+AJ4</f>
        <v>0</v>
      </c>
      <c r="AL4">
        <f>IF(ISNUMBER(AG4),AG4,AK4)</f>
        <v>0</v>
      </c>
      <c r="AM4">
        <f>IF(ISNUMBER(AL4),IF(ISNUMBER(AH4),IF(AND(AH4=1,AI4=1,AJ4=1),100,MIN(99,ROUND(100*EXP(AL4)/(1+EXP(AL4)),2))),MIN(99,ROUND(100*EXP(AL4)/(1+EXP(AL4)),2))),IF(ISTEXT(R4),IF(LEFT(R4,1)="2",100,"N/A"),"N/A"))</f>
        <v>0</v>
      </c>
      <c r="AN4">
        <f>IF(ISNUMBER(AM4),IF(AM4&gt;=99,IF(OR(U4=10,U4=11),MatchLabel,SureThingLabel),IF(AM4&gt;=95,SecureLabel,IF(AM4&gt;=80,SafetyLabel,IF(AM4&gt;=50,MatchLabel,IF(AM4&gt;=20,ReachLabel,IF(AM4&gt;=10,LongshotLabel,HailMaryLabel)))))),"Other")</f>
        <v>0</v>
      </c>
      <c r="AO4">
        <f>IF(OR(I4="accepted",I4="cond. accept",I4="summer admit"),IF(J4="yes","CHOICE!","Accepted!"),IF(I4="guar. transfer","Guar. Xfer",IF(I4="denied","Denied",IF(K4=1,"Waitlist",IF(L4=1,"Deferred",IF(G4="pending","Pending",IF(OR(G4="initial materials submitted",G4="mid-year submitted",G4="final submitted"),"Submitted",IF(H4="interest","Interest","?"))))))))</f>
        <v>0</v>
      </c>
      <c r="AP4">
        <f>IF(OR(AN4=ReachLabel,AN4=LongshotLabel,AN4=HailMaryLabel),1,0)</f>
        <v>0</v>
      </c>
      <c r="AQ4">
        <f>IF(OR(AP4=1,AN4=MatchLabel),1,0)</f>
        <v>0</v>
      </c>
      <c r="AR4">
        <f>IF(OR(AN4=MatchLabel,AN4=SafetyLabel,AN4=SecureLabel,AN4=SureThingLabel),1,0)</f>
        <v>0</v>
      </c>
      <c r="AS4">
        <f>IF(OR(W4="H",W4="B",W4="I",W4="M"),IF(ISNUMBER(AB4),ROUND(AB4,2),0),IF(ISNUMBER(AA4),ROUND(AA4,2),0))</f>
        <v>0</v>
      </c>
      <c r="AT4">
        <f>IF(AS4&gt;=X4,1,0)</f>
        <v>0</v>
      </c>
      <c r="AU4">
        <f>IF(AS4&gt;=Y4,1,0)</f>
        <v>0</v>
      </c>
      <c r="AV4">
        <f>IF(AS4&lt;(X4-0.10),1,0)</f>
        <v>0</v>
      </c>
      <c r="AW4">
        <f>1-AM4/100</f>
        <v>0</v>
      </c>
      <c r="AX4">
        <f>IF(AQ4=1,AW4,1)</f>
        <v>0</v>
      </c>
      <c r="AY4">
        <f>IF(AP4=1,AW4,1)</f>
        <v>0</v>
      </c>
      <c r="AZ4">
        <f>IF(AND(AT4=1,ISNUMBER(AW4)),$AW4,1)</f>
        <v>0</v>
      </c>
      <c r="BA4">
        <f>IF(AND(AU4=1,ISNUMBER(AW4)),$AW4,1)</f>
        <v>0</v>
      </c>
      <c r="BB4">
        <f>IF(ISNUMBER(AB4),INDEX(AllCollegeMoney, MATCH(N4,AllCollegeNCES,0)),0)</f>
        <v>0</v>
      </c>
      <c r="BC4">
        <f>IF(AND(AT4=1,ISNUMBER(AW4),BB4=1),$AW4,1)</f>
        <v>0</v>
      </c>
      <c r="BD4">
        <f>IF(AND(AU4=1,ISNUMBER(AW4),BB4=1),$AW4,1)</f>
        <v>0</v>
      </c>
      <c r="BE4">
        <f>IF(ISNUMBER(AB4),INDEX(AllCollegeILPub, MATCH(N4,AllCollegeNCES,0)),0)</f>
        <v>0</v>
      </c>
      <c r="BF4">
        <f>IF(AN4=ReachLabel,AS4,0)</f>
        <v>0</v>
      </c>
      <c r="BG4">
        <f>IF(AN4=MatchLabel,AS4,0)</f>
        <v>0</v>
      </c>
      <c r="BH4">
        <f>IF(AN4=SafetyLabel,AS4,0)</f>
        <v>0</v>
      </c>
      <c r="BI4">
        <f>IF(AN4=SecureLabel,AS4,0)</f>
        <v>0</v>
      </c>
      <c r="BJ4">
        <f>IF(AN4=SureThingLabel,AS4,0)</f>
        <v>0</v>
      </c>
      <c r="BK4">
        <f>MAX(BF4:BJ4)</f>
        <v>0</v>
      </c>
      <c r="BL4">
        <f>MAX(BG4:BJ4)</f>
        <v>0</v>
      </c>
      <c r="BM4">
        <f>MAX(BH4:BJ4)</f>
        <v>0</v>
      </c>
      <c r="BN4">
        <f>IF(AND(AN4=ReachLabel,BB4=1),AS4,0)</f>
        <v>0</v>
      </c>
      <c r="BO4">
        <f>IF(AND(AN4=MatchLabel,BB4=1),AS4,0)</f>
        <v>0</v>
      </c>
      <c r="BP4">
        <f>IF(AND(AN4=SafetyLabel,BB4=1),AS4,0)</f>
        <v>0</v>
      </c>
      <c r="BQ4">
        <f>IF(AND(AN4=SecureLabel,BB4=1),AS4,0)</f>
        <v>0</v>
      </c>
      <c r="BR4">
        <f>IF(AND(AN4=SureThingLabel,BB4=1),AS4,0)</f>
        <v>0</v>
      </c>
      <c r="BS4">
        <f>MAX(BN4:BR4)</f>
        <v>0</v>
      </c>
      <c r="BT4">
        <f>MAX(BO4:BR4)</f>
        <v>0</v>
      </c>
      <c r="BU4">
        <f>MAX(BP4:BR4)</f>
        <v>0</v>
      </c>
      <c r="BV4">
        <f>IF(ISNUMBER(AB4),INDEX(AllCollegeChicago, MATCH(N4,AllCollegeNCES,0))*BB4,0)</f>
        <v>0</v>
      </c>
      <c r="BW4">
        <f>IF(ISNUMBER(AB4),INDEX(AllCollegeMoneyCode, MATCH(N4,AllCollegeNCES,0)),"?")</f>
        <v>0</v>
      </c>
      <c r="BX4">
        <f>IF(OR(BW4="---",BW4="--",BW4="+/--",BW4="+/---"),1,0)</f>
        <v>0</v>
      </c>
      <c r="BY4">
        <f>BB4*AR4*AT4</f>
        <v>0</v>
      </c>
    </row>
    <row r="5" spans="1:77">
      <c r="A5" t="s">
        <v>96</v>
      </c>
      <c r="B5">
        <v>21702780</v>
      </c>
      <c r="C5" t="s">
        <v>158</v>
      </c>
      <c r="D5" t="s">
        <v>159</v>
      </c>
      <c r="E5" t="s">
        <v>446</v>
      </c>
      <c r="F5" t="s">
        <v>453</v>
      </c>
      <c r="G5" t="s">
        <v>448</v>
      </c>
      <c r="H5" t="s">
        <v>449</v>
      </c>
      <c r="I5" t="s">
        <v>450</v>
      </c>
      <c r="J5" t="s">
        <v>450</v>
      </c>
      <c r="K5">
        <v>0</v>
      </c>
      <c r="L5" t="s">
        <v>446</v>
      </c>
      <c r="M5" t="s">
        <v>454</v>
      </c>
      <c r="N5">
        <v>150774</v>
      </c>
      <c r="O5">
        <f>INDEX(Counselor,MATCH(B5,KidIDs,0))</f>
        <v>0</v>
      </c>
      <c r="P5">
        <f>INDEX(Advisors,MATCH(B5,KidIDs,0))</f>
        <v>0</v>
      </c>
      <c r="Q5">
        <f>INDEX(Cohort,MATCH(B5,KidIDs,0))</f>
        <v>0</v>
      </c>
      <c r="R5">
        <f>INDEX(AllCollegeBarrons,MATCH(N5,AllCollegeNCES,0))</f>
        <v>0</v>
      </c>
      <c r="S5">
        <f>INDEX(KidGPAs,MATCH(B5,KidIDs,0))</f>
        <v>0</v>
      </c>
      <c r="T5">
        <f>INDEX(KidSATs,MATCH(B5,KidIDs,0))</f>
        <v>0</v>
      </c>
      <c r="U5">
        <f>INDEX(Strats,MATCH(B5,KidIDs,0))</f>
        <v>0</v>
      </c>
      <c r="V5">
        <f>INDEX(KidRace,MATCH(B5,KidIDs,0))</f>
        <v>0</v>
      </c>
      <c r="W5">
        <f>IF(OR(V5="M",V5="I"),"H",IF(V5="P","A",V5))</f>
        <v>0</v>
      </c>
      <c r="X5">
        <f>INDEX(StudentTargets,MATCH(B5,KidIDs,0))</f>
        <v>0</v>
      </c>
      <c r="Y5">
        <f>INDEX(ReachStudentTargets,MATCH(B5,KidIDs,0))</f>
        <v>0</v>
      </c>
      <c r="Z5">
        <f>IF(OR(M5="Posse"),1,0)</f>
        <v>0</v>
      </c>
      <c r="AA5">
        <f>IF(ISNUMBER(INDEX(AllCollegeGR, MATCH(N5,AllCollegeNCES,0))),ROUND(INDEX(AllCollegeGR, MATCH(N5,AllCollegeNCES,0))+Z5*IF(INDEX(AllCollegeGR, MATCH(N5,AllCollegeNCES,0))&gt;0.7,(1-INDEX(AllCollegeGR, MATCH(N5,AllCollegeNCES,0)))/2,0.15),2),INDEX(AllCollegeGR, MATCH(N5,AllCollegeNCES,0)))</f>
        <v>0</v>
      </c>
      <c r="AB5">
        <f>IF(ISNUMBER(INDEX(AllCollegeAAHGR, MATCH(N5,AllCollegeNCES,0))),ROUND(INDEX(AllCollegeAAHGR, MATCH(N5,AllCollegeNCES,0))+Z5*IF(INDEX(AllCollegeAAHGR, MATCH(N5,AllCollegeNCES,0))&gt;0.7,(1-INDEX(AllCollegeAAHGR, MATCH(N5,AllCollegeNCES,0)))/2,0.15),2),INDEX(AllCollegeAAHGR, MATCH(N5,AllCollegeNCES,0)))</f>
        <v>0</v>
      </c>
      <c r="AC5">
        <f>IF(OR(W5="H",W5="B"),INDEX(AllCollegeSAT25, MATCH(N5,AllCollegeNCES,0)),INDEX(AllCollegeSAT50, MATCH(N5,AllCollegeNCES,0)))</f>
        <v>0</v>
      </c>
      <c r="AD5">
        <f>INDEX(CustomWeightsGPA,MATCH(W5&amp;":"&amp;N5,CustomWeightsIndex,0))</f>
        <v>0</v>
      </c>
      <c r="AE5">
        <f>INDEX(CustomWeightsSAT,MATCH(W5&amp;":"&amp;N5,CustomWeightsIndex,0))</f>
        <v>0</v>
      </c>
      <c r="AF5">
        <f>INDEX(CustomWeightsIntercept,MATCH(W5&amp;":"&amp;N5,CustomWeightsIndex,0))</f>
        <v>0</v>
      </c>
      <c r="AG5">
        <f>AD5*S5+AE5*T5+AF5</f>
        <v>0</v>
      </c>
      <c r="AH5">
        <f>INDEX(CoefficientsGPA,MATCH(W5&amp;":"&amp;R5,CoefficientsIndex,0))</f>
        <v>0</v>
      </c>
      <c r="AI5">
        <f>INDEX(CoefficientsSAT,MATCH(W5&amp;":"&amp;R5,CoefficientsIndex,0))</f>
        <v>0</v>
      </c>
      <c r="AJ5">
        <f>INDEX(CoefficientsIntercept,MATCH(W5&amp;":"&amp;R5,CoefficientsIndex,0))</f>
        <v>0</v>
      </c>
      <c r="AK5">
        <f>AH5*S5+(T5-AC5)*AI5+AJ5</f>
        <v>0</v>
      </c>
      <c r="AL5">
        <f>IF(ISNUMBER(AG5),AG5,AK5)</f>
        <v>0</v>
      </c>
      <c r="AM5">
        <f>IF(ISNUMBER(AL5),IF(ISNUMBER(AH5),IF(AND(AH5=1,AI5=1,AJ5=1),100,MIN(99,ROUND(100*EXP(AL5)/(1+EXP(AL5)),2))),MIN(99,ROUND(100*EXP(AL5)/(1+EXP(AL5)),2))),IF(ISTEXT(R5),IF(LEFT(R5,1)="2",100,"N/A"),"N/A"))</f>
        <v>0</v>
      </c>
      <c r="AN5">
        <f>IF(ISNUMBER(AM5),IF(AM5&gt;=99,IF(OR(U5=10,U5=11),MatchLabel,SureThingLabel),IF(AM5&gt;=95,SecureLabel,IF(AM5&gt;=80,SafetyLabel,IF(AM5&gt;=50,MatchLabel,IF(AM5&gt;=20,ReachLabel,IF(AM5&gt;=10,LongshotLabel,HailMaryLabel)))))),"Other")</f>
        <v>0</v>
      </c>
      <c r="AO5">
        <f>IF(OR(I5="accepted",I5="cond. accept",I5="summer admit"),IF(J5="yes","CHOICE!","Accepted!"),IF(I5="guar. transfer","Guar. Xfer",IF(I5="denied","Denied",IF(K5=1,"Waitlist",IF(L5=1,"Deferred",IF(G5="pending","Pending",IF(OR(G5="initial materials submitted",G5="mid-year submitted",G5="final submitted"),"Submitted",IF(H5="interest","Interest","?"))))))))</f>
        <v>0</v>
      </c>
      <c r="AP5">
        <f>IF(OR(AN5=ReachLabel,AN5=LongshotLabel,AN5=HailMaryLabel),1,0)</f>
        <v>0</v>
      </c>
      <c r="AQ5">
        <f>IF(OR(AP5=1,AN5=MatchLabel),1,0)</f>
        <v>0</v>
      </c>
      <c r="AR5">
        <f>IF(OR(AN5=MatchLabel,AN5=SafetyLabel,AN5=SecureLabel,AN5=SureThingLabel),1,0)</f>
        <v>0</v>
      </c>
      <c r="AS5">
        <f>IF(OR(W5="H",W5="B",W5="I",W5="M"),IF(ISNUMBER(AB5),ROUND(AB5,2),0),IF(ISNUMBER(AA5),ROUND(AA5,2),0))</f>
        <v>0</v>
      </c>
      <c r="AT5">
        <f>IF(AS5&gt;=X5,1,0)</f>
        <v>0</v>
      </c>
      <c r="AU5">
        <f>IF(AS5&gt;=Y5,1,0)</f>
        <v>0</v>
      </c>
      <c r="AV5">
        <f>IF(AS5&lt;(X5-0.10),1,0)</f>
        <v>0</v>
      </c>
      <c r="AW5">
        <f>1-AM5/100</f>
        <v>0</v>
      </c>
      <c r="AX5">
        <f>IF(AQ5=1,AW5,1)</f>
        <v>0</v>
      </c>
      <c r="AY5">
        <f>IF(AP5=1,AW5,1)</f>
        <v>0</v>
      </c>
      <c r="AZ5">
        <f>IF(AND(AT5=1,ISNUMBER(AW5)),$AW5,1)</f>
        <v>0</v>
      </c>
      <c r="BA5">
        <f>IF(AND(AU5=1,ISNUMBER(AW5)),$AW5,1)</f>
        <v>0</v>
      </c>
      <c r="BB5">
        <f>IF(ISNUMBER(AB5),INDEX(AllCollegeMoney, MATCH(N5,AllCollegeNCES,0)),0)</f>
        <v>0</v>
      </c>
      <c r="BC5">
        <f>IF(AND(AT5=1,ISNUMBER(AW5),BB5=1),$AW5,1)</f>
        <v>0</v>
      </c>
      <c r="BD5">
        <f>IF(AND(AU5=1,ISNUMBER(AW5),BB5=1),$AW5,1)</f>
        <v>0</v>
      </c>
      <c r="BE5">
        <f>IF(ISNUMBER(AB5),INDEX(AllCollegeILPub, MATCH(N5,AllCollegeNCES,0)),0)</f>
        <v>0</v>
      </c>
      <c r="BF5">
        <f>IF(AN5=ReachLabel,AS5,0)</f>
        <v>0</v>
      </c>
      <c r="BG5">
        <f>IF(AN5=MatchLabel,AS5,0)</f>
        <v>0</v>
      </c>
      <c r="BH5">
        <f>IF(AN5=SafetyLabel,AS5,0)</f>
        <v>0</v>
      </c>
      <c r="BI5">
        <f>IF(AN5=SecureLabel,AS5,0)</f>
        <v>0</v>
      </c>
      <c r="BJ5">
        <f>IF(AN5=SureThingLabel,AS5,0)</f>
        <v>0</v>
      </c>
      <c r="BK5">
        <f>MAX(BF5:BJ5)</f>
        <v>0</v>
      </c>
      <c r="BL5">
        <f>MAX(BG5:BJ5)</f>
        <v>0</v>
      </c>
      <c r="BM5">
        <f>MAX(BH5:BJ5)</f>
        <v>0</v>
      </c>
      <c r="BN5">
        <f>IF(AND(AN5=ReachLabel,BB5=1),AS5,0)</f>
        <v>0</v>
      </c>
      <c r="BO5">
        <f>IF(AND(AN5=MatchLabel,BB5=1),AS5,0)</f>
        <v>0</v>
      </c>
      <c r="BP5">
        <f>IF(AND(AN5=SafetyLabel,BB5=1),AS5,0)</f>
        <v>0</v>
      </c>
      <c r="BQ5">
        <f>IF(AND(AN5=SecureLabel,BB5=1),AS5,0)</f>
        <v>0</v>
      </c>
      <c r="BR5">
        <f>IF(AND(AN5=SureThingLabel,BB5=1),AS5,0)</f>
        <v>0</v>
      </c>
      <c r="BS5">
        <f>MAX(BN5:BR5)</f>
        <v>0</v>
      </c>
      <c r="BT5">
        <f>MAX(BO5:BR5)</f>
        <v>0</v>
      </c>
      <c r="BU5">
        <f>MAX(BP5:BR5)</f>
        <v>0</v>
      </c>
      <c r="BV5">
        <f>IF(ISNUMBER(AB5),INDEX(AllCollegeChicago, MATCH(N5,AllCollegeNCES,0))*BB5,0)</f>
        <v>0</v>
      </c>
      <c r="BW5">
        <f>IF(ISNUMBER(AB5),INDEX(AllCollegeMoneyCode, MATCH(N5,AllCollegeNCES,0)),"?")</f>
        <v>0</v>
      </c>
      <c r="BX5">
        <f>IF(OR(BW5="---",BW5="--",BW5="+/--",BW5="+/---"),1,0)</f>
        <v>0</v>
      </c>
      <c r="BY5">
        <f>BB5*AR5*AT5</f>
        <v>0</v>
      </c>
    </row>
    <row r="6" spans="1:77">
      <c r="A6" t="s">
        <v>96</v>
      </c>
      <c r="B6">
        <v>21702780</v>
      </c>
      <c r="C6" t="s">
        <v>158</v>
      </c>
      <c r="D6" t="s">
        <v>159</v>
      </c>
      <c r="E6" t="s">
        <v>446</v>
      </c>
      <c r="F6" t="s">
        <v>455</v>
      </c>
      <c r="G6" t="s">
        <v>448</v>
      </c>
      <c r="H6" t="s">
        <v>449</v>
      </c>
      <c r="I6" t="s">
        <v>450</v>
      </c>
      <c r="J6" t="s">
        <v>450</v>
      </c>
      <c r="K6">
        <v>0</v>
      </c>
      <c r="L6" t="s">
        <v>446</v>
      </c>
      <c r="M6" t="s">
        <v>446</v>
      </c>
      <c r="N6">
        <v>147828</v>
      </c>
      <c r="O6">
        <f>INDEX(Counselor,MATCH(B6,KidIDs,0))</f>
        <v>0</v>
      </c>
      <c r="P6">
        <f>INDEX(Advisors,MATCH(B6,KidIDs,0))</f>
        <v>0</v>
      </c>
      <c r="Q6">
        <f>INDEX(Cohort,MATCH(B6,KidIDs,0))</f>
        <v>0</v>
      </c>
      <c r="R6">
        <f>INDEX(AllCollegeBarrons,MATCH(N6,AllCollegeNCES,0))</f>
        <v>0</v>
      </c>
      <c r="S6">
        <f>INDEX(KidGPAs,MATCH(B6,KidIDs,0))</f>
        <v>0</v>
      </c>
      <c r="T6">
        <f>INDEX(KidSATs,MATCH(B6,KidIDs,0))</f>
        <v>0</v>
      </c>
      <c r="U6">
        <f>INDEX(Strats,MATCH(B6,KidIDs,0))</f>
        <v>0</v>
      </c>
      <c r="V6">
        <f>INDEX(KidRace,MATCH(B6,KidIDs,0))</f>
        <v>0</v>
      </c>
      <c r="W6">
        <f>IF(OR(V6="M",V6="I"),"H",IF(V6="P","A",V6))</f>
        <v>0</v>
      </c>
      <c r="X6">
        <f>INDEX(StudentTargets,MATCH(B6,KidIDs,0))</f>
        <v>0</v>
      </c>
      <c r="Y6">
        <f>INDEX(ReachStudentTargets,MATCH(B6,KidIDs,0))</f>
        <v>0</v>
      </c>
      <c r="Z6">
        <f>IF(OR(M6="Posse"),1,0)</f>
        <v>0</v>
      </c>
      <c r="AA6">
        <f>IF(ISNUMBER(INDEX(AllCollegeGR, MATCH(N6,AllCollegeNCES,0))),ROUND(INDEX(AllCollegeGR, MATCH(N6,AllCollegeNCES,0))+Z6*IF(INDEX(AllCollegeGR, MATCH(N6,AllCollegeNCES,0))&gt;0.7,(1-INDEX(AllCollegeGR, MATCH(N6,AllCollegeNCES,0)))/2,0.15),2),INDEX(AllCollegeGR, MATCH(N6,AllCollegeNCES,0)))</f>
        <v>0</v>
      </c>
      <c r="AB6">
        <f>IF(ISNUMBER(INDEX(AllCollegeAAHGR, MATCH(N6,AllCollegeNCES,0))),ROUND(INDEX(AllCollegeAAHGR, MATCH(N6,AllCollegeNCES,0))+Z6*IF(INDEX(AllCollegeAAHGR, MATCH(N6,AllCollegeNCES,0))&gt;0.7,(1-INDEX(AllCollegeAAHGR, MATCH(N6,AllCollegeNCES,0)))/2,0.15),2),INDEX(AllCollegeAAHGR, MATCH(N6,AllCollegeNCES,0)))</f>
        <v>0</v>
      </c>
      <c r="AC6">
        <f>IF(OR(W6="H",W6="B"),INDEX(AllCollegeSAT25, MATCH(N6,AllCollegeNCES,0)),INDEX(AllCollegeSAT50, MATCH(N6,AllCollegeNCES,0)))</f>
        <v>0</v>
      </c>
      <c r="AD6">
        <f>INDEX(CustomWeightsGPA,MATCH(W6&amp;":"&amp;N6,CustomWeightsIndex,0))</f>
        <v>0</v>
      </c>
      <c r="AE6">
        <f>INDEX(CustomWeightsSAT,MATCH(W6&amp;":"&amp;N6,CustomWeightsIndex,0))</f>
        <v>0</v>
      </c>
      <c r="AF6">
        <f>INDEX(CustomWeightsIntercept,MATCH(W6&amp;":"&amp;N6,CustomWeightsIndex,0))</f>
        <v>0</v>
      </c>
      <c r="AG6">
        <f>AD6*S6+AE6*T6+AF6</f>
        <v>0</v>
      </c>
      <c r="AH6">
        <f>INDEX(CoefficientsGPA,MATCH(W6&amp;":"&amp;R6,CoefficientsIndex,0))</f>
        <v>0</v>
      </c>
      <c r="AI6">
        <f>INDEX(CoefficientsSAT,MATCH(W6&amp;":"&amp;R6,CoefficientsIndex,0))</f>
        <v>0</v>
      </c>
      <c r="AJ6">
        <f>INDEX(CoefficientsIntercept,MATCH(W6&amp;":"&amp;R6,CoefficientsIndex,0))</f>
        <v>0</v>
      </c>
      <c r="AK6">
        <f>AH6*S6+(T6-AC6)*AI6+AJ6</f>
        <v>0</v>
      </c>
      <c r="AL6">
        <f>IF(ISNUMBER(AG6),AG6,AK6)</f>
        <v>0</v>
      </c>
      <c r="AM6">
        <f>IF(ISNUMBER(AL6),IF(ISNUMBER(AH6),IF(AND(AH6=1,AI6=1,AJ6=1),100,MIN(99,ROUND(100*EXP(AL6)/(1+EXP(AL6)),2))),MIN(99,ROUND(100*EXP(AL6)/(1+EXP(AL6)),2))),IF(ISTEXT(R6),IF(LEFT(R6,1)="2",100,"N/A"),"N/A"))</f>
        <v>0</v>
      </c>
      <c r="AN6">
        <f>IF(ISNUMBER(AM6),IF(AM6&gt;=99,IF(OR(U6=10,U6=11),MatchLabel,SureThingLabel),IF(AM6&gt;=95,SecureLabel,IF(AM6&gt;=80,SafetyLabel,IF(AM6&gt;=50,MatchLabel,IF(AM6&gt;=20,ReachLabel,IF(AM6&gt;=10,LongshotLabel,HailMaryLabel)))))),"Other")</f>
        <v>0</v>
      </c>
      <c r="AO6">
        <f>IF(OR(I6="accepted",I6="cond. accept",I6="summer admit"),IF(J6="yes","CHOICE!","Accepted!"),IF(I6="guar. transfer","Guar. Xfer",IF(I6="denied","Denied",IF(K6=1,"Waitlist",IF(L6=1,"Deferred",IF(G6="pending","Pending",IF(OR(G6="initial materials submitted",G6="mid-year submitted",G6="final submitted"),"Submitted",IF(H6="interest","Interest","?"))))))))</f>
        <v>0</v>
      </c>
      <c r="AP6">
        <f>IF(OR(AN6=ReachLabel,AN6=LongshotLabel,AN6=HailMaryLabel),1,0)</f>
        <v>0</v>
      </c>
      <c r="AQ6">
        <f>IF(OR(AP6=1,AN6=MatchLabel),1,0)</f>
        <v>0</v>
      </c>
      <c r="AR6">
        <f>IF(OR(AN6=MatchLabel,AN6=SafetyLabel,AN6=SecureLabel,AN6=SureThingLabel),1,0)</f>
        <v>0</v>
      </c>
      <c r="AS6">
        <f>IF(OR(W6="H",W6="B",W6="I",W6="M"),IF(ISNUMBER(AB6),ROUND(AB6,2),0),IF(ISNUMBER(AA6),ROUND(AA6,2),0))</f>
        <v>0</v>
      </c>
      <c r="AT6">
        <f>IF(AS6&gt;=X6,1,0)</f>
        <v>0</v>
      </c>
      <c r="AU6">
        <f>IF(AS6&gt;=Y6,1,0)</f>
        <v>0</v>
      </c>
      <c r="AV6">
        <f>IF(AS6&lt;(X6-0.10),1,0)</f>
        <v>0</v>
      </c>
      <c r="AW6">
        <f>1-AM6/100</f>
        <v>0</v>
      </c>
      <c r="AX6">
        <f>IF(AQ6=1,AW6,1)</f>
        <v>0</v>
      </c>
      <c r="AY6">
        <f>IF(AP6=1,AW6,1)</f>
        <v>0</v>
      </c>
      <c r="AZ6">
        <f>IF(AND(AT6=1,ISNUMBER(AW6)),$AW6,1)</f>
        <v>0</v>
      </c>
      <c r="BA6">
        <f>IF(AND(AU6=1,ISNUMBER(AW6)),$AW6,1)</f>
        <v>0</v>
      </c>
      <c r="BB6">
        <f>IF(ISNUMBER(AB6),INDEX(AllCollegeMoney, MATCH(N6,AllCollegeNCES,0)),0)</f>
        <v>0</v>
      </c>
      <c r="BC6">
        <f>IF(AND(AT6=1,ISNUMBER(AW6),BB6=1),$AW6,1)</f>
        <v>0</v>
      </c>
      <c r="BD6">
        <f>IF(AND(AU6=1,ISNUMBER(AW6),BB6=1),$AW6,1)</f>
        <v>0</v>
      </c>
      <c r="BE6">
        <f>IF(ISNUMBER(AB6),INDEX(AllCollegeILPub, MATCH(N6,AllCollegeNCES,0)),0)</f>
        <v>0</v>
      </c>
      <c r="BF6">
        <f>IF(AN6=ReachLabel,AS6,0)</f>
        <v>0</v>
      </c>
      <c r="BG6">
        <f>IF(AN6=MatchLabel,AS6,0)</f>
        <v>0</v>
      </c>
      <c r="BH6">
        <f>IF(AN6=SafetyLabel,AS6,0)</f>
        <v>0</v>
      </c>
      <c r="BI6">
        <f>IF(AN6=SecureLabel,AS6,0)</f>
        <v>0</v>
      </c>
      <c r="BJ6">
        <f>IF(AN6=SureThingLabel,AS6,0)</f>
        <v>0</v>
      </c>
      <c r="BK6">
        <f>MAX(BF6:BJ6)</f>
        <v>0</v>
      </c>
      <c r="BL6">
        <f>MAX(BG6:BJ6)</f>
        <v>0</v>
      </c>
      <c r="BM6">
        <f>MAX(BH6:BJ6)</f>
        <v>0</v>
      </c>
      <c r="BN6">
        <f>IF(AND(AN6=ReachLabel,BB6=1),AS6,0)</f>
        <v>0</v>
      </c>
      <c r="BO6">
        <f>IF(AND(AN6=MatchLabel,BB6=1),AS6,0)</f>
        <v>0</v>
      </c>
      <c r="BP6">
        <f>IF(AND(AN6=SafetyLabel,BB6=1),AS6,0)</f>
        <v>0</v>
      </c>
      <c r="BQ6">
        <f>IF(AND(AN6=SecureLabel,BB6=1),AS6,0)</f>
        <v>0</v>
      </c>
      <c r="BR6">
        <f>IF(AND(AN6=SureThingLabel,BB6=1),AS6,0)</f>
        <v>0</v>
      </c>
      <c r="BS6">
        <f>MAX(BN6:BR6)</f>
        <v>0</v>
      </c>
      <c r="BT6">
        <f>MAX(BO6:BR6)</f>
        <v>0</v>
      </c>
      <c r="BU6">
        <f>MAX(BP6:BR6)</f>
        <v>0</v>
      </c>
      <c r="BV6">
        <f>IF(ISNUMBER(AB6),INDEX(AllCollegeChicago, MATCH(N6,AllCollegeNCES,0))*BB6,0)</f>
        <v>0</v>
      </c>
      <c r="BW6">
        <f>IF(ISNUMBER(AB6),INDEX(AllCollegeMoneyCode, MATCH(N6,AllCollegeNCES,0)),"?")</f>
        <v>0</v>
      </c>
      <c r="BX6">
        <f>IF(OR(BW6="---",BW6="--",BW6="+/--",BW6="+/---"),1,0)</f>
        <v>0</v>
      </c>
      <c r="BY6">
        <f>BB6*AR6*AT6</f>
        <v>0</v>
      </c>
    </row>
    <row r="7" spans="1:77">
      <c r="A7" t="s">
        <v>96</v>
      </c>
      <c r="B7">
        <v>21702780</v>
      </c>
      <c r="C7" t="s">
        <v>158</v>
      </c>
      <c r="D7" t="s">
        <v>159</v>
      </c>
      <c r="E7" t="s">
        <v>446</v>
      </c>
      <c r="F7" t="s">
        <v>456</v>
      </c>
      <c r="G7" t="s">
        <v>448</v>
      </c>
      <c r="H7" t="s">
        <v>449</v>
      </c>
      <c r="I7" t="s">
        <v>450</v>
      </c>
      <c r="J7" t="s">
        <v>450</v>
      </c>
      <c r="K7">
        <v>0</v>
      </c>
      <c r="L7" t="s">
        <v>446</v>
      </c>
      <c r="M7" t="s">
        <v>446</v>
      </c>
      <c r="N7">
        <v>149772</v>
      </c>
      <c r="O7">
        <f>INDEX(Counselor,MATCH(B7,KidIDs,0))</f>
        <v>0</v>
      </c>
      <c r="P7">
        <f>INDEX(Advisors,MATCH(B7,KidIDs,0))</f>
        <v>0</v>
      </c>
      <c r="Q7">
        <f>INDEX(Cohort,MATCH(B7,KidIDs,0))</f>
        <v>0</v>
      </c>
      <c r="R7">
        <f>INDEX(AllCollegeBarrons,MATCH(N7,AllCollegeNCES,0))</f>
        <v>0</v>
      </c>
      <c r="S7">
        <f>INDEX(KidGPAs,MATCH(B7,KidIDs,0))</f>
        <v>0</v>
      </c>
      <c r="T7">
        <f>INDEX(KidSATs,MATCH(B7,KidIDs,0))</f>
        <v>0</v>
      </c>
      <c r="U7">
        <f>INDEX(Strats,MATCH(B7,KidIDs,0))</f>
        <v>0</v>
      </c>
      <c r="V7">
        <f>INDEX(KidRace,MATCH(B7,KidIDs,0))</f>
        <v>0</v>
      </c>
      <c r="W7">
        <f>IF(OR(V7="M",V7="I"),"H",IF(V7="P","A",V7))</f>
        <v>0</v>
      </c>
      <c r="X7">
        <f>INDEX(StudentTargets,MATCH(B7,KidIDs,0))</f>
        <v>0</v>
      </c>
      <c r="Y7">
        <f>INDEX(ReachStudentTargets,MATCH(B7,KidIDs,0))</f>
        <v>0</v>
      </c>
      <c r="Z7">
        <f>IF(OR(M7="Posse"),1,0)</f>
        <v>0</v>
      </c>
      <c r="AA7">
        <f>IF(ISNUMBER(INDEX(AllCollegeGR, MATCH(N7,AllCollegeNCES,0))),ROUND(INDEX(AllCollegeGR, MATCH(N7,AllCollegeNCES,0))+Z7*IF(INDEX(AllCollegeGR, MATCH(N7,AllCollegeNCES,0))&gt;0.7,(1-INDEX(AllCollegeGR, MATCH(N7,AllCollegeNCES,0)))/2,0.15),2),INDEX(AllCollegeGR, MATCH(N7,AllCollegeNCES,0)))</f>
        <v>0</v>
      </c>
      <c r="AB7">
        <f>IF(ISNUMBER(INDEX(AllCollegeAAHGR, MATCH(N7,AllCollegeNCES,0))),ROUND(INDEX(AllCollegeAAHGR, MATCH(N7,AllCollegeNCES,0))+Z7*IF(INDEX(AllCollegeAAHGR, MATCH(N7,AllCollegeNCES,0))&gt;0.7,(1-INDEX(AllCollegeAAHGR, MATCH(N7,AllCollegeNCES,0)))/2,0.15),2),INDEX(AllCollegeAAHGR, MATCH(N7,AllCollegeNCES,0)))</f>
        <v>0</v>
      </c>
      <c r="AC7">
        <f>IF(OR(W7="H",W7="B"),INDEX(AllCollegeSAT25, MATCH(N7,AllCollegeNCES,0)),INDEX(AllCollegeSAT50, MATCH(N7,AllCollegeNCES,0)))</f>
        <v>0</v>
      </c>
      <c r="AD7">
        <f>INDEX(CustomWeightsGPA,MATCH(W7&amp;":"&amp;N7,CustomWeightsIndex,0))</f>
        <v>0</v>
      </c>
      <c r="AE7">
        <f>INDEX(CustomWeightsSAT,MATCH(W7&amp;":"&amp;N7,CustomWeightsIndex,0))</f>
        <v>0</v>
      </c>
      <c r="AF7">
        <f>INDEX(CustomWeightsIntercept,MATCH(W7&amp;":"&amp;N7,CustomWeightsIndex,0))</f>
        <v>0</v>
      </c>
      <c r="AG7">
        <f>AD7*S7+AE7*T7+AF7</f>
        <v>0</v>
      </c>
      <c r="AH7">
        <f>INDEX(CoefficientsGPA,MATCH(W7&amp;":"&amp;R7,CoefficientsIndex,0))</f>
        <v>0</v>
      </c>
      <c r="AI7">
        <f>INDEX(CoefficientsSAT,MATCH(W7&amp;":"&amp;R7,CoefficientsIndex,0))</f>
        <v>0</v>
      </c>
      <c r="AJ7">
        <f>INDEX(CoefficientsIntercept,MATCH(W7&amp;":"&amp;R7,CoefficientsIndex,0))</f>
        <v>0</v>
      </c>
      <c r="AK7">
        <f>AH7*S7+(T7-AC7)*AI7+AJ7</f>
        <v>0</v>
      </c>
      <c r="AL7">
        <f>IF(ISNUMBER(AG7),AG7,AK7)</f>
        <v>0</v>
      </c>
      <c r="AM7">
        <f>IF(ISNUMBER(AL7),IF(ISNUMBER(AH7),IF(AND(AH7=1,AI7=1,AJ7=1),100,MIN(99,ROUND(100*EXP(AL7)/(1+EXP(AL7)),2))),MIN(99,ROUND(100*EXP(AL7)/(1+EXP(AL7)),2))),IF(ISTEXT(R7),IF(LEFT(R7,1)="2",100,"N/A"),"N/A"))</f>
        <v>0</v>
      </c>
      <c r="AN7">
        <f>IF(ISNUMBER(AM7),IF(AM7&gt;=99,IF(OR(U7=10,U7=11),MatchLabel,SureThingLabel),IF(AM7&gt;=95,SecureLabel,IF(AM7&gt;=80,SafetyLabel,IF(AM7&gt;=50,MatchLabel,IF(AM7&gt;=20,ReachLabel,IF(AM7&gt;=10,LongshotLabel,HailMaryLabel)))))),"Other")</f>
        <v>0</v>
      </c>
      <c r="AO7">
        <f>IF(OR(I7="accepted",I7="cond. accept",I7="summer admit"),IF(J7="yes","CHOICE!","Accepted!"),IF(I7="guar. transfer","Guar. Xfer",IF(I7="denied","Denied",IF(K7=1,"Waitlist",IF(L7=1,"Deferred",IF(G7="pending","Pending",IF(OR(G7="initial materials submitted",G7="mid-year submitted",G7="final submitted"),"Submitted",IF(H7="interest","Interest","?"))))))))</f>
        <v>0</v>
      </c>
      <c r="AP7">
        <f>IF(OR(AN7=ReachLabel,AN7=LongshotLabel,AN7=HailMaryLabel),1,0)</f>
        <v>0</v>
      </c>
      <c r="AQ7">
        <f>IF(OR(AP7=1,AN7=MatchLabel),1,0)</f>
        <v>0</v>
      </c>
      <c r="AR7">
        <f>IF(OR(AN7=MatchLabel,AN7=SafetyLabel,AN7=SecureLabel,AN7=SureThingLabel),1,0)</f>
        <v>0</v>
      </c>
      <c r="AS7">
        <f>IF(OR(W7="H",W7="B",W7="I",W7="M"),IF(ISNUMBER(AB7),ROUND(AB7,2),0),IF(ISNUMBER(AA7),ROUND(AA7,2),0))</f>
        <v>0</v>
      </c>
      <c r="AT7">
        <f>IF(AS7&gt;=X7,1,0)</f>
        <v>0</v>
      </c>
      <c r="AU7">
        <f>IF(AS7&gt;=Y7,1,0)</f>
        <v>0</v>
      </c>
      <c r="AV7">
        <f>IF(AS7&lt;(X7-0.10),1,0)</f>
        <v>0</v>
      </c>
      <c r="AW7">
        <f>1-AM7/100</f>
        <v>0</v>
      </c>
      <c r="AX7">
        <f>IF(AQ7=1,AW7,1)</f>
        <v>0</v>
      </c>
      <c r="AY7">
        <f>IF(AP7=1,AW7,1)</f>
        <v>0</v>
      </c>
      <c r="AZ7">
        <f>IF(AND(AT7=1,ISNUMBER(AW7)),$AW7,1)</f>
        <v>0</v>
      </c>
      <c r="BA7">
        <f>IF(AND(AU7=1,ISNUMBER(AW7)),$AW7,1)</f>
        <v>0</v>
      </c>
      <c r="BB7">
        <f>IF(ISNUMBER(AB7),INDEX(AllCollegeMoney, MATCH(N7,AllCollegeNCES,0)),0)</f>
        <v>0</v>
      </c>
      <c r="BC7">
        <f>IF(AND(AT7=1,ISNUMBER(AW7),BB7=1),$AW7,1)</f>
        <v>0</v>
      </c>
      <c r="BD7">
        <f>IF(AND(AU7=1,ISNUMBER(AW7),BB7=1),$AW7,1)</f>
        <v>0</v>
      </c>
      <c r="BE7">
        <f>IF(ISNUMBER(AB7),INDEX(AllCollegeILPub, MATCH(N7,AllCollegeNCES,0)),0)</f>
        <v>0</v>
      </c>
      <c r="BF7">
        <f>IF(AN7=ReachLabel,AS7,0)</f>
        <v>0</v>
      </c>
      <c r="BG7">
        <f>IF(AN7=MatchLabel,AS7,0)</f>
        <v>0</v>
      </c>
      <c r="BH7">
        <f>IF(AN7=SafetyLabel,AS7,0)</f>
        <v>0</v>
      </c>
      <c r="BI7">
        <f>IF(AN7=SecureLabel,AS7,0)</f>
        <v>0</v>
      </c>
      <c r="BJ7">
        <f>IF(AN7=SureThingLabel,AS7,0)</f>
        <v>0</v>
      </c>
      <c r="BK7">
        <f>MAX(BF7:BJ7)</f>
        <v>0</v>
      </c>
      <c r="BL7">
        <f>MAX(BG7:BJ7)</f>
        <v>0</v>
      </c>
      <c r="BM7">
        <f>MAX(BH7:BJ7)</f>
        <v>0</v>
      </c>
      <c r="BN7">
        <f>IF(AND(AN7=ReachLabel,BB7=1),AS7,0)</f>
        <v>0</v>
      </c>
      <c r="BO7">
        <f>IF(AND(AN7=MatchLabel,BB7=1),AS7,0)</f>
        <v>0</v>
      </c>
      <c r="BP7">
        <f>IF(AND(AN7=SafetyLabel,BB7=1),AS7,0)</f>
        <v>0</v>
      </c>
      <c r="BQ7">
        <f>IF(AND(AN7=SecureLabel,BB7=1),AS7,0)</f>
        <v>0</v>
      </c>
      <c r="BR7">
        <f>IF(AND(AN7=SureThingLabel,BB7=1),AS7,0)</f>
        <v>0</v>
      </c>
      <c r="BS7">
        <f>MAX(BN7:BR7)</f>
        <v>0</v>
      </c>
      <c r="BT7">
        <f>MAX(BO7:BR7)</f>
        <v>0</v>
      </c>
      <c r="BU7">
        <f>MAX(BP7:BR7)</f>
        <v>0</v>
      </c>
      <c r="BV7">
        <f>IF(ISNUMBER(AB7),INDEX(AllCollegeChicago, MATCH(N7,AllCollegeNCES,0))*BB7,0)</f>
        <v>0</v>
      </c>
      <c r="BW7">
        <f>IF(ISNUMBER(AB7),INDEX(AllCollegeMoneyCode, MATCH(N7,AllCollegeNCES,0)),"?")</f>
        <v>0</v>
      </c>
      <c r="BX7">
        <f>IF(OR(BW7="---",BW7="--",BW7="+/--",BW7="+/---"),1,0)</f>
        <v>0</v>
      </c>
      <c r="BY7">
        <f>BB7*AR7*AT7</f>
        <v>0</v>
      </c>
    </row>
    <row r="8" spans="1:77">
      <c r="A8" t="s">
        <v>96</v>
      </c>
      <c r="B8">
        <v>21702780</v>
      </c>
      <c r="C8" t="s">
        <v>158</v>
      </c>
      <c r="D8" t="s">
        <v>159</v>
      </c>
      <c r="E8" t="s">
        <v>446</v>
      </c>
      <c r="F8" t="s">
        <v>457</v>
      </c>
      <c r="G8" t="s">
        <v>448</v>
      </c>
      <c r="H8" t="s">
        <v>449</v>
      </c>
      <c r="I8" t="s">
        <v>450</v>
      </c>
      <c r="J8" t="s">
        <v>450</v>
      </c>
      <c r="K8">
        <v>0</v>
      </c>
      <c r="L8" t="s">
        <v>446</v>
      </c>
      <c r="M8" t="s">
        <v>446</v>
      </c>
      <c r="N8">
        <v>147703</v>
      </c>
      <c r="O8">
        <f>INDEX(Counselor,MATCH(B8,KidIDs,0))</f>
        <v>0</v>
      </c>
      <c r="P8">
        <f>INDEX(Advisors,MATCH(B8,KidIDs,0))</f>
        <v>0</v>
      </c>
      <c r="Q8">
        <f>INDEX(Cohort,MATCH(B8,KidIDs,0))</f>
        <v>0</v>
      </c>
      <c r="R8">
        <f>INDEX(AllCollegeBarrons,MATCH(N8,AllCollegeNCES,0))</f>
        <v>0</v>
      </c>
      <c r="S8">
        <f>INDEX(KidGPAs,MATCH(B8,KidIDs,0))</f>
        <v>0</v>
      </c>
      <c r="T8">
        <f>INDEX(KidSATs,MATCH(B8,KidIDs,0))</f>
        <v>0</v>
      </c>
      <c r="U8">
        <f>INDEX(Strats,MATCH(B8,KidIDs,0))</f>
        <v>0</v>
      </c>
      <c r="V8">
        <f>INDEX(KidRace,MATCH(B8,KidIDs,0))</f>
        <v>0</v>
      </c>
      <c r="W8">
        <f>IF(OR(V8="M",V8="I"),"H",IF(V8="P","A",V8))</f>
        <v>0</v>
      </c>
      <c r="X8">
        <f>INDEX(StudentTargets,MATCH(B8,KidIDs,0))</f>
        <v>0</v>
      </c>
      <c r="Y8">
        <f>INDEX(ReachStudentTargets,MATCH(B8,KidIDs,0))</f>
        <v>0</v>
      </c>
      <c r="Z8">
        <f>IF(OR(M8="Posse"),1,0)</f>
        <v>0</v>
      </c>
      <c r="AA8">
        <f>IF(ISNUMBER(INDEX(AllCollegeGR, MATCH(N8,AllCollegeNCES,0))),ROUND(INDEX(AllCollegeGR, MATCH(N8,AllCollegeNCES,0))+Z8*IF(INDEX(AllCollegeGR, MATCH(N8,AllCollegeNCES,0))&gt;0.7,(1-INDEX(AllCollegeGR, MATCH(N8,AllCollegeNCES,0)))/2,0.15),2),INDEX(AllCollegeGR, MATCH(N8,AllCollegeNCES,0)))</f>
        <v>0</v>
      </c>
      <c r="AB8">
        <f>IF(ISNUMBER(INDEX(AllCollegeAAHGR, MATCH(N8,AllCollegeNCES,0))),ROUND(INDEX(AllCollegeAAHGR, MATCH(N8,AllCollegeNCES,0))+Z8*IF(INDEX(AllCollegeAAHGR, MATCH(N8,AllCollegeNCES,0))&gt;0.7,(1-INDEX(AllCollegeAAHGR, MATCH(N8,AllCollegeNCES,0)))/2,0.15),2),INDEX(AllCollegeAAHGR, MATCH(N8,AllCollegeNCES,0)))</f>
        <v>0</v>
      </c>
      <c r="AC8">
        <f>IF(OR(W8="H",W8="B"),INDEX(AllCollegeSAT25, MATCH(N8,AllCollegeNCES,0)),INDEX(AllCollegeSAT50, MATCH(N8,AllCollegeNCES,0)))</f>
        <v>0</v>
      </c>
      <c r="AD8">
        <f>INDEX(CustomWeightsGPA,MATCH(W8&amp;":"&amp;N8,CustomWeightsIndex,0))</f>
        <v>0</v>
      </c>
      <c r="AE8">
        <f>INDEX(CustomWeightsSAT,MATCH(W8&amp;":"&amp;N8,CustomWeightsIndex,0))</f>
        <v>0</v>
      </c>
      <c r="AF8">
        <f>INDEX(CustomWeightsIntercept,MATCH(W8&amp;":"&amp;N8,CustomWeightsIndex,0))</f>
        <v>0</v>
      </c>
      <c r="AG8">
        <f>AD8*S8+AE8*T8+AF8</f>
        <v>0</v>
      </c>
      <c r="AH8">
        <f>INDEX(CoefficientsGPA,MATCH(W8&amp;":"&amp;R8,CoefficientsIndex,0))</f>
        <v>0</v>
      </c>
      <c r="AI8">
        <f>INDEX(CoefficientsSAT,MATCH(W8&amp;":"&amp;R8,CoefficientsIndex,0))</f>
        <v>0</v>
      </c>
      <c r="AJ8">
        <f>INDEX(CoefficientsIntercept,MATCH(W8&amp;":"&amp;R8,CoefficientsIndex,0))</f>
        <v>0</v>
      </c>
      <c r="AK8">
        <f>AH8*S8+(T8-AC8)*AI8+AJ8</f>
        <v>0</v>
      </c>
      <c r="AL8">
        <f>IF(ISNUMBER(AG8),AG8,AK8)</f>
        <v>0</v>
      </c>
      <c r="AM8">
        <f>IF(ISNUMBER(AL8),IF(ISNUMBER(AH8),IF(AND(AH8=1,AI8=1,AJ8=1),100,MIN(99,ROUND(100*EXP(AL8)/(1+EXP(AL8)),2))),MIN(99,ROUND(100*EXP(AL8)/(1+EXP(AL8)),2))),IF(ISTEXT(R8),IF(LEFT(R8,1)="2",100,"N/A"),"N/A"))</f>
        <v>0</v>
      </c>
      <c r="AN8">
        <f>IF(ISNUMBER(AM8),IF(AM8&gt;=99,IF(OR(U8=10,U8=11),MatchLabel,SureThingLabel),IF(AM8&gt;=95,SecureLabel,IF(AM8&gt;=80,SafetyLabel,IF(AM8&gt;=50,MatchLabel,IF(AM8&gt;=20,ReachLabel,IF(AM8&gt;=10,LongshotLabel,HailMaryLabel)))))),"Other")</f>
        <v>0</v>
      </c>
      <c r="AO8">
        <f>IF(OR(I8="accepted",I8="cond. accept",I8="summer admit"),IF(J8="yes","CHOICE!","Accepted!"),IF(I8="guar. transfer","Guar. Xfer",IF(I8="denied","Denied",IF(K8=1,"Waitlist",IF(L8=1,"Deferred",IF(G8="pending","Pending",IF(OR(G8="initial materials submitted",G8="mid-year submitted",G8="final submitted"),"Submitted",IF(H8="interest","Interest","?"))))))))</f>
        <v>0</v>
      </c>
      <c r="AP8">
        <f>IF(OR(AN8=ReachLabel,AN8=LongshotLabel,AN8=HailMaryLabel),1,0)</f>
        <v>0</v>
      </c>
      <c r="AQ8">
        <f>IF(OR(AP8=1,AN8=MatchLabel),1,0)</f>
        <v>0</v>
      </c>
      <c r="AR8">
        <f>IF(OR(AN8=MatchLabel,AN8=SafetyLabel,AN8=SecureLabel,AN8=SureThingLabel),1,0)</f>
        <v>0</v>
      </c>
      <c r="AS8">
        <f>IF(OR(W8="H",W8="B",W8="I",W8="M"),IF(ISNUMBER(AB8),ROUND(AB8,2),0),IF(ISNUMBER(AA8),ROUND(AA8,2),0))</f>
        <v>0</v>
      </c>
      <c r="AT8">
        <f>IF(AS8&gt;=X8,1,0)</f>
        <v>0</v>
      </c>
      <c r="AU8">
        <f>IF(AS8&gt;=Y8,1,0)</f>
        <v>0</v>
      </c>
      <c r="AV8">
        <f>IF(AS8&lt;(X8-0.10),1,0)</f>
        <v>0</v>
      </c>
      <c r="AW8">
        <f>1-AM8/100</f>
        <v>0</v>
      </c>
      <c r="AX8">
        <f>IF(AQ8=1,AW8,1)</f>
        <v>0</v>
      </c>
      <c r="AY8">
        <f>IF(AP8=1,AW8,1)</f>
        <v>0</v>
      </c>
      <c r="AZ8">
        <f>IF(AND(AT8=1,ISNUMBER(AW8)),$AW8,1)</f>
        <v>0</v>
      </c>
      <c r="BA8">
        <f>IF(AND(AU8=1,ISNUMBER(AW8)),$AW8,1)</f>
        <v>0</v>
      </c>
      <c r="BB8">
        <f>IF(ISNUMBER(AB8),INDEX(AllCollegeMoney, MATCH(N8,AllCollegeNCES,0)),0)</f>
        <v>0</v>
      </c>
      <c r="BC8">
        <f>IF(AND(AT8=1,ISNUMBER(AW8),BB8=1),$AW8,1)</f>
        <v>0</v>
      </c>
      <c r="BD8">
        <f>IF(AND(AU8=1,ISNUMBER(AW8),BB8=1),$AW8,1)</f>
        <v>0</v>
      </c>
      <c r="BE8">
        <f>IF(ISNUMBER(AB8),INDEX(AllCollegeILPub, MATCH(N8,AllCollegeNCES,0)),0)</f>
        <v>0</v>
      </c>
      <c r="BF8">
        <f>IF(AN8=ReachLabel,AS8,0)</f>
        <v>0</v>
      </c>
      <c r="BG8">
        <f>IF(AN8=MatchLabel,AS8,0)</f>
        <v>0</v>
      </c>
      <c r="BH8">
        <f>IF(AN8=SafetyLabel,AS8,0)</f>
        <v>0</v>
      </c>
      <c r="BI8">
        <f>IF(AN8=SecureLabel,AS8,0)</f>
        <v>0</v>
      </c>
      <c r="BJ8">
        <f>IF(AN8=SureThingLabel,AS8,0)</f>
        <v>0</v>
      </c>
      <c r="BK8">
        <f>MAX(BF8:BJ8)</f>
        <v>0</v>
      </c>
      <c r="BL8">
        <f>MAX(BG8:BJ8)</f>
        <v>0</v>
      </c>
      <c r="BM8">
        <f>MAX(BH8:BJ8)</f>
        <v>0</v>
      </c>
      <c r="BN8">
        <f>IF(AND(AN8=ReachLabel,BB8=1),AS8,0)</f>
        <v>0</v>
      </c>
      <c r="BO8">
        <f>IF(AND(AN8=MatchLabel,BB8=1),AS8,0)</f>
        <v>0</v>
      </c>
      <c r="BP8">
        <f>IF(AND(AN8=SafetyLabel,BB8=1),AS8,0)</f>
        <v>0</v>
      </c>
      <c r="BQ8">
        <f>IF(AND(AN8=SecureLabel,BB8=1),AS8,0)</f>
        <v>0</v>
      </c>
      <c r="BR8">
        <f>IF(AND(AN8=SureThingLabel,BB8=1),AS8,0)</f>
        <v>0</v>
      </c>
      <c r="BS8">
        <f>MAX(BN8:BR8)</f>
        <v>0</v>
      </c>
      <c r="BT8">
        <f>MAX(BO8:BR8)</f>
        <v>0</v>
      </c>
      <c r="BU8">
        <f>MAX(BP8:BR8)</f>
        <v>0</v>
      </c>
      <c r="BV8">
        <f>IF(ISNUMBER(AB8),INDEX(AllCollegeChicago, MATCH(N8,AllCollegeNCES,0))*BB8,0)</f>
        <v>0</v>
      </c>
      <c r="BW8">
        <f>IF(ISNUMBER(AB8),INDEX(AllCollegeMoneyCode, MATCH(N8,AllCollegeNCES,0)),"?")</f>
        <v>0</v>
      </c>
      <c r="BX8">
        <f>IF(OR(BW8="---",BW8="--",BW8="+/--",BW8="+/---"),1,0)</f>
        <v>0</v>
      </c>
      <c r="BY8">
        <f>BB8*AR8*AT8</f>
        <v>0</v>
      </c>
    </row>
    <row r="9" spans="1:77">
      <c r="A9" t="s">
        <v>96</v>
      </c>
      <c r="B9">
        <v>21702780</v>
      </c>
      <c r="C9" t="s">
        <v>158</v>
      </c>
      <c r="D9" t="s">
        <v>159</v>
      </c>
      <c r="E9" t="s">
        <v>446</v>
      </c>
      <c r="F9" t="s">
        <v>458</v>
      </c>
      <c r="G9" t="s">
        <v>448</v>
      </c>
      <c r="H9" t="s">
        <v>449</v>
      </c>
      <c r="I9" t="s">
        <v>450</v>
      </c>
      <c r="J9" t="s">
        <v>450</v>
      </c>
      <c r="K9">
        <v>0</v>
      </c>
      <c r="L9" t="s">
        <v>446</v>
      </c>
      <c r="M9" t="s">
        <v>446</v>
      </c>
      <c r="N9">
        <v>144892</v>
      </c>
      <c r="O9">
        <f>INDEX(Counselor,MATCH(B9,KidIDs,0))</f>
        <v>0</v>
      </c>
      <c r="P9">
        <f>INDEX(Advisors,MATCH(B9,KidIDs,0))</f>
        <v>0</v>
      </c>
      <c r="Q9">
        <f>INDEX(Cohort,MATCH(B9,KidIDs,0))</f>
        <v>0</v>
      </c>
      <c r="R9">
        <f>INDEX(AllCollegeBarrons,MATCH(N9,AllCollegeNCES,0))</f>
        <v>0</v>
      </c>
      <c r="S9">
        <f>INDEX(KidGPAs,MATCH(B9,KidIDs,0))</f>
        <v>0</v>
      </c>
      <c r="T9">
        <f>INDEX(KidSATs,MATCH(B9,KidIDs,0))</f>
        <v>0</v>
      </c>
      <c r="U9">
        <f>INDEX(Strats,MATCH(B9,KidIDs,0))</f>
        <v>0</v>
      </c>
      <c r="V9">
        <f>INDEX(KidRace,MATCH(B9,KidIDs,0))</f>
        <v>0</v>
      </c>
      <c r="W9">
        <f>IF(OR(V9="M",V9="I"),"H",IF(V9="P","A",V9))</f>
        <v>0</v>
      </c>
      <c r="X9">
        <f>INDEX(StudentTargets,MATCH(B9,KidIDs,0))</f>
        <v>0</v>
      </c>
      <c r="Y9">
        <f>INDEX(ReachStudentTargets,MATCH(B9,KidIDs,0))</f>
        <v>0</v>
      </c>
      <c r="Z9">
        <f>IF(OR(M9="Posse"),1,0)</f>
        <v>0</v>
      </c>
      <c r="AA9">
        <f>IF(ISNUMBER(INDEX(AllCollegeGR, MATCH(N9,AllCollegeNCES,0))),ROUND(INDEX(AllCollegeGR, MATCH(N9,AllCollegeNCES,0))+Z9*IF(INDEX(AllCollegeGR, MATCH(N9,AllCollegeNCES,0))&gt;0.7,(1-INDEX(AllCollegeGR, MATCH(N9,AllCollegeNCES,0)))/2,0.15),2),INDEX(AllCollegeGR, MATCH(N9,AllCollegeNCES,0)))</f>
        <v>0</v>
      </c>
      <c r="AB9">
        <f>IF(ISNUMBER(INDEX(AllCollegeAAHGR, MATCH(N9,AllCollegeNCES,0))),ROUND(INDEX(AllCollegeAAHGR, MATCH(N9,AllCollegeNCES,0))+Z9*IF(INDEX(AllCollegeAAHGR, MATCH(N9,AllCollegeNCES,0))&gt;0.7,(1-INDEX(AllCollegeAAHGR, MATCH(N9,AllCollegeNCES,0)))/2,0.15),2),INDEX(AllCollegeAAHGR, MATCH(N9,AllCollegeNCES,0)))</f>
        <v>0</v>
      </c>
      <c r="AC9">
        <f>IF(OR(W9="H",W9="B"),INDEX(AllCollegeSAT25, MATCH(N9,AllCollegeNCES,0)),INDEX(AllCollegeSAT50, MATCH(N9,AllCollegeNCES,0)))</f>
        <v>0</v>
      </c>
      <c r="AD9">
        <f>INDEX(CustomWeightsGPA,MATCH(W9&amp;":"&amp;N9,CustomWeightsIndex,0))</f>
        <v>0</v>
      </c>
      <c r="AE9">
        <f>INDEX(CustomWeightsSAT,MATCH(W9&amp;":"&amp;N9,CustomWeightsIndex,0))</f>
        <v>0</v>
      </c>
      <c r="AF9">
        <f>INDEX(CustomWeightsIntercept,MATCH(W9&amp;":"&amp;N9,CustomWeightsIndex,0))</f>
        <v>0</v>
      </c>
      <c r="AG9">
        <f>AD9*S9+AE9*T9+AF9</f>
        <v>0</v>
      </c>
      <c r="AH9">
        <f>INDEX(CoefficientsGPA,MATCH(W9&amp;":"&amp;R9,CoefficientsIndex,0))</f>
        <v>0</v>
      </c>
      <c r="AI9">
        <f>INDEX(CoefficientsSAT,MATCH(W9&amp;":"&amp;R9,CoefficientsIndex,0))</f>
        <v>0</v>
      </c>
      <c r="AJ9">
        <f>INDEX(CoefficientsIntercept,MATCH(W9&amp;":"&amp;R9,CoefficientsIndex,0))</f>
        <v>0</v>
      </c>
      <c r="AK9">
        <f>AH9*S9+(T9-AC9)*AI9+AJ9</f>
        <v>0</v>
      </c>
      <c r="AL9">
        <f>IF(ISNUMBER(AG9),AG9,AK9)</f>
        <v>0</v>
      </c>
      <c r="AM9">
        <f>IF(ISNUMBER(AL9),IF(ISNUMBER(AH9),IF(AND(AH9=1,AI9=1,AJ9=1),100,MIN(99,ROUND(100*EXP(AL9)/(1+EXP(AL9)),2))),MIN(99,ROUND(100*EXP(AL9)/(1+EXP(AL9)),2))),IF(ISTEXT(R9),IF(LEFT(R9,1)="2",100,"N/A"),"N/A"))</f>
        <v>0</v>
      </c>
      <c r="AN9">
        <f>IF(ISNUMBER(AM9),IF(AM9&gt;=99,IF(OR(U9=10,U9=11),MatchLabel,SureThingLabel),IF(AM9&gt;=95,SecureLabel,IF(AM9&gt;=80,SafetyLabel,IF(AM9&gt;=50,MatchLabel,IF(AM9&gt;=20,ReachLabel,IF(AM9&gt;=10,LongshotLabel,HailMaryLabel)))))),"Other")</f>
        <v>0</v>
      </c>
      <c r="AO9">
        <f>IF(OR(I9="accepted",I9="cond. accept",I9="summer admit"),IF(J9="yes","CHOICE!","Accepted!"),IF(I9="guar. transfer","Guar. Xfer",IF(I9="denied","Denied",IF(K9=1,"Waitlist",IF(L9=1,"Deferred",IF(G9="pending","Pending",IF(OR(G9="initial materials submitted",G9="mid-year submitted",G9="final submitted"),"Submitted",IF(H9="interest","Interest","?"))))))))</f>
        <v>0</v>
      </c>
      <c r="AP9">
        <f>IF(OR(AN9=ReachLabel,AN9=LongshotLabel,AN9=HailMaryLabel),1,0)</f>
        <v>0</v>
      </c>
      <c r="AQ9">
        <f>IF(OR(AP9=1,AN9=MatchLabel),1,0)</f>
        <v>0</v>
      </c>
      <c r="AR9">
        <f>IF(OR(AN9=MatchLabel,AN9=SafetyLabel,AN9=SecureLabel,AN9=SureThingLabel),1,0)</f>
        <v>0</v>
      </c>
      <c r="AS9">
        <f>IF(OR(W9="H",W9="B",W9="I",W9="M"),IF(ISNUMBER(AB9),ROUND(AB9,2),0),IF(ISNUMBER(AA9),ROUND(AA9,2),0))</f>
        <v>0</v>
      </c>
      <c r="AT9">
        <f>IF(AS9&gt;=X9,1,0)</f>
        <v>0</v>
      </c>
      <c r="AU9">
        <f>IF(AS9&gt;=Y9,1,0)</f>
        <v>0</v>
      </c>
      <c r="AV9">
        <f>IF(AS9&lt;(X9-0.10),1,0)</f>
        <v>0</v>
      </c>
      <c r="AW9">
        <f>1-AM9/100</f>
        <v>0</v>
      </c>
      <c r="AX9">
        <f>IF(AQ9=1,AW9,1)</f>
        <v>0</v>
      </c>
      <c r="AY9">
        <f>IF(AP9=1,AW9,1)</f>
        <v>0</v>
      </c>
      <c r="AZ9">
        <f>IF(AND(AT9=1,ISNUMBER(AW9)),$AW9,1)</f>
        <v>0</v>
      </c>
      <c r="BA9">
        <f>IF(AND(AU9=1,ISNUMBER(AW9)),$AW9,1)</f>
        <v>0</v>
      </c>
      <c r="BB9">
        <f>IF(ISNUMBER(AB9),INDEX(AllCollegeMoney, MATCH(N9,AllCollegeNCES,0)),0)</f>
        <v>0</v>
      </c>
      <c r="BC9">
        <f>IF(AND(AT9=1,ISNUMBER(AW9),BB9=1),$AW9,1)</f>
        <v>0</v>
      </c>
      <c r="BD9">
        <f>IF(AND(AU9=1,ISNUMBER(AW9),BB9=1),$AW9,1)</f>
        <v>0</v>
      </c>
      <c r="BE9">
        <f>IF(ISNUMBER(AB9),INDEX(AllCollegeILPub, MATCH(N9,AllCollegeNCES,0)),0)</f>
        <v>0</v>
      </c>
      <c r="BF9">
        <f>IF(AN9=ReachLabel,AS9,0)</f>
        <v>0</v>
      </c>
      <c r="BG9">
        <f>IF(AN9=MatchLabel,AS9,0)</f>
        <v>0</v>
      </c>
      <c r="BH9">
        <f>IF(AN9=SafetyLabel,AS9,0)</f>
        <v>0</v>
      </c>
      <c r="BI9">
        <f>IF(AN9=SecureLabel,AS9,0)</f>
        <v>0</v>
      </c>
      <c r="BJ9">
        <f>IF(AN9=SureThingLabel,AS9,0)</f>
        <v>0</v>
      </c>
      <c r="BK9">
        <f>MAX(BF9:BJ9)</f>
        <v>0</v>
      </c>
      <c r="BL9">
        <f>MAX(BG9:BJ9)</f>
        <v>0</v>
      </c>
      <c r="BM9">
        <f>MAX(BH9:BJ9)</f>
        <v>0</v>
      </c>
      <c r="BN9">
        <f>IF(AND(AN9=ReachLabel,BB9=1),AS9,0)</f>
        <v>0</v>
      </c>
      <c r="BO9">
        <f>IF(AND(AN9=MatchLabel,BB9=1),AS9,0)</f>
        <v>0</v>
      </c>
      <c r="BP9">
        <f>IF(AND(AN9=SafetyLabel,BB9=1),AS9,0)</f>
        <v>0</v>
      </c>
      <c r="BQ9">
        <f>IF(AND(AN9=SecureLabel,BB9=1),AS9,0)</f>
        <v>0</v>
      </c>
      <c r="BR9">
        <f>IF(AND(AN9=SureThingLabel,BB9=1),AS9,0)</f>
        <v>0</v>
      </c>
      <c r="BS9">
        <f>MAX(BN9:BR9)</f>
        <v>0</v>
      </c>
      <c r="BT9">
        <f>MAX(BO9:BR9)</f>
        <v>0</v>
      </c>
      <c r="BU9">
        <f>MAX(BP9:BR9)</f>
        <v>0</v>
      </c>
      <c r="BV9">
        <f>IF(ISNUMBER(AB9),INDEX(AllCollegeChicago, MATCH(N9,AllCollegeNCES,0))*BB9,0)</f>
        <v>0</v>
      </c>
      <c r="BW9">
        <f>IF(ISNUMBER(AB9),INDEX(AllCollegeMoneyCode, MATCH(N9,AllCollegeNCES,0)),"?")</f>
        <v>0</v>
      </c>
      <c r="BX9">
        <f>IF(OR(BW9="---",BW9="--",BW9="+/--",BW9="+/---"),1,0)</f>
        <v>0</v>
      </c>
      <c r="BY9">
        <f>BB9*AR9*AT9</f>
        <v>0</v>
      </c>
    </row>
    <row r="10" spans="1:77">
      <c r="A10" t="s">
        <v>96</v>
      </c>
      <c r="B10">
        <v>21702780</v>
      </c>
      <c r="C10" t="s">
        <v>158</v>
      </c>
      <c r="D10" t="s">
        <v>159</v>
      </c>
      <c r="E10" t="s">
        <v>446</v>
      </c>
      <c r="F10" t="s">
        <v>459</v>
      </c>
      <c r="G10" t="s">
        <v>448</v>
      </c>
      <c r="H10" t="s">
        <v>449</v>
      </c>
      <c r="I10" t="s">
        <v>450</v>
      </c>
      <c r="J10" t="s">
        <v>450</v>
      </c>
      <c r="K10">
        <v>0</v>
      </c>
      <c r="L10" t="s">
        <v>446</v>
      </c>
      <c r="M10" t="s">
        <v>446</v>
      </c>
      <c r="N10">
        <v>144218</v>
      </c>
      <c r="O10">
        <f>INDEX(Counselor,MATCH(B10,KidIDs,0))</f>
        <v>0</v>
      </c>
      <c r="P10">
        <f>INDEX(Advisors,MATCH(B10,KidIDs,0))</f>
        <v>0</v>
      </c>
      <c r="Q10">
        <f>INDEX(Cohort,MATCH(B10,KidIDs,0))</f>
        <v>0</v>
      </c>
      <c r="R10">
        <f>INDEX(AllCollegeBarrons,MATCH(N10,AllCollegeNCES,0))</f>
        <v>0</v>
      </c>
      <c r="S10">
        <f>INDEX(KidGPAs,MATCH(B10,KidIDs,0))</f>
        <v>0</v>
      </c>
      <c r="T10">
        <f>INDEX(KidSATs,MATCH(B10,KidIDs,0))</f>
        <v>0</v>
      </c>
      <c r="U10">
        <f>INDEX(Strats,MATCH(B10,KidIDs,0))</f>
        <v>0</v>
      </c>
      <c r="V10">
        <f>INDEX(KidRace,MATCH(B10,KidIDs,0))</f>
        <v>0</v>
      </c>
      <c r="W10">
        <f>IF(OR(V10="M",V10="I"),"H",IF(V10="P","A",V10))</f>
        <v>0</v>
      </c>
      <c r="X10">
        <f>INDEX(StudentTargets,MATCH(B10,KidIDs,0))</f>
        <v>0</v>
      </c>
      <c r="Y10">
        <f>INDEX(ReachStudentTargets,MATCH(B10,KidIDs,0))</f>
        <v>0</v>
      </c>
      <c r="Z10">
        <f>IF(OR(M10="Posse"),1,0)</f>
        <v>0</v>
      </c>
      <c r="AA10">
        <f>IF(ISNUMBER(INDEX(AllCollegeGR, MATCH(N10,AllCollegeNCES,0))),ROUND(INDEX(AllCollegeGR, MATCH(N10,AllCollegeNCES,0))+Z10*IF(INDEX(AllCollegeGR, MATCH(N10,AllCollegeNCES,0))&gt;0.7,(1-INDEX(AllCollegeGR, MATCH(N10,AllCollegeNCES,0)))/2,0.15),2),INDEX(AllCollegeGR, MATCH(N10,AllCollegeNCES,0)))</f>
        <v>0</v>
      </c>
      <c r="AB10">
        <f>IF(ISNUMBER(INDEX(AllCollegeAAHGR, MATCH(N10,AllCollegeNCES,0))),ROUND(INDEX(AllCollegeAAHGR, MATCH(N10,AllCollegeNCES,0))+Z10*IF(INDEX(AllCollegeAAHGR, MATCH(N10,AllCollegeNCES,0))&gt;0.7,(1-INDEX(AllCollegeAAHGR, MATCH(N10,AllCollegeNCES,0)))/2,0.15),2),INDEX(AllCollegeAAHGR, MATCH(N10,AllCollegeNCES,0)))</f>
        <v>0</v>
      </c>
      <c r="AC10">
        <f>IF(OR(W10="H",W10="B"),INDEX(AllCollegeSAT25, MATCH(N10,AllCollegeNCES,0)),INDEX(AllCollegeSAT50, MATCH(N10,AllCollegeNCES,0)))</f>
        <v>0</v>
      </c>
      <c r="AD10">
        <f>INDEX(CustomWeightsGPA,MATCH(W10&amp;":"&amp;N10,CustomWeightsIndex,0))</f>
        <v>0</v>
      </c>
      <c r="AE10">
        <f>INDEX(CustomWeightsSAT,MATCH(W10&amp;":"&amp;N10,CustomWeightsIndex,0))</f>
        <v>0</v>
      </c>
      <c r="AF10">
        <f>INDEX(CustomWeightsIntercept,MATCH(W10&amp;":"&amp;N10,CustomWeightsIndex,0))</f>
        <v>0</v>
      </c>
      <c r="AG10">
        <f>AD10*S10+AE10*T10+AF10</f>
        <v>0</v>
      </c>
      <c r="AH10">
        <f>INDEX(CoefficientsGPA,MATCH(W10&amp;":"&amp;R10,CoefficientsIndex,0))</f>
        <v>0</v>
      </c>
      <c r="AI10">
        <f>INDEX(CoefficientsSAT,MATCH(W10&amp;":"&amp;R10,CoefficientsIndex,0))</f>
        <v>0</v>
      </c>
      <c r="AJ10">
        <f>INDEX(CoefficientsIntercept,MATCH(W10&amp;":"&amp;R10,CoefficientsIndex,0))</f>
        <v>0</v>
      </c>
      <c r="AK10">
        <f>AH10*S10+(T10-AC10)*AI10+AJ10</f>
        <v>0</v>
      </c>
      <c r="AL10">
        <f>IF(ISNUMBER(AG10),AG10,AK10)</f>
        <v>0</v>
      </c>
      <c r="AM10">
        <f>IF(ISNUMBER(AL10),IF(ISNUMBER(AH10),IF(AND(AH10=1,AI10=1,AJ10=1),100,MIN(99,ROUND(100*EXP(AL10)/(1+EXP(AL10)),2))),MIN(99,ROUND(100*EXP(AL10)/(1+EXP(AL10)),2))),IF(ISTEXT(R10),IF(LEFT(R10,1)="2",100,"N/A"),"N/A"))</f>
        <v>0</v>
      </c>
      <c r="AN10">
        <f>IF(ISNUMBER(AM10),IF(AM10&gt;=99,IF(OR(U10=10,U10=11),MatchLabel,SureThingLabel),IF(AM10&gt;=95,SecureLabel,IF(AM10&gt;=80,SafetyLabel,IF(AM10&gt;=50,MatchLabel,IF(AM10&gt;=20,ReachLabel,IF(AM10&gt;=10,LongshotLabel,HailMaryLabel)))))),"Other")</f>
        <v>0</v>
      </c>
      <c r="AO10">
        <f>IF(OR(I10="accepted",I10="cond. accept",I10="summer admit"),IF(J10="yes","CHOICE!","Accepted!"),IF(I10="guar. transfer","Guar. Xfer",IF(I10="denied","Denied",IF(K10=1,"Waitlist",IF(L10=1,"Deferred",IF(G10="pending","Pending",IF(OR(G10="initial materials submitted",G10="mid-year submitted",G10="final submitted"),"Submitted",IF(H10="interest","Interest","?"))))))))</f>
        <v>0</v>
      </c>
      <c r="AP10">
        <f>IF(OR(AN10=ReachLabel,AN10=LongshotLabel,AN10=HailMaryLabel),1,0)</f>
        <v>0</v>
      </c>
      <c r="AQ10">
        <f>IF(OR(AP10=1,AN10=MatchLabel),1,0)</f>
        <v>0</v>
      </c>
      <c r="AR10">
        <f>IF(OR(AN10=MatchLabel,AN10=SafetyLabel,AN10=SecureLabel,AN10=SureThingLabel),1,0)</f>
        <v>0</v>
      </c>
      <c r="AS10">
        <f>IF(OR(W10="H",W10="B",W10="I",W10="M"),IF(ISNUMBER(AB10),ROUND(AB10,2),0),IF(ISNUMBER(AA10),ROUND(AA10,2),0))</f>
        <v>0</v>
      </c>
      <c r="AT10">
        <f>IF(AS10&gt;=X10,1,0)</f>
        <v>0</v>
      </c>
      <c r="AU10">
        <f>IF(AS10&gt;=Y10,1,0)</f>
        <v>0</v>
      </c>
      <c r="AV10">
        <f>IF(AS10&lt;(X10-0.10),1,0)</f>
        <v>0</v>
      </c>
      <c r="AW10">
        <f>1-AM10/100</f>
        <v>0</v>
      </c>
      <c r="AX10">
        <f>IF(AQ10=1,AW10,1)</f>
        <v>0</v>
      </c>
      <c r="AY10">
        <f>IF(AP10=1,AW10,1)</f>
        <v>0</v>
      </c>
      <c r="AZ10">
        <f>IF(AND(AT10=1,ISNUMBER(AW10)),$AW10,1)</f>
        <v>0</v>
      </c>
      <c r="BA10">
        <f>IF(AND(AU10=1,ISNUMBER(AW10)),$AW10,1)</f>
        <v>0</v>
      </c>
      <c r="BB10">
        <f>IF(ISNUMBER(AB10),INDEX(AllCollegeMoney, MATCH(N10,AllCollegeNCES,0)),0)</f>
        <v>0</v>
      </c>
      <c r="BC10">
        <f>IF(AND(AT10=1,ISNUMBER(AW10),BB10=1),$AW10,1)</f>
        <v>0</v>
      </c>
      <c r="BD10">
        <f>IF(AND(AU10=1,ISNUMBER(AW10),BB10=1),$AW10,1)</f>
        <v>0</v>
      </c>
      <c r="BE10">
        <f>IF(ISNUMBER(AB10),INDEX(AllCollegeILPub, MATCH(N10,AllCollegeNCES,0)),0)</f>
        <v>0</v>
      </c>
      <c r="BF10">
        <f>IF(AN10=ReachLabel,AS10,0)</f>
        <v>0</v>
      </c>
      <c r="BG10">
        <f>IF(AN10=MatchLabel,AS10,0)</f>
        <v>0</v>
      </c>
      <c r="BH10">
        <f>IF(AN10=SafetyLabel,AS10,0)</f>
        <v>0</v>
      </c>
      <c r="BI10">
        <f>IF(AN10=SecureLabel,AS10,0)</f>
        <v>0</v>
      </c>
      <c r="BJ10">
        <f>IF(AN10=SureThingLabel,AS10,0)</f>
        <v>0</v>
      </c>
      <c r="BK10">
        <f>MAX(BF10:BJ10)</f>
        <v>0</v>
      </c>
      <c r="BL10">
        <f>MAX(BG10:BJ10)</f>
        <v>0</v>
      </c>
      <c r="BM10">
        <f>MAX(BH10:BJ10)</f>
        <v>0</v>
      </c>
      <c r="BN10">
        <f>IF(AND(AN10=ReachLabel,BB10=1),AS10,0)</f>
        <v>0</v>
      </c>
      <c r="BO10">
        <f>IF(AND(AN10=MatchLabel,BB10=1),AS10,0)</f>
        <v>0</v>
      </c>
      <c r="BP10">
        <f>IF(AND(AN10=SafetyLabel,BB10=1),AS10,0)</f>
        <v>0</v>
      </c>
      <c r="BQ10">
        <f>IF(AND(AN10=SecureLabel,BB10=1),AS10,0)</f>
        <v>0</v>
      </c>
      <c r="BR10">
        <f>IF(AND(AN10=SureThingLabel,BB10=1),AS10,0)</f>
        <v>0</v>
      </c>
      <c r="BS10">
        <f>MAX(BN10:BR10)</f>
        <v>0</v>
      </c>
      <c r="BT10">
        <f>MAX(BO10:BR10)</f>
        <v>0</v>
      </c>
      <c r="BU10">
        <f>MAX(BP10:BR10)</f>
        <v>0</v>
      </c>
      <c r="BV10">
        <f>IF(ISNUMBER(AB10),INDEX(AllCollegeChicago, MATCH(N10,AllCollegeNCES,0))*BB10,0)</f>
        <v>0</v>
      </c>
      <c r="BW10">
        <f>IF(ISNUMBER(AB10),INDEX(AllCollegeMoneyCode, MATCH(N10,AllCollegeNCES,0)),"?")</f>
        <v>0</v>
      </c>
      <c r="BX10">
        <f>IF(OR(BW10="---",BW10="--",BW10="+/--",BW10="+/---"),1,0)</f>
        <v>0</v>
      </c>
      <c r="BY10">
        <f>BB10*AR10*AT10</f>
        <v>0</v>
      </c>
    </row>
    <row r="11" spans="1:77">
      <c r="A11" t="s">
        <v>96</v>
      </c>
      <c r="B11">
        <v>21702780</v>
      </c>
      <c r="C11" t="s">
        <v>158</v>
      </c>
      <c r="D11" t="s">
        <v>159</v>
      </c>
      <c r="E11" t="s">
        <v>446</v>
      </c>
      <c r="F11" t="s">
        <v>460</v>
      </c>
      <c r="G11" t="s">
        <v>448</v>
      </c>
      <c r="H11" t="s">
        <v>449</v>
      </c>
      <c r="I11" t="s">
        <v>450</v>
      </c>
      <c r="J11" t="s">
        <v>450</v>
      </c>
      <c r="K11">
        <v>0</v>
      </c>
      <c r="L11" t="s">
        <v>446</v>
      </c>
      <c r="M11" t="s">
        <v>446</v>
      </c>
      <c r="N11">
        <v>144209</v>
      </c>
      <c r="O11">
        <f>INDEX(Counselor,MATCH(B11,KidIDs,0))</f>
        <v>0</v>
      </c>
      <c r="P11">
        <f>INDEX(Advisors,MATCH(B11,KidIDs,0))</f>
        <v>0</v>
      </c>
      <c r="Q11">
        <f>INDEX(Cohort,MATCH(B11,KidIDs,0))</f>
        <v>0</v>
      </c>
      <c r="R11">
        <f>INDEX(AllCollegeBarrons,MATCH(N11,AllCollegeNCES,0))</f>
        <v>0</v>
      </c>
      <c r="S11">
        <f>INDEX(KidGPAs,MATCH(B11,KidIDs,0))</f>
        <v>0</v>
      </c>
      <c r="T11">
        <f>INDEX(KidSATs,MATCH(B11,KidIDs,0))</f>
        <v>0</v>
      </c>
      <c r="U11">
        <f>INDEX(Strats,MATCH(B11,KidIDs,0))</f>
        <v>0</v>
      </c>
      <c r="V11">
        <f>INDEX(KidRace,MATCH(B11,KidIDs,0))</f>
        <v>0</v>
      </c>
      <c r="W11">
        <f>IF(OR(V11="M",V11="I"),"H",IF(V11="P","A",V11))</f>
        <v>0</v>
      </c>
      <c r="X11">
        <f>INDEX(StudentTargets,MATCH(B11,KidIDs,0))</f>
        <v>0</v>
      </c>
      <c r="Y11">
        <f>INDEX(ReachStudentTargets,MATCH(B11,KidIDs,0))</f>
        <v>0</v>
      </c>
      <c r="Z11">
        <f>IF(OR(M11="Posse"),1,0)</f>
        <v>0</v>
      </c>
      <c r="AA11">
        <f>IF(ISNUMBER(INDEX(AllCollegeGR, MATCH(N11,AllCollegeNCES,0))),ROUND(INDEX(AllCollegeGR, MATCH(N11,AllCollegeNCES,0))+Z11*IF(INDEX(AllCollegeGR, MATCH(N11,AllCollegeNCES,0))&gt;0.7,(1-INDEX(AllCollegeGR, MATCH(N11,AllCollegeNCES,0)))/2,0.15),2),INDEX(AllCollegeGR, MATCH(N11,AllCollegeNCES,0)))</f>
        <v>0</v>
      </c>
      <c r="AB11">
        <f>IF(ISNUMBER(INDEX(AllCollegeAAHGR, MATCH(N11,AllCollegeNCES,0))),ROUND(INDEX(AllCollegeAAHGR, MATCH(N11,AllCollegeNCES,0))+Z11*IF(INDEX(AllCollegeAAHGR, MATCH(N11,AllCollegeNCES,0))&gt;0.7,(1-INDEX(AllCollegeAAHGR, MATCH(N11,AllCollegeNCES,0)))/2,0.15),2),INDEX(AllCollegeAAHGR, MATCH(N11,AllCollegeNCES,0)))</f>
        <v>0</v>
      </c>
      <c r="AC11">
        <f>IF(OR(W11="H",W11="B"),INDEX(AllCollegeSAT25, MATCH(N11,AllCollegeNCES,0)),INDEX(AllCollegeSAT50, MATCH(N11,AllCollegeNCES,0)))</f>
        <v>0</v>
      </c>
      <c r="AD11">
        <f>INDEX(CustomWeightsGPA,MATCH(W11&amp;":"&amp;N11,CustomWeightsIndex,0))</f>
        <v>0</v>
      </c>
      <c r="AE11">
        <f>INDEX(CustomWeightsSAT,MATCH(W11&amp;":"&amp;N11,CustomWeightsIndex,0))</f>
        <v>0</v>
      </c>
      <c r="AF11">
        <f>INDEX(CustomWeightsIntercept,MATCH(W11&amp;":"&amp;N11,CustomWeightsIndex,0))</f>
        <v>0</v>
      </c>
      <c r="AG11">
        <f>AD11*S11+AE11*T11+AF11</f>
        <v>0</v>
      </c>
      <c r="AH11">
        <f>INDEX(CoefficientsGPA,MATCH(W11&amp;":"&amp;R11,CoefficientsIndex,0))</f>
        <v>0</v>
      </c>
      <c r="AI11">
        <f>INDEX(CoefficientsSAT,MATCH(W11&amp;":"&amp;R11,CoefficientsIndex,0))</f>
        <v>0</v>
      </c>
      <c r="AJ11">
        <f>INDEX(CoefficientsIntercept,MATCH(W11&amp;":"&amp;R11,CoefficientsIndex,0))</f>
        <v>0</v>
      </c>
      <c r="AK11">
        <f>AH11*S11+(T11-AC11)*AI11+AJ11</f>
        <v>0</v>
      </c>
      <c r="AL11">
        <f>IF(ISNUMBER(AG11),AG11,AK11)</f>
        <v>0</v>
      </c>
      <c r="AM11">
        <f>IF(ISNUMBER(AL11),IF(ISNUMBER(AH11),IF(AND(AH11=1,AI11=1,AJ11=1),100,MIN(99,ROUND(100*EXP(AL11)/(1+EXP(AL11)),2))),MIN(99,ROUND(100*EXP(AL11)/(1+EXP(AL11)),2))),IF(ISTEXT(R11),IF(LEFT(R11,1)="2",100,"N/A"),"N/A"))</f>
        <v>0</v>
      </c>
      <c r="AN11">
        <f>IF(ISNUMBER(AM11),IF(AM11&gt;=99,IF(OR(U11=10,U11=11),MatchLabel,SureThingLabel),IF(AM11&gt;=95,SecureLabel,IF(AM11&gt;=80,SafetyLabel,IF(AM11&gt;=50,MatchLabel,IF(AM11&gt;=20,ReachLabel,IF(AM11&gt;=10,LongshotLabel,HailMaryLabel)))))),"Other")</f>
        <v>0</v>
      </c>
      <c r="AO11">
        <f>IF(OR(I11="accepted",I11="cond. accept",I11="summer admit"),IF(J11="yes","CHOICE!","Accepted!"),IF(I11="guar. transfer","Guar. Xfer",IF(I11="denied","Denied",IF(K11=1,"Waitlist",IF(L11=1,"Deferred",IF(G11="pending","Pending",IF(OR(G11="initial materials submitted",G11="mid-year submitted",G11="final submitted"),"Submitted",IF(H11="interest","Interest","?"))))))))</f>
        <v>0</v>
      </c>
      <c r="AP11">
        <f>IF(OR(AN11=ReachLabel,AN11=LongshotLabel,AN11=HailMaryLabel),1,0)</f>
        <v>0</v>
      </c>
      <c r="AQ11">
        <f>IF(OR(AP11=1,AN11=MatchLabel),1,0)</f>
        <v>0</v>
      </c>
      <c r="AR11">
        <f>IF(OR(AN11=MatchLabel,AN11=SafetyLabel,AN11=SecureLabel,AN11=SureThingLabel),1,0)</f>
        <v>0</v>
      </c>
      <c r="AS11">
        <f>IF(OR(W11="H",W11="B",W11="I",W11="M"),IF(ISNUMBER(AB11),ROUND(AB11,2),0),IF(ISNUMBER(AA11),ROUND(AA11,2),0))</f>
        <v>0</v>
      </c>
      <c r="AT11">
        <f>IF(AS11&gt;=X11,1,0)</f>
        <v>0</v>
      </c>
      <c r="AU11">
        <f>IF(AS11&gt;=Y11,1,0)</f>
        <v>0</v>
      </c>
      <c r="AV11">
        <f>IF(AS11&lt;(X11-0.10),1,0)</f>
        <v>0</v>
      </c>
      <c r="AW11">
        <f>1-AM11/100</f>
        <v>0</v>
      </c>
      <c r="AX11">
        <f>IF(AQ11=1,AW11,1)</f>
        <v>0</v>
      </c>
      <c r="AY11">
        <f>IF(AP11=1,AW11,1)</f>
        <v>0</v>
      </c>
      <c r="AZ11">
        <f>IF(AND(AT11=1,ISNUMBER(AW11)),$AW11,1)</f>
        <v>0</v>
      </c>
      <c r="BA11">
        <f>IF(AND(AU11=1,ISNUMBER(AW11)),$AW11,1)</f>
        <v>0</v>
      </c>
      <c r="BB11">
        <f>IF(ISNUMBER(AB11),INDEX(AllCollegeMoney, MATCH(N11,AllCollegeNCES,0)),0)</f>
        <v>0</v>
      </c>
      <c r="BC11">
        <f>IF(AND(AT11=1,ISNUMBER(AW11),BB11=1),$AW11,1)</f>
        <v>0</v>
      </c>
      <c r="BD11">
        <f>IF(AND(AU11=1,ISNUMBER(AW11),BB11=1),$AW11,1)</f>
        <v>0</v>
      </c>
      <c r="BE11">
        <f>IF(ISNUMBER(AB11),INDEX(AllCollegeILPub, MATCH(N11,AllCollegeNCES,0)),0)</f>
        <v>0</v>
      </c>
      <c r="BF11">
        <f>IF(AN11=ReachLabel,AS11,0)</f>
        <v>0</v>
      </c>
      <c r="BG11">
        <f>IF(AN11=MatchLabel,AS11,0)</f>
        <v>0</v>
      </c>
      <c r="BH11">
        <f>IF(AN11=SafetyLabel,AS11,0)</f>
        <v>0</v>
      </c>
      <c r="BI11">
        <f>IF(AN11=SecureLabel,AS11,0)</f>
        <v>0</v>
      </c>
      <c r="BJ11">
        <f>IF(AN11=SureThingLabel,AS11,0)</f>
        <v>0</v>
      </c>
      <c r="BK11">
        <f>MAX(BF11:BJ11)</f>
        <v>0</v>
      </c>
      <c r="BL11">
        <f>MAX(BG11:BJ11)</f>
        <v>0</v>
      </c>
      <c r="BM11">
        <f>MAX(BH11:BJ11)</f>
        <v>0</v>
      </c>
      <c r="BN11">
        <f>IF(AND(AN11=ReachLabel,BB11=1),AS11,0)</f>
        <v>0</v>
      </c>
      <c r="BO11">
        <f>IF(AND(AN11=MatchLabel,BB11=1),AS11,0)</f>
        <v>0</v>
      </c>
      <c r="BP11">
        <f>IF(AND(AN11=SafetyLabel,BB11=1),AS11,0)</f>
        <v>0</v>
      </c>
      <c r="BQ11">
        <f>IF(AND(AN11=SecureLabel,BB11=1),AS11,0)</f>
        <v>0</v>
      </c>
      <c r="BR11">
        <f>IF(AND(AN11=SureThingLabel,BB11=1),AS11,0)</f>
        <v>0</v>
      </c>
      <c r="BS11">
        <f>MAX(BN11:BR11)</f>
        <v>0</v>
      </c>
      <c r="BT11">
        <f>MAX(BO11:BR11)</f>
        <v>0</v>
      </c>
      <c r="BU11">
        <f>MAX(BP11:BR11)</f>
        <v>0</v>
      </c>
      <c r="BV11">
        <f>IF(ISNUMBER(AB11),INDEX(AllCollegeChicago, MATCH(N11,AllCollegeNCES,0))*BB11,0)</f>
        <v>0</v>
      </c>
      <c r="BW11">
        <f>IF(ISNUMBER(AB11),INDEX(AllCollegeMoneyCode, MATCH(N11,AllCollegeNCES,0)),"?")</f>
        <v>0</v>
      </c>
      <c r="BX11">
        <f>IF(OR(BW11="---",BW11="--",BW11="+/--",BW11="+/---"),1,0)</f>
        <v>0</v>
      </c>
      <c r="BY11">
        <f>BB11*AR11*AT11</f>
        <v>0</v>
      </c>
    </row>
    <row r="12" spans="1:77">
      <c r="A12" t="s">
        <v>96</v>
      </c>
      <c r="B12">
        <v>21702780</v>
      </c>
      <c r="C12" t="s">
        <v>158</v>
      </c>
      <c r="D12" t="s">
        <v>159</v>
      </c>
      <c r="E12" t="s">
        <v>446</v>
      </c>
      <c r="F12" t="s">
        <v>461</v>
      </c>
      <c r="G12" t="s">
        <v>448</v>
      </c>
      <c r="H12" t="s">
        <v>449</v>
      </c>
      <c r="I12" t="s">
        <v>450</v>
      </c>
      <c r="J12" t="s">
        <v>450</v>
      </c>
      <c r="K12">
        <v>0</v>
      </c>
      <c r="L12" t="s">
        <v>446</v>
      </c>
      <c r="M12" t="s">
        <v>446</v>
      </c>
      <c r="N12">
        <v>147536</v>
      </c>
      <c r="O12">
        <f>INDEX(Counselor,MATCH(B12,KidIDs,0))</f>
        <v>0</v>
      </c>
      <c r="P12">
        <f>INDEX(Advisors,MATCH(B12,KidIDs,0))</f>
        <v>0</v>
      </c>
      <c r="Q12">
        <f>INDEX(Cohort,MATCH(B12,KidIDs,0))</f>
        <v>0</v>
      </c>
      <c r="R12">
        <f>INDEX(AllCollegeBarrons,MATCH(N12,AllCollegeNCES,0))</f>
        <v>0</v>
      </c>
      <c r="S12">
        <f>INDEX(KidGPAs,MATCH(B12,KidIDs,0))</f>
        <v>0</v>
      </c>
      <c r="T12">
        <f>INDEX(KidSATs,MATCH(B12,KidIDs,0))</f>
        <v>0</v>
      </c>
      <c r="U12">
        <f>INDEX(Strats,MATCH(B12,KidIDs,0))</f>
        <v>0</v>
      </c>
      <c r="V12">
        <f>INDEX(KidRace,MATCH(B12,KidIDs,0))</f>
        <v>0</v>
      </c>
      <c r="W12">
        <f>IF(OR(V12="M",V12="I"),"H",IF(V12="P","A",V12))</f>
        <v>0</v>
      </c>
      <c r="X12">
        <f>INDEX(StudentTargets,MATCH(B12,KidIDs,0))</f>
        <v>0</v>
      </c>
      <c r="Y12">
        <f>INDEX(ReachStudentTargets,MATCH(B12,KidIDs,0))</f>
        <v>0</v>
      </c>
      <c r="Z12">
        <f>IF(OR(M12="Posse"),1,0)</f>
        <v>0</v>
      </c>
      <c r="AA12">
        <f>IF(ISNUMBER(INDEX(AllCollegeGR, MATCH(N12,AllCollegeNCES,0))),ROUND(INDEX(AllCollegeGR, MATCH(N12,AllCollegeNCES,0))+Z12*IF(INDEX(AllCollegeGR, MATCH(N12,AllCollegeNCES,0))&gt;0.7,(1-INDEX(AllCollegeGR, MATCH(N12,AllCollegeNCES,0)))/2,0.15),2),INDEX(AllCollegeGR, MATCH(N12,AllCollegeNCES,0)))</f>
        <v>0</v>
      </c>
      <c r="AB12">
        <f>IF(ISNUMBER(INDEX(AllCollegeAAHGR, MATCH(N12,AllCollegeNCES,0))),ROUND(INDEX(AllCollegeAAHGR, MATCH(N12,AllCollegeNCES,0))+Z12*IF(INDEX(AllCollegeAAHGR, MATCH(N12,AllCollegeNCES,0))&gt;0.7,(1-INDEX(AllCollegeAAHGR, MATCH(N12,AllCollegeNCES,0)))/2,0.15),2),INDEX(AllCollegeAAHGR, MATCH(N12,AllCollegeNCES,0)))</f>
        <v>0</v>
      </c>
      <c r="AC12">
        <f>IF(OR(W12="H",W12="B"),INDEX(AllCollegeSAT25, MATCH(N12,AllCollegeNCES,0)),INDEX(AllCollegeSAT50, MATCH(N12,AllCollegeNCES,0)))</f>
        <v>0</v>
      </c>
      <c r="AD12">
        <f>INDEX(CustomWeightsGPA,MATCH(W12&amp;":"&amp;N12,CustomWeightsIndex,0))</f>
        <v>0</v>
      </c>
      <c r="AE12">
        <f>INDEX(CustomWeightsSAT,MATCH(W12&amp;":"&amp;N12,CustomWeightsIndex,0))</f>
        <v>0</v>
      </c>
      <c r="AF12">
        <f>INDEX(CustomWeightsIntercept,MATCH(W12&amp;":"&amp;N12,CustomWeightsIndex,0))</f>
        <v>0</v>
      </c>
      <c r="AG12">
        <f>AD12*S12+AE12*T12+AF12</f>
        <v>0</v>
      </c>
      <c r="AH12">
        <f>INDEX(CoefficientsGPA,MATCH(W12&amp;":"&amp;R12,CoefficientsIndex,0))</f>
        <v>0</v>
      </c>
      <c r="AI12">
        <f>INDEX(CoefficientsSAT,MATCH(W12&amp;":"&amp;R12,CoefficientsIndex,0))</f>
        <v>0</v>
      </c>
      <c r="AJ12">
        <f>INDEX(CoefficientsIntercept,MATCH(W12&amp;":"&amp;R12,CoefficientsIndex,0))</f>
        <v>0</v>
      </c>
      <c r="AK12">
        <f>AH12*S12+(T12-AC12)*AI12+AJ12</f>
        <v>0</v>
      </c>
      <c r="AL12">
        <f>IF(ISNUMBER(AG12),AG12,AK12)</f>
        <v>0</v>
      </c>
      <c r="AM12">
        <f>IF(ISNUMBER(AL12),IF(ISNUMBER(AH12),IF(AND(AH12=1,AI12=1,AJ12=1),100,MIN(99,ROUND(100*EXP(AL12)/(1+EXP(AL12)),2))),MIN(99,ROUND(100*EXP(AL12)/(1+EXP(AL12)),2))),IF(ISTEXT(R12),IF(LEFT(R12,1)="2",100,"N/A"),"N/A"))</f>
        <v>0</v>
      </c>
      <c r="AN12">
        <f>IF(ISNUMBER(AM12),IF(AM12&gt;=99,IF(OR(U12=10,U12=11),MatchLabel,SureThingLabel),IF(AM12&gt;=95,SecureLabel,IF(AM12&gt;=80,SafetyLabel,IF(AM12&gt;=50,MatchLabel,IF(AM12&gt;=20,ReachLabel,IF(AM12&gt;=10,LongshotLabel,HailMaryLabel)))))),"Other")</f>
        <v>0</v>
      </c>
      <c r="AO12">
        <f>IF(OR(I12="accepted",I12="cond. accept",I12="summer admit"),IF(J12="yes","CHOICE!","Accepted!"),IF(I12="guar. transfer","Guar. Xfer",IF(I12="denied","Denied",IF(K12=1,"Waitlist",IF(L12=1,"Deferred",IF(G12="pending","Pending",IF(OR(G12="initial materials submitted",G12="mid-year submitted",G12="final submitted"),"Submitted",IF(H12="interest","Interest","?"))))))))</f>
        <v>0</v>
      </c>
      <c r="AP12">
        <f>IF(OR(AN12=ReachLabel,AN12=LongshotLabel,AN12=HailMaryLabel),1,0)</f>
        <v>0</v>
      </c>
      <c r="AQ12">
        <f>IF(OR(AP12=1,AN12=MatchLabel),1,0)</f>
        <v>0</v>
      </c>
      <c r="AR12">
        <f>IF(OR(AN12=MatchLabel,AN12=SafetyLabel,AN12=SecureLabel,AN12=SureThingLabel),1,0)</f>
        <v>0</v>
      </c>
      <c r="AS12">
        <f>IF(OR(W12="H",W12="B",W12="I",W12="M"),IF(ISNUMBER(AB12),ROUND(AB12,2),0),IF(ISNUMBER(AA12),ROUND(AA12,2),0))</f>
        <v>0</v>
      </c>
      <c r="AT12">
        <f>IF(AS12&gt;=X12,1,0)</f>
        <v>0</v>
      </c>
      <c r="AU12">
        <f>IF(AS12&gt;=Y12,1,0)</f>
        <v>0</v>
      </c>
      <c r="AV12">
        <f>IF(AS12&lt;(X12-0.10),1,0)</f>
        <v>0</v>
      </c>
      <c r="AW12">
        <f>1-AM12/100</f>
        <v>0</v>
      </c>
      <c r="AX12">
        <f>IF(AQ12=1,AW12,1)</f>
        <v>0</v>
      </c>
      <c r="AY12">
        <f>IF(AP12=1,AW12,1)</f>
        <v>0</v>
      </c>
      <c r="AZ12">
        <f>IF(AND(AT12=1,ISNUMBER(AW12)),$AW12,1)</f>
        <v>0</v>
      </c>
      <c r="BA12">
        <f>IF(AND(AU12=1,ISNUMBER(AW12)),$AW12,1)</f>
        <v>0</v>
      </c>
      <c r="BB12">
        <f>IF(ISNUMBER(AB12),INDEX(AllCollegeMoney, MATCH(N12,AllCollegeNCES,0)),0)</f>
        <v>0</v>
      </c>
      <c r="BC12">
        <f>IF(AND(AT12=1,ISNUMBER(AW12),BB12=1),$AW12,1)</f>
        <v>0</v>
      </c>
      <c r="BD12">
        <f>IF(AND(AU12=1,ISNUMBER(AW12),BB12=1),$AW12,1)</f>
        <v>0</v>
      </c>
      <c r="BE12">
        <f>IF(ISNUMBER(AB12),INDEX(AllCollegeILPub, MATCH(N12,AllCollegeNCES,0)),0)</f>
        <v>0</v>
      </c>
      <c r="BF12">
        <f>IF(AN12=ReachLabel,AS12,0)</f>
        <v>0</v>
      </c>
      <c r="BG12">
        <f>IF(AN12=MatchLabel,AS12,0)</f>
        <v>0</v>
      </c>
      <c r="BH12">
        <f>IF(AN12=SafetyLabel,AS12,0)</f>
        <v>0</v>
      </c>
      <c r="BI12">
        <f>IF(AN12=SecureLabel,AS12,0)</f>
        <v>0</v>
      </c>
      <c r="BJ12">
        <f>IF(AN12=SureThingLabel,AS12,0)</f>
        <v>0</v>
      </c>
      <c r="BK12">
        <f>MAX(BF12:BJ12)</f>
        <v>0</v>
      </c>
      <c r="BL12">
        <f>MAX(BG12:BJ12)</f>
        <v>0</v>
      </c>
      <c r="BM12">
        <f>MAX(BH12:BJ12)</f>
        <v>0</v>
      </c>
      <c r="BN12">
        <f>IF(AND(AN12=ReachLabel,BB12=1),AS12,0)</f>
        <v>0</v>
      </c>
      <c r="BO12">
        <f>IF(AND(AN12=MatchLabel,BB12=1),AS12,0)</f>
        <v>0</v>
      </c>
      <c r="BP12">
        <f>IF(AND(AN12=SafetyLabel,BB12=1),AS12,0)</f>
        <v>0</v>
      </c>
      <c r="BQ12">
        <f>IF(AND(AN12=SecureLabel,BB12=1),AS12,0)</f>
        <v>0</v>
      </c>
      <c r="BR12">
        <f>IF(AND(AN12=SureThingLabel,BB12=1),AS12,0)</f>
        <v>0</v>
      </c>
      <c r="BS12">
        <f>MAX(BN12:BR12)</f>
        <v>0</v>
      </c>
      <c r="BT12">
        <f>MAX(BO12:BR12)</f>
        <v>0</v>
      </c>
      <c r="BU12">
        <f>MAX(BP12:BR12)</f>
        <v>0</v>
      </c>
      <c r="BV12">
        <f>IF(ISNUMBER(AB12),INDEX(AllCollegeChicago, MATCH(N12,AllCollegeNCES,0))*BB12,0)</f>
        <v>0</v>
      </c>
      <c r="BW12">
        <f>IF(ISNUMBER(AB12),INDEX(AllCollegeMoneyCode, MATCH(N12,AllCollegeNCES,0)),"?")</f>
        <v>0</v>
      </c>
      <c r="BX12">
        <f>IF(OR(BW12="---",BW12="--",BW12="+/--",BW12="+/---"),1,0)</f>
        <v>0</v>
      </c>
      <c r="BY12">
        <f>BB12*AR12*AT12</f>
        <v>0</v>
      </c>
    </row>
    <row r="13" spans="1:77">
      <c r="A13" t="s">
        <v>96</v>
      </c>
      <c r="B13">
        <v>21702780</v>
      </c>
      <c r="C13" t="s">
        <v>158</v>
      </c>
      <c r="D13" t="s">
        <v>159</v>
      </c>
      <c r="E13" t="s">
        <v>446</v>
      </c>
      <c r="F13" t="s">
        <v>462</v>
      </c>
      <c r="G13" t="s">
        <v>448</v>
      </c>
      <c r="H13" t="s">
        <v>449</v>
      </c>
      <c r="I13" t="s">
        <v>450</v>
      </c>
      <c r="J13" t="s">
        <v>450</v>
      </c>
      <c r="K13">
        <v>0</v>
      </c>
      <c r="L13" t="s">
        <v>446</v>
      </c>
      <c r="M13" t="s">
        <v>446</v>
      </c>
      <c r="N13">
        <v>149222</v>
      </c>
      <c r="O13">
        <f>INDEX(Counselor,MATCH(B13,KidIDs,0))</f>
        <v>0</v>
      </c>
      <c r="P13">
        <f>INDEX(Advisors,MATCH(B13,KidIDs,0))</f>
        <v>0</v>
      </c>
      <c r="Q13">
        <f>INDEX(Cohort,MATCH(B13,KidIDs,0))</f>
        <v>0</v>
      </c>
      <c r="R13">
        <f>INDEX(AllCollegeBarrons,MATCH(N13,AllCollegeNCES,0))</f>
        <v>0</v>
      </c>
      <c r="S13">
        <f>INDEX(KidGPAs,MATCH(B13,KidIDs,0))</f>
        <v>0</v>
      </c>
      <c r="T13">
        <f>INDEX(KidSATs,MATCH(B13,KidIDs,0))</f>
        <v>0</v>
      </c>
      <c r="U13">
        <f>INDEX(Strats,MATCH(B13,KidIDs,0))</f>
        <v>0</v>
      </c>
      <c r="V13">
        <f>INDEX(KidRace,MATCH(B13,KidIDs,0))</f>
        <v>0</v>
      </c>
      <c r="W13">
        <f>IF(OR(V13="M",V13="I"),"H",IF(V13="P","A",V13))</f>
        <v>0</v>
      </c>
      <c r="X13">
        <f>INDEX(StudentTargets,MATCH(B13,KidIDs,0))</f>
        <v>0</v>
      </c>
      <c r="Y13">
        <f>INDEX(ReachStudentTargets,MATCH(B13,KidIDs,0))</f>
        <v>0</v>
      </c>
      <c r="Z13">
        <f>IF(OR(M13="Posse"),1,0)</f>
        <v>0</v>
      </c>
      <c r="AA13">
        <f>IF(ISNUMBER(INDEX(AllCollegeGR, MATCH(N13,AllCollegeNCES,0))),ROUND(INDEX(AllCollegeGR, MATCH(N13,AllCollegeNCES,0))+Z13*IF(INDEX(AllCollegeGR, MATCH(N13,AllCollegeNCES,0))&gt;0.7,(1-INDEX(AllCollegeGR, MATCH(N13,AllCollegeNCES,0)))/2,0.15),2),INDEX(AllCollegeGR, MATCH(N13,AllCollegeNCES,0)))</f>
        <v>0</v>
      </c>
      <c r="AB13">
        <f>IF(ISNUMBER(INDEX(AllCollegeAAHGR, MATCH(N13,AllCollegeNCES,0))),ROUND(INDEX(AllCollegeAAHGR, MATCH(N13,AllCollegeNCES,0))+Z13*IF(INDEX(AllCollegeAAHGR, MATCH(N13,AllCollegeNCES,0))&gt;0.7,(1-INDEX(AllCollegeAAHGR, MATCH(N13,AllCollegeNCES,0)))/2,0.15),2),INDEX(AllCollegeAAHGR, MATCH(N13,AllCollegeNCES,0)))</f>
        <v>0</v>
      </c>
      <c r="AC13">
        <f>IF(OR(W13="H",W13="B"),INDEX(AllCollegeSAT25, MATCH(N13,AllCollegeNCES,0)),INDEX(AllCollegeSAT50, MATCH(N13,AllCollegeNCES,0)))</f>
        <v>0</v>
      </c>
      <c r="AD13">
        <f>INDEX(CustomWeightsGPA,MATCH(W13&amp;":"&amp;N13,CustomWeightsIndex,0))</f>
        <v>0</v>
      </c>
      <c r="AE13">
        <f>INDEX(CustomWeightsSAT,MATCH(W13&amp;":"&amp;N13,CustomWeightsIndex,0))</f>
        <v>0</v>
      </c>
      <c r="AF13">
        <f>INDEX(CustomWeightsIntercept,MATCH(W13&amp;":"&amp;N13,CustomWeightsIndex,0))</f>
        <v>0</v>
      </c>
      <c r="AG13">
        <f>AD13*S13+AE13*T13+AF13</f>
        <v>0</v>
      </c>
      <c r="AH13">
        <f>INDEX(CoefficientsGPA,MATCH(W13&amp;":"&amp;R13,CoefficientsIndex,0))</f>
        <v>0</v>
      </c>
      <c r="AI13">
        <f>INDEX(CoefficientsSAT,MATCH(W13&amp;":"&amp;R13,CoefficientsIndex,0))</f>
        <v>0</v>
      </c>
      <c r="AJ13">
        <f>INDEX(CoefficientsIntercept,MATCH(W13&amp;":"&amp;R13,CoefficientsIndex,0))</f>
        <v>0</v>
      </c>
      <c r="AK13">
        <f>AH13*S13+(T13-AC13)*AI13+AJ13</f>
        <v>0</v>
      </c>
      <c r="AL13">
        <f>IF(ISNUMBER(AG13),AG13,AK13)</f>
        <v>0</v>
      </c>
      <c r="AM13">
        <f>IF(ISNUMBER(AL13),IF(ISNUMBER(AH13),IF(AND(AH13=1,AI13=1,AJ13=1),100,MIN(99,ROUND(100*EXP(AL13)/(1+EXP(AL13)),2))),MIN(99,ROUND(100*EXP(AL13)/(1+EXP(AL13)),2))),IF(ISTEXT(R13),IF(LEFT(R13,1)="2",100,"N/A"),"N/A"))</f>
        <v>0</v>
      </c>
      <c r="AN13">
        <f>IF(ISNUMBER(AM13),IF(AM13&gt;=99,IF(OR(U13=10,U13=11),MatchLabel,SureThingLabel),IF(AM13&gt;=95,SecureLabel,IF(AM13&gt;=80,SafetyLabel,IF(AM13&gt;=50,MatchLabel,IF(AM13&gt;=20,ReachLabel,IF(AM13&gt;=10,LongshotLabel,HailMaryLabel)))))),"Other")</f>
        <v>0</v>
      </c>
      <c r="AO13">
        <f>IF(OR(I13="accepted",I13="cond. accept",I13="summer admit"),IF(J13="yes","CHOICE!","Accepted!"),IF(I13="guar. transfer","Guar. Xfer",IF(I13="denied","Denied",IF(K13=1,"Waitlist",IF(L13=1,"Deferred",IF(G13="pending","Pending",IF(OR(G13="initial materials submitted",G13="mid-year submitted",G13="final submitted"),"Submitted",IF(H13="interest","Interest","?"))))))))</f>
        <v>0</v>
      </c>
      <c r="AP13">
        <f>IF(OR(AN13=ReachLabel,AN13=LongshotLabel,AN13=HailMaryLabel),1,0)</f>
        <v>0</v>
      </c>
      <c r="AQ13">
        <f>IF(OR(AP13=1,AN13=MatchLabel),1,0)</f>
        <v>0</v>
      </c>
      <c r="AR13">
        <f>IF(OR(AN13=MatchLabel,AN13=SafetyLabel,AN13=SecureLabel,AN13=SureThingLabel),1,0)</f>
        <v>0</v>
      </c>
      <c r="AS13">
        <f>IF(OR(W13="H",W13="B",W13="I",W13="M"),IF(ISNUMBER(AB13),ROUND(AB13,2),0),IF(ISNUMBER(AA13),ROUND(AA13,2),0))</f>
        <v>0</v>
      </c>
      <c r="AT13">
        <f>IF(AS13&gt;=X13,1,0)</f>
        <v>0</v>
      </c>
      <c r="AU13">
        <f>IF(AS13&gt;=Y13,1,0)</f>
        <v>0</v>
      </c>
      <c r="AV13">
        <f>IF(AS13&lt;(X13-0.10),1,0)</f>
        <v>0</v>
      </c>
      <c r="AW13">
        <f>1-AM13/100</f>
        <v>0</v>
      </c>
      <c r="AX13">
        <f>IF(AQ13=1,AW13,1)</f>
        <v>0</v>
      </c>
      <c r="AY13">
        <f>IF(AP13=1,AW13,1)</f>
        <v>0</v>
      </c>
      <c r="AZ13">
        <f>IF(AND(AT13=1,ISNUMBER(AW13)),$AW13,1)</f>
        <v>0</v>
      </c>
      <c r="BA13">
        <f>IF(AND(AU13=1,ISNUMBER(AW13)),$AW13,1)</f>
        <v>0</v>
      </c>
      <c r="BB13">
        <f>IF(ISNUMBER(AB13),INDEX(AllCollegeMoney, MATCH(N13,AllCollegeNCES,0)),0)</f>
        <v>0</v>
      </c>
      <c r="BC13">
        <f>IF(AND(AT13=1,ISNUMBER(AW13),BB13=1),$AW13,1)</f>
        <v>0</v>
      </c>
      <c r="BD13">
        <f>IF(AND(AU13=1,ISNUMBER(AW13),BB13=1),$AW13,1)</f>
        <v>0</v>
      </c>
      <c r="BE13">
        <f>IF(ISNUMBER(AB13),INDEX(AllCollegeILPub, MATCH(N13,AllCollegeNCES,0)),0)</f>
        <v>0</v>
      </c>
      <c r="BF13">
        <f>IF(AN13=ReachLabel,AS13,0)</f>
        <v>0</v>
      </c>
      <c r="BG13">
        <f>IF(AN13=MatchLabel,AS13,0)</f>
        <v>0</v>
      </c>
      <c r="BH13">
        <f>IF(AN13=SafetyLabel,AS13,0)</f>
        <v>0</v>
      </c>
      <c r="BI13">
        <f>IF(AN13=SecureLabel,AS13,0)</f>
        <v>0</v>
      </c>
      <c r="BJ13">
        <f>IF(AN13=SureThingLabel,AS13,0)</f>
        <v>0</v>
      </c>
      <c r="BK13">
        <f>MAX(BF13:BJ13)</f>
        <v>0</v>
      </c>
      <c r="BL13">
        <f>MAX(BG13:BJ13)</f>
        <v>0</v>
      </c>
      <c r="BM13">
        <f>MAX(BH13:BJ13)</f>
        <v>0</v>
      </c>
      <c r="BN13">
        <f>IF(AND(AN13=ReachLabel,BB13=1),AS13,0)</f>
        <v>0</v>
      </c>
      <c r="BO13">
        <f>IF(AND(AN13=MatchLabel,BB13=1),AS13,0)</f>
        <v>0</v>
      </c>
      <c r="BP13">
        <f>IF(AND(AN13=SafetyLabel,BB13=1),AS13,0)</f>
        <v>0</v>
      </c>
      <c r="BQ13">
        <f>IF(AND(AN13=SecureLabel,BB13=1),AS13,0)</f>
        <v>0</v>
      </c>
      <c r="BR13">
        <f>IF(AND(AN13=SureThingLabel,BB13=1),AS13,0)</f>
        <v>0</v>
      </c>
      <c r="BS13">
        <f>MAX(BN13:BR13)</f>
        <v>0</v>
      </c>
      <c r="BT13">
        <f>MAX(BO13:BR13)</f>
        <v>0</v>
      </c>
      <c r="BU13">
        <f>MAX(BP13:BR13)</f>
        <v>0</v>
      </c>
      <c r="BV13">
        <f>IF(ISNUMBER(AB13),INDEX(AllCollegeChicago, MATCH(N13,AllCollegeNCES,0))*BB13,0)</f>
        <v>0</v>
      </c>
      <c r="BW13">
        <f>IF(ISNUMBER(AB13),INDEX(AllCollegeMoneyCode, MATCH(N13,AllCollegeNCES,0)),"?")</f>
        <v>0</v>
      </c>
      <c r="BX13">
        <f>IF(OR(BW13="---",BW13="--",BW13="+/--",BW13="+/---"),1,0)</f>
        <v>0</v>
      </c>
      <c r="BY13">
        <f>BB13*AR13*AT13</f>
        <v>0</v>
      </c>
    </row>
    <row r="14" spans="1:77">
      <c r="A14" t="s">
        <v>96</v>
      </c>
      <c r="B14">
        <v>21702780</v>
      </c>
      <c r="C14" t="s">
        <v>158</v>
      </c>
      <c r="D14" t="s">
        <v>159</v>
      </c>
      <c r="E14" t="s">
        <v>446</v>
      </c>
      <c r="F14" t="s">
        <v>463</v>
      </c>
      <c r="G14" t="s">
        <v>448</v>
      </c>
      <c r="H14" t="s">
        <v>449</v>
      </c>
      <c r="I14" t="s">
        <v>450</v>
      </c>
      <c r="J14" t="s">
        <v>450</v>
      </c>
      <c r="K14">
        <v>0</v>
      </c>
      <c r="L14" t="s">
        <v>446</v>
      </c>
      <c r="M14" t="s">
        <v>446</v>
      </c>
      <c r="N14">
        <v>147776</v>
      </c>
      <c r="O14">
        <f>INDEX(Counselor,MATCH(B14,KidIDs,0))</f>
        <v>0</v>
      </c>
      <c r="P14">
        <f>INDEX(Advisors,MATCH(B14,KidIDs,0))</f>
        <v>0</v>
      </c>
      <c r="Q14">
        <f>INDEX(Cohort,MATCH(B14,KidIDs,0))</f>
        <v>0</v>
      </c>
      <c r="R14">
        <f>INDEX(AllCollegeBarrons,MATCH(N14,AllCollegeNCES,0))</f>
        <v>0</v>
      </c>
      <c r="S14">
        <f>INDEX(KidGPAs,MATCH(B14,KidIDs,0))</f>
        <v>0</v>
      </c>
      <c r="T14">
        <f>INDEX(KidSATs,MATCH(B14,KidIDs,0))</f>
        <v>0</v>
      </c>
      <c r="U14">
        <f>INDEX(Strats,MATCH(B14,KidIDs,0))</f>
        <v>0</v>
      </c>
      <c r="V14">
        <f>INDEX(KidRace,MATCH(B14,KidIDs,0))</f>
        <v>0</v>
      </c>
      <c r="W14">
        <f>IF(OR(V14="M",V14="I"),"H",IF(V14="P","A",V14))</f>
        <v>0</v>
      </c>
      <c r="X14">
        <f>INDEX(StudentTargets,MATCH(B14,KidIDs,0))</f>
        <v>0</v>
      </c>
      <c r="Y14">
        <f>INDEX(ReachStudentTargets,MATCH(B14,KidIDs,0))</f>
        <v>0</v>
      </c>
      <c r="Z14">
        <f>IF(OR(M14="Posse"),1,0)</f>
        <v>0</v>
      </c>
      <c r="AA14">
        <f>IF(ISNUMBER(INDEX(AllCollegeGR, MATCH(N14,AllCollegeNCES,0))),ROUND(INDEX(AllCollegeGR, MATCH(N14,AllCollegeNCES,0))+Z14*IF(INDEX(AllCollegeGR, MATCH(N14,AllCollegeNCES,0))&gt;0.7,(1-INDEX(AllCollegeGR, MATCH(N14,AllCollegeNCES,0)))/2,0.15),2),INDEX(AllCollegeGR, MATCH(N14,AllCollegeNCES,0)))</f>
        <v>0</v>
      </c>
      <c r="AB14">
        <f>IF(ISNUMBER(INDEX(AllCollegeAAHGR, MATCH(N14,AllCollegeNCES,0))),ROUND(INDEX(AllCollegeAAHGR, MATCH(N14,AllCollegeNCES,0))+Z14*IF(INDEX(AllCollegeAAHGR, MATCH(N14,AllCollegeNCES,0))&gt;0.7,(1-INDEX(AllCollegeAAHGR, MATCH(N14,AllCollegeNCES,0)))/2,0.15),2),INDEX(AllCollegeAAHGR, MATCH(N14,AllCollegeNCES,0)))</f>
        <v>0</v>
      </c>
      <c r="AC14">
        <f>IF(OR(W14="H",W14="B"),INDEX(AllCollegeSAT25, MATCH(N14,AllCollegeNCES,0)),INDEX(AllCollegeSAT50, MATCH(N14,AllCollegeNCES,0)))</f>
        <v>0</v>
      </c>
      <c r="AD14">
        <f>INDEX(CustomWeightsGPA,MATCH(W14&amp;":"&amp;N14,CustomWeightsIndex,0))</f>
        <v>0</v>
      </c>
      <c r="AE14">
        <f>INDEX(CustomWeightsSAT,MATCH(W14&amp;":"&amp;N14,CustomWeightsIndex,0))</f>
        <v>0</v>
      </c>
      <c r="AF14">
        <f>INDEX(CustomWeightsIntercept,MATCH(W14&amp;":"&amp;N14,CustomWeightsIndex,0))</f>
        <v>0</v>
      </c>
      <c r="AG14">
        <f>AD14*S14+AE14*T14+AF14</f>
        <v>0</v>
      </c>
      <c r="AH14">
        <f>INDEX(CoefficientsGPA,MATCH(W14&amp;":"&amp;R14,CoefficientsIndex,0))</f>
        <v>0</v>
      </c>
      <c r="AI14">
        <f>INDEX(CoefficientsSAT,MATCH(W14&amp;":"&amp;R14,CoefficientsIndex,0))</f>
        <v>0</v>
      </c>
      <c r="AJ14">
        <f>INDEX(CoefficientsIntercept,MATCH(W14&amp;":"&amp;R14,CoefficientsIndex,0))</f>
        <v>0</v>
      </c>
      <c r="AK14">
        <f>AH14*S14+(T14-AC14)*AI14+AJ14</f>
        <v>0</v>
      </c>
      <c r="AL14">
        <f>IF(ISNUMBER(AG14),AG14,AK14)</f>
        <v>0</v>
      </c>
      <c r="AM14">
        <f>IF(ISNUMBER(AL14),IF(ISNUMBER(AH14),IF(AND(AH14=1,AI14=1,AJ14=1),100,MIN(99,ROUND(100*EXP(AL14)/(1+EXP(AL14)),2))),MIN(99,ROUND(100*EXP(AL14)/(1+EXP(AL14)),2))),IF(ISTEXT(R14),IF(LEFT(R14,1)="2",100,"N/A"),"N/A"))</f>
        <v>0</v>
      </c>
      <c r="AN14">
        <f>IF(ISNUMBER(AM14),IF(AM14&gt;=99,IF(OR(U14=10,U14=11),MatchLabel,SureThingLabel),IF(AM14&gt;=95,SecureLabel,IF(AM14&gt;=80,SafetyLabel,IF(AM14&gt;=50,MatchLabel,IF(AM14&gt;=20,ReachLabel,IF(AM14&gt;=10,LongshotLabel,HailMaryLabel)))))),"Other")</f>
        <v>0</v>
      </c>
      <c r="AO14">
        <f>IF(OR(I14="accepted",I14="cond. accept",I14="summer admit"),IF(J14="yes","CHOICE!","Accepted!"),IF(I14="guar. transfer","Guar. Xfer",IF(I14="denied","Denied",IF(K14=1,"Waitlist",IF(L14=1,"Deferred",IF(G14="pending","Pending",IF(OR(G14="initial materials submitted",G14="mid-year submitted",G14="final submitted"),"Submitted",IF(H14="interest","Interest","?"))))))))</f>
        <v>0</v>
      </c>
      <c r="AP14">
        <f>IF(OR(AN14=ReachLabel,AN14=LongshotLabel,AN14=HailMaryLabel),1,0)</f>
        <v>0</v>
      </c>
      <c r="AQ14">
        <f>IF(OR(AP14=1,AN14=MatchLabel),1,0)</f>
        <v>0</v>
      </c>
      <c r="AR14">
        <f>IF(OR(AN14=MatchLabel,AN14=SafetyLabel,AN14=SecureLabel,AN14=SureThingLabel),1,0)</f>
        <v>0</v>
      </c>
      <c r="AS14">
        <f>IF(OR(W14="H",W14="B",W14="I",W14="M"),IF(ISNUMBER(AB14),ROUND(AB14,2),0),IF(ISNUMBER(AA14),ROUND(AA14,2),0))</f>
        <v>0</v>
      </c>
      <c r="AT14">
        <f>IF(AS14&gt;=X14,1,0)</f>
        <v>0</v>
      </c>
      <c r="AU14">
        <f>IF(AS14&gt;=Y14,1,0)</f>
        <v>0</v>
      </c>
      <c r="AV14">
        <f>IF(AS14&lt;(X14-0.10),1,0)</f>
        <v>0</v>
      </c>
      <c r="AW14">
        <f>1-AM14/100</f>
        <v>0</v>
      </c>
      <c r="AX14">
        <f>IF(AQ14=1,AW14,1)</f>
        <v>0</v>
      </c>
      <c r="AY14">
        <f>IF(AP14=1,AW14,1)</f>
        <v>0</v>
      </c>
      <c r="AZ14">
        <f>IF(AND(AT14=1,ISNUMBER(AW14)),$AW14,1)</f>
        <v>0</v>
      </c>
      <c r="BA14">
        <f>IF(AND(AU14=1,ISNUMBER(AW14)),$AW14,1)</f>
        <v>0</v>
      </c>
      <c r="BB14">
        <f>IF(ISNUMBER(AB14),INDEX(AllCollegeMoney, MATCH(N14,AllCollegeNCES,0)),0)</f>
        <v>0</v>
      </c>
      <c r="BC14">
        <f>IF(AND(AT14=1,ISNUMBER(AW14),BB14=1),$AW14,1)</f>
        <v>0</v>
      </c>
      <c r="BD14">
        <f>IF(AND(AU14=1,ISNUMBER(AW14),BB14=1),$AW14,1)</f>
        <v>0</v>
      </c>
      <c r="BE14">
        <f>IF(ISNUMBER(AB14),INDEX(AllCollegeILPub, MATCH(N14,AllCollegeNCES,0)),0)</f>
        <v>0</v>
      </c>
      <c r="BF14">
        <f>IF(AN14=ReachLabel,AS14,0)</f>
        <v>0</v>
      </c>
      <c r="BG14">
        <f>IF(AN14=MatchLabel,AS14,0)</f>
        <v>0</v>
      </c>
      <c r="BH14">
        <f>IF(AN14=SafetyLabel,AS14,0)</f>
        <v>0</v>
      </c>
      <c r="BI14">
        <f>IF(AN14=SecureLabel,AS14,0)</f>
        <v>0</v>
      </c>
      <c r="BJ14">
        <f>IF(AN14=SureThingLabel,AS14,0)</f>
        <v>0</v>
      </c>
      <c r="BK14">
        <f>MAX(BF14:BJ14)</f>
        <v>0</v>
      </c>
      <c r="BL14">
        <f>MAX(BG14:BJ14)</f>
        <v>0</v>
      </c>
      <c r="BM14">
        <f>MAX(BH14:BJ14)</f>
        <v>0</v>
      </c>
      <c r="BN14">
        <f>IF(AND(AN14=ReachLabel,BB14=1),AS14,0)</f>
        <v>0</v>
      </c>
      <c r="BO14">
        <f>IF(AND(AN14=MatchLabel,BB14=1),AS14,0)</f>
        <v>0</v>
      </c>
      <c r="BP14">
        <f>IF(AND(AN14=SafetyLabel,BB14=1),AS14,0)</f>
        <v>0</v>
      </c>
      <c r="BQ14">
        <f>IF(AND(AN14=SecureLabel,BB14=1),AS14,0)</f>
        <v>0</v>
      </c>
      <c r="BR14">
        <f>IF(AND(AN14=SureThingLabel,BB14=1),AS14,0)</f>
        <v>0</v>
      </c>
      <c r="BS14">
        <f>MAX(BN14:BR14)</f>
        <v>0</v>
      </c>
      <c r="BT14">
        <f>MAX(BO14:BR14)</f>
        <v>0</v>
      </c>
      <c r="BU14">
        <f>MAX(BP14:BR14)</f>
        <v>0</v>
      </c>
      <c r="BV14">
        <f>IF(ISNUMBER(AB14),INDEX(AllCollegeChicago, MATCH(N14,AllCollegeNCES,0))*BB14,0)</f>
        <v>0</v>
      </c>
      <c r="BW14">
        <f>IF(ISNUMBER(AB14),INDEX(AllCollegeMoneyCode, MATCH(N14,AllCollegeNCES,0)),"?")</f>
        <v>0</v>
      </c>
      <c r="BX14">
        <f>IF(OR(BW14="---",BW14="--",BW14="+/--",BW14="+/---"),1,0)</f>
        <v>0</v>
      </c>
      <c r="BY14">
        <f>BB14*AR14*AT14</f>
        <v>0</v>
      </c>
    </row>
    <row r="15" spans="1:77">
      <c r="A15" t="s">
        <v>96</v>
      </c>
      <c r="B15">
        <v>21702780</v>
      </c>
      <c r="C15" t="s">
        <v>158</v>
      </c>
      <c r="D15" t="s">
        <v>159</v>
      </c>
      <c r="E15" t="s">
        <v>446</v>
      </c>
      <c r="F15" t="s">
        <v>464</v>
      </c>
      <c r="G15" t="s">
        <v>448</v>
      </c>
      <c r="H15" t="s">
        <v>449</v>
      </c>
      <c r="I15" t="s">
        <v>450</v>
      </c>
      <c r="J15" t="s">
        <v>450</v>
      </c>
      <c r="K15">
        <v>0</v>
      </c>
      <c r="L15" t="s">
        <v>446</v>
      </c>
      <c r="M15" t="s">
        <v>446</v>
      </c>
      <c r="N15">
        <v>144759</v>
      </c>
      <c r="O15">
        <f>INDEX(Counselor,MATCH(B15,KidIDs,0))</f>
        <v>0</v>
      </c>
      <c r="P15">
        <f>INDEX(Advisors,MATCH(B15,KidIDs,0))</f>
        <v>0</v>
      </c>
      <c r="Q15">
        <f>INDEX(Cohort,MATCH(B15,KidIDs,0))</f>
        <v>0</v>
      </c>
      <c r="R15">
        <f>INDEX(AllCollegeBarrons,MATCH(N15,AllCollegeNCES,0))</f>
        <v>0</v>
      </c>
      <c r="S15">
        <f>INDEX(KidGPAs,MATCH(B15,KidIDs,0))</f>
        <v>0</v>
      </c>
      <c r="T15">
        <f>INDEX(KidSATs,MATCH(B15,KidIDs,0))</f>
        <v>0</v>
      </c>
      <c r="U15">
        <f>INDEX(Strats,MATCH(B15,KidIDs,0))</f>
        <v>0</v>
      </c>
      <c r="V15">
        <f>INDEX(KidRace,MATCH(B15,KidIDs,0))</f>
        <v>0</v>
      </c>
      <c r="W15">
        <f>IF(OR(V15="M",V15="I"),"H",IF(V15="P","A",V15))</f>
        <v>0</v>
      </c>
      <c r="X15">
        <f>INDEX(StudentTargets,MATCH(B15,KidIDs,0))</f>
        <v>0</v>
      </c>
      <c r="Y15">
        <f>INDEX(ReachStudentTargets,MATCH(B15,KidIDs,0))</f>
        <v>0</v>
      </c>
      <c r="Z15">
        <f>IF(OR(M15="Posse"),1,0)</f>
        <v>0</v>
      </c>
      <c r="AA15">
        <f>IF(ISNUMBER(INDEX(AllCollegeGR, MATCH(N15,AllCollegeNCES,0))),ROUND(INDEX(AllCollegeGR, MATCH(N15,AllCollegeNCES,0))+Z15*IF(INDEX(AllCollegeGR, MATCH(N15,AllCollegeNCES,0))&gt;0.7,(1-INDEX(AllCollegeGR, MATCH(N15,AllCollegeNCES,0)))/2,0.15),2),INDEX(AllCollegeGR, MATCH(N15,AllCollegeNCES,0)))</f>
        <v>0</v>
      </c>
      <c r="AB15">
        <f>IF(ISNUMBER(INDEX(AllCollegeAAHGR, MATCH(N15,AllCollegeNCES,0))),ROUND(INDEX(AllCollegeAAHGR, MATCH(N15,AllCollegeNCES,0))+Z15*IF(INDEX(AllCollegeAAHGR, MATCH(N15,AllCollegeNCES,0))&gt;0.7,(1-INDEX(AllCollegeAAHGR, MATCH(N15,AllCollegeNCES,0)))/2,0.15),2),INDEX(AllCollegeAAHGR, MATCH(N15,AllCollegeNCES,0)))</f>
        <v>0</v>
      </c>
      <c r="AC15">
        <f>IF(OR(W15="H",W15="B"),INDEX(AllCollegeSAT25, MATCH(N15,AllCollegeNCES,0)),INDEX(AllCollegeSAT50, MATCH(N15,AllCollegeNCES,0)))</f>
        <v>0</v>
      </c>
      <c r="AD15">
        <f>INDEX(CustomWeightsGPA,MATCH(W15&amp;":"&amp;N15,CustomWeightsIndex,0))</f>
        <v>0</v>
      </c>
      <c r="AE15">
        <f>INDEX(CustomWeightsSAT,MATCH(W15&amp;":"&amp;N15,CustomWeightsIndex,0))</f>
        <v>0</v>
      </c>
      <c r="AF15">
        <f>INDEX(CustomWeightsIntercept,MATCH(W15&amp;":"&amp;N15,CustomWeightsIndex,0))</f>
        <v>0</v>
      </c>
      <c r="AG15">
        <f>AD15*S15+AE15*T15+AF15</f>
        <v>0</v>
      </c>
      <c r="AH15">
        <f>INDEX(CoefficientsGPA,MATCH(W15&amp;":"&amp;R15,CoefficientsIndex,0))</f>
        <v>0</v>
      </c>
      <c r="AI15">
        <f>INDEX(CoefficientsSAT,MATCH(W15&amp;":"&amp;R15,CoefficientsIndex,0))</f>
        <v>0</v>
      </c>
      <c r="AJ15">
        <f>INDEX(CoefficientsIntercept,MATCH(W15&amp;":"&amp;R15,CoefficientsIndex,0))</f>
        <v>0</v>
      </c>
      <c r="AK15">
        <f>AH15*S15+(T15-AC15)*AI15+AJ15</f>
        <v>0</v>
      </c>
      <c r="AL15">
        <f>IF(ISNUMBER(AG15),AG15,AK15)</f>
        <v>0</v>
      </c>
      <c r="AM15">
        <f>IF(ISNUMBER(AL15),IF(ISNUMBER(AH15),IF(AND(AH15=1,AI15=1,AJ15=1),100,MIN(99,ROUND(100*EXP(AL15)/(1+EXP(AL15)),2))),MIN(99,ROUND(100*EXP(AL15)/(1+EXP(AL15)),2))),IF(ISTEXT(R15),IF(LEFT(R15,1)="2",100,"N/A"),"N/A"))</f>
        <v>0</v>
      </c>
      <c r="AN15">
        <f>IF(ISNUMBER(AM15),IF(AM15&gt;=99,IF(OR(U15=10,U15=11),MatchLabel,SureThingLabel),IF(AM15&gt;=95,SecureLabel,IF(AM15&gt;=80,SafetyLabel,IF(AM15&gt;=50,MatchLabel,IF(AM15&gt;=20,ReachLabel,IF(AM15&gt;=10,LongshotLabel,HailMaryLabel)))))),"Other")</f>
        <v>0</v>
      </c>
      <c r="AO15">
        <f>IF(OR(I15="accepted",I15="cond. accept",I15="summer admit"),IF(J15="yes","CHOICE!","Accepted!"),IF(I15="guar. transfer","Guar. Xfer",IF(I15="denied","Denied",IF(K15=1,"Waitlist",IF(L15=1,"Deferred",IF(G15="pending","Pending",IF(OR(G15="initial materials submitted",G15="mid-year submitted",G15="final submitted"),"Submitted",IF(H15="interest","Interest","?"))))))))</f>
        <v>0</v>
      </c>
      <c r="AP15">
        <f>IF(OR(AN15=ReachLabel,AN15=LongshotLabel,AN15=HailMaryLabel),1,0)</f>
        <v>0</v>
      </c>
      <c r="AQ15">
        <f>IF(OR(AP15=1,AN15=MatchLabel),1,0)</f>
        <v>0</v>
      </c>
      <c r="AR15">
        <f>IF(OR(AN15=MatchLabel,AN15=SafetyLabel,AN15=SecureLabel,AN15=SureThingLabel),1,0)</f>
        <v>0</v>
      </c>
      <c r="AS15">
        <f>IF(OR(W15="H",W15="B",W15="I",W15="M"),IF(ISNUMBER(AB15),ROUND(AB15,2),0),IF(ISNUMBER(AA15),ROUND(AA15,2),0))</f>
        <v>0</v>
      </c>
      <c r="AT15">
        <f>IF(AS15&gt;=X15,1,0)</f>
        <v>0</v>
      </c>
      <c r="AU15">
        <f>IF(AS15&gt;=Y15,1,0)</f>
        <v>0</v>
      </c>
      <c r="AV15">
        <f>IF(AS15&lt;(X15-0.10),1,0)</f>
        <v>0</v>
      </c>
      <c r="AW15">
        <f>1-AM15/100</f>
        <v>0</v>
      </c>
      <c r="AX15">
        <f>IF(AQ15=1,AW15,1)</f>
        <v>0</v>
      </c>
      <c r="AY15">
        <f>IF(AP15=1,AW15,1)</f>
        <v>0</v>
      </c>
      <c r="AZ15">
        <f>IF(AND(AT15=1,ISNUMBER(AW15)),$AW15,1)</f>
        <v>0</v>
      </c>
      <c r="BA15">
        <f>IF(AND(AU15=1,ISNUMBER(AW15)),$AW15,1)</f>
        <v>0</v>
      </c>
      <c r="BB15">
        <f>IF(ISNUMBER(AB15),INDEX(AllCollegeMoney, MATCH(N15,AllCollegeNCES,0)),0)</f>
        <v>0</v>
      </c>
      <c r="BC15">
        <f>IF(AND(AT15=1,ISNUMBER(AW15),BB15=1),$AW15,1)</f>
        <v>0</v>
      </c>
      <c r="BD15">
        <f>IF(AND(AU15=1,ISNUMBER(AW15),BB15=1),$AW15,1)</f>
        <v>0</v>
      </c>
      <c r="BE15">
        <f>IF(ISNUMBER(AB15),INDEX(AllCollegeILPub, MATCH(N15,AllCollegeNCES,0)),0)</f>
        <v>0</v>
      </c>
      <c r="BF15">
        <f>IF(AN15=ReachLabel,AS15,0)</f>
        <v>0</v>
      </c>
      <c r="BG15">
        <f>IF(AN15=MatchLabel,AS15,0)</f>
        <v>0</v>
      </c>
      <c r="BH15">
        <f>IF(AN15=SafetyLabel,AS15,0)</f>
        <v>0</v>
      </c>
      <c r="BI15">
        <f>IF(AN15=SecureLabel,AS15,0)</f>
        <v>0</v>
      </c>
      <c r="BJ15">
        <f>IF(AN15=SureThingLabel,AS15,0)</f>
        <v>0</v>
      </c>
      <c r="BK15">
        <f>MAX(BF15:BJ15)</f>
        <v>0</v>
      </c>
      <c r="BL15">
        <f>MAX(BG15:BJ15)</f>
        <v>0</v>
      </c>
      <c r="BM15">
        <f>MAX(BH15:BJ15)</f>
        <v>0</v>
      </c>
      <c r="BN15">
        <f>IF(AND(AN15=ReachLabel,BB15=1),AS15,0)</f>
        <v>0</v>
      </c>
      <c r="BO15">
        <f>IF(AND(AN15=MatchLabel,BB15=1),AS15,0)</f>
        <v>0</v>
      </c>
      <c r="BP15">
        <f>IF(AND(AN15=SafetyLabel,BB15=1),AS15,0)</f>
        <v>0</v>
      </c>
      <c r="BQ15">
        <f>IF(AND(AN15=SecureLabel,BB15=1),AS15,0)</f>
        <v>0</v>
      </c>
      <c r="BR15">
        <f>IF(AND(AN15=SureThingLabel,BB15=1),AS15,0)</f>
        <v>0</v>
      </c>
      <c r="BS15">
        <f>MAX(BN15:BR15)</f>
        <v>0</v>
      </c>
      <c r="BT15">
        <f>MAX(BO15:BR15)</f>
        <v>0</v>
      </c>
      <c r="BU15">
        <f>MAX(BP15:BR15)</f>
        <v>0</v>
      </c>
      <c r="BV15">
        <f>IF(ISNUMBER(AB15),INDEX(AllCollegeChicago, MATCH(N15,AllCollegeNCES,0))*BB15,0)</f>
        <v>0</v>
      </c>
      <c r="BW15">
        <f>IF(ISNUMBER(AB15),INDEX(AllCollegeMoneyCode, MATCH(N15,AllCollegeNCES,0)),"?")</f>
        <v>0</v>
      </c>
      <c r="BX15">
        <f>IF(OR(BW15="---",BW15="--",BW15="+/--",BW15="+/---"),1,0)</f>
        <v>0</v>
      </c>
      <c r="BY15">
        <f>BB15*AR15*AT15</f>
        <v>0</v>
      </c>
    </row>
    <row r="16" spans="1:77">
      <c r="A16" t="s">
        <v>96</v>
      </c>
      <c r="B16">
        <v>21854734</v>
      </c>
      <c r="C16" t="s">
        <v>327</v>
      </c>
      <c r="D16" t="s">
        <v>328</v>
      </c>
      <c r="E16" t="s">
        <v>446</v>
      </c>
      <c r="F16" t="s">
        <v>465</v>
      </c>
      <c r="G16" t="s">
        <v>448</v>
      </c>
      <c r="H16" t="s">
        <v>449</v>
      </c>
      <c r="I16" t="s">
        <v>450</v>
      </c>
      <c r="J16" t="s">
        <v>450</v>
      </c>
      <c r="K16">
        <v>0</v>
      </c>
      <c r="L16" t="s">
        <v>446</v>
      </c>
      <c r="M16" t="s">
        <v>446</v>
      </c>
      <c r="N16">
        <v>145600</v>
      </c>
      <c r="O16">
        <f>INDEX(Counselor,MATCH(B16,KidIDs,0))</f>
        <v>0</v>
      </c>
      <c r="P16">
        <f>INDEX(Advisors,MATCH(B16,KidIDs,0))</f>
        <v>0</v>
      </c>
      <c r="Q16">
        <f>INDEX(Cohort,MATCH(B16,KidIDs,0))</f>
        <v>0</v>
      </c>
      <c r="R16">
        <f>INDEX(AllCollegeBarrons,MATCH(N16,AllCollegeNCES,0))</f>
        <v>0</v>
      </c>
      <c r="S16">
        <f>INDEX(KidGPAs,MATCH(B16,KidIDs,0))</f>
        <v>0</v>
      </c>
      <c r="T16">
        <f>INDEX(KidSATs,MATCH(B16,KidIDs,0))</f>
        <v>0</v>
      </c>
      <c r="U16">
        <f>INDEX(Strats,MATCH(B16,KidIDs,0))</f>
        <v>0</v>
      </c>
      <c r="V16">
        <f>INDEX(KidRace,MATCH(B16,KidIDs,0))</f>
        <v>0</v>
      </c>
      <c r="W16">
        <f>IF(OR(V16="M",V16="I"),"H",IF(V16="P","A",V16))</f>
        <v>0</v>
      </c>
      <c r="X16">
        <f>INDEX(StudentTargets,MATCH(B16,KidIDs,0))</f>
        <v>0</v>
      </c>
      <c r="Y16">
        <f>INDEX(ReachStudentTargets,MATCH(B16,KidIDs,0))</f>
        <v>0</v>
      </c>
      <c r="Z16">
        <f>IF(OR(M16="Posse"),1,0)</f>
        <v>0</v>
      </c>
      <c r="AA16">
        <f>IF(ISNUMBER(INDEX(AllCollegeGR, MATCH(N16,AllCollegeNCES,0))),ROUND(INDEX(AllCollegeGR, MATCH(N16,AllCollegeNCES,0))+Z16*IF(INDEX(AllCollegeGR, MATCH(N16,AllCollegeNCES,0))&gt;0.7,(1-INDEX(AllCollegeGR, MATCH(N16,AllCollegeNCES,0)))/2,0.15),2),INDEX(AllCollegeGR, MATCH(N16,AllCollegeNCES,0)))</f>
        <v>0</v>
      </c>
      <c r="AB16">
        <f>IF(ISNUMBER(INDEX(AllCollegeAAHGR, MATCH(N16,AllCollegeNCES,0))),ROUND(INDEX(AllCollegeAAHGR, MATCH(N16,AllCollegeNCES,0))+Z16*IF(INDEX(AllCollegeAAHGR, MATCH(N16,AllCollegeNCES,0))&gt;0.7,(1-INDEX(AllCollegeAAHGR, MATCH(N16,AllCollegeNCES,0)))/2,0.15),2),INDEX(AllCollegeAAHGR, MATCH(N16,AllCollegeNCES,0)))</f>
        <v>0</v>
      </c>
      <c r="AC16">
        <f>IF(OR(W16="H",W16="B"),INDEX(AllCollegeSAT25, MATCH(N16,AllCollegeNCES,0)),INDEX(AllCollegeSAT50, MATCH(N16,AllCollegeNCES,0)))</f>
        <v>0</v>
      </c>
      <c r="AD16">
        <f>INDEX(CustomWeightsGPA,MATCH(W16&amp;":"&amp;N16,CustomWeightsIndex,0))</f>
        <v>0</v>
      </c>
      <c r="AE16">
        <f>INDEX(CustomWeightsSAT,MATCH(W16&amp;":"&amp;N16,CustomWeightsIndex,0))</f>
        <v>0</v>
      </c>
      <c r="AF16">
        <f>INDEX(CustomWeightsIntercept,MATCH(W16&amp;":"&amp;N16,CustomWeightsIndex,0))</f>
        <v>0</v>
      </c>
      <c r="AG16">
        <f>AD16*S16+AE16*T16+AF16</f>
        <v>0</v>
      </c>
      <c r="AH16">
        <f>INDEX(CoefficientsGPA,MATCH(W16&amp;":"&amp;R16,CoefficientsIndex,0))</f>
        <v>0</v>
      </c>
      <c r="AI16">
        <f>INDEX(CoefficientsSAT,MATCH(W16&amp;":"&amp;R16,CoefficientsIndex,0))</f>
        <v>0</v>
      </c>
      <c r="AJ16">
        <f>INDEX(CoefficientsIntercept,MATCH(W16&amp;":"&amp;R16,CoefficientsIndex,0))</f>
        <v>0</v>
      </c>
      <c r="AK16">
        <f>AH16*S16+(T16-AC16)*AI16+AJ16</f>
        <v>0</v>
      </c>
      <c r="AL16">
        <f>IF(ISNUMBER(AG16),AG16,AK16)</f>
        <v>0</v>
      </c>
      <c r="AM16">
        <f>IF(ISNUMBER(AL16),IF(ISNUMBER(AH16),IF(AND(AH16=1,AI16=1,AJ16=1),100,MIN(99,ROUND(100*EXP(AL16)/(1+EXP(AL16)),2))),MIN(99,ROUND(100*EXP(AL16)/(1+EXP(AL16)),2))),IF(ISTEXT(R16),IF(LEFT(R16,1)="2",100,"N/A"),"N/A"))</f>
        <v>0</v>
      </c>
      <c r="AN16">
        <f>IF(ISNUMBER(AM16),IF(AM16&gt;=99,IF(OR(U16=10,U16=11),MatchLabel,SureThingLabel),IF(AM16&gt;=95,SecureLabel,IF(AM16&gt;=80,SafetyLabel,IF(AM16&gt;=50,MatchLabel,IF(AM16&gt;=20,ReachLabel,IF(AM16&gt;=10,LongshotLabel,HailMaryLabel)))))),"Other")</f>
        <v>0</v>
      </c>
      <c r="AO16">
        <f>IF(OR(I16="accepted",I16="cond. accept",I16="summer admit"),IF(J16="yes","CHOICE!","Accepted!"),IF(I16="guar. transfer","Guar. Xfer",IF(I16="denied","Denied",IF(K16=1,"Waitlist",IF(L16=1,"Deferred",IF(G16="pending","Pending",IF(OR(G16="initial materials submitted",G16="mid-year submitted",G16="final submitted"),"Submitted",IF(H16="interest","Interest","?"))))))))</f>
        <v>0</v>
      </c>
      <c r="AP16">
        <f>IF(OR(AN16=ReachLabel,AN16=LongshotLabel,AN16=HailMaryLabel),1,0)</f>
        <v>0</v>
      </c>
      <c r="AQ16">
        <f>IF(OR(AP16=1,AN16=MatchLabel),1,0)</f>
        <v>0</v>
      </c>
      <c r="AR16">
        <f>IF(OR(AN16=MatchLabel,AN16=SafetyLabel,AN16=SecureLabel,AN16=SureThingLabel),1,0)</f>
        <v>0</v>
      </c>
      <c r="AS16">
        <f>IF(OR(W16="H",W16="B",W16="I",W16="M"),IF(ISNUMBER(AB16),ROUND(AB16,2),0),IF(ISNUMBER(AA16),ROUND(AA16,2),0))</f>
        <v>0</v>
      </c>
      <c r="AT16">
        <f>IF(AS16&gt;=X16,1,0)</f>
        <v>0</v>
      </c>
      <c r="AU16">
        <f>IF(AS16&gt;=Y16,1,0)</f>
        <v>0</v>
      </c>
      <c r="AV16">
        <f>IF(AS16&lt;(X16-0.10),1,0)</f>
        <v>0</v>
      </c>
      <c r="AW16">
        <f>1-AM16/100</f>
        <v>0</v>
      </c>
      <c r="AX16">
        <f>IF(AQ16=1,AW16,1)</f>
        <v>0</v>
      </c>
      <c r="AY16">
        <f>IF(AP16=1,AW16,1)</f>
        <v>0</v>
      </c>
      <c r="AZ16">
        <f>IF(AND(AT16=1,ISNUMBER(AW16)),$AW16,1)</f>
        <v>0</v>
      </c>
      <c r="BA16">
        <f>IF(AND(AU16=1,ISNUMBER(AW16)),$AW16,1)</f>
        <v>0</v>
      </c>
      <c r="BB16">
        <f>IF(ISNUMBER(AB16),INDEX(AllCollegeMoney, MATCH(N16,AllCollegeNCES,0)),0)</f>
        <v>0</v>
      </c>
      <c r="BC16">
        <f>IF(AND(AT16=1,ISNUMBER(AW16),BB16=1),$AW16,1)</f>
        <v>0</v>
      </c>
      <c r="BD16">
        <f>IF(AND(AU16=1,ISNUMBER(AW16),BB16=1),$AW16,1)</f>
        <v>0</v>
      </c>
      <c r="BE16">
        <f>IF(ISNUMBER(AB16),INDEX(AllCollegeILPub, MATCH(N16,AllCollegeNCES,0)),0)</f>
        <v>0</v>
      </c>
      <c r="BF16">
        <f>IF(AN16=ReachLabel,AS16,0)</f>
        <v>0</v>
      </c>
      <c r="BG16">
        <f>IF(AN16=MatchLabel,AS16,0)</f>
        <v>0</v>
      </c>
      <c r="BH16">
        <f>IF(AN16=SafetyLabel,AS16,0)</f>
        <v>0</v>
      </c>
      <c r="BI16">
        <f>IF(AN16=SecureLabel,AS16,0)</f>
        <v>0</v>
      </c>
      <c r="BJ16">
        <f>IF(AN16=SureThingLabel,AS16,0)</f>
        <v>0</v>
      </c>
      <c r="BK16">
        <f>MAX(BF16:BJ16)</f>
        <v>0</v>
      </c>
      <c r="BL16">
        <f>MAX(BG16:BJ16)</f>
        <v>0</v>
      </c>
      <c r="BM16">
        <f>MAX(BH16:BJ16)</f>
        <v>0</v>
      </c>
      <c r="BN16">
        <f>IF(AND(AN16=ReachLabel,BB16=1),AS16,0)</f>
        <v>0</v>
      </c>
      <c r="BO16">
        <f>IF(AND(AN16=MatchLabel,BB16=1),AS16,0)</f>
        <v>0</v>
      </c>
      <c r="BP16">
        <f>IF(AND(AN16=SafetyLabel,BB16=1),AS16,0)</f>
        <v>0</v>
      </c>
      <c r="BQ16">
        <f>IF(AND(AN16=SecureLabel,BB16=1),AS16,0)</f>
        <v>0</v>
      </c>
      <c r="BR16">
        <f>IF(AND(AN16=SureThingLabel,BB16=1),AS16,0)</f>
        <v>0</v>
      </c>
      <c r="BS16">
        <f>MAX(BN16:BR16)</f>
        <v>0</v>
      </c>
      <c r="BT16">
        <f>MAX(BO16:BR16)</f>
        <v>0</v>
      </c>
      <c r="BU16">
        <f>MAX(BP16:BR16)</f>
        <v>0</v>
      </c>
      <c r="BV16">
        <f>IF(ISNUMBER(AB16),INDEX(AllCollegeChicago, MATCH(N16,AllCollegeNCES,0))*BB16,0)</f>
        <v>0</v>
      </c>
      <c r="BW16">
        <f>IF(ISNUMBER(AB16),INDEX(AllCollegeMoneyCode, MATCH(N16,AllCollegeNCES,0)),"?")</f>
        <v>0</v>
      </c>
      <c r="BX16">
        <f>IF(OR(BW16="---",BW16="--",BW16="+/--",BW16="+/---"),1,0)</f>
        <v>0</v>
      </c>
      <c r="BY16">
        <f>BB16*AR16*AT16</f>
        <v>0</v>
      </c>
    </row>
    <row r="17" spans="1:77">
      <c r="A17" t="s">
        <v>96</v>
      </c>
      <c r="B17">
        <v>21854734</v>
      </c>
      <c r="C17" t="s">
        <v>327</v>
      </c>
      <c r="D17" t="s">
        <v>328</v>
      </c>
      <c r="E17" t="s">
        <v>446</v>
      </c>
      <c r="F17" t="s">
        <v>466</v>
      </c>
      <c r="G17" t="s">
        <v>448</v>
      </c>
      <c r="H17" t="s">
        <v>449</v>
      </c>
      <c r="I17" t="s">
        <v>450</v>
      </c>
      <c r="J17" t="s">
        <v>450</v>
      </c>
      <c r="K17">
        <v>0</v>
      </c>
      <c r="L17" t="s">
        <v>446</v>
      </c>
      <c r="M17" t="s">
        <v>446</v>
      </c>
      <c r="N17">
        <v>100000001</v>
      </c>
      <c r="O17">
        <f>INDEX(Counselor,MATCH(B17,KidIDs,0))</f>
        <v>0</v>
      </c>
      <c r="P17">
        <f>INDEX(Advisors,MATCH(B17,KidIDs,0))</f>
        <v>0</v>
      </c>
      <c r="Q17">
        <f>INDEX(Cohort,MATCH(B17,KidIDs,0))</f>
        <v>0</v>
      </c>
      <c r="R17">
        <f>INDEX(AllCollegeBarrons,MATCH(N17,AllCollegeNCES,0))</f>
        <v>0</v>
      </c>
      <c r="S17">
        <f>INDEX(KidGPAs,MATCH(B17,KidIDs,0))</f>
        <v>0</v>
      </c>
      <c r="T17">
        <f>INDEX(KidSATs,MATCH(B17,KidIDs,0))</f>
        <v>0</v>
      </c>
      <c r="U17">
        <f>INDEX(Strats,MATCH(B17,KidIDs,0))</f>
        <v>0</v>
      </c>
      <c r="V17">
        <f>INDEX(KidRace,MATCH(B17,KidIDs,0))</f>
        <v>0</v>
      </c>
      <c r="W17">
        <f>IF(OR(V17="M",V17="I"),"H",IF(V17="P","A",V17))</f>
        <v>0</v>
      </c>
      <c r="X17">
        <f>INDEX(StudentTargets,MATCH(B17,KidIDs,0))</f>
        <v>0</v>
      </c>
      <c r="Y17">
        <f>INDEX(ReachStudentTargets,MATCH(B17,KidIDs,0))</f>
        <v>0</v>
      </c>
      <c r="Z17">
        <f>IF(OR(M17="Posse"),1,0)</f>
        <v>0</v>
      </c>
      <c r="AA17">
        <f>IF(ISNUMBER(INDEX(AllCollegeGR, MATCH(N17,AllCollegeNCES,0))),ROUND(INDEX(AllCollegeGR, MATCH(N17,AllCollegeNCES,0))+Z17*IF(INDEX(AllCollegeGR, MATCH(N17,AllCollegeNCES,0))&gt;0.7,(1-INDEX(AllCollegeGR, MATCH(N17,AllCollegeNCES,0)))/2,0.15),2),INDEX(AllCollegeGR, MATCH(N17,AllCollegeNCES,0)))</f>
        <v>0</v>
      </c>
      <c r="AB17">
        <f>IF(ISNUMBER(INDEX(AllCollegeAAHGR, MATCH(N17,AllCollegeNCES,0))),ROUND(INDEX(AllCollegeAAHGR, MATCH(N17,AllCollegeNCES,0))+Z17*IF(INDEX(AllCollegeAAHGR, MATCH(N17,AllCollegeNCES,0))&gt;0.7,(1-INDEX(AllCollegeAAHGR, MATCH(N17,AllCollegeNCES,0)))/2,0.15),2),INDEX(AllCollegeAAHGR, MATCH(N17,AllCollegeNCES,0)))</f>
        <v>0</v>
      </c>
      <c r="AC17">
        <f>IF(OR(W17="H",W17="B"),INDEX(AllCollegeSAT25, MATCH(N17,AllCollegeNCES,0)),INDEX(AllCollegeSAT50, MATCH(N17,AllCollegeNCES,0)))</f>
        <v>0</v>
      </c>
      <c r="AD17">
        <f>INDEX(CustomWeightsGPA,MATCH(W17&amp;":"&amp;N17,CustomWeightsIndex,0))</f>
        <v>0</v>
      </c>
      <c r="AE17">
        <f>INDEX(CustomWeightsSAT,MATCH(W17&amp;":"&amp;N17,CustomWeightsIndex,0))</f>
        <v>0</v>
      </c>
      <c r="AF17">
        <f>INDEX(CustomWeightsIntercept,MATCH(W17&amp;":"&amp;N17,CustomWeightsIndex,0))</f>
        <v>0</v>
      </c>
      <c r="AG17">
        <f>AD17*S17+AE17*T17+AF17</f>
        <v>0</v>
      </c>
      <c r="AH17">
        <f>INDEX(CoefficientsGPA,MATCH(W17&amp;":"&amp;R17,CoefficientsIndex,0))</f>
        <v>0</v>
      </c>
      <c r="AI17">
        <f>INDEX(CoefficientsSAT,MATCH(W17&amp;":"&amp;R17,CoefficientsIndex,0))</f>
        <v>0</v>
      </c>
      <c r="AJ17">
        <f>INDEX(CoefficientsIntercept,MATCH(W17&amp;":"&amp;R17,CoefficientsIndex,0))</f>
        <v>0</v>
      </c>
      <c r="AK17">
        <f>AH17*S17+(T17-AC17)*AI17+AJ17</f>
        <v>0</v>
      </c>
      <c r="AL17">
        <f>IF(ISNUMBER(AG17),AG17,AK17)</f>
        <v>0</v>
      </c>
      <c r="AM17">
        <f>IF(ISNUMBER(AL17),IF(ISNUMBER(AH17),IF(AND(AH17=1,AI17=1,AJ17=1),100,MIN(99,ROUND(100*EXP(AL17)/(1+EXP(AL17)),2))),MIN(99,ROUND(100*EXP(AL17)/(1+EXP(AL17)),2))),IF(ISTEXT(R17),IF(LEFT(R17,1)="2",100,"N/A"),"N/A"))</f>
        <v>0</v>
      </c>
      <c r="AN17">
        <f>IF(ISNUMBER(AM17),IF(AM17&gt;=99,IF(OR(U17=10,U17=11),MatchLabel,SureThingLabel),IF(AM17&gt;=95,SecureLabel,IF(AM17&gt;=80,SafetyLabel,IF(AM17&gt;=50,MatchLabel,IF(AM17&gt;=20,ReachLabel,IF(AM17&gt;=10,LongshotLabel,HailMaryLabel)))))),"Other")</f>
        <v>0</v>
      </c>
      <c r="AO17">
        <f>IF(OR(I17="accepted",I17="cond. accept",I17="summer admit"),IF(J17="yes","CHOICE!","Accepted!"),IF(I17="guar. transfer","Guar. Xfer",IF(I17="denied","Denied",IF(K17=1,"Waitlist",IF(L17=1,"Deferred",IF(G17="pending","Pending",IF(OR(G17="initial materials submitted",G17="mid-year submitted",G17="final submitted"),"Submitted",IF(H17="interest","Interest","?"))))))))</f>
        <v>0</v>
      </c>
      <c r="AP17">
        <f>IF(OR(AN17=ReachLabel,AN17=LongshotLabel,AN17=HailMaryLabel),1,0)</f>
        <v>0</v>
      </c>
      <c r="AQ17">
        <f>IF(OR(AP17=1,AN17=MatchLabel),1,0)</f>
        <v>0</v>
      </c>
      <c r="AR17">
        <f>IF(OR(AN17=MatchLabel,AN17=SafetyLabel,AN17=SecureLabel,AN17=SureThingLabel),1,0)</f>
        <v>0</v>
      </c>
      <c r="AS17">
        <f>IF(OR(W17="H",W17="B",W17="I",W17="M"),IF(ISNUMBER(AB17),ROUND(AB17,2),0),IF(ISNUMBER(AA17),ROUND(AA17,2),0))</f>
        <v>0</v>
      </c>
      <c r="AT17">
        <f>IF(AS17&gt;=X17,1,0)</f>
        <v>0</v>
      </c>
      <c r="AU17">
        <f>IF(AS17&gt;=Y17,1,0)</f>
        <v>0</v>
      </c>
      <c r="AV17">
        <f>IF(AS17&lt;(X17-0.10),1,0)</f>
        <v>0</v>
      </c>
      <c r="AW17">
        <f>1-AM17/100</f>
        <v>0</v>
      </c>
      <c r="AX17">
        <f>IF(AQ17=1,AW17,1)</f>
        <v>0</v>
      </c>
      <c r="AY17">
        <f>IF(AP17=1,AW17,1)</f>
        <v>0</v>
      </c>
      <c r="AZ17">
        <f>IF(AND(AT17=1,ISNUMBER(AW17)),$AW17,1)</f>
        <v>0</v>
      </c>
      <c r="BA17">
        <f>IF(AND(AU17=1,ISNUMBER(AW17)),$AW17,1)</f>
        <v>0</v>
      </c>
      <c r="BB17">
        <f>IF(ISNUMBER(AB17),INDEX(AllCollegeMoney, MATCH(N17,AllCollegeNCES,0)),0)</f>
        <v>0</v>
      </c>
      <c r="BC17">
        <f>IF(AND(AT17=1,ISNUMBER(AW17),BB17=1),$AW17,1)</f>
        <v>0</v>
      </c>
      <c r="BD17">
        <f>IF(AND(AU17=1,ISNUMBER(AW17),BB17=1),$AW17,1)</f>
        <v>0</v>
      </c>
      <c r="BE17">
        <f>IF(ISNUMBER(AB17),INDEX(AllCollegeILPub, MATCH(N17,AllCollegeNCES,0)),0)</f>
        <v>0</v>
      </c>
      <c r="BF17">
        <f>IF(AN17=ReachLabel,AS17,0)</f>
        <v>0</v>
      </c>
      <c r="BG17">
        <f>IF(AN17=MatchLabel,AS17,0)</f>
        <v>0</v>
      </c>
      <c r="BH17">
        <f>IF(AN17=SafetyLabel,AS17,0)</f>
        <v>0</v>
      </c>
      <c r="BI17">
        <f>IF(AN17=SecureLabel,AS17,0)</f>
        <v>0</v>
      </c>
      <c r="BJ17">
        <f>IF(AN17=SureThingLabel,AS17,0)</f>
        <v>0</v>
      </c>
      <c r="BK17">
        <f>MAX(BF17:BJ17)</f>
        <v>0</v>
      </c>
      <c r="BL17">
        <f>MAX(BG17:BJ17)</f>
        <v>0</v>
      </c>
      <c r="BM17">
        <f>MAX(BH17:BJ17)</f>
        <v>0</v>
      </c>
      <c r="BN17">
        <f>IF(AND(AN17=ReachLabel,BB17=1),AS17,0)</f>
        <v>0</v>
      </c>
      <c r="BO17">
        <f>IF(AND(AN17=MatchLabel,BB17=1),AS17,0)</f>
        <v>0</v>
      </c>
      <c r="BP17">
        <f>IF(AND(AN17=SafetyLabel,BB17=1),AS17,0)</f>
        <v>0</v>
      </c>
      <c r="BQ17">
        <f>IF(AND(AN17=SecureLabel,BB17=1),AS17,0)</f>
        <v>0</v>
      </c>
      <c r="BR17">
        <f>IF(AND(AN17=SureThingLabel,BB17=1),AS17,0)</f>
        <v>0</v>
      </c>
      <c r="BS17">
        <f>MAX(BN17:BR17)</f>
        <v>0</v>
      </c>
      <c r="BT17">
        <f>MAX(BO17:BR17)</f>
        <v>0</v>
      </c>
      <c r="BU17">
        <f>MAX(BP17:BR17)</f>
        <v>0</v>
      </c>
      <c r="BV17">
        <f>IF(ISNUMBER(AB17),INDEX(AllCollegeChicago, MATCH(N17,AllCollegeNCES,0))*BB17,0)</f>
        <v>0</v>
      </c>
      <c r="BW17">
        <f>IF(ISNUMBER(AB17),INDEX(AllCollegeMoneyCode, MATCH(N17,AllCollegeNCES,0)),"?")</f>
        <v>0</v>
      </c>
      <c r="BX17">
        <f>IF(OR(BW17="---",BW17="--",BW17="+/--",BW17="+/---"),1,0)</f>
        <v>0</v>
      </c>
      <c r="BY17">
        <f>BB17*AR17*AT17</f>
        <v>0</v>
      </c>
    </row>
    <row r="18" spans="1:77">
      <c r="A18" t="s">
        <v>96</v>
      </c>
      <c r="B18">
        <v>21854734</v>
      </c>
      <c r="C18" t="s">
        <v>327</v>
      </c>
      <c r="D18" t="s">
        <v>328</v>
      </c>
      <c r="E18" t="s">
        <v>446</v>
      </c>
      <c r="F18" t="s">
        <v>467</v>
      </c>
      <c r="G18" t="s">
        <v>448</v>
      </c>
      <c r="H18" t="s">
        <v>449</v>
      </c>
      <c r="I18" t="s">
        <v>450</v>
      </c>
      <c r="J18" t="s">
        <v>450</v>
      </c>
      <c r="K18">
        <v>0</v>
      </c>
      <c r="L18" t="s">
        <v>446</v>
      </c>
      <c r="M18" t="s">
        <v>446</v>
      </c>
      <c r="N18">
        <v>147378</v>
      </c>
      <c r="O18">
        <f>INDEX(Counselor,MATCH(B18,KidIDs,0))</f>
        <v>0</v>
      </c>
      <c r="P18">
        <f>INDEX(Advisors,MATCH(B18,KidIDs,0))</f>
        <v>0</v>
      </c>
      <c r="Q18">
        <f>INDEX(Cohort,MATCH(B18,KidIDs,0))</f>
        <v>0</v>
      </c>
      <c r="R18">
        <f>INDEX(AllCollegeBarrons,MATCH(N18,AllCollegeNCES,0))</f>
        <v>0</v>
      </c>
      <c r="S18">
        <f>INDEX(KidGPAs,MATCH(B18,KidIDs,0))</f>
        <v>0</v>
      </c>
      <c r="T18">
        <f>INDEX(KidSATs,MATCH(B18,KidIDs,0))</f>
        <v>0</v>
      </c>
      <c r="U18">
        <f>INDEX(Strats,MATCH(B18,KidIDs,0))</f>
        <v>0</v>
      </c>
      <c r="V18">
        <f>INDEX(KidRace,MATCH(B18,KidIDs,0))</f>
        <v>0</v>
      </c>
      <c r="W18">
        <f>IF(OR(V18="M",V18="I"),"H",IF(V18="P","A",V18))</f>
        <v>0</v>
      </c>
      <c r="X18">
        <f>INDEX(StudentTargets,MATCH(B18,KidIDs,0))</f>
        <v>0</v>
      </c>
      <c r="Y18">
        <f>INDEX(ReachStudentTargets,MATCH(B18,KidIDs,0))</f>
        <v>0</v>
      </c>
      <c r="Z18">
        <f>IF(OR(M18="Posse"),1,0)</f>
        <v>0</v>
      </c>
      <c r="AA18">
        <f>IF(ISNUMBER(INDEX(AllCollegeGR, MATCH(N18,AllCollegeNCES,0))),ROUND(INDEX(AllCollegeGR, MATCH(N18,AllCollegeNCES,0))+Z18*IF(INDEX(AllCollegeGR, MATCH(N18,AllCollegeNCES,0))&gt;0.7,(1-INDEX(AllCollegeGR, MATCH(N18,AllCollegeNCES,0)))/2,0.15),2),INDEX(AllCollegeGR, MATCH(N18,AllCollegeNCES,0)))</f>
        <v>0</v>
      </c>
      <c r="AB18">
        <f>IF(ISNUMBER(INDEX(AllCollegeAAHGR, MATCH(N18,AllCollegeNCES,0))),ROUND(INDEX(AllCollegeAAHGR, MATCH(N18,AllCollegeNCES,0))+Z18*IF(INDEX(AllCollegeAAHGR, MATCH(N18,AllCollegeNCES,0))&gt;0.7,(1-INDEX(AllCollegeAAHGR, MATCH(N18,AllCollegeNCES,0)))/2,0.15),2),INDEX(AllCollegeAAHGR, MATCH(N18,AllCollegeNCES,0)))</f>
        <v>0</v>
      </c>
      <c r="AC18">
        <f>IF(OR(W18="H",W18="B"),INDEX(AllCollegeSAT25, MATCH(N18,AllCollegeNCES,0)),INDEX(AllCollegeSAT50, MATCH(N18,AllCollegeNCES,0)))</f>
        <v>0</v>
      </c>
      <c r="AD18">
        <f>INDEX(CustomWeightsGPA,MATCH(W18&amp;":"&amp;N18,CustomWeightsIndex,0))</f>
        <v>0</v>
      </c>
      <c r="AE18">
        <f>INDEX(CustomWeightsSAT,MATCH(W18&amp;":"&amp;N18,CustomWeightsIndex,0))</f>
        <v>0</v>
      </c>
      <c r="AF18">
        <f>INDEX(CustomWeightsIntercept,MATCH(W18&amp;":"&amp;N18,CustomWeightsIndex,0))</f>
        <v>0</v>
      </c>
      <c r="AG18">
        <f>AD18*S18+AE18*T18+AF18</f>
        <v>0</v>
      </c>
      <c r="AH18">
        <f>INDEX(CoefficientsGPA,MATCH(W18&amp;":"&amp;R18,CoefficientsIndex,0))</f>
        <v>0</v>
      </c>
      <c r="AI18">
        <f>INDEX(CoefficientsSAT,MATCH(W18&amp;":"&amp;R18,CoefficientsIndex,0))</f>
        <v>0</v>
      </c>
      <c r="AJ18">
        <f>INDEX(CoefficientsIntercept,MATCH(W18&amp;":"&amp;R18,CoefficientsIndex,0))</f>
        <v>0</v>
      </c>
      <c r="AK18">
        <f>AH18*S18+(T18-AC18)*AI18+AJ18</f>
        <v>0</v>
      </c>
      <c r="AL18">
        <f>IF(ISNUMBER(AG18),AG18,AK18)</f>
        <v>0</v>
      </c>
      <c r="AM18">
        <f>IF(ISNUMBER(AL18),IF(ISNUMBER(AH18),IF(AND(AH18=1,AI18=1,AJ18=1),100,MIN(99,ROUND(100*EXP(AL18)/(1+EXP(AL18)),2))),MIN(99,ROUND(100*EXP(AL18)/(1+EXP(AL18)),2))),IF(ISTEXT(R18),IF(LEFT(R18,1)="2",100,"N/A"),"N/A"))</f>
        <v>0</v>
      </c>
      <c r="AN18">
        <f>IF(ISNUMBER(AM18),IF(AM18&gt;=99,IF(OR(U18=10,U18=11),MatchLabel,SureThingLabel),IF(AM18&gt;=95,SecureLabel,IF(AM18&gt;=80,SafetyLabel,IF(AM18&gt;=50,MatchLabel,IF(AM18&gt;=20,ReachLabel,IF(AM18&gt;=10,LongshotLabel,HailMaryLabel)))))),"Other")</f>
        <v>0</v>
      </c>
      <c r="AO18">
        <f>IF(OR(I18="accepted",I18="cond. accept",I18="summer admit"),IF(J18="yes","CHOICE!","Accepted!"),IF(I18="guar. transfer","Guar. Xfer",IF(I18="denied","Denied",IF(K18=1,"Waitlist",IF(L18=1,"Deferred",IF(G18="pending","Pending",IF(OR(G18="initial materials submitted",G18="mid-year submitted",G18="final submitted"),"Submitted",IF(H18="interest","Interest","?"))))))))</f>
        <v>0</v>
      </c>
      <c r="AP18">
        <f>IF(OR(AN18=ReachLabel,AN18=LongshotLabel,AN18=HailMaryLabel),1,0)</f>
        <v>0</v>
      </c>
      <c r="AQ18">
        <f>IF(OR(AP18=1,AN18=MatchLabel),1,0)</f>
        <v>0</v>
      </c>
      <c r="AR18">
        <f>IF(OR(AN18=MatchLabel,AN18=SafetyLabel,AN18=SecureLabel,AN18=SureThingLabel),1,0)</f>
        <v>0</v>
      </c>
      <c r="AS18">
        <f>IF(OR(W18="H",W18="B",W18="I",W18="M"),IF(ISNUMBER(AB18),ROUND(AB18,2),0),IF(ISNUMBER(AA18),ROUND(AA18,2),0))</f>
        <v>0</v>
      </c>
      <c r="AT18">
        <f>IF(AS18&gt;=X18,1,0)</f>
        <v>0</v>
      </c>
      <c r="AU18">
        <f>IF(AS18&gt;=Y18,1,0)</f>
        <v>0</v>
      </c>
      <c r="AV18">
        <f>IF(AS18&lt;(X18-0.10),1,0)</f>
        <v>0</v>
      </c>
      <c r="AW18">
        <f>1-AM18/100</f>
        <v>0</v>
      </c>
      <c r="AX18">
        <f>IF(AQ18=1,AW18,1)</f>
        <v>0</v>
      </c>
      <c r="AY18">
        <f>IF(AP18=1,AW18,1)</f>
        <v>0</v>
      </c>
      <c r="AZ18">
        <f>IF(AND(AT18=1,ISNUMBER(AW18)),$AW18,1)</f>
        <v>0</v>
      </c>
      <c r="BA18">
        <f>IF(AND(AU18=1,ISNUMBER(AW18)),$AW18,1)</f>
        <v>0</v>
      </c>
      <c r="BB18">
        <f>IF(ISNUMBER(AB18),INDEX(AllCollegeMoney, MATCH(N18,AllCollegeNCES,0)),0)</f>
        <v>0</v>
      </c>
      <c r="BC18">
        <f>IF(AND(AT18=1,ISNUMBER(AW18),BB18=1),$AW18,1)</f>
        <v>0</v>
      </c>
      <c r="BD18">
        <f>IF(AND(AU18=1,ISNUMBER(AW18),BB18=1),$AW18,1)</f>
        <v>0</v>
      </c>
      <c r="BE18">
        <f>IF(ISNUMBER(AB18),INDEX(AllCollegeILPub, MATCH(N18,AllCollegeNCES,0)),0)</f>
        <v>0</v>
      </c>
      <c r="BF18">
        <f>IF(AN18=ReachLabel,AS18,0)</f>
        <v>0</v>
      </c>
      <c r="BG18">
        <f>IF(AN18=MatchLabel,AS18,0)</f>
        <v>0</v>
      </c>
      <c r="BH18">
        <f>IF(AN18=SafetyLabel,AS18,0)</f>
        <v>0</v>
      </c>
      <c r="BI18">
        <f>IF(AN18=SecureLabel,AS18,0)</f>
        <v>0</v>
      </c>
      <c r="BJ18">
        <f>IF(AN18=SureThingLabel,AS18,0)</f>
        <v>0</v>
      </c>
      <c r="BK18">
        <f>MAX(BF18:BJ18)</f>
        <v>0</v>
      </c>
      <c r="BL18">
        <f>MAX(BG18:BJ18)</f>
        <v>0</v>
      </c>
      <c r="BM18">
        <f>MAX(BH18:BJ18)</f>
        <v>0</v>
      </c>
      <c r="BN18">
        <f>IF(AND(AN18=ReachLabel,BB18=1),AS18,0)</f>
        <v>0</v>
      </c>
      <c r="BO18">
        <f>IF(AND(AN18=MatchLabel,BB18=1),AS18,0)</f>
        <v>0</v>
      </c>
      <c r="BP18">
        <f>IF(AND(AN18=SafetyLabel,BB18=1),AS18,0)</f>
        <v>0</v>
      </c>
      <c r="BQ18">
        <f>IF(AND(AN18=SecureLabel,BB18=1),AS18,0)</f>
        <v>0</v>
      </c>
      <c r="BR18">
        <f>IF(AND(AN18=SureThingLabel,BB18=1),AS18,0)</f>
        <v>0</v>
      </c>
      <c r="BS18">
        <f>MAX(BN18:BR18)</f>
        <v>0</v>
      </c>
      <c r="BT18">
        <f>MAX(BO18:BR18)</f>
        <v>0</v>
      </c>
      <c r="BU18">
        <f>MAX(BP18:BR18)</f>
        <v>0</v>
      </c>
      <c r="BV18">
        <f>IF(ISNUMBER(AB18),INDEX(AllCollegeChicago, MATCH(N18,AllCollegeNCES,0))*BB18,0)</f>
        <v>0</v>
      </c>
      <c r="BW18">
        <f>IF(ISNUMBER(AB18),INDEX(AllCollegeMoneyCode, MATCH(N18,AllCollegeNCES,0)),"?")</f>
        <v>0</v>
      </c>
      <c r="BX18">
        <f>IF(OR(BW18="---",BW18="--",BW18="+/--",BW18="+/---"),1,0)</f>
        <v>0</v>
      </c>
      <c r="BY18">
        <f>BB18*AR18*AT18</f>
        <v>0</v>
      </c>
    </row>
    <row r="19" spans="1:77">
      <c r="A19" t="s">
        <v>96</v>
      </c>
      <c r="B19">
        <v>21854734</v>
      </c>
      <c r="C19" t="s">
        <v>327</v>
      </c>
      <c r="D19" t="s">
        <v>328</v>
      </c>
      <c r="E19" t="s">
        <v>446</v>
      </c>
      <c r="F19" t="s">
        <v>460</v>
      </c>
      <c r="G19" t="s">
        <v>448</v>
      </c>
      <c r="H19" t="s">
        <v>449</v>
      </c>
      <c r="I19" t="s">
        <v>450</v>
      </c>
      <c r="J19" t="s">
        <v>450</v>
      </c>
      <c r="K19">
        <v>0</v>
      </c>
      <c r="L19" t="s">
        <v>446</v>
      </c>
      <c r="M19" t="s">
        <v>446</v>
      </c>
      <c r="N19">
        <v>144209</v>
      </c>
      <c r="O19">
        <f>INDEX(Counselor,MATCH(B19,KidIDs,0))</f>
        <v>0</v>
      </c>
      <c r="P19">
        <f>INDEX(Advisors,MATCH(B19,KidIDs,0))</f>
        <v>0</v>
      </c>
      <c r="Q19">
        <f>INDEX(Cohort,MATCH(B19,KidIDs,0))</f>
        <v>0</v>
      </c>
      <c r="R19">
        <f>INDEX(AllCollegeBarrons,MATCH(N19,AllCollegeNCES,0))</f>
        <v>0</v>
      </c>
      <c r="S19">
        <f>INDEX(KidGPAs,MATCH(B19,KidIDs,0))</f>
        <v>0</v>
      </c>
      <c r="T19">
        <f>INDEX(KidSATs,MATCH(B19,KidIDs,0))</f>
        <v>0</v>
      </c>
      <c r="U19">
        <f>INDEX(Strats,MATCH(B19,KidIDs,0))</f>
        <v>0</v>
      </c>
      <c r="V19">
        <f>INDEX(KidRace,MATCH(B19,KidIDs,0))</f>
        <v>0</v>
      </c>
      <c r="W19">
        <f>IF(OR(V19="M",V19="I"),"H",IF(V19="P","A",V19))</f>
        <v>0</v>
      </c>
      <c r="X19">
        <f>INDEX(StudentTargets,MATCH(B19,KidIDs,0))</f>
        <v>0</v>
      </c>
      <c r="Y19">
        <f>INDEX(ReachStudentTargets,MATCH(B19,KidIDs,0))</f>
        <v>0</v>
      </c>
      <c r="Z19">
        <f>IF(OR(M19="Posse"),1,0)</f>
        <v>0</v>
      </c>
      <c r="AA19">
        <f>IF(ISNUMBER(INDEX(AllCollegeGR, MATCH(N19,AllCollegeNCES,0))),ROUND(INDEX(AllCollegeGR, MATCH(N19,AllCollegeNCES,0))+Z19*IF(INDEX(AllCollegeGR, MATCH(N19,AllCollegeNCES,0))&gt;0.7,(1-INDEX(AllCollegeGR, MATCH(N19,AllCollegeNCES,0)))/2,0.15),2),INDEX(AllCollegeGR, MATCH(N19,AllCollegeNCES,0)))</f>
        <v>0</v>
      </c>
      <c r="AB19">
        <f>IF(ISNUMBER(INDEX(AllCollegeAAHGR, MATCH(N19,AllCollegeNCES,0))),ROUND(INDEX(AllCollegeAAHGR, MATCH(N19,AllCollegeNCES,0))+Z19*IF(INDEX(AllCollegeAAHGR, MATCH(N19,AllCollegeNCES,0))&gt;0.7,(1-INDEX(AllCollegeAAHGR, MATCH(N19,AllCollegeNCES,0)))/2,0.15),2),INDEX(AllCollegeAAHGR, MATCH(N19,AllCollegeNCES,0)))</f>
        <v>0</v>
      </c>
      <c r="AC19">
        <f>IF(OR(W19="H",W19="B"),INDEX(AllCollegeSAT25, MATCH(N19,AllCollegeNCES,0)),INDEX(AllCollegeSAT50, MATCH(N19,AllCollegeNCES,0)))</f>
        <v>0</v>
      </c>
      <c r="AD19">
        <f>INDEX(CustomWeightsGPA,MATCH(W19&amp;":"&amp;N19,CustomWeightsIndex,0))</f>
        <v>0</v>
      </c>
      <c r="AE19">
        <f>INDEX(CustomWeightsSAT,MATCH(W19&amp;":"&amp;N19,CustomWeightsIndex,0))</f>
        <v>0</v>
      </c>
      <c r="AF19">
        <f>INDEX(CustomWeightsIntercept,MATCH(W19&amp;":"&amp;N19,CustomWeightsIndex,0))</f>
        <v>0</v>
      </c>
      <c r="AG19">
        <f>AD19*S19+AE19*T19+AF19</f>
        <v>0</v>
      </c>
      <c r="AH19">
        <f>INDEX(CoefficientsGPA,MATCH(W19&amp;":"&amp;R19,CoefficientsIndex,0))</f>
        <v>0</v>
      </c>
      <c r="AI19">
        <f>INDEX(CoefficientsSAT,MATCH(W19&amp;":"&amp;R19,CoefficientsIndex,0))</f>
        <v>0</v>
      </c>
      <c r="AJ19">
        <f>INDEX(CoefficientsIntercept,MATCH(W19&amp;":"&amp;R19,CoefficientsIndex,0))</f>
        <v>0</v>
      </c>
      <c r="AK19">
        <f>AH19*S19+(T19-AC19)*AI19+AJ19</f>
        <v>0</v>
      </c>
      <c r="AL19">
        <f>IF(ISNUMBER(AG19),AG19,AK19)</f>
        <v>0</v>
      </c>
      <c r="AM19">
        <f>IF(ISNUMBER(AL19),IF(ISNUMBER(AH19),IF(AND(AH19=1,AI19=1,AJ19=1),100,MIN(99,ROUND(100*EXP(AL19)/(1+EXP(AL19)),2))),MIN(99,ROUND(100*EXP(AL19)/(1+EXP(AL19)),2))),IF(ISTEXT(R19),IF(LEFT(R19,1)="2",100,"N/A"),"N/A"))</f>
        <v>0</v>
      </c>
      <c r="AN19">
        <f>IF(ISNUMBER(AM19),IF(AM19&gt;=99,IF(OR(U19=10,U19=11),MatchLabel,SureThingLabel),IF(AM19&gt;=95,SecureLabel,IF(AM19&gt;=80,SafetyLabel,IF(AM19&gt;=50,MatchLabel,IF(AM19&gt;=20,ReachLabel,IF(AM19&gt;=10,LongshotLabel,HailMaryLabel)))))),"Other")</f>
        <v>0</v>
      </c>
      <c r="AO19">
        <f>IF(OR(I19="accepted",I19="cond. accept",I19="summer admit"),IF(J19="yes","CHOICE!","Accepted!"),IF(I19="guar. transfer","Guar. Xfer",IF(I19="denied","Denied",IF(K19=1,"Waitlist",IF(L19=1,"Deferred",IF(G19="pending","Pending",IF(OR(G19="initial materials submitted",G19="mid-year submitted",G19="final submitted"),"Submitted",IF(H19="interest","Interest","?"))))))))</f>
        <v>0</v>
      </c>
      <c r="AP19">
        <f>IF(OR(AN19=ReachLabel,AN19=LongshotLabel,AN19=HailMaryLabel),1,0)</f>
        <v>0</v>
      </c>
      <c r="AQ19">
        <f>IF(OR(AP19=1,AN19=MatchLabel),1,0)</f>
        <v>0</v>
      </c>
      <c r="AR19">
        <f>IF(OR(AN19=MatchLabel,AN19=SafetyLabel,AN19=SecureLabel,AN19=SureThingLabel),1,0)</f>
        <v>0</v>
      </c>
      <c r="AS19">
        <f>IF(OR(W19="H",W19="B",W19="I",W19="M"),IF(ISNUMBER(AB19),ROUND(AB19,2),0),IF(ISNUMBER(AA19),ROUND(AA19,2),0))</f>
        <v>0</v>
      </c>
      <c r="AT19">
        <f>IF(AS19&gt;=X19,1,0)</f>
        <v>0</v>
      </c>
      <c r="AU19">
        <f>IF(AS19&gt;=Y19,1,0)</f>
        <v>0</v>
      </c>
      <c r="AV19">
        <f>IF(AS19&lt;(X19-0.10),1,0)</f>
        <v>0</v>
      </c>
      <c r="AW19">
        <f>1-AM19/100</f>
        <v>0</v>
      </c>
      <c r="AX19">
        <f>IF(AQ19=1,AW19,1)</f>
        <v>0</v>
      </c>
      <c r="AY19">
        <f>IF(AP19=1,AW19,1)</f>
        <v>0</v>
      </c>
      <c r="AZ19">
        <f>IF(AND(AT19=1,ISNUMBER(AW19)),$AW19,1)</f>
        <v>0</v>
      </c>
      <c r="BA19">
        <f>IF(AND(AU19=1,ISNUMBER(AW19)),$AW19,1)</f>
        <v>0</v>
      </c>
      <c r="BB19">
        <f>IF(ISNUMBER(AB19),INDEX(AllCollegeMoney, MATCH(N19,AllCollegeNCES,0)),0)</f>
        <v>0</v>
      </c>
      <c r="BC19">
        <f>IF(AND(AT19=1,ISNUMBER(AW19),BB19=1),$AW19,1)</f>
        <v>0</v>
      </c>
      <c r="BD19">
        <f>IF(AND(AU19=1,ISNUMBER(AW19),BB19=1),$AW19,1)</f>
        <v>0</v>
      </c>
      <c r="BE19">
        <f>IF(ISNUMBER(AB19),INDEX(AllCollegeILPub, MATCH(N19,AllCollegeNCES,0)),0)</f>
        <v>0</v>
      </c>
      <c r="BF19">
        <f>IF(AN19=ReachLabel,AS19,0)</f>
        <v>0</v>
      </c>
      <c r="BG19">
        <f>IF(AN19=MatchLabel,AS19,0)</f>
        <v>0</v>
      </c>
      <c r="BH19">
        <f>IF(AN19=SafetyLabel,AS19,0)</f>
        <v>0</v>
      </c>
      <c r="BI19">
        <f>IF(AN19=SecureLabel,AS19,0)</f>
        <v>0</v>
      </c>
      <c r="BJ19">
        <f>IF(AN19=SureThingLabel,AS19,0)</f>
        <v>0</v>
      </c>
      <c r="BK19">
        <f>MAX(BF19:BJ19)</f>
        <v>0</v>
      </c>
      <c r="BL19">
        <f>MAX(BG19:BJ19)</f>
        <v>0</v>
      </c>
      <c r="BM19">
        <f>MAX(BH19:BJ19)</f>
        <v>0</v>
      </c>
      <c r="BN19">
        <f>IF(AND(AN19=ReachLabel,BB19=1),AS19,0)</f>
        <v>0</v>
      </c>
      <c r="BO19">
        <f>IF(AND(AN19=MatchLabel,BB19=1),AS19,0)</f>
        <v>0</v>
      </c>
      <c r="BP19">
        <f>IF(AND(AN19=SafetyLabel,BB19=1),AS19,0)</f>
        <v>0</v>
      </c>
      <c r="BQ19">
        <f>IF(AND(AN19=SecureLabel,BB19=1),AS19,0)</f>
        <v>0</v>
      </c>
      <c r="BR19">
        <f>IF(AND(AN19=SureThingLabel,BB19=1),AS19,0)</f>
        <v>0</v>
      </c>
      <c r="BS19">
        <f>MAX(BN19:BR19)</f>
        <v>0</v>
      </c>
      <c r="BT19">
        <f>MAX(BO19:BR19)</f>
        <v>0</v>
      </c>
      <c r="BU19">
        <f>MAX(BP19:BR19)</f>
        <v>0</v>
      </c>
      <c r="BV19">
        <f>IF(ISNUMBER(AB19),INDEX(AllCollegeChicago, MATCH(N19,AllCollegeNCES,0))*BB19,0)</f>
        <v>0</v>
      </c>
      <c r="BW19">
        <f>IF(ISNUMBER(AB19),INDEX(AllCollegeMoneyCode, MATCH(N19,AllCollegeNCES,0)),"?")</f>
        <v>0</v>
      </c>
      <c r="BX19">
        <f>IF(OR(BW19="---",BW19="--",BW19="+/--",BW19="+/---"),1,0)</f>
        <v>0</v>
      </c>
      <c r="BY19">
        <f>BB19*AR19*AT19</f>
        <v>0</v>
      </c>
    </row>
    <row r="20" spans="1:77">
      <c r="A20" t="s">
        <v>96</v>
      </c>
      <c r="B20">
        <v>21854734</v>
      </c>
      <c r="C20" t="s">
        <v>327</v>
      </c>
      <c r="D20" t="s">
        <v>328</v>
      </c>
      <c r="E20" t="s">
        <v>446</v>
      </c>
      <c r="F20" t="s">
        <v>461</v>
      </c>
      <c r="G20" t="s">
        <v>448</v>
      </c>
      <c r="H20" t="s">
        <v>449</v>
      </c>
      <c r="I20" t="s">
        <v>450</v>
      </c>
      <c r="J20" t="s">
        <v>450</v>
      </c>
      <c r="K20">
        <v>0</v>
      </c>
      <c r="L20" t="s">
        <v>446</v>
      </c>
      <c r="M20" t="s">
        <v>446</v>
      </c>
      <c r="N20">
        <v>147536</v>
      </c>
      <c r="O20">
        <f>INDEX(Counselor,MATCH(B20,KidIDs,0))</f>
        <v>0</v>
      </c>
      <c r="P20">
        <f>INDEX(Advisors,MATCH(B20,KidIDs,0))</f>
        <v>0</v>
      </c>
      <c r="Q20">
        <f>INDEX(Cohort,MATCH(B20,KidIDs,0))</f>
        <v>0</v>
      </c>
      <c r="R20">
        <f>INDEX(AllCollegeBarrons,MATCH(N20,AllCollegeNCES,0))</f>
        <v>0</v>
      </c>
      <c r="S20">
        <f>INDEX(KidGPAs,MATCH(B20,KidIDs,0))</f>
        <v>0</v>
      </c>
      <c r="T20">
        <f>INDEX(KidSATs,MATCH(B20,KidIDs,0))</f>
        <v>0</v>
      </c>
      <c r="U20">
        <f>INDEX(Strats,MATCH(B20,KidIDs,0))</f>
        <v>0</v>
      </c>
      <c r="V20">
        <f>INDEX(KidRace,MATCH(B20,KidIDs,0))</f>
        <v>0</v>
      </c>
      <c r="W20">
        <f>IF(OR(V20="M",V20="I"),"H",IF(V20="P","A",V20))</f>
        <v>0</v>
      </c>
      <c r="X20">
        <f>INDEX(StudentTargets,MATCH(B20,KidIDs,0))</f>
        <v>0</v>
      </c>
      <c r="Y20">
        <f>INDEX(ReachStudentTargets,MATCH(B20,KidIDs,0))</f>
        <v>0</v>
      </c>
      <c r="Z20">
        <f>IF(OR(M20="Posse"),1,0)</f>
        <v>0</v>
      </c>
      <c r="AA20">
        <f>IF(ISNUMBER(INDEX(AllCollegeGR, MATCH(N20,AllCollegeNCES,0))),ROUND(INDEX(AllCollegeGR, MATCH(N20,AllCollegeNCES,0))+Z20*IF(INDEX(AllCollegeGR, MATCH(N20,AllCollegeNCES,0))&gt;0.7,(1-INDEX(AllCollegeGR, MATCH(N20,AllCollegeNCES,0)))/2,0.15),2),INDEX(AllCollegeGR, MATCH(N20,AllCollegeNCES,0)))</f>
        <v>0</v>
      </c>
      <c r="AB20">
        <f>IF(ISNUMBER(INDEX(AllCollegeAAHGR, MATCH(N20,AllCollegeNCES,0))),ROUND(INDEX(AllCollegeAAHGR, MATCH(N20,AllCollegeNCES,0))+Z20*IF(INDEX(AllCollegeAAHGR, MATCH(N20,AllCollegeNCES,0))&gt;0.7,(1-INDEX(AllCollegeAAHGR, MATCH(N20,AllCollegeNCES,0)))/2,0.15),2),INDEX(AllCollegeAAHGR, MATCH(N20,AllCollegeNCES,0)))</f>
        <v>0</v>
      </c>
      <c r="AC20">
        <f>IF(OR(W20="H",W20="B"),INDEX(AllCollegeSAT25, MATCH(N20,AllCollegeNCES,0)),INDEX(AllCollegeSAT50, MATCH(N20,AllCollegeNCES,0)))</f>
        <v>0</v>
      </c>
      <c r="AD20">
        <f>INDEX(CustomWeightsGPA,MATCH(W20&amp;":"&amp;N20,CustomWeightsIndex,0))</f>
        <v>0</v>
      </c>
      <c r="AE20">
        <f>INDEX(CustomWeightsSAT,MATCH(W20&amp;":"&amp;N20,CustomWeightsIndex,0))</f>
        <v>0</v>
      </c>
      <c r="AF20">
        <f>INDEX(CustomWeightsIntercept,MATCH(W20&amp;":"&amp;N20,CustomWeightsIndex,0))</f>
        <v>0</v>
      </c>
      <c r="AG20">
        <f>AD20*S20+AE20*T20+AF20</f>
        <v>0</v>
      </c>
      <c r="AH20">
        <f>INDEX(CoefficientsGPA,MATCH(W20&amp;":"&amp;R20,CoefficientsIndex,0))</f>
        <v>0</v>
      </c>
      <c r="AI20">
        <f>INDEX(CoefficientsSAT,MATCH(W20&amp;":"&amp;R20,CoefficientsIndex,0))</f>
        <v>0</v>
      </c>
      <c r="AJ20">
        <f>INDEX(CoefficientsIntercept,MATCH(W20&amp;":"&amp;R20,CoefficientsIndex,0))</f>
        <v>0</v>
      </c>
      <c r="AK20">
        <f>AH20*S20+(T20-AC20)*AI20+AJ20</f>
        <v>0</v>
      </c>
      <c r="AL20">
        <f>IF(ISNUMBER(AG20),AG20,AK20)</f>
        <v>0</v>
      </c>
      <c r="AM20">
        <f>IF(ISNUMBER(AL20),IF(ISNUMBER(AH20),IF(AND(AH20=1,AI20=1,AJ20=1),100,MIN(99,ROUND(100*EXP(AL20)/(1+EXP(AL20)),2))),MIN(99,ROUND(100*EXP(AL20)/(1+EXP(AL20)),2))),IF(ISTEXT(R20),IF(LEFT(R20,1)="2",100,"N/A"),"N/A"))</f>
        <v>0</v>
      </c>
      <c r="AN20">
        <f>IF(ISNUMBER(AM20),IF(AM20&gt;=99,IF(OR(U20=10,U20=11),MatchLabel,SureThingLabel),IF(AM20&gt;=95,SecureLabel,IF(AM20&gt;=80,SafetyLabel,IF(AM20&gt;=50,MatchLabel,IF(AM20&gt;=20,ReachLabel,IF(AM20&gt;=10,LongshotLabel,HailMaryLabel)))))),"Other")</f>
        <v>0</v>
      </c>
      <c r="AO20">
        <f>IF(OR(I20="accepted",I20="cond. accept",I20="summer admit"),IF(J20="yes","CHOICE!","Accepted!"),IF(I20="guar. transfer","Guar. Xfer",IF(I20="denied","Denied",IF(K20=1,"Waitlist",IF(L20=1,"Deferred",IF(G20="pending","Pending",IF(OR(G20="initial materials submitted",G20="mid-year submitted",G20="final submitted"),"Submitted",IF(H20="interest","Interest","?"))))))))</f>
        <v>0</v>
      </c>
      <c r="AP20">
        <f>IF(OR(AN20=ReachLabel,AN20=LongshotLabel,AN20=HailMaryLabel),1,0)</f>
        <v>0</v>
      </c>
      <c r="AQ20">
        <f>IF(OR(AP20=1,AN20=MatchLabel),1,0)</f>
        <v>0</v>
      </c>
      <c r="AR20">
        <f>IF(OR(AN20=MatchLabel,AN20=SafetyLabel,AN20=SecureLabel,AN20=SureThingLabel),1,0)</f>
        <v>0</v>
      </c>
      <c r="AS20">
        <f>IF(OR(W20="H",W20="B",W20="I",W20="M"),IF(ISNUMBER(AB20),ROUND(AB20,2),0),IF(ISNUMBER(AA20),ROUND(AA20,2),0))</f>
        <v>0</v>
      </c>
      <c r="AT20">
        <f>IF(AS20&gt;=X20,1,0)</f>
        <v>0</v>
      </c>
      <c r="AU20">
        <f>IF(AS20&gt;=Y20,1,0)</f>
        <v>0</v>
      </c>
      <c r="AV20">
        <f>IF(AS20&lt;(X20-0.10),1,0)</f>
        <v>0</v>
      </c>
      <c r="AW20">
        <f>1-AM20/100</f>
        <v>0</v>
      </c>
      <c r="AX20">
        <f>IF(AQ20=1,AW20,1)</f>
        <v>0</v>
      </c>
      <c r="AY20">
        <f>IF(AP20=1,AW20,1)</f>
        <v>0</v>
      </c>
      <c r="AZ20">
        <f>IF(AND(AT20=1,ISNUMBER(AW20)),$AW20,1)</f>
        <v>0</v>
      </c>
      <c r="BA20">
        <f>IF(AND(AU20=1,ISNUMBER(AW20)),$AW20,1)</f>
        <v>0</v>
      </c>
      <c r="BB20">
        <f>IF(ISNUMBER(AB20),INDEX(AllCollegeMoney, MATCH(N20,AllCollegeNCES,0)),0)</f>
        <v>0</v>
      </c>
      <c r="BC20">
        <f>IF(AND(AT20=1,ISNUMBER(AW20),BB20=1),$AW20,1)</f>
        <v>0</v>
      </c>
      <c r="BD20">
        <f>IF(AND(AU20=1,ISNUMBER(AW20),BB20=1),$AW20,1)</f>
        <v>0</v>
      </c>
      <c r="BE20">
        <f>IF(ISNUMBER(AB20),INDEX(AllCollegeILPub, MATCH(N20,AllCollegeNCES,0)),0)</f>
        <v>0</v>
      </c>
      <c r="BF20">
        <f>IF(AN20=ReachLabel,AS20,0)</f>
        <v>0</v>
      </c>
      <c r="BG20">
        <f>IF(AN20=MatchLabel,AS20,0)</f>
        <v>0</v>
      </c>
      <c r="BH20">
        <f>IF(AN20=SafetyLabel,AS20,0)</f>
        <v>0</v>
      </c>
      <c r="BI20">
        <f>IF(AN20=SecureLabel,AS20,0)</f>
        <v>0</v>
      </c>
      <c r="BJ20">
        <f>IF(AN20=SureThingLabel,AS20,0)</f>
        <v>0</v>
      </c>
      <c r="BK20">
        <f>MAX(BF20:BJ20)</f>
        <v>0</v>
      </c>
      <c r="BL20">
        <f>MAX(BG20:BJ20)</f>
        <v>0</v>
      </c>
      <c r="BM20">
        <f>MAX(BH20:BJ20)</f>
        <v>0</v>
      </c>
      <c r="BN20">
        <f>IF(AND(AN20=ReachLabel,BB20=1),AS20,0)</f>
        <v>0</v>
      </c>
      <c r="BO20">
        <f>IF(AND(AN20=MatchLabel,BB20=1),AS20,0)</f>
        <v>0</v>
      </c>
      <c r="BP20">
        <f>IF(AND(AN20=SafetyLabel,BB20=1),AS20,0)</f>
        <v>0</v>
      </c>
      <c r="BQ20">
        <f>IF(AND(AN20=SecureLabel,BB20=1),AS20,0)</f>
        <v>0</v>
      </c>
      <c r="BR20">
        <f>IF(AND(AN20=SureThingLabel,BB20=1),AS20,0)</f>
        <v>0</v>
      </c>
      <c r="BS20">
        <f>MAX(BN20:BR20)</f>
        <v>0</v>
      </c>
      <c r="BT20">
        <f>MAX(BO20:BR20)</f>
        <v>0</v>
      </c>
      <c r="BU20">
        <f>MAX(BP20:BR20)</f>
        <v>0</v>
      </c>
      <c r="BV20">
        <f>IF(ISNUMBER(AB20),INDEX(AllCollegeChicago, MATCH(N20,AllCollegeNCES,0))*BB20,0)</f>
        <v>0</v>
      </c>
      <c r="BW20">
        <f>IF(ISNUMBER(AB20),INDEX(AllCollegeMoneyCode, MATCH(N20,AllCollegeNCES,0)),"?")</f>
        <v>0</v>
      </c>
      <c r="BX20">
        <f>IF(OR(BW20="---",BW20="--",BW20="+/--",BW20="+/---"),1,0)</f>
        <v>0</v>
      </c>
      <c r="BY20">
        <f>BB20*AR20*AT20</f>
        <v>0</v>
      </c>
    </row>
    <row r="21" spans="1:77">
      <c r="A21" t="s">
        <v>96</v>
      </c>
      <c r="B21">
        <v>21854734</v>
      </c>
      <c r="C21" t="s">
        <v>327</v>
      </c>
      <c r="D21" t="s">
        <v>328</v>
      </c>
      <c r="E21" t="s">
        <v>446</v>
      </c>
      <c r="F21" t="s">
        <v>463</v>
      </c>
      <c r="G21" t="s">
        <v>448</v>
      </c>
      <c r="H21" t="s">
        <v>449</v>
      </c>
      <c r="I21" t="s">
        <v>450</v>
      </c>
      <c r="J21" t="s">
        <v>450</v>
      </c>
      <c r="K21">
        <v>0</v>
      </c>
      <c r="L21" t="s">
        <v>446</v>
      </c>
      <c r="M21" t="s">
        <v>446</v>
      </c>
      <c r="N21">
        <v>147776</v>
      </c>
      <c r="O21">
        <f>INDEX(Counselor,MATCH(B21,KidIDs,0))</f>
        <v>0</v>
      </c>
      <c r="P21">
        <f>INDEX(Advisors,MATCH(B21,KidIDs,0))</f>
        <v>0</v>
      </c>
      <c r="Q21">
        <f>INDEX(Cohort,MATCH(B21,KidIDs,0))</f>
        <v>0</v>
      </c>
      <c r="R21">
        <f>INDEX(AllCollegeBarrons,MATCH(N21,AllCollegeNCES,0))</f>
        <v>0</v>
      </c>
      <c r="S21">
        <f>INDEX(KidGPAs,MATCH(B21,KidIDs,0))</f>
        <v>0</v>
      </c>
      <c r="T21">
        <f>INDEX(KidSATs,MATCH(B21,KidIDs,0))</f>
        <v>0</v>
      </c>
      <c r="U21">
        <f>INDEX(Strats,MATCH(B21,KidIDs,0))</f>
        <v>0</v>
      </c>
      <c r="V21">
        <f>INDEX(KidRace,MATCH(B21,KidIDs,0))</f>
        <v>0</v>
      </c>
      <c r="W21">
        <f>IF(OR(V21="M",V21="I"),"H",IF(V21="P","A",V21))</f>
        <v>0</v>
      </c>
      <c r="X21">
        <f>INDEX(StudentTargets,MATCH(B21,KidIDs,0))</f>
        <v>0</v>
      </c>
      <c r="Y21">
        <f>INDEX(ReachStudentTargets,MATCH(B21,KidIDs,0))</f>
        <v>0</v>
      </c>
      <c r="Z21">
        <f>IF(OR(M21="Posse"),1,0)</f>
        <v>0</v>
      </c>
      <c r="AA21">
        <f>IF(ISNUMBER(INDEX(AllCollegeGR, MATCH(N21,AllCollegeNCES,0))),ROUND(INDEX(AllCollegeGR, MATCH(N21,AllCollegeNCES,0))+Z21*IF(INDEX(AllCollegeGR, MATCH(N21,AllCollegeNCES,0))&gt;0.7,(1-INDEX(AllCollegeGR, MATCH(N21,AllCollegeNCES,0)))/2,0.15),2),INDEX(AllCollegeGR, MATCH(N21,AllCollegeNCES,0)))</f>
        <v>0</v>
      </c>
      <c r="AB21">
        <f>IF(ISNUMBER(INDEX(AllCollegeAAHGR, MATCH(N21,AllCollegeNCES,0))),ROUND(INDEX(AllCollegeAAHGR, MATCH(N21,AllCollegeNCES,0))+Z21*IF(INDEX(AllCollegeAAHGR, MATCH(N21,AllCollegeNCES,0))&gt;0.7,(1-INDEX(AllCollegeAAHGR, MATCH(N21,AllCollegeNCES,0)))/2,0.15),2),INDEX(AllCollegeAAHGR, MATCH(N21,AllCollegeNCES,0)))</f>
        <v>0</v>
      </c>
      <c r="AC21">
        <f>IF(OR(W21="H",W21="B"),INDEX(AllCollegeSAT25, MATCH(N21,AllCollegeNCES,0)),INDEX(AllCollegeSAT50, MATCH(N21,AllCollegeNCES,0)))</f>
        <v>0</v>
      </c>
      <c r="AD21">
        <f>INDEX(CustomWeightsGPA,MATCH(W21&amp;":"&amp;N21,CustomWeightsIndex,0))</f>
        <v>0</v>
      </c>
      <c r="AE21">
        <f>INDEX(CustomWeightsSAT,MATCH(W21&amp;":"&amp;N21,CustomWeightsIndex,0))</f>
        <v>0</v>
      </c>
      <c r="AF21">
        <f>INDEX(CustomWeightsIntercept,MATCH(W21&amp;":"&amp;N21,CustomWeightsIndex,0))</f>
        <v>0</v>
      </c>
      <c r="AG21">
        <f>AD21*S21+AE21*T21+AF21</f>
        <v>0</v>
      </c>
      <c r="AH21">
        <f>INDEX(CoefficientsGPA,MATCH(W21&amp;":"&amp;R21,CoefficientsIndex,0))</f>
        <v>0</v>
      </c>
      <c r="AI21">
        <f>INDEX(CoefficientsSAT,MATCH(W21&amp;":"&amp;R21,CoefficientsIndex,0))</f>
        <v>0</v>
      </c>
      <c r="AJ21">
        <f>INDEX(CoefficientsIntercept,MATCH(W21&amp;":"&amp;R21,CoefficientsIndex,0))</f>
        <v>0</v>
      </c>
      <c r="AK21">
        <f>AH21*S21+(T21-AC21)*AI21+AJ21</f>
        <v>0</v>
      </c>
      <c r="AL21">
        <f>IF(ISNUMBER(AG21),AG21,AK21)</f>
        <v>0</v>
      </c>
      <c r="AM21">
        <f>IF(ISNUMBER(AL21),IF(ISNUMBER(AH21),IF(AND(AH21=1,AI21=1,AJ21=1),100,MIN(99,ROUND(100*EXP(AL21)/(1+EXP(AL21)),2))),MIN(99,ROUND(100*EXP(AL21)/(1+EXP(AL21)),2))),IF(ISTEXT(R21),IF(LEFT(R21,1)="2",100,"N/A"),"N/A"))</f>
        <v>0</v>
      </c>
      <c r="AN21">
        <f>IF(ISNUMBER(AM21),IF(AM21&gt;=99,IF(OR(U21=10,U21=11),MatchLabel,SureThingLabel),IF(AM21&gt;=95,SecureLabel,IF(AM21&gt;=80,SafetyLabel,IF(AM21&gt;=50,MatchLabel,IF(AM21&gt;=20,ReachLabel,IF(AM21&gt;=10,LongshotLabel,HailMaryLabel)))))),"Other")</f>
        <v>0</v>
      </c>
      <c r="AO21">
        <f>IF(OR(I21="accepted",I21="cond. accept",I21="summer admit"),IF(J21="yes","CHOICE!","Accepted!"),IF(I21="guar. transfer","Guar. Xfer",IF(I21="denied","Denied",IF(K21=1,"Waitlist",IF(L21=1,"Deferred",IF(G21="pending","Pending",IF(OR(G21="initial materials submitted",G21="mid-year submitted",G21="final submitted"),"Submitted",IF(H21="interest","Interest","?"))))))))</f>
        <v>0</v>
      </c>
      <c r="AP21">
        <f>IF(OR(AN21=ReachLabel,AN21=LongshotLabel,AN21=HailMaryLabel),1,0)</f>
        <v>0</v>
      </c>
      <c r="AQ21">
        <f>IF(OR(AP21=1,AN21=MatchLabel),1,0)</f>
        <v>0</v>
      </c>
      <c r="AR21">
        <f>IF(OR(AN21=MatchLabel,AN21=SafetyLabel,AN21=SecureLabel,AN21=SureThingLabel),1,0)</f>
        <v>0</v>
      </c>
      <c r="AS21">
        <f>IF(OR(W21="H",W21="B",W21="I",W21="M"),IF(ISNUMBER(AB21),ROUND(AB21,2),0),IF(ISNUMBER(AA21),ROUND(AA21,2),0))</f>
        <v>0</v>
      </c>
      <c r="AT21">
        <f>IF(AS21&gt;=X21,1,0)</f>
        <v>0</v>
      </c>
      <c r="AU21">
        <f>IF(AS21&gt;=Y21,1,0)</f>
        <v>0</v>
      </c>
      <c r="AV21">
        <f>IF(AS21&lt;(X21-0.10),1,0)</f>
        <v>0</v>
      </c>
      <c r="AW21">
        <f>1-AM21/100</f>
        <v>0</v>
      </c>
      <c r="AX21">
        <f>IF(AQ21=1,AW21,1)</f>
        <v>0</v>
      </c>
      <c r="AY21">
        <f>IF(AP21=1,AW21,1)</f>
        <v>0</v>
      </c>
      <c r="AZ21">
        <f>IF(AND(AT21=1,ISNUMBER(AW21)),$AW21,1)</f>
        <v>0</v>
      </c>
      <c r="BA21">
        <f>IF(AND(AU21=1,ISNUMBER(AW21)),$AW21,1)</f>
        <v>0</v>
      </c>
      <c r="BB21">
        <f>IF(ISNUMBER(AB21),INDEX(AllCollegeMoney, MATCH(N21,AllCollegeNCES,0)),0)</f>
        <v>0</v>
      </c>
      <c r="BC21">
        <f>IF(AND(AT21=1,ISNUMBER(AW21),BB21=1),$AW21,1)</f>
        <v>0</v>
      </c>
      <c r="BD21">
        <f>IF(AND(AU21=1,ISNUMBER(AW21),BB21=1),$AW21,1)</f>
        <v>0</v>
      </c>
      <c r="BE21">
        <f>IF(ISNUMBER(AB21),INDEX(AllCollegeILPub, MATCH(N21,AllCollegeNCES,0)),0)</f>
        <v>0</v>
      </c>
      <c r="BF21">
        <f>IF(AN21=ReachLabel,AS21,0)</f>
        <v>0</v>
      </c>
      <c r="BG21">
        <f>IF(AN21=MatchLabel,AS21,0)</f>
        <v>0</v>
      </c>
      <c r="BH21">
        <f>IF(AN21=SafetyLabel,AS21,0)</f>
        <v>0</v>
      </c>
      <c r="BI21">
        <f>IF(AN21=SecureLabel,AS21,0)</f>
        <v>0</v>
      </c>
      <c r="BJ21">
        <f>IF(AN21=SureThingLabel,AS21,0)</f>
        <v>0</v>
      </c>
      <c r="BK21">
        <f>MAX(BF21:BJ21)</f>
        <v>0</v>
      </c>
      <c r="BL21">
        <f>MAX(BG21:BJ21)</f>
        <v>0</v>
      </c>
      <c r="BM21">
        <f>MAX(BH21:BJ21)</f>
        <v>0</v>
      </c>
      <c r="BN21">
        <f>IF(AND(AN21=ReachLabel,BB21=1),AS21,0)</f>
        <v>0</v>
      </c>
      <c r="BO21">
        <f>IF(AND(AN21=MatchLabel,BB21=1),AS21,0)</f>
        <v>0</v>
      </c>
      <c r="BP21">
        <f>IF(AND(AN21=SafetyLabel,BB21=1),AS21,0)</f>
        <v>0</v>
      </c>
      <c r="BQ21">
        <f>IF(AND(AN21=SecureLabel,BB21=1),AS21,0)</f>
        <v>0</v>
      </c>
      <c r="BR21">
        <f>IF(AND(AN21=SureThingLabel,BB21=1),AS21,0)</f>
        <v>0</v>
      </c>
      <c r="BS21">
        <f>MAX(BN21:BR21)</f>
        <v>0</v>
      </c>
      <c r="BT21">
        <f>MAX(BO21:BR21)</f>
        <v>0</v>
      </c>
      <c r="BU21">
        <f>MAX(BP21:BR21)</f>
        <v>0</v>
      </c>
      <c r="BV21">
        <f>IF(ISNUMBER(AB21),INDEX(AllCollegeChicago, MATCH(N21,AllCollegeNCES,0))*BB21,0)</f>
        <v>0</v>
      </c>
      <c r="BW21">
        <f>IF(ISNUMBER(AB21),INDEX(AllCollegeMoneyCode, MATCH(N21,AllCollegeNCES,0)),"?")</f>
        <v>0</v>
      </c>
      <c r="BX21">
        <f>IF(OR(BW21="---",BW21="--",BW21="+/--",BW21="+/---"),1,0)</f>
        <v>0</v>
      </c>
      <c r="BY21">
        <f>BB21*AR21*AT21</f>
        <v>0</v>
      </c>
    </row>
    <row r="22" spans="1:77">
      <c r="A22" t="s">
        <v>96</v>
      </c>
      <c r="B22">
        <v>21854734</v>
      </c>
      <c r="C22" t="s">
        <v>327</v>
      </c>
      <c r="D22" t="s">
        <v>328</v>
      </c>
      <c r="E22" t="s">
        <v>446</v>
      </c>
      <c r="F22" t="s">
        <v>468</v>
      </c>
      <c r="G22" t="s">
        <v>448</v>
      </c>
      <c r="H22" t="s">
        <v>449</v>
      </c>
      <c r="I22" t="s">
        <v>450</v>
      </c>
      <c r="J22" t="s">
        <v>450</v>
      </c>
      <c r="K22">
        <v>0</v>
      </c>
      <c r="L22" t="s">
        <v>446</v>
      </c>
      <c r="M22" t="s">
        <v>454</v>
      </c>
      <c r="N22">
        <v>154493</v>
      </c>
      <c r="O22">
        <f>INDEX(Counselor,MATCH(B22,KidIDs,0))</f>
        <v>0</v>
      </c>
      <c r="P22">
        <f>INDEX(Advisors,MATCH(B22,KidIDs,0))</f>
        <v>0</v>
      </c>
      <c r="Q22">
        <f>INDEX(Cohort,MATCH(B22,KidIDs,0))</f>
        <v>0</v>
      </c>
      <c r="R22">
        <f>INDEX(AllCollegeBarrons,MATCH(N22,AllCollegeNCES,0))</f>
        <v>0</v>
      </c>
      <c r="S22">
        <f>INDEX(KidGPAs,MATCH(B22,KidIDs,0))</f>
        <v>0</v>
      </c>
      <c r="T22">
        <f>INDEX(KidSATs,MATCH(B22,KidIDs,0))</f>
        <v>0</v>
      </c>
      <c r="U22">
        <f>INDEX(Strats,MATCH(B22,KidIDs,0))</f>
        <v>0</v>
      </c>
      <c r="V22">
        <f>INDEX(KidRace,MATCH(B22,KidIDs,0))</f>
        <v>0</v>
      </c>
      <c r="W22">
        <f>IF(OR(V22="M",V22="I"),"H",IF(V22="P","A",V22))</f>
        <v>0</v>
      </c>
      <c r="X22">
        <f>INDEX(StudentTargets,MATCH(B22,KidIDs,0))</f>
        <v>0</v>
      </c>
      <c r="Y22">
        <f>INDEX(ReachStudentTargets,MATCH(B22,KidIDs,0))</f>
        <v>0</v>
      </c>
      <c r="Z22">
        <f>IF(OR(M22="Posse"),1,0)</f>
        <v>0</v>
      </c>
      <c r="AA22">
        <f>IF(ISNUMBER(INDEX(AllCollegeGR, MATCH(N22,AllCollegeNCES,0))),ROUND(INDEX(AllCollegeGR, MATCH(N22,AllCollegeNCES,0))+Z22*IF(INDEX(AllCollegeGR, MATCH(N22,AllCollegeNCES,0))&gt;0.7,(1-INDEX(AllCollegeGR, MATCH(N22,AllCollegeNCES,0)))/2,0.15),2),INDEX(AllCollegeGR, MATCH(N22,AllCollegeNCES,0)))</f>
        <v>0</v>
      </c>
      <c r="AB22">
        <f>IF(ISNUMBER(INDEX(AllCollegeAAHGR, MATCH(N22,AllCollegeNCES,0))),ROUND(INDEX(AllCollegeAAHGR, MATCH(N22,AllCollegeNCES,0))+Z22*IF(INDEX(AllCollegeAAHGR, MATCH(N22,AllCollegeNCES,0))&gt;0.7,(1-INDEX(AllCollegeAAHGR, MATCH(N22,AllCollegeNCES,0)))/2,0.15),2),INDEX(AllCollegeAAHGR, MATCH(N22,AllCollegeNCES,0)))</f>
        <v>0</v>
      </c>
      <c r="AC22">
        <f>IF(OR(W22="H",W22="B"),INDEX(AllCollegeSAT25, MATCH(N22,AllCollegeNCES,0)),INDEX(AllCollegeSAT50, MATCH(N22,AllCollegeNCES,0)))</f>
        <v>0</v>
      </c>
      <c r="AD22">
        <f>INDEX(CustomWeightsGPA,MATCH(W22&amp;":"&amp;N22,CustomWeightsIndex,0))</f>
        <v>0</v>
      </c>
      <c r="AE22">
        <f>INDEX(CustomWeightsSAT,MATCH(W22&amp;":"&amp;N22,CustomWeightsIndex,0))</f>
        <v>0</v>
      </c>
      <c r="AF22">
        <f>INDEX(CustomWeightsIntercept,MATCH(W22&amp;":"&amp;N22,CustomWeightsIndex,0))</f>
        <v>0</v>
      </c>
      <c r="AG22">
        <f>AD22*S22+AE22*T22+AF22</f>
        <v>0</v>
      </c>
      <c r="AH22">
        <f>INDEX(CoefficientsGPA,MATCH(W22&amp;":"&amp;R22,CoefficientsIndex,0))</f>
        <v>0</v>
      </c>
      <c r="AI22">
        <f>INDEX(CoefficientsSAT,MATCH(W22&amp;":"&amp;R22,CoefficientsIndex,0))</f>
        <v>0</v>
      </c>
      <c r="AJ22">
        <f>INDEX(CoefficientsIntercept,MATCH(W22&amp;":"&amp;R22,CoefficientsIndex,0))</f>
        <v>0</v>
      </c>
      <c r="AK22">
        <f>AH22*S22+(T22-AC22)*AI22+AJ22</f>
        <v>0</v>
      </c>
      <c r="AL22">
        <f>IF(ISNUMBER(AG22),AG22,AK22)</f>
        <v>0</v>
      </c>
      <c r="AM22">
        <f>IF(ISNUMBER(AL22),IF(ISNUMBER(AH22),IF(AND(AH22=1,AI22=1,AJ22=1),100,MIN(99,ROUND(100*EXP(AL22)/(1+EXP(AL22)),2))),MIN(99,ROUND(100*EXP(AL22)/(1+EXP(AL22)),2))),IF(ISTEXT(R22),IF(LEFT(R22,1)="2",100,"N/A"),"N/A"))</f>
        <v>0</v>
      </c>
      <c r="AN22">
        <f>IF(ISNUMBER(AM22),IF(AM22&gt;=99,IF(OR(U22=10,U22=11),MatchLabel,SureThingLabel),IF(AM22&gt;=95,SecureLabel,IF(AM22&gt;=80,SafetyLabel,IF(AM22&gt;=50,MatchLabel,IF(AM22&gt;=20,ReachLabel,IF(AM22&gt;=10,LongshotLabel,HailMaryLabel)))))),"Other")</f>
        <v>0</v>
      </c>
      <c r="AO22">
        <f>IF(OR(I22="accepted",I22="cond. accept",I22="summer admit"),IF(J22="yes","CHOICE!","Accepted!"),IF(I22="guar. transfer","Guar. Xfer",IF(I22="denied","Denied",IF(K22=1,"Waitlist",IF(L22=1,"Deferred",IF(G22="pending","Pending",IF(OR(G22="initial materials submitted",G22="mid-year submitted",G22="final submitted"),"Submitted",IF(H22="interest","Interest","?"))))))))</f>
        <v>0</v>
      </c>
      <c r="AP22">
        <f>IF(OR(AN22=ReachLabel,AN22=LongshotLabel,AN22=HailMaryLabel),1,0)</f>
        <v>0</v>
      </c>
      <c r="AQ22">
        <f>IF(OR(AP22=1,AN22=MatchLabel),1,0)</f>
        <v>0</v>
      </c>
      <c r="AR22">
        <f>IF(OR(AN22=MatchLabel,AN22=SafetyLabel,AN22=SecureLabel,AN22=SureThingLabel),1,0)</f>
        <v>0</v>
      </c>
      <c r="AS22">
        <f>IF(OR(W22="H",W22="B",W22="I",W22="M"),IF(ISNUMBER(AB22),ROUND(AB22,2),0),IF(ISNUMBER(AA22),ROUND(AA22,2),0))</f>
        <v>0</v>
      </c>
      <c r="AT22">
        <f>IF(AS22&gt;=X22,1,0)</f>
        <v>0</v>
      </c>
      <c r="AU22">
        <f>IF(AS22&gt;=Y22,1,0)</f>
        <v>0</v>
      </c>
      <c r="AV22">
        <f>IF(AS22&lt;(X22-0.10),1,0)</f>
        <v>0</v>
      </c>
      <c r="AW22">
        <f>1-AM22/100</f>
        <v>0</v>
      </c>
      <c r="AX22">
        <f>IF(AQ22=1,AW22,1)</f>
        <v>0</v>
      </c>
      <c r="AY22">
        <f>IF(AP22=1,AW22,1)</f>
        <v>0</v>
      </c>
      <c r="AZ22">
        <f>IF(AND(AT22=1,ISNUMBER(AW22)),$AW22,1)</f>
        <v>0</v>
      </c>
      <c r="BA22">
        <f>IF(AND(AU22=1,ISNUMBER(AW22)),$AW22,1)</f>
        <v>0</v>
      </c>
      <c r="BB22">
        <f>IF(ISNUMBER(AB22),INDEX(AllCollegeMoney, MATCH(N22,AllCollegeNCES,0)),0)</f>
        <v>0</v>
      </c>
      <c r="BC22">
        <f>IF(AND(AT22=1,ISNUMBER(AW22),BB22=1),$AW22,1)</f>
        <v>0</v>
      </c>
      <c r="BD22">
        <f>IF(AND(AU22=1,ISNUMBER(AW22),BB22=1),$AW22,1)</f>
        <v>0</v>
      </c>
      <c r="BE22">
        <f>IF(ISNUMBER(AB22),INDEX(AllCollegeILPub, MATCH(N22,AllCollegeNCES,0)),0)</f>
        <v>0</v>
      </c>
      <c r="BF22">
        <f>IF(AN22=ReachLabel,AS22,0)</f>
        <v>0</v>
      </c>
      <c r="BG22">
        <f>IF(AN22=MatchLabel,AS22,0)</f>
        <v>0</v>
      </c>
      <c r="BH22">
        <f>IF(AN22=SafetyLabel,AS22,0)</f>
        <v>0</v>
      </c>
      <c r="BI22">
        <f>IF(AN22=SecureLabel,AS22,0)</f>
        <v>0</v>
      </c>
      <c r="BJ22">
        <f>IF(AN22=SureThingLabel,AS22,0)</f>
        <v>0</v>
      </c>
      <c r="BK22">
        <f>MAX(BF22:BJ22)</f>
        <v>0</v>
      </c>
      <c r="BL22">
        <f>MAX(BG22:BJ22)</f>
        <v>0</v>
      </c>
      <c r="BM22">
        <f>MAX(BH22:BJ22)</f>
        <v>0</v>
      </c>
      <c r="BN22">
        <f>IF(AND(AN22=ReachLabel,BB22=1),AS22,0)</f>
        <v>0</v>
      </c>
      <c r="BO22">
        <f>IF(AND(AN22=MatchLabel,BB22=1),AS22,0)</f>
        <v>0</v>
      </c>
      <c r="BP22">
        <f>IF(AND(AN22=SafetyLabel,BB22=1),AS22,0)</f>
        <v>0</v>
      </c>
      <c r="BQ22">
        <f>IF(AND(AN22=SecureLabel,BB22=1),AS22,0)</f>
        <v>0</v>
      </c>
      <c r="BR22">
        <f>IF(AND(AN22=SureThingLabel,BB22=1),AS22,0)</f>
        <v>0</v>
      </c>
      <c r="BS22">
        <f>MAX(BN22:BR22)</f>
        <v>0</v>
      </c>
      <c r="BT22">
        <f>MAX(BO22:BR22)</f>
        <v>0</v>
      </c>
      <c r="BU22">
        <f>MAX(BP22:BR22)</f>
        <v>0</v>
      </c>
      <c r="BV22">
        <f>IF(ISNUMBER(AB22),INDEX(AllCollegeChicago, MATCH(N22,AllCollegeNCES,0))*BB22,0)</f>
        <v>0</v>
      </c>
      <c r="BW22">
        <f>IF(ISNUMBER(AB22),INDEX(AllCollegeMoneyCode, MATCH(N22,AllCollegeNCES,0)),"?")</f>
        <v>0</v>
      </c>
      <c r="BX22">
        <f>IF(OR(BW22="---",BW22="--",BW22="+/--",BW22="+/---"),1,0)</f>
        <v>0</v>
      </c>
      <c r="BY22">
        <f>BB22*AR22*AT22</f>
        <v>0</v>
      </c>
    </row>
    <row r="23" spans="1:77">
      <c r="A23" t="s">
        <v>96</v>
      </c>
      <c r="B23">
        <v>21854734</v>
      </c>
      <c r="C23" t="s">
        <v>327</v>
      </c>
      <c r="D23" t="s">
        <v>328</v>
      </c>
      <c r="E23" t="s">
        <v>446</v>
      </c>
      <c r="F23" t="s">
        <v>469</v>
      </c>
      <c r="G23" t="s">
        <v>448</v>
      </c>
      <c r="H23" t="s">
        <v>449</v>
      </c>
      <c r="I23" t="s">
        <v>450</v>
      </c>
      <c r="J23" t="s">
        <v>450</v>
      </c>
      <c r="K23">
        <v>0</v>
      </c>
      <c r="L23" t="s">
        <v>446</v>
      </c>
      <c r="M23" t="s">
        <v>446</v>
      </c>
      <c r="N23">
        <v>148335</v>
      </c>
      <c r="O23">
        <f>INDEX(Counselor,MATCH(B23,KidIDs,0))</f>
        <v>0</v>
      </c>
      <c r="P23">
        <f>INDEX(Advisors,MATCH(B23,KidIDs,0))</f>
        <v>0</v>
      </c>
      <c r="Q23">
        <f>INDEX(Cohort,MATCH(B23,KidIDs,0))</f>
        <v>0</v>
      </c>
      <c r="R23">
        <f>INDEX(AllCollegeBarrons,MATCH(N23,AllCollegeNCES,0))</f>
        <v>0</v>
      </c>
      <c r="S23">
        <f>INDEX(KidGPAs,MATCH(B23,KidIDs,0))</f>
        <v>0</v>
      </c>
      <c r="T23">
        <f>INDEX(KidSATs,MATCH(B23,KidIDs,0))</f>
        <v>0</v>
      </c>
      <c r="U23">
        <f>INDEX(Strats,MATCH(B23,KidIDs,0))</f>
        <v>0</v>
      </c>
      <c r="V23">
        <f>INDEX(KidRace,MATCH(B23,KidIDs,0))</f>
        <v>0</v>
      </c>
      <c r="W23">
        <f>IF(OR(V23="M",V23="I"),"H",IF(V23="P","A",V23))</f>
        <v>0</v>
      </c>
      <c r="X23">
        <f>INDEX(StudentTargets,MATCH(B23,KidIDs,0))</f>
        <v>0</v>
      </c>
      <c r="Y23">
        <f>INDEX(ReachStudentTargets,MATCH(B23,KidIDs,0))</f>
        <v>0</v>
      </c>
      <c r="Z23">
        <f>IF(OR(M23="Posse"),1,0)</f>
        <v>0</v>
      </c>
      <c r="AA23">
        <f>IF(ISNUMBER(INDEX(AllCollegeGR, MATCH(N23,AllCollegeNCES,0))),ROUND(INDEX(AllCollegeGR, MATCH(N23,AllCollegeNCES,0))+Z23*IF(INDEX(AllCollegeGR, MATCH(N23,AllCollegeNCES,0))&gt;0.7,(1-INDEX(AllCollegeGR, MATCH(N23,AllCollegeNCES,0)))/2,0.15),2),INDEX(AllCollegeGR, MATCH(N23,AllCollegeNCES,0)))</f>
        <v>0</v>
      </c>
      <c r="AB23">
        <f>IF(ISNUMBER(INDEX(AllCollegeAAHGR, MATCH(N23,AllCollegeNCES,0))),ROUND(INDEX(AllCollegeAAHGR, MATCH(N23,AllCollegeNCES,0))+Z23*IF(INDEX(AllCollegeAAHGR, MATCH(N23,AllCollegeNCES,0))&gt;0.7,(1-INDEX(AllCollegeAAHGR, MATCH(N23,AllCollegeNCES,0)))/2,0.15),2),INDEX(AllCollegeAAHGR, MATCH(N23,AllCollegeNCES,0)))</f>
        <v>0</v>
      </c>
      <c r="AC23">
        <f>IF(OR(W23="H",W23="B"),INDEX(AllCollegeSAT25, MATCH(N23,AllCollegeNCES,0)),INDEX(AllCollegeSAT50, MATCH(N23,AllCollegeNCES,0)))</f>
        <v>0</v>
      </c>
      <c r="AD23">
        <f>INDEX(CustomWeightsGPA,MATCH(W23&amp;":"&amp;N23,CustomWeightsIndex,0))</f>
        <v>0</v>
      </c>
      <c r="AE23">
        <f>INDEX(CustomWeightsSAT,MATCH(W23&amp;":"&amp;N23,CustomWeightsIndex,0))</f>
        <v>0</v>
      </c>
      <c r="AF23">
        <f>INDEX(CustomWeightsIntercept,MATCH(W23&amp;":"&amp;N23,CustomWeightsIndex,0))</f>
        <v>0</v>
      </c>
      <c r="AG23">
        <f>AD23*S23+AE23*T23+AF23</f>
        <v>0</v>
      </c>
      <c r="AH23">
        <f>INDEX(CoefficientsGPA,MATCH(W23&amp;":"&amp;R23,CoefficientsIndex,0))</f>
        <v>0</v>
      </c>
      <c r="AI23">
        <f>INDEX(CoefficientsSAT,MATCH(W23&amp;":"&amp;R23,CoefficientsIndex,0))</f>
        <v>0</v>
      </c>
      <c r="AJ23">
        <f>INDEX(CoefficientsIntercept,MATCH(W23&amp;":"&amp;R23,CoefficientsIndex,0))</f>
        <v>0</v>
      </c>
      <c r="AK23">
        <f>AH23*S23+(T23-AC23)*AI23+AJ23</f>
        <v>0</v>
      </c>
      <c r="AL23">
        <f>IF(ISNUMBER(AG23),AG23,AK23)</f>
        <v>0</v>
      </c>
      <c r="AM23">
        <f>IF(ISNUMBER(AL23),IF(ISNUMBER(AH23),IF(AND(AH23=1,AI23=1,AJ23=1),100,MIN(99,ROUND(100*EXP(AL23)/(1+EXP(AL23)),2))),MIN(99,ROUND(100*EXP(AL23)/(1+EXP(AL23)),2))),IF(ISTEXT(R23),IF(LEFT(R23,1)="2",100,"N/A"),"N/A"))</f>
        <v>0</v>
      </c>
      <c r="AN23">
        <f>IF(ISNUMBER(AM23),IF(AM23&gt;=99,IF(OR(U23=10,U23=11),MatchLabel,SureThingLabel),IF(AM23&gt;=95,SecureLabel,IF(AM23&gt;=80,SafetyLabel,IF(AM23&gt;=50,MatchLabel,IF(AM23&gt;=20,ReachLabel,IF(AM23&gt;=10,LongshotLabel,HailMaryLabel)))))),"Other")</f>
        <v>0</v>
      </c>
      <c r="AO23">
        <f>IF(OR(I23="accepted",I23="cond. accept",I23="summer admit"),IF(J23="yes","CHOICE!","Accepted!"),IF(I23="guar. transfer","Guar. Xfer",IF(I23="denied","Denied",IF(K23=1,"Waitlist",IF(L23=1,"Deferred",IF(G23="pending","Pending",IF(OR(G23="initial materials submitted",G23="mid-year submitted",G23="final submitted"),"Submitted",IF(H23="interest","Interest","?"))))))))</f>
        <v>0</v>
      </c>
      <c r="AP23">
        <f>IF(OR(AN23=ReachLabel,AN23=LongshotLabel,AN23=HailMaryLabel),1,0)</f>
        <v>0</v>
      </c>
      <c r="AQ23">
        <f>IF(OR(AP23=1,AN23=MatchLabel),1,0)</f>
        <v>0</v>
      </c>
      <c r="AR23">
        <f>IF(OR(AN23=MatchLabel,AN23=SafetyLabel,AN23=SecureLabel,AN23=SureThingLabel),1,0)</f>
        <v>0</v>
      </c>
      <c r="AS23">
        <f>IF(OR(W23="H",W23="B",W23="I",W23="M"),IF(ISNUMBER(AB23),ROUND(AB23,2),0),IF(ISNUMBER(AA23),ROUND(AA23,2),0))</f>
        <v>0</v>
      </c>
      <c r="AT23">
        <f>IF(AS23&gt;=X23,1,0)</f>
        <v>0</v>
      </c>
      <c r="AU23">
        <f>IF(AS23&gt;=Y23,1,0)</f>
        <v>0</v>
      </c>
      <c r="AV23">
        <f>IF(AS23&lt;(X23-0.10),1,0)</f>
        <v>0</v>
      </c>
      <c r="AW23">
        <f>1-AM23/100</f>
        <v>0</v>
      </c>
      <c r="AX23">
        <f>IF(AQ23=1,AW23,1)</f>
        <v>0</v>
      </c>
      <c r="AY23">
        <f>IF(AP23=1,AW23,1)</f>
        <v>0</v>
      </c>
      <c r="AZ23">
        <f>IF(AND(AT23=1,ISNUMBER(AW23)),$AW23,1)</f>
        <v>0</v>
      </c>
      <c r="BA23">
        <f>IF(AND(AU23=1,ISNUMBER(AW23)),$AW23,1)</f>
        <v>0</v>
      </c>
      <c r="BB23">
        <f>IF(ISNUMBER(AB23),INDEX(AllCollegeMoney, MATCH(N23,AllCollegeNCES,0)),0)</f>
        <v>0</v>
      </c>
      <c r="BC23">
        <f>IF(AND(AT23=1,ISNUMBER(AW23),BB23=1),$AW23,1)</f>
        <v>0</v>
      </c>
      <c r="BD23">
        <f>IF(AND(AU23=1,ISNUMBER(AW23),BB23=1),$AW23,1)</f>
        <v>0</v>
      </c>
      <c r="BE23">
        <f>IF(ISNUMBER(AB23),INDEX(AllCollegeILPub, MATCH(N23,AllCollegeNCES,0)),0)</f>
        <v>0</v>
      </c>
      <c r="BF23">
        <f>IF(AN23=ReachLabel,AS23,0)</f>
        <v>0</v>
      </c>
      <c r="BG23">
        <f>IF(AN23=MatchLabel,AS23,0)</f>
        <v>0</v>
      </c>
      <c r="BH23">
        <f>IF(AN23=SafetyLabel,AS23,0)</f>
        <v>0</v>
      </c>
      <c r="BI23">
        <f>IF(AN23=SecureLabel,AS23,0)</f>
        <v>0</v>
      </c>
      <c r="BJ23">
        <f>IF(AN23=SureThingLabel,AS23,0)</f>
        <v>0</v>
      </c>
      <c r="BK23">
        <f>MAX(BF23:BJ23)</f>
        <v>0</v>
      </c>
      <c r="BL23">
        <f>MAX(BG23:BJ23)</f>
        <v>0</v>
      </c>
      <c r="BM23">
        <f>MAX(BH23:BJ23)</f>
        <v>0</v>
      </c>
      <c r="BN23">
        <f>IF(AND(AN23=ReachLabel,BB23=1),AS23,0)</f>
        <v>0</v>
      </c>
      <c r="BO23">
        <f>IF(AND(AN23=MatchLabel,BB23=1),AS23,0)</f>
        <v>0</v>
      </c>
      <c r="BP23">
        <f>IF(AND(AN23=SafetyLabel,BB23=1),AS23,0)</f>
        <v>0</v>
      </c>
      <c r="BQ23">
        <f>IF(AND(AN23=SecureLabel,BB23=1),AS23,0)</f>
        <v>0</v>
      </c>
      <c r="BR23">
        <f>IF(AND(AN23=SureThingLabel,BB23=1),AS23,0)</f>
        <v>0</v>
      </c>
      <c r="BS23">
        <f>MAX(BN23:BR23)</f>
        <v>0</v>
      </c>
      <c r="BT23">
        <f>MAX(BO23:BR23)</f>
        <v>0</v>
      </c>
      <c r="BU23">
        <f>MAX(BP23:BR23)</f>
        <v>0</v>
      </c>
      <c r="BV23">
        <f>IF(ISNUMBER(AB23),INDEX(AllCollegeChicago, MATCH(N23,AllCollegeNCES,0))*BB23,0)</f>
        <v>0</v>
      </c>
      <c r="BW23">
        <f>IF(ISNUMBER(AB23),INDEX(AllCollegeMoneyCode, MATCH(N23,AllCollegeNCES,0)),"?")</f>
        <v>0</v>
      </c>
      <c r="BX23">
        <f>IF(OR(BW23="---",BW23="--",BW23="+/--",BW23="+/---"),1,0)</f>
        <v>0</v>
      </c>
      <c r="BY23">
        <f>BB23*AR23*AT23</f>
        <v>0</v>
      </c>
    </row>
    <row r="24" spans="1:77">
      <c r="A24" t="s">
        <v>96</v>
      </c>
      <c r="B24">
        <v>22026339</v>
      </c>
      <c r="C24" t="s">
        <v>315</v>
      </c>
      <c r="D24" t="s">
        <v>316</v>
      </c>
      <c r="E24" t="s">
        <v>446</v>
      </c>
      <c r="F24" t="s">
        <v>470</v>
      </c>
      <c r="G24" t="s">
        <v>448</v>
      </c>
      <c r="H24" t="s">
        <v>449</v>
      </c>
      <c r="I24" t="s">
        <v>450</v>
      </c>
      <c r="J24" t="s">
        <v>450</v>
      </c>
      <c r="K24">
        <v>0</v>
      </c>
      <c r="L24" t="s">
        <v>446</v>
      </c>
      <c r="M24" t="s">
        <v>446</v>
      </c>
      <c r="N24">
        <v>240444</v>
      </c>
      <c r="O24">
        <f>INDEX(Counselor,MATCH(B24,KidIDs,0))</f>
        <v>0</v>
      </c>
      <c r="P24">
        <f>INDEX(Advisors,MATCH(B24,KidIDs,0))</f>
        <v>0</v>
      </c>
      <c r="Q24">
        <f>INDEX(Cohort,MATCH(B24,KidIDs,0))</f>
        <v>0</v>
      </c>
      <c r="R24">
        <f>INDEX(AllCollegeBarrons,MATCH(N24,AllCollegeNCES,0))</f>
        <v>0</v>
      </c>
      <c r="S24">
        <f>INDEX(KidGPAs,MATCH(B24,KidIDs,0))</f>
        <v>0</v>
      </c>
      <c r="T24">
        <f>INDEX(KidSATs,MATCH(B24,KidIDs,0))</f>
        <v>0</v>
      </c>
      <c r="U24">
        <f>INDEX(Strats,MATCH(B24,KidIDs,0))</f>
        <v>0</v>
      </c>
      <c r="V24">
        <f>INDEX(KidRace,MATCH(B24,KidIDs,0))</f>
        <v>0</v>
      </c>
      <c r="W24">
        <f>IF(OR(V24="M",V24="I"),"H",IF(V24="P","A",V24))</f>
        <v>0</v>
      </c>
      <c r="X24">
        <f>INDEX(StudentTargets,MATCH(B24,KidIDs,0))</f>
        <v>0</v>
      </c>
      <c r="Y24">
        <f>INDEX(ReachStudentTargets,MATCH(B24,KidIDs,0))</f>
        <v>0</v>
      </c>
      <c r="Z24">
        <f>IF(OR(M24="Posse"),1,0)</f>
        <v>0</v>
      </c>
      <c r="AA24">
        <f>IF(ISNUMBER(INDEX(AllCollegeGR, MATCH(N24,AllCollegeNCES,0))),ROUND(INDEX(AllCollegeGR, MATCH(N24,AllCollegeNCES,0))+Z24*IF(INDEX(AllCollegeGR, MATCH(N24,AllCollegeNCES,0))&gt;0.7,(1-INDEX(AllCollegeGR, MATCH(N24,AllCollegeNCES,0)))/2,0.15),2),INDEX(AllCollegeGR, MATCH(N24,AllCollegeNCES,0)))</f>
        <v>0</v>
      </c>
      <c r="AB24">
        <f>IF(ISNUMBER(INDEX(AllCollegeAAHGR, MATCH(N24,AllCollegeNCES,0))),ROUND(INDEX(AllCollegeAAHGR, MATCH(N24,AllCollegeNCES,0))+Z24*IF(INDEX(AllCollegeAAHGR, MATCH(N24,AllCollegeNCES,0))&gt;0.7,(1-INDEX(AllCollegeAAHGR, MATCH(N24,AllCollegeNCES,0)))/2,0.15),2),INDEX(AllCollegeAAHGR, MATCH(N24,AllCollegeNCES,0)))</f>
        <v>0</v>
      </c>
      <c r="AC24">
        <f>IF(OR(W24="H",W24="B"),INDEX(AllCollegeSAT25, MATCH(N24,AllCollegeNCES,0)),INDEX(AllCollegeSAT50, MATCH(N24,AllCollegeNCES,0)))</f>
        <v>0</v>
      </c>
      <c r="AD24">
        <f>INDEX(CustomWeightsGPA,MATCH(W24&amp;":"&amp;N24,CustomWeightsIndex,0))</f>
        <v>0</v>
      </c>
      <c r="AE24">
        <f>INDEX(CustomWeightsSAT,MATCH(W24&amp;":"&amp;N24,CustomWeightsIndex,0))</f>
        <v>0</v>
      </c>
      <c r="AF24">
        <f>INDEX(CustomWeightsIntercept,MATCH(W24&amp;":"&amp;N24,CustomWeightsIndex,0))</f>
        <v>0</v>
      </c>
      <c r="AG24">
        <f>AD24*S24+AE24*T24+AF24</f>
        <v>0</v>
      </c>
      <c r="AH24">
        <f>INDEX(CoefficientsGPA,MATCH(W24&amp;":"&amp;R24,CoefficientsIndex,0))</f>
        <v>0</v>
      </c>
      <c r="AI24">
        <f>INDEX(CoefficientsSAT,MATCH(W24&amp;":"&amp;R24,CoefficientsIndex,0))</f>
        <v>0</v>
      </c>
      <c r="AJ24">
        <f>INDEX(CoefficientsIntercept,MATCH(W24&amp;":"&amp;R24,CoefficientsIndex,0))</f>
        <v>0</v>
      </c>
      <c r="AK24">
        <f>AH24*S24+(T24-AC24)*AI24+AJ24</f>
        <v>0</v>
      </c>
      <c r="AL24">
        <f>IF(ISNUMBER(AG24),AG24,AK24)</f>
        <v>0</v>
      </c>
      <c r="AM24">
        <f>IF(ISNUMBER(AL24),IF(ISNUMBER(AH24),IF(AND(AH24=1,AI24=1,AJ24=1),100,MIN(99,ROUND(100*EXP(AL24)/(1+EXP(AL24)),2))),MIN(99,ROUND(100*EXP(AL24)/(1+EXP(AL24)),2))),IF(ISTEXT(R24),IF(LEFT(R24,1)="2",100,"N/A"),"N/A"))</f>
        <v>0</v>
      </c>
      <c r="AN24">
        <f>IF(ISNUMBER(AM24),IF(AM24&gt;=99,IF(OR(U24=10,U24=11),MatchLabel,SureThingLabel),IF(AM24&gt;=95,SecureLabel,IF(AM24&gt;=80,SafetyLabel,IF(AM24&gt;=50,MatchLabel,IF(AM24&gt;=20,ReachLabel,IF(AM24&gt;=10,LongshotLabel,HailMaryLabel)))))),"Other")</f>
        <v>0</v>
      </c>
      <c r="AO24">
        <f>IF(OR(I24="accepted",I24="cond. accept",I24="summer admit"),IF(J24="yes","CHOICE!","Accepted!"),IF(I24="guar. transfer","Guar. Xfer",IF(I24="denied","Denied",IF(K24=1,"Waitlist",IF(L24=1,"Deferred",IF(G24="pending","Pending",IF(OR(G24="initial materials submitted",G24="mid-year submitted",G24="final submitted"),"Submitted",IF(H24="interest","Interest","?"))))))))</f>
        <v>0</v>
      </c>
      <c r="AP24">
        <f>IF(OR(AN24=ReachLabel,AN24=LongshotLabel,AN24=HailMaryLabel),1,0)</f>
        <v>0</v>
      </c>
      <c r="AQ24">
        <f>IF(OR(AP24=1,AN24=MatchLabel),1,0)</f>
        <v>0</v>
      </c>
      <c r="AR24">
        <f>IF(OR(AN24=MatchLabel,AN24=SafetyLabel,AN24=SecureLabel,AN24=SureThingLabel),1,0)</f>
        <v>0</v>
      </c>
      <c r="AS24">
        <f>IF(OR(W24="H",W24="B",W24="I",W24="M"),IF(ISNUMBER(AB24),ROUND(AB24,2),0),IF(ISNUMBER(AA24),ROUND(AA24,2),0))</f>
        <v>0</v>
      </c>
      <c r="AT24">
        <f>IF(AS24&gt;=X24,1,0)</f>
        <v>0</v>
      </c>
      <c r="AU24">
        <f>IF(AS24&gt;=Y24,1,0)</f>
        <v>0</v>
      </c>
      <c r="AV24">
        <f>IF(AS24&lt;(X24-0.10),1,0)</f>
        <v>0</v>
      </c>
      <c r="AW24">
        <f>1-AM24/100</f>
        <v>0</v>
      </c>
      <c r="AX24">
        <f>IF(AQ24=1,AW24,1)</f>
        <v>0</v>
      </c>
      <c r="AY24">
        <f>IF(AP24=1,AW24,1)</f>
        <v>0</v>
      </c>
      <c r="AZ24">
        <f>IF(AND(AT24=1,ISNUMBER(AW24)),$AW24,1)</f>
        <v>0</v>
      </c>
      <c r="BA24">
        <f>IF(AND(AU24=1,ISNUMBER(AW24)),$AW24,1)</f>
        <v>0</v>
      </c>
      <c r="BB24">
        <f>IF(ISNUMBER(AB24),INDEX(AllCollegeMoney, MATCH(N24,AllCollegeNCES,0)),0)</f>
        <v>0</v>
      </c>
      <c r="BC24">
        <f>IF(AND(AT24=1,ISNUMBER(AW24),BB24=1),$AW24,1)</f>
        <v>0</v>
      </c>
      <c r="BD24">
        <f>IF(AND(AU24=1,ISNUMBER(AW24),BB24=1),$AW24,1)</f>
        <v>0</v>
      </c>
      <c r="BE24">
        <f>IF(ISNUMBER(AB24),INDEX(AllCollegeILPub, MATCH(N24,AllCollegeNCES,0)),0)</f>
        <v>0</v>
      </c>
      <c r="BF24">
        <f>IF(AN24=ReachLabel,AS24,0)</f>
        <v>0</v>
      </c>
      <c r="BG24">
        <f>IF(AN24=MatchLabel,AS24,0)</f>
        <v>0</v>
      </c>
      <c r="BH24">
        <f>IF(AN24=SafetyLabel,AS24,0)</f>
        <v>0</v>
      </c>
      <c r="BI24">
        <f>IF(AN24=SecureLabel,AS24,0)</f>
        <v>0</v>
      </c>
      <c r="BJ24">
        <f>IF(AN24=SureThingLabel,AS24,0)</f>
        <v>0</v>
      </c>
      <c r="BK24">
        <f>MAX(BF24:BJ24)</f>
        <v>0</v>
      </c>
      <c r="BL24">
        <f>MAX(BG24:BJ24)</f>
        <v>0</v>
      </c>
      <c r="BM24">
        <f>MAX(BH24:BJ24)</f>
        <v>0</v>
      </c>
      <c r="BN24">
        <f>IF(AND(AN24=ReachLabel,BB24=1),AS24,0)</f>
        <v>0</v>
      </c>
      <c r="BO24">
        <f>IF(AND(AN24=MatchLabel,BB24=1),AS24,0)</f>
        <v>0</v>
      </c>
      <c r="BP24">
        <f>IF(AND(AN24=SafetyLabel,BB24=1),AS24,0)</f>
        <v>0</v>
      </c>
      <c r="BQ24">
        <f>IF(AND(AN24=SecureLabel,BB24=1),AS24,0)</f>
        <v>0</v>
      </c>
      <c r="BR24">
        <f>IF(AND(AN24=SureThingLabel,BB24=1),AS24,0)</f>
        <v>0</v>
      </c>
      <c r="BS24">
        <f>MAX(BN24:BR24)</f>
        <v>0</v>
      </c>
      <c r="BT24">
        <f>MAX(BO24:BR24)</f>
        <v>0</v>
      </c>
      <c r="BU24">
        <f>MAX(BP24:BR24)</f>
        <v>0</v>
      </c>
      <c r="BV24">
        <f>IF(ISNUMBER(AB24),INDEX(AllCollegeChicago, MATCH(N24,AllCollegeNCES,0))*BB24,0)</f>
        <v>0</v>
      </c>
      <c r="BW24">
        <f>IF(ISNUMBER(AB24),INDEX(AllCollegeMoneyCode, MATCH(N24,AllCollegeNCES,0)),"?")</f>
        <v>0</v>
      </c>
      <c r="BX24">
        <f>IF(OR(BW24="---",BW24="--",BW24="+/--",BW24="+/---"),1,0)</f>
        <v>0</v>
      </c>
      <c r="BY24">
        <f>BB24*AR24*AT24</f>
        <v>0</v>
      </c>
    </row>
    <row r="25" spans="1:77">
      <c r="A25" t="s">
        <v>96</v>
      </c>
      <c r="B25">
        <v>22026339</v>
      </c>
      <c r="C25" t="s">
        <v>315</v>
      </c>
      <c r="D25" t="s">
        <v>316</v>
      </c>
      <c r="E25" t="s">
        <v>446</v>
      </c>
      <c r="F25" t="s">
        <v>471</v>
      </c>
      <c r="G25" t="s">
        <v>448</v>
      </c>
      <c r="H25" t="s">
        <v>449</v>
      </c>
      <c r="I25" t="s">
        <v>450</v>
      </c>
      <c r="J25" t="s">
        <v>450</v>
      </c>
      <c r="K25">
        <v>0</v>
      </c>
      <c r="L25" t="s">
        <v>446</v>
      </c>
      <c r="M25" t="s">
        <v>446</v>
      </c>
      <c r="N25">
        <v>202523</v>
      </c>
      <c r="O25">
        <f>INDEX(Counselor,MATCH(B25,KidIDs,0))</f>
        <v>0</v>
      </c>
      <c r="P25">
        <f>INDEX(Advisors,MATCH(B25,KidIDs,0))</f>
        <v>0</v>
      </c>
      <c r="Q25">
        <f>INDEX(Cohort,MATCH(B25,KidIDs,0))</f>
        <v>0</v>
      </c>
      <c r="R25">
        <f>INDEX(AllCollegeBarrons,MATCH(N25,AllCollegeNCES,0))</f>
        <v>0</v>
      </c>
      <c r="S25">
        <f>INDEX(KidGPAs,MATCH(B25,KidIDs,0))</f>
        <v>0</v>
      </c>
      <c r="T25">
        <f>INDEX(KidSATs,MATCH(B25,KidIDs,0))</f>
        <v>0</v>
      </c>
      <c r="U25">
        <f>INDEX(Strats,MATCH(B25,KidIDs,0))</f>
        <v>0</v>
      </c>
      <c r="V25">
        <f>INDEX(KidRace,MATCH(B25,KidIDs,0))</f>
        <v>0</v>
      </c>
      <c r="W25">
        <f>IF(OR(V25="M",V25="I"),"H",IF(V25="P","A",V25))</f>
        <v>0</v>
      </c>
      <c r="X25">
        <f>INDEX(StudentTargets,MATCH(B25,KidIDs,0))</f>
        <v>0</v>
      </c>
      <c r="Y25">
        <f>INDEX(ReachStudentTargets,MATCH(B25,KidIDs,0))</f>
        <v>0</v>
      </c>
      <c r="Z25">
        <f>IF(OR(M25="Posse"),1,0)</f>
        <v>0</v>
      </c>
      <c r="AA25">
        <f>IF(ISNUMBER(INDEX(AllCollegeGR, MATCH(N25,AllCollegeNCES,0))),ROUND(INDEX(AllCollegeGR, MATCH(N25,AllCollegeNCES,0))+Z25*IF(INDEX(AllCollegeGR, MATCH(N25,AllCollegeNCES,0))&gt;0.7,(1-INDEX(AllCollegeGR, MATCH(N25,AllCollegeNCES,0)))/2,0.15),2),INDEX(AllCollegeGR, MATCH(N25,AllCollegeNCES,0)))</f>
        <v>0</v>
      </c>
      <c r="AB25">
        <f>IF(ISNUMBER(INDEX(AllCollegeAAHGR, MATCH(N25,AllCollegeNCES,0))),ROUND(INDEX(AllCollegeAAHGR, MATCH(N25,AllCollegeNCES,0))+Z25*IF(INDEX(AllCollegeAAHGR, MATCH(N25,AllCollegeNCES,0))&gt;0.7,(1-INDEX(AllCollegeAAHGR, MATCH(N25,AllCollegeNCES,0)))/2,0.15),2),INDEX(AllCollegeAAHGR, MATCH(N25,AllCollegeNCES,0)))</f>
        <v>0</v>
      </c>
      <c r="AC25">
        <f>IF(OR(W25="H",W25="B"),INDEX(AllCollegeSAT25, MATCH(N25,AllCollegeNCES,0)),INDEX(AllCollegeSAT50, MATCH(N25,AllCollegeNCES,0)))</f>
        <v>0</v>
      </c>
      <c r="AD25">
        <f>INDEX(CustomWeightsGPA,MATCH(W25&amp;":"&amp;N25,CustomWeightsIndex,0))</f>
        <v>0</v>
      </c>
      <c r="AE25">
        <f>INDEX(CustomWeightsSAT,MATCH(W25&amp;":"&amp;N25,CustomWeightsIndex,0))</f>
        <v>0</v>
      </c>
      <c r="AF25">
        <f>INDEX(CustomWeightsIntercept,MATCH(W25&amp;":"&amp;N25,CustomWeightsIndex,0))</f>
        <v>0</v>
      </c>
      <c r="AG25">
        <f>AD25*S25+AE25*T25+AF25</f>
        <v>0</v>
      </c>
      <c r="AH25">
        <f>INDEX(CoefficientsGPA,MATCH(W25&amp;":"&amp;R25,CoefficientsIndex,0))</f>
        <v>0</v>
      </c>
      <c r="AI25">
        <f>INDEX(CoefficientsSAT,MATCH(W25&amp;":"&amp;R25,CoefficientsIndex,0))</f>
        <v>0</v>
      </c>
      <c r="AJ25">
        <f>INDEX(CoefficientsIntercept,MATCH(W25&amp;":"&amp;R25,CoefficientsIndex,0))</f>
        <v>0</v>
      </c>
      <c r="AK25">
        <f>AH25*S25+(T25-AC25)*AI25+AJ25</f>
        <v>0</v>
      </c>
      <c r="AL25">
        <f>IF(ISNUMBER(AG25),AG25,AK25)</f>
        <v>0</v>
      </c>
      <c r="AM25">
        <f>IF(ISNUMBER(AL25),IF(ISNUMBER(AH25),IF(AND(AH25=1,AI25=1,AJ25=1),100,MIN(99,ROUND(100*EXP(AL25)/(1+EXP(AL25)),2))),MIN(99,ROUND(100*EXP(AL25)/(1+EXP(AL25)),2))),IF(ISTEXT(R25),IF(LEFT(R25,1)="2",100,"N/A"),"N/A"))</f>
        <v>0</v>
      </c>
      <c r="AN25">
        <f>IF(ISNUMBER(AM25),IF(AM25&gt;=99,IF(OR(U25=10,U25=11),MatchLabel,SureThingLabel),IF(AM25&gt;=95,SecureLabel,IF(AM25&gt;=80,SafetyLabel,IF(AM25&gt;=50,MatchLabel,IF(AM25&gt;=20,ReachLabel,IF(AM25&gt;=10,LongshotLabel,HailMaryLabel)))))),"Other")</f>
        <v>0</v>
      </c>
      <c r="AO25">
        <f>IF(OR(I25="accepted",I25="cond. accept",I25="summer admit"),IF(J25="yes","CHOICE!","Accepted!"),IF(I25="guar. transfer","Guar. Xfer",IF(I25="denied","Denied",IF(K25=1,"Waitlist",IF(L25=1,"Deferred",IF(G25="pending","Pending",IF(OR(G25="initial materials submitted",G25="mid-year submitted",G25="final submitted"),"Submitted",IF(H25="interest","Interest","?"))))))))</f>
        <v>0</v>
      </c>
      <c r="AP25">
        <f>IF(OR(AN25=ReachLabel,AN25=LongshotLabel,AN25=HailMaryLabel),1,0)</f>
        <v>0</v>
      </c>
      <c r="AQ25">
        <f>IF(OR(AP25=1,AN25=MatchLabel),1,0)</f>
        <v>0</v>
      </c>
      <c r="AR25">
        <f>IF(OR(AN25=MatchLabel,AN25=SafetyLabel,AN25=SecureLabel,AN25=SureThingLabel),1,0)</f>
        <v>0</v>
      </c>
      <c r="AS25">
        <f>IF(OR(W25="H",W25="B",W25="I",W25="M"),IF(ISNUMBER(AB25),ROUND(AB25,2),0),IF(ISNUMBER(AA25),ROUND(AA25,2),0))</f>
        <v>0</v>
      </c>
      <c r="AT25">
        <f>IF(AS25&gt;=X25,1,0)</f>
        <v>0</v>
      </c>
      <c r="AU25">
        <f>IF(AS25&gt;=Y25,1,0)</f>
        <v>0</v>
      </c>
      <c r="AV25">
        <f>IF(AS25&lt;(X25-0.10),1,0)</f>
        <v>0</v>
      </c>
      <c r="AW25">
        <f>1-AM25/100</f>
        <v>0</v>
      </c>
      <c r="AX25">
        <f>IF(AQ25=1,AW25,1)</f>
        <v>0</v>
      </c>
      <c r="AY25">
        <f>IF(AP25=1,AW25,1)</f>
        <v>0</v>
      </c>
      <c r="AZ25">
        <f>IF(AND(AT25=1,ISNUMBER(AW25)),$AW25,1)</f>
        <v>0</v>
      </c>
      <c r="BA25">
        <f>IF(AND(AU25=1,ISNUMBER(AW25)),$AW25,1)</f>
        <v>0</v>
      </c>
      <c r="BB25">
        <f>IF(ISNUMBER(AB25),INDEX(AllCollegeMoney, MATCH(N25,AllCollegeNCES,0)),0)</f>
        <v>0</v>
      </c>
      <c r="BC25">
        <f>IF(AND(AT25=1,ISNUMBER(AW25),BB25=1),$AW25,1)</f>
        <v>0</v>
      </c>
      <c r="BD25">
        <f>IF(AND(AU25=1,ISNUMBER(AW25),BB25=1),$AW25,1)</f>
        <v>0</v>
      </c>
      <c r="BE25">
        <f>IF(ISNUMBER(AB25),INDEX(AllCollegeILPub, MATCH(N25,AllCollegeNCES,0)),0)</f>
        <v>0</v>
      </c>
      <c r="BF25">
        <f>IF(AN25=ReachLabel,AS25,0)</f>
        <v>0</v>
      </c>
      <c r="BG25">
        <f>IF(AN25=MatchLabel,AS25,0)</f>
        <v>0</v>
      </c>
      <c r="BH25">
        <f>IF(AN25=SafetyLabel,AS25,0)</f>
        <v>0</v>
      </c>
      <c r="BI25">
        <f>IF(AN25=SecureLabel,AS25,0)</f>
        <v>0</v>
      </c>
      <c r="BJ25">
        <f>IF(AN25=SureThingLabel,AS25,0)</f>
        <v>0</v>
      </c>
      <c r="BK25">
        <f>MAX(BF25:BJ25)</f>
        <v>0</v>
      </c>
      <c r="BL25">
        <f>MAX(BG25:BJ25)</f>
        <v>0</v>
      </c>
      <c r="BM25">
        <f>MAX(BH25:BJ25)</f>
        <v>0</v>
      </c>
      <c r="BN25">
        <f>IF(AND(AN25=ReachLabel,BB25=1),AS25,0)</f>
        <v>0</v>
      </c>
      <c r="BO25">
        <f>IF(AND(AN25=MatchLabel,BB25=1),AS25,0)</f>
        <v>0</v>
      </c>
      <c r="BP25">
        <f>IF(AND(AN25=SafetyLabel,BB25=1),AS25,0)</f>
        <v>0</v>
      </c>
      <c r="BQ25">
        <f>IF(AND(AN25=SecureLabel,BB25=1),AS25,0)</f>
        <v>0</v>
      </c>
      <c r="BR25">
        <f>IF(AND(AN25=SureThingLabel,BB25=1),AS25,0)</f>
        <v>0</v>
      </c>
      <c r="BS25">
        <f>MAX(BN25:BR25)</f>
        <v>0</v>
      </c>
      <c r="BT25">
        <f>MAX(BO25:BR25)</f>
        <v>0</v>
      </c>
      <c r="BU25">
        <f>MAX(BP25:BR25)</f>
        <v>0</v>
      </c>
      <c r="BV25">
        <f>IF(ISNUMBER(AB25),INDEX(AllCollegeChicago, MATCH(N25,AllCollegeNCES,0))*BB25,0)</f>
        <v>0</v>
      </c>
      <c r="BW25">
        <f>IF(ISNUMBER(AB25),INDEX(AllCollegeMoneyCode, MATCH(N25,AllCollegeNCES,0)),"?")</f>
        <v>0</v>
      </c>
      <c r="BX25">
        <f>IF(OR(BW25="---",BW25="--",BW25="+/--",BW25="+/---"),1,0)</f>
        <v>0</v>
      </c>
      <c r="BY25">
        <f>BB25*AR25*AT25</f>
        <v>0</v>
      </c>
    </row>
    <row r="26" spans="1:77">
      <c r="A26" t="s">
        <v>96</v>
      </c>
      <c r="B26">
        <v>22026339</v>
      </c>
      <c r="C26" t="s">
        <v>315</v>
      </c>
      <c r="D26" t="s">
        <v>316</v>
      </c>
      <c r="E26" t="s">
        <v>446</v>
      </c>
      <c r="F26" t="s">
        <v>472</v>
      </c>
      <c r="G26" t="s">
        <v>448</v>
      </c>
      <c r="H26" t="s">
        <v>449</v>
      </c>
      <c r="I26" t="s">
        <v>450</v>
      </c>
      <c r="J26" t="s">
        <v>450</v>
      </c>
      <c r="K26">
        <v>0</v>
      </c>
      <c r="L26" t="s">
        <v>446</v>
      </c>
      <c r="M26" t="s">
        <v>446</v>
      </c>
      <c r="N26">
        <v>212674</v>
      </c>
      <c r="O26">
        <f>INDEX(Counselor,MATCH(B26,KidIDs,0))</f>
        <v>0</v>
      </c>
      <c r="P26">
        <f>INDEX(Advisors,MATCH(B26,KidIDs,0))</f>
        <v>0</v>
      </c>
      <c r="Q26">
        <f>INDEX(Cohort,MATCH(B26,KidIDs,0))</f>
        <v>0</v>
      </c>
      <c r="R26">
        <f>INDEX(AllCollegeBarrons,MATCH(N26,AllCollegeNCES,0))</f>
        <v>0</v>
      </c>
      <c r="S26">
        <f>INDEX(KidGPAs,MATCH(B26,KidIDs,0))</f>
        <v>0</v>
      </c>
      <c r="T26">
        <f>INDEX(KidSATs,MATCH(B26,KidIDs,0))</f>
        <v>0</v>
      </c>
      <c r="U26">
        <f>INDEX(Strats,MATCH(B26,KidIDs,0))</f>
        <v>0</v>
      </c>
      <c r="V26">
        <f>INDEX(KidRace,MATCH(B26,KidIDs,0))</f>
        <v>0</v>
      </c>
      <c r="W26">
        <f>IF(OR(V26="M",V26="I"),"H",IF(V26="P","A",V26))</f>
        <v>0</v>
      </c>
      <c r="X26">
        <f>INDEX(StudentTargets,MATCH(B26,KidIDs,0))</f>
        <v>0</v>
      </c>
      <c r="Y26">
        <f>INDEX(ReachStudentTargets,MATCH(B26,KidIDs,0))</f>
        <v>0</v>
      </c>
      <c r="Z26">
        <f>IF(OR(M26="Posse"),1,0)</f>
        <v>0</v>
      </c>
      <c r="AA26">
        <f>IF(ISNUMBER(INDEX(AllCollegeGR, MATCH(N26,AllCollegeNCES,0))),ROUND(INDEX(AllCollegeGR, MATCH(N26,AllCollegeNCES,0))+Z26*IF(INDEX(AllCollegeGR, MATCH(N26,AllCollegeNCES,0))&gt;0.7,(1-INDEX(AllCollegeGR, MATCH(N26,AllCollegeNCES,0)))/2,0.15),2),INDEX(AllCollegeGR, MATCH(N26,AllCollegeNCES,0)))</f>
        <v>0</v>
      </c>
      <c r="AB26">
        <f>IF(ISNUMBER(INDEX(AllCollegeAAHGR, MATCH(N26,AllCollegeNCES,0))),ROUND(INDEX(AllCollegeAAHGR, MATCH(N26,AllCollegeNCES,0))+Z26*IF(INDEX(AllCollegeAAHGR, MATCH(N26,AllCollegeNCES,0))&gt;0.7,(1-INDEX(AllCollegeAAHGR, MATCH(N26,AllCollegeNCES,0)))/2,0.15),2),INDEX(AllCollegeAAHGR, MATCH(N26,AllCollegeNCES,0)))</f>
        <v>0</v>
      </c>
      <c r="AC26">
        <f>IF(OR(W26="H",W26="B"),INDEX(AllCollegeSAT25, MATCH(N26,AllCollegeNCES,0)),INDEX(AllCollegeSAT50, MATCH(N26,AllCollegeNCES,0)))</f>
        <v>0</v>
      </c>
      <c r="AD26">
        <f>INDEX(CustomWeightsGPA,MATCH(W26&amp;":"&amp;N26,CustomWeightsIndex,0))</f>
        <v>0</v>
      </c>
      <c r="AE26">
        <f>INDEX(CustomWeightsSAT,MATCH(W26&amp;":"&amp;N26,CustomWeightsIndex,0))</f>
        <v>0</v>
      </c>
      <c r="AF26">
        <f>INDEX(CustomWeightsIntercept,MATCH(W26&amp;":"&amp;N26,CustomWeightsIndex,0))</f>
        <v>0</v>
      </c>
      <c r="AG26">
        <f>AD26*S26+AE26*T26+AF26</f>
        <v>0</v>
      </c>
      <c r="AH26">
        <f>INDEX(CoefficientsGPA,MATCH(W26&amp;":"&amp;R26,CoefficientsIndex,0))</f>
        <v>0</v>
      </c>
      <c r="AI26">
        <f>INDEX(CoefficientsSAT,MATCH(W26&amp;":"&amp;R26,CoefficientsIndex,0))</f>
        <v>0</v>
      </c>
      <c r="AJ26">
        <f>INDEX(CoefficientsIntercept,MATCH(W26&amp;":"&amp;R26,CoefficientsIndex,0))</f>
        <v>0</v>
      </c>
      <c r="AK26">
        <f>AH26*S26+(T26-AC26)*AI26+AJ26</f>
        <v>0</v>
      </c>
      <c r="AL26">
        <f>IF(ISNUMBER(AG26),AG26,AK26)</f>
        <v>0</v>
      </c>
      <c r="AM26">
        <f>IF(ISNUMBER(AL26),IF(ISNUMBER(AH26),IF(AND(AH26=1,AI26=1,AJ26=1),100,MIN(99,ROUND(100*EXP(AL26)/(1+EXP(AL26)),2))),MIN(99,ROUND(100*EXP(AL26)/(1+EXP(AL26)),2))),IF(ISTEXT(R26),IF(LEFT(R26,1)="2",100,"N/A"),"N/A"))</f>
        <v>0</v>
      </c>
      <c r="AN26">
        <f>IF(ISNUMBER(AM26),IF(AM26&gt;=99,IF(OR(U26=10,U26=11),MatchLabel,SureThingLabel),IF(AM26&gt;=95,SecureLabel,IF(AM26&gt;=80,SafetyLabel,IF(AM26&gt;=50,MatchLabel,IF(AM26&gt;=20,ReachLabel,IF(AM26&gt;=10,LongshotLabel,HailMaryLabel)))))),"Other")</f>
        <v>0</v>
      </c>
      <c r="AO26">
        <f>IF(OR(I26="accepted",I26="cond. accept",I26="summer admit"),IF(J26="yes","CHOICE!","Accepted!"),IF(I26="guar. transfer","Guar. Xfer",IF(I26="denied","Denied",IF(K26=1,"Waitlist",IF(L26=1,"Deferred",IF(G26="pending","Pending",IF(OR(G26="initial materials submitted",G26="mid-year submitted",G26="final submitted"),"Submitted",IF(H26="interest","Interest","?"))))))))</f>
        <v>0</v>
      </c>
      <c r="AP26">
        <f>IF(OR(AN26=ReachLabel,AN26=LongshotLabel,AN26=HailMaryLabel),1,0)</f>
        <v>0</v>
      </c>
      <c r="AQ26">
        <f>IF(OR(AP26=1,AN26=MatchLabel),1,0)</f>
        <v>0</v>
      </c>
      <c r="AR26">
        <f>IF(OR(AN26=MatchLabel,AN26=SafetyLabel,AN26=SecureLabel,AN26=SureThingLabel),1,0)</f>
        <v>0</v>
      </c>
      <c r="AS26">
        <f>IF(OR(W26="H",W26="B",W26="I",W26="M"),IF(ISNUMBER(AB26),ROUND(AB26,2),0),IF(ISNUMBER(AA26),ROUND(AA26,2),0))</f>
        <v>0</v>
      </c>
      <c r="AT26">
        <f>IF(AS26&gt;=X26,1,0)</f>
        <v>0</v>
      </c>
      <c r="AU26">
        <f>IF(AS26&gt;=Y26,1,0)</f>
        <v>0</v>
      </c>
      <c r="AV26">
        <f>IF(AS26&lt;(X26-0.10),1,0)</f>
        <v>0</v>
      </c>
      <c r="AW26">
        <f>1-AM26/100</f>
        <v>0</v>
      </c>
      <c r="AX26">
        <f>IF(AQ26=1,AW26,1)</f>
        <v>0</v>
      </c>
      <c r="AY26">
        <f>IF(AP26=1,AW26,1)</f>
        <v>0</v>
      </c>
      <c r="AZ26">
        <f>IF(AND(AT26=1,ISNUMBER(AW26)),$AW26,1)</f>
        <v>0</v>
      </c>
      <c r="BA26">
        <f>IF(AND(AU26=1,ISNUMBER(AW26)),$AW26,1)</f>
        <v>0</v>
      </c>
      <c r="BB26">
        <f>IF(ISNUMBER(AB26),INDEX(AllCollegeMoney, MATCH(N26,AllCollegeNCES,0)),0)</f>
        <v>0</v>
      </c>
      <c r="BC26">
        <f>IF(AND(AT26=1,ISNUMBER(AW26),BB26=1),$AW26,1)</f>
        <v>0</v>
      </c>
      <c r="BD26">
        <f>IF(AND(AU26=1,ISNUMBER(AW26),BB26=1),$AW26,1)</f>
        <v>0</v>
      </c>
      <c r="BE26">
        <f>IF(ISNUMBER(AB26),INDEX(AllCollegeILPub, MATCH(N26,AllCollegeNCES,0)),0)</f>
        <v>0</v>
      </c>
      <c r="BF26">
        <f>IF(AN26=ReachLabel,AS26,0)</f>
        <v>0</v>
      </c>
      <c r="BG26">
        <f>IF(AN26=MatchLabel,AS26,0)</f>
        <v>0</v>
      </c>
      <c r="BH26">
        <f>IF(AN26=SafetyLabel,AS26,0)</f>
        <v>0</v>
      </c>
      <c r="BI26">
        <f>IF(AN26=SecureLabel,AS26,0)</f>
        <v>0</v>
      </c>
      <c r="BJ26">
        <f>IF(AN26=SureThingLabel,AS26,0)</f>
        <v>0</v>
      </c>
      <c r="BK26">
        <f>MAX(BF26:BJ26)</f>
        <v>0</v>
      </c>
      <c r="BL26">
        <f>MAX(BG26:BJ26)</f>
        <v>0</v>
      </c>
      <c r="BM26">
        <f>MAX(BH26:BJ26)</f>
        <v>0</v>
      </c>
      <c r="BN26">
        <f>IF(AND(AN26=ReachLabel,BB26=1),AS26,0)</f>
        <v>0</v>
      </c>
      <c r="BO26">
        <f>IF(AND(AN26=MatchLabel,BB26=1),AS26,0)</f>
        <v>0</v>
      </c>
      <c r="BP26">
        <f>IF(AND(AN26=SafetyLabel,BB26=1),AS26,0)</f>
        <v>0</v>
      </c>
      <c r="BQ26">
        <f>IF(AND(AN26=SecureLabel,BB26=1),AS26,0)</f>
        <v>0</v>
      </c>
      <c r="BR26">
        <f>IF(AND(AN26=SureThingLabel,BB26=1),AS26,0)</f>
        <v>0</v>
      </c>
      <c r="BS26">
        <f>MAX(BN26:BR26)</f>
        <v>0</v>
      </c>
      <c r="BT26">
        <f>MAX(BO26:BR26)</f>
        <v>0</v>
      </c>
      <c r="BU26">
        <f>MAX(BP26:BR26)</f>
        <v>0</v>
      </c>
      <c r="BV26">
        <f>IF(ISNUMBER(AB26),INDEX(AllCollegeChicago, MATCH(N26,AllCollegeNCES,0))*BB26,0)</f>
        <v>0</v>
      </c>
      <c r="BW26">
        <f>IF(ISNUMBER(AB26),INDEX(AllCollegeMoneyCode, MATCH(N26,AllCollegeNCES,0)),"?")</f>
        <v>0</v>
      </c>
      <c r="BX26">
        <f>IF(OR(BW26="---",BW26="--",BW26="+/--",BW26="+/---"),1,0)</f>
        <v>0</v>
      </c>
      <c r="BY26">
        <f>BB26*AR26*AT26</f>
        <v>0</v>
      </c>
    </row>
    <row r="27" spans="1:77">
      <c r="A27" t="s">
        <v>96</v>
      </c>
      <c r="B27">
        <v>22026339</v>
      </c>
      <c r="C27" t="s">
        <v>315</v>
      </c>
      <c r="D27" t="s">
        <v>316</v>
      </c>
      <c r="E27" t="s">
        <v>446</v>
      </c>
      <c r="F27" t="s">
        <v>473</v>
      </c>
      <c r="G27" t="s">
        <v>448</v>
      </c>
      <c r="H27" t="s">
        <v>449</v>
      </c>
      <c r="I27" t="s">
        <v>450</v>
      </c>
      <c r="J27" t="s">
        <v>450</v>
      </c>
      <c r="K27">
        <v>0</v>
      </c>
      <c r="L27" t="s">
        <v>446</v>
      </c>
      <c r="M27" t="s">
        <v>446</v>
      </c>
      <c r="N27">
        <v>221519</v>
      </c>
      <c r="O27">
        <f>INDEX(Counselor,MATCH(B27,KidIDs,0))</f>
        <v>0</v>
      </c>
      <c r="P27">
        <f>INDEX(Advisors,MATCH(B27,KidIDs,0))</f>
        <v>0</v>
      </c>
      <c r="Q27">
        <f>INDEX(Cohort,MATCH(B27,KidIDs,0))</f>
        <v>0</v>
      </c>
      <c r="R27">
        <f>INDEX(AllCollegeBarrons,MATCH(N27,AllCollegeNCES,0))</f>
        <v>0</v>
      </c>
      <c r="S27">
        <f>INDEX(KidGPAs,MATCH(B27,KidIDs,0))</f>
        <v>0</v>
      </c>
      <c r="T27">
        <f>INDEX(KidSATs,MATCH(B27,KidIDs,0))</f>
        <v>0</v>
      </c>
      <c r="U27">
        <f>INDEX(Strats,MATCH(B27,KidIDs,0))</f>
        <v>0</v>
      </c>
      <c r="V27">
        <f>INDEX(KidRace,MATCH(B27,KidIDs,0))</f>
        <v>0</v>
      </c>
      <c r="W27">
        <f>IF(OR(V27="M",V27="I"),"H",IF(V27="P","A",V27))</f>
        <v>0</v>
      </c>
      <c r="X27">
        <f>INDEX(StudentTargets,MATCH(B27,KidIDs,0))</f>
        <v>0</v>
      </c>
      <c r="Y27">
        <f>INDEX(ReachStudentTargets,MATCH(B27,KidIDs,0))</f>
        <v>0</v>
      </c>
      <c r="Z27">
        <f>IF(OR(M27="Posse"),1,0)</f>
        <v>0</v>
      </c>
      <c r="AA27">
        <f>IF(ISNUMBER(INDEX(AllCollegeGR, MATCH(N27,AllCollegeNCES,0))),ROUND(INDEX(AllCollegeGR, MATCH(N27,AllCollegeNCES,0))+Z27*IF(INDEX(AllCollegeGR, MATCH(N27,AllCollegeNCES,0))&gt;0.7,(1-INDEX(AllCollegeGR, MATCH(N27,AllCollegeNCES,0)))/2,0.15),2),INDEX(AllCollegeGR, MATCH(N27,AllCollegeNCES,0)))</f>
        <v>0</v>
      </c>
      <c r="AB27">
        <f>IF(ISNUMBER(INDEX(AllCollegeAAHGR, MATCH(N27,AllCollegeNCES,0))),ROUND(INDEX(AllCollegeAAHGR, MATCH(N27,AllCollegeNCES,0))+Z27*IF(INDEX(AllCollegeAAHGR, MATCH(N27,AllCollegeNCES,0))&gt;0.7,(1-INDEX(AllCollegeAAHGR, MATCH(N27,AllCollegeNCES,0)))/2,0.15),2),INDEX(AllCollegeAAHGR, MATCH(N27,AllCollegeNCES,0)))</f>
        <v>0</v>
      </c>
      <c r="AC27">
        <f>IF(OR(W27="H",W27="B"),INDEX(AllCollegeSAT25, MATCH(N27,AllCollegeNCES,0)),INDEX(AllCollegeSAT50, MATCH(N27,AllCollegeNCES,0)))</f>
        <v>0</v>
      </c>
      <c r="AD27">
        <f>INDEX(CustomWeightsGPA,MATCH(W27&amp;":"&amp;N27,CustomWeightsIndex,0))</f>
        <v>0</v>
      </c>
      <c r="AE27">
        <f>INDEX(CustomWeightsSAT,MATCH(W27&amp;":"&amp;N27,CustomWeightsIndex,0))</f>
        <v>0</v>
      </c>
      <c r="AF27">
        <f>INDEX(CustomWeightsIntercept,MATCH(W27&amp;":"&amp;N27,CustomWeightsIndex,0))</f>
        <v>0</v>
      </c>
      <c r="AG27">
        <f>AD27*S27+AE27*T27+AF27</f>
        <v>0</v>
      </c>
      <c r="AH27">
        <f>INDEX(CoefficientsGPA,MATCH(W27&amp;":"&amp;R27,CoefficientsIndex,0))</f>
        <v>0</v>
      </c>
      <c r="AI27">
        <f>INDEX(CoefficientsSAT,MATCH(W27&amp;":"&amp;R27,CoefficientsIndex,0))</f>
        <v>0</v>
      </c>
      <c r="AJ27">
        <f>INDEX(CoefficientsIntercept,MATCH(W27&amp;":"&amp;R27,CoefficientsIndex,0))</f>
        <v>0</v>
      </c>
      <c r="AK27">
        <f>AH27*S27+(T27-AC27)*AI27+AJ27</f>
        <v>0</v>
      </c>
      <c r="AL27">
        <f>IF(ISNUMBER(AG27),AG27,AK27)</f>
        <v>0</v>
      </c>
      <c r="AM27">
        <f>IF(ISNUMBER(AL27),IF(ISNUMBER(AH27),IF(AND(AH27=1,AI27=1,AJ27=1),100,MIN(99,ROUND(100*EXP(AL27)/(1+EXP(AL27)),2))),MIN(99,ROUND(100*EXP(AL27)/(1+EXP(AL27)),2))),IF(ISTEXT(R27),IF(LEFT(R27,1)="2",100,"N/A"),"N/A"))</f>
        <v>0</v>
      </c>
      <c r="AN27">
        <f>IF(ISNUMBER(AM27),IF(AM27&gt;=99,IF(OR(U27=10,U27=11),MatchLabel,SureThingLabel),IF(AM27&gt;=95,SecureLabel,IF(AM27&gt;=80,SafetyLabel,IF(AM27&gt;=50,MatchLabel,IF(AM27&gt;=20,ReachLabel,IF(AM27&gt;=10,LongshotLabel,HailMaryLabel)))))),"Other")</f>
        <v>0</v>
      </c>
      <c r="AO27">
        <f>IF(OR(I27="accepted",I27="cond. accept",I27="summer admit"),IF(J27="yes","CHOICE!","Accepted!"),IF(I27="guar. transfer","Guar. Xfer",IF(I27="denied","Denied",IF(K27=1,"Waitlist",IF(L27=1,"Deferred",IF(G27="pending","Pending",IF(OR(G27="initial materials submitted",G27="mid-year submitted",G27="final submitted"),"Submitted",IF(H27="interest","Interest","?"))))))))</f>
        <v>0</v>
      </c>
      <c r="AP27">
        <f>IF(OR(AN27=ReachLabel,AN27=LongshotLabel,AN27=HailMaryLabel),1,0)</f>
        <v>0</v>
      </c>
      <c r="AQ27">
        <f>IF(OR(AP27=1,AN27=MatchLabel),1,0)</f>
        <v>0</v>
      </c>
      <c r="AR27">
        <f>IF(OR(AN27=MatchLabel,AN27=SafetyLabel,AN27=SecureLabel,AN27=SureThingLabel),1,0)</f>
        <v>0</v>
      </c>
      <c r="AS27">
        <f>IF(OR(W27="H",W27="B",W27="I",W27="M"),IF(ISNUMBER(AB27),ROUND(AB27,2),0),IF(ISNUMBER(AA27),ROUND(AA27,2),0))</f>
        <v>0</v>
      </c>
      <c r="AT27">
        <f>IF(AS27&gt;=X27,1,0)</f>
        <v>0</v>
      </c>
      <c r="AU27">
        <f>IF(AS27&gt;=Y27,1,0)</f>
        <v>0</v>
      </c>
      <c r="AV27">
        <f>IF(AS27&lt;(X27-0.10),1,0)</f>
        <v>0</v>
      </c>
      <c r="AW27">
        <f>1-AM27/100</f>
        <v>0</v>
      </c>
      <c r="AX27">
        <f>IF(AQ27=1,AW27,1)</f>
        <v>0</v>
      </c>
      <c r="AY27">
        <f>IF(AP27=1,AW27,1)</f>
        <v>0</v>
      </c>
      <c r="AZ27">
        <f>IF(AND(AT27=1,ISNUMBER(AW27)),$AW27,1)</f>
        <v>0</v>
      </c>
      <c r="BA27">
        <f>IF(AND(AU27=1,ISNUMBER(AW27)),$AW27,1)</f>
        <v>0</v>
      </c>
      <c r="BB27">
        <f>IF(ISNUMBER(AB27),INDEX(AllCollegeMoney, MATCH(N27,AllCollegeNCES,0)),0)</f>
        <v>0</v>
      </c>
      <c r="BC27">
        <f>IF(AND(AT27=1,ISNUMBER(AW27),BB27=1),$AW27,1)</f>
        <v>0</v>
      </c>
      <c r="BD27">
        <f>IF(AND(AU27=1,ISNUMBER(AW27),BB27=1),$AW27,1)</f>
        <v>0</v>
      </c>
      <c r="BE27">
        <f>IF(ISNUMBER(AB27),INDEX(AllCollegeILPub, MATCH(N27,AllCollegeNCES,0)),0)</f>
        <v>0</v>
      </c>
      <c r="BF27">
        <f>IF(AN27=ReachLabel,AS27,0)</f>
        <v>0</v>
      </c>
      <c r="BG27">
        <f>IF(AN27=MatchLabel,AS27,0)</f>
        <v>0</v>
      </c>
      <c r="BH27">
        <f>IF(AN27=SafetyLabel,AS27,0)</f>
        <v>0</v>
      </c>
      <c r="BI27">
        <f>IF(AN27=SecureLabel,AS27,0)</f>
        <v>0</v>
      </c>
      <c r="BJ27">
        <f>IF(AN27=SureThingLabel,AS27,0)</f>
        <v>0</v>
      </c>
      <c r="BK27">
        <f>MAX(BF27:BJ27)</f>
        <v>0</v>
      </c>
      <c r="BL27">
        <f>MAX(BG27:BJ27)</f>
        <v>0</v>
      </c>
      <c r="BM27">
        <f>MAX(BH27:BJ27)</f>
        <v>0</v>
      </c>
      <c r="BN27">
        <f>IF(AND(AN27=ReachLabel,BB27=1),AS27,0)</f>
        <v>0</v>
      </c>
      <c r="BO27">
        <f>IF(AND(AN27=MatchLabel,BB27=1),AS27,0)</f>
        <v>0</v>
      </c>
      <c r="BP27">
        <f>IF(AND(AN27=SafetyLabel,BB27=1),AS27,0)</f>
        <v>0</v>
      </c>
      <c r="BQ27">
        <f>IF(AND(AN27=SecureLabel,BB27=1),AS27,0)</f>
        <v>0</v>
      </c>
      <c r="BR27">
        <f>IF(AND(AN27=SureThingLabel,BB27=1),AS27,0)</f>
        <v>0</v>
      </c>
      <c r="BS27">
        <f>MAX(BN27:BR27)</f>
        <v>0</v>
      </c>
      <c r="BT27">
        <f>MAX(BO27:BR27)</f>
        <v>0</v>
      </c>
      <c r="BU27">
        <f>MAX(BP27:BR27)</f>
        <v>0</v>
      </c>
      <c r="BV27">
        <f>IF(ISNUMBER(AB27),INDEX(AllCollegeChicago, MATCH(N27,AllCollegeNCES,0))*BB27,0)</f>
        <v>0</v>
      </c>
      <c r="BW27">
        <f>IF(ISNUMBER(AB27),INDEX(AllCollegeMoneyCode, MATCH(N27,AllCollegeNCES,0)),"?")</f>
        <v>0</v>
      </c>
      <c r="BX27">
        <f>IF(OR(BW27="---",BW27="--",BW27="+/--",BW27="+/---"),1,0)</f>
        <v>0</v>
      </c>
      <c r="BY27">
        <f>BB27*AR27*AT27</f>
        <v>0</v>
      </c>
    </row>
    <row r="28" spans="1:77">
      <c r="A28" t="s">
        <v>96</v>
      </c>
      <c r="B28">
        <v>22026339</v>
      </c>
      <c r="C28" t="s">
        <v>315</v>
      </c>
      <c r="D28" t="s">
        <v>316</v>
      </c>
      <c r="E28" t="s">
        <v>446</v>
      </c>
      <c r="F28" t="s">
        <v>474</v>
      </c>
      <c r="G28" t="s">
        <v>448</v>
      </c>
      <c r="H28" t="s">
        <v>449</v>
      </c>
      <c r="I28" t="s">
        <v>450</v>
      </c>
      <c r="J28" t="s">
        <v>450</v>
      </c>
      <c r="K28">
        <v>0</v>
      </c>
      <c r="L28" t="s">
        <v>446</v>
      </c>
      <c r="M28" t="s">
        <v>446</v>
      </c>
      <c r="N28">
        <v>170532</v>
      </c>
      <c r="O28">
        <f>INDEX(Counselor,MATCH(B28,KidIDs,0))</f>
        <v>0</v>
      </c>
      <c r="P28">
        <f>INDEX(Advisors,MATCH(B28,KidIDs,0))</f>
        <v>0</v>
      </c>
      <c r="Q28">
        <f>INDEX(Cohort,MATCH(B28,KidIDs,0))</f>
        <v>0</v>
      </c>
      <c r="R28">
        <f>INDEX(AllCollegeBarrons,MATCH(N28,AllCollegeNCES,0))</f>
        <v>0</v>
      </c>
      <c r="S28">
        <f>INDEX(KidGPAs,MATCH(B28,KidIDs,0))</f>
        <v>0</v>
      </c>
      <c r="T28">
        <f>INDEX(KidSATs,MATCH(B28,KidIDs,0))</f>
        <v>0</v>
      </c>
      <c r="U28">
        <f>INDEX(Strats,MATCH(B28,KidIDs,0))</f>
        <v>0</v>
      </c>
      <c r="V28">
        <f>INDEX(KidRace,MATCH(B28,KidIDs,0))</f>
        <v>0</v>
      </c>
      <c r="W28">
        <f>IF(OR(V28="M",V28="I"),"H",IF(V28="P","A",V28))</f>
        <v>0</v>
      </c>
      <c r="X28">
        <f>INDEX(StudentTargets,MATCH(B28,KidIDs,0))</f>
        <v>0</v>
      </c>
      <c r="Y28">
        <f>INDEX(ReachStudentTargets,MATCH(B28,KidIDs,0))</f>
        <v>0</v>
      </c>
      <c r="Z28">
        <f>IF(OR(M28="Posse"),1,0)</f>
        <v>0</v>
      </c>
      <c r="AA28">
        <f>IF(ISNUMBER(INDEX(AllCollegeGR, MATCH(N28,AllCollegeNCES,0))),ROUND(INDEX(AllCollegeGR, MATCH(N28,AllCollegeNCES,0))+Z28*IF(INDEX(AllCollegeGR, MATCH(N28,AllCollegeNCES,0))&gt;0.7,(1-INDEX(AllCollegeGR, MATCH(N28,AllCollegeNCES,0)))/2,0.15),2),INDEX(AllCollegeGR, MATCH(N28,AllCollegeNCES,0)))</f>
        <v>0</v>
      </c>
      <c r="AB28">
        <f>IF(ISNUMBER(INDEX(AllCollegeAAHGR, MATCH(N28,AllCollegeNCES,0))),ROUND(INDEX(AllCollegeAAHGR, MATCH(N28,AllCollegeNCES,0))+Z28*IF(INDEX(AllCollegeAAHGR, MATCH(N28,AllCollegeNCES,0))&gt;0.7,(1-INDEX(AllCollegeAAHGR, MATCH(N28,AllCollegeNCES,0)))/2,0.15),2),INDEX(AllCollegeAAHGR, MATCH(N28,AllCollegeNCES,0)))</f>
        <v>0</v>
      </c>
      <c r="AC28">
        <f>IF(OR(W28="H",W28="B"),INDEX(AllCollegeSAT25, MATCH(N28,AllCollegeNCES,0)),INDEX(AllCollegeSAT50, MATCH(N28,AllCollegeNCES,0)))</f>
        <v>0</v>
      </c>
      <c r="AD28">
        <f>INDEX(CustomWeightsGPA,MATCH(W28&amp;":"&amp;N28,CustomWeightsIndex,0))</f>
        <v>0</v>
      </c>
      <c r="AE28">
        <f>INDEX(CustomWeightsSAT,MATCH(W28&amp;":"&amp;N28,CustomWeightsIndex,0))</f>
        <v>0</v>
      </c>
      <c r="AF28">
        <f>INDEX(CustomWeightsIntercept,MATCH(W28&amp;":"&amp;N28,CustomWeightsIndex,0))</f>
        <v>0</v>
      </c>
      <c r="AG28">
        <f>AD28*S28+AE28*T28+AF28</f>
        <v>0</v>
      </c>
      <c r="AH28">
        <f>INDEX(CoefficientsGPA,MATCH(W28&amp;":"&amp;R28,CoefficientsIndex,0))</f>
        <v>0</v>
      </c>
      <c r="AI28">
        <f>INDEX(CoefficientsSAT,MATCH(W28&amp;":"&amp;R28,CoefficientsIndex,0))</f>
        <v>0</v>
      </c>
      <c r="AJ28">
        <f>INDEX(CoefficientsIntercept,MATCH(W28&amp;":"&amp;R28,CoefficientsIndex,0))</f>
        <v>0</v>
      </c>
      <c r="AK28">
        <f>AH28*S28+(T28-AC28)*AI28+AJ28</f>
        <v>0</v>
      </c>
      <c r="AL28">
        <f>IF(ISNUMBER(AG28),AG28,AK28)</f>
        <v>0</v>
      </c>
      <c r="AM28">
        <f>IF(ISNUMBER(AL28),IF(ISNUMBER(AH28),IF(AND(AH28=1,AI28=1,AJ28=1),100,MIN(99,ROUND(100*EXP(AL28)/(1+EXP(AL28)),2))),MIN(99,ROUND(100*EXP(AL28)/(1+EXP(AL28)),2))),IF(ISTEXT(R28),IF(LEFT(R28,1)="2",100,"N/A"),"N/A"))</f>
        <v>0</v>
      </c>
      <c r="AN28">
        <f>IF(ISNUMBER(AM28),IF(AM28&gt;=99,IF(OR(U28=10,U28=11),MatchLabel,SureThingLabel),IF(AM28&gt;=95,SecureLabel,IF(AM28&gt;=80,SafetyLabel,IF(AM28&gt;=50,MatchLabel,IF(AM28&gt;=20,ReachLabel,IF(AM28&gt;=10,LongshotLabel,HailMaryLabel)))))),"Other")</f>
        <v>0</v>
      </c>
      <c r="AO28">
        <f>IF(OR(I28="accepted",I28="cond. accept",I28="summer admit"),IF(J28="yes","CHOICE!","Accepted!"),IF(I28="guar. transfer","Guar. Xfer",IF(I28="denied","Denied",IF(K28=1,"Waitlist",IF(L28=1,"Deferred",IF(G28="pending","Pending",IF(OR(G28="initial materials submitted",G28="mid-year submitted",G28="final submitted"),"Submitted",IF(H28="interest","Interest","?"))))))))</f>
        <v>0</v>
      </c>
      <c r="AP28">
        <f>IF(OR(AN28=ReachLabel,AN28=LongshotLabel,AN28=HailMaryLabel),1,0)</f>
        <v>0</v>
      </c>
      <c r="AQ28">
        <f>IF(OR(AP28=1,AN28=MatchLabel),1,0)</f>
        <v>0</v>
      </c>
      <c r="AR28">
        <f>IF(OR(AN28=MatchLabel,AN28=SafetyLabel,AN28=SecureLabel,AN28=SureThingLabel),1,0)</f>
        <v>0</v>
      </c>
      <c r="AS28">
        <f>IF(OR(W28="H",W28="B",W28="I",W28="M"),IF(ISNUMBER(AB28),ROUND(AB28,2),0),IF(ISNUMBER(AA28),ROUND(AA28,2),0))</f>
        <v>0</v>
      </c>
      <c r="AT28">
        <f>IF(AS28&gt;=X28,1,0)</f>
        <v>0</v>
      </c>
      <c r="AU28">
        <f>IF(AS28&gt;=Y28,1,0)</f>
        <v>0</v>
      </c>
      <c r="AV28">
        <f>IF(AS28&lt;(X28-0.10),1,0)</f>
        <v>0</v>
      </c>
      <c r="AW28">
        <f>1-AM28/100</f>
        <v>0</v>
      </c>
      <c r="AX28">
        <f>IF(AQ28=1,AW28,1)</f>
        <v>0</v>
      </c>
      <c r="AY28">
        <f>IF(AP28=1,AW28,1)</f>
        <v>0</v>
      </c>
      <c r="AZ28">
        <f>IF(AND(AT28=1,ISNUMBER(AW28)),$AW28,1)</f>
        <v>0</v>
      </c>
      <c r="BA28">
        <f>IF(AND(AU28=1,ISNUMBER(AW28)),$AW28,1)</f>
        <v>0</v>
      </c>
      <c r="BB28">
        <f>IF(ISNUMBER(AB28),INDEX(AllCollegeMoney, MATCH(N28,AllCollegeNCES,0)),0)</f>
        <v>0</v>
      </c>
      <c r="BC28">
        <f>IF(AND(AT28=1,ISNUMBER(AW28),BB28=1),$AW28,1)</f>
        <v>0</v>
      </c>
      <c r="BD28">
        <f>IF(AND(AU28=1,ISNUMBER(AW28),BB28=1),$AW28,1)</f>
        <v>0</v>
      </c>
      <c r="BE28">
        <f>IF(ISNUMBER(AB28),INDEX(AllCollegeILPub, MATCH(N28,AllCollegeNCES,0)),0)</f>
        <v>0</v>
      </c>
      <c r="BF28">
        <f>IF(AN28=ReachLabel,AS28,0)</f>
        <v>0</v>
      </c>
      <c r="BG28">
        <f>IF(AN28=MatchLabel,AS28,0)</f>
        <v>0</v>
      </c>
      <c r="BH28">
        <f>IF(AN28=SafetyLabel,AS28,0)</f>
        <v>0</v>
      </c>
      <c r="BI28">
        <f>IF(AN28=SecureLabel,AS28,0)</f>
        <v>0</v>
      </c>
      <c r="BJ28">
        <f>IF(AN28=SureThingLabel,AS28,0)</f>
        <v>0</v>
      </c>
      <c r="BK28">
        <f>MAX(BF28:BJ28)</f>
        <v>0</v>
      </c>
      <c r="BL28">
        <f>MAX(BG28:BJ28)</f>
        <v>0</v>
      </c>
      <c r="BM28">
        <f>MAX(BH28:BJ28)</f>
        <v>0</v>
      </c>
      <c r="BN28">
        <f>IF(AND(AN28=ReachLabel,BB28=1),AS28,0)</f>
        <v>0</v>
      </c>
      <c r="BO28">
        <f>IF(AND(AN28=MatchLabel,BB28=1),AS28,0)</f>
        <v>0</v>
      </c>
      <c r="BP28">
        <f>IF(AND(AN28=SafetyLabel,BB28=1),AS28,0)</f>
        <v>0</v>
      </c>
      <c r="BQ28">
        <f>IF(AND(AN28=SecureLabel,BB28=1),AS28,0)</f>
        <v>0</v>
      </c>
      <c r="BR28">
        <f>IF(AND(AN28=SureThingLabel,BB28=1),AS28,0)</f>
        <v>0</v>
      </c>
      <c r="BS28">
        <f>MAX(BN28:BR28)</f>
        <v>0</v>
      </c>
      <c r="BT28">
        <f>MAX(BO28:BR28)</f>
        <v>0</v>
      </c>
      <c r="BU28">
        <f>MAX(BP28:BR28)</f>
        <v>0</v>
      </c>
      <c r="BV28">
        <f>IF(ISNUMBER(AB28),INDEX(AllCollegeChicago, MATCH(N28,AllCollegeNCES,0))*BB28,0)</f>
        <v>0</v>
      </c>
      <c r="BW28">
        <f>IF(ISNUMBER(AB28),INDEX(AllCollegeMoneyCode, MATCH(N28,AllCollegeNCES,0)),"?")</f>
        <v>0</v>
      </c>
      <c r="BX28">
        <f>IF(OR(BW28="---",BW28="--",BW28="+/--",BW28="+/---"),1,0)</f>
        <v>0</v>
      </c>
      <c r="BY28">
        <f>BB28*AR28*AT28</f>
        <v>0</v>
      </c>
    </row>
    <row r="29" spans="1:77">
      <c r="A29" t="s">
        <v>96</v>
      </c>
      <c r="B29">
        <v>22026339</v>
      </c>
      <c r="C29" t="s">
        <v>315</v>
      </c>
      <c r="D29" t="s">
        <v>316</v>
      </c>
      <c r="E29" t="s">
        <v>446</v>
      </c>
      <c r="F29" t="s">
        <v>475</v>
      </c>
      <c r="G29" t="s">
        <v>448</v>
      </c>
      <c r="H29" t="s">
        <v>449</v>
      </c>
      <c r="I29" t="s">
        <v>450</v>
      </c>
      <c r="J29" t="s">
        <v>450</v>
      </c>
      <c r="K29">
        <v>0</v>
      </c>
      <c r="L29" t="s">
        <v>446</v>
      </c>
      <c r="M29" t="s">
        <v>446</v>
      </c>
      <c r="N29">
        <v>145637</v>
      </c>
      <c r="O29">
        <f>INDEX(Counselor,MATCH(B29,KidIDs,0))</f>
        <v>0</v>
      </c>
      <c r="P29">
        <f>INDEX(Advisors,MATCH(B29,KidIDs,0))</f>
        <v>0</v>
      </c>
      <c r="Q29">
        <f>INDEX(Cohort,MATCH(B29,KidIDs,0))</f>
        <v>0</v>
      </c>
      <c r="R29">
        <f>INDEX(AllCollegeBarrons,MATCH(N29,AllCollegeNCES,0))</f>
        <v>0</v>
      </c>
      <c r="S29">
        <f>INDEX(KidGPAs,MATCH(B29,KidIDs,0))</f>
        <v>0</v>
      </c>
      <c r="T29">
        <f>INDEX(KidSATs,MATCH(B29,KidIDs,0))</f>
        <v>0</v>
      </c>
      <c r="U29">
        <f>INDEX(Strats,MATCH(B29,KidIDs,0))</f>
        <v>0</v>
      </c>
      <c r="V29">
        <f>INDEX(KidRace,MATCH(B29,KidIDs,0))</f>
        <v>0</v>
      </c>
      <c r="W29">
        <f>IF(OR(V29="M",V29="I"),"H",IF(V29="P","A",V29))</f>
        <v>0</v>
      </c>
      <c r="X29">
        <f>INDEX(StudentTargets,MATCH(B29,KidIDs,0))</f>
        <v>0</v>
      </c>
      <c r="Y29">
        <f>INDEX(ReachStudentTargets,MATCH(B29,KidIDs,0))</f>
        <v>0</v>
      </c>
      <c r="Z29">
        <f>IF(OR(M29="Posse"),1,0)</f>
        <v>0</v>
      </c>
      <c r="AA29">
        <f>IF(ISNUMBER(INDEX(AllCollegeGR, MATCH(N29,AllCollegeNCES,0))),ROUND(INDEX(AllCollegeGR, MATCH(N29,AllCollegeNCES,0))+Z29*IF(INDEX(AllCollegeGR, MATCH(N29,AllCollegeNCES,0))&gt;0.7,(1-INDEX(AllCollegeGR, MATCH(N29,AllCollegeNCES,0)))/2,0.15),2),INDEX(AllCollegeGR, MATCH(N29,AllCollegeNCES,0)))</f>
        <v>0</v>
      </c>
      <c r="AB29">
        <f>IF(ISNUMBER(INDEX(AllCollegeAAHGR, MATCH(N29,AllCollegeNCES,0))),ROUND(INDEX(AllCollegeAAHGR, MATCH(N29,AllCollegeNCES,0))+Z29*IF(INDEX(AllCollegeAAHGR, MATCH(N29,AllCollegeNCES,0))&gt;0.7,(1-INDEX(AllCollegeAAHGR, MATCH(N29,AllCollegeNCES,0)))/2,0.15),2),INDEX(AllCollegeAAHGR, MATCH(N29,AllCollegeNCES,0)))</f>
        <v>0</v>
      </c>
      <c r="AC29">
        <f>IF(OR(W29="H",W29="B"),INDEX(AllCollegeSAT25, MATCH(N29,AllCollegeNCES,0)),INDEX(AllCollegeSAT50, MATCH(N29,AllCollegeNCES,0)))</f>
        <v>0</v>
      </c>
      <c r="AD29">
        <f>INDEX(CustomWeightsGPA,MATCH(W29&amp;":"&amp;N29,CustomWeightsIndex,0))</f>
        <v>0</v>
      </c>
      <c r="AE29">
        <f>INDEX(CustomWeightsSAT,MATCH(W29&amp;":"&amp;N29,CustomWeightsIndex,0))</f>
        <v>0</v>
      </c>
      <c r="AF29">
        <f>INDEX(CustomWeightsIntercept,MATCH(W29&amp;":"&amp;N29,CustomWeightsIndex,0))</f>
        <v>0</v>
      </c>
      <c r="AG29">
        <f>AD29*S29+AE29*T29+AF29</f>
        <v>0</v>
      </c>
      <c r="AH29">
        <f>INDEX(CoefficientsGPA,MATCH(W29&amp;":"&amp;R29,CoefficientsIndex,0))</f>
        <v>0</v>
      </c>
      <c r="AI29">
        <f>INDEX(CoefficientsSAT,MATCH(W29&amp;":"&amp;R29,CoefficientsIndex,0))</f>
        <v>0</v>
      </c>
      <c r="AJ29">
        <f>INDEX(CoefficientsIntercept,MATCH(W29&amp;":"&amp;R29,CoefficientsIndex,0))</f>
        <v>0</v>
      </c>
      <c r="AK29">
        <f>AH29*S29+(T29-AC29)*AI29+AJ29</f>
        <v>0</v>
      </c>
      <c r="AL29">
        <f>IF(ISNUMBER(AG29),AG29,AK29)</f>
        <v>0</v>
      </c>
      <c r="AM29">
        <f>IF(ISNUMBER(AL29),IF(ISNUMBER(AH29),IF(AND(AH29=1,AI29=1,AJ29=1),100,MIN(99,ROUND(100*EXP(AL29)/(1+EXP(AL29)),2))),MIN(99,ROUND(100*EXP(AL29)/(1+EXP(AL29)),2))),IF(ISTEXT(R29),IF(LEFT(R29,1)="2",100,"N/A"),"N/A"))</f>
        <v>0</v>
      </c>
      <c r="AN29">
        <f>IF(ISNUMBER(AM29),IF(AM29&gt;=99,IF(OR(U29=10,U29=11),MatchLabel,SureThingLabel),IF(AM29&gt;=95,SecureLabel,IF(AM29&gt;=80,SafetyLabel,IF(AM29&gt;=50,MatchLabel,IF(AM29&gt;=20,ReachLabel,IF(AM29&gt;=10,LongshotLabel,HailMaryLabel)))))),"Other")</f>
        <v>0</v>
      </c>
      <c r="AO29">
        <f>IF(OR(I29="accepted",I29="cond. accept",I29="summer admit"),IF(J29="yes","CHOICE!","Accepted!"),IF(I29="guar. transfer","Guar. Xfer",IF(I29="denied","Denied",IF(K29=1,"Waitlist",IF(L29=1,"Deferred",IF(G29="pending","Pending",IF(OR(G29="initial materials submitted",G29="mid-year submitted",G29="final submitted"),"Submitted",IF(H29="interest","Interest","?"))))))))</f>
        <v>0</v>
      </c>
      <c r="AP29">
        <f>IF(OR(AN29=ReachLabel,AN29=LongshotLabel,AN29=HailMaryLabel),1,0)</f>
        <v>0</v>
      </c>
      <c r="AQ29">
        <f>IF(OR(AP29=1,AN29=MatchLabel),1,0)</f>
        <v>0</v>
      </c>
      <c r="AR29">
        <f>IF(OR(AN29=MatchLabel,AN29=SafetyLabel,AN29=SecureLabel,AN29=SureThingLabel),1,0)</f>
        <v>0</v>
      </c>
      <c r="AS29">
        <f>IF(OR(W29="H",W29="B",W29="I",W29="M"),IF(ISNUMBER(AB29),ROUND(AB29,2),0),IF(ISNUMBER(AA29),ROUND(AA29,2),0))</f>
        <v>0</v>
      </c>
      <c r="AT29">
        <f>IF(AS29&gt;=X29,1,0)</f>
        <v>0</v>
      </c>
      <c r="AU29">
        <f>IF(AS29&gt;=Y29,1,0)</f>
        <v>0</v>
      </c>
      <c r="AV29">
        <f>IF(AS29&lt;(X29-0.10),1,0)</f>
        <v>0</v>
      </c>
      <c r="AW29">
        <f>1-AM29/100</f>
        <v>0</v>
      </c>
      <c r="AX29">
        <f>IF(AQ29=1,AW29,1)</f>
        <v>0</v>
      </c>
      <c r="AY29">
        <f>IF(AP29=1,AW29,1)</f>
        <v>0</v>
      </c>
      <c r="AZ29">
        <f>IF(AND(AT29=1,ISNUMBER(AW29)),$AW29,1)</f>
        <v>0</v>
      </c>
      <c r="BA29">
        <f>IF(AND(AU29=1,ISNUMBER(AW29)),$AW29,1)</f>
        <v>0</v>
      </c>
      <c r="BB29">
        <f>IF(ISNUMBER(AB29),INDEX(AllCollegeMoney, MATCH(N29,AllCollegeNCES,0)),0)</f>
        <v>0</v>
      </c>
      <c r="BC29">
        <f>IF(AND(AT29=1,ISNUMBER(AW29),BB29=1),$AW29,1)</f>
        <v>0</v>
      </c>
      <c r="BD29">
        <f>IF(AND(AU29=1,ISNUMBER(AW29),BB29=1),$AW29,1)</f>
        <v>0</v>
      </c>
      <c r="BE29">
        <f>IF(ISNUMBER(AB29),INDEX(AllCollegeILPub, MATCH(N29,AllCollegeNCES,0)),0)</f>
        <v>0</v>
      </c>
      <c r="BF29">
        <f>IF(AN29=ReachLabel,AS29,0)</f>
        <v>0</v>
      </c>
      <c r="BG29">
        <f>IF(AN29=MatchLabel,AS29,0)</f>
        <v>0</v>
      </c>
      <c r="BH29">
        <f>IF(AN29=SafetyLabel,AS29,0)</f>
        <v>0</v>
      </c>
      <c r="BI29">
        <f>IF(AN29=SecureLabel,AS29,0)</f>
        <v>0</v>
      </c>
      <c r="BJ29">
        <f>IF(AN29=SureThingLabel,AS29,0)</f>
        <v>0</v>
      </c>
      <c r="BK29">
        <f>MAX(BF29:BJ29)</f>
        <v>0</v>
      </c>
      <c r="BL29">
        <f>MAX(BG29:BJ29)</f>
        <v>0</v>
      </c>
      <c r="BM29">
        <f>MAX(BH29:BJ29)</f>
        <v>0</v>
      </c>
      <c r="BN29">
        <f>IF(AND(AN29=ReachLabel,BB29=1),AS29,0)</f>
        <v>0</v>
      </c>
      <c r="BO29">
        <f>IF(AND(AN29=MatchLabel,BB29=1),AS29,0)</f>
        <v>0</v>
      </c>
      <c r="BP29">
        <f>IF(AND(AN29=SafetyLabel,BB29=1),AS29,0)</f>
        <v>0</v>
      </c>
      <c r="BQ29">
        <f>IF(AND(AN29=SecureLabel,BB29=1),AS29,0)</f>
        <v>0</v>
      </c>
      <c r="BR29">
        <f>IF(AND(AN29=SureThingLabel,BB29=1),AS29,0)</f>
        <v>0</v>
      </c>
      <c r="BS29">
        <f>MAX(BN29:BR29)</f>
        <v>0</v>
      </c>
      <c r="BT29">
        <f>MAX(BO29:BR29)</f>
        <v>0</v>
      </c>
      <c r="BU29">
        <f>MAX(BP29:BR29)</f>
        <v>0</v>
      </c>
      <c r="BV29">
        <f>IF(ISNUMBER(AB29),INDEX(AllCollegeChicago, MATCH(N29,AllCollegeNCES,0))*BB29,0)</f>
        <v>0</v>
      </c>
      <c r="BW29">
        <f>IF(ISNUMBER(AB29),INDEX(AllCollegeMoneyCode, MATCH(N29,AllCollegeNCES,0)),"?")</f>
        <v>0</v>
      </c>
      <c r="BX29">
        <f>IF(OR(BW29="---",BW29="--",BW29="+/--",BW29="+/---"),1,0)</f>
        <v>0</v>
      </c>
      <c r="BY29">
        <f>BB29*AR29*AT29</f>
        <v>0</v>
      </c>
    </row>
    <row r="30" spans="1:77">
      <c r="A30" t="s">
        <v>96</v>
      </c>
      <c r="B30">
        <v>22026339</v>
      </c>
      <c r="C30" t="s">
        <v>315</v>
      </c>
      <c r="D30" t="s">
        <v>316</v>
      </c>
      <c r="E30" t="s">
        <v>446</v>
      </c>
      <c r="F30" t="s">
        <v>476</v>
      </c>
      <c r="G30" t="s">
        <v>448</v>
      </c>
      <c r="H30" t="s">
        <v>449</v>
      </c>
      <c r="I30" t="s">
        <v>450</v>
      </c>
      <c r="J30" t="s">
        <v>450</v>
      </c>
      <c r="K30">
        <v>0</v>
      </c>
      <c r="L30" t="s">
        <v>446</v>
      </c>
      <c r="M30" t="s">
        <v>446</v>
      </c>
      <c r="N30">
        <v>213668</v>
      </c>
      <c r="O30">
        <f>INDEX(Counselor,MATCH(B30,KidIDs,0))</f>
        <v>0</v>
      </c>
      <c r="P30">
        <f>INDEX(Advisors,MATCH(B30,KidIDs,0))</f>
        <v>0</v>
      </c>
      <c r="Q30">
        <f>INDEX(Cohort,MATCH(B30,KidIDs,0))</f>
        <v>0</v>
      </c>
      <c r="R30">
        <f>INDEX(AllCollegeBarrons,MATCH(N30,AllCollegeNCES,0))</f>
        <v>0</v>
      </c>
      <c r="S30">
        <f>INDEX(KidGPAs,MATCH(B30,KidIDs,0))</f>
        <v>0</v>
      </c>
      <c r="T30">
        <f>INDEX(KidSATs,MATCH(B30,KidIDs,0))</f>
        <v>0</v>
      </c>
      <c r="U30">
        <f>INDEX(Strats,MATCH(B30,KidIDs,0))</f>
        <v>0</v>
      </c>
      <c r="V30">
        <f>INDEX(KidRace,MATCH(B30,KidIDs,0))</f>
        <v>0</v>
      </c>
      <c r="W30">
        <f>IF(OR(V30="M",V30="I"),"H",IF(V30="P","A",V30))</f>
        <v>0</v>
      </c>
      <c r="X30">
        <f>INDEX(StudentTargets,MATCH(B30,KidIDs,0))</f>
        <v>0</v>
      </c>
      <c r="Y30">
        <f>INDEX(ReachStudentTargets,MATCH(B30,KidIDs,0))</f>
        <v>0</v>
      </c>
      <c r="Z30">
        <f>IF(OR(M30="Posse"),1,0)</f>
        <v>0</v>
      </c>
      <c r="AA30">
        <f>IF(ISNUMBER(INDEX(AllCollegeGR, MATCH(N30,AllCollegeNCES,0))),ROUND(INDEX(AllCollegeGR, MATCH(N30,AllCollegeNCES,0))+Z30*IF(INDEX(AllCollegeGR, MATCH(N30,AllCollegeNCES,0))&gt;0.7,(1-INDEX(AllCollegeGR, MATCH(N30,AllCollegeNCES,0)))/2,0.15),2),INDEX(AllCollegeGR, MATCH(N30,AllCollegeNCES,0)))</f>
        <v>0</v>
      </c>
      <c r="AB30">
        <f>IF(ISNUMBER(INDEX(AllCollegeAAHGR, MATCH(N30,AllCollegeNCES,0))),ROUND(INDEX(AllCollegeAAHGR, MATCH(N30,AllCollegeNCES,0))+Z30*IF(INDEX(AllCollegeAAHGR, MATCH(N30,AllCollegeNCES,0))&gt;0.7,(1-INDEX(AllCollegeAAHGR, MATCH(N30,AllCollegeNCES,0)))/2,0.15),2),INDEX(AllCollegeAAHGR, MATCH(N30,AllCollegeNCES,0)))</f>
        <v>0</v>
      </c>
      <c r="AC30">
        <f>IF(OR(W30="H",W30="B"),INDEX(AllCollegeSAT25, MATCH(N30,AllCollegeNCES,0)),INDEX(AllCollegeSAT50, MATCH(N30,AllCollegeNCES,0)))</f>
        <v>0</v>
      </c>
      <c r="AD30">
        <f>INDEX(CustomWeightsGPA,MATCH(W30&amp;":"&amp;N30,CustomWeightsIndex,0))</f>
        <v>0</v>
      </c>
      <c r="AE30">
        <f>INDEX(CustomWeightsSAT,MATCH(W30&amp;":"&amp;N30,CustomWeightsIndex,0))</f>
        <v>0</v>
      </c>
      <c r="AF30">
        <f>INDEX(CustomWeightsIntercept,MATCH(W30&amp;":"&amp;N30,CustomWeightsIndex,0))</f>
        <v>0</v>
      </c>
      <c r="AG30">
        <f>AD30*S30+AE30*T30+AF30</f>
        <v>0</v>
      </c>
      <c r="AH30">
        <f>INDEX(CoefficientsGPA,MATCH(W30&amp;":"&amp;R30,CoefficientsIndex,0))</f>
        <v>0</v>
      </c>
      <c r="AI30">
        <f>INDEX(CoefficientsSAT,MATCH(W30&amp;":"&amp;R30,CoefficientsIndex,0))</f>
        <v>0</v>
      </c>
      <c r="AJ30">
        <f>INDEX(CoefficientsIntercept,MATCH(W30&amp;":"&amp;R30,CoefficientsIndex,0))</f>
        <v>0</v>
      </c>
      <c r="AK30">
        <f>AH30*S30+(T30-AC30)*AI30+AJ30</f>
        <v>0</v>
      </c>
      <c r="AL30">
        <f>IF(ISNUMBER(AG30),AG30,AK30)</f>
        <v>0</v>
      </c>
      <c r="AM30">
        <f>IF(ISNUMBER(AL30),IF(ISNUMBER(AH30),IF(AND(AH30=1,AI30=1,AJ30=1),100,MIN(99,ROUND(100*EXP(AL30)/(1+EXP(AL30)),2))),MIN(99,ROUND(100*EXP(AL30)/(1+EXP(AL30)),2))),IF(ISTEXT(R30),IF(LEFT(R30,1)="2",100,"N/A"),"N/A"))</f>
        <v>0</v>
      </c>
      <c r="AN30">
        <f>IF(ISNUMBER(AM30),IF(AM30&gt;=99,IF(OR(U30=10,U30=11),MatchLabel,SureThingLabel),IF(AM30&gt;=95,SecureLabel,IF(AM30&gt;=80,SafetyLabel,IF(AM30&gt;=50,MatchLabel,IF(AM30&gt;=20,ReachLabel,IF(AM30&gt;=10,LongshotLabel,HailMaryLabel)))))),"Other")</f>
        <v>0</v>
      </c>
      <c r="AO30">
        <f>IF(OR(I30="accepted",I30="cond. accept",I30="summer admit"),IF(J30="yes","CHOICE!","Accepted!"),IF(I30="guar. transfer","Guar. Xfer",IF(I30="denied","Denied",IF(K30=1,"Waitlist",IF(L30=1,"Deferred",IF(G30="pending","Pending",IF(OR(G30="initial materials submitted",G30="mid-year submitted",G30="final submitted"),"Submitted",IF(H30="interest","Interest","?"))))))))</f>
        <v>0</v>
      </c>
      <c r="AP30">
        <f>IF(OR(AN30=ReachLabel,AN30=LongshotLabel,AN30=HailMaryLabel),1,0)</f>
        <v>0</v>
      </c>
      <c r="AQ30">
        <f>IF(OR(AP30=1,AN30=MatchLabel),1,0)</f>
        <v>0</v>
      </c>
      <c r="AR30">
        <f>IF(OR(AN30=MatchLabel,AN30=SafetyLabel,AN30=SecureLabel,AN30=SureThingLabel),1,0)</f>
        <v>0</v>
      </c>
      <c r="AS30">
        <f>IF(OR(W30="H",W30="B",W30="I",W30="M"),IF(ISNUMBER(AB30),ROUND(AB30,2),0),IF(ISNUMBER(AA30),ROUND(AA30,2),0))</f>
        <v>0</v>
      </c>
      <c r="AT30">
        <f>IF(AS30&gt;=X30,1,0)</f>
        <v>0</v>
      </c>
      <c r="AU30">
        <f>IF(AS30&gt;=Y30,1,0)</f>
        <v>0</v>
      </c>
      <c r="AV30">
        <f>IF(AS30&lt;(X30-0.10),1,0)</f>
        <v>0</v>
      </c>
      <c r="AW30">
        <f>1-AM30/100</f>
        <v>0</v>
      </c>
      <c r="AX30">
        <f>IF(AQ30=1,AW30,1)</f>
        <v>0</v>
      </c>
      <c r="AY30">
        <f>IF(AP30=1,AW30,1)</f>
        <v>0</v>
      </c>
      <c r="AZ30">
        <f>IF(AND(AT30=1,ISNUMBER(AW30)),$AW30,1)</f>
        <v>0</v>
      </c>
      <c r="BA30">
        <f>IF(AND(AU30=1,ISNUMBER(AW30)),$AW30,1)</f>
        <v>0</v>
      </c>
      <c r="BB30">
        <f>IF(ISNUMBER(AB30),INDEX(AllCollegeMoney, MATCH(N30,AllCollegeNCES,0)),0)</f>
        <v>0</v>
      </c>
      <c r="BC30">
        <f>IF(AND(AT30=1,ISNUMBER(AW30),BB30=1),$AW30,1)</f>
        <v>0</v>
      </c>
      <c r="BD30">
        <f>IF(AND(AU30=1,ISNUMBER(AW30),BB30=1),$AW30,1)</f>
        <v>0</v>
      </c>
      <c r="BE30">
        <f>IF(ISNUMBER(AB30),INDEX(AllCollegeILPub, MATCH(N30,AllCollegeNCES,0)),0)</f>
        <v>0</v>
      </c>
      <c r="BF30">
        <f>IF(AN30=ReachLabel,AS30,0)</f>
        <v>0</v>
      </c>
      <c r="BG30">
        <f>IF(AN30=MatchLabel,AS30,0)</f>
        <v>0</v>
      </c>
      <c r="BH30">
        <f>IF(AN30=SafetyLabel,AS30,0)</f>
        <v>0</v>
      </c>
      <c r="BI30">
        <f>IF(AN30=SecureLabel,AS30,0)</f>
        <v>0</v>
      </c>
      <c r="BJ30">
        <f>IF(AN30=SureThingLabel,AS30,0)</f>
        <v>0</v>
      </c>
      <c r="BK30">
        <f>MAX(BF30:BJ30)</f>
        <v>0</v>
      </c>
      <c r="BL30">
        <f>MAX(BG30:BJ30)</f>
        <v>0</v>
      </c>
      <c r="BM30">
        <f>MAX(BH30:BJ30)</f>
        <v>0</v>
      </c>
      <c r="BN30">
        <f>IF(AND(AN30=ReachLabel,BB30=1),AS30,0)</f>
        <v>0</v>
      </c>
      <c r="BO30">
        <f>IF(AND(AN30=MatchLabel,BB30=1),AS30,0)</f>
        <v>0</v>
      </c>
      <c r="BP30">
        <f>IF(AND(AN30=SafetyLabel,BB30=1),AS30,0)</f>
        <v>0</v>
      </c>
      <c r="BQ30">
        <f>IF(AND(AN30=SecureLabel,BB30=1),AS30,0)</f>
        <v>0</v>
      </c>
      <c r="BR30">
        <f>IF(AND(AN30=SureThingLabel,BB30=1),AS30,0)</f>
        <v>0</v>
      </c>
      <c r="BS30">
        <f>MAX(BN30:BR30)</f>
        <v>0</v>
      </c>
      <c r="BT30">
        <f>MAX(BO30:BR30)</f>
        <v>0</v>
      </c>
      <c r="BU30">
        <f>MAX(BP30:BR30)</f>
        <v>0</v>
      </c>
      <c r="BV30">
        <f>IF(ISNUMBER(AB30),INDEX(AllCollegeChicago, MATCH(N30,AllCollegeNCES,0))*BB30,0)</f>
        <v>0</v>
      </c>
      <c r="BW30">
        <f>IF(ISNUMBER(AB30),INDEX(AllCollegeMoneyCode, MATCH(N30,AllCollegeNCES,0)),"?")</f>
        <v>0</v>
      </c>
      <c r="BX30">
        <f>IF(OR(BW30="---",BW30="--",BW30="+/--",BW30="+/---"),1,0)</f>
        <v>0</v>
      </c>
      <c r="BY30">
        <f>BB30*AR30*AT30</f>
        <v>0</v>
      </c>
    </row>
    <row r="31" spans="1:77">
      <c r="A31" t="s">
        <v>96</v>
      </c>
      <c r="B31">
        <v>22026339</v>
      </c>
      <c r="C31" t="s">
        <v>315</v>
      </c>
      <c r="D31" t="s">
        <v>316</v>
      </c>
      <c r="E31" t="s">
        <v>446</v>
      </c>
      <c r="F31" t="s">
        <v>477</v>
      </c>
      <c r="G31" t="s">
        <v>448</v>
      </c>
      <c r="H31" t="s">
        <v>449</v>
      </c>
      <c r="I31" t="s">
        <v>450</v>
      </c>
      <c r="J31" t="s">
        <v>450</v>
      </c>
      <c r="K31">
        <v>0</v>
      </c>
      <c r="L31" t="s">
        <v>446</v>
      </c>
      <c r="M31" t="s">
        <v>446</v>
      </c>
      <c r="N31">
        <v>146427</v>
      </c>
      <c r="O31">
        <f>INDEX(Counselor,MATCH(B31,KidIDs,0))</f>
        <v>0</v>
      </c>
      <c r="P31">
        <f>INDEX(Advisors,MATCH(B31,KidIDs,0))</f>
        <v>0</v>
      </c>
      <c r="Q31">
        <f>INDEX(Cohort,MATCH(B31,KidIDs,0))</f>
        <v>0</v>
      </c>
      <c r="R31">
        <f>INDEX(AllCollegeBarrons,MATCH(N31,AllCollegeNCES,0))</f>
        <v>0</v>
      </c>
      <c r="S31">
        <f>INDEX(KidGPAs,MATCH(B31,KidIDs,0))</f>
        <v>0</v>
      </c>
      <c r="T31">
        <f>INDEX(KidSATs,MATCH(B31,KidIDs,0))</f>
        <v>0</v>
      </c>
      <c r="U31">
        <f>INDEX(Strats,MATCH(B31,KidIDs,0))</f>
        <v>0</v>
      </c>
      <c r="V31">
        <f>INDEX(KidRace,MATCH(B31,KidIDs,0))</f>
        <v>0</v>
      </c>
      <c r="W31">
        <f>IF(OR(V31="M",V31="I"),"H",IF(V31="P","A",V31))</f>
        <v>0</v>
      </c>
      <c r="X31">
        <f>INDEX(StudentTargets,MATCH(B31,KidIDs,0))</f>
        <v>0</v>
      </c>
      <c r="Y31">
        <f>INDEX(ReachStudentTargets,MATCH(B31,KidIDs,0))</f>
        <v>0</v>
      </c>
      <c r="Z31">
        <f>IF(OR(M31="Posse"),1,0)</f>
        <v>0</v>
      </c>
      <c r="AA31">
        <f>IF(ISNUMBER(INDEX(AllCollegeGR, MATCH(N31,AllCollegeNCES,0))),ROUND(INDEX(AllCollegeGR, MATCH(N31,AllCollegeNCES,0))+Z31*IF(INDEX(AllCollegeGR, MATCH(N31,AllCollegeNCES,0))&gt;0.7,(1-INDEX(AllCollegeGR, MATCH(N31,AllCollegeNCES,0)))/2,0.15),2),INDEX(AllCollegeGR, MATCH(N31,AllCollegeNCES,0)))</f>
        <v>0</v>
      </c>
      <c r="AB31">
        <f>IF(ISNUMBER(INDEX(AllCollegeAAHGR, MATCH(N31,AllCollegeNCES,0))),ROUND(INDEX(AllCollegeAAHGR, MATCH(N31,AllCollegeNCES,0))+Z31*IF(INDEX(AllCollegeAAHGR, MATCH(N31,AllCollegeNCES,0))&gt;0.7,(1-INDEX(AllCollegeAAHGR, MATCH(N31,AllCollegeNCES,0)))/2,0.15),2),INDEX(AllCollegeAAHGR, MATCH(N31,AllCollegeNCES,0)))</f>
        <v>0</v>
      </c>
      <c r="AC31">
        <f>IF(OR(W31="H",W31="B"),INDEX(AllCollegeSAT25, MATCH(N31,AllCollegeNCES,0)),INDEX(AllCollegeSAT50, MATCH(N31,AllCollegeNCES,0)))</f>
        <v>0</v>
      </c>
      <c r="AD31">
        <f>INDEX(CustomWeightsGPA,MATCH(W31&amp;":"&amp;N31,CustomWeightsIndex,0))</f>
        <v>0</v>
      </c>
      <c r="AE31">
        <f>INDEX(CustomWeightsSAT,MATCH(W31&amp;":"&amp;N31,CustomWeightsIndex,0))</f>
        <v>0</v>
      </c>
      <c r="AF31">
        <f>INDEX(CustomWeightsIntercept,MATCH(W31&amp;":"&amp;N31,CustomWeightsIndex,0))</f>
        <v>0</v>
      </c>
      <c r="AG31">
        <f>AD31*S31+AE31*T31+AF31</f>
        <v>0</v>
      </c>
      <c r="AH31">
        <f>INDEX(CoefficientsGPA,MATCH(W31&amp;":"&amp;R31,CoefficientsIndex,0))</f>
        <v>0</v>
      </c>
      <c r="AI31">
        <f>INDEX(CoefficientsSAT,MATCH(W31&amp;":"&amp;R31,CoefficientsIndex,0))</f>
        <v>0</v>
      </c>
      <c r="AJ31">
        <f>INDEX(CoefficientsIntercept,MATCH(W31&amp;":"&amp;R31,CoefficientsIndex,0))</f>
        <v>0</v>
      </c>
      <c r="AK31">
        <f>AH31*S31+(T31-AC31)*AI31+AJ31</f>
        <v>0</v>
      </c>
      <c r="AL31">
        <f>IF(ISNUMBER(AG31),AG31,AK31)</f>
        <v>0</v>
      </c>
      <c r="AM31">
        <f>IF(ISNUMBER(AL31),IF(ISNUMBER(AH31),IF(AND(AH31=1,AI31=1,AJ31=1),100,MIN(99,ROUND(100*EXP(AL31)/(1+EXP(AL31)),2))),MIN(99,ROUND(100*EXP(AL31)/(1+EXP(AL31)),2))),IF(ISTEXT(R31),IF(LEFT(R31,1)="2",100,"N/A"),"N/A"))</f>
        <v>0</v>
      </c>
      <c r="AN31">
        <f>IF(ISNUMBER(AM31),IF(AM31&gt;=99,IF(OR(U31=10,U31=11),MatchLabel,SureThingLabel),IF(AM31&gt;=95,SecureLabel,IF(AM31&gt;=80,SafetyLabel,IF(AM31&gt;=50,MatchLabel,IF(AM31&gt;=20,ReachLabel,IF(AM31&gt;=10,LongshotLabel,HailMaryLabel)))))),"Other")</f>
        <v>0</v>
      </c>
      <c r="AO31">
        <f>IF(OR(I31="accepted",I31="cond. accept",I31="summer admit"),IF(J31="yes","CHOICE!","Accepted!"),IF(I31="guar. transfer","Guar. Xfer",IF(I31="denied","Denied",IF(K31=1,"Waitlist",IF(L31=1,"Deferred",IF(G31="pending","Pending",IF(OR(G31="initial materials submitted",G31="mid-year submitted",G31="final submitted"),"Submitted",IF(H31="interest","Interest","?"))))))))</f>
        <v>0</v>
      </c>
      <c r="AP31">
        <f>IF(OR(AN31=ReachLabel,AN31=LongshotLabel,AN31=HailMaryLabel),1,0)</f>
        <v>0</v>
      </c>
      <c r="AQ31">
        <f>IF(OR(AP31=1,AN31=MatchLabel),1,0)</f>
        <v>0</v>
      </c>
      <c r="AR31">
        <f>IF(OR(AN31=MatchLabel,AN31=SafetyLabel,AN31=SecureLabel,AN31=SureThingLabel),1,0)</f>
        <v>0</v>
      </c>
      <c r="AS31">
        <f>IF(OR(W31="H",W31="B",W31="I",W31="M"),IF(ISNUMBER(AB31),ROUND(AB31,2),0),IF(ISNUMBER(AA31),ROUND(AA31,2),0))</f>
        <v>0</v>
      </c>
      <c r="AT31">
        <f>IF(AS31&gt;=X31,1,0)</f>
        <v>0</v>
      </c>
      <c r="AU31">
        <f>IF(AS31&gt;=Y31,1,0)</f>
        <v>0</v>
      </c>
      <c r="AV31">
        <f>IF(AS31&lt;(X31-0.10),1,0)</f>
        <v>0</v>
      </c>
      <c r="AW31">
        <f>1-AM31/100</f>
        <v>0</v>
      </c>
      <c r="AX31">
        <f>IF(AQ31=1,AW31,1)</f>
        <v>0</v>
      </c>
      <c r="AY31">
        <f>IF(AP31=1,AW31,1)</f>
        <v>0</v>
      </c>
      <c r="AZ31">
        <f>IF(AND(AT31=1,ISNUMBER(AW31)),$AW31,1)</f>
        <v>0</v>
      </c>
      <c r="BA31">
        <f>IF(AND(AU31=1,ISNUMBER(AW31)),$AW31,1)</f>
        <v>0</v>
      </c>
      <c r="BB31">
        <f>IF(ISNUMBER(AB31),INDEX(AllCollegeMoney, MATCH(N31,AllCollegeNCES,0)),0)</f>
        <v>0</v>
      </c>
      <c r="BC31">
        <f>IF(AND(AT31=1,ISNUMBER(AW31),BB31=1),$AW31,1)</f>
        <v>0</v>
      </c>
      <c r="BD31">
        <f>IF(AND(AU31=1,ISNUMBER(AW31),BB31=1),$AW31,1)</f>
        <v>0</v>
      </c>
      <c r="BE31">
        <f>IF(ISNUMBER(AB31),INDEX(AllCollegeILPub, MATCH(N31,AllCollegeNCES,0)),0)</f>
        <v>0</v>
      </c>
      <c r="BF31">
        <f>IF(AN31=ReachLabel,AS31,0)</f>
        <v>0</v>
      </c>
      <c r="BG31">
        <f>IF(AN31=MatchLabel,AS31,0)</f>
        <v>0</v>
      </c>
      <c r="BH31">
        <f>IF(AN31=SafetyLabel,AS31,0)</f>
        <v>0</v>
      </c>
      <c r="BI31">
        <f>IF(AN31=SecureLabel,AS31,0)</f>
        <v>0</v>
      </c>
      <c r="BJ31">
        <f>IF(AN31=SureThingLabel,AS31,0)</f>
        <v>0</v>
      </c>
      <c r="BK31">
        <f>MAX(BF31:BJ31)</f>
        <v>0</v>
      </c>
      <c r="BL31">
        <f>MAX(BG31:BJ31)</f>
        <v>0</v>
      </c>
      <c r="BM31">
        <f>MAX(BH31:BJ31)</f>
        <v>0</v>
      </c>
      <c r="BN31">
        <f>IF(AND(AN31=ReachLabel,BB31=1),AS31,0)</f>
        <v>0</v>
      </c>
      <c r="BO31">
        <f>IF(AND(AN31=MatchLabel,BB31=1),AS31,0)</f>
        <v>0</v>
      </c>
      <c r="BP31">
        <f>IF(AND(AN31=SafetyLabel,BB31=1),AS31,0)</f>
        <v>0</v>
      </c>
      <c r="BQ31">
        <f>IF(AND(AN31=SecureLabel,BB31=1),AS31,0)</f>
        <v>0</v>
      </c>
      <c r="BR31">
        <f>IF(AND(AN31=SureThingLabel,BB31=1),AS31,0)</f>
        <v>0</v>
      </c>
      <c r="BS31">
        <f>MAX(BN31:BR31)</f>
        <v>0</v>
      </c>
      <c r="BT31">
        <f>MAX(BO31:BR31)</f>
        <v>0</v>
      </c>
      <c r="BU31">
        <f>MAX(BP31:BR31)</f>
        <v>0</v>
      </c>
      <c r="BV31">
        <f>IF(ISNUMBER(AB31),INDEX(AllCollegeChicago, MATCH(N31,AllCollegeNCES,0))*BB31,0)</f>
        <v>0</v>
      </c>
      <c r="BW31">
        <f>IF(ISNUMBER(AB31),INDEX(AllCollegeMoneyCode, MATCH(N31,AllCollegeNCES,0)),"?")</f>
        <v>0</v>
      </c>
      <c r="BX31">
        <f>IF(OR(BW31="---",BW31="--",BW31="+/--",BW31="+/---"),1,0)</f>
        <v>0</v>
      </c>
      <c r="BY31">
        <f>BB31*AR31*AT31</f>
        <v>0</v>
      </c>
    </row>
    <row r="32" spans="1:77">
      <c r="A32" t="s">
        <v>96</v>
      </c>
      <c r="B32">
        <v>22026339</v>
      </c>
      <c r="C32" t="s">
        <v>315</v>
      </c>
      <c r="D32" t="s">
        <v>316</v>
      </c>
      <c r="E32" t="s">
        <v>446</v>
      </c>
      <c r="F32" t="s">
        <v>478</v>
      </c>
      <c r="G32" t="s">
        <v>479</v>
      </c>
      <c r="H32" t="s">
        <v>449</v>
      </c>
      <c r="I32" t="s">
        <v>450</v>
      </c>
      <c r="J32" t="s">
        <v>450</v>
      </c>
      <c r="K32">
        <v>0</v>
      </c>
      <c r="L32" t="s">
        <v>446</v>
      </c>
      <c r="M32" t="s">
        <v>446</v>
      </c>
      <c r="N32">
        <v>168546</v>
      </c>
      <c r="O32">
        <f>INDEX(Counselor,MATCH(B32,KidIDs,0))</f>
        <v>0</v>
      </c>
      <c r="P32">
        <f>INDEX(Advisors,MATCH(B32,KidIDs,0))</f>
        <v>0</v>
      </c>
      <c r="Q32">
        <f>INDEX(Cohort,MATCH(B32,KidIDs,0))</f>
        <v>0</v>
      </c>
      <c r="R32">
        <f>INDEX(AllCollegeBarrons,MATCH(N32,AllCollegeNCES,0))</f>
        <v>0</v>
      </c>
      <c r="S32">
        <f>INDEX(KidGPAs,MATCH(B32,KidIDs,0))</f>
        <v>0</v>
      </c>
      <c r="T32">
        <f>INDEX(KidSATs,MATCH(B32,KidIDs,0))</f>
        <v>0</v>
      </c>
      <c r="U32">
        <f>INDEX(Strats,MATCH(B32,KidIDs,0))</f>
        <v>0</v>
      </c>
      <c r="V32">
        <f>INDEX(KidRace,MATCH(B32,KidIDs,0))</f>
        <v>0</v>
      </c>
      <c r="W32">
        <f>IF(OR(V32="M",V32="I"),"H",IF(V32="P","A",V32))</f>
        <v>0</v>
      </c>
      <c r="X32">
        <f>INDEX(StudentTargets,MATCH(B32,KidIDs,0))</f>
        <v>0</v>
      </c>
      <c r="Y32">
        <f>INDEX(ReachStudentTargets,MATCH(B32,KidIDs,0))</f>
        <v>0</v>
      </c>
      <c r="Z32">
        <f>IF(OR(M32="Posse"),1,0)</f>
        <v>0</v>
      </c>
      <c r="AA32">
        <f>IF(ISNUMBER(INDEX(AllCollegeGR, MATCH(N32,AllCollegeNCES,0))),ROUND(INDEX(AllCollegeGR, MATCH(N32,AllCollegeNCES,0))+Z32*IF(INDEX(AllCollegeGR, MATCH(N32,AllCollegeNCES,0))&gt;0.7,(1-INDEX(AllCollegeGR, MATCH(N32,AllCollegeNCES,0)))/2,0.15),2),INDEX(AllCollegeGR, MATCH(N32,AllCollegeNCES,0)))</f>
        <v>0</v>
      </c>
      <c r="AB32">
        <f>IF(ISNUMBER(INDEX(AllCollegeAAHGR, MATCH(N32,AllCollegeNCES,0))),ROUND(INDEX(AllCollegeAAHGR, MATCH(N32,AllCollegeNCES,0))+Z32*IF(INDEX(AllCollegeAAHGR, MATCH(N32,AllCollegeNCES,0))&gt;0.7,(1-INDEX(AllCollegeAAHGR, MATCH(N32,AllCollegeNCES,0)))/2,0.15),2),INDEX(AllCollegeAAHGR, MATCH(N32,AllCollegeNCES,0)))</f>
        <v>0</v>
      </c>
      <c r="AC32">
        <f>IF(OR(W32="H",W32="B"),INDEX(AllCollegeSAT25, MATCH(N32,AllCollegeNCES,0)),INDEX(AllCollegeSAT50, MATCH(N32,AllCollegeNCES,0)))</f>
        <v>0</v>
      </c>
      <c r="AD32">
        <f>INDEX(CustomWeightsGPA,MATCH(W32&amp;":"&amp;N32,CustomWeightsIndex,0))</f>
        <v>0</v>
      </c>
      <c r="AE32">
        <f>INDEX(CustomWeightsSAT,MATCH(W32&amp;":"&amp;N32,CustomWeightsIndex,0))</f>
        <v>0</v>
      </c>
      <c r="AF32">
        <f>INDEX(CustomWeightsIntercept,MATCH(W32&amp;":"&amp;N32,CustomWeightsIndex,0))</f>
        <v>0</v>
      </c>
      <c r="AG32">
        <f>AD32*S32+AE32*T32+AF32</f>
        <v>0</v>
      </c>
      <c r="AH32">
        <f>INDEX(CoefficientsGPA,MATCH(W32&amp;":"&amp;R32,CoefficientsIndex,0))</f>
        <v>0</v>
      </c>
      <c r="AI32">
        <f>INDEX(CoefficientsSAT,MATCH(W32&amp;":"&amp;R32,CoefficientsIndex,0))</f>
        <v>0</v>
      </c>
      <c r="AJ32">
        <f>INDEX(CoefficientsIntercept,MATCH(W32&amp;":"&amp;R32,CoefficientsIndex,0))</f>
        <v>0</v>
      </c>
      <c r="AK32">
        <f>AH32*S32+(T32-AC32)*AI32+AJ32</f>
        <v>0</v>
      </c>
      <c r="AL32">
        <f>IF(ISNUMBER(AG32),AG32,AK32)</f>
        <v>0</v>
      </c>
      <c r="AM32">
        <f>IF(ISNUMBER(AL32),IF(ISNUMBER(AH32),IF(AND(AH32=1,AI32=1,AJ32=1),100,MIN(99,ROUND(100*EXP(AL32)/(1+EXP(AL32)),2))),MIN(99,ROUND(100*EXP(AL32)/(1+EXP(AL32)),2))),IF(ISTEXT(R32),IF(LEFT(R32,1)="2",100,"N/A"),"N/A"))</f>
        <v>0</v>
      </c>
      <c r="AN32">
        <f>IF(ISNUMBER(AM32),IF(AM32&gt;=99,IF(OR(U32=10,U32=11),MatchLabel,SureThingLabel),IF(AM32&gt;=95,SecureLabel,IF(AM32&gt;=80,SafetyLabel,IF(AM32&gt;=50,MatchLabel,IF(AM32&gt;=20,ReachLabel,IF(AM32&gt;=10,LongshotLabel,HailMaryLabel)))))),"Other")</f>
        <v>0</v>
      </c>
      <c r="AO32">
        <f>IF(OR(I32="accepted",I32="cond. accept",I32="summer admit"),IF(J32="yes","CHOICE!","Accepted!"),IF(I32="guar. transfer","Guar. Xfer",IF(I32="denied","Denied",IF(K32=1,"Waitlist",IF(L32=1,"Deferred",IF(G32="pending","Pending",IF(OR(G32="initial materials submitted",G32="mid-year submitted",G32="final submitted"),"Submitted",IF(H32="interest","Interest","?"))))))))</f>
        <v>0</v>
      </c>
      <c r="AP32">
        <f>IF(OR(AN32=ReachLabel,AN32=LongshotLabel,AN32=HailMaryLabel),1,0)</f>
        <v>0</v>
      </c>
      <c r="AQ32">
        <f>IF(OR(AP32=1,AN32=MatchLabel),1,0)</f>
        <v>0</v>
      </c>
      <c r="AR32">
        <f>IF(OR(AN32=MatchLabel,AN32=SafetyLabel,AN32=SecureLabel,AN32=SureThingLabel),1,0)</f>
        <v>0</v>
      </c>
      <c r="AS32">
        <f>IF(OR(W32="H",W32="B",W32="I",W32="M"),IF(ISNUMBER(AB32),ROUND(AB32,2),0),IF(ISNUMBER(AA32),ROUND(AA32,2),0))</f>
        <v>0</v>
      </c>
      <c r="AT32">
        <f>IF(AS32&gt;=X32,1,0)</f>
        <v>0</v>
      </c>
      <c r="AU32">
        <f>IF(AS32&gt;=Y32,1,0)</f>
        <v>0</v>
      </c>
      <c r="AV32">
        <f>IF(AS32&lt;(X32-0.10),1,0)</f>
        <v>0</v>
      </c>
      <c r="AW32">
        <f>1-AM32/100</f>
        <v>0</v>
      </c>
      <c r="AX32">
        <f>IF(AQ32=1,AW32,1)</f>
        <v>0</v>
      </c>
      <c r="AY32">
        <f>IF(AP32=1,AW32,1)</f>
        <v>0</v>
      </c>
      <c r="AZ32">
        <f>IF(AND(AT32=1,ISNUMBER(AW32)),$AW32,1)</f>
        <v>0</v>
      </c>
      <c r="BA32">
        <f>IF(AND(AU32=1,ISNUMBER(AW32)),$AW32,1)</f>
        <v>0</v>
      </c>
      <c r="BB32">
        <f>IF(ISNUMBER(AB32),INDEX(AllCollegeMoney, MATCH(N32,AllCollegeNCES,0)),0)</f>
        <v>0</v>
      </c>
      <c r="BC32">
        <f>IF(AND(AT32=1,ISNUMBER(AW32),BB32=1),$AW32,1)</f>
        <v>0</v>
      </c>
      <c r="BD32">
        <f>IF(AND(AU32=1,ISNUMBER(AW32),BB32=1),$AW32,1)</f>
        <v>0</v>
      </c>
      <c r="BE32">
        <f>IF(ISNUMBER(AB32),INDEX(AllCollegeILPub, MATCH(N32,AllCollegeNCES,0)),0)</f>
        <v>0</v>
      </c>
      <c r="BF32">
        <f>IF(AN32=ReachLabel,AS32,0)</f>
        <v>0</v>
      </c>
      <c r="BG32">
        <f>IF(AN32=MatchLabel,AS32,0)</f>
        <v>0</v>
      </c>
      <c r="BH32">
        <f>IF(AN32=SafetyLabel,AS32,0)</f>
        <v>0</v>
      </c>
      <c r="BI32">
        <f>IF(AN32=SecureLabel,AS32,0)</f>
        <v>0</v>
      </c>
      <c r="BJ32">
        <f>IF(AN32=SureThingLabel,AS32,0)</f>
        <v>0</v>
      </c>
      <c r="BK32">
        <f>MAX(BF32:BJ32)</f>
        <v>0</v>
      </c>
      <c r="BL32">
        <f>MAX(BG32:BJ32)</f>
        <v>0</v>
      </c>
      <c r="BM32">
        <f>MAX(BH32:BJ32)</f>
        <v>0</v>
      </c>
      <c r="BN32">
        <f>IF(AND(AN32=ReachLabel,BB32=1),AS32,0)</f>
        <v>0</v>
      </c>
      <c r="BO32">
        <f>IF(AND(AN32=MatchLabel,BB32=1),AS32,0)</f>
        <v>0</v>
      </c>
      <c r="BP32">
        <f>IF(AND(AN32=SafetyLabel,BB32=1),AS32,0)</f>
        <v>0</v>
      </c>
      <c r="BQ32">
        <f>IF(AND(AN32=SecureLabel,BB32=1),AS32,0)</f>
        <v>0</v>
      </c>
      <c r="BR32">
        <f>IF(AND(AN32=SureThingLabel,BB32=1),AS32,0)</f>
        <v>0</v>
      </c>
      <c r="BS32">
        <f>MAX(BN32:BR32)</f>
        <v>0</v>
      </c>
      <c r="BT32">
        <f>MAX(BO32:BR32)</f>
        <v>0</v>
      </c>
      <c r="BU32">
        <f>MAX(BP32:BR32)</f>
        <v>0</v>
      </c>
      <c r="BV32">
        <f>IF(ISNUMBER(AB32),INDEX(AllCollegeChicago, MATCH(N32,AllCollegeNCES,0))*BB32,0)</f>
        <v>0</v>
      </c>
      <c r="BW32">
        <f>IF(ISNUMBER(AB32),INDEX(AllCollegeMoneyCode, MATCH(N32,AllCollegeNCES,0)),"?")</f>
        <v>0</v>
      </c>
      <c r="BX32">
        <f>IF(OR(BW32="---",BW32="--",BW32="+/--",BW32="+/---"),1,0)</f>
        <v>0</v>
      </c>
      <c r="BY32">
        <f>BB32*AR32*AT32</f>
        <v>0</v>
      </c>
    </row>
    <row r="33" spans="1:77">
      <c r="A33" t="s">
        <v>96</v>
      </c>
      <c r="B33">
        <v>22026339</v>
      </c>
      <c r="C33" t="s">
        <v>315</v>
      </c>
      <c r="D33" t="s">
        <v>316</v>
      </c>
      <c r="E33" t="s">
        <v>446</v>
      </c>
      <c r="F33" t="s">
        <v>465</v>
      </c>
      <c r="G33" t="s">
        <v>448</v>
      </c>
      <c r="H33" t="s">
        <v>449</v>
      </c>
      <c r="I33" t="s">
        <v>450</v>
      </c>
      <c r="J33" t="s">
        <v>450</v>
      </c>
      <c r="K33">
        <v>0</v>
      </c>
      <c r="L33" t="s">
        <v>446</v>
      </c>
      <c r="M33" t="s">
        <v>446</v>
      </c>
      <c r="N33">
        <v>145600</v>
      </c>
      <c r="O33">
        <f>INDEX(Counselor,MATCH(B33,KidIDs,0))</f>
        <v>0</v>
      </c>
      <c r="P33">
        <f>INDEX(Advisors,MATCH(B33,KidIDs,0))</f>
        <v>0</v>
      </c>
      <c r="Q33">
        <f>INDEX(Cohort,MATCH(B33,KidIDs,0))</f>
        <v>0</v>
      </c>
      <c r="R33">
        <f>INDEX(AllCollegeBarrons,MATCH(N33,AllCollegeNCES,0))</f>
        <v>0</v>
      </c>
      <c r="S33">
        <f>INDEX(KidGPAs,MATCH(B33,KidIDs,0))</f>
        <v>0</v>
      </c>
      <c r="T33">
        <f>INDEX(KidSATs,MATCH(B33,KidIDs,0))</f>
        <v>0</v>
      </c>
      <c r="U33">
        <f>INDEX(Strats,MATCH(B33,KidIDs,0))</f>
        <v>0</v>
      </c>
      <c r="V33">
        <f>INDEX(KidRace,MATCH(B33,KidIDs,0))</f>
        <v>0</v>
      </c>
      <c r="W33">
        <f>IF(OR(V33="M",V33="I"),"H",IF(V33="P","A",V33))</f>
        <v>0</v>
      </c>
      <c r="X33">
        <f>INDEX(StudentTargets,MATCH(B33,KidIDs,0))</f>
        <v>0</v>
      </c>
      <c r="Y33">
        <f>INDEX(ReachStudentTargets,MATCH(B33,KidIDs,0))</f>
        <v>0</v>
      </c>
      <c r="Z33">
        <f>IF(OR(M33="Posse"),1,0)</f>
        <v>0</v>
      </c>
      <c r="AA33">
        <f>IF(ISNUMBER(INDEX(AllCollegeGR, MATCH(N33,AllCollegeNCES,0))),ROUND(INDEX(AllCollegeGR, MATCH(N33,AllCollegeNCES,0))+Z33*IF(INDEX(AllCollegeGR, MATCH(N33,AllCollegeNCES,0))&gt;0.7,(1-INDEX(AllCollegeGR, MATCH(N33,AllCollegeNCES,0)))/2,0.15),2),INDEX(AllCollegeGR, MATCH(N33,AllCollegeNCES,0)))</f>
        <v>0</v>
      </c>
      <c r="AB33">
        <f>IF(ISNUMBER(INDEX(AllCollegeAAHGR, MATCH(N33,AllCollegeNCES,0))),ROUND(INDEX(AllCollegeAAHGR, MATCH(N33,AllCollegeNCES,0))+Z33*IF(INDEX(AllCollegeAAHGR, MATCH(N33,AllCollegeNCES,0))&gt;0.7,(1-INDEX(AllCollegeAAHGR, MATCH(N33,AllCollegeNCES,0)))/2,0.15),2),INDEX(AllCollegeAAHGR, MATCH(N33,AllCollegeNCES,0)))</f>
        <v>0</v>
      </c>
      <c r="AC33">
        <f>IF(OR(W33="H",W33="B"),INDEX(AllCollegeSAT25, MATCH(N33,AllCollegeNCES,0)),INDEX(AllCollegeSAT50, MATCH(N33,AllCollegeNCES,0)))</f>
        <v>0</v>
      </c>
      <c r="AD33">
        <f>INDEX(CustomWeightsGPA,MATCH(W33&amp;":"&amp;N33,CustomWeightsIndex,0))</f>
        <v>0</v>
      </c>
      <c r="AE33">
        <f>INDEX(CustomWeightsSAT,MATCH(W33&amp;":"&amp;N33,CustomWeightsIndex,0))</f>
        <v>0</v>
      </c>
      <c r="AF33">
        <f>INDEX(CustomWeightsIntercept,MATCH(W33&amp;":"&amp;N33,CustomWeightsIndex,0))</f>
        <v>0</v>
      </c>
      <c r="AG33">
        <f>AD33*S33+AE33*T33+AF33</f>
        <v>0</v>
      </c>
      <c r="AH33">
        <f>INDEX(CoefficientsGPA,MATCH(W33&amp;":"&amp;R33,CoefficientsIndex,0))</f>
        <v>0</v>
      </c>
      <c r="AI33">
        <f>INDEX(CoefficientsSAT,MATCH(W33&amp;":"&amp;R33,CoefficientsIndex,0))</f>
        <v>0</v>
      </c>
      <c r="AJ33">
        <f>INDEX(CoefficientsIntercept,MATCH(W33&amp;":"&amp;R33,CoefficientsIndex,0))</f>
        <v>0</v>
      </c>
      <c r="AK33">
        <f>AH33*S33+(T33-AC33)*AI33+AJ33</f>
        <v>0</v>
      </c>
      <c r="AL33">
        <f>IF(ISNUMBER(AG33),AG33,AK33)</f>
        <v>0</v>
      </c>
      <c r="AM33">
        <f>IF(ISNUMBER(AL33),IF(ISNUMBER(AH33),IF(AND(AH33=1,AI33=1,AJ33=1),100,MIN(99,ROUND(100*EXP(AL33)/(1+EXP(AL33)),2))),MIN(99,ROUND(100*EXP(AL33)/(1+EXP(AL33)),2))),IF(ISTEXT(R33),IF(LEFT(R33,1)="2",100,"N/A"),"N/A"))</f>
        <v>0</v>
      </c>
      <c r="AN33">
        <f>IF(ISNUMBER(AM33),IF(AM33&gt;=99,IF(OR(U33=10,U33=11),MatchLabel,SureThingLabel),IF(AM33&gt;=95,SecureLabel,IF(AM33&gt;=80,SafetyLabel,IF(AM33&gt;=50,MatchLabel,IF(AM33&gt;=20,ReachLabel,IF(AM33&gt;=10,LongshotLabel,HailMaryLabel)))))),"Other")</f>
        <v>0</v>
      </c>
      <c r="AO33">
        <f>IF(OR(I33="accepted",I33="cond. accept",I33="summer admit"),IF(J33="yes","CHOICE!","Accepted!"),IF(I33="guar. transfer","Guar. Xfer",IF(I33="denied","Denied",IF(K33=1,"Waitlist",IF(L33=1,"Deferred",IF(G33="pending","Pending",IF(OR(G33="initial materials submitted",G33="mid-year submitted",G33="final submitted"),"Submitted",IF(H33="interest","Interest","?"))))))))</f>
        <v>0</v>
      </c>
      <c r="AP33">
        <f>IF(OR(AN33=ReachLabel,AN33=LongshotLabel,AN33=HailMaryLabel),1,0)</f>
        <v>0</v>
      </c>
      <c r="AQ33">
        <f>IF(OR(AP33=1,AN33=MatchLabel),1,0)</f>
        <v>0</v>
      </c>
      <c r="AR33">
        <f>IF(OR(AN33=MatchLabel,AN33=SafetyLabel,AN33=SecureLabel,AN33=SureThingLabel),1,0)</f>
        <v>0</v>
      </c>
      <c r="AS33">
        <f>IF(OR(W33="H",W33="B",W33="I",W33="M"),IF(ISNUMBER(AB33),ROUND(AB33,2),0),IF(ISNUMBER(AA33),ROUND(AA33,2),0))</f>
        <v>0</v>
      </c>
      <c r="AT33">
        <f>IF(AS33&gt;=X33,1,0)</f>
        <v>0</v>
      </c>
      <c r="AU33">
        <f>IF(AS33&gt;=Y33,1,0)</f>
        <v>0</v>
      </c>
      <c r="AV33">
        <f>IF(AS33&lt;(X33-0.10),1,0)</f>
        <v>0</v>
      </c>
      <c r="AW33">
        <f>1-AM33/100</f>
        <v>0</v>
      </c>
      <c r="AX33">
        <f>IF(AQ33=1,AW33,1)</f>
        <v>0</v>
      </c>
      <c r="AY33">
        <f>IF(AP33=1,AW33,1)</f>
        <v>0</v>
      </c>
      <c r="AZ33">
        <f>IF(AND(AT33=1,ISNUMBER(AW33)),$AW33,1)</f>
        <v>0</v>
      </c>
      <c r="BA33">
        <f>IF(AND(AU33=1,ISNUMBER(AW33)),$AW33,1)</f>
        <v>0</v>
      </c>
      <c r="BB33">
        <f>IF(ISNUMBER(AB33),INDEX(AllCollegeMoney, MATCH(N33,AllCollegeNCES,0)),0)</f>
        <v>0</v>
      </c>
      <c r="BC33">
        <f>IF(AND(AT33=1,ISNUMBER(AW33),BB33=1),$AW33,1)</f>
        <v>0</v>
      </c>
      <c r="BD33">
        <f>IF(AND(AU33=1,ISNUMBER(AW33),BB33=1),$AW33,1)</f>
        <v>0</v>
      </c>
      <c r="BE33">
        <f>IF(ISNUMBER(AB33),INDEX(AllCollegeILPub, MATCH(N33,AllCollegeNCES,0)),0)</f>
        <v>0</v>
      </c>
      <c r="BF33">
        <f>IF(AN33=ReachLabel,AS33,0)</f>
        <v>0</v>
      </c>
      <c r="BG33">
        <f>IF(AN33=MatchLabel,AS33,0)</f>
        <v>0</v>
      </c>
      <c r="BH33">
        <f>IF(AN33=SafetyLabel,AS33,0)</f>
        <v>0</v>
      </c>
      <c r="BI33">
        <f>IF(AN33=SecureLabel,AS33,0)</f>
        <v>0</v>
      </c>
      <c r="BJ33">
        <f>IF(AN33=SureThingLabel,AS33,0)</f>
        <v>0</v>
      </c>
      <c r="BK33">
        <f>MAX(BF33:BJ33)</f>
        <v>0</v>
      </c>
      <c r="BL33">
        <f>MAX(BG33:BJ33)</f>
        <v>0</v>
      </c>
      <c r="BM33">
        <f>MAX(BH33:BJ33)</f>
        <v>0</v>
      </c>
      <c r="BN33">
        <f>IF(AND(AN33=ReachLabel,BB33=1),AS33,0)</f>
        <v>0</v>
      </c>
      <c r="BO33">
        <f>IF(AND(AN33=MatchLabel,BB33=1),AS33,0)</f>
        <v>0</v>
      </c>
      <c r="BP33">
        <f>IF(AND(AN33=SafetyLabel,BB33=1),AS33,0)</f>
        <v>0</v>
      </c>
      <c r="BQ33">
        <f>IF(AND(AN33=SecureLabel,BB33=1),AS33,0)</f>
        <v>0</v>
      </c>
      <c r="BR33">
        <f>IF(AND(AN33=SureThingLabel,BB33=1),AS33,0)</f>
        <v>0</v>
      </c>
      <c r="BS33">
        <f>MAX(BN33:BR33)</f>
        <v>0</v>
      </c>
      <c r="BT33">
        <f>MAX(BO33:BR33)</f>
        <v>0</v>
      </c>
      <c r="BU33">
        <f>MAX(BP33:BR33)</f>
        <v>0</v>
      </c>
      <c r="BV33">
        <f>IF(ISNUMBER(AB33),INDEX(AllCollegeChicago, MATCH(N33,AllCollegeNCES,0))*BB33,0)</f>
        <v>0</v>
      </c>
      <c r="BW33">
        <f>IF(ISNUMBER(AB33),INDEX(AllCollegeMoneyCode, MATCH(N33,AllCollegeNCES,0)),"?")</f>
        <v>0</v>
      </c>
      <c r="BX33">
        <f>IF(OR(BW33="---",BW33="--",BW33="+/--",BW33="+/---"),1,0)</f>
        <v>0</v>
      </c>
      <c r="BY33">
        <f>BB33*AR33*AT33</f>
        <v>0</v>
      </c>
    </row>
    <row r="34" spans="1:77">
      <c r="A34" t="s">
        <v>96</v>
      </c>
      <c r="B34">
        <v>22026339</v>
      </c>
      <c r="C34" t="s">
        <v>315</v>
      </c>
      <c r="D34" t="s">
        <v>316</v>
      </c>
      <c r="E34" t="s">
        <v>446</v>
      </c>
      <c r="F34" t="s">
        <v>480</v>
      </c>
      <c r="G34" t="s">
        <v>448</v>
      </c>
      <c r="H34" t="s">
        <v>449</v>
      </c>
      <c r="I34" t="s">
        <v>450</v>
      </c>
      <c r="J34" t="s">
        <v>450</v>
      </c>
      <c r="K34">
        <v>0</v>
      </c>
      <c r="L34" t="s">
        <v>446</v>
      </c>
      <c r="M34" t="s">
        <v>446</v>
      </c>
      <c r="N34">
        <v>169248</v>
      </c>
      <c r="O34">
        <f>INDEX(Counselor,MATCH(B34,KidIDs,0))</f>
        <v>0</v>
      </c>
      <c r="P34">
        <f>INDEX(Advisors,MATCH(B34,KidIDs,0))</f>
        <v>0</v>
      </c>
      <c r="Q34">
        <f>INDEX(Cohort,MATCH(B34,KidIDs,0))</f>
        <v>0</v>
      </c>
      <c r="R34">
        <f>INDEX(AllCollegeBarrons,MATCH(N34,AllCollegeNCES,0))</f>
        <v>0</v>
      </c>
      <c r="S34">
        <f>INDEX(KidGPAs,MATCH(B34,KidIDs,0))</f>
        <v>0</v>
      </c>
      <c r="T34">
        <f>INDEX(KidSATs,MATCH(B34,KidIDs,0))</f>
        <v>0</v>
      </c>
      <c r="U34">
        <f>INDEX(Strats,MATCH(B34,KidIDs,0))</f>
        <v>0</v>
      </c>
      <c r="V34">
        <f>INDEX(KidRace,MATCH(B34,KidIDs,0))</f>
        <v>0</v>
      </c>
      <c r="W34">
        <f>IF(OR(V34="M",V34="I"),"H",IF(V34="P","A",V34))</f>
        <v>0</v>
      </c>
      <c r="X34">
        <f>INDEX(StudentTargets,MATCH(B34,KidIDs,0))</f>
        <v>0</v>
      </c>
      <c r="Y34">
        <f>INDEX(ReachStudentTargets,MATCH(B34,KidIDs,0))</f>
        <v>0</v>
      </c>
      <c r="Z34">
        <f>IF(OR(M34="Posse"),1,0)</f>
        <v>0</v>
      </c>
      <c r="AA34">
        <f>IF(ISNUMBER(INDEX(AllCollegeGR, MATCH(N34,AllCollegeNCES,0))),ROUND(INDEX(AllCollegeGR, MATCH(N34,AllCollegeNCES,0))+Z34*IF(INDEX(AllCollegeGR, MATCH(N34,AllCollegeNCES,0))&gt;0.7,(1-INDEX(AllCollegeGR, MATCH(N34,AllCollegeNCES,0)))/2,0.15),2),INDEX(AllCollegeGR, MATCH(N34,AllCollegeNCES,0)))</f>
        <v>0</v>
      </c>
      <c r="AB34">
        <f>IF(ISNUMBER(INDEX(AllCollegeAAHGR, MATCH(N34,AllCollegeNCES,0))),ROUND(INDEX(AllCollegeAAHGR, MATCH(N34,AllCollegeNCES,0))+Z34*IF(INDEX(AllCollegeAAHGR, MATCH(N34,AllCollegeNCES,0))&gt;0.7,(1-INDEX(AllCollegeAAHGR, MATCH(N34,AllCollegeNCES,0)))/2,0.15),2),INDEX(AllCollegeAAHGR, MATCH(N34,AllCollegeNCES,0)))</f>
        <v>0</v>
      </c>
      <c r="AC34">
        <f>IF(OR(W34="H",W34="B"),INDEX(AllCollegeSAT25, MATCH(N34,AllCollegeNCES,0)),INDEX(AllCollegeSAT50, MATCH(N34,AllCollegeNCES,0)))</f>
        <v>0</v>
      </c>
      <c r="AD34">
        <f>INDEX(CustomWeightsGPA,MATCH(W34&amp;":"&amp;N34,CustomWeightsIndex,0))</f>
        <v>0</v>
      </c>
      <c r="AE34">
        <f>INDEX(CustomWeightsSAT,MATCH(W34&amp;":"&amp;N34,CustomWeightsIndex,0))</f>
        <v>0</v>
      </c>
      <c r="AF34">
        <f>INDEX(CustomWeightsIntercept,MATCH(W34&amp;":"&amp;N34,CustomWeightsIndex,0))</f>
        <v>0</v>
      </c>
      <c r="AG34">
        <f>AD34*S34+AE34*T34+AF34</f>
        <v>0</v>
      </c>
      <c r="AH34">
        <f>INDEX(CoefficientsGPA,MATCH(W34&amp;":"&amp;R34,CoefficientsIndex,0))</f>
        <v>0</v>
      </c>
      <c r="AI34">
        <f>INDEX(CoefficientsSAT,MATCH(W34&amp;":"&amp;R34,CoefficientsIndex,0))</f>
        <v>0</v>
      </c>
      <c r="AJ34">
        <f>INDEX(CoefficientsIntercept,MATCH(W34&amp;":"&amp;R34,CoefficientsIndex,0))</f>
        <v>0</v>
      </c>
      <c r="AK34">
        <f>AH34*S34+(T34-AC34)*AI34+AJ34</f>
        <v>0</v>
      </c>
      <c r="AL34">
        <f>IF(ISNUMBER(AG34),AG34,AK34)</f>
        <v>0</v>
      </c>
      <c r="AM34">
        <f>IF(ISNUMBER(AL34),IF(ISNUMBER(AH34),IF(AND(AH34=1,AI34=1,AJ34=1),100,MIN(99,ROUND(100*EXP(AL34)/(1+EXP(AL34)),2))),MIN(99,ROUND(100*EXP(AL34)/(1+EXP(AL34)),2))),IF(ISTEXT(R34),IF(LEFT(R34,1)="2",100,"N/A"),"N/A"))</f>
        <v>0</v>
      </c>
      <c r="AN34">
        <f>IF(ISNUMBER(AM34),IF(AM34&gt;=99,IF(OR(U34=10,U34=11),MatchLabel,SureThingLabel),IF(AM34&gt;=95,SecureLabel,IF(AM34&gt;=80,SafetyLabel,IF(AM34&gt;=50,MatchLabel,IF(AM34&gt;=20,ReachLabel,IF(AM34&gt;=10,LongshotLabel,HailMaryLabel)))))),"Other")</f>
        <v>0</v>
      </c>
      <c r="AO34">
        <f>IF(OR(I34="accepted",I34="cond. accept",I34="summer admit"),IF(J34="yes","CHOICE!","Accepted!"),IF(I34="guar. transfer","Guar. Xfer",IF(I34="denied","Denied",IF(K34=1,"Waitlist",IF(L34=1,"Deferred",IF(G34="pending","Pending",IF(OR(G34="initial materials submitted",G34="mid-year submitted",G34="final submitted"),"Submitted",IF(H34="interest","Interest","?"))))))))</f>
        <v>0</v>
      </c>
      <c r="AP34">
        <f>IF(OR(AN34=ReachLabel,AN34=LongshotLabel,AN34=HailMaryLabel),1,0)</f>
        <v>0</v>
      </c>
      <c r="AQ34">
        <f>IF(OR(AP34=1,AN34=MatchLabel),1,0)</f>
        <v>0</v>
      </c>
      <c r="AR34">
        <f>IF(OR(AN34=MatchLabel,AN34=SafetyLabel,AN34=SecureLabel,AN34=SureThingLabel),1,0)</f>
        <v>0</v>
      </c>
      <c r="AS34">
        <f>IF(OR(W34="H",W34="B",W34="I",W34="M"),IF(ISNUMBER(AB34),ROUND(AB34,2),0),IF(ISNUMBER(AA34),ROUND(AA34,2),0))</f>
        <v>0</v>
      </c>
      <c r="AT34">
        <f>IF(AS34&gt;=X34,1,0)</f>
        <v>0</v>
      </c>
      <c r="AU34">
        <f>IF(AS34&gt;=Y34,1,0)</f>
        <v>0</v>
      </c>
      <c r="AV34">
        <f>IF(AS34&lt;(X34-0.10),1,0)</f>
        <v>0</v>
      </c>
      <c r="AW34">
        <f>1-AM34/100</f>
        <v>0</v>
      </c>
      <c r="AX34">
        <f>IF(AQ34=1,AW34,1)</f>
        <v>0</v>
      </c>
      <c r="AY34">
        <f>IF(AP34=1,AW34,1)</f>
        <v>0</v>
      </c>
      <c r="AZ34">
        <f>IF(AND(AT34=1,ISNUMBER(AW34)),$AW34,1)</f>
        <v>0</v>
      </c>
      <c r="BA34">
        <f>IF(AND(AU34=1,ISNUMBER(AW34)),$AW34,1)</f>
        <v>0</v>
      </c>
      <c r="BB34">
        <f>IF(ISNUMBER(AB34),INDEX(AllCollegeMoney, MATCH(N34,AllCollegeNCES,0)),0)</f>
        <v>0</v>
      </c>
      <c r="BC34">
        <f>IF(AND(AT34=1,ISNUMBER(AW34),BB34=1),$AW34,1)</f>
        <v>0</v>
      </c>
      <c r="BD34">
        <f>IF(AND(AU34=1,ISNUMBER(AW34),BB34=1),$AW34,1)</f>
        <v>0</v>
      </c>
      <c r="BE34">
        <f>IF(ISNUMBER(AB34),INDEX(AllCollegeILPub, MATCH(N34,AllCollegeNCES,0)),0)</f>
        <v>0</v>
      </c>
      <c r="BF34">
        <f>IF(AN34=ReachLabel,AS34,0)</f>
        <v>0</v>
      </c>
      <c r="BG34">
        <f>IF(AN34=MatchLabel,AS34,0)</f>
        <v>0</v>
      </c>
      <c r="BH34">
        <f>IF(AN34=SafetyLabel,AS34,0)</f>
        <v>0</v>
      </c>
      <c r="BI34">
        <f>IF(AN34=SecureLabel,AS34,0)</f>
        <v>0</v>
      </c>
      <c r="BJ34">
        <f>IF(AN34=SureThingLabel,AS34,0)</f>
        <v>0</v>
      </c>
      <c r="BK34">
        <f>MAX(BF34:BJ34)</f>
        <v>0</v>
      </c>
      <c r="BL34">
        <f>MAX(BG34:BJ34)</f>
        <v>0</v>
      </c>
      <c r="BM34">
        <f>MAX(BH34:BJ34)</f>
        <v>0</v>
      </c>
      <c r="BN34">
        <f>IF(AND(AN34=ReachLabel,BB34=1),AS34,0)</f>
        <v>0</v>
      </c>
      <c r="BO34">
        <f>IF(AND(AN34=MatchLabel,BB34=1),AS34,0)</f>
        <v>0</v>
      </c>
      <c r="BP34">
        <f>IF(AND(AN34=SafetyLabel,BB34=1),AS34,0)</f>
        <v>0</v>
      </c>
      <c r="BQ34">
        <f>IF(AND(AN34=SecureLabel,BB34=1),AS34,0)</f>
        <v>0</v>
      </c>
      <c r="BR34">
        <f>IF(AND(AN34=SureThingLabel,BB34=1),AS34,0)</f>
        <v>0</v>
      </c>
      <c r="BS34">
        <f>MAX(BN34:BR34)</f>
        <v>0</v>
      </c>
      <c r="BT34">
        <f>MAX(BO34:BR34)</f>
        <v>0</v>
      </c>
      <c r="BU34">
        <f>MAX(BP34:BR34)</f>
        <v>0</v>
      </c>
      <c r="BV34">
        <f>IF(ISNUMBER(AB34),INDEX(AllCollegeChicago, MATCH(N34,AllCollegeNCES,0))*BB34,0)</f>
        <v>0</v>
      </c>
      <c r="BW34">
        <f>IF(ISNUMBER(AB34),INDEX(AllCollegeMoneyCode, MATCH(N34,AllCollegeNCES,0)),"?")</f>
        <v>0</v>
      </c>
      <c r="BX34">
        <f>IF(OR(BW34="---",BW34="--",BW34="+/--",BW34="+/---"),1,0)</f>
        <v>0</v>
      </c>
      <c r="BY34">
        <f>BB34*AR34*AT34</f>
        <v>0</v>
      </c>
    </row>
    <row r="35" spans="1:77">
      <c r="A35" t="s">
        <v>96</v>
      </c>
      <c r="B35">
        <v>22026339</v>
      </c>
      <c r="C35" t="s">
        <v>315</v>
      </c>
      <c r="D35" t="s">
        <v>316</v>
      </c>
      <c r="E35" t="s">
        <v>446</v>
      </c>
      <c r="F35" t="s">
        <v>481</v>
      </c>
      <c r="G35" t="s">
        <v>448</v>
      </c>
      <c r="H35" t="s">
        <v>449</v>
      </c>
      <c r="I35" t="s">
        <v>450</v>
      </c>
      <c r="J35" t="s">
        <v>450</v>
      </c>
      <c r="K35">
        <v>0</v>
      </c>
      <c r="L35" t="s">
        <v>446</v>
      </c>
      <c r="M35" t="s">
        <v>446</v>
      </c>
      <c r="N35">
        <v>153834</v>
      </c>
      <c r="O35">
        <f>INDEX(Counselor,MATCH(B35,KidIDs,0))</f>
        <v>0</v>
      </c>
      <c r="P35">
        <f>INDEX(Advisors,MATCH(B35,KidIDs,0))</f>
        <v>0</v>
      </c>
      <c r="Q35">
        <f>INDEX(Cohort,MATCH(B35,KidIDs,0))</f>
        <v>0</v>
      </c>
      <c r="R35">
        <f>INDEX(AllCollegeBarrons,MATCH(N35,AllCollegeNCES,0))</f>
        <v>0</v>
      </c>
      <c r="S35">
        <f>INDEX(KidGPAs,MATCH(B35,KidIDs,0))</f>
        <v>0</v>
      </c>
      <c r="T35">
        <f>INDEX(KidSATs,MATCH(B35,KidIDs,0))</f>
        <v>0</v>
      </c>
      <c r="U35">
        <f>INDEX(Strats,MATCH(B35,KidIDs,0))</f>
        <v>0</v>
      </c>
      <c r="V35">
        <f>INDEX(KidRace,MATCH(B35,KidIDs,0))</f>
        <v>0</v>
      </c>
      <c r="W35">
        <f>IF(OR(V35="M",V35="I"),"H",IF(V35="P","A",V35))</f>
        <v>0</v>
      </c>
      <c r="X35">
        <f>INDEX(StudentTargets,MATCH(B35,KidIDs,0))</f>
        <v>0</v>
      </c>
      <c r="Y35">
        <f>INDEX(ReachStudentTargets,MATCH(B35,KidIDs,0))</f>
        <v>0</v>
      </c>
      <c r="Z35">
        <f>IF(OR(M35="Posse"),1,0)</f>
        <v>0</v>
      </c>
      <c r="AA35">
        <f>IF(ISNUMBER(INDEX(AllCollegeGR, MATCH(N35,AllCollegeNCES,0))),ROUND(INDEX(AllCollegeGR, MATCH(N35,AllCollegeNCES,0))+Z35*IF(INDEX(AllCollegeGR, MATCH(N35,AllCollegeNCES,0))&gt;0.7,(1-INDEX(AllCollegeGR, MATCH(N35,AllCollegeNCES,0)))/2,0.15),2),INDEX(AllCollegeGR, MATCH(N35,AllCollegeNCES,0)))</f>
        <v>0</v>
      </c>
      <c r="AB35">
        <f>IF(ISNUMBER(INDEX(AllCollegeAAHGR, MATCH(N35,AllCollegeNCES,0))),ROUND(INDEX(AllCollegeAAHGR, MATCH(N35,AllCollegeNCES,0))+Z35*IF(INDEX(AllCollegeAAHGR, MATCH(N35,AllCollegeNCES,0))&gt;0.7,(1-INDEX(AllCollegeAAHGR, MATCH(N35,AllCollegeNCES,0)))/2,0.15),2),INDEX(AllCollegeAAHGR, MATCH(N35,AllCollegeNCES,0)))</f>
        <v>0</v>
      </c>
      <c r="AC35">
        <f>IF(OR(W35="H",W35="B"),INDEX(AllCollegeSAT25, MATCH(N35,AllCollegeNCES,0)),INDEX(AllCollegeSAT50, MATCH(N35,AllCollegeNCES,0)))</f>
        <v>0</v>
      </c>
      <c r="AD35">
        <f>INDEX(CustomWeightsGPA,MATCH(W35&amp;":"&amp;N35,CustomWeightsIndex,0))</f>
        <v>0</v>
      </c>
      <c r="AE35">
        <f>INDEX(CustomWeightsSAT,MATCH(W35&amp;":"&amp;N35,CustomWeightsIndex,0))</f>
        <v>0</v>
      </c>
      <c r="AF35">
        <f>INDEX(CustomWeightsIntercept,MATCH(W35&amp;":"&amp;N35,CustomWeightsIndex,0))</f>
        <v>0</v>
      </c>
      <c r="AG35">
        <f>AD35*S35+AE35*T35+AF35</f>
        <v>0</v>
      </c>
      <c r="AH35">
        <f>INDEX(CoefficientsGPA,MATCH(W35&amp;":"&amp;R35,CoefficientsIndex,0))</f>
        <v>0</v>
      </c>
      <c r="AI35">
        <f>INDEX(CoefficientsSAT,MATCH(W35&amp;":"&amp;R35,CoefficientsIndex,0))</f>
        <v>0</v>
      </c>
      <c r="AJ35">
        <f>INDEX(CoefficientsIntercept,MATCH(W35&amp;":"&amp;R35,CoefficientsIndex,0))</f>
        <v>0</v>
      </c>
      <c r="AK35">
        <f>AH35*S35+(T35-AC35)*AI35+AJ35</f>
        <v>0</v>
      </c>
      <c r="AL35">
        <f>IF(ISNUMBER(AG35),AG35,AK35)</f>
        <v>0</v>
      </c>
      <c r="AM35">
        <f>IF(ISNUMBER(AL35),IF(ISNUMBER(AH35),IF(AND(AH35=1,AI35=1,AJ35=1),100,MIN(99,ROUND(100*EXP(AL35)/(1+EXP(AL35)),2))),MIN(99,ROUND(100*EXP(AL35)/(1+EXP(AL35)),2))),IF(ISTEXT(R35),IF(LEFT(R35,1)="2",100,"N/A"),"N/A"))</f>
        <v>0</v>
      </c>
      <c r="AN35">
        <f>IF(ISNUMBER(AM35),IF(AM35&gt;=99,IF(OR(U35=10,U35=11),MatchLabel,SureThingLabel),IF(AM35&gt;=95,SecureLabel,IF(AM35&gt;=80,SafetyLabel,IF(AM35&gt;=50,MatchLabel,IF(AM35&gt;=20,ReachLabel,IF(AM35&gt;=10,LongshotLabel,HailMaryLabel)))))),"Other")</f>
        <v>0</v>
      </c>
      <c r="AO35">
        <f>IF(OR(I35="accepted",I35="cond. accept",I35="summer admit"),IF(J35="yes","CHOICE!","Accepted!"),IF(I35="guar. transfer","Guar. Xfer",IF(I35="denied","Denied",IF(K35=1,"Waitlist",IF(L35=1,"Deferred",IF(G35="pending","Pending",IF(OR(G35="initial materials submitted",G35="mid-year submitted",G35="final submitted"),"Submitted",IF(H35="interest","Interest","?"))))))))</f>
        <v>0</v>
      </c>
      <c r="AP35">
        <f>IF(OR(AN35=ReachLabel,AN35=LongshotLabel,AN35=HailMaryLabel),1,0)</f>
        <v>0</v>
      </c>
      <c r="AQ35">
        <f>IF(OR(AP35=1,AN35=MatchLabel),1,0)</f>
        <v>0</v>
      </c>
      <c r="AR35">
        <f>IF(OR(AN35=MatchLabel,AN35=SafetyLabel,AN35=SecureLabel,AN35=SureThingLabel),1,0)</f>
        <v>0</v>
      </c>
      <c r="AS35">
        <f>IF(OR(W35="H",W35="B",W35="I",W35="M"),IF(ISNUMBER(AB35),ROUND(AB35,2),0),IF(ISNUMBER(AA35),ROUND(AA35,2),0))</f>
        <v>0</v>
      </c>
      <c r="AT35">
        <f>IF(AS35&gt;=X35,1,0)</f>
        <v>0</v>
      </c>
      <c r="AU35">
        <f>IF(AS35&gt;=Y35,1,0)</f>
        <v>0</v>
      </c>
      <c r="AV35">
        <f>IF(AS35&lt;(X35-0.10),1,0)</f>
        <v>0</v>
      </c>
      <c r="AW35">
        <f>1-AM35/100</f>
        <v>0</v>
      </c>
      <c r="AX35">
        <f>IF(AQ35=1,AW35,1)</f>
        <v>0</v>
      </c>
      <c r="AY35">
        <f>IF(AP35=1,AW35,1)</f>
        <v>0</v>
      </c>
      <c r="AZ35">
        <f>IF(AND(AT35=1,ISNUMBER(AW35)),$AW35,1)</f>
        <v>0</v>
      </c>
      <c r="BA35">
        <f>IF(AND(AU35=1,ISNUMBER(AW35)),$AW35,1)</f>
        <v>0</v>
      </c>
      <c r="BB35">
        <f>IF(ISNUMBER(AB35),INDEX(AllCollegeMoney, MATCH(N35,AllCollegeNCES,0)),0)</f>
        <v>0</v>
      </c>
      <c r="BC35">
        <f>IF(AND(AT35=1,ISNUMBER(AW35),BB35=1),$AW35,1)</f>
        <v>0</v>
      </c>
      <c r="BD35">
        <f>IF(AND(AU35=1,ISNUMBER(AW35),BB35=1),$AW35,1)</f>
        <v>0</v>
      </c>
      <c r="BE35">
        <f>IF(ISNUMBER(AB35),INDEX(AllCollegeILPub, MATCH(N35,AllCollegeNCES,0)),0)</f>
        <v>0</v>
      </c>
      <c r="BF35">
        <f>IF(AN35=ReachLabel,AS35,0)</f>
        <v>0</v>
      </c>
      <c r="BG35">
        <f>IF(AN35=MatchLabel,AS35,0)</f>
        <v>0</v>
      </c>
      <c r="BH35">
        <f>IF(AN35=SafetyLabel,AS35,0)</f>
        <v>0</v>
      </c>
      <c r="BI35">
        <f>IF(AN35=SecureLabel,AS35,0)</f>
        <v>0</v>
      </c>
      <c r="BJ35">
        <f>IF(AN35=SureThingLabel,AS35,0)</f>
        <v>0</v>
      </c>
      <c r="BK35">
        <f>MAX(BF35:BJ35)</f>
        <v>0</v>
      </c>
      <c r="BL35">
        <f>MAX(BG35:BJ35)</f>
        <v>0</v>
      </c>
      <c r="BM35">
        <f>MAX(BH35:BJ35)</f>
        <v>0</v>
      </c>
      <c r="BN35">
        <f>IF(AND(AN35=ReachLabel,BB35=1),AS35,0)</f>
        <v>0</v>
      </c>
      <c r="BO35">
        <f>IF(AND(AN35=MatchLabel,BB35=1),AS35,0)</f>
        <v>0</v>
      </c>
      <c r="BP35">
        <f>IF(AND(AN35=SafetyLabel,BB35=1),AS35,0)</f>
        <v>0</v>
      </c>
      <c r="BQ35">
        <f>IF(AND(AN35=SecureLabel,BB35=1),AS35,0)</f>
        <v>0</v>
      </c>
      <c r="BR35">
        <f>IF(AND(AN35=SureThingLabel,BB35=1),AS35,0)</f>
        <v>0</v>
      </c>
      <c r="BS35">
        <f>MAX(BN35:BR35)</f>
        <v>0</v>
      </c>
      <c r="BT35">
        <f>MAX(BO35:BR35)</f>
        <v>0</v>
      </c>
      <c r="BU35">
        <f>MAX(BP35:BR35)</f>
        <v>0</v>
      </c>
      <c r="BV35">
        <f>IF(ISNUMBER(AB35),INDEX(AllCollegeChicago, MATCH(N35,AllCollegeNCES,0))*BB35,0)</f>
        <v>0</v>
      </c>
      <c r="BW35">
        <f>IF(ISNUMBER(AB35),INDEX(AllCollegeMoneyCode, MATCH(N35,AllCollegeNCES,0)),"?")</f>
        <v>0</v>
      </c>
      <c r="BX35">
        <f>IF(OR(BW35="---",BW35="--",BW35="+/--",BW35="+/---"),1,0)</f>
        <v>0</v>
      </c>
      <c r="BY35">
        <f>BB35*AR35*AT35</f>
        <v>0</v>
      </c>
    </row>
    <row r="36" spans="1:77">
      <c r="A36" t="s">
        <v>96</v>
      </c>
      <c r="B36">
        <v>22054227</v>
      </c>
      <c r="C36" t="s">
        <v>148</v>
      </c>
      <c r="D36" t="s">
        <v>149</v>
      </c>
      <c r="E36" t="s">
        <v>446</v>
      </c>
      <c r="F36" t="s">
        <v>482</v>
      </c>
      <c r="G36" t="s">
        <v>479</v>
      </c>
      <c r="H36" t="s">
        <v>449</v>
      </c>
      <c r="I36" t="s">
        <v>450</v>
      </c>
      <c r="J36" t="s">
        <v>450</v>
      </c>
      <c r="K36">
        <v>0</v>
      </c>
      <c r="L36" t="s">
        <v>446</v>
      </c>
      <c r="M36" t="s">
        <v>446</v>
      </c>
      <c r="N36">
        <v>170976</v>
      </c>
      <c r="O36">
        <f>INDEX(Counselor,MATCH(B36,KidIDs,0))</f>
        <v>0</v>
      </c>
      <c r="P36">
        <f>INDEX(Advisors,MATCH(B36,KidIDs,0))</f>
        <v>0</v>
      </c>
      <c r="Q36">
        <f>INDEX(Cohort,MATCH(B36,KidIDs,0))</f>
        <v>0</v>
      </c>
      <c r="R36">
        <f>INDEX(AllCollegeBarrons,MATCH(N36,AllCollegeNCES,0))</f>
        <v>0</v>
      </c>
      <c r="S36">
        <f>INDEX(KidGPAs,MATCH(B36,KidIDs,0))</f>
        <v>0</v>
      </c>
      <c r="T36">
        <f>INDEX(KidSATs,MATCH(B36,KidIDs,0))</f>
        <v>0</v>
      </c>
      <c r="U36">
        <f>INDEX(Strats,MATCH(B36,KidIDs,0))</f>
        <v>0</v>
      </c>
      <c r="V36">
        <f>INDEX(KidRace,MATCH(B36,KidIDs,0))</f>
        <v>0</v>
      </c>
      <c r="W36">
        <f>IF(OR(V36="M",V36="I"),"H",IF(V36="P","A",V36))</f>
        <v>0</v>
      </c>
      <c r="X36">
        <f>INDEX(StudentTargets,MATCH(B36,KidIDs,0))</f>
        <v>0</v>
      </c>
      <c r="Y36">
        <f>INDEX(ReachStudentTargets,MATCH(B36,KidIDs,0))</f>
        <v>0</v>
      </c>
      <c r="Z36">
        <f>IF(OR(M36="Posse"),1,0)</f>
        <v>0</v>
      </c>
      <c r="AA36">
        <f>IF(ISNUMBER(INDEX(AllCollegeGR, MATCH(N36,AllCollegeNCES,0))),ROUND(INDEX(AllCollegeGR, MATCH(N36,AllCollegeNCES,0))+Z36*IF(INDEX(AllCollegeGR, MATCH(N36,AllCollegeNCES,0))&gt;0.7,(1-INDEX(AllCollegeGR, MATCH(N36,AllCollegeNCES,0)))/2,0.15),2),INDEX(AllCollegeGR, MATCH(N36,AllCollegeNCES,0)))</f>
        <v>0</v>
      </c>
      <c r="AB36">
        <f>IF(ISNUMBER(INDEX(AllCollegeAAHGR, MATCH(N36,AllCollegeNCES,0))),ROUND(INDEX(AllCollegeAAHGR, MATCH(N36,AllCollegeNCES,0))+Z36*IF(INDEX(AllCollegeAAHGR, MATCH(N36,AllCollegeNCES,0))&gt;0.7,(1-INDEX(AllCollegeAAHGR, MATCH(N36,AllCollegeNCES,0)))/2,0.15),2),INDEX(AllCollegeAAHGR, MATCH(N36,AllCollegeNCES,0)))</f>
        <v>0</v>
      </c>
      <c r="AC36">
        <f>IF(OR(W36="H",W36="B"),INDEX(AllCollegeSAT25, MATCH(N36,AllCollegeNCES,0)),INDEX(AllCollegeSAT50, MATCH(N36,AllCollegeNCES,0)))</f>
        <v>0</v>
      </c>
      <c r="AD36">
        <f>INDEX(CustomWeightsGPA,MATCH(W36&amp;":"&amp;N36,CustomWeightsIndex,0))</f>
        <v>0</v>
      </c>
      <c r="AE36">
        <f>INDEX(CustomWeightsSAT,MATCH(W36&amp;":"&amp;N36,CustomWeightsIndex,0))</f>
        <v>0</v>
      </c>
      <c r="AF36">
        <f>INDEX(CustomWeightsIntercept,MATCH(W36&amp;":"&amp;N36,CustomWeightsIndex,0))</f>
        <v>0</v>
      </c>
      <c r="AG36">
        <f>AD36*S36+AE36*T36+AF36</f>
        <v>0</v>
      </c>
      <c r="AH36">
        <f>INDEX(CoefficientsGPA,MATCH(W36&amp;":"&amp;R36,CoefficientsIndex,0))</f>
        <v>0</v>
      </c>
      <c r="AI36">
        <f>INDEX(CoefficientsSAT,MATCH(W36&amp;":"&amp;R36,CoefficientsIndex,0))</f>
        <v>0</v>
      </c>
      <c r="AJ36">
        <f>INDEX(CoefficientsIntercept,MATCH(W36&amp;":"&amp;R36,CoefficientsIndex,0))</f>
        <v>0</v>
      </c>
      <c r="AK36">
        <f>AH36*S36+(T36-AC36)*AI36+AJ36</f>
        <v>0</v>
      </c>
      <c r="AL36">
        <f>IF(ISNUMBER(AG36),AG36,AK36)</f>
        <v>0</v>
      </c>
      <c r="AM36">
        <f>IF(ISNUMBER(AL36),IF(ISNUMBER(AH36),IF(AND(AH36=1,AI36=1,AJ36=1),100,MIN(99,ROUND(100*EXP(AL36)/(1+EXP(AL36)),2))),MIN(99,ROUND(100*EXP(AL36)/(1+EXP(AL36)),2))),IF(ISTEXT(R36),IF(LEFT(R36,1)="2",100,"N/A"),"N/A"))</f>
        <v>0</v>
      </c>
      <c r="AN36">
        <f>IF(ISNUMBER(AM36),IF(AM36&gt;=99,IF(OR(U36=10,U36=11),MatchLabel,SureThingLabel),IF(AM36&gt;=95,SecureLabel,IF(AM36&gt;=80,SafetyLabel,IF(AM36&gt;=50,MatchLabel,IF(AM36&gt;=20,ReachLabel,IF(AM36&gt;=10,LongshotLabel,HailMaryLabel)))))),"Other")</f>
        <v>0</v>
      </c>
      <c r="AO36">
        <f>IF(OR(I36="accepted",I36="cond. accept",I36="summer admit"),IF(J36="yes","CHOICE!","Accepted!"),IF(I36="guar. transfer","Guar. Xfer",IF(I36="denied","Denied",IF(K36=1,"Waitlist",IF(L36=1,"Deferred",IF(G36="pending","Pending",IF(OR(G36="initial materials submitted",G36="mid-year submitted",G36="final submitted"),"Submitted",IF(H36="interest","Interest","?"))))))))</f>
        <v>0</v>
      </c>
      <c r="AP36">
        <f>IF(OR(AN36=ReachLabel,AN36=LongshotLabel,AN36=HailMaryLabel),1,0)</f>
        <v>0</v>
      </c>
      <c r="AQ36">
        <f>IF(OR(AP36=1,AN36=MatchLabel),1,0)</f>
        <v>0</v>
      </c>
      <c r="AR36">
        <f>IF(OR(AN36=MatchLabel,AN36=SafetyLabel,AN36=SecureLabel,AN36=SureThingLabel),1,0)</f>
        <v>0</v>
      </c>
      <c r="AS36">
        <f>IF(OR(W36="H",W36="B",W36="I",W36="M"),IF(ISNUMBER(AB36),ROUND(AB36,2),0),IF(ISNUMBER(AA36),ROUND(AA36,2),0))</f>
        <v>0</v>
      </c>
      <c r="AT36">
        <f>IF(AS36&gt;=X36,1,0)</f>
        <v>0</v>
      </c>
      <c r="AU36">
        <f>IF(AS36&gt;=Y36,1,0)</f>
        <v>0</v>
      </c>
      <c r="AV36">
        <f>IF(AS36&lt;(X36-0.10),1,0)</f>
        <v>0</v>
      </c>
      <c r="AW36">
        <f>1-AM36/100</f>
        <v>0</v>
      </c>
      <c r="AX36">
        <f>IF(AQ36=1,AW36,1)</f>
        <v>0</v>
      </c>
      <c r="AY36">
        <f>IF(AP36=1,AW36,1)</f>
        <v>0</v>
      </c>
      <c r="AZ36">
        <f>IF(AND(AT36=1,ISNUMBER(AW36)),$AW36,1)</f>
        <v>0</v>
      </c>
      <c r="BA36">
        <f>IF(AND(AU36=1,ISNUMBER(AW36)),$AW36,1)</f>
        <v>0</v>
      </c>
      <c r="BB36">
        <f>IF(ISNUMBER(AB36),INDEX(AllCollegeMoney, MATCH(N36,AllCollegeNCES,0)),0)</f>
        <v>0</v>
      </c>
      <c r="BC36">
        <f>IF(AND(AT36=1,ISNUMBER(AW36),BB36=1),$AW36,1)</f>
        <v>0</v>
      </c>
      <c r="BD36">
        <f>IF(AND(AU36=1,ISNUMBER(AW36),BB36=1),$AW36,1)</f>
        <v>0</v>
      </c>
      <c r="BE36">
        <f>IF(ISNUMBER(AB36),INDEX(AllCollegeILPub, MATCH(N36,AllCollegeNCES,0)),0)</f>
        <v>0</v>
      </c>
      <c r="BF36">
        <f>IF(AN36=ReachLabel,AS36,0)</f>
        <v>0</v>
      </c>
      <c r="BG36">
        <f>IF(AN36=MatchLabel,AS36,0)</f>
        <v>0</v>
      </c>
      <c r="BH36">
        <f>IF(AN36=SafetyLabel,AS36,0)</f>
        <v>0</v>
      </c>
      <c r="BI36">
        <f>IF(AN36=SecureLabel,AS36,0)</f>
        <v>0</v>
      </c>
      <c r="BJ36">
        <f>IF(AN36=SureThingLabel,AS36,0)</f>
        <v>0</v>
      </c>
      <c r="BK36">
        <f>MAX(BF36:BJ36)</f>
        <v>0</v>
      </c>
      <c r="BL36">
        <f>MAX(BG36:BJ36)</f>
        <v>0</v>
      </c>
      <c r="BM36">
        <f>MAX(BH36:BJ36)</f>
        <v>0</v>
      </c>
      <c r="BN36">
        <f>IF(AND(AN36=ReachLabel,BB36=1),AS36,0)</f>
        <v>0</v>
      </c>
      <c r="BO36">
        <f>IF(AND(AN36=MatchLabel,BB36=1),AS36,0)</f>
        <v>0</v>
      </c>
      <c r="BP36">
        <f>IF(AND(AN36=SafetyLabel,BB36=1),AS36,0)</f>
        <v>0</v>
      </c>
      <c r="BQ36">
        <f>IF(AND(AN36=SecureLabel,BB36=1),AS36,0)</f>
        <v>0</v>
      </c>
      <c r="BR36">
        <f>IF(AND(AN36=SureThingLabel,BB36=1),AS36,0)</f>
        <v>0</v>
      </c>
      <c r="BS36">
        <f>MAX(BN36:BR36)</f>
        <v>0</v>
      </c>
      <c r="BT36">
        <f>MAX(BO36:BR36)</f>
        <v>0</v>
      </c>
      <c r="BU36">
        <f>MAX(BP36:BR36)</f>
        <v>0</v>
      </c>
      <c r="BV36">
        <f>IF(ISNUMBER(AB36),INDEX(AllCollegeChicago, MATCH(N36,AllCollegeNCES,0))*BB36,0)</f>
        <v>0</v>
      </c>
      <c r="BW36">
        <f>IF(ISNUMBER(AB36),INDEX(AllCollegeMoneyCode, MATCH(N36,AllCollegeNCES,0)),"?")</f>
        <v>0</v>
      </c>
      <c r="BX36">
        <f>IF(OR(BW36="---",BW36="--",BW36="+/--",BW36="+/---"),1,0)</f>
        <v>0</v>
      </c>
      <c r="BY36">
        <f>BB36*AR36*AT36</f>
        <v>0</v>
      </c>
    </row>
    <row r="37" spans="1:77">
      <c r="A37" t="s">
        <v>96</v>
      </c>
      <c r="B37">
        <v>22054227</v>
      </c>
      <c r="C37" t="s">
        <v>148</v>
      </c>
      <c r="D37" t="s">
        <v>149</v>
      </c>
      <c r="E37" t="s">
        <v>446</v>
      </c>
      <c r="F37" t="s">
        <v>470</v>
      </c>
      <c r="G37" t="s">
        <v>448</v>
      </c>
      <c r="H37" t="s">
        <v>449</v>
      </c>
      <c r="I37" t="s">
        <v>450</v>
      </c>
      <c r="J37" t="s">
        <v>450</v>
      </c>
      <c r="K37">
        <v>0</v>
      </c>
      <c r="L37" t="s">
        <v>446</v>
      </c>
      <c r="M37" t="s">
        <v>446</v>
      </c>
      <c r="N37">
        <v>240444</v>
      </c>
      <c r="O37">
        <f>INDEX(Counselor,MATCH(B37,KidIDs,0))</f>
        <v>0</v>
      </c>
      <c r="P37">
        <f>INDEX(Advisors,MATCH(B37,KidIDs,0))</f>
        <v>0</v>
      </c>
      <c r="Q37">
        <f>INDEX(Cohort,MATCH(B37,KidIDs,0))</f>
        <v>0</v>
      </c>
      <c r="R37">
        <f>INDEX(AllCollegeBarrons,MATCH(N37,AllCollegeNCES,0))</f>
        <v>0</v>
      </c>
      <c r="S37">
        <f>INDEX(KidGPAs,MATCH(B37,KidIDs,0))</f>
        <v>0</v>
      </c>
      <c r="T37">
        <f>INDEX(KidSATs,MATCH(B37,KidIDs,0))</f>
        <v>0</v>
      </c>
      <c r="U37">
        <f>INDEX(Strats,MATCH(B37,KidIDs,0))</f>
        <v>0</v>
      </c>
      <c r="V37">
        <f>INDEX(KidRace,MATCH(B37,KidIDs,0))</f>
        <v>0</v>
      </c>
      <c r="W37">
        <f>IF(OR(V37="M",V37="I"),"H",IF(V37="P","A",V37))</f>
        <v>0</v>
      </c>
      <c r="X37">
        <f>INDEX(StudentTargets,MATCH(B37,KidIDs,0))</f>
        <v>0</v>
      </c>
      <c r="Y37">
        <f>INDEX(ReachStudentTargets,MATCH(B37,KidIDs,0))</f>
        <v>0</v>
      </c>
      <c r="Z37">
        <f>IF(OR(M37="Posse"),1,0)</f>
        <v>0</v>
      </c>
      <c r="AA37">
        <f>IF(ISNUMBER(INDEX(AllCollegeGR, MATCH(N37,AllCollegeNCES,0))),ROUND(INDEX(AllCollegeGR, MATCH(N37,AllCollegeNCES,0))+Z37*IF(INDEX(AllCollegeGR, MATCH(N37,AllCollegeNCES,0))&gt;0.7,(1-INDEX(AllCollegeGR, MATCH(N37,AllCollegeNCES,0)))/2,0.15),2),INDEX(AllCollegeGR, MATCH(N37,AllCollegeNCES,0)))</f>
        <v>0</v>
      </c>
      <c r="AB37">
        <f>IF(ISNUMBER(INDEX(AllCollegeAAHGR, MATCH(N37,AllCollegeNCES,0))),ROUND(INDEX(AllCollegeAAHGR, MATCH(N37,AllCollegeNCES,0))+Z37*IF(INDEX(AllCollegeAAHGR, MATCH(N37,AllCollegeNCES,0))&gt;0.7,(1-INDEX(AllCollegeAAHGR, MATCH(N37,AllCollegeNCES,0)))/2,0.15),2),INDEX(AllCollegeAAHGR, MATCH(N37,AllCollegeNCES,0)))</f>
        <v>0</v>
      </c>
      <c r="AC37">
        <f>IF(OR(W37="H",W37="B"),INDEX(AllCollegeSAT25, MATCH(N37,AllCollegeNCES,0)),INDEX(AllCollegeSAT50, MATCH(N37,AllCollegeNCES,0)))</f>
        <v>0</v>
      </c>
      <c r="AD37">
        <f>INDEX(CustomWeightsGPA,MATCH(W37&amp;":"&amp;N37,CustomWeightsIndex,0))</f>
        <v>0</v>
      </c>
      <c r="AE37">
        <f>INDEX(CustomWeightsSAT,MATCH(W37&amp;":"&amp;N37,CustomWeightsIndex,0))</f>
        <v>0</v>
      </c>
      <c r="AF37">
        <f>INDEX(CustomWeightsIntercept,MATCH(W37&amp;":"&amp;N37,CustomWeightsIndex,0))</f>
        <v>0</v>
      </c>
      <c r="AG37">
        <f>AD37*S37+AE37*T37+AF37</f>
        <v>0</v>
      </c>
      <c r="AH37">
        <f>INDEX(CoefficientsGPA,MATCH(W37&amp;":"&amp;R37,CoefficientsIndex,0))</f>
        <v>0</v>
      </c>
      <c r="AI37">
        <f>INDEX(CoefficientsSAT,MATCH(W37&amp;":"&amp;R37,CoefficientsIndex,0))</f>
        <v>0</v>
      </c>
      <c r="AJ37">
        <f>INDEX(CoefficientsIntercept,MATCH(W37&amp;":"&amp;R37,CoefficientsIndex,0))</f>
        <v>0</v>
      </c>
      <c r="AK37">
        <f>AH37*S37+(T37-AC37)*AI37+AJ37</f>
        <v>0</v>
      </c>
      <c r="AL37">
        <f>IF(ISNUMBER(AG37),AG37,AK37)</f>
        <v>0</v>
      </c>
      <c r="AM37">
        <f>IF(ISNUMBER(AL37),IF(ISNUMBER(AH37),IF(AND(AH37=1,AI37=1,AJ37=1),100,MIN(99,ROUND(100*EXP(AL37)/(1+EXP(AL37)),2))),MIN(99,ROUND(100*EXP(AL37)/(1+EXP(AL37)),2))),IF(ISTEXT(R37),IF(LEFT(R37,1)="2",100,"N/A"),"N/A"))</f>
        <v>0</v>
      </c>
      <c r="AN37">
        <f>IF(ISNUMBER(AM37),IF(AM37&gt;=99,IF(OR(U37=10,U37=11),MatchLabel,SureThingLabel),IF(AM37&gt;=95,SecureLabel,IF(AM37&gt;=80,SafetyLabel,IF(AM37&gt;=50,MatchLabel,IF(AM37&gt;=20,ReachLabel,IF(AM37&gt;=10,LongshotLabel,HailMaryLabel)))))),"Other")</f>
        <v>0</v>
      </c>
      <c r="AO37">
        <f>IF(OR(I37="accepted",I37="cond. accept",I37="summer admit"),IF(J37="yes","CHOICE!","Accepted!"),IF(I37="guar. transfer","Guar. Xfer",IF(I37="denied","Denied",IF(K37=1,"Waitlist",IF(L37=1,"Deferred",IF(G37="pending","Pending",IF(OR(G37="initial materials submitted",G37="mid-year submitted",G37="final submitted"),"Submitted",IF(H37="interest","Interest","?"))))))))</f>
        <v>0</v>
      </c>
      <c r="AP37">
        <f>IF(OR(AN37=ReachLabel,AN37=LongshotLabel,AN37=HailMaryLabel),1,0)</f>
        <v>0</v>
      </c>
      <c r="AQ37">
        <f>IF(OR(AP37=1,AN37=MatchLabel),1,0)</f>
        <v>0</v>
      </c>
      <c r="AR37">
        <f>IF(OR(AN37=MatchLabel,AN37=SafetyLabel,AN37=SecureLabel,AN37=SureThingLabel),1,0)</f>
        <v>0</v>
      </c>
      <c r="AS37">
        <f>IF(OR(W37="H",W37="B",W37="I",W37="M"),IF(ISNUMBER(AB37),ROUND(AB37,2),0),IF(ISNUMBER(AA37),ROUND(AA37,2),0))</f>
        <v>0</v>
      </c>
      <c r="AT37">
        <f>IF(AS37&gt;=X37,1,0)</f>
        <v>0</v>
      </c>
      <c r="AU37">
        <f>IF(AS37&gt;=Y37,1,0)</f>
        <v>0</v>
      </c>
      <c r="AV37">
        <f>IF(AS37&lt;(X37-0.10),1,0)</f>
        <v>0</v>
      </c>
      <c r="AW37">
        <f>1-AM37/100</f>
        <v>0</v>
      </c>
      <c r="AX37">
        <f>IF(AQ37=1,AW37,1)</f>
        <v>0</v>
      </c>
      <c r="AY37">
        <f>IF(AP37=1,AW37,1)</f>
        <v>0</v>
      </c>
      <c r="AZ37">
        <f>IF(AND(AT37=1,ISNUMBER(AW37)),$AW37,1)</f>
        <v>0</v>
      </c>
      <c r="BA37">
        <f>IF(AND(AU37=1,ISNUMBER(AW37)),$AW37,1)</f>
        <v>0</v>
      </c>
      <c r="BB37">
        <f>IF(ISNUMBER(AB37),INDEX(AllCollegeMoney, MATCH(N37,AllCollegeNCES,0)),0)</f>
        <v>0</v>
      </c>
      <c r="BC37">
        <f>IF(AND(AT37=1,ISNUMBER(AW37),BB37=1),$AW37,1)</f>
        <v>0</v>
      </c>
      <c r="BD37">
        <f>IF(AND(AU37=1,ISNUMBER(AW37),BB37=1),$AW37,1)</f>
        <v>0</v>
      </c>
      <c r="BE37">
        <f>IF(ISNUMBER(AB37),INDEX(AllCollegeILPub, MATCH(N37,AllCollegeNCES,0)),0)</f>
        <v>0</v>
      </c>
      <c r="BF37">
        <f>IF(AN37=ReachLabel,AS37,0)</f>
        <v>0</v>
      </c>
      <c r="BG37">
        <f>IF(AN37=MatchLabel,AS37,0)</f>
        <v>0</v>
      </c>
      <c r="BH37">
        <f>IF(AN37=SafetyLabel,AS37,0)</f>
        <v>0</v>
      </c>
      <c r="BI37">
        <f>IF(AN37=SecureLabel,AS37,0)</f>
        <v>0</v>
      </c>
      <c r="BJ37">
        <f>IF(AN37=SureThingLabel,AS37,0)</f>
        <v>0</v>
      </c>
      <c r="BK37">
        <f>MAX(BF37:BJ37)</f>
        <v>0</v>
      </c>
      <c r="BL37">
        <f>MAX(BG37:BJ37)</f>
        <v>0</v>
      </c>
      <c r="BM37">
        <f>MAX(BH37:BJ37)</f>
        <v>0</v>
      </c>
      <c r="BN37">
        <f>IF(AND(AN37=ReachLabel,BB37=1),AS37,0)</f>
        <v>0</v>
      </c>
      <c r="BO37">
        <f>IF(AND(AN37=MatchLabel,BB37=1),AS37,0)</f>
        <v>0</v>
      </c>
      <c r="BP37">
        <f>IF(AND(AN37=SafetyLabel,BB37=1),AS37,0)</f>
        <v>0</v>
      </c>
      <c r="BQ37">
        <f>IF(AND(AN37=SecureLabel,BB37=1),AS37,0)</f>
        <v>0</v>
      </c>
      <c r="BR37">
        <f>IF(AND(AN37=SureThingLabel,BB37=1),AS37,0)</f>
        <v>0</v>
      </c>
      <c r="BS37">
        <f>MAX(BN37:BR37)</f>
        <v>0</v>
      </c>
      <c r="BT37">
        <f>MAX(BO37:BR37)</f>
        <v>0</v>
      </c>
      <c r="BU37">
        <f>MAX(BP37:BR37)</f>
        <v>0</v>
      </c>
      <c r="BV37">
        <f>IF(ISNUMBER(AB37),INDEX(AllCollegeChicago, MATCH(N37,AllCollegeNCES,0))*BB37,0)</f>
        <v>0</v>
      </c>
      <c r="BW37">
        <f>IF(ISNUMBER(AB37),INDEX(AllCollegeMoneyCode, MATCH(N37,AllCollegeNCES,0)),"?")</f>
        <v>0</v>
      </c>
      <c r="BX37">
        <f>IF(OR(BW37="---",BW37="--",BW37="+/--",BW37="+/---"),1,0)</f>
        <v>0</v>
      </c>
      <c r="BY37">
        <f>BB37*AR37*AT37</f>
        <v>0</v>
      </c>
    </row>
    <row r="38" spans="1:77">
      <c r="A38" t="s">
        <v>96</v>
      </c>
      <c r="B38">
        <v>22054227</v>
      </c>
      <c r="C38" t="s">
        <v>148</v>
      </c>
      <c r="D38" t="s">
        <v>149</v>
      </c>
      <c r="E38" t="s">
        <v>446</v>
      </c>
      <c r="F38" t="s">
        <v>483</v>
      </c>
      <c r="G38" t="s">
        <v>448</v>
      </c>
      <c r="H38" t="s">
        <v>449</v>
      </c>
      <c r="I38" t="s">
        <v>450</v>
      </c>
      <c r="J38" t="s">
        <v>450</v>
      </c>
      <c r="K38">
        <v>0</v>
      </c>
      <c r="L38" t="s">
        <v>446</v>
      </c>
      <c r="M38" t="s">
        <v>446</v>
      </c>
      <c r="N38">
        <v>212577</v>
      </c>
      <c r="O38">
        <f>INDEX(Counselor,MATCH(B38,KidIDs,0))</f>
        <v>0</v>
      </c>
      <c r="P38">
        <f>INDEX(Advisors,MATCH(B38,KidIDs,0))</f>
        <v>0</v>
      </c>
      <c r="Q38">
        <f>INDEX(Cohort,MATCH(B38,KidIDs,0))</f>
        <v>0</v>
      </c>
      <c r="R38">
        <f>INDEX(AllCollegeBarrons,MATCH(N38,AllCollegeNCES,0))</f>
        <v>0</v>
      </c>
      <c r="S38">
        <f>INDEX(KidGPAs,MATCH(B38,KidIDs,0))</f>
        <v>0</v>
      </c>
      <c r="T38">
        <f>INDEX(KidSATs,MATCH(B38,KidIDs,0))</f>
        <v>0</v>
      </c>
      <c r="U38">
        <f>INDEX(Strats,MATCH(B38,KidIDs,0))</f>
        <v>0</v>
      </c>
      <c r="V38">
        <f>INDEX(KidRace,MATCH(B38,KidIDs,0))</f>
        <v>0</v>
      </c>
      <c r="W38">
        <f>IF(OR(V38="M",V38="I"),"H",IF(V38="P","A",V38))</f>
        <v>0</v>
      </c>
      <c r="X38">
        <f>INDEX(StudentTargets,MATCH(B38,KidIDs,0))</f>
        <v>0</v>
      </c>
      <c r="Y38">
        <f>INDEX(ReachStudentTargets,MATCH(B38,KidIDs,0))</f>
        <v>0</v>
      </c>
      <c r="Z38">
        <f>IF(OR(M38="Posse"),1,0)</f>
        <v>0</v>
      </c>
      <c r="AA38">
        <f>IF(ISNUMBER(INDEX(AllCollegeGR, MATCH(N38,AllCollegeNCES,0))),ROUND(INDEX(AllCollegeGR, MATCH(N38,AllCollegeNCES,0))+Z38*IF(INDEX(AllCollegeGR, MATCH(N38,AllCollegeNCES,0))&gt;0.7,(1-INDEX(AllCollegeGR, MATCH(N38,AllCollegeNCES,0)))/2,0.15),2),INDEX(AllCollegeGR, MATCH(N38,AllCollegeNCES,0)))</f>
        <v>0</v>
      </c>
      <c r="AB38">
        <f>IF(ISNUMBER(INDEX(AllCollegeAAHGR, MATCH(N38,AllCollegeNCES,0))),ROUND(INDEX(AllCollegeAAHGR, MATCH(N38,AllCollegeNCES,0))+Z38*IF(INDEX(AllCollegeAAHGR, MATCH(N38,AllCollegeNCES,0))&gt;0.7,(1-INDEX(AllCollegeAAHGR, MATCH(N38,AllCollegeNCES,0)))/2,0.15),2),INDEX(AllCollegeAAHGR, MATCH(N38,AllCollegeNCES,0)))</f>
        <v>0</v>
      </c>
      <c r="AC38">
        <f>IF(OR(W38="H",W38="B"),INDEX(AllCollegeSAT25, MATCH(N38,AllCollegeNCES,0)),INDEX(AllCollegeSAT50, MATCH(N38,AllCollegeNCES,0)))</f>
        <v>0</v>
      </c>
      <c r="AD38">
        <f>INDEX(CustomWeightsGPA,MATCH(W38&amp;":"&amp;N38,CustomWeightsIndex,0))</f>
        <v>0</v>
      </c>
      <c r="AE38">
        <f>INDEX(CustomWeightsSAT,MATCH(W38&amp;":"&amp;N38,CustomWeightsIndex,0))</f>
        <v>0</v>
      </c>
      <c r="AF38">
        <f>INDEX(CustomWeightsIntercept,MATCH(W38&amp;":"&amp;N38,CustomWeightsIndex,0))</f>
        <v>0</v>
      </c>
      <c r="AG38">
        <f>AD38*S38+AE38*T38+AF38</f>
        <v>0</v>
      </c>
      <c r="AH38">
        <f>INDEX(CoefficientsGPA,MATCH(W38&amp;":"&amp;R38,CoefficientsIndex,0))</f>
        <v>0</v>
      </c>
      <c r="AI38">
        <f>INDEX(CoefficientsSAT,MATCH(W38&amp;":"&amp;R38,CoefficientsIndex,0))</f>
        <v>0</v>
      </c>
      <c r="AJ38">
        <f>INDEX(CoefficientsIntercept,MATCH(W38&amp;":"&amp;R38,CoefficientsIndex,0))</f>
        <v>0</v>
      </c>
      <c r="AK38">
        <f>AH38*S38+(T38-AC38)*AI38+AJ38</f>
        <v>0</v>
      </c>
      <c r="AL38">
        <f>IF(ISNUMBER(AG38),AG38,AK38)</f>
        <v>0</v>
      </c>
      <c r="AM38">
        <f>IF(ISNUMBER(AL38),IF(ISNUMBER(AH38),IF(AND(AH38=1,AI38=1,AJ38=1),100,MIN(99,ROUND(100*EXP(AL38)/(1+EXP(AL38)),2))),MIN(99,ROUND(100*EXP(AL38)/(1+EXP(AL38)),2))),IF(ISTEXT(R38),IF(LEFT(R38,1)="2",100,"N/A"),"N/A"))</f>
        <v>0</v>
      </c>
      <c r="AN38">
        <f>IF(ISNUMBER(AM38),IF(AM38&gt;=99,IF(OR(U38=10,U38=11),MatchLabel,SureThingLabel),IF(AM38&gt;=95,SecureLabel,IF(AM38&gt;=80,SafetyLabel,IF(AM38&gt;=50,MatchLabel,IF(AM38&gt;=20,ReachLabel,IF(AM38&gt;=10,LongshotLabel,HailMaryLabel)))))),"Other")</f>
        <v>0</v>
      </c>
      <c r="AO38">
        <f>IF(OR(I38="accepted",I38="cond. accept",I38="summer admit"),IF(J38="yes","CHOICE!","Accepted!"),IF(I38="guar. transfer","Guar. Xfer",IF(I38="denied","Denied",IF(K38=1,"Waitlist",IF(L38=1,"Deferred",IF(G38="pending","Pending",IF(OR(G38="initial materials submitted",G38="mid-year submitted",G38="final submitted"),"Submitted",IF(H38="interest","Interest","?"))))))))</f>
        <v>0</v>
      </c>
      <c r="AP38">
        <f>IF(OR(AN38=ReachLabel,AN38=LongshotLabel,AN38=HailMaryLabel),1,0)</f>
        <v>0</v>
      </c>
      <c r="AQ38">
        <f>IF(OR(AP38=1,AN38=MatchLabel),1,0)</f>
        <v>0</v>
      </c>
      <c r="AR38">
        <f>IF(OR(AN38=MatchLabel,AN38=SafetyLabel,AN38=SecureLabel,AN38=SureThingLabel),1,0)</f>
        <v>0</v>
      </c>
      <c r="AS38">
        <f>IF(OR(W38="H",W38="B",W38="I",W38="M"),IF(ISNUMBER(AB38),ROUND(AB38,2),0),IF(ISNUMBER(AA38),ROUND(AA38,2),0))</f>
        <v>0</v>
      </c>
      <c r="AT38">
        <f>IF(AS38&gt;=X38,1,0)</f>
        <v>0</v>
      </c>
      <c r="AU38">
        <f>IF(AS38&gt;=Y38,1,0)</f>
        <v>0</v>
      </c>
      <c r="AV38">
        <f>IF(AS38&lt;(X38-0.10),1,0)</f>
        <v>0</v>
      </c>
      <c r="AW38">
        <f>1-AM38/100</f>
        <v>0</v>
      </c>
      <c r="AX38">
        <f>IF(AQ38=1,AW38,1)</f>
        <v>0</v>
      </c>
      <c r="AY38">
        <f>IF(AP38=1,AW38,1)</f>
        <v>0</v>
      </c>
      <c r="AZ38">
        <f>IF(AND(AT38=1,ISNUMBER(AW38)),$AW38,1)</f>
        <v>0</v>
      </c>
      <c r="BA38">
        <f>IF(AND(AU38=1,ISNUMBER(AW38)),$AW38,1)</f>
        <v>0</v>
      </c>
      <c r="BB38">
        <f>IF(ISNUMBER(AB38),INDEX(AllCollegeMoney, MATCH(N38,AllCollegeNCES,0)),0)</f>
        <v>0</v>
      </c>
      <c r="BC38">
        <f>IF(AND(AT38=1,ISNUMBER(AW38),BB38=1),$AW38,1)</f>
        <v>0</v>
      </c>
      <c r="BD38">
        <f>IF(AND(AU38=1,ISNUMBER(AW38),BB38=1),$AW38,1)</f>
        <v>0</v>
      </c>
      <c r="BE38">
        <f>IF(ISNUMBER(AB38),INDEX(AllCollegeILPub, MATCH(N38,AllCollegeNCES,0)),0)</f>
        <v>0</v>
      </c>
      <c r="BF38">
        <f>IF(AN38=ReachLabel,AS38,0)</f>
        <v>0</v>
      </c>
      <c r="BG38">
        <f>IF(AN38=MatchLabel,AS38,0)</f>
        <v>0</v>
      </c>
      <c r="BH38">
        <f>IF(AN38=SafetyLabel,AS38,0)</f>
        <v>0</v>
      </c>
      <c r="BI38">
        <f>IF(AN38=SecureLabel,AS38,0)</f>
        <v>0</v>
      </c>
      <c r="BJ38">
        <f>IF(AN38=SureThingLabel,AS38,0)</f>
        <v>0</v>
      </c>
      <c r="BK38">
        <f>MAX(BF38:BJ38)</f>
        <v>0</v>
      </c>
      <c r="BL38">
        <f>MAX(BG38:BJ38)</f>
        <v>0</v>
      </c>
      <c r="BM38">
        <f>MAX(BH38:BJ38)</f>
        <v>0</v>
      </c>
      <c r="BN38">
        <f>IF(AND(AN38=ReachLabel,BB38=1),AS38,0)</f>
        <v>0</v>
      </c>
      <c r="BO38">
        <f>IF(AND(AN38=MatchLabel,BB38=1),AS38,0)</f>
        <v>0</v>
      </c>
      <c r="BP38">
        <f>IF(AND(AN38=SafetyLabel,BB38=1),AS38,0)</f>
        <v>0</v>
      </c>
      <c r="BQ38">
        <f>IF(AND(AN38=SecureLabel,BB38=1),AS38,0)</f>
        <v>0</v>
      </c>
      <c r="BR38">
        <f>IF(AND(AN38=SureThingLabel,BB38=1),AS38,0)</f>
        <v>0</v>
      </c>
      <c r="BS38">
        <f>MAX(BN38:BR38)</f>
        <v>0</v>
      </c>
      <c r="BT38">
        <f>MAX(BO38:BR38)</f>
        <v>0</v>
      </c>
      <c r="BU38">
        <f>MAX(BP38:BR38)</f>
        <v>0</v>
      </c>
      <c r="BV38">
        <f>IF(ISNUMBER(AB38),INDEX(AllCollegeChicago, MATCH(N38,AllCollegeNCES,0))*BB38,0)</f>
        <v>0</v>
      </c>
      <c r="BW38">
        <f>IF(ISNUMBER(AB38),INDEX(AllCollegeMoneyCode, MATCH(N38,AllCollegeNCES,0)),"?")</f>
        <v>0</v>
      </c>
      <c r="BX38">
        <f>IF(OR(BW38="---",BW38="--",BW38="+/--",BW38="+/---"),1,0)</f>
        <v>0</v>
      </c>
      <c r="BY38">
        <f>BB38*AR38*AT38</f>
        <v>0</v>
      </c>
    </row>
    <row r="39" spans="1:77">
      <c r="A39" t="s">
        <v>96</v>
      </c>
      <c r="B39">
        <v>22054227</v>
      </c>
      <c r="C39" t="s">
        <v>148</v>
      </c>
      <c r="D39" t="s">
        <v>149</v>
      </c>
      <c r="E39" t="s">
        <v>446</v>
      </c>
      <c r="F39" t="s">
        <v>484</v>
      </c>
      <c r="G39" t="s">
        <v>448</v>
      </c>
      <c r="H39" t="s">
        <v>449</v>
      </c>
      <c r="I39" t="s">
        <v>450</v>
      </c>
      <c r="J39" t="s">
        <v>450</v>
      </c>
      <c r="K39">
        <v>0</v>
      </c>
      <c r="L39" t="s">
        <v>446</v>
      </c>
      <c r="M39" t="s">
        <v>446</v>
      </c>
      <c r="N39">
        <v>213385</v>
      </c>
      <c r="O39">
        <f>INDEX(Counselor,MATCH(B39,KidIDs,0))</f>
        <v>0</v>
      </c>
      <c r="P39">
        <f>INDEX(Advisors,MATCH(B39,KidIDs,0))</f>
        <v>0</v>
      </c>
      <c r="Q39">
        <f>INDEX(Cohort,MATCH(B39,KidIDs,0))</f>
        <v>0</v>
      </c>
      <c r="R39">
        <f>INDEX(AllCollegeBarrons,MATCH(N39,AllCollegeNCES,0))</f>
        <v>0</v>
      </c>
      <c r="S39">
        <f>INDEX(KidGPAs,MATCH(B39,KidIDs,0))</f>
        <v>0</v>
      </c>
      <c r="T39">
        <f>INDEX(KidSATs,MATCH(B39,KidIDs,0))</f>
        <v>0</v>
      </c>
      <c r="U39">
        <f>INDEX(Strats,MATCH(B39,KidIDs,0))</f>
        <v>0</v>
      </c>
      <c r="V39">
        <f>INDEX(KidRace,MATCH(B39,KidIDs,0))</f>
        <v>0</v>
      </c>
      <c r="W39">
        <f>IF(OR(V39="M",V39="I"),"H",IF(V39="P","A",V39))</f>
        <v>0</v>
      </c>
      <c r="X39">
        <f>INDEX(StudentTargets,MATCH(B39,KidIDs,0))</f>
        <v>0</v>
      </c>
      <c r="Y39">
        <f>INDEX(ReachStudentTargets,MATCH(B39,KidIDs,0))</f>
        <v>0</v>
      </c>
      <c r="Z39">
        <f>IF(OR(M39="Posse"),1,0)</f>
        <v>0</v>
      </c>
      <c r="AA39">
        <f>IF(ISNUMBER(INDEX(AllCollegeGR, MATCH(N39,AllCollegeNCES,0))),ROUND(INDEX(AllCollegeGR, MATCH(N39,AllCollegeNCES,0))+Z39*IF(INDEX(AllCollegeGR, MATCH(N39,AllCollegeNCES,0))&gt;0.7,(1-INDEX(AllCollegeGR, MATCH(N39,AllCollegeNCES,0)))/2,0.15),2),INDEX(AllCollegeGR, MATCH(N39,AllCollegeNCES,0)))</f>
        <v>0</v>
      </c>
      <c r="AB39">
        <f>IF(ISNUMBER(INDEX(AllCollegeAAHGR, MATCH(N39,AllCollegeNCES,0))),ROUND(INDEX(AllCollegeAAHGR, MATCH(N39,AllCollegeNCES,0))+Z39*IF(INDEX(AllCollegeAAHGR, MATCH(N39,AllCollegeNCES,0))&gt;0.7,(1-INDEX(AllCollegeAAHGR, MATCH(N39,AllCollegeNCES,0)))/2,0.15),2),INDEX(AllCollegeAAHGR, MATCH(N39,AllCollegeNCES,0)))</f>
        <v>0</v>
      </c>
      <c r="AC39">
        <f>IF(OR(W39="H",W39="B"),INDEX(AllCollegeSAT25, MATCH(N39,AllCollegeNCES,0)),INDEX(AllCollegeSAT50, MATCH(N39,AllCollegeNCES,0)))</f>
        <v>0</v>
      </c>
      <c r="AD39">
        <f>INDEX(CustomWeightsGPA,MATCH(W39&amp;":"&amp;N39,CustomWeightsIndex,0))</f>
        <v>0</v>
      </c>
      <c r="AE39">
        <f>INDEX(CustomWeightsSAT,MATCH(W39&amp;":"&amp;N39,CustomWeightsIndex,0))</f>
        <v>0</v>
      </c>
      <c r="AF39">
        <f>INDEX(CustomWeightsIntercept,MATCH(W39&amp;":"&amp;N39,CustomWeightsIndex,0))</f>
        <v>0</v>
      </c>
      <c r="AG39">
        <f>AD39*S39+AE39*T39+AF39</f>
        <v>0</v>
      </c>
      <c r="AH39">
        <f>INDEX(CoefficientsGPA,MATCH(W39&amp;":"&amp;R39,CoefficientsIndex,0))</f>
        <v>0</v>
      </c>
      <c r="AI39">
        <f>INDEX(CoefficientsSAT,MATCH(W39&amp;":"&amp;R39,CoefficientsIndex,0))</f>
        <v>0</v>
      </c>
      <c r="AJ39">
        <f>INDEX(CoefficientsIntercept,MATCH(W39&amp;":"&amp;R39,CoefficientsIndex,0))</f>
        <v>0</v>
      </c>
      <c r="AK39">
        <f>AH39*S39+(T39-AC39)*AI39+AJ39</f>
        <v>0</v>
      </c>
      <c r="AL39">
        <f>IF(ISNUMBER(AG39),AG39,AK39)</f>
        <v>0</v>
      </c>
      <c r="AM39">
        <f>IF(ISNUMBER(AL39),IF(ISNUMBER(AH39),IF(AND(AH39=1,AI39=1,AJ39=1),100,MIN(99,ROUND(100*EXP(AL39)/(1+EXP(AL39)),2))),MIN(99,ROUND(100*EXP(AL39)/(1+EXP(AL39)),2))),IF(ISTEXT(R39),IF(LEFT(R39,1)="2",100,"N/A"),"N/A"))</f>
        <v>0</v>
      </c>
      <c r="AN39">
        <f>IF(ISNUMBER(AM39),IF(AM39&gt;=99,IF(OR(U39=10,U39=11),MatchLabel,SureThingLabel),IF(AM39&gt;=95,SecureLabel,IF(AM39&gt;=80,SafetyLabel,IF(AM39&gt;=50,MatchLabel,IF(AM39&gt;=20,ReachLabel,IF(AM39&gt;=10,LongshotLabel,HailMaryLabel)))))),"Other")</f>
        <v>0</v>
      </c>
      <c r="AO39">
        <f>IF(OR(I39="accepted",I39="cond. accept",I39="summer admit"),IF(J39="yes","CHOICE!","Accepted!"),IF(I39="guar. transfer","Guar. Xfer",IF(I39="denied","Denied",IF(K39=1,"Waitlist",IF(L39=1,"Deferred",IF(G39="pending","Pending",IF(OR(G39="initial materials submitted",G39="mid-year submitted",G39="final submitted"),"Submitted",IF(H39="interest","Interest","?"))))))))</f>
        <v>0</v>
      </c>
      <c r="AP39">
        <f>IF(OR(AN39=ReachLabel,AN39=LongshotLabel,AN39=HailMaryLabel),1,0)</f>
        <v>0</v>
      </c>
      <c r="AQ39">
        <f>IF(OR(AP39=1,AN39=MatchLabel),1,0)</f>
        <v>0</v>
      </c>
      <c r="AR39">
        <f>IF(OR(AN39=MatchLabel,AN39=SafetyLabel,AN39=SecureLabel,AN39=SureThingLabel),1,0)</f>
        <v>0</v>
      </c>
      <c r="AS39">
        <f>IF(OR(W39="H",W39="B",W39="I",W39="M"),IF(ISNUMBER(AB39),ROUND(AB39,2),0),IF(ISNUMBER(AA39),ROUND(AA39,2),0))</f>
        <v>0</v>
      </c>
      <c r="AT39">
        <f>IF(AS39&gt;=X39,1,0)</f>
        <v>0</v>
      </c>
      <c r="AU39">
        <f>IF(AS39&gt;=Y39,1,0)</f>
        <v>0</v>
      </c>
      <c r="AV39">
        <f>IF(AS39&lt;(X39-0.10),1,0)</f>
        <v>0</v>
      </c>
      <c r="AW39">
        <f>1-AM39/100</f>
        <v>0</v>
      </c>
      <c r="AX39">
        <f>IF(AQ39=1,AW39,1)</f>
        <v>0</v>
      </c>
      <c r="AY39">
        <f>IF(AP39=1,AW39,1)</f>
        <v>0</v>
      </c>
      <c r="AZ39">
        <f>IF(AND(AT39=1,ISNUMBER(AW39)),$AW39,1)</f>
        <v>0</v>
      </c>
      <c r="BA39">
        <f>IF(AND(AU39=1,ISNUMBER(AW39)),$AW39,1)</f>
        <v>0</v>
      </c>
      <c r="BB39">
        <f>IF(ISNUMBER(AB39),INDEX(AllCollegeMoney, MATCH(N39,AllCollegeNCES,0)),0)</f>
        <v>0</v>
      </c>
      <c r="BC39">
        <f>IF(AND(AT39=1,ISNUMBER(AW39),BB39=1),$AW39,1)</f>
        <v>0</v>
      </c>
      <c r="BD39">
        <f>IF(AND(AU39=1,ISNUMBER(AW39),BB39=1),$AW39,1)</f>
        <v>0</v>
      </c>
      <c r="BE39">
        <f>IF(ISNUMBER(AB39),INDEX(AllCollegeILPub, MATCH(N39,AllCollegeNCES,0)),0)</f>
        <v>0</v>
      </c>
      <c r="BF39">
        <f>IF(AN39=ReachLabel,AS39,0)</f>
        <v>0</v>
      </c>
      <c r="BG39">
        <f>IF(AN39=MatchLabel,AS39,0)</f>
        <v>0</v>
      </c>
      <c r="BH39">
        <f>IF(AN39=SafetyLabel,AS39,0)</f>
        <v>0</v>
      </c>
      <c r="BI39">
        <f>IF(AN39=SecureLabel,AS39,0)</f>
        <v>0</v>
      </c>
      <c r="BJ39">
        <f>IF(AN39=SureThingLabel,AS39,0)</f>
        <v>0</v>
      </c>
      <c r="BK39">
        <f>MAX(BF39:BJ39)</f>
        <v>0</v>
      </c>
      <c r="BL39">
        <f>MAX(BG39:BJ39)</f>
        <v>0</v>
      </c>
      <c r="BM39">
        <f>MAX(BH39:BJ39)</f>
        <v>0</v>
      </c>
      <c r="BN39">
        <f>IF(AND(AN39=ReachLabel,BB39=1),AS39,0)</f>
        <v>0</v>
      </c>
      <c r="BO39">
        <f>IF(AND(AN39=MatchLabel,BB39=1),AS39,0)</f>
        <v>0</v>
      </c>
      <c r="BP39">
        <f>IF(AND(AN39=SafetyLabel,BB39=1),AS39,0)</f>
        <v>0</v>
      </c>
      <c r="BQ39">
        <f>IF(AND(AN39=SecureLabel,BB39=1),AS39,0)</f>
        <v>0</v>
      </c>
      <c r="BR39">
        <f>IF(AND(AN39=SureThingLabel,BB39=1),AS39,0)</f>
        <v>0</v>
      </c>
      <c r="BS39">
        <f>MAX(BN39:BR39)</f>
        <v>0</v>
      </c>
      <c r="BT39">
        <f>MAX(BO39:BR39)</f>
        <v>0</v>
      </c>
      <c r="BU39">
        <f>MAX(BP39:BR39)</f>
        <v>0</v>
      </c>
      <c r="BV39">
        <f>IF(ISNUMBER(AB39),INDEX(AllCollegeChicago, MATCH(N39,AllCollegeNCES,0))*BB39,0)</f>
        <v>0</v>
      </c>
      <c r="BW39">
        <f>IF(ISNUMBER(AB39),INDEX(AllCollegeMoneyCode, MATCH(N39,AllCollegeNCES,0)),"?")</f>
        <v>0</v>
      </c>
      <c r="BX39">
        <f>IF(OR(BW39="---",BW39="--",BW39="+/--",BW39="+/---"),1,0)</f>
        <v>0</v>
      </c>
      <c r="BY39">
        <f>BB39*AR39*AT39</f>
        <v>0</v>
      </c>
    </row>
    <row r="40" spans="1:77">
      <c r="A40" t="s">
        <v>96</v>
      </c>
      <c r="B40">
        <v>22054227</v>
      </c>
      <c r="C40" t="s">
        <v>148</v>
      </c>
      <c r="D40" t="s">
        <v>149</v>
      </c>
      <c r="E40" t="s">
        <v>446</v>
      </c>
      <c r="F40" t="s">
        <v>472</v>
      </c>
      <c r="G40" t="s">
        <v>479</v>
      </c>
      <c r="H40" t="s">
        <v>449</v>
      </c>
      <c r="I40" t="s">
        <v>450</v>
      </c>
      <c r="J40" t="s">
        <v>450</v>
      </c>
      <c r="K40">
        <v>0</v>
      </c>
      <c r="L40" t="s">
        <v>446</v>
      </c>
      <c r="M40" t="s">
        <v>446</v>
      </c>
      <c r="N40">
        <v>212674</v>
      </c>
      <c r="O40">
        <f>INDEX(Counselor,MATCH(B40,KidIDs,0))</f>
        <v>0</v>
      </c>
      <c r="P40">
        <f>INDEX(Advisors,MATCH(B40,KidIDs,0))</f>
        <v>0</v>
      </c>
      <c r="Q40">
        <f>INDEX(Cohort,MATCH(B40,KidIDs,0))</f>
        <v>0</v>
      </c>
      <c r="R40">
        <f>INDEX(AllCollegeBarrons,MATCH(N40,AllCollegeNCES,0))</f>
        <v>0</v>
      </c>
      <c r="S40">
        <f>INDEX(KidGPAs,MATCH(B40,KidIDs,0))</f>
        <v>0</v>
      </c>
      <c r="T40">
        <f>INDEX(KidSATs,MATCH(B40,KidIDs,0))</f>
        <v>0</v>
      </c>
      <c r="U40">
        <f>INDEX(Strats,MATCH(B40,KidIDs,0))</f>
        <v>0</v>
      </c>
      <c r="V40">
        <f>INDEX(KidRace,MATCH(B40,KidIDs,0))</f>
        <v>0</v>
      </c>
      <c r="W40">
        <f>IF(OR(V40="M",V40="I"),"H",IF(V40="P","A",V40))</f>
        <v>0</v>
      </c>
      <c r="X40">
        <f>INDEX(StudentTargets,MATCH(B40,KidIDs,0))</f>
        <v>0</v>
      </c>
      <c r="Y40">
        <f>INDEX(ReachStudentTargets,MATCH(B40,KidIDs,0))</f>
        <v>0</v>
      </c>
      <c r="Z40">
        <f>IF(OR(M40="Posse"),1,0)</f>
        <v>0</v>
      </c>
      <c r="AA40">
        <f>IF(ISNUMBER(INDEX(AllCollegeGR, MATCH(N40,AllCollegeNCES,0))),ROUND(INDEX(AllCollegeGR, MATCH(N40,AllCollegeNCES,0))+Z40*IF(INDEX(AllCollegeGR, MATCH(N40,AllCollegeNCES,0))&gt;0.7,(1-INDEX(AllCollegeGR, MATCH(N40,AllCollegeNCES,0)))/2,0.15),2),INDEX(AllCollegeGR, MATCH(N40,AllCollegeNCES,0)))</f>
        <v>0</v>
      </c>
      <c r="AB40">
        <f>IF(ISNUMBER(INDEX(AllCollegeAAHGR, MATCH(N40,AllCollegeNCES,0))),ROUND(INDEX(AllCollegeAAHGR, MATCH(N40,AllCollegeNCES,0))+Z40*IF(INDEX(AllCollegeAAHGR, MATCH(N40,AllCollegeNCES,0))&gt;0.7,(1-INDEX(AllCollegeAAHGR, MATCH(N40,AllCollegeNCES,0)))/2,0.15),2),INDEX(AllCollegeAAHGR, MATCH(N40,AllCollegeNCES,0)))</f>
        <v>0</v>
      </c>
      <c r="AC40">
        <f>IF(OR(W40="H",W40="B"),INDEX(AllCollegeSAT25, MATCH(N40,AllCollegeNCES,0)),INDEX(AllCollegeSAT50, MATCH(N40,AllCollegeNCES,0)))</f>
        <v>0</v>
      </c>
      <c r="AD40">
        <f>INDEX(CustomWeightsGPA,MATCH(W40&amp;":"&amp;N40,CustomWeightsIndex,0))</f>
        <v>0</v>
      </c>
      <c r="AE40">
        <f>INDEX(CustomWeightsSAT,MATCH(W40&amp;":"&amp;N40,CustomWeightsIndex,0))</f>
        <v>0</v>
      </c>
      <c r="AF40">
        <f>INDEX(CustomWeightsIntercept,MATCH(W40&amp;":"&amp;N40,CustomWeightsIndex,0))</f>
        <v>0</v>
      </c>
      <c r="AG40">
        <f>AD40*S40+AE40*T40+AF40</f>
        <v>0</v>
      </c>
      <c r="AH40">
        <f>INDEX(CoefficientsGPA,MATCH(W40&amp;":"&amp;R40,CoefficientsIndex,0))</f>
        <v>0</v>
      </c>
      <c r="AI40">
        <f>INDEX(CoefficientsSAT,MATCH(W40&amp;":"&amp;R40,CoefficientsIndex,0))</f>
        <v>0</v>
      </c>
      <c r="AJ40">
        <f>INDEX(CoefficientsIntercept,MATCH(W40&amp;":"&amp;R40,CoefficientsIndex,0))</f>
        <v>0</v>
      </c>
      <c r="AK40">
        <f>AH40*S40+(T40-AC40)*AI40+AJ40</f>
        <v>0</v>
      </c>
      <c r="AL40">
        <f>IF(ISNUMBER(AG40),AG40,AK40)</f>
        <v>0</v>
      </c>
      <c r="AM40">
        <f>IF(ISNUMBER(AL40),IF(ISNUMBER(AH40),IF(AND(AH40=1,AI40=1,AJ40=1),100,MIN(99,ROUND(100*EXP(AL40)/(1+EXP(AL40)),2))),MIN(99,ROUND(100*EXP(AL40)/(1+EXP(AL40)),2))),IF(ISTEXT(R40),IF(LEFT(R40,1)="2",100,"N/A"),"N/A"))</f>
        <v>0</v>
      </c>
      <c r="AN40">
        <f>IF(ISNUMBER(AM40),IF(AM40&gt;=99,IF(OR(U40=10,U40=11),MatchLabel,SureThingLabel),IF(AM40&gt;=95,SecureLabel,IF(AM40&gt;=80,SafetyLabel,IF(AM40&gt;=50,MatchLabel,IF(AM40&gt;=20,ReachLabel,IF(AM40&gt;=10,LongshotLabel,HailMaryLabel)))))),"Other")</f>
        <v>0</v>
      </c>
      <c r="AO40">
        <f>IF(OR(I40="accepted",I40="cond. accept",I40="summer admit"),IF(J40="yes","CHOICE!","Accepted!"),IF(I40="guar. transfer","Guar. Xfer",IF(I40="denied","Denied",IF(K40=1,"Waitlist",IF(L40=1,"Deferred",IF(G40="pending","Pending",IF(OR(G40="initial materials submitted",G40="mid-year submitted",G40="final submitted"),"Submitted",IF(H40="interest","Interest","?"))))))))</f>
        <v>0</v>
      </c>
      <c r="AP40">
        <f>IF(OR(AN40=ReachLabel,AN40=LongshotLabel,AN40=HailMaryLabel),1,0)</f>
        <v>0</v>
      </c>
      <c r="AQ40">
        <f>IF(OR(AP40=1,AN40=MatchLabel),1,0)</f>
        <v>0</v>
      </c>
      <c r="AR40">
        <f>IF(OR(AN40=MatchLabel,AN40=SafetyLabel,AN40=SecureLabel,AN40=SureThingLabel),1,0)</f>
        <v>0</v>
      </c>
      <c r="AS40">
        <f>IF(OR(W40="H",W40="B",W40="I",W40="M"),IF(ISNUMBER(AB40),ROUND(AB40,2),0),IF(ISNUMBER(AA40),ROUND(AA40,2),0))</f>
        <v>0</v>
      </c>
      <c r="AT40">
        <f>IF(AS40&gt;=X40,1,0)</f>
        <v>0</v>
      </c>
      <c r="AU40">
        <f>IF(AS40&gt;=Y40,1,0)</f>
        <v>0</v>
      </c>
      <c r="AV40">
        <f>IF(AS40&lt;(X40-0.10),1,0)</f>
        <v>0</v>
      </c>
      <c r="AW40">
        <f>1-AM40/100</f>
        <v>0</v>
      </c>
      <c r="AX40">
        <f>IF(AQ40=1,AW40,1)</f>
        <v>0</v>
      </c>
      <c r="AY40">
        <f>IF(AP40=1,AW40,1)</f>
        <v>0</v>
      </c>
      <c r="AZ40">
        <f>IF(AND(AT40=1,ISNUMBER(AW40)),$AW40,1)</f>
        <v>0</v>
      </c>
      <c r="BA40">
        <f>IF(AND(AU40=1,ISNUMBER(AW40)),$AW40,1)</f>
        <v>0</v>
      </c>
      <c r="BB40">
        <f>IF(ISNUMBER(AB40),INDEX(AllCollegeMoney, MATCH(N40,AllCollegeNCES,0)),0)</f>
        <v>0</v>
      </c>
      <c r="BC40">
        <f>IF(AND(AT40=1,ISNUMBER(AW40),BB40=1),$AW40,1)</f>
        <v>0</v>
      </c>
      <c r="BD40">
        <f>IF(AND(AU40=1,ISNUMBER(AW40),BB40=1),$AW40,1)</f>
        <v>0</v>
      </c>
      <c r="BE40">
        <f>IF(ISNUMBER(AB40),INDEX(AllCollegeILPub, MATCH(N40,AllCollegeNCES,0)),0)</f>
        <v>0</v>
      </c>
      <c r="BF40">
        <f>IF(AN40=ReachLabel,AS40,0)</f>
        <v>0</v>
      </c>
      <c r="BG40">
        <f>IF(AN40=MatchLabel,AS40,0)</f>
        <v>0</v>
      </c>
      <c r="BH40">
        <f>IF(AN40=SafetyLabel,AS40,0)</f>
        <v>0</v>
      </c>
      <c r="BI40">
        <f>IF(AN40=SecureLabel,AS40,0)</f>
        <v>0</v>
      </c>
      <c r="BJ40">
        <f>IF(AN40=SureThingLabel,AS40,0)</f>
        <v>0</v>
      </c>
      <c r="BK40">
        <f>MAX(BF40:BJ40)</f>
        <v>0</v>
      </c>
      <c r="BL40">
        <f>MAX(BG40:BJ40)</f>
        <v>0</v>
      </c>
      <c r="BM40">
        <f>MAX(BH40:BJ40)</f>
        <v>0</v>
      </c>
      <c r="BN40">
        <f>IF(AND(AN40=ReachLabel,BB40=1),AS40,0)</f>
        <v>0</v>
      </c>
      <c r="BO40">
        <f>IF(AND(AN40=MatchLabel,BB40=1),AS40,0)</f>
        <v>0</v>
      </c>
      <c r="BP40">
        <f>IF(AND(AN40=SafetyLabel,BB40=1),AS40,0)</f>
        <v>0</v>
      </c>
      <c r="BQ40">
        <f>IF(AND(AN40=SecureLabel,BB40=1),AS40,0)</f>
        <v>0</v>
      </c>
      <c r="BR40">
        <f>IF(AND(AN40=SureThingLabel,BB40=1),AS40,0)</f>
        <v>0</v>
      </c>
      <c r="BS40">
        <f>MAX(BN40:BR40)</f>
        <v>0</v>
      </c>
      <c r="BT40">
        <f>MAX(BO40:BR40)</f>
        <v>0</v>
      </c>
      <c r="BU40">
        <f>MAX(BP40:BR40)</f>
        <v>0</v>
      </c>
      <c r="BV40">
        <f>IF(ISNUMBER(AB40),INDEX(AllCollegeChicago, MATCH(N40,AllCollegeNCES,0))*BB40,0)</f>
        <v>0</v>
      </c>
      <c r="BW40">
        <f>IF(ISNUMBER(AB40),INDEX(AllCollegeMoneyCode, MATCH(N40,AllCollegeNCES,0)),"?")</f>
        <v>0</v>
      </c>
      <c r="BX40">
        <f>IF(OR(BW40="---",BW40="--",BW40="+/--",BW40="+/---"),1,0)</f>
        <v>0</v>
      </c>
      <c r="BY40">
        <f>BB40*AR40*AT40</f>
        <v>0</v>
      </c>
    </row>
    <row r="41" spans="1:77">
      <c r="A41" t="s">
        <v>96</v>
      </c>
      <c r="B41">
        <v>22054227</v>
      </c>
      <c r="C41" t="s">
        <v>148</v>
      </c>
      <c r="D41" t="s">
        <v>149</v>
      </c>
      <c r="E41" t="s">
        <v>446</v>
      </c>
      <c r="F41" t="s">
        <v>485</v>
      </c>
      <c r="G41" t="s">
        <v>448</v>
      </c>
      <c r="H41" t="s">
        <v>449</v>
      </c>
      <c r="I41" t="s">
        <v>450</v>
      </c>
      <c r="J41" t="s">
        <v>450</v>
      </c>
      <c r="K41">
        <v>0</v>
      </c>
      <c r="L41" t="s">
        <v>446</v>
      </c>
      <c r="M41" t="s">
        <v>446</v>
      </c>
      <c r="N41">
        <v>212009</v>
      </c>
      <c r="O41">
        <f>INDEX(Counselor,MATCH(B41,KidIDs,0))</f>
        <v>0</v>
      </c>
      <c r="P41">
        <f>INDEX(Advisors,MATCH(B41,KidIDs,0))</f>
        <v>0</v>
      </c>
      <c r="Q41">
        <f>INDEX(Cohort,MATCH(B41,KidIDs,0))</f>
        <v>0</v>
      </c>
      <c r="R41">
        <f>INDEX(AllCollegeBarrons,MATCH(N41,AllCollegeNCES,0))</f>
        <v>0</v>
      </c>
      <c r="S41">
        <f>INDEX(KidGPAs,MATCH(B41,KidIDs,0))</f>
        <v>0</v>
      </c>
      <c r="T41">
        <f>INDEX(KidSATs,MATCH(B41,KidIDs,0))</f>
        <v>0</v>
      </c>
      <c r="U41">
        <f>INDEX(Strats,MATCH(B41,KidIDs,0))</f>
        <v>0</v>
      </c>
      <c r="V41">
        <f>INDEX(KidRace,MATCH(B41,KidIDs,0))</f>
        <v>0</v>
      </c>
      <c r="W41">
        <f>IF(OR(V41="M",V41="I"),"H",IF(V41="P","A",V41))</f>
        <v>0</v>
      </c>
      <c r="X41">
        <f>INDEX(StudentTargets,MATCH(B41,KidIDs,0))</f>
        <v>0</v>
      </c>
      <c r="Y41">
        <f>INDEX(ReachStudentTargets,MATCH(B41,KidIDs,0))</f>
        <v>0</v>
      </c>
      <c r="Z41">
        <f>IF(OR(M41="Posse"),1,0)</f>
        <v>0</v>
      </c>
      <c r="AA41">
        <f>IF(ISNUMBER(INDEX(AllCollegeGR, MATCH(N41,AllCollegeNCES,0))),ROUND(INDEX(AllCollegeGR, MATCH(N41,AllCollegeNCES,0))+Z41*IF(INDEX(AllCollegeGR, MATCH(N41,AllCollegeNCES,0))&gt;0.7,(1-INDEX(AllCollegeGR, MATCH(N41,AllCollegeNCES,0)))/2,0.15),2),INDEX(AllCollegeGR, MATCH(N41,AllCollegeNCES,0)))</f>
        <v>0</v>
      </c>
      <c r="AB41">
        <f>IF(ISNUMBER(INDEX(AllCollegeAAHGR, MATCH(N41,AllCollegeNCES,0))),ROUND(INDEX(AllCollegeAAHGR, MATCH(N41,AllCollegeNCES,0))+Z41*IF(INDEX(AllCollegeAAHGR, MATCH(N41,AllCollegeNCES,0))&gt;0.7,(1-INDEX(AllCollegeAAHGR, MATCH(N41,AllCollegeNCES,0)))/2,0.15),2),INDEX(AllCollegeAAHGR, MATCH(N41,AllCollegeNCES,0)))</f>
        <v>0</v>
      </c>
      <c r="AC41">
        <f>IF(OR(W41="H",W41="B"),INDEX(AllCollegeSAT25, MATCH(N41,AllCollegeNCES,0)),INDEX(AllCollegeSAT50, MATCH(N41,AllCollegeNCES,0)))</f>
        <v>0</v>
      </c>
      <c r="AD41">
        <f>INDEX(CustomWeightsGPA,MATCH(W41&amp;":"&amp;N41,CustomWeightsIndex,0))</f>
        <v>0</v>
      </c>
      <c r="AE41">
        <f>INDEX(CustomWeightsSAT,MATCH(W41&amp;":"&amp;N41,CustomWeightsIndex,0))</f>
        <v>0</v>
      </c>
      <c r="AF41">
        <f>INDEX(CustomWeightsIntercept,MATCH(W41&amp;":"&amp;N41,CustomWeightsIndex,0))</f>
        <v>0</v>
      </c>
      <c r="AG41">
        <f>AD41*S41+AE41*T41+AF41</f>
        <v>0</v>
      </c>
      <c r="AH41">
        <f>INDEX(CoefficientsGPA,MATCH(W41&amp;":"&amp;R41,CoefficientsIndex,0))</f>
        <v>0</v>
      </c>
      <c r="AI41">
        <f>INDEX(CoefficientsSAT,MATCH(W41&amp;":"&amp;R41,CoefficientsIndex,0))</f>
        <v>0</v>
      </c>
      <c r="AJ41">
        <f>INDEX(CoefficientsIntercept,MATCH(W41&amp;":"&amp;R41,CoefficientsIndex,0))</f>
        <v>0</v>
      </c>
      <c r="AK41">
        <f>AH41*S41+(T41-AC41)*AI41+AJ41</f>
        <v>0</v>
      </c>
      <c r="AL41">
        <f>IF(ISNUMBER(AG41),AG41,AK41)</f>
        <v>0</v>
      </c>
      <c r="AM41">
        <f>IF(ISNUMBER(AL41),IF(ISNUMBER(AH41),IF(AND(AH41=1,AI41=1,AJ41=1),100,MIN(99,ROUND(100*EXP(AL41)/(1+EXP(AL41)),2))),MIN(99,ROUND(100*EXP(AL41)/(1+EXP(AL41)),2))),IF(ISTEXT(R41),IF(LEFT(R41,1)="2",100,"N/A"),"N/A"))</f>
        <v>0</v>
      </c>
      <c r="AN41">
        <f>IF(ISNUMBER(AM41),IF(AM41&gt;=99,IF(OR(U41=10,U41=11),MatchLabel,SureThingLabel),IF(AM41&gt;=95,SecureLabel,IF(AM41&gt;=80,SafetyLabel,IF(AM41&gt;=50,MatchLabel,IF(AM41&gt;=20,ReachLabel,IF(AM41&gt;=10,LongshotLabel,HailMaryLabel)))))),"Other")</f>
        <v>0</v>
      </c>
      <c r="AO41">
        <f>IF(OR(I41="accepted",I41="cond. accept",I41="summer admit"),IF(J41="yes","CHOICE!","Accepted!"),IF(I41="guar. transfer","Guar. Xfer",IF(I41="denied","Denied",IF(K41=1,"Waitlist",IF(L41=1,"Deferred",IF(G41="pending","Pending",IF(OR(G41="initial materials submitted",G41="mid-year submitted",G41="final submitted"),"Submitted",IF(H41="interest","Interest","?"))))))))</f>
        <v>0</v>
      </c>
      <c r="AP41">
        <f>IF(OR(AN41=ReachLabel,AN41=LongshotLabel,AN41=HailMaryLabel),1,0)</f>
        <v>0</v>
      </c>
      <c r="AQ41">
        <f>IF(OR(AP41=1,AN41=MatchLabel),1,0)</f>
        <v>0</v>
      </c>
      <c r="AR41">
        <f>IF(OR(AN41=MatchLabel,AN41=SafetyLabel,AN41=SecureLabel,AN41=SureThingLabel),1,0)</f>
        <v>0</v>
      </c>
      <c r="AS41">
        <f>IF(OR(W41="H",W41="B",W41="I",W41="M"),IF(ISNUMBER(AB41),ROUND(AB41,2),0),IF(ISNUMBER(AA41),ROUND(AA41,2),0))</f>
        <v>0</v>
      </c>
      <c r="AT41">
        <f>IF(AS41&gt;=X41,1,0)</f>
        <v>0</v>
      </c>
      <c r="AU41">
        <f>IF(AS41&gt;=Y41,1,0)</f>
        <v>0</v>
      </c>
      <c r="AV41">
        <f>IF(AS41&lt;(X41-0.10),1,0)</f>
        <v>0</v>
      </c>
      <c r="AW41">
        <f>1-AM41/100</f>
        <v>0</v>
      </c>
      <c r="AX41">
        <f>IF(AQ41=1,AW41,1)</f>
        <v>0</v>
      </c>
      <c r="AY41">
        <f>IF(AP41=1,AW41,1)</f>
        <v>0</v>
      </c>
      <c r="AZ41">
        <f>IF(AND(AT41=1,ISNUMBER(AW41)),$AW41,1)</f>
        <v>0</v>
      </c>
      <c r="BA41">
        <f>IF(AND(AU41=1,ISNUMBER(AW41)),$AW41,1)</f>
        <v>0</v>
      </c>
      <c r="BB41">
        <f>IF(ISNUMBER(AB41),INDEX(AllCollegeMoney, MATCH(N41,AllCollegeNCES,0)),0)</f>
        <v>0</v>
      </c>
      <c r="BC41">
        <f>IF(AND(AT41=1,ISNUMBER(AW41),BB41=1),$AW41,1)</f>
        <v>0</v>
      </c>
      <c r="BD41">
        <f>IF(AND(AU41=1,ISNUMBER(AW41),BB41=1),$AW41,1)</f>
        <v>0</v>
      </c>
      <c r="BE41">
        <f>IF(ISNUMBER(AB41),INDEX(AllCollegeILPub, MATCH(N41,AllCollegeNCES,0)),0)</f>
        <v>0</v>
      </c>
      <c r="BF41">
        <f>IF(AN41=ReachLabel,AS41,0)</f>
        <v>0</v>
      </c>
      <c r="BG41">
        <f>IF(AN41=MatchLabel,AS41,0)</f>
        <v>0</v>
      </c>
      <c r="BH41">
        <f>IF(AN41=SafetyLabel,AS41,0)</f>
        <v>0</v>
      </c>
      <c r="BI41">
        <f>IF(AN41=SecureLabel,AS41,0)</f>
        <v>0</v>
      </c>
      <c r="BJ41">
        <f>IF(AN41=SureThingLabel,AS41,0)</f>
        <v>0</v>
      </c>
      <c r="BK41">
        <f>MAX(BF41:BJ41)</f>
        <v>0</v>
      </c>
      <c r="BL41">
        <f>MAX(BG41:BJ41)</f>
        <v>0</v>
      </c>
      <c r="BM41">
        <f>MAX(BH41:BJ41)</f>
        <v>0</v>
      </c>
      <c r="BN41">
        <f>IF(AND(AN41=ReachLabel,BB41=1),AS41,0)</f>
        <v>0</v>
      </c>
      <c r="BO41">
        <f>IF(AND(AN41=MatchLabel,BB41=1),AS41,0)</f>
        <v>0</v>
      </c>
      <c r="BP41">
        <f>IF(AND(AN41=SafetyLabel,BB41=1),AS41,0)</f>
        <v>0</v>
      </c>
      <c r="BQ41">
        <f>IF(AND(AN41=SecureLabel,BB41=1),AS41,0)</f>
        <v>0</v>
      </c>
      <c r="BR41">
        <f>IF(AND(AN41=SureThingLabel,BB41=1),AS41,0)</f>
        <v>0</v>
      </c>
      <c r="BS41">
        <f>MAX(BN41:BR41)</f>
        <v>0</v>
      </c>
      <c r="BT41">
        <f>MAX(BO41:BR41)</f>
        <v>0</v>
      </c>
      <c r="BU41">
        <f>MAX(BP41:BR41)</f>
        <v>0</v>
      </c>
      <c r="BV41">
        <f>IF(ISNUMBER(AB41),INDEX(AllCollegeChicago, MATCH(N41,AllCollegeNCES,0))*BB41,0)</f>
        <v>0</v>
      </c>
      <c r="BW41">
        <f>IF(ISNUMBER(AB41),INDEX(AllCollegeMoneyCode, MATCH(N41,AllCollegeNCES,0)),"?")</f>
        <v>0</v>
      </c>
      <c r="BX41">
        <f>IF(OR(BW41="---",BW41="--",BW41="+/--",BW41="+/---"),1,0)</f>
        <v>0</v>
      </c>
      <c r="BY41">
        <f>BB41*AR41*AT41</f>
        <v>0</v>
      </c>
    </row>
    <row r="42" spans="1:77">
      <c r="A42" t="s">
        <v>96</v>
      </c>
      <c r="B42">
        <v>22054227</v>
      </c>
      <c r="C42" t="s">
        <v>148</v>
      </c>
      <c r="D42" t="s">
        <v>149</v>
      </c>
      <c r="E42" t="s">
        <v>446</v>
      </c>
      <c r="F42" t="s">
        <v>486</v>
      </c>
      <c r="G42" t="s">
        <v>448</v>
      </c>
      <c r="H42" t="s">
        <v>449</v>
      </c>
      <c r="I42" t="s">
        <v>450</v>
      </c>
      <c r="J42" t="s">
        <v>450</v>
      </c>
      <c r="K42">
        <v>0</v>
      </c>
      <c r="L42" t="s">
        <v>446</v>
      </c>
      <c r="M42" t="s">
        <v>446</v>
      </c>
      <c r="N42">
        <v>206589</v>
      </c>
      <c r="O42">
        <f>INDEX(Counselor,MATCH(B42,KidIDs,0))</f>
        <v>0</v>
      </c>
      <c r="P42">
        <f>INDEX(Advisors,MATCH(B42,KidIDs,0))</f>
        <v>0</v>
      </c>
      <c r="Q42">
        <f>INDEX(Cohort,MATCH(B42,KidIDs,0))</f>
        <v>0</v>
      </c>
      <c r="R42">
        <f>INDEX(AllCollegeBarrons,MATCH(N42,AllCollegeNCES,0))</f>
        <v>0</v>
      </c>
      <c r="S42">
        <f>INDEX(KidGPAs,MATCH(B42,KidIDs,0))</f>
        <v>0</v>
      </c>
      <c r="T42">
        <f>INDEX(KidSATs,MATCH(B42,KidIDs,0))</f>
        <v>0</v>
      </c>
      <c r="U42">
        <f>INDEX(Strats,MATCH(B42,KidIDs,0))</f>
        <v>0</v>
      </c>
      <c r="V42">
        <f>INDEX(KidRace,MATCH(B42,KidIDs,0))</f>
        <v>0</v>
      </c>
      <c r="W42">
        <f>IF(OR(V42="M",V42="I"),"H",IF(V42="P","A",V42))</f>
        <v>0</v>
      </c>
      <c r="X42">
        <f>INDEX(StudentTargets,MATCH(B42,KidIDs,0))</f>
        <v>0</v>
      </c>
      <c r="Y42">
        <f>INDEX(ReachStudentTargets,MATCH(B42,KidIDs,0))</f>
        <v>0</v>
      </c>
      <c r="Z42">
        <f>IF(OR(M42="Posse"),1,0)</f>
        <v>0</v>
      </c>
      <c r="AA42">
        <f>IF(ISNUMBER(INDEX(AllCollegeGR, MATCH(N42,AllCollegeNCES,0))),ROUND(INDEX(AllCollegeGR, MATCH(N42,AllCollegeNCES,0))+Z42*IF(INDEX(AllCollegeGR, MATCH(N42,AllCollegeNCES,0))&gt;0.7,(1-INDEX(AllCollegeGR, MATCH(N42,AllCollegeNCES,0)))/2,0.15),2),INDEX(AllCollegeGR, MATCH(N42,AllCollegeNCES,0)))</f>
        <v>0</v>
      </c>
      <c r="AB42">
        <f>IF(ISNUMBER(INDEX(AllCollegeAAHGR, MATCH(N42,AllCollegeNCES,0))),ROUND(INDEX(AllCollegeAAHGR, MATCH(N42,AllCollegeNCES,0))+Z42*IF(INDEX(AllCollegeAAHGR, MATCH(N42,AllCollegeNCES,0))&gt;0.7,(1-INDEX(AllCollegeAAHGR, MATCH(N42,AllCollegeNCES,0)))/2,0.15),2),INDEX(AllCollegeAAHGR, MATCH(N42,AllCollegeNCES,0)))</f>
        <v>0</v>
      </c>
      <c r="AC42">
        <f>IF(OR(W42="H",W42="B"),INDEX(AllCollegeSAT25, MATCH(N42,AllCollegeNCES,0)),INDEX(AllCollegeSAT50, MATCH(N42,AllCollegeNCES,0)))</f>
        <v>0</v>
      </c>
      <c r="AD42">
        <f>INDEX(CustomWeightsGPA,MATCH(W42&amp;":"&amp;N42,CustomWeightsIndex,0))</f>
        <v>0</v>
      </c>
      <c r="AE42">
        <f>INDEX(CustomWeightsSAT,MATCH(W42&amp;":"&amp;N42,CustomWeightsIndex,0))</f>
        <v>0</v>
      </c>
      <c r="AF42">
        <f>INDEX(CustomWeightsIntercept,MATCH(W42&amp;":"&amp;N42,CustomWeightsIndex,0))</f>
        <v>0</v>
      </c>
      <c r="AG42">
        <f>AD42*S42+AE42*T42+AF42</f>
        <v>0</v>
      </c>
      <c r="AH42">
        <f>INDEX(CoefficientsGPA,MATCH(W42&amp;":"&amp;R42,CoefficientsIndex,0))</f>
        <v>0</v>
      </c>
      <c r="AI42">
        <f>INDEX(CoefficientsSAT,MATCH(W42&amp;":"&amp;R42,CoefficientsIndex,0))</f>
        <v>0</v>
      </c>
      <c r="AJ42">
        <f>INDEX(CoefficientsIntercept,MATCH(W42&amp;":"&amp;R42,CoefficientsIndex,0))</f>
        <v>0</v>
      </c>
      <c r="AK42">
        <f>AH42*S42+(T42-AC42)*AI42+AJ42</f>
        <v>0</v>
      </c>
      <c r="AL42">
        <f>IF(ISNUMBER(AG42),AG42,AK42)</f>
        <v>0</v>
      </c>
      <c r="AM42">
        <f>IF(ISNUMBER(AL42),IF(ISNUMBER(AH42),IF(AND(AH42=1,AI42=1,AJ42=1),100,MIN(99,ROUND(100*EXP(AL42)/(1+EXP(AL42)),2))),MIN(99,ROUND(100*EXP(AL42)/(1+EXP(AL42)),2))),IF(ISTEXT(R42),IF(LEFT(R42,1)="2",100,"N/A"),"N/A"))</f>
        <v>0</v>
      </c>
      <c r="AN42">
        <f>IF(ISNUMBER(AM42),IF(AM42&gt;=99,IF(OR(U42=10,U42=11),MatchLabel,SureThingLabel),IF(AM42&gt;=95,SecureLabel,IF(AM42&gt;=80,SafetyLabel,IF(AM42&gt;=50,MatchLabel,IF(AM42&gt;=20,ReachLabel,IF(AM42&gt;=10,LongshotLabel,HailMaryLabel)))))),"Other")</f>
        <v>0</v>
      </c>
      <c r="AO42">
        <f>IF(OR(I42="accepted",I42="cond. accept",I42="summer admit"),IF(J42="yes","CHOICE!","Accepted!"),IF(I42="guar. transfer","Guar. Xfer",IF(I42="denied","Denied",IF(K42=1,"Waitlist",IF(L42=1,"Deferred",IF(G42="pending","Pending",IF(OR(G42="initial materials submitted",G42="mid-year submitted",G42="final submitted"),"Submitted",IF(H42="interest","Interest","?"))))))))</f>
        <v>0</v>
      </c>
      <c r="AP42">
        <f>IF(OR(AN42=ReachLabel,AN42=LongshotLabel,AN42=HailMaryLabel),1,0)</f>
        <v>0</v>
      </c>
      <c r="AQ42">
        <f>IF(OR(AP42=1,AN42=MatchLabel),1,0)</f>
        <v>0</v>
      </c>
      <c r="AR42">
        <f>IF(OR(AN42=MatchLabel,AN42=SafetyLabel,AN42=SecureLabel,AN42=SureThingLabel),1,0)</f>
        <v>0</v>
      </c>
      <c r="AS42">
        <f>IF(OR(W42="H",W42="B",W42="I",W42="M"),IF(ISNUMBER(AB42),ROUND(AB42,2),0),IF(ISNUMBER(AA42),ROUND(AA42,2),0))</f>
        <v>0</v>
      </c>
      <c r="AT42">
        <f>IF(AS42&gt;=X42,1,0)</f>
        <v>0</v>
      </c>
      <c r="AU42">
        <f>IF(AS42&gt;=Y42,1,0)</f>
        <v>0</v>
      </c>
      <c r="AV42">
        <f>IF(AS42&lt;(X42-0.10),1,0)</f>
        <v>0</v>
      </c>
      <c r="AW42">
        <f>1-AM42/100</f>
        <v>0</v>
      </c>
      <c r="AX42">
        <f>IF(AQ42=1,AW42,1)</f>
        <v>0</v>
      </c>
      <c r="AY42">
        <f>IF(AP42=1,AW42,1)</f>
        <v>0</v>
      </c>
      <c r="AZ42">
        <f>IF(AND(AT42=1,ISNUMBER(AW42)),$AW42,1)</f>
        <v>0</v>
      </c>
      <c r="BA42">
        <f>IF(AND(AU42=1,ISNUMBER(AW42)),$AW42,1)</f>
        <v>0</v>
      </c>
      <c r="BB42">
        <f>IF(ISNUMBER(AB42),INDEX(AllCollegeMoney, MATCH(N42,AllCollegeNCES,0)),0)</f>
        <v>0</v>
      </c>
      <c r="BC42">
        <f>IF(AND(AT42=1,ISNUMBER(AW42),BB42=1),$AW42,1)</f>
        <v>0</v>
      </c>
      <c r="BD42">
        <f>IF(AND(AU42=1,ISNUMBER(AW42),BB42=1),$AW42,1)</f>
        <v>0</v>
      </c>
      <c r="BE42">
        <f>IF(ISNUMBER(AB42),INDEX(AllCollegeILPub, MATCH(N42,AllCollegeNCES,0)),0)</f>
        <v>0</v>
      </c>
      <c r="BF42">
        <f>IF(AN42=ReachLabel,AS42,0)</f>
        <v>0</v>
      </c>
      <c r="BG42">
        <f>IF(AN42=MatchLabel,AS42,0)</f>
        <v>0</v>
      </c>
      <c r="BH42">
        <f>IF(AN42=SafetyLabel,AS42,0)</f>
        <v>0</v>
      </c>
      <c r="BI42">
        <f>IF(AN42=SecureLabel,AS42,0)</f>
        <v>0</v>
      </c>
      <c r="BJ42">
        <f>IF(AN42=SureThingLabel,AS42,0)</f>
        <v>0</v>
      </c>
      <c r="BK42">
        <f>MAX(BF42:BJ42)</f>
        <v>0</v>
      </c>
      <c r="BL42">
        <f>MAX(BG42:BJ42)</f>
        <v>0</v>
      </c>
      <c r="BM42">
        <f>MAX(BH42:BJ42)</f>
        <v>0</v>
      </c>
      <c r="BN42">
        <f>IF(AND(AN42=ReachLabel,BB42=1),AS42,0)</f>
        <v>0</v>
      </c>
      <c r="BO42">
        <f>IF(AND(AN42=MatchLabel,BB42=1),AS42,0)</f>
        <v>0</v>
      </c>
      <c r="BP42">
        <f>IF(AND(AN42=SafetyLabel,BB42=1),AS42,0)</f>
        <v>0</v>
      </c>
      <c r="BQ42">
        <f>IF(AND(AN42=SecureLabel,BB42=1),AS42,0)</f>
        <v>0</v>
      </c>
      <c r="BR42">
        <f>IF(AND(AN42=SureThingLabel,BB42=1),AS42,0)</f>
        <v>0</v>
      </c>
      <c r="BS42">
        <f>MAX(BN42:BR42)</f>
        <v>0</v>
      </c>
      <c r="BT42">
        <f>MAX(BO42:BR42)</f>
        <v>0</v>
      </c>
      <c r="BU42">
        <f>MAX(BP42:BR42)</f>
        <v>0</v>
      </c>
      <c r="BV42">
        <f>IF(ISNUMBER(AB42),INDEX(AllCollegeChicago, MATCH(N42,AllCollegeNCES,0))*BB42,0)</f>
        <v>0</v>
      </c>
      <c r="BW42">
        <f>IF(ISNUMBER(AB42),INDEX(AllCollegeMoneyCode, MATCH(N42,AllCollegeNCES,0)),"?")</f>
        <v>0</v>
      </c>
      <c r="BX42">
        <f>IF(OR(BW42="---",BW42="--",BW42="+/--",BW42="+/---"),1,0)</f>
        <v>0</v>
      </c>
      <c r="BY42">
        <f>BB42*AR42*AT42</f>
        <v>0</v>
      </c>
    </row>
    <row r="43" spans="1:77">
      <c r="A43" t="s">
        <v>96</v>
      </c>
      <c r="B43">
        <v>22054227</v>
      </c>
      <c r="C43" t="s">
        <v>148</v>
      </c>
      <c r="D43" t="s">
        <v>149</v>
      </c>
      <c r="E43" t="s">
        <v>446</v>
      </c>
      <c r="F43" t="s">
        <v>487</v>
      </c>
      <c r="G43" t="s">
        <v>448</v>
      </c>
      <c r="H43" t="s">
        <v>449</v>
      </c>
      <c r="I43" t="s">
        <v>450</v>
      </c>
      <c r="J43" t="s">
        <v>450</v>
      </c>
      <c r="K43">
        <v>0</v>
      </c>
      <c r="L43" t="s">
        <v>446</v>
      </c>
      <c r="M43" t="s">
        <v>446</v>
      </c>
      <c r="N43">
        <v>174844</v>
      </c>
      <c r="O43">
        <f>INDEX(Counselor,MATCH(B43,KidIDs,0))</f>
        <v>0</v>
      </c>
      <c r="P43">
        <f>INDEX(Advisors,MATCH(B43,KidIDs,0))</f>
        <v>0</v>
      </c>
      <c r="Q43">
        <f>INDEX(Cohort,MATCH(B43,KidIDs,0))</f>
        <v>0</v>
      </c>
      <c r="R43">
        <f>INDEX(AllCollegeBarrons,MATCH(N43,AllCollegeNCES,0))</f>
        <v>0</v>
      </c>
      <c r="S43">
        <f>INDEX(KidGPAs,MATCH(B43,KidIDs,0))</f>
        <v>0</v>
      </c>
      <c r="T43">
        <f>INDEX(KidSATs,MATCH(B43,KidIDs,0))</f>
        <v>0</v>
      </c>
      <c r="U43">
        <f>INDEX(Strats,MATCH(B43,KidIDs,0))</f>
        <v>0</v>
      </c>
      <c r="V43">
        <f>INDEX(KidRace,MATCH(B43,KidIDs,0))</f>
        <v>0</v>
      </c>
      <c r="W43">
        <f>IF(OR(V43="M",V43="I"),"H",IF(V43="P","A",V43))</f>
        <v>0</v>
      </c>
      <c r="X43">
        <f>INDEX(StudentTargets,MATCH(B43,KidIDs,0))</f>
        <v>0</v>
      </c>
      <c r="Y43">
        <f>INDEX(ReachStudentTargets,MATCH(B43,KidIDs,0))</f>
        <v>0</v>
      </c>
      <c r="Z43">
        <f>IF(OR(M43="Posse"),1,0)</f>
        <v>0</v>
      </c>
      <c r="AA43">
        <f>IF(ISNUMBER(INDEX(AllCollegeGR, MATCH(N43,AllCollegeNCES,0))),ROUND(INDEX(AllCollegeGR, MATCH(N43,AllCollegeNCES,0))+Z43*IF(INDEX(AllCollegeGR, MATCH(N43,AllCollegeNCES,0))&gt;0.7,(1-INDEX(AllCollegeGR, MATCH(N43,AllCollegeNCES,0)))/2,0.15),2),INDEX(AllCollegeGR, MATCH(N43,AllCollegeNCES,0)))</f>
        <v>0</v>
      </c>
      <c r="AB43">
        <f>IF(ISNUMBER(INDEX(AllCollegeAAHGR, MATCH(N43,AllCollegeNCES,0))),ROUND(INDEX(AllCollegeAAHGR, MATCH(N43,AllCollegeNCES,0))+Z43*IF(INDEX(AllCollegeAAHGR, MATCH(N43,AllCollegeNCES,0))&gt;0.7,(1-INDEX(AllCollegeAAHGR, MATCH(N43,AllCollegeNCES,0)))/2,0.15),2),INDEX(AllCollegeAAHGR, MATCH(N43,AllCollegeNCES,0)))</f>
        <v>0</v>
      </c>
      <c r="AC43">
        <f>IF(OR(W43="H",W43="B"),INDEX(AllCollegeSAT25, MATCH(N43,AllCollegeNCES,0)),INDEX(AllCollegeSAT50, MATCH(N43,AllCollegeNCES,0)))</f>
        <v>0</v>
      </c>
      <c r="AD43">
        <f>INDEX(CustomWeightsGPA,MATCH(W43&amp;":"&amp;N43,CustomWeightsIndex,0))</f>
        <v>0</v>
      </c>
      <c r="AE43">
        <f>INDEX(CustomWeightsSAT,MATCH(W43&amp;":"&amp;N43,CustomWeightsIndex,0))</f>
        <v>0</v>
      </c>
      <c r="AF43">
        <f>INDEX(CustomWeightsIntercept,MATCH(W43&amp;":"&amp;N43,CustomWeightsIndex,0))</f>
        <v>0</v>
      </c>
      <c r="AG43">
        <f>AD43*S43+AE43*T43+AF43</f>
        <v>0</v>
      </c>
      <c r="AH43">
        <f>INDEX(CoefficientsGPA,MATCH(W43&amp;":"&amp;R43,CoefficientsIndex,0))</f>
        <v>0</v>
      </c>
      <c r="AI43">
        <f>INDEX(CoefficientsSAT,MATCH(W43&amp;":"&amp;R43,CoefficientsIndex,0))</f>
        <v>0</v>
      </c>
      <c r="AJ43">
        <f>INDEX(CoefficientsIntercept,MATCH(W43&amp;":"&amp;R43,CoefficientsIndex,0))</f>
        <v>0</v>
      </c>
      <c r="AK43">
        <f>AH43*S43+(T43-AC43)*AI43+AJ43</f>
        <v>0</v>
      </c>
      <c r="AL43">
        <f>IF(ISNUMBER(AG43),AG43,AK43)</f>
        <v>0</v>
      </c>
      <c r="AM43">
        <f>IF(ISNUMBER(AL43),IF(ISNUMBER(AH43),IF(AND(AH43=1,AI43=1,AJ43=1),100,MIN(99,ROUND(100*EXP(AL43)/(1+EXP(AL43)),2))),MIN(99,ROUND(100*EXP(AL43)/(1+EXP(AL43)),2))),IF(ISTEXT(R43),IF(LEFT(R43,1)="2",100,"N/A"),"N/A"))</f>
        <v>0</v>
      </c>
      <c r="AN43">
        <f>IF(ISNUMBER(AM43),IF(AM43&gt;=99,IF(OR(U43=10,U43=11),MatchLabel,SureThingLabel),IF(AM43&gt;=95,SecureLabel,IF(AM43&gt;=80,SafetyLabel,IF(AM43&gt;=50,MatchLabel,IF(AM43&gt;=20,ReachLabel,IF(AM43&gt;=10,LongshotLabel,HailMaryLabel)))))),"Other")</f>
        <v>0</v>
      </c>
      <c r="AO43">
        <f>IF(OR(I43="accepted",I43="cond. accept",I43="summer admit"),IF(J43="yes","CHOICE!","Accepted!"),IF(I43="guar. transfer","Guar. Xfer",IF(I43="denied","Denied",IF(K43=1,"Waitlist",IF(L43=1,"Deferred",IF(G43="pending","Pending",IF(OR(G43="initial materials submitted",G43="mid-year submitted",G43="final submitted"),"Submitted",IF(H43="interest","Interest","?"))))))))</f>
        <v>0</v>
      </c>
      <c r="AP43">
        <f>IF(OR(AN43=ReachLabel,AN43=LongshotLabel,AN43=HailMaryLabel),1,0)</f>
        <v>0</v>
      </c>
      <c r="AQ43">
        <f>IF(OR(AP43=1,AN43=MatchLabel),1,0)</f>
        <v>0</v>
      </c>
      <c r="AR43">
        <f>IF(OR(AN43=MatchLabel,AN43=SafetyLabel,AN43=SecureLabel,AN43=SureThingLabel),1,0)</f>
        <v>0</v>
      </c>
      <c r="AS43">
        <f>IF(OR(W43="H",W43="B",W43="I",W43="M"),IF(ISNUMBER(AB43),ROUND(AB43,2),0),IF(ISNUMBER(AA43),ROUND(AA43,2),0))</f>
        <v>0</v>
      </c>
      <c r="AT43">
        <f>IF(AS43&gt;=X43,1,0)</f>
        <v>0</v>
      </c>
      <c r="AU43">
        <f>IF(AS43&gt;=Y43,1,0)</f>
        <v>0</v>
      </c>
      <c r="AV43">
        <f>IF(AS43&lt;(X43-0.10),1,0)</f>
        <v>0</v>
      </c>
      <c r="AW43">
        <f>1-AM43/100</f>
        <v>0</v>
      </c>
      <c r="AX43">
        <f>IF(AQ43=1,AW43,1)</f>
        <v>0</v>
      </c>
      <c r="AY43">
        <f>IF(AP43=1,AW43,1)</f>
        <v>0</v>
      </c>
      <c r="AZ43">
        <f>IF(AND(AT43=1,ISNUMBER(AW43)),$AW43,1)</f>
        <v>0</v>
      </c>
      <c r="BA43">
        <f>IF(AND(AU43=1,ISNUMBER(AW43)),$AW43,1)</f>
        <v>0</v>
      </c>
      <c r="BB43">
        <f>IF(ISNUMBER(AB43),INDEX(AllCollegeMoney, MATCH(N43,AllCollegeNCES,0)),0)</f>
        <v>0</v>
      </c>
      <c r="BC43">
        <f>IF(AND(AT43=1,ISNUMBER(AW43),BB43=1),$AW43,1)</f>
        <v>0</v>
      </c>
      <c r="BD43">
        <f>IF(AND(AU43=1,ISNUMBER(AW43),BB43=1),$AW43,1)</f>
        <v>0</v>
      </c>
      <c r="BE43">
        <f>IF(ISNUMBER(AB43),INDEX(AllCollegeILPub, MATCH(N43,AllCollegeNCES,0)),0)</f>
        <v>0</v>
      </c>
      <c r="BF43">
        <f>IF(AN43=ReachLabel,AS43,0)</f>
        <v>0</v>
      </c>
      <c r="BG43">
        <f>IF(AN43=MatchLabel,AS43,0)</f>
        <v>0</v>
      </c>
      <c r="BH43">
        <f>IF(AN43=SafetyLabel,AS43,0)</f>
        <v>0</v>
      </c>
      <c r="BI43">
        <f>IF(AN43=SecureLabel,AS43,0)</f>
        <v>0</v>
      </c>
      <c r="BJ43">
        <f>IF(AN43=SureThingLabel,AS43,0)</f>
        <v>0</v>
      </c>
      <c r="BK43">
        <f>MAX(BF43:BJ43)</f>
        <v>0</v>
      </c>
      <c r="BL43">
        <f>MAX(BG43:BJ43)</f>
        <v>0</v>
      </c>
      <c r="BM43">
        <f>MAX(BH43:BJ43)</f>
        <v>0</v>
      </c>
      <c r="BN43">
        <f>IF(AND(AN43=ReachLabel,BB43=1),AS43,0)</f>
        <v>0</v>
      </c>
      <c r="BO43">
        <f>IF(AND(AN43=MatchLabel,BB43=1),AS43,0)</f>
        <v>0</v>
      </c>
      <c r="BP43">
        <f>IF(AND(AN43=SafetyLabel,BB43=1),AS43,0)</f>
        <v>0</v>
      </c>
      <c r="BQ43">
        <f>IF(AND(AN43=SecureLabel,BB43=1),AS43,0)</f>
        <v>0</v>
      </c>
      <c r="BR43">
        <f>IF(AND(AN43=SureThingLabel,BB43=1),AS43,0)</f>
        <v>0</v>
      </c>
      <c r="BS43">
        <f>MAX(BN43:BR43)</f>
        <v>0</v>
      </c>
      <c r="BT43">
        <f>MAX(BO43:BR43)</f>
        <v>0</v>
      </c>
      <c r="BU43">
        <f>MAX(BP43:BR43)</f>
        <v>0</v>
      </c>
      <c r="BV43">
        <f>IF(ISNUMBER(AB43),INDEX(AllCollegeChicago, MATCH(N43,AllCollegeNCES,0))*BB43,0)</f>
        <v>0</v>
      </c>
      <c r="BW43">
        <f>IF(ISNUMBER(AB43),INDEX(AllCollegeMoneyCode, MATCH(N43,AllCollegeNCES,0)),"?")</f>
        <v>0</v>
      </c>
      <c r="BX43">
        <f>IF(OR(BW43="---",BW43="--",BW43="+/--",BW43="+/---"),1,0)</f>
        <v>0</v>
      </c>
      <c r="BY43">
        <f>BB43*AR43*AT43</f>
        <v>0</v>
      </c>
    </row>
    <row r="44" spans="1:77">
      <c r="A44" t="s">
        <v>96</v>
      </c>
      <c r="B44">
        <v>22054227</v>
      </c>
      <c r="C44" t="s">
        <v>148</v>
      </c>
      <c r="D44" t="s">
        <v>149</v>
      </c>
      <c r="E44" t="s">
        <v>446</v>
      </c>
      <c r="F44" t="s">
        <v>475</v>
      </c>
      <c r="G44" t="s">
        <v>479</v>
      </c>
      <c r="H44" t="s">
        <v>449</v>
      </c>
      <c r="I44" t="s">
        <v>450</v>
      </c>
      <c r="J44" t="s">
        <v>450</v>
      </c>
      <c r="K44">
        <v>0</v>
      </c>
      <c r="L44" t="s">
        <v>446</v>
      </c>
      <c r="M44" t="s">
        <v>446</v>
      </c>
      <c r="N44">
        <v>145637</v>
      </c>
      <c r="O44">
        <f>INDEX(Counselor,MATCH(B44,KidIDs,0))</f>
        <v>0</v>
      </c>
      <c r="P44">
        <f>INDEX(Advisors,MATCH(B44,KidIDs,0))</f>
        <v>0</v>
      </c>
      <c r="Q44">
        <f>INDEX(Cohort,MATCH(B44,KidIDs,0))</f>
        <v>0</v>
      </c>
      <c r="R44">
        <f>INDEX(AllCollegeBarrons,MATCH(N44,AllCollegeNCES,0))</f>
        <v>0</v>
      </c>
      <c r="S44">
        <f>INDEX(KidGPAs,MATCH(B44,KidIDs,0))</f>
        <v>0</v>
      </c>
      <c r="T44">
        <f>INDEX(KidSATs,MATCH(B44,KidIDs,0))</f>
        <v>0</v>
      </c>
      <c r="U44">
        <f>INDEX(Strats,MATCH(B44,KidIDs,0))</f>
        <v>0</v>
      </c>
      <c r="V44">
        <f>INDEX(KidRace,MATCH(B44,KidIDs,0))</f>
        <v>0</v>
      </c>
      <c r="W44">
        <f>IF(OR(V44="M",V44="I"),"H",IF(V44="P","A",V44))</f>
        <v>0</v>
      </c>
      <c r="X44">
        <f>INDEX(StudentTargets,MATCH(B44,KidIDs,0))</f>
        <v>0</v>
      </c>
      <c r="Y44">
        <f>INDEX(ReachStudentTargets,MATCH(B44,KidIDs,0))</f>
        <v>0</v>
      </c>
      <c r="Z44">
        <f>IF(OR(M44="Posse"),1,0)</f>
        <v>0</v>
      </c>
      <c r="AA44">
        <f>IF(ISNUMBER(INDEX(AllCollegeGR, MATCH(N44,AllCollegeNCES,0))),ROUND(INDEX(AllCollegeGR, MATCH(N44,AllCollegeNCES,0))+Z44*IF(INDEX(AllCollegeGR, MATCH(N44,AllCollegeNCES,0))&gt;0.7,(1-INDEX(AllCollegeGR, MATCH(N44,AllCollegeNCES,0)))/2,0.15),2),INDEX(AllCollegeGR, MATCH(N44,AllCollegeNCES,0)))</f>
        <v>0</v>
      </c>
      <c r="AB44">
        <f>IF(ISNUMBER(INDEX(AllCollegeAAHGR, MATCH(N44,AllCollegeNCES,0))),ROUND(INDEX(AllCollegeAAHGR, MATCH(N44,AllCollegeNCES,0))+Z44*IF(INDEX(AllCollegeAAHGR, MATCH(N44,AllCollegeNCES,0))&gt;0.7,(1-INDEX(AllCollegeAAHGR, MATCH(N44,AllCollegeNCES,0)))/2,0.15),2),INDEX(AllCollegeAAHGR, MATCH(N44,AllCollegeNCES,0)))</f>
        <v>0</v>
      </c>
      <c r="AC44">
        <f>IF(OR(W44="H",W44="B"),INDEX(AllCollegeSAT25, MATCH(N44,AllCollegeNCES,0)),INDEX(AllCollegeSAT50, MATCH(N44,AllCollegeNCES,0)))</f>
        <v>0</v>
      </c>
      <c r="AD44">
        <f>INDEX(CustomWeightsGPA,MATCH(W44&amp;":"&amp;N44,CustomWeightsIndex,0))</f>
        <v>0</v>
      </c>
      <c r="AE44">
        <f>INDEX(CustomWeightsSAT,MATCH(W44&amp;":"&amp;N44,CustomWeightsIndex,0))</f>
        <v>0</v>
      </c>
      <c r="AF44">
        <f>INDEX(CustomWeightsIntercept,MATCH(W44&amp;":"&amp;N44,CustomWeightsIndex,0))</f>
        <v>0</v>
      </c>
      <c r="AG44">
        <f>AD44*S44+AE44*T44+AF44</f>
        <v>0</v>
      </c>
      <c r="AH44">
        <f>INDEX(CoefficientsGPA,MATCH(W44&amp;":"&amp;R44,CoefficientsIndex,0))</f>
        <v>0</v>
      </c>
      <c r="AI44">
        <f>INDEX(CoefficientsSAT,MATCH(W44&amp;":"&amp;R44,CoefficientsIndex,0))</f>
        <v>0</v>
      </c>
      <c r="AJ44">
        <f>INDEX(CoefficientsIntercept,MATCH(W44&amp;":"&amp;R44,CoefficientsIndex,0))</f>
        <v>0</v>
      </c>
      <c r="AK44">
        <f>AH44*S44+(T44-AC44)*AI44+AJ44</f>
        <v>0</v>
      </c>
      <c r="AL44">
        <f>IF(ISNUMBER(AG44),AG44,AK44)</f>
        <v>0</v>
      </c>
      <c r="AM44">
        <f>IF(ISNUMBER(AL44),IF(ISNUMBER(AH44),IF(AND(AH44=1,AI44=1,AJ44=1),100,MIN(99,ROUND(100*EXP(AL44)/(1+EXP(AL44)),2))),MIN(99,ROUND(100*EXP(AL44)/(1+EXP(AL44)),2))),IF(ISTEXT(R44),IF(LEFT(R44,1)="2",100,"N/A"),"N/A"))</f>
        <v>0</v>
      </c>
      <c r="AN44">
        <f>IF(ISNUMBER(AM44),IF(AM44&gt;=99,IF(OR(U44=10,U44=11),MatchLabel,SureThingLabel),IF(AM44&gt;=95,SecureLabel,IF(AM44&gt;=80,SafetyLabel,IF(AM44&gt;=50,MatchLabel,IF(AM44&gt;=20,ReachLabel,IF(AM44&gt;=10,LongshotLabel,HailMaryLabel)))))),"Other")</f>
        <v>0</v>
      </c>
      <c r="AO44">
        <f>IF(OR(I44="accepted",I44="cond. accept",I44="summer admit"),IF(J44="yes","CHOICE!","Accepted!"),IF(I44="guar. transfer","Guar. Xfer",IF(I44="denied","Denied",IF(K44=1,"Waitlist",IF(L44=1,"Deferred",IF(G44="pending","Pending",IF(OR(G44="initial materials submitted",G44="mid-year submitted",G44="final submitted"),"Submitted",IF(H44="interest","Interest","?"))))))))</f>
        <v>0</v>
      </c>
      <c r="AP44">
        <f>IF(OR(AN44=ReachLabel,AN44=LongshotLabel,AN44=HailMaryLabel),1,0)</f>
        <v>0</v>
      </c>
      <c r="AQ44">
        <f>IF(OR(AP44=1,AN44=MatchLabel),1,0)</f>
        <v>0</v>
      </c>
      <c r="AR44">
        <f>IF(OR(AN44=MatchLabel,AN44=SafetyLabel,AN44=SecureLabel,AN44=SureThingLabel),1,0)</f>
        <v>0</v>
      </c>
      <c r="AS44">
        <f>IF(OR(W44="H",W44="B",W44="I",W44="M"),IF(ISNUMBER(AB44),ROUND(AB44,2),0),IF(ISNUMBER(AA44),ROUND(AA44,2),0))</f>
        <v>0</v>
      </c>
      <c r="AT44">
        <f>IF(AS44&gt;=X44,1,0)</f>
        <v>0</v>
      </c>
      <c r="AU44">
        <f>IF(AS44&gt;=Y44,1,0)</f>
        <v>0</v>
      </c>
      <c r="AV44">
        <f>IF(AS44&lt;(X44-0.10),1,0)</f>
        <v>0</v>
      </c>
      <c r="AW44">
        <f>1-AM44/100</f>
        <v>0</v>
      </c>
      <c r="AX44">
        <f>IF(AQ44=1,AW44,1)</f>
        <v>0</v>
      </c>
      <c r="AY44">
        <f>IF(AP44=1,AW44,1)</f>
        <v>0</v>
      </c>
      <c r="AZ44">
        <f>IF(AND(AT44=1,ISNUMBER(AW44)),$AW44,1)</f>
        <v>0</v>
      </c>
      <c r="BA44">
        <f>IF(AND(AU44=1,ISNUMBER(AW44)),$AW44,1)</f>
        <v>0</v>
      </c>
      <c r="BB44">
        <f>IF(ISNUMBER(AB44),INDEX(AllCollegeMoney, MATCH(N44,AllCollegeNCES,0)),0)</f>
        <v>0</v>
      </c>
      <c r="BC44">
        <f>IF(AND(AT44=1,ISNUMBER(AW44),BB44=1),$AW44,1)</f>
        <v>0</v>
      </c>
      <c r="BD44">
        <f>IF(AND(AU44=1,ISNUMBER(AW44),BB44=1),$AW44,1)</f>
        <v>0</v>
      </c>
      <c r="BE44">
        <f>IF(ISNUMBER(AB44),INDEX(AllCollegeILPub, MATCH(N44,AllCollegeNCES,0)),0)</f>
        <v>0</v>
      </c>
      <c r="BF44">
        <f>IF(AN44=ReachLabel,AS44,0)</f>
        <v>0</v>
      </c>
      <c r="BG44">
        <f>IF(AN44=MatchLabel,AS44,0)</f>
        <v>0</v>
      </c>
      <c r="BH44">
        <f>IF(AN44=SafetyLabel,AS44,0)</f>
        <v>0</v>
      </c>
      <c r="BI44">
        <f>IF(AN44=SecureLabel,AS44,0)</f>
        <v>0</v>
      </c>
      <c r="BJ44">
        <f>IF(AN44=SureThingLabel,AS44,0)</f>
        <v>0</v>
      </c>
      <c r="BK44">
        <f>MAX(BF44:BJ44)</f>
        <v>0</v>
      </c>
      <c r="BL44">
        <f>MAX(BG44:BJ44)</f>
        <v>0</v>
      </c>
      <c r="BM44">
        <f>MAX(BH44:BJ44)</f>
        <v>0</v>
      </c>
      <c r="BN44">
        <f>IF(AND(AN44=ReachLabel,BB44=1),AS44,0)</f>
        <v>0</v>
      </c>
      <c r="BO44">
        <f>IF(AND(AN44=MatchLabel,BB44=1),AS44,0)</f>
        <v>0</v>
      </c>
      <c r="BP44">
        <f>IF(AND(AN44=SafetyLabel,BB44=1),AS44,0)</f>
        <v>0</v>
      </c>
      <c r="BQ44">
        <f>IF(AND(AN44=SecureLabel,BB44=1),AS44,0)</f>
        <v>0</v>
      </c>
      <c r="BR44">
        <f>IF(AND(AN44=SureThingLabel,BB44=1),AS44,0)</f>
        <v>0</v>
      </c>
      <c r="BS44">
        <f>MAX(BN44:BR44)</f>
        <v>0</v>
      </c>
      <c r="BT44">
        <f>MAX(BO44:BR44)</f>
        <v>0</v>
      </c>
      <c r="BU44">
        <f>MAX(BP44:BR44)</f>
        <v>0</v>
      </c>
      <c r="BV44">
        <f>IF(ISNUMBER(AB44),INDEX(AllCollegeChicago, MATCH(N44,AllCollegeNCES,0))*BB44,0)</f>
        <v>0</v>
      </c>
      <c r="BW44">
        <f>IF(ISNUMBER(AB44),INDEX(AllCollegeMoneyCode, MATCH(N44,AllCollegeNCES,0)),"?")</f>
        <v>0</v>
      </c>
      <c r="BX44">
        <f>IF(OR(BW44="---",BW44="--",BW44="+/--",BW44="+/---"),1,0)</f>
        <v>0</v>
      </c>
      <c r="BY44">
        <f>BB44*AR44*AT44</f>
        <v>0</v>
      </c>
    </row>
    <row r="45" spans="1:77">
      <c r="A45" t="s">
        <v>96</v>
      </c>
      <c r="B45">
        <v>22054227</v>
      </c>
      <c r="C45" t="s">
        <v>148</v>
      </c>
      <c r="D45" t="s">
        <v>149</v>
      </c>
      <c r="E45" t="s">
        <v>446</v>
      </c>
      <c r="F45" t="s">
        <v>476</v>
      </c>
      <c r="G45" t="s">
        <v>479</v>
      </c>
      <c r="H45" t="s">
        <v>449</v>
      </c>
      <c r="I45" t="s">
        <v>450</v>
      </c>
      <c r="J45" t="s">
        <v>450</v>
      </c>
      <c r="K45">
        <v>0</v>
      </c>
      <c r="L45" t="s">
        <v>446</v>
      </c>
      <c r="M45" t="s">
        <v>446</v>
      </c>
      <c r="N45">
        <v>213668</v>
      </c>
      <c r="O45">
        <f>INDEX(Counselor,MATCH(B45,KidIDs,0))</f>
        <v>0</v>
      </c>
      <c r="P45">
        <f>INDEX(Advisors,MATCH(B45,KidIDs,0))</f>
        <v>0</v>
      </c>
      <c r="Q45">
        <f>INDEX(Cohort,MATCH(B45,KidIDs,0))</f>
        <v>0</v>
      </c>
      <c r="R45">
        <f>INDEX(AllCollegeBarrons,MATCH(N45,AllCollegeNCES,0))</f>
        <v>0</v>
      </c>
      <c r="S45">
        <f>INDEX(KidGPAs,MATCH(B45,KidIDs,0))</f>
        <v>0</v>
      </c>
      <c r="T45">
        <f>INDEX(KidSATs,MATCH(B45,KidIDs,0))</f>
        <v>0</v>
      </c>
      <c r="U45">
        <f>INDEX(Strats,MATCH(B45,KidIDs,0))</f>
        <v>0</v>
      </c>
      <c r="V45">
        <f>INDEX(KidRace,MATCH(B45,KidIDs,0))</f>
        <v>0</v>
      </c>
      <c r="W45">
        <f>IF(OR(V45="M",V45="I"),"H",IF(V45="P","A",V45))</f>
        <v>0</v>
      </c>
      <c r="X45">
        <f>INDEX(StudentTargets,MATCH(B45,KidIDs,0))</f>
        <v>0</v>
      </c>
      <c r="Y45">
        <f>INDEX(ReachStudentTargets,MATCH(B45,KidIDs,0))</f>
        <v>0</v>
      </c>
      <c r="Z45">
        <f>IF(OR(M45="Posse"),1,0)</f>
        <v>0</v>
      </c>
      <c r="AA45">
        <f>IF(ISNUMBER(INDEX(AllCollegeGR, MATCH(N45,AllCollegeNCES,0))),ROUND(INDEX(AllCollegeGR, MATCH(N45,AllCollegeNCES,0))+Z45*IF(INDEX(AllCollegeGR, MATCH(N45,AllCollegeNCES,0))&gt;0.7,(1-INDEX(AllCollegeGR, MATCH(N45,AllCollegeNCES,0)))/2,0.15),2),INDEX(AllCollegeGR, MATCH(N45,AllCollegeNCES,0)))</f>
        <v>0</v>
      </c>
      <c r="AB45">
        <f>IF(ISNUMBER(INDEX(AllCollegeAAHGR, MATCH(N45,AllCollegeNCES,0))),ROUND(INDEX(AllCollegeAAHGR, MATCH(N45,AllCollegeNCES,0))+Z45*IF(INDEX(AllCollegeAAHGR, MATCH(N45,AllCollegeNCES,0))&gt;0.7,(1-INDEX(AllCollegeAAHGR, MATCH(N45,AllCollegeNCES,0)))/2,0.15),2),INDEX(AllCollegeAAHGR, MATCH(N45,AllCollegeNCES,0)))</f>
        <v>0</v>
      </c>
      <c r="AC45">
        <f>IF(OR(W45="H",W45="B"),INDEX(AllCollegeSAT25, MATCH(N45,AllCollegeNCES,0)),INDEX(AllCollegeSAT50, MATCH(N45,AllCollegeNCES,0)))</f>
        <v>0</v>
      </c>
      <c r="AD45">
        <f>INDEX(CustomWeightsGPA,MATCH(W45&amp;":"&amp;N45,CustomWeightsIndex,0))</f>
        <v>0</v>
      </c>
      <c r="AE45">
        <f>INDEX(CustomWeightsSAT,MATCH(W45&amp;":"&amp;N45,CustomWeightsIndex,0))</f>
        <v>0</v>
      </c>
      <c r="AF45">
        <f>INDEX(CustomWeightsIntercept,MATCH(W45&amp;":"&amp;N45,CustomWeightsIndex,0))</f>
        <v>0</v>
      </c>
      <c r="AG45">
        <f>AD45*S45+AE45*T45+AF45</f>
        <v>0</v>
      </c>
      <c r="AH45">
        <f>INDEX(CoefficientsGPA,MATCH(W45&amp;":"&amp;R45,CoefficientsIndex,0))</f>
        <v>0</v>
      </c>
      <c r="AI45">
        <f>INDEX(CoefficientsSAT,MATCH(W45&amp;":"&amp;R45,CoefficientsIndex,0))</f>
        <v>0</v>
      </c>
      <c r="AJ45">
        <f>INDEX(CoefficientsIntercept,MATCH(W45&amp;":"&amp;R45,CoefficientsIndex,0))</f>
        <v>0</v>
      </c>
      <c r="AK45">
        <f>AH45*S45+(T45-AC45)*AI45+AJ45</f>
        <v>0</v>
      </c>
      <c r="AL45">
        <f>IF(ISNUMBER(AG45),AG45,AK45)</f>
        <v>0</v>
      </c>
      <c r="AM45">
        <f>IF(ISNUMBER(AL45),IF(ISNUMBER(AH45),IF(AND(AH45=1,AI45=1,AJ45=1),100,MIN(99,ROUND(100*EXP(AL45)/(1+EXP(AL45)),2))),MIN(99,ROUND(100*EXP(AL45)/(1+EXP(AL45)),2))),IF(ISTEXT(R45),IF(LEFT(R45,1)="2",100,"N/A"),"N/A"))</f>
        <v>0</v>
      </c>
      <c r="AN45">
        <f>IF(ISNUMBER(AM45),IF(AM45&gt;=99,IF(OR(U45=10,U45=11),MatchLabel,SureThingLabel),IF(AM45&gt;=95,SecureLabel,IF(AM45&gt;=80,SafetyLabel,IF(AM45&gt;=50,MatchLabel,IF(AM45&gt;=20,ReachLabel,IF(AM45&gt;=10,LongshotLabel,HailMaryLabel)))))),"Other")</f>
        <v>0</v>
      </c>
      <c r="AO45">
        <f>IF(OR(I45="accepted",I45="cond. accept",I45="summer admit"),IF(J45="yes","CHOICE!","Accepted!"),IF(I45="guar. transfer","Guar. Xfer",IF(I45="denied","Denied",IF(K45=1,"Waitlist",IF(L45=1,"Deferred",IF(G45="pending","Pending",IF(OR(G45="initial materials submitted",G45="mid-year submitted",G45="final submitted"),"Submitted",IF(H45="interest","Interest","?"))))))))</f>
        <v>0</v>
      </c>
      <c r="AP45">
        <f>IF(OR(AN45=ReachLabel,AN45=LongshotLabel,AN45=HailMaryLabel),1,0)</f>
        <v>0</v>
      </c>
      <c r="AQ45">
        <f>IF(OR(AP45=1,AN45=MatchLabel),1,0)</f>
        <v>0</v>
      </c>
      <c r="AR45">
        <f>IF(OR(AN45=MatchLabel,AN45=SafetyLabel,AN45=SecureLabel,AN45=SureThingLabel),1,0)</f>
        <v>0</v>
      </c>
      <c r="AS45">
        <f>IF(OR(W45="H",W45="B",W45="I",W45="M"),IF(ISNUMBER(AB45),ROUND(AB45,2),0),IF(ISNUMBER(AA45),ROUND(AA45,2),0))</f>
        <v>0</v>
      </c>
      <c r="AT45">
        <f>IF(AS45&gt;=X45,1,0)</f>
        <v>0</v>
      </c>
      <c r="AU45">
        <f>IF(AS45&gt;=Y45,1,0)</f>
        <v>0</v>
      </c>
      <c r="AV45">
        <f>IF(AS45&lt;(X45-0.10),1,0)</f>
        <v>0</v>
      </c>
      <c r="AW45">
        <f>1-AM45/100</f>
        <v>0</v>
      </c>
      <c r="AX45">
        <f>IF(AQ45=1,AW45,1)</f>
        <v>0</v>
      </c>
      <c r="AY45">
        <f>IF(AP45=1,AW45,1)</f>
        <v>0</v>
      </c>
      <c r="AZ45">
        <f>IF(AND(AT45=1,ISNUMBER(AW45)),$AW45,1)</f>
        <v>0</v>
      </c>
      <c r="BA45">
        <f>IF(AND(AU45=1,ISNUMBER(AW45)),$AW45,1)</f>
        <v>0</v>
      </c>
      <c r="BB45">
        <f>IF(ISNUMBER(AB45),INDEX(AllCollegeMoney, MATCH(N45,AllCollegeNCES,0)),0)</f>
        <v>0</v>
      </c>
      <c r="BC45">
        <f>IF(AND(AT45=1,ISNUMBER(AW45),BB45=1),$AW45,1)</f>
        <v>0</v>
      </c>
      <c r="BD45">
        <f>IF(AND(AU45=1,ISNUMBER(AW45),BB45=1),$AW45,1)</f>
        <v>0</v>
      </c>
      <c r="BE45">
        <f>IF(ISNUMBER(AB45),INDEX(AllCollegeILPub, MATCH(N45,AllCollegeNCES,0)),0)</f>
        <v>0</v>
      </c>
      <c r="BF45">
        <f>IF(AN45=ReachLabel,AS45,0)</f>
        <v>0</v>
      </c>
      <c r="BG45">
        <f>IF(AN45=MatchLabel,AS45,0)</f>
        <v>0</v>
      </c>
      <c r="BH45">
        <f>IF(AN45=SafetyLabel,AS45,0)</f>
        <v>0</v>
      </c>
      <c r="BI45">
        <f>IF(AN45=SecureLabel,AS45,0)</f>
        <v>0</v>
      </c>
      <c r="BJ45">
        <f>IF(AN45=SureThingLabel,AS45,0)</f>
        <v>0</v>
      </c>
      <c r="BK45">
        <f>MAX(BF45:BJ45)</f>
        <v>0</v>
      </c>
      <c r="BL45">
        <f>MAX(BG45:BJ45)</f>
        <v>0</v>
      </c>
      <c r="BM45">
        <f>MAX(BH45:BJ45)</f>
        <v>0</v>
      </c>
      <c r="BN45">
        <f>IF(AND(AN45=ReachLabel,BB45=1),AS45,0)</f>
        <v>0</v>
      </c>
      <c r="BO45">
        <f>IF(AND(AN45=MatchLabel,BB45=1),AS45,0)</f>
        <v>0</v>
      </c>
      <c r="BP45">
        <f>IF(AND(AN45=SafetyLabel,BB45=1),AS45,0)</f>
        <v>0</v>
      </c>
      <c r="BQ45">
        <f>IF(AND(AN45=SecureLabel,BB45=1),AS45,0)</f>
        <v>0</v>
      </c>
      <c r="BR45">
        <f>IF(AND(AN45=SureThingLabel,BB45=1),AS45,0)</f>
        <v>0</v>
      </c>
      <c r="BS45">
        <f>MAX(BN45:BR45)</f>
        <v>0</v>
      </c>
      <c r="BT45">
        <f>MAX(BO45:BR45)</f>
        <v>0</v>
      </c>
      <c r="BU45">
        <f>MAX(BP45:BR45)</f>
        <v>0</v>
      </c>
      <c r="BV45">
        <f>IF(ISNUMBER(AB45),INDEX(AllCollegeChicago, MATCH(N45,AllCollegeNCES,0))*BB45,0)</f>
        <v>0</v>
      </c>
      <c r="BW45">
        <f>IF(ISNUMBER(AB45),INDEX(AllCollegeMoneyCode, MATCH(N45,AllCollegeNCES,0)),"?")</f>
        <v>0</v>
      </c>
      <c r="BX45">
        <f>IF(OR(BW45="---",BW45="--",BW45="+/--",BW45="+/---"),1,0)</f>
        <v>0</v>
      </c>
      <c r="BY45">
        <f>BB45*AR45*AT45</f>
        <v>0</v>
      </c>
    </row>
    <row r="46" spans="1:77">
      <c r="A46" t="s">
        <v>96</v>
      </c>
      <c r="B46">
        <v>22054227</v>
      </c>
      <c r="C46" t="s">
        <v>148</v>
      </c>
      <c r="D46" t="s">
        <v>149</v>
      </c>
      <c r="E46" t="s">
        <v>446</v>
      </c>
      <c r="F46" t="s">
        <v>488</v>
      </c>
      <c r="G46" t="s">
        <v>479</v>
      </c>
      <c r="H46" t="s">
        <v>449</v>
      </c>
      <c r="I46" t="s">
        <v>450</v>
      </c>
      <c r="J46" t="s">
        <v>450</v>
      </c>
      <c r="K46">
        <v>0</v>
      </c>
      <c r="L46" t="s">
        <v>446</v>
      </c>
      <c r="M46" t="s">
        <v>446</v>
      </c>
      <c r="N46">
        <v>202480</v>
      </c>
      <c r="O46">
        <f>INDEX(Counselor,MATCH(B46,KidIDs,0))</f>
        <v>0</v>
      </c>
      <c r="P46">
        <f>INDEX(Advisors,MATCH(B46,KidIDs,0))</f>
        <v>0</v>
      </c>
      <c r="Q46">
        <f>INDEX(Cohort,MATCH(B46,KidIDs,0))</f>
        <v>0</v>
      </c>
      <c r="R46">
        <f>INDEX(AllCollegeBarrons,MATCH(N46,AllCollegeNCES,0))</f>
        <v>0</v>
      </c>
      <c r="S46">
        <f>INDEX(KidGPAs,MATCH(B46,KidIDs,0))</f>
        <v>0</v>
      </c>
      <c r="T46">
        <f>INDEX(KidSATs,MATCH(B46,KidIDs,0))</f>
        <v>0</v>
      </c>
      <c r="U46">
        <f>INDEX(Strats,MATCH(B46,KidIDs,0))</f>
        <v>0</v>
      </c>
      <c r="V46">
        <f>INDEX(KidRace,MATCH(B46,KidIDs,0))</f>
        <v>0</v>
      </c>
      <c r="W46">
        <f>IF(OR(V46="M",V46="I"),"H",IF(V46="P","A",V46))</f>
        <v>0</v>
      </c>
      <c r="X46">
        <f>INDEX(StudentTargets,MATCH(B46,KidIDs,0))</f>
        <v>0</v>
      </c>
      <c r="Y46">
        <f>INDEX(ReachStudentTargets,MATCH(B46,KidIDs,0))</f>
        <v>0</v>
      </c>
      <c r="Z46">
        <f>IF(OR(M46="Posse"),1,0)</f>
        <v>0</v>
      </c>
      <c r="AA46">
        <f>IF(ISNUMBER(INDEX(AllCollegeGR, MATCH(N46,AllCollegeNCES,0))),ROUND(INDEX(AllCollegeGR, MATCH(N46,AllCollegeNCES,0))+Z46*IF(INDEX(AllCollegeGR, MATCH(N46,AllCollegeNCES,0))&gt;0.7,(1-INDEX(AllCollegeGR, MATCH(N46,AllCollegeNCES,0)))/2,0.15),2),INDEX(AllCollegeGR, MATCH(N46,AllCollegeNCES,0)))</f>
        <v>0</v>
      </c>
      <c r="AB46">
        <f>IF(ISNUMBER(INDEX(AllCollegeAAHGR, MATCH(N46,AllCollegeNCES,0))),ROUND(INDEX(AllCollegeAAHGR, MATCH(N46,AllCollegeNCES,0))+Z46*IF(INDEX(AllCollegeAAHGR, MATCH(N46,AllCollegeNCES,0))&gt;0.7,(1-INDEX(AllCollegeAAHGR, MATCH(N46,AllCollegeNCES,0)))/2,0.15),2),INDEX(AllCollegeAAHGR, MATCH(N46,AllCollegeNCES,0)))</f>
        <v>0</v>
      </c>
      <c r="AC46">
        <f>IF(OR(W46="H",W46="B"),INDEX(AllCollegeSAT25, MATCH(N46,AllCollegeNCES,0)),INDEX(AllCollegeSAT50, MATCH(N46,AllCollegeNCES,0)))</f>
        <v>0</v>
      </c>
      <c r="AD46">
        <f>INDEX(CustomWeightsGPA,MATCH(W46&amp;":"&amp;N46,CustomWeightsIndex,0))</f>
        <v>0</v>
      </c>
      <c r="AE46">
        <f>INDEX(CustomWeightsSAT,MATCH(W46&amp;":"&amp;N46,CustomWeightsIndex,0))</f>
        <v>0</v>
      </c>
      <c r="AF46">
        <f>INDEX(CustomWeightsIntercept,MATCH(W46&amp;":"&amp;N46,CustomWeightsIndex,0))</f>
        <v>0</v>
      </c>
      <c r="AG46">
        <f>AD46*S46+AE46*T46+AF46</f>
        <v>0</v>
      </c>
      <c r="AH46">
        <f>INDEX(CoefficientsGPA,MATCH(W46&amp;":"&amp;R46,CoefficientsIndex,0))</f>
        <v>0</v>
      </c>
      <c r="AI46">
        <f>INDEX(CoefficientsSAT,MATCH(W46&amp;":"&amp;R46,CoefficientsIndex,0))</f>
        <v>0</v>
      </c>
      <c r="AJ46">
        <f>INDEX(CoefficientsIntercept,MATCH(W46&amp;":"&amp;R46,CoefficientsIndex,0))</f>
        <v>0</v>
      </c>
      <c r="AK46">
        <f>AH46*S46+(T46-AC46)*AI46+AJ46</f>
        <v>0</v>
      </c>
      <c r="AL46">
        <f>IF(ISNUMBER(AG46),AG46,AK46)</f>
        <v>0</v>
      </c>
      <c r="AM46">
        <f>IF(ISNUMBER(AL46),IF(ISNUMBER(AH46),IF(AND(AH46=1,AI46=1,AJ46=1),100,MIN(99,ROUND(100*EXP(AL46)/(1+EXP(AL46)),2))),MIN(99,ROUND(100*EXP(AL46)/(1+EXP(AL46)),2))),IF(ISTEXT(R46),IF(LEFT(R46,1)="2",100,"N/A"),"N/A"))</f>
        <v>0</v>
      </c>
      <c r="AN46">
        <f>IF(ISNUMBER(AM46),IF(AM46&gt;=99,IF(OR(U46=10,U46=11),MatchLabel,SureThingLabel),IF(AM46&gt;=95,SecureLabel,IF(AM46&gt;=80,SafetyLabel,IF(AM46&gt;=50,MatchLabel,IF(AM46&gt;=20,ReachLabel,IF(AM46&gt;=10,LongshotLabel,HailMaryLabel)))))),"Other")</f>
        <v>0</v>
      </c>
      <c r="AO46">
        <f>IF(OR(I46="accepted",I46="cond. accept",I46="summer admit"),IF(J46="yes","CHOICE!","Accepted!"),IF(I46="guar. transfer","Guar. Xfer",IF(I46="denied","Denied",IF(K46=1,"Waitlist",IF(L46=1,"Deferred",IF(G46="pending","Pending",IF(OR(G46="initial materials submitted",G46="mid-year submitted",G46="final submitted"),"Submitted",IF(H46="interest","Interest","?"))))))))</f>
        <v>0</v>
      </c>
      <c r="AP46">
        <f>IF(OR(AN46=ReachLabel,AN46=LongshotLabel,AN46=HailMaryLabel),1,0)</f>
        <v>0</v>
      </c>
      <c r="AQ46">
        <f>IF(OR(AP46=1,AN46=MatchLabel),1,0)</f>
        <v>0</v>
      </c>
      <c r="AR46">
        <f>IF(OR(AN46=MatchLabel,AN46=SafetyLabel,AN46=SecureLabel,AN46=SureThingLabel),1,0)</f>
        <v>0</v>
      </c>
      <c r="AS46">
        <f>IF(OR(W46="H",W46="B",W46="I",W46="M"),IF(ISNUMBER(AB46),ROUND(AB46,2),0),IF(ISNUMBER(AA46),ROUND(AA46,2),0))</f>
        <v>0</v>
      </c>
      <c r="AT46">
        <f>IF(AS46&gt;=X46,1,0)</f>
        <v>0</v>
      </c>
      <c r="AU46">
        <f>IF(AS46&gt;=Y46,1,0)</f>
        <v>0</v>
      </c>
      <c r="AV46">
        <f>IF(AS46&lt;(X46-0.10),1,0)</f>
        <v>0</v>
      </c>
      <c r="AW46">
        <f>1-AM46/100</f>
        <v>0</v>
      </c>
      <c r="AX46">
        <f>IF(AQ46=1,AW46,1)</f>
        <v>0</v>
      </c>
      <c r="AY46">
        <f>IF(AP46=1,AW46,1)</f>
        <v>0</v>
      </c>
      <c r="AZ46">
        <f>IF(AND(AT46=1,ISNUMBER(AW46)),$AW46,1)</f>
        <v>0</v>
      </c>
      <c r="BA46">
        <f>IF(AND(AU46=1,ISNUMBER(AW46)),$AW46,1)</f>
        <v>0</v>
      </c>
      <c r="BB46">
        <f>IF(ISNUMBER(AB46),INDEX(AllCollegeMoney, MATCH(N46,AllCollegeNCES,0)),0)</f>
        <v>0</v>
      </c>
      <c r="BC46">
        <f>IF(AND(AT46=1,ISNUMBER(AW46),BB46=1),$AW46,1)</f>
        <v>0</v>
      </c>
      <c r="BD46">
        <f>IF(AND(AU46=1,ISNUMBER(AW46),BB46=1),$AW46,1)</f>
        <v>0</v>
      </c>
      <c r="BE46">
        <f>IF(ISNUMBER(AB46),INDEX(AllCollegeILPub, MATCH(N46,AllCollegeNCES,0)),0)</f>
        <v>0</v>
      </c>
      <c r="BF46">
        <f>IF(AN46=ReachLabel,AS46,0)</f>
        <v>0</v>
      </c>
      <c r="BG46">
        <f>IF(AN46=MatchLabel,AS46,0)</f>
        <v>0</v>
      </c>
      <c r="BH46">
        <f>IF(AN46=SafetyLabel,AS46,0)</f>
        <v>0</v>
      </c>
      <c r="BI46">
        <f>IF(AN46=SecureLabel,AS46,0)</f>
        <v>0</v>
      </c>
      <c r="BJ46">
        <f>IF(AN46=SureThingLabel,AS46,0)</f>
        <v>0</v>
      </c>
      <c r="BK46">
        <f>MAX(BF46:BJ46)</f>
        <v>0</v>
      </c>
      <c r="BL46">
        <f>MAX(BG46:BJ46)</f>
        <v>0</v>
      </c>
      <c r="BM46">
        <f>MAX(BH46:BJ46)</f>
        <v>0</v>
      </c>
      <c r="BN46">
        <f>IF(AND(AN46=ReachLabel,BB46=1),AS46,0)</f>
        <v>0</v>
      </c>
      <c r="BO46">
        <f>IF(AND(AN46=MatchLabel,BB46=1),AS46,0)</f>
        <v>0</v>
      </c>
      <c r="BP46">
        <f>IF(AND(AN46=SafetyLabel,BB46=1),AS46,0)</f>
        <v>0</v>
      </c>
      <c r="BQ46">
        <f>IF(AND(AN46=SecureLabel,BB46=1),AS46,0)</f>
        <v>0</v>
      </c>
      <c r="BR46">
        <f>IF(AND(AN46=SureThingLabel,BB46=1),AS46,0)</f>
        <v>0</v>
      </c>
      <c r="BS46">
        <f>MAX(BN46:BR46)</f>
        <v>0</v>
      </c>
      <c r="BT46">
        <f>MAX(BO46:BR46)</f>
        <v>0</v>
      </c>
      <c r="BU46">
        <f>MAX(BP46:BR46)</f>
        <v>0</v>
      </c>
      <c r="BV46">
        <f>IF(ISNUMBER(AB46),INDEX(AllCollegeChicago, MATCH(N46,AllCollegeNCES,0))*BB46,0)</f>
        <v>0</v>
      </c>
      <c r="BW46">
        <f>IF(ISNUMBER(AB46),INDEX(AllCollegeMoneyCode, MATCH(N46,AllCollegeNCES,0)),"?")</f>
        <v>0</v>
      </c>
      <c r="BX46">
        <f>IF(OR(BW46="---",BW46="--",BW46="+/--",BW46="+/---"),1,0)</f>
        <v>0</v>
      </c>
      <c r="BY46">
        <f>BB46*AR46*AT46</f>
        <v>0</v>
      </c>
    </row>
    <row r="47" spans="1:77">
      <c r="A47" t="s">
        <v>96</v>
      </c>
      <c r="B47">
        <v>22054227</v>
      </c>
      <c r="C47" t="s">
        <v>148</v>
      </c>
      <c r="D47" t="s">
        <v>149</v>
      </c>
      <c r="E47" t="s">
        <v>446</v>
      </c>
      <c r="F47" t="s">
        <v>489</v>
      </c>
      <c r="G47" t="s">
        <v>448</v>
      </c>
      <c r="H47" t="s">
        <v>449</v>
      </c>
      <c r="I47" t="s">
        <v>450</v>
      </c>
      <c r="J47" t="s">
        <v>450</v>
      </c>
      <c r="K47">
        <v>0</v>
      </c>
      <c r="L47" t="s">
        <v>446</v>
      </c>
      <c r="M47" t="s">
        <v>446</v>
      </c>
      <c r="N47">
        <v>170301</v>
      </c>
      <c r="O47">
        <f>INDEX(Counselor,MATCH(B47,KidIDs,0))</f>
        <v>0</v>
      </c>
      <c r="P47">
        <f>INDEX(Advisors,MATCH(B47,KidIDs,0))</f>
        <v>0</v>
      </c>
      <c r="Q47">
        <f>INDEX(Cohort,MATCH(B47,KidIDs,0))</f>
        <v>0</v>
      </c>
      <c r="R47">
        <f>INDEX(AllCollegeBarrons,MATCH(N47,AllCollegeNCES,0))</f>
        <v>0</v>
      </c>
      <c r="S47">
        <f>INDEX(KidGPAs,MATCH(B47,KidIDs,0))</f>
        <v>0</v>
      </c>
      <c r="T47">
        <f>INDEX(KidSATs,MATCH(B47,KidIDs,0))</f>
        <v>0</v>
      </c>
      <c r="U47">
        <f>INDEX(Strats,MATCH(B47,KidIDs,0))</f>
        <v>0</v>
      </c>
      <c r="V47">
        <f>INDEX(KidRace,MATCH(B47,KidIDs,0))</f>
        <v>0</v>
      </c>
      <c r="W47">
        <f>IF(OR(V47="M",V47="I"),"H",IF(V47="P","A",V47))</f>
        <v>0</v>
      </c>
      <c r="X47">
        <f>INDEX(StudentTargets,MATCH(B47,KidIDs,0))</f>
        <v>0</v>
      </c>
      <c r="Y47">
        <f>INDEX(ReachStudentTargets,MATCH(B47,KidIDs,0))</f>
        <v>0</v>
      </c>
      <c r="Z47">
        <f>IF(OR(M47="Posse"),1,0)</f>
        <v>0</v>
      </c>
      <c r="AA47">
        <f>IF(ISNUMBER(INDEX(AllCollegeGR, MATCH(N47,AllCollegeNCES,0))),ROUND(INDEX(AllCollegeGR, MATCH(N47,AllCollegeNCES,0))+Z47*IF(INDEX(AllCollegeGR, MATCH(N47,AllCollegeNCES,0))&gt;0.7,(1-INDEX(AllCollegeGR, MATCH(N47,AllCollegeNCES,0)))/2,0.15),2),INDEX(AllCollegeGR, MATCH(N47,AllCollegeNCES,0)))</f>
        <v>0</v>
      </c>
      <c r="AB47">
        <f>IF(ISNUMBER(INDEX(AllCollegeAAHGR, MATCH(N47,AllCollegeNCES,0))),ROUND(INDEX(AllCollegeAAHGR, MATCH(N47,AllCollegeNCES,0))+Z47*IF(INDEX(AllCollegeAAHGR, MATCH(N47,AllCollegeNCES,0))&gt;0.7,(1-INDEX(AllCollegeAAHGR, MATCH(N47,AllCollegeNCES,0)))/2,0.15),2),INDEX(AllCollegeAAHGR, MATCH(N47,AllCollegeNCES,0)))</f>
        <v>0</v>
      </c>
      <c r="AC47">
        <f>IF(OR(W47="H",W47="B"),INDEX(AllCollegeSAT25, MATCH(N47,AllCollegeNCES,0)),INDEX(AllCollegeSAT50, MATCH(N47,AllCollegeNCES,0)))</f>
        <v>0</v>
      </c>
      <c r="AD47">
        <f>INDEX(CustomWeightsGPA,MATCH(W47&amp;":"&amp;N47,CustomWeightsIndex,0))</f>
        <v>0</v>
      </c>
      <c r="AE47">
        <f>INDEX(CustomWeightsSAT,MATCH(W47&amp;":"&amp;N47,CustomWeightsIndex,0))</f>
        <v>0</v>
      </c>
      <c r="AF47">
        <f>INDEX(CustomWeightsIntercept,MATCH(W47&amp;":"&amp;N47,CustomWeightsIndex,0))</f>
        <v>0</v>
      </c>
      <c r="AG47">
        <f>AD47*S47+AE47*T47+AF47</f>
        <v>0</v>
      </c>
      <c r="AH47">
        <f>INDEX(CoefficientsGPA,MATCH(W47&amp;":"&amp;R47,CoefficientsIndex,0))</f>
        <v>0</v>
      </c>
      <c r="AI47">
        <f>INDEX(CoefficientsSAT,MATCH(W47&amp;":"&amp;R47,CoefficientsIndex,0))</f>
        <v>0</v>
      </c>
      <c r="AJ47">
        <f>INDEX(CoefficientsIntercept,MATCH(W47&amp;":"&amp;R47,CoefficientsIndex,0))</f>
        <v>0</v>
      </c>
      <c r="AK47">
        <f>AH47*S47+(T47-AC47)*AI47+AJ47</f>
        <v>0</v>
      </c>
      <c r="AL47">
        <f>IF(ISNUMBER(AG47),AG47,AK47)</f>
        <v>0</v>
      </c>
      <c r="AM47">
        <f>IF(ISNUMBER(AL47),IF(ISNUMBER(AH47),IF(AND(AH47=1,AI47=1,AJ47=1),100,MIN(99,ROUND(100*EXP(AL47)/(1+EXP(AL47)),2))),MIN(99,ROUND(100*EXP(AL47)/(1+EXP(AL47)),2))),IF(ISTEXT(R47),IF(LEFT(R47,1)="2",100,"N/A"),"N/A"))</f>
        <v>0</v>
      </c>
      <c r="AN47">
        <f>IF(ISNUMBER(AM47),IF(AM47&gt;=99,IF(OR(U47=10,U47=11),MatchLabel,SureThingLabel),IF(AM47&gt;=95,SecureLabel,IF(AM47&gt;=80,SafetyLabel,IF(AM47&gt;=50,MatchLabel,IF(AM47&gt;=20,ReachLabel,IF(AM47&gt;=10,LongshotLabel,HailMaryLabel)))))),"Other")</f>
        <v>0</v>
      </c>
      <c r="AO47">
        <f>IF(OR(I47="accepted",I47="cond. accept",I47="summer admit"),IF(J47="yes","CHOICE!","Accepted!"),IF(I47="guar. transfer","Guar. Xfer",IF(I47="denied","Denied",IF(K47=1,"Waitlist",IF(L47=1,"Deferred",IF(G47="pending","Pending",IF(OR(G47="initial materials submitted",G47="mid-year submitted",G47="final submitted"),"Submitted",IF(H47="interest","Interest","?"))))))))</f>
        <v>0</v>
      </c>
      <c r="AP47">
        <f>IF(OR(AN47=ReachLabel,AN47=LongshotLabel,AN47=HailMaryLabel),1,0)</f>
        <v>0</v>
      </c>
      <c r="AQ47">
        <f>IF(OR(AP47=1,AN47=MatchLabel),1,0)</f>
        <v>0</v>
      </c>
      <c r="AR47">
        <f>IF(OR(AN47=MatchLabel,AN47=SafetyLabel,AN47=SecureLabel,AN47=SureThingLabel),1,0)</f>
        <v>0</v>
      </c>
      <c r="AS47">
        <f>IF(OR(W47="H",W47="B",W47="I",W47="M"),IF(ISNUMBER(AB47),ROUND(AB47,2),0),IF(ISNUMBER(AA47),ROUND(AA47,2),0))</f>
        <v>0</v>
      </c>
      <c r="AT47">
        <f>IF(AS47&gt;=X47,1,0)</f>
        <v>0</v>
      </c>
      <c r="AU47">
        <f>IF(AS47&gt;=Y47,1,0)</f>
        <v>0</v>
      </c>
      <c r="AV47">
        <f>IF(AS47&lt;(X47-0.10),1,0)</f>
        <v>0</v>
      </c>
      <c r="AW47">
        <f>1-AM47/100</f>
        <v>0</v>
      </c>
      <c r="AX47">
        <f>IF(AQ47=1,AW47,1)</f>
        <v>0</v>
      </c>
      <c r="AY47">
        <f>IF(AP47=1,AW47,1)</f>
        <v>0</v>
      </c>
      <c r="AZ47">
        <f>IF(AND(AT47=1,ISNUMBER(AW47)),$AW47,1)</f>
        <v>0</v>
      </c>
      <c r="BA47">
        <f>IF(AND(AU47=1,ISNUMBER(AW47)),$AW47,1)</f>
        <v>0</v>
      </c>
      <c r="BB47">
        <f>IF(ISNUMBER(AB47),INDEX(AllCollegeMoney, MATCH(N47,AllCollegeNCES,0)),0)</f>
        <v>0</v>
      </c>
      <c r="BC47">
        <f>IF(AND(AT47=1,ISNUMBER(AW47),BB47=1),$AW47,1)</f>
        <v>0</v>
      </c>
      <c r="BD47">
        <f>IF(AND(AU47=1,ISNUMBER(AW47),BB47=1),$AW47,1)</f>
        <v>0</v>
      </c>
      <c r="BE47">
        <f>IF(ISNUMBER(AB47),INDEX(AllCollegeILPub, MATCH(N47,AllCollegeNCES,0)),0)</f>
        <v>0</v>
      </c>
      <c r="BF47">
        <f>IF(AN47=ReachLabel,AS47,0)</f>
        <v>0</v>
      </c>
      <c r="BG47">
        <f>IF(AN47=MatchLabel,AS47,0)</f>
        <v>0</v>
      </c>
      <c r="BH47">
        <f>IF(AN47=SafetyLabel,AS47,0)</f>
        <v>0</v>
      </c>
      <c r="BI47">
        <f>IF(AN47=SecureLabel,AS47,0)</f>
        <v>0</v>
      </c>
      <c r="BJ47">
        <f>IF(AN47=SureThingLabel,AS47,0)</f>
        <v>0</v>
      </c>
      <c r="BK47">
        <f>MAX(BF47:BJ47)</f>
        <v>0</v>
      </c>
      <c r="BL47">
        <f>MAX(BG47:BJ47)</f>
        <v>0</v>
      </c>
      <c r="BM47">
        <f>MAX(BH47:BJ47)</f>
        <v>0</v>
      </c>
      <c r="BN47">
        <f>IF(AND(AN47=ReachLabel,BB47=1),AS47,0)</f>
        <v>0</v>
      </c>
      <c r="BO47">
        <f>IF(AND(AN47=MatchLabel,BB47=1),AS47,0)</f>
        <v>0</v>
      </c>
      <c r="BP47">
        <f>IF(AND(AN47=SafetyLabel,BB47=1),AS47,0)</f>
        <v>0</v>
      </c>
      <c r="BQ47">
        <f>IF(AND(AN47=SecureLabel,BB47=1),AS47,0)</f>
        <v>0</v>
      </c>
      <c r="BR47">
        <f>IF(AND(AN47=SureThingLabel,BB47=1),AS47,0)</f>
        <v>0</v>
      </c>
      <c r="BS47">
        <f>MAX(BN47:BR47)</f>
        <v>0</v>
      </c>
      <c r="BT47">
        <f>MAX(BO47:BR47)</f>
        <v>0</v>
      </c>
      <c r="BU47">
        <f>MAX(BP47:BR47)</f>
        <v>0</v>
      </c>
      <c r="BV47">
        <f>IF(ISNUMBER(AB47),INDEX(AllCollegeChicago, MATCH(N47,AllCollegeNCES,0))*BB47,0)</f>
        <v>0</v>
      </c>
      <c r="BW47">
        <f>IF(ISNUMBER(AB47),INDEX(AllCollegeMoneyCode, MATCH(N47,AllCollegeNCES,0)),"?")</f>
        <v>0</v>
      </c>
      <c r="BX47">
        <f>IF(OR(BW47="---",BW47="--",BW47="+/--",BW47="+/---"),1,0)</f>
        <v>0</v>
      </c>
      <c r="BY47">
        <f>BB47*AR47*AT47</f>
        <v>0</v>
      </c>
    </row>
    <row r="48" spans="1:77">
      <c r="A48" t="s">
        <v>96</v>
      </c>
      <c r="B48">
        <v>22165076</v>
      </c>
      <c r="C48" t="s">
        <v>200</v>
      </c>
      <c r="D48" t="s">
        <v>201</v>
      </c>
      <c r="E48" t="s">
        <v>446</v>
      </c>
      <c r="F48" t="s">
        <v>490</v>
      </c>
      <c r="G48" t="s">
        <v>448</v>
      </c>
      <c r="H48" t="s">
        <v>449</v>
      </c>
      <c r="I48" t="s">
        <v>450</v>
      </c>
      <c r="J48" t="s">
        <v>450</v>
      </c>
      <c r="K48">
        <v>0</v>
      </c>
      <c r="L48" t="s">
        <v>446</v>
      </c>
      <c r="M48" t="s">
        <v>446</v>
      </c>
      <c r="N48">
        <v>198419</v>
      </c>
      <c r="O48">
        <f>INDEX(Counselor,MATCH(B48,KidIDs,0))</f>
        <v>0</v>
      </c>
      <c r="P48">
        <f>INDEX(Advisors,MATCH(B48,KidIDs,0))</f>
        <v>0</v>
      </c>
      <c r="Q48">
        <f>INDEX(Cohort,MATCH(B48,KidIDs,0))</f>
        <v>0</v>
      </c>
      <c r="R48">
        <f>INDEX(AllCollegeBarrons,MATCH(N48,AllCollegeNCES,0))</f>
        <v>0</v>
      </c>
      <c r="S48">
        <f>INDEX(KidGPAs,MATCH(B48,KidIDs,0))</f>
        <v>0</v>
      </c>
      <c r="T48">
        <f>INDEX(KidSATs,MATCH(B48,KidIDs,0))</f>
        <v>0</v>
      </c>
      <c r="U48">
        <f>INDEX(Strats,MATCH(B48,KidIDs,0))</f>
        <v>0</v>
      </c>
      <c r="V48">
        <f>INDEX(KidRace,MATCH(B48,KidIDs,0))</f>
        <v>0</v>
      </c>
      <c r="W48">
        <f>IF(OR(V48="M",V48="I"),"H",IF(V48="P","A",V48))</f>
        <v>0</v>
      </c>
      <c r="X48">
        <f>INDEX(StudentTargets,MATCH(B48,KidIDs,0))</f>
        <v>0</v>
      </c>
      <c r="Y48">
        <f>INDEX(ReachStudentTargets,MATCH(B48,KidIDs,0))</f>
        <v>0</v>
      </c>
      <c r="Z48">
        <f>IF(OR(M48="Posse"),1,0)</f>
        <v>0</v>
      </c>
      <c r="AA48">
        <f>IF(ISNUMBER(INDEX(AllCollegeGR, MATCH(N48,AllCollegeNCES,0))),ROUND(INDEX(AllCollegeGR, MATCH(N48,AllCollegeNCES,0))+Z48*IF(INDEX(AllCollegeGR, MATCH(N48,AllCollegeNCES,0))&gt;0.7,(1-INDEX(AllCollegeGR, MATCH(N48,AllCollegeNCES,0)))/2,0.15),2),INDEX(AllCollegeGR, MATCH(N48,AllCollegeNCES,0)))</f>
        <v>0</v>
      </c>
      <c r="AB48">
        <f>IF(ISNUMBER(INDEX(AllCollegeAAHGR, MATCH(N48,AllCollegeNCES,0))),ROUND(INDEX(AllCollegeAAHGR, MATCH(N48,AllCollegeNCES,0))+Z48*IF(INDEX(AllCollegeAAHGR, MATCH(N48,AllCollegeNCES,0))&gt;0.7,(1-INDEX(AllCollegeAAHGR, MATCH(N48,AllCollegeNCES,0)))/2,0.15),2),INDEX(AllCollegeAAHGR, MATCH(N48,AllCollegeNCES,0)))</f>
        <v>0</v>
      </c>
      <c r="AC48">
        <f>IF(OR(W48="H",W48="B"),INDEX(AllCollegeSAT25, MATCH(N48,AllCollegeNCES,0)),INDEX(AllCollegeSAT50, MATCH(N48,AllCollegeNCES,0)))</f>
        <v>0</v>
      </c>
      <c r="AD48">
        <f>INDEX(CustomWeightsGPA,MATCH(W48&amp;":"&amp;N48,CustomWeightsIndex,0))</f>
        <v>0</v>
      </c>
      <c r="AE48">
        <f>INDEX(CustomWeightsSAT,MATCH(W48&amp;":"&amp;N48,CustomWeightsIndex,0))</f>
        <v>0</v>
      </c>
      <c r="AF48">
        <f>INDEX(CustomWeightsIntercept,MATCH(W48&amp;":"&amp;N48,CustomWeightsIndex,0))</f>
        <v>0</v>
      </c>
      <c r="AG48">
        <f>AD48*S48+AE48*T48+AF48</f>
        <v>0</v>
      </c>
      <c r="AH48">
        <f>INDEX(CoefficientsGPA,MATCH(W48&amp;":"&amp;R48,CoefficientsIndex,0))</f>
        <v>0</v>
      </c>
      <c r="AI48">
        <f>INDEX(CoefficientsSAT,MATCH(W48&amp;":"&amp;R48,CoefficientsIndex,0))</f>
        <v>0</v>
      </c>
      <c r="AJ48">
        <f>INDEX(CoefficientsIntercept,MATCH(W48&amp;":"&amp;R48,CoefficientsIndex,0))</f>
        <v>0</v>
      </c>
      <c r="AK48">
        <f>AH48*S48+(T48-AC48)*AI48+AJ48</f>
        <v>0</v>
      </c>
      <c r="AL48">
        <f>IF(ISNUMBER(AG48),AG48,AK48)</f>
        <v>0</v>
      </c>
      <c r="AM48">
        <f>IF(ISNUMBER(AL48),IF(ISNUMBER(AH48),IF(AND(AH48=1,AI48=1,AJ48=1),100,MIN(99,ROUND(100*EXP(AL48)/(1+EXP(AL48)),2))),MIN(99,ROUND(100*EXP(AL48)/(1+EXP(AL48)),2))),IF(ISTEXT(R48),IF(LEFT(R48,1)="2",100,"N/A"),"N/A"))</f>
        <v>0</v>
      </c>
      <c r="AN48">
        <f>IF(ISNUMBER(AM48),IF(AM48&gt;=99,IF(OR(U48=10,U48=11),MatchLabel,SureThingLabel),IF(AM48&gt;=95,SecureLabel,IF(AM48&gt;=80,SafetyLabel,IF(AM48&gt;=50,MatchLabel,IF(AM48&gt;=20,ReachLabel,IF(AM48&gt;=10,LongshotLabel,HailMaryLabel)))))),"Other")</f>
        <v>0</v>
      </c>
      <c r="AO48">
        <f>IF(OR(I48="accepted",I48="cond. accept",I48="summer admit"),IF(J48="yes","CHOICE!","Accepted!"),IF(I48="guar. transfer","Guar. Xfer",IF(I48="denied","Denied",IF(K48=1,"Waitlist",IF(L48=1,"Deferred",IF(G48="pending","Pending",IF(OR(G48="initial materials submitted",G48="mid-year submitted",G48="final submitted"),"Submitted",IF(H48="interest","Interest","?"))))))))</f>
        <v>0</v>
      </c>
      <c r="AP48">
        <f>IF(OR(AN48=ReachLabel,AN48=LongshotLabel,AN48=HailMaryLabel),1,0)</f>
        <v>0</v>
      </c>
      <c r="AQ48">
        <f>IF(OR(AP48=1,AN48=MatchLabel),1,0)</f>
        <v>0</v>
      </c>
      <c r="AR48">
        <f>IF(OR(AN48=MatchLabel,AN48=SafetyLabel,AN48=SecureLabel,AN48=SureThingLabel),1,0)</f>
        <v>0</v>
      </c>
      <c r="AS48">
        <f>IF(OR(W48="H",W48="B",W48="I",W48="M"),IF(ISNUMBER(AB48),ROUND(AB48,2),0),IF(ISNUMBER(AA48),ROUND(AA48,2),0))</f>
        <v>0</v>
      </c>
      <c r="AT48">
        <f>IF(AS48&gt;=X48,1,0)</f>
        <v>0</v>
      </c>
      <c r="AU48">
        <f>IF(AS48&gt;=Y48,1,0)</f>
        <v>0</v>
      </c>
      <c r="AV48">
        <f>IF(AS48&lt;(X48-0.10),1,0)</f>
        <v>0</v>
      </c>
      <c r="AW48">
        <f>1-AM48/100</f>
        <v>0</v>
      </c>
      <c r="AX48">
        <f>IF(AQ48=1,AW48,1)</f>
        <v>0</v>
      </c>
      <c r="AY48">
        <f>IF(AP48=1,AW48,1)</f>
        <v>0</v>
      </c>
      <c r="AZ48">
        <f>IF(AND(AT48=1,ISNUMBER(AW48)),$AW48,1)</f>
        <v>0</v>
      </c>
      <c r="BA48">
        <f>IF(AND(AU48=1,ISNUMBER(AW48)),$AW48,1)</f>
        <v>0</v>
      </c>
      <c r="BB48">
        <f>IF(ISNUMBER(AB48),INDEX(AllCollegeMoney, MATCH(N48,AllCollegeNCES,0)),0)</f>
        <v>0</v>
      </c>
      <c r="BC48">
        <f>IF(AND(AT48=1,ISNUMBER(AW48),BB48=1),$AW48,1)</f>
        <v>0</v>
      </c>
      <c r="BD48">
        <f>IF(AND(AU48=1,ISNUMBER(AW48),BB48=1),$AW48,1)</f>
        <v>0</v>
      </c>
      <c r="BE48">
        <f>IF(ISNUMBER(AB48),INDEX(AllCollegeILPub, MATCH(N48,AllCollegeNCES,0)),0)</f>
        <v>0</v>
      </c>
      <c r="BF48">
        <f>IF(AN48=ReachLabel,AS48,0)</f>
        <v>0</v>
      </c>
      <c r="BG48">
        <f>IF(AN48=MatchLabel,AS48,0)</f>
        <v>0</v>
      </c>
      <c r="BH48">
        <f>IF(AN48=SafetyLabel,AS48,0)</f>
        <v>0</v>
      </c>
      <c r="BI48">
        <f>IF(AN48=SecureLabel,AS48,0)</f>
        <v>0</v>
      </c>
      <c r="BJ48">
        <f>IF(AN48=SureThingLabel,AS48,0)</f>
        <v>0</v>
      </c>
      <c r="BK48">
        <f>MAX(BF48:BJ48)</f>
        <v>0</v>
      </c>
      <c r="BL48">
        <f>MAX(BG48:BJ48)</f>
        <v>0</v>
      </c>
      <c r="BM48">
        <f>MAX(BH48:BJ48)</f>
        <v>0</v>
      </c>
      <c r="BN48">
        <f>IF(AND(AN48=ReachLabel,BB48=1),AS48,0)</f>
        <v>0</v>
      </c>
      <c r="BO48">
        <f>IF(AND(AN48=MatchLabel,BB48=1),AS48,0)</f>
        <v>0</v>
      </c>
      <c r="BP48">
        <f>IF(AND(AN48=SafetyLabel,BB48=1),AS48,0)</f>
        <v>0</v>
      </c>
      <c r="BQ48">
        <f>IF(AND(AN48=SecureLabel,BB48=1),AS48,0)</f>
        <v>0</v>
      </c>
      <c r="BR48">
        <f>IF(AND(AN48=SureThingLabel,BB48=1),AS48,0)</f>
        <v>0</v>
      </c>
      <c r="BS48">
        <f>MAX(BN48:BR48)</f>
        <v>0</v>
      </c>
      <c r="BT48">
        <f>MAX(BO48:BR48)</f>
        <v>0</v>
      </c>
      <c r="BU48">
        <f>MAX(BP48:BR48)</f>
        <v>0</v>
      </c>
      <c r="BV48">
        <f>IF(ISNUMBER(AB48),INDEX(AllCollegeChicago, MATCH(N48,AllCollegeNCES,0))*BB48,0)</f>
        <v>0</v>
      </c>
      <c r="BW48">
        <f>IF(ISNUMBER(AB48),INDEX(AllCollegeMoneyCode, MATCH(N48,AllCollegeNCES,0)),"?")</f>
        <v>0</v>
      </c>
      <c r="BX48">
        <f>IF(OR(BW48="---",BW48="--",BW48="+/--",BW48="+/---"),1,0)</f>
        <v>0</v>
      </c>
      <c r="BY48">
        <f>BB48*AR48*AT48</f>
        <v>0</v>
      </c>
    </row>
    <row r="49" spans="1:77">
      <c r="A49" t="s">
        <v>96</v>
      </c>
      <c r="B49">
        <v>22165076</v>
      </c>
      <c r="C49" t="s">
        <v>200</v>
      </c>
      <c r="D49" t="s">
        <v>201</v>
      </c>
      <c r="E49" t="s">
        <v>446</v>
      </c>
      <c r="F49" t="s">
        <v>491</v>
      </c>
      <c r="G49" t="s">
        <v>448</v>
      </c>
      <c r="H49" t="s">
        <v>449</v>
      </c>
      <c r="I49" t="s">
        <v>450</v>
      </c>
      <c r="J49" t="s">
        <v>450</v>
      </c>
      <c r="K49">
        <v>0</v>
      </c>
      <c r="L49" t="s">
        <v>446</v>
      </c>
      <c r="M49" t="s">
        <v>446</v>
      </c>
      <c r="N49">
        <v>152080</v>
      </c>
      <c r="O49">
        <f>INDEX(Counselor,MATCH(B49,KidIDs,0))</f>
        <v>0</v>
      </c>
      <c r="P49">
        <f>INDEX(Advisors,MATCH(B49,KidIDs,0))</f>
        <v>0</v>
      </c>
      <c r="Q49">
        <f>INDEX(Cohort,MATCH(B49,KidIDs,0))</f>
        <v>0</v>
      </c>
      <c r="R49">
        <f>INDEX(AllCollegeBarrons,MATCH(N49,AllCollegeNCES,0))</f>
        <v>0</v>
      </c>
      <c r="S49">
        <f>INDEX(KidGPAs,MATCH(B49,KidIDs,0))</f>
        <v>0</v>
      </c>
      <c r="T49">
        <f>INDEX(KidSATs,MATCH(B49,KidIDs,0))</f>
        <v>0</v>
      </c>
      <c r="U49">
        <f>INDEX(Strats,MATCH(B49,KidIDs,0))</f>
        <v>0</v>
      </c>
      <c r="V49">
        <f>INDEX(KidRace,MATCH(B49,KidIDs,0))</f>
        <v>0</v>
      </c>
      <c r="W49">
        <f>IF(OR(V49="M",V49="I"),"H",IF(V49="P","A",V49))</f>
        <v>0</v>
      </c>
      <c r="X49">
        <f>INDEX(StudentTargets,MATCH(B49,KidIDs,0))</f>
        <v>0</v>
      </c>
      <c r="Y49">
        <f>INDEX(ReachStudentTargets,MATCH(B49,KidIDs,0))</f>
        <v>0</v>
      </c>
      <c r="Z49">
        <f>IF(OR(M49="Posse"),1,0)</f>
        <v>0</v>
      </c>
      <c r="AA49">
        <f>IF(ISNUMBER(INDEX(AllCollegeGR, MATCH(N49,AllCollegeNCES,0))),ROUND(INDEX(AllCollegeGR, MATCH(N49,AllCollegeNCES,0))+Z49*IF(INDEX(AllCollegeGR, MATCH(N49,AllCollegeNCES,0))&gt;0.7,(1-INDEX(AllCollegeGR, MATCH(N49,AllCollegeNCES,0)))/2,0.15),2),INDEX(AllCollegeGR, MATCH(N49,AllCollegeNCES,0)))</f>
        <v>0</v>
      </c>
      <c r="AB49">
        <f>IF(ISNUMBER(INDEX(AllCollegeAAHGR, MATCH(N49,AllCollegeNCES,0))),ROUND(INDEX(AllCollegeAAHGR, MATCH(N49,AllCollegeNCES,0))+Z49*IF(INDEX(AllCollegeAAHGR, MATCH(N49,AllCollegeNCES,0))&gt;0.7,(1-INDEX(AllCollegeAAHGR, MATCH(N49,AllCollegeNCES,0)))/2,0.15),2),INDEX(AllCollegeAAHGR, MATCH(N49,AllCollegeNCES,0)))</f>
        <v>0</v>
      </c>
      <c r="AC49">
        <f>IF(OR(W49="H",W49="B"),INDEX(AllCollegeSAT25, MATCH(N49,AllCollegeNCES,0)),INDEX(AllCollegeSAT50, MATCH(N49,AllCollegeNCES,0)))</f>
        <v>0</v>
      </c>
      <c r="AD49">
        <f>INDEX(CustomWeightsGPA,MATCH(W49&amp;":"&amp;N49,CustomWeightsIndex,0))</f>
        <v>0</v>
      </c>
      <c r="AE49">
        <f>INDEX(CustomWeightsSAT,MATCH(W49&amp;":"&amp;N49,CustomWeightsIndex,0))</f>
        <v>0</v>
      </c>
      <c r="AF49">
        <f>INDEX(CustomWeightsIntercept,MATCH(W49&amp;":"&amp;N49,CustomWeightsIndex,0))</f>
        <v>0</v>
      </c>
      <c r="AG49">
        <f>AD49*S49+AE49*T49+AF49</f>
        <v>0</v>
      </c>
      <c r="AH49">
        <f>INDEX(CoefficientsGPA,MATCH(W49&amp;":"&amp;R49,CoefficientsIndex,0))</f>
        <v>0</v>
      </c>
      <c r="AI49">
        <f>INDEX(CoefficientsSAT,MATCH(W49&amp;":"&amp;R49,CoefficientsIndex,0))</f>
        <v>0</v>
      </c>
      <c r="AJ49">
        <f>INDEX(CoefficientsIntercept,MATCH(W49&amp;":"&amp;R49,CoefficientsIndex,0))</f>
        <v>0</v>
      </c>
      <c r="AK49">
        <f>AH49*S49+(T49-AC49)*AI49+AJ49</f>
        <v>0</v>
      </c>
      <c r="AL49">
        <f>IF(ISNUMBER(AG49),AG49,AK49)</f>
        <v>0</v>
      </c>
      <c r="AM49">
        <f>IF(ISNUMBER(AL49),IF(ISNUMBER(AH49),IF(AND(AH49=1,AI49=1,AJ49=1),100,MIN(99,ROUND(100*EXP(AL49)/(1+EXP(AL49)),2))),MIN(99,ROUND(100*EXP(AL49)/(1+EXP(AL49)),2))),IF(ISTEXT(R49),IF(LEFT(R49,1)="2",100,"N/A"),"N/A"))</f>
        <v>0</v>
      </c>
      <c r="AN49">
        <f>IF(ISNUMBER(AM49),IF(AM49&gt;=99,IF(OR(U49=10,U49=11),MatchLabel,SureThingLabel),IF(AM49&gt;=95,SecureLabel,IF(AM49&gt;=80,SafetyLabel,IF(AM49&gt;=50,MatchLabel,IF(AM49&gt;=20,ReachLabel,IF(AM49&gt;=10,LongshotLabel,HailMaryLabel)))))),"Other")</f>
        <v>0</v>
      </c>
      <c r="AO49">
        <f>IF(OR(I49="accepted",I49="cond. accept",I49="summer admit"),IF(J49="yes","CHOICE!","Accepted!"),IF(I49="guar. transfer","Guar. Xfer",IF(I49="denied","Denied",IF(K49=1,"Waitlist",IF(L49=1,"Deferred",IF(G49="pending","Pending",IF(OR(G49="initial materials submitted",G49="mid-year submitted",G49="final submitted"),"Submitted",IF(H49="interest","Interest","?"))))))))</f>
        <v>0</v>
      </c>
      <c r="AP49">
        <f>IF(OR(AN49=ReachLabel,AN49=LongshotLabel,AN49=HailMaryLabel),1,0)</f>
        <v>0</v>
      </c>
      <c r="AQ49">
        <f>IF(OR(AP49=1,AN49=MatchLabel),1,0)</f>
        <v>0</v>
      </c>
      <c r="AR49">
        <f>IF(OR(AN49=MatchLabel,AN49=SafetyLabel,AN49=SecureLabel,AN49=SureThingLabel),1,0)</f>
        <v>0</v>
      </c>
      <c r="AS49">
        <f>IF(OR(W49="H",W49="B",W49="I",W49="M"),IF(ISNUMBER(AB49),ROUND(AB49,2),0),IF(ISNUMBER(AA49),ROUND(AA49,2),0))</f>
        <v>0</v>
      </c>
      <c r="AT49">
        <f>IF(AS49&gt;=X49,1,0)</f>
        <v>0</v>
      </c>
      <c r="AU49">
        <f>IF(AS49&gt;=Y49,1,0)</f>
        <v>0</v>
      </c>
      <c r="AV49">
        <f>IF(AS49&lt;(X49-0.10),1,0)</f>
        <v>0</v>
      </c>
      <c r="AW49">
        <f>1-AM49/100</f>
        <v>0</v>
      </c>
      <c r="AX49">
        <f>IF(AQ49=1,AW49,1)</f>
        <v>0</v>
      </c>
      <c r="AY49">
        <f>IF(AP49=1,AW49,1)</f>
        <v>0</v>
      </c>
      <c r="AZ49">
        <f>IF(AND(AT49=1,ISNUMBER(AW49)),$AW49,1)</f>
        <v>0</v>
      </c>
      <c r="BA49">
        <f>IF(AND(AU49=1,ISNUMBER(AW49)),$AW49,1)</f>
        <v>0</v>
      </c>
      <c r="BB49">
        <f>IF(ISNUMBER(AB49),INDEX(AllCollegeMoney, MATCH(N49,AllCollegeNCES,0)),0)</f>
        <v>0</v>
      </c>
      <c r="BC49">
        <f>IF(AND(AT49=1,ISNUMBER(AW49),BB49=1),$AW49,1)</f>
        <v>0</v>
      </c>
      <c r="BD49">
        <f>IF(AND(AU49=1,ISNUMBER(AW49),BB49=1),$AW49,1)</f>
        <v>0</v>
      </c>
      <c r="BE49">
        <f>IF(ISNUMBER(AB49),INDEX(AllCollegeILPub, MATCH(N49,AllCollegeNCES,0)),0)</f>
        <v>0</v>
      </c>
      <c r="BF49">
        <f>IF(AN49=ReachLabel,AS49,0)</f>
        <v>0</v>
      </c>
      <c r="BG49">
        <f>IF(AN49=MatchLabel,AS49,0)</f>
        <v>0</v>
      </c>
      <c r="BH49">
        <f>IF(AN49=SafetyLabel,AS49,0)</f>
        <v>0</v>
      </c>
      <c r="BI49">
        <f>IF(AN49=SecureLabel,AS49,0)</f>
        <v>0</v>
      </c>
      <c r="BJ49">
        <f>IF(AN49=SureThingLabel,AS49,0)</f>
        <v>0</v>
      </c>
      <c r="BK49">
        <f>MAX(BF49:BJ49)</f>
        <v>0</v>
      </c>
      <c r="BL49">
        <f>MAX(BG49:BJ49)</f>
        <v>0</v>
      </c>
      <c r="BM49">
        <f>MAX(BH49:BJ49)</f>
        <v>0</v>
      </c>
      <c r="BN49">
        <f>IF(AND(AN49=ReachLabel,BB49=1),AS49,0)</f>
        <v>0</v>
      </c>
      <c r="BO49">
        <f>IF(AND(AN49=MatchLabel,BB49=1),AS49,0)</f>
        <v>0</v>
      </c>
      <c r="BP49">
        <f>IF(AND(AN49=SafetyLabel,BB49=1),AS49,0)</f>
        <v>0</v>
      </c>
      <c r="BQ49">
        <f>IF(AND(AN49=SecureLabel,BB49=1),AS49,0)</f>
        <v>0</v>
      </c>
      <c r="BR49">
        <f>IF(AND(AN49=SureThingLabel,BB49=1),AS49,0)</f>
        <v>0</v>
      </c>
      <c r="BS49">
        <f>MAX(BN49:BR49)</f>
        <v>0</v>
      </c>
      <c r="BT49">
        <f>MAX(BO49:BR49)</f>
        <v>0</v>
      </c>
      <c r="BU49">
        <f>MAX(BP49:BR49)</f>
        <v>0</v>
      </c>
      <c r="BV49">
        <f>IF(ISNUMBER(AB49),INDEX(AllCollegeChicago, MATCH(N49,AllCollegeNCES,0))*BB49,0)</f>
        <v>0</v>
      </c>
      <c r="BW49">
        <f>IF(ISNUMBER(AB49),INDEX(AllCollegeMoneyCode, MATCH(N49,AllCollegeNCES,0)),"?")</f>
        <v>0</v>
      </c>
      <c r="BX49">
        <f>IF(OR(BW49="---",BW49="--",BW49="+/--",BW49="+/---"),1,0)</f>
        <v>0</v>
      </c>
      <c r="BY49">
        <f>BB49*AR49*AT49</f>
        <v>0</v>
      </c>
    </row>
    <row r="50" spans="1:77">
      <c r="A50" t="s">
        <v>96</v>
      </c>
      <c r="B50">
        <v>22165076</v>
      </c>
      <c r="C50" t="s">
        <v>200</v>
      </c>
      <c r="D50" t="s">
        <v>201</v>
      </c>
      <c r="E50" t="s">
        <v>446</v>
      </c>
      <c r="F50" t="s">
        <v>492</v>
      </c>
      <c r="G50" t="s">
        <v>448</v>
      </c>
      <c r="H50" t="s">
        <v>449</v>
      </c>
      <c r="I50" t="s">
        <v>450</v>
      </c>
      <c r="J50" t="s">
        <v>450</v>
      </c>
      <c r="K50">
        <v>0</v>
      </c>
      <c r="L50" t="s">
        <v>446</v>
      </c>
      <c r="M50" t="s">
        <v>446</v>
      </c>
      <c r="N50">
        <v>131496</v>
      </c>
      <c r="O50">
        <f>INDEX(Counselor,MATCH(B50,KidIDs,0))</f>
        <v>0</v>
      </c>
      <c r="P50">
        <f>INDEX(Advisors,MATCH(B50,KidIDs,0))</f>
        <v>0</v>
      </c>
      <c r="Q50">
        <f>INDEX(Cohort,MATCH(B50,KidIDs,0))</f>
        <v>0</v>
      </c>
      <c r="R50">
        <f>INDEX(AllCollegeBarrons,MATCH(N50,AllCollegeNCES,0))</f>
        <v>0</v>
      </c>
      <c r="S50">
        <f>INDEX(KidGPAs,MATCH(B50,KidIDs,0))</f>
        <v>0</v>
      </c>
      <c r="T50">
        <f>INDEX(KidSATs,MATCH(B50,KidIDs,0))</f>
        <v>0</v>
      </c>
      <c r="U50">
        <f>INDEX(Strats,MATCH(B50,KidIDs,0))</f>
        <v>0</v>
      </c>
      <c r="V50">
        <f>INDEX(KidRace,MATCH(B50,KidIDs,0))</f>
        <v>0</v>
      </c>
      <c r="W50">
        <f>IF(OR(V50="M",V50="I"),"H",IF(V50="P","A",V50))</f>
        <v>0</v>
      </c>
      <c r="X50">
        <f>INDEX(StudentTargets,MATCH(B50,KidIDs,0))</f>
        <v>0</v>
      </c>
      <c r="Y50">
        <f>INDEX(ReachStudentTargets,MATCH(B50,KidIDs,0))</f>
        <v>0</v>
      </c>
      <c r="Z50">
        <f>IF(OR(M50="Posse"),1,0)</f>
        <v>0</v>
      </c>
      <c r="AA50">
        <f>IF(ISNUMBER(INDEX(AllCollegeGR, MATCH(N50,AllCollegeNCES,0))),ROUND(INDEX(AllCollegeGR, MATCH(N50,AllCollegeNCES,0))+Z50*IF(INDEX(AllCollegeGR, MATCH(N50,AllCollegeNCES,0))&gt;0.7,(1-INDEX(AllCollegeGR, MATCH(N50,AllCollegeNCES,0)))/2,0.15),2),INDEX(AllCollegeGR, MATCH(N50,AllCollegeNCES,0)))</f>
        <v>0</v>
      </c>
      <c r="AB50">
        <f>IF(ISNUMBER(INDEX(AllCollegeAAHGR, MATCH(N50,AllCollegeNCES,0))),ROUND(INDEX(AllCollegeAAHGR, MATCH(N50,AllCollegeNCES,0))+Z50*IF(INDEX(AllCollegeAAHGR, MATCH(N50,AllCollegeNCES,0))&gt;0.7,(1-INDEX(AllCollegeAAHGR, MATCH(N50,AllCollegeNCES,0)))/2,0.15),2),INDEX(AllCollegeAAHGR, MATCH(N50,AllCollegeNCES,0)))</f>
        <v>0</v>
      </c>
      <c r="AC50">
        <f>IF(OR(W50="H",W50="B"),INDEX(AllCollegeSAT25, MATCH(N50,AllCollegeNCES,0)),INDEX(AllCollegeSAT50, MATCH(N50,AllCollegeNCES,0)))</f>
        <v>0</v>
      </c>
      <c r="AD50">
        <f>INDEX(CustomWeightsGPA,MATCH(W50&amp;":"&amp;N50,CustomWeightsIndex,0))</f>
        <v>0</v>
      </c>
      <c r="AE50">
        <f>INDEX(CustomWeightsSAT,MATCH(W50&amp;":"&amp;N50,CustomWeightsIndex,0))</f>
        <v>0</v>
      </c>
      <c r="AF50">
        <f>INDEX(CustomWeightsIntercept,MATCH(W50&amp;":"&amp;N50,CustomWeightsIndex,0))</f>
        <v>0</v>
      </c>
      <c r="AG50">
        <f>AD50*S50+AE50*T50+AF50</f>
        <v>0</v>
      </c>
      <c r="AH50">
        <f>INDEX(CoefficientsGPA,MATCH(W50&amp;":"&amp;R50,CoefficientsIndex,0))</f>
        <v>0</v>
      </c>
      <c r="AI50">
        <f>INDEX(CoefficientsSAT,MATCH(W50&amp;":"&amp;R50,CoefficientsIndex,0))</f>
        <v>0</v>
      </c>
      <c r="AJ50">
        <f>INDEX(CoefficientsIntercept,MATCH(W50&amp;":"&amp;R50,CoefficientsIndex,0))</f>
        <v>0</v>
      </c>
      <c r="AK50">
        <f>AH50*S50+(T50-AC50)*AI50+AJ50</f>
        <v>0</v>
      </c>
      <c r="AL50">
        <f>IF(ISNUMBER(AG50),AG50,AK50)</f>
        <v>0</v>
      </c>
      <c r="AM50">
        <f>IF(ISNUMBER(AL50),IF(ISNUMBER(AH50),IF(AND(AH50=1,AI50=1,AJ50=1),100,MIN(99,ROUND(100*EXP(AL50)/(1+EXP(AL50)),2))),MIN(99,ROUND(100*EXP(AL50)/(1+EXP(AL50)),2))),IF(ISTEXT(R50),IF(LEFT(R50,1)="2",100,"N/A"),"N/A"))</f>
        <v>0</v>
      </c>
      <c r="AN50">
        <f>IF(ISNUMBER(AM50),IF(AM50&gt;=99,IF(OR(U50=10,U50=11),MatchLabel,SureThingLabel),IF(AM50&gt;=95,SecureLabel,IF(AM50&gt;=80,SafetyLabel,IF(AM50&gt;=50,MatchLabel,IF(AM50&gt;=20,ReachLabel,IF(AM50&gt;=10,LongshotLabel,HailMaryLabel)))))),"Other")</f>
        <v>0</v>
      </c>
      <c r="AO50">
        <f>IF(OR(I50="accepted",I50="cond. accept",I50="summer admit"),IF(J50="yes","CHOICE!","Accepted!"),IF(I50="guar. transfer","Guar. Xfer",IF(I50="denied","Denied",IF(K50=1,"Waitlist",IF(L50=1,"Deferred",IF(G50="pending","Pending",IF(OR(G50="initial materials submitted",G50="mid-year submitted",G50="final submitted"),"Submitted",IF(H50="interest","Interest","?"))))))))</f>
        <v>0</v>
      </c>
      <c r="AP50">
        <f>IF(OR(AN50=ReachLabel,AN50=LongshotLabel,AN50=HailMaryLabel),1,0)</f>
        <v>0</v>
      </c>
      <c r="AQ50">
        <f>IF(OR(AP50=1,AN50=MatchLabel),1,0)</f>
        <v>0</v>
      </c>
      <c r="AR50">
        <f>IF(OR(AN50=MatchLabel,AN50=SafetyLabel,AN50=SecureLabel,AN50=SureThingLabel),1,0)</f>
        <v>0</v>
      </c>
      <c r="AS50">
        <f>IF(OR(W50="H",W50="B",W50="I",W50="M"),IF(ISNUMBER(AB50),ROUND(AB50,2),0),IF(ISNUMBER(AA50),ROUND(AA50,2),0))</f>
        <v>0</v>
      </c>
      <c r="AT50">
        <f>IF(AS50&gt;=X50,1,0)</f>
        <v>0</v>
      </c>
      <c r="AU50">
        <f>IF(AS50&gt;=Y50,1,0)</f>
        <v>0</v>
      </c>
      <c r="AV50">
        <f>IF(AS50&lt;(X50-0.10),1,0)</f>
        <v>0</v>
      </c>
      <c r="AW50">
        <f>1-AM50/100</f>
        <v>0</v>
      </c>
      <c r="AX50">
        <f>IF(AQ50=1,AW50,1)</f>
        <v>0</v>
      </c>
      <c r="AY50">
        <f>IF(AP50=1,AW50,1)</f>
        <v>0</v>
      </c>
      <c r="AZ50">
        <f>IF(AND(AT50=1,ISNUMBER(AW50)),$AW50,1)</f>
        <v>0</v>
      </c>
      <c r="BA50">
        <f>IF(AND(AU50=1,ISNUMBER(AW50)),$AW50,1)</f>
        <v>0</v>
      </c>
      <c r="BB50">
        <f>IF(ISNUMBER(AB50),INDEX(AllCollegeMoney, MATCH(N50,AllCollegeNCES,0)),0)</f>
        <v>0</v>
      </c>
      <c r="BC50">
        <f>IF(AND(AT50=1,ISNUMBER(AW50),BB50=1),$AW50,1)</f>
        <v>0</v>
      </c>
      <c r="BD50">
        <f>IF(AND(AU50=1,ISNUMBER(AW50),BB50=1),$AW50,1)</f>
        <v>0</v>
      </c>
      <c r="BE50">
        <f>IF(ISNUMBER(AB50),INDEX(AllCollegeILPub, MATCH(N50,AllCollegeNCES,0)),0)</f>
        <v>0</v>
      </c>
      <c r="BF50">
        <f>IF(AN50=ReachLabel,AS50,0)</f>
        <v>0</v>
      </c>
      <c r="BG50">
        <f>IF(AN50=MatchLabel,AS50,0)</f>
        <v>0</v>
      </c>
      <c r="BH50">
        <f>IF(AN50=SafetyLabel,AS50,0)</f>
        <v>0</v>
      </c>
      <c r="BI50">
        <f>IF(AN50=SecureLabel,AS50,0)</f>
        <v>0</v>
      </c>
      <c r="BJ50">
        <f>IF(AN50=SureThingLabel,AS50,0)</f>
        <v>0</v>
      </c>
      <c r="BK50">
        <f>MAX(BF50:BJ50)</f>
        <v>0</v>
      </c>
      <c r="BL50">
        <f>MAX(BG50:BJ50)</f>
        <v>0</v>
      </c>
      <c r="BM50">
        <f>MAX(BH50:BJ50)</f>
        <v>0</v>
      </c>
      <c r="BN50">
        <f>IF(AND(AN50=ReachLabel,BB50=1),AS50,0)</f>
        <v>0</v>
      </c>
      <c r="BO50">
        <f>IF(AND(AN50=MatchLabel,BB50=1),AS50,0)</f>
        <v>0</v>
      </c>
      <c r="BP50">
        <f>IF(AND(AN50=SafetyLabel,BB50=1),AS50,0)</f>
        <v>0</v>
      </c>
      <c r="BQ50">
        <f>IF(AND(AN50=SecureLabel,BB50=1),AS50,0)</f>
        <v>0</v>
      </c>
      <c r="BR50">
        <f>IF(AND(AN50=SureThingLabel,BB50=1),AS50,0)</f>
        <v>0</v>
      </c>
      <c r="BS50">
        <f>MAX(BN50:BR50)</f>
        <v>0</v>
      </c>
      <c r="BT50">
        <f>MAX(BO50:BR50)</f>
        <v>0</v>
      </c>
      <c r="BU50">
        <f>MAX(BP50:BR50)</f>
        <v>0</v>
      </c>
      <c r="BV50">
        <f>IF(ISNUMBER(AB50),INDEX(AllCollegeChicago, MATCH(N50,AllCollegeNCES,0))*BB50,0)</f>
        <v>0</v>
      </c>
      <c r="BW50">
        <f>IF(ISNUMBER(AB50),INDEX(AllCollegeMoneyCode, MATCH(N50,AllCollegeNCES,0)),"?")</f>
        <v>0</v>
      </c>
      <c r="BX50">
        <f>IF(OR(BW50="---",BW50="--",BW50="+/--",BW50="+/---"),1,0)</f>
        <v>0</v>
      </c>
      <c r="BY50">
        <f>BB50*AR50*AT50</f>
        <v>0</v>
      </c>
    </row>
    <row r="51" spans="1:77">
      <c r="A51" t="s">
        <v>96</v>
      </c>
      <c r="B51">
        <v>22165076</v>
      </c>
      <c r="C51" t="s">
        <v>200</v>
      </c>
      <c r="D51" t="s">
        <v>201</v>
      </c>
      <c r="E51" t="s">
        <v>446</v>
      </c>
      <c r="F51" t="s">
        <v>493</v>
      </c>
      <c r="G51" t="s">
        <v>448</v>
      </c>
      <c r="H51" t="s">
        <v>449</v>
      </c>
      <c r="I51" t="s">
        <v>450</v>
      </c>
      <c r="J51" t="s">
        <v>450</v>
      </c>
      <c r="K51">
        <v>0</v>
      </c>
      <c r="L51" t="s">
        <v>446</v>
      </c>
      <c r="M51" t="s">
        <v>446</v>
      </c>
      <c r="N51">
        <v>147767</v>
      </c>
      <c r="O51">
        <f>INDEX(Counselor,MATCH(B51,KidIDs,0))</f>
        <v>0</v>
      </c>
      <c r="P51">
        <f>INDEX(Advisors,MATCH(B51,KidIDs,0))</f>
        <v>0</v>
      </c>
      <c r="Q51">
        <f>INDEX(Cohort,MATCH(B51,KidIDs,0))</f>
        <v>0</v>
      </c>
      <c r="R51">
        <f>INDEX(AllCollegeBarrons,MATCH(N51,AllCollegeNCES,0))</f>
        <v>0</v>
      </c>
      <c r="S51">
        <f>INDEX(KidGPAs,MATCH(B51,KidIDs,0))</f>
        <v>0</v>
      </c>
      <c r="T51">
        <f>INDEX(KidSATs,MATCH(B51,KidIDs,0))</f>
        <v>0</v>
      </c>
      <c r="U51">
        <f>INDEX(Strats,MATCH(B51,KidIDs,0))</f>
        <v>0</v>
      </c>
      <c r="V51">
        <f>INDEX(KidRace,MATCH(B51,KidIDs,0))</f>
        <v>0</v>
      </c>
      <c r="W51">
        <f>IF(OR(V51="M",V51="I"),"H",IF(V51="P","A",V51))</f>
        <v>0</v>
      </c>
      <c r="X51">
        <f>INDEX(StudentTargets,MATCH(B51,KidIDs,0))</f>
        <v>0</v>
      </c>
      <c r="Y51">
        <f>INDEX(ReachStudentTargets,MATCH(B51,KidIDs,0))</f>
        <v>0</v>
      </c>
      <c r="Z51">
        <f>IF(OR(M51="Posse"),1,0)</f>
        <v>0</v>
      </c>
      <c r="AA51">
        <f>IF(ISNUMBER(INDEX(AllCollegeGR, MATCH(N51,AllCollegeNCES,0))),ROUND(INDEX(AllCollegeGR, MATCH(N51,AllCollegeNCES,0))+Z51*IF(INDEX(AllCollegeGR, MATCH(N51,AllCollegeNCES,0))&gt;0.7,(1-INDEX(AllCollegeGR, MATCH(N51,AllCollegeNCES,0)))/2,0.15),2),INDEX(AllCollegeGR, MATCH(N51,AllCollegeNCES,0)))</f>
        <v>0</v>
      </c>
      <c r="AB51">
        <f>IF(ISNUMBER(INDEX(AllCollegeAAHGR, MATCH(N51,AllCollegeNCES,0))),ROUND(INDEX(AllCollegeAAHGR, MATCH(N51,AllCollegeNCES,0))+Z51*IF(INDEX(AllCollegeAAHGR, MATCH(N51,AllCollegeNCES,0))&gt;0.7,(1-INDEX(AllCollegeAAHGR, MATCH(N51,AllCollegeNCES,0)))/2,0.15),2),INDEX(AllCollegeAAHGR, MATCH(N51,AllCollegeNCES,0)))</f>
        <v>0</v>
      </c>
      <c r="AC51">
        <f>IF(OR(W51="H",W51="B"),INDEX(AllCollegeSAT25, MATCH(N51,AllCollegeNCES,0)),INDEX(AllCollegeSAT50, MATCH(N51,AllCollegeNCES,0)))</f>
        <v>0</v>
      </c>
      <c r="AD51">
        <f>INDEX(CustomWeightsGPA,MATCH(W51&amp;":"&amp;N51,CustomWeightsIndex,0))</f>
        <v>0</v>
      </c>
      <c r="AE51">
        <f>INDEX(CustomWeightsSAT,MATCH(W51&amp;":"&amp;N51,CustomWeightsIndex,0))</f>
        <v>0</v>
      </c>
      <c r="AF51">
        <f>INDEX(CustomWeightsIntercept,MATCH(W51&amp;":"&amp;N51,CustomWeightsIndex,0))</f>
        <v>0</v>
      </c>
      <c r="AG51">
        <f>AD51*S51+AE51*T51+AF51</f>
        <v>0</v>
      </c>
      <c r="AH51">
        <f>INDEX(CoefficientsGPA,MATCH(W51&amp;":"&amp;R51,CoefficientsIndex,0))</f>
        <v>0</v>
      </c>
      <c r="AI51">
        <f>INDEX(CoefficientsSAT,MATCH(W51&amp;":"&amp;R51,CoefficientsIndex,0))</f>
        <v>0</v>
      </c>
      <c r="AJ51">
        <f>INDEX(CoefficientsIntercept,MATCH(W51&amp;":"&amp;R51,CoefficientsIndex,0))</f>
        <v>0</v>
      </c>
      <c r="AK51">
        <f>AH51*S51+(T51-AC51)*AI51+AJ51</f>
        <v>0</v>
      </c>
      <c r="AL51">
        <f>IF(ISNUMBER(AG51),AG51,AK51)</f>
        <v>0</v>
      </c>
      <c r="AM51">
        <f>IF(ISNUMBER(AL51),IF(ISNUMBER(AH51),IF(AND(AH51=1,AI51=1,AJ51=1),100,MIN(99,ROUND(100*EXP(AL51)/(1+EXP(AL51)),2))),MIN(99,ROUND(100*EXP(AL51)/(1+EXP(AL51)),2))),IF(ISTEXT(R51),IF(LEFT(R51,1)="2",100,"N/A"),"N/A"))</f>
        <v>0</v>
      </c>
      <c r="AN51">
        <f>IF(ISNUMBER(AM51),IF(AM51&gt;=99,IF(OR(U51=10,U51=11),MatchLabel,SureThingLabel),IF(AM51&gt;=95,SecureLabel,IF(AM51&gt;=80,SafetyLabel,IF(AM51&gt;=50,MatchLabel,IF(AM51&gt;=20,ReachLabel,IF(AM51&gt;=10,LongshotLabel,HailMaryLabel)))))),"Other")</f>
        <v>0</v>
      </c>
      <c r="AO51">
        <f>IF(OR(I51="accepted",I51="cond. accept",I51="summer admit"),IF(J51="yes","CHOICE!","Accepted!"),IF(I51="guar. transfer","Guar. Xfer",IF(I51="denied","Denied",IF(K51=1,"Waitlist",IF(L51=1,"Deferred",IF(G51="pending","Pending",IF(OR(G51="initial materials submitted",G51="mid-year submitted",G51="final submitted"),"Submitted",IF(H51="interest","Interest","?"))))))))</f>
        <v>0</v>
      </c>
      <c r="AP51">
        <f>IF(OR(AN51=ReachLabel,AN51=LongshotLabel,AN51=HailMaryLabel),1,0)</f>
        <v>0</v>
      </c>
      <c r="AQ51">
        <f>IF(OR(AP51=1,AN51=MatchLabel),1,0)</f>
        <v>0</v>
      </c>
      <c r="AR51">
        <f>IF(OR(AN51=MatchLabel,AN51=SafetyLabel,AN51=SecureLabel,AN51=SureThingLabel),1,0)</f>
        <v>0</v>
      </c>
      <c r="AS51">
        <f>IF(OR(W51="H",W51="B",W51="I",W51="M"),IF(ISNUMBER(AB51),ROUND(AB51,2),0),IF(ISNUMBER(AA51),ROUND(AA51,2),0))</f>
        <v>0</v>
      </c>
      <c r="AT51">
        <f>IF(AS51&gt;=X51,1,0)</f>
        <v>0</v>
      </c>
      <c r="AU51">
        <f>IF(AS51&gt;=Y51,1,0)</f>
        <v>0</v>
      </c>
      <c r="AV51">
        <f>IF(AS51&lt;(X51-0.10),1,0)</f>
        <v>0</v>
      </c>
      <c r="AW51">
        <f>1-AM51/100</f>
        <v>0</v>
      </c>
      <c r="AX51">
        <f>IF(AQ51=1,AW51,1)</f>
        <v>0</v>
      </c>
      <c r="AY51">
        <f>IF(AP51=1,AW51,1)</f>
        <v>0</v>
      </c>
      <c r="AZ51">
        <f>IF(AND(AT51=1,ISNUMBER(AW51)),$AW51,1)</f>
        <v>0</v>
      </c>
      <c r="BA51">
        <f>IF(AND(AU51=1,ISNUMBER(AW51)),$AW51,1)</f>
        <v>0</v>
      </c>
      <c r="BB51">
        <f>IF(ISNUMBER(AB51),INDEX(AllCollegeMoney, MATCH(N51,AllCollegeNCES,0)),0)</f>
        <v>0</v>
      </c>
      <c r="BC51">
        <f>IF(AND(AT51=1,ISNUMBER(AW51),BB51=1),$AW51,1)</f>
        <v>0</v>
      </c>
      <c r="BD51">
        <f>IF(AND(AU51=1,ISNUMBER(AW51),BB51=1),$AW51,1)</f>
        <v>0</v>
      </c>
      <c r="BE51">
        <f>IF(ISNUMBER(AB51),INDEX(AllCollegeILPub, MATCH(N51,AllCollegeNCES,0)),0)</f>
        <v>0</v>
      </c>
      <c r="BF51">
        <f>IF(AN51=ReachLabel,AS51,0)</f>
        <v>0</v>
      </c>
      <c r="BG51">
        <f>IF(AN51=MatchLabel,AS51,0)</f>
        <v>0</v>
      </c>
      <c r="BH51">
        <f>IF(AN51=SafetyLabel,AS51,0)</f>
        <v>0</v>
      </c>
      <c r="BI51">
        <f>IF(AN51=SecureLabel,AS51,0)</f>
        <v>0</v>
      </c>
      <c r="BJ51">
        <f>IF(AN51=SureThingLabel,AS51,0)</f>
        <v>0</v>
      </c>
      <c r="BK51">
        <f>MAX(BF51:BJ51)</f>
        <v>0</v>
      </c>
      <c r="BL51">
        <f>MAX(BG51:BJ51)</f>
        <v>0</v>
      </c>
      <c r="BM51">
        <f>MAX(BH51:BJ51)</f>
        <v>0</v>
      </c>
      <c r="BN51">
        <f>IF(AND(AN51=ReachLabel,BB51=1),AS51,0)</f>
        <v>0</v>
      </c>
      <c r="BO51">
        <f>IF(AND(AN51=MatchLabel,BB51=1),AS51,0)</f>
        <v>0</v>
      </c>
      <c r="BP51">
        <f>IF(AND(AN51=SafetyLabel,BB51=1),AS51,0)</f>
        <v>0</v>
      </c>
      <c r="BQ51">
        <f>IF(AND(AN51=SecureLabel,BB51=1),AS51,0)</f>
        <v>0</v>
      </c>
      <c r="BR51">
        <f>IF(AND(AN51=SureThingLabel,BB51=1),AS51,0)</f>
        <v>0</v>
      </c>
      <c r="BS51">
        <f>MAX(BN51:BR51)</f>
        <v>0</v>
      </c>
      <c r="BT51">
        <f>MAX(BO51:BR51)</f>
        <v>0</v>
      </c>
      <c r="BU51">
        <f>MAX(BP51:BR51)</f>
        <v>0</v>
      </c>
      <c r="BV51">
        <f>IF(ISNUMBER(AB51),INDEX(AllCollegeChicago, MATCH(N51,AllCollegeNCES,0))*BB51,0)</f>
        <v>0</v>
      </c>
      <c r="BW51">
        <f>IF(ISNUMBER(AB51),INDEX(AllCollegeMoneyCode, MATCH(N51,AllCollegeNCES,0)),"?")</f>
        <v>0</v>
      </c>
      <c r="BX51">
        <f>IF(OR(BW51="---",BW51="--",BW51="+/--",BW51="+/---"),1,0)</f>
        <v>0</v>
      </c>
      <c r="BY51">
        <f>BB51*AR51*AT51</f>
        <v>0</v>
      </c>
    </row>
    <row r="52" spans="1:77">
      <c r="A52" t="s">
        <v>96</v>
      </c>
      <c r="B52">
        <v>22165076</v>
      </c>
      <c r="C52" t="s">
        <v>200</v>
      </c>
      <c r="D52" t="s">
        <v>201</v>
      </c>
      <c r="E52" t="s">
        <v>446</v>
      </c>
      <c r="F52" t="s">
        <v>494</v>
      </c>
      <c r="G52" t="s">
        <v>448</v>
      </c>
      <c r="H52" t="s">
        <v>449</v>
      </c>
      <c r="I52" t="s">
        <v>450</v>
      </c>
      <c r="J52" t="s">
        <v>450</v>
      </c>
      <c r="K52">
        <v>0</v>
      </c>
      <c r="L52" t="s">
        <v>446</v>
      </c>
      <c r="M52" t="s">
        <v>446</v>
      </c>
      <c r="N52">
        <v>144050</v>
      </c>
      <c r="O52">
        <f>INDEX(Counselor,MATCH(B52,KidIDs,0))</f>
        <v>0</v>
      </c>
      <c r="P52">
        <f>INDEX(Advisors,MATCH(B52,KidIDs,0))</f>
        <v>0</v>
      </c>
      <c r="Q52">
        <f>INDEX(Cohort,MATCH(B52,KidIDs,0))</f>
        <v>0</v>
      </c>
      <c r="R52">
        <f>INDEX(AllCollegeBarrons,MATCH(N52,AllCollegeNCES,0))</f>
        <v>0</v>
      </c>
      <c r="S52">
        <f>INDEX(KidGPAs,MATCH(B52,KidIDs,0))</f>
        <v>0</v>
      </c>
      <c r="T52">
        <f>INDEX(KidSATs,MATCH(B52,KidIDs,0))</f>
        <v>0</v>
      </c>
      <c r="U52">
        <f>INDEX(Strats,MATCH(B52,KidIDs,0))</f>
        <v>0</v>
      </c>
      <c r="V52">
        <f>INDEX(KidRace,MATCH(B52,KidIDs,0))</f>
        <v>0</v>
      </c>
      <c r="W52">
        <f>IF(OR(V52="M",V52="I"),"H",IF(V52="P","A",V52))</f>
        <v>0</v>
      </c>
      <c r="X52">
        <f>INDEX(StudentTargets,MATCH(B52,KidIDs,0))</f>
        <v>0</v>
      </c>
      <c r="Y52">
        <f>INDEX(ReachStudentTargets,MATCH(B52,KidIDs,0))</f>
        <v>0</v>
      </c>
      <c r="Z52">
        <f>IF(OR(M52="Posse"),1,0)</f>
        <v>0</v>
      </c>
      <c r="AA52">
        <f>IF(ISNUMBER(INDEX(AllCollegeGR, MATCH(N52,AllCollegeNCES,0))),ROUND(INDEX(AllCollegeGR, MATCH(N52,AllCollegeNCES,0))+Z52*IF(INDEX(AllCollegeGR, MATCH(N52,AllCollegeNCES,0))&gt;0.7,(1-INDEX(AllCollegeGR, MATCH(N52,AllCollegeNCES,0)))/2,0.15),2),INDEX(AllCollegeGR, MATCH(N52,AllCollegeNCES,0)))</f>
        <v>0</v>
      </c>
      <c r="AB52">
        <f>IF(ISNUMBER(INDEX(AllCollegeAAHGR, MATCH(N52,AllCollegeNCES,0))),ROUND(INDEX(AllCollegeAAHGR, MATCH(N52,AllCollegeNCES,0))+Z52*IF(INDEX(AllCollegeAAHGR, MATCH(N52,AllCollegeNCES,0))&gt;0.7,(1-INDEX(AllCollegeAAHGR, MATCH(N52,AllCollegeNCES,0)))/2,0.15),2),INDEX(AllCollegeAAHGR, MATCH(N52,AllCollegeNCES,0)))</f>
        <v>0</v>
      </c>
      <c r="AC52">
        <f>IF(OR(W52="H",W52="B"),INDEX(AllCollegeSAT25, MATCH(N52,AllCollegeNCES,0)),INDEX(AllCollegeSAT50, MATCH(N52,AllCollegeNCES,0)))</f>
        <v>0</v>
      </c>
      <c r="AD52">
        <f>INDEX(CustomWeightsGPA,MATCH(W52&amp;":"&amp;N52,CustomWeightsIndex,0))</f>
        <v>0</v>
      </c>
      <c r="AE52">
        <f>INDEX(CustomWeightsSAT,MATCH(W52&amp;":"&amp;N52,CustomWeightsIndex,0))</f>
        <v>0</v>
      </c>
      <c r="AF52">
        <f>INDEX(CustomWeightsIntercept,MATCH(W52&amp;":"&amp;N52,CustomWeightsIndex,0))</f>
        <v>0</v>
      </c>
      <c r="AG52">
        <f>AD52*S52+AE52*T52+AF52</f>
        <v>0</v>
      </c>
      <c r="AH52">
        <f>INDEX(CoefficientsGPA,MATCH(W52&amp;":"&amp;R52,CoefficientsIndex,0))</f>
        <v>0</v>
      </c>
      <c r="AI52">
        <f>INDEX(CoefficientsSAT,MATCH(W52&amp;":"&amp;R52,CoefficientsIndex,0))</f>
        <v>0</v>
      </c>
      <c r="AJ52">
        <f>INDEX(CoefficientsIntercept,MATCH(W52&amp;":"&amp;R52,CoefficientsIndex,0))</f>
        <v>0</v>
      </c>
      <c r="AK52">
        <f>AH52*S52+(T52-AC52)*AI52+AJ52</f>
        <v>0</v>
      </c>
      <c r="AL52">
        <f>IF(ISNUMBER(AG52),AG52,AK52)</f>
        <v>0</v>
      </c>
      <c r="AM52">
        <f>IF(ISNUMBER(AL52),IF(ISNUMBER(AH52),IF(AND(AH52=1,AI52=1,AJ52=1),100,MIN(99,ROUND(100*EXP(AL52)/(1+EXP(AL52)),2))),MIN(99,ROUND(100*EXP(AL52)/(1+EXP(AL52)),2))),IF(ISTEXT(R52),IF(LEFT(R52,1)="2",100,"N/A"),"N/A"))</f>
        <v>0</v>
      </c>
      <c r="AN52">
        <f>IF(ISNUMBER(AM52),IF(AM52&gt;=99,IF(OR(U52=10,U52=11),MatchLabel,SureThingLabel),IF(AM52&gt;=95,SecureLabel,IF(AM52&gt;=80,SafetyLabel,IF(AM52&gt;=50,MatchLabel,IF(AM52&gt;=20,ReachLabel,IF(AM52&gt;=10,LongshotLabel,HailMaryLabel)))))),"Other")</f>
        <v>0</v>
      </c>
      <c r="AO52">
        <f>IF(OR(I52="accepted",I52="cond. accept",I52="summer admit"),IF(J52="yes","CHOICE!","Accepted!"),IF(I52="guar. transfer","Guar. Xfer",IF(I52="denied","Denied",IF(K52=1,"Waitlist",IF(L52=1,"Deferred",IF(G52="pending","Pending",IF(OR(G52="initial materials submitted",G52="mid-year submitted",G52="final submitted"),"Submitted",IF(H52="interest","Interest","?"))))))))</f>
        <v>0</v>
      </c>
      <c r="AP52">
        <f>IF(OR(AN52=ReachLabel,AN52=LongshotLabel,AN52=HailMaryLabel),1,0)</f>
        <v>0</v>
      </c>
      <c r="AQ52">
        <f>IF(OR(AP52=1,AN52=MatchLabel),1,0)</f>
        <v>0</v>
      </c>
      <c r="AR52">
        <f>IF(OR(AN52=MatchLabel,AN52=SafetyLabel,AN52=SecureLabel,AN52=SureThingLabel),1,0)</f>
        <v>0</v>
      </c>
      <c r="AS52">
        <f>IF(OR(W52="H",W52="B",W52="I",W52="M"),IF(ISNUMBER(AB52),ROUND(AB52,2),0),IF(ISNUMBER(AA52),ROUND(AA52,2),0))</f>
        <v>0</v>
      </c>
      <c r="AT52">
        <f>IF(AS52&gt;=X52,1,0)</f>
        <v>0</v>
      </c>
      <c r="AU52">
        <f>IF(AS52&gt;=Y52,1,0)</f>
        <v>0</v>
      </c>
      <c r="AV52">
        <f>IF(AS52&lt;(X52-0.10),1,0)</f>
        <v>0</v>
      </c>
      <c r="AW52">
        <f>1-AM52/100</f>
        <v>0</v>
      </c>
      <c r="AX52">
        <f>IF(AQ52=1,AW52,1)</f>
        <v>0</v>
      </c>
      <c r="AY52">
        <f>IF(AP52=1,AW52,1)</f>
        <v>0</v>
      </c>
      <c r="AZ52">
        <f>IF(AND(AT52=1,ISNUMBER(AW52)),$AW52,1)</f>
        <v>0</v>
      </c>
      <c r="BA52">
        <f>IF(AND(AU52=1,ISNUMBER(AW52)),$AW52,1)</f>
        <v>0</v>
      </c>
      <c r="BB52">
        <f>IF(ISNUMBER(AB52),INDEX(AllCollegeMoney, MATCH(N52,AllCollegeNCES,0)),0)</f>
        <v>0</v>
      </c>
      <c r="BC52">
        <f>IF(AND(AT52=1,ISNUMBER(AW52),BB52=1),$AW52,1)</f>
        <v>0</v>
      </c>
      <c r="BD52">
        <f>IF(AND(AU52=1,ISNUMBER(AW52),BB52=1),$AW52,1)</f>
        <v>0</v>
      </c>
      <c r="BE52">
        <f>IF(ISNUMBER(AB52),INDEX(AllCollegeILPub, MATCH(N52,AllCollegeNCES,0)),0)</f>
        <v>0</v>
      </c>
      <c r="BF52">
        <f>IF(AN52=ReachLabel,AS52,0)</f>
        <v>0</v>
      </c>
      <c r="BG52">
        <f>IF(AN52=MatchLabel,AS52,0)</f>
        <v>0</v>
      </c>
      <c r="BH52">
        <f>IF(AN52=SafetyLabel,AS52,0)</f>
        <v>0</v>
      </c>
      <c r="BI52">
        <f>IF(AN52=SecureLabel,AS52,0)</f>
        <v>0</v>
      </c>
      <c r="BJ52">
        <f>IF(AN52=SureThingLabel,AS52,0)</f>
        <v>0</v>
      </c>
      <c r="BK52">
        <f>MAX(BF52:BJ52)</f>
        <v>0</v>
      </c>
      <c r="BL52">
        <f>MAX(BG52:BJ52)</f>
        <v>0</v>
      </c>
      <c r="BM52">
        <f>MAX(BH52:BJ52)</f>
        <v>0</v>
      </c>
      <c r="BN52">
        <f>IF(AND(AN52=ReachLabel,BB52=1),AS52,0)</f>
        <v>0</v>
      </c>
      <c r="BO52">
        <f>IF(AND(AN52=MatchLabel,BB52=1),AS52,0)</f>
        <v>0</v>
      </c>
      <c r="BP52">
        <f>IF(AND(AN52=SafetyLabel,BB52=1),AS52,0)</f>
        <v>0</v>
      </c>
      <c r="BQ52">
        <f>IF(AND(AN52=SecureLabel,BB52=1),AS52,0)</f>
        <v>0</v>
      </c>
      <c r="BR52">
        <f>IF(AND(AN52=SureThingLabel,BB52=1),AS52,0)</f>
        <v>0</v>
      </c>
      <c r="BS52">
        <f>MAX(BN52:BR52)</f>
        <v>0</v>
      </c>
      <c r="BT52">
        <f>MAX(BO52:BR52)</f>
        <v>0</v>
      </c>
      <c r="BU52">
        <f>MAX(BP52:BR52)</f>
        <v>0</v>
      </c>
      <c r="BV52">
        <f>IF(ISNUMBER(AB52),INDEX(AllCollegeChicago, MATCH(N52,AllCollegeNCES,0))*BB52,0)</f>
        <v>0</v>
      </c>
      <c r="BW52">
        <f>IF(ISNUMBER(AB52),INDEX(AllCollegeMoneyCode, MATCH(N52,AllCollegeNCES,0)),"?")</f>
        <v>0</v>
      </c>
      <c r="BX52">
        <f>IF(OR(BW52="---",BW52="--",BW52="+/--",BW52="+/---"),1,0)</f>
        <v>0</v>
      </c>
      <c r="BY52">
        <f>BB52*AR52*AT52</f>
        <v>0</v>
      </c>
    </row>
    <row r="53" spans="1:77">
      <c r="A53" t="s">
        <v>96</v>
      </c>
      <c r="B53">
        <v>22165076</v>
      </c>
      <c r="C53" t="s">
        <v>200</v>
      </c>
      <c r="D53" t="s">
        <v>201</v>
      </c>
      <c r="E53" t="s">
        <v>446</v>
      </c>
      <c r="F53" t="s">
        <v>495</v>
      </c>
      <c r="G53" t="s">
        <v>448</v>
      </c>
      <c r="H53" t="s">
        <v>449</v>
      </c>
      <c r="I53" t="s">
        <v>450</v>
      </c>
      <c r="J53" t="s">
        <v>450</v>
      </c>
      <c r="K53">
        <v>0</v>
      </c>
      <c r="L53" t="s">
        <v>446</v>
      </c>
      <c r="M53" t="s">
        <v>446</v>
      </c>
      <c r="N53">
        <v>190099</v>
      </c>
      <c r="O53">
        <f>INDEX(Counselor,MATCH(B53,KidIDs,0))</f>
        <v>0</v>
      </c>
      <c r="P53">
        <f>INDEX(Advisors,MATCH(B53,KidIDs,0))</f>
        <v>0</v>
      </c>
      <c r="Q53">
        <f>INDEX(Cohort,MATCH(B53,KidIDs,0))</f>
        <v>0</v>
      </c>
      <c r="R53">
        <f>INDEX(AllCollegeBarrons,MATCH(N53,AllCollegeNCES,0))</f>
        <v>0</v>
      </c>
      <c r="S53">
        <f>INDEX(KidGPAs,MATCH(B53,KidIDs,0))</f>
        <v>0</v>
      </c>
      <c r="T53">
        <f>INDEX(KidSATs,MATCH(B53,KidIDs,0))</f>
        <v>0</v>
      </c>
      <c r="U53">
        <f>INDEX(Strats,MATCH(B53,KidIDs,0))</f>
        <v>0</v>
      </c>
      <c r="V53">
        <f>INDEX(KidRace,MATCH(B53,KidIDs,0))</f>
        <v>0</v>
      </c>
      <c r="W53">
        <f>IF(OR(V53="M",V53="I"),"H",IF(V53="P","A",V53))</f>
        <v>0</v>
      </c>
      <c r="X53">
        <f>INDEX(StudentTargets,MATCH(B53,KidIDs,0))</f>
        <v>0</v>
      </c>
      <c r="Y53">
        <f>INDEX(ReachStudentTargets,MATCH(B53,KidIDs,0))</f>
        <v>0</v>
      </c>
      <c r="Z53">
        <f>IF(OR(M53="Posse"),1,0)</f>
        <v>0</v>
      </c>
      <c r="AA53">
        <f>IF(ISNUMBER(INDEX(AllCollegeGR, MATCH(N53,AllCollegeNCES,0))),ROUND(INDEX(AllCollegeGR, MATCH(N53,AllCollegeNCES,0))+Z53*IF(INDEX(AllCollegeGR, MATCH(N53,AllCollegeNCES,0))&gt;0.7,(1-INDEX(AllCollegeGR, MATCH(N53,AllCollegeNCES,0)))/2,0.15),2),INDEX(AllCollegeGR, MATCH(N53,AllCollegeNCES,0)))</f>
        <v>0</v>
      </c>
      <c r="AB53">
        <f>IF(ISNUMBER(INDEX(AllCollegeAAHGR, MATCH(N53,AllCollegeNCES,0))),ROUND(INDEX(AllCollegeAAHGR, MATCH(N53,AllCollegeNCES,0))+Z53*IF(INDEX(AllCollegeAAHGR, MATCH(N53,AllCollegeNCES,0))&gt;0.7,(1-INDEX(AllCollegeAAHGR, MATCH(N53,AllCollegeNCES,0)))/2,0.15),2),INDEX(AllCollegeAAHGR, MATCH(N53,AllCollegeNCES,0)))</f>
        <v>0</v>
      </c>
      <c r="AC53">
        <f>IF(OR(W53="H",W53="B"),INDEX(AllCollegeSAT25, MATCH(N53,AllCollegeNCES,0)),INDEX(AllCollegeSAT50, MATCH(N53,AllCollegeNCES,0)))</f>
        <v>0</v>
      </c>
      <c r="AD53">
        <f>INDEX(CustomWeightsGPA,MATCH(W53&amp;":"&amp;N53,CustomWeightsIndex,0))</f>
        <v>0</v>
      </c>
      <c r="AE53">
        <f>INDEX(CustomWeightsSAT,MATCH(W53&amp;":"&amp;N53,CustomWeightsIndex,0))</f>
        <v>0</v>
      </c>
      <c r="AF53">
        <f>INDEX(CustomWeightsIntercept,MATCH(W53&amp;":"&amp;N53,CustomWeightsIndex,0))</f>
        <v>0</v>
      </c>
      <c r="AG53">
        <f>AD53*S53+AE53*T53+AF53</f>
        <v>0</v>
      </c>
      <c r="AH53">
        <f>INDEX(CoefficientsGPA,MATCH(W53&amp;":"&amp;R53,CoefficientsIndex,0))</f>
        <v>0</v>
      </c>
      <c r="AI53">
        <f>INDEX(CoefficientsSAT,MATCH(W53&amp;":"&amp;R53,CoefficientsIndex,0))</f>
        <v>0</v>
      </c>
      <c r="AJ53">
        <f>INDEX(CoefficientsIntercept,MATCH(W53&amp;":"&amp;R53,CoefficientsIndex,0))</f>
        <v>0</v>
      </c>
      <c r="AK53">
        <f>AH53*S53+(T53-AC53)*AI53+AJ53</f>
        <v>0</v>
      </c>
      <c r="AL53">
        <f>IF(ISNUMBER(AG53),AG53,AK53)</f>
        <v>0</v>
      </c>
      <c r="AM53">
        <f>IF(ISNUMBER(AL53),IF(ISNUMBER(AH53),IF(AND(AH53=1,AI53=1,AJ53=1),100,MIN(99,ROUND(100*EXP(AL53)/(1+EXP(AL53)),2))),MIN(99,ROUND(100*EXP(AL53)/(1+EXP(AL53)),2))),IF(ISTEXT(R53),IF(LEFT(R53,1)="2",100,"N/A"),"N/A"))</f>
        <v>0</v>
      </c>
      <c r="AN53">
        <f>IF(ISNUMBER(AM53),IF(AM53&gt;=99,IF(OR(U53=10,U53=11),MatchLabel,SureThingLabel),IF(AM53&gt;=95,SecureLabel,IF(AM53&gt;=80,SafetyLabel,IF(AM53&gt;=50,MatchLabel,IF(AM53&gt;=20,ReachLabel,IF(AM53&gt;=10,LongshotLabel,HailMaryLabel)))))),"Other")</f>
        <v>0</v>
      </c>
      <c r="AO53">
        <f>IF(OR(I53="accepted",I53="cond. accept",I53="summer admit"),IF(J53="yes","CHOICE!","Accepted!"),IF(I53="guar. transfer","Guar. Xfer",IF(I53="denied","Denied",IF(K53=1,"Waitlist",IF(L53=1,"Deferred",IF(G53="pending","Pending",IF(OR(G53="initial materials submitted",G53="mid-year submitted",G53="final submitted"),"Submitted",IF(H53="interest","Interest","?"))))))))</f>
        <v>0</v>
      </c>
      <c r="AP53">
        <f>IF(OR(AN53=ReachLabel,AN53=LongshotLabel,AN53=HailMaryLabel),1,0)</f>
        <v>0</v>
      </c>
      <c r="AQ53">
        <f>IF(OR(AP53=1,AN53=MatchLabel),1,0)</f>
        <v>0</v>
      </c>
      <c r="AR53">
        <f>IF(OR(AN53=MatchLabel,AN53=SafetyLabel,AN53=SecureLabel,AN53=SureThingLabel),1,0)</f>
        <v>0</v>
      </c>
      <c r="AS53">
        <f>IF(OR(W53="H",W53="B",W53="I",W53="M"),IF(ISNUMBER(AB53),ROUND(AB53,2),0),IF(ISNUMBER(AA53),ROUND(AA53,2),0))</f>
        <v>0</v>
      </c>
      <c r="AT53">
        <f>IF(AS53&gt;=X53,1,0)</f>
        <v>0</v>
      </c>
      <c r="AU53">
        <f>IF(AS53&gt;=Y53,1,0)</f>
        <v>0</v>
      </c>
      <c r="AV53">
        <f>IF(AS53&lt;(X53-0.10),1,0)</f>
        <v>0</v>
      </c>
      <c r="AW53">
        <f>1-AM53/100</f>
        <v>0</v>
      </c>
      <c r="AX53">
        <f>IF(AQ53=1,AW53,1)</f>
        <v>0</v>
      </c>
      <c r="AY53">
        <f>IF(AP53=1,AW53,1)</f>
        <v>0</v>
      </c>
      <c r="AZ53">
        <f>IF(AND(AT53=1,ISNUMBER(AW53)),$AW53,1)</f>
        <v>0</v>
      </c>
      <c r="BA53">
        <f>IF(AND(AU53=1,ISNUMBER(AW53)),$AW53,1)</f>
        <v>0</v>
      </c>
      <c r="BB53">
        <f>IF(ISNUMBER(AB53),INDEX(AllCollegeMoney, MATCH(N53,AllCollegeNCES,0)),0)</f>
        <v>0</v>
      </c>
      <c r="BC53">
        <f>IF(AND(AT53=1,ISNUMBER(AW53),BB53=1),$AW53,1)</f>
        <v>0</v>
      </c>
      <c r="BD53">
        <f>IF(AND(AU53=1,ISNUMBER(AW53),BB53=1),$AW53,1)</f>
        <v>0</v>
      </c>
      <c r="BE53">
        <f>IF(ISNUMBER(AB53),INDEX(AllCollegeILPub, MATCH(N53,AllCollegeNCES,0)),0)</f>
        <v>0</v>
      </c>
      <c r="BF53">
        <f>IF(AN53=ReachLabel,AS53,0)</f>
        <v>0</v>
      </c>
      <c r="BG53">
        <f>IF(AN53=MatchLabel,AS53,0)</f>
        <v>0</v>
      </c>
      <c r="BH53">
        <f>IF(AN53=SafetyLabel,AS53,0)</f>
        <v>0</v>
      </c>
      <c r="BI53">
        <f>IF(AN53=SecureLabel,AS53,0)</f>
        <v>0</v>
      </c>
      <c r="BJ53">
        <f>IF(AN53=SureThingLabel,AS53,0)</f>
        <v>0</v>
      </c>
      <c r="BK53">
        <f>MAX(BF53:BJ53)</f>
        <v>0</v>
      </c>
      <c r="BL53">
        <f>MAX(BG53:BJ53)</f>
        <v>0</v>
      </c>
      <c r="BM53">
        <f>MAX(BH53:BJ53)</f>
        <v>0</v>
      </c>
      <c r="BN53">
        <f>IF(AND(AN53=ReachLabel,BB53=1),AS53,0)</f>
        <v>0</v>
      </c>
      <c r="BO53">
        <f>IF(AND(AN53=MatchLabel,BB53=1),AS53,0)</f>
        <v>0</v>
      </c>
      <c r="BP53">
        <f>IF(AND(AN53=SafetyLabel,BB53=1),AS53,0)</f>
        <v>0</v>
      </c>
      <c r="BQ53">
        <f>IF(AND(AN53=SecureLabel,BB53=1),AS53,0)</f>
        <v>0</v>
      </c>
      <c r="BR53">
        <f>IF(AND(AN53=SureThingLabel,BB53=1),AS53,0)</f>
        <v>0</v>
      </c>
      <c r="BS53">
        <f>MAX(BN53:BR53)</f>
        <v>0</v>
      </c>
      <c r="BT53">
        <f>MAX(BO53:BR53)</f>
        <v>0</v>
      </c>
      <c r="BU53">
        <f>MAX(BP53:BR53)</f>
        <v>0</v>
      </c>
      <c r="BV53">
        <f>IF(ISNUMBER(AB53),INDEX(AllCollegeChicago, MATCH(N53,AllCollegeNCES,0))*BB53,0)</f>
        <v>0</v>
      </c>
      <c r="BW53">
        <f>IF(ISNUMBER(AB53),INDEX(AllCollegeMoneyCode, MATCH(N53,AllCollegeNCES,0)),"?")</f>
        <v>0</v>
      </c>
      <c r="BX53">
        <f>IF(OR(BW53="---",BW53="--",BW53="+/--",BW53="+/---"),1,0)</f>
        <v>0</v>
      </c>
      <c r="BY53">
        <f>BB53*AR53*AT53</f>
        <v>0</v>
      </c>
    </row>
    <row r="54" spans="1:77">
      <c r="A54" t="s">
        <v>96</v>
      </c>
      <c r="B54">
        <v>22165076</v>
      </c>
      <c r="C54" t="s">
        <v>200</v>
      </c>
      <c r="D54" t="s">
        <v>201</v>
      </c>
      <c r="E54" t="s">
        <v>446</v>
      </c>
      <c r="F54" t="s">
        <v>496</v>
      </c>
      <c r="G54" t="s">
        <v>448</v>
      </c>
      <c r="H54" t="s">
        <v>449</v>
      </c>
      <c r="I54" t="s">
        <v>450</v>
      </c>
      <c r="J54" t="s">
        <v>450</v>
      </c>
      <c r="K54">
        <v>0</v>
      </c>
      <c r="L54" t="s">
        <v>446</v>
      </c>
      <c r="M54" t="s">
        <v>446</v>
      </c>
      <c r="N54">
        <v>221999</v>
      </c>
      <c r="O54">
        <f>INDEX(Counselor,MATCH(B54,KidIDs,0))</f>
        <v>0</v>
      </c>
      <c r="P54">
        <f>INDEX(Advisors,MATCH(B54,KidIDs,0))</f>
        <v>0</v>
      </c>
      <c r="Q54">
        <f>INDEX(Cohort,MATCH(B54,KidIDs,0))</f>
        <v>0</v>
      </c>
      <c r="R54">
        <f>INDEX(AllCollegeBarrons,MATCH(N54,AllCollegeNCES,0))</f>
        <v>0</v>
      </c>
      <c r="S54">
        <f>INDEX(KidGPAs,MATCH(B54,KidIDs,0))</f>
        <v>0</v>
      </c>
      <c r="T54">
        <f>INDEX(KidSATs,MATCH(B54,KidIDs,0))</f>
        <v>0</v>
      </c>
      <c r="U54">
        <f>INDEX(Strats,MATCH(B54,KidIDs,0))</f>
        <v>0</v>
      </c>
      <c r="V54">
        <f>INDEX(KidRace,MATCH(B54,KidIDs,0))</f>
        <v>0</v>
      </c>
      <c r="W54">
        <f>IF(OR(V54="M",V54="I"),"H",IF(V54="P","A",V54))</f>
        <v>0</v>
      </c>
      <c r="X54">
        <f>INDEX(StudentTargets,MATCH(B54,KidIDs,0))</f>
        <v>0</v>
      </c>
      <c r="Y54">
        <f>INDEX(ReachStudentTargets,MATCH(B54,KidIDs,0))</f>
        <v>0</v>
      </c>
      <c r="Z54">
        <f>IF(OR(M54="Posse"),1,0)</f>
        <v>0</v>
      </c>
      <c r="AA54">
        <f>IF(ISNUMBER(INDEX(AllCollegeGR, MATCH(N54,AllCollegeNCES,0))),ROUND(INDEX(AllCollegeGR, MATCH(N54,AllCollegeNCES,0))+Z54*IF(INDEX(AllCollegeGR, MATCH(N54,AllCollegeNCES,0))&gt;0.7,(1-INDEX(AllCollegeGR, MATCH(N54,AllCollegeNCES,0)))/2,0.15),2),INDEX(AllCollegeGR, MATCH(N54,AllCollegeNCES,0)))</f>
        <v>0</v>
      </c>
      <c r="AB54">
        <f>IF(ISNUMBER(INDEX(AllCollegeAAHGR, MATCH(N54,AllCollegeNCES,0))),ROUND(INDEX(AllCollegeAAHGR, MATCH(N54,AllCollegeNCES,0))+Z54*IF(INDEX(AllCollegeAAHGR, MATCH(N54,AllCollegeNCES,0))&gt;0.7,(1-INDEX(AllCollegeAAHGR, MATCH(N54,AllCollegeNCES,0)))/2,0.15),2),INDEX(AllCollegeAAHGR, MATCH(N54,AllCollegeNCES,0)))</f>
        <v>0</v>
      </c>
      <c r="AC54">
        <f>IF(OR(W54="H",W54="B"),INDEX(AllCollegeSAT25, MATCH(N54,AllCollegeNCES,0)),INDEX(AllCollegeSAT50, MATCH(N54,AllCollegeNCES,0)))</f>
        <v>0</v>
      </c>
      <c r="AD54">
        <f>INDEX(CustomWeightsGPA,MATCH(W54&amp;":"&amp;N54,CustomWeightsIndex,0))</f>
        <v>0</v>
      </c>
      <c r="AE54">
        <f>INDEX(CustomWeightsSAT,MATCH(W54&amp;":"&amp;N54,CustomWeightsIndex,0))</f>
        <v>0</v>
      </c>
      <c r="AF54">
        <f>INDEX(CustomWeightsIntercept,MATCH(W54&amp;":"&amp;N54,CustomWeightsIndex,0))</f>
        <v>0</v>
      </c>
      <c r="AG54">
        <f>AD54*S54+AE54*T54+AF54</f>
        <v>0</v>
      </c>
      <c r="AH54">
        <f>INDEX(CoefficientsGPA,MATCH(W54&amp;":"&amp;R54,CoefficientsIndex,0))</f>
        <v>0</v>
      </c>
      <c r="AI54">
        <f>INDEX(CoefficientsSAT,MATCH(W54&amp;":"&amp;R54,CoefficientsIndex,0))</f>
        <v>0</v>
      </c>
      <c r="AJ54">
        <f>INDEX(CoefficientsIntercept,MATCH(W54&amp;":"&amp;R54,CoefficientsIndex,0))</f>
        <v>0</v>
      </c>
      <c r="AK54">
        <f>AH54*S54+(T54-AC54)*AI54+AJ54</f>
        <v>0</v>
      </c>
      <c r="AL54">
        <f>IF(ISNUMBER(AG54),AG54,AK54)</f>
        <v>0</v>
      </c>
      <c r="AM54">
        <f>IF(ISNUMBER(AL54),IF(ISNUMBER(AH54),IF(AND(AH54=1,AI54=1,AJ54=1),100,MIN(99,ROUND(100*EXP(AL54)/(1+EXP(AL54)),2))),MIN(99,ROUND(100*EXP(AL54)/(1+EXP(AL54)),2))),IF(ISTEXT(R54),IF(LEFT(R54,1)="2",100,"N/A"),"N/A"))</f>
        <v>0</v>
      </c>
      <c r="AN54">
        <f>IF(ISNUMBER(AM54),IF(AM54&gt;=99,IF(OR(U54=10,U54=11),MatchLabel,SureThingLabel),IF(AM54&gt;=95,SecureLabel,IF(AM54&gt;=80,SafetyLabel,IF(AM54&gt;=50,MatchLabel,IF(AM54&gt;=20,ReachLabel,IF(AM54&gt;=10,LongshotLabel,HailMaryLabel)))))),"Other")</f>
        <v>0</v>
      </c>
      <c r="AO54">
        <f>IF(OR(I54="accepted",I54="cond. accept",I54="summer admit"),IF(J54="yes","CHOICE!","Accepted!"),IF(I54="guar. transfer","Guar. Xfer",IF(I54="denied","Denied",IF(K54=1,"Waitlist",IF(L54=1,"Deferred",IF(G54="pending","Pending",IF(OR(G54="initial materials submitted",G54="mid-year submitted",G54="final submitted"),"Submitted",IF(H54="interest","Interest","?"))))))))</f>
        <v>0</v>
      </c>
      <c r="AP54">
        <f>IF(OR(AN54=ReachLabel,AN54=LongshotLabel,AN54=HailMaryLabel),1,0)</f>
        <v>0</v>
      </c>
      <c r="AQ54">
        <f>IF(OR(AP54=1,AN54=MatchLabel),1,0)</f>
        <v>0</v>
      </c>
      <c r="AR54">
        <f>IF(OR(AN54=MatchLabel,AN54=SafetyLabel,AN54=SecureLabel,AN54=SureThingLabel),1,0)</f>
        <v>0</v>
      </c>
      <c r="AS54">
        <f>IF(OR(W54="H",W54="B",W54="I",W54="M"),IF(ISNUMBER(AB54),ROUND(AB54,2),0),IF(ISNUMBER(AA54),ROUND(AA54,2),0))</f>
        <v>0</v>
      </c>
      <c r="AT54">
        <f>IF(AS54&gt;=X54,1,0)</f>
        <v>0</v>
      </c>
      <c r="AU54">
        <f>IF(AS54&gt;=Y54,1,0)</f>
        <v>0</v>
      </c>
      <c r="AV54">
        <f>IF(AS54&lt;(X54-0.10),1,0)</f>
        <v>0</v>
      </c>
      <c r="AW54">
        <f>1-AM54/100</f>
        <v>0</v>
      </c>
      <c r="AX54">
        <f>IF(AQ54=1,AW54,1)</f>
        <v>0</v>
      </c>
      <c r="AY54">
        <f>IF(AP54=1,AW54,1)</f>
        <v>0</v>
      </c>
      <c r="AZ54">
        <f>IF(AND(AT54=1,ISNUMBER(AW54)),$AW54,1)</f>
        <v>0</v>
      </c>
      <c r="BA54">
        <f>IF(AND(AU54=1,ISNUMBER(AW54)),$AW54,1)</f>
        <v>0</v>
      </c>
      <c r="BB54">
        <f>IF(ISNUMBER(AB54),INDEX(AllCollegeMoney, MATCH(N54,AllCollegeNCES,0)),0)</f>
        <v>0</v>
      </c>
      <c r="BC54">
        <f>IF(AND(AT54=1,ISNUMBER(AW54),BB54=1),$AW54,1)</f>
        <v>0</v>
      </c>
      <c r="BD54">
        <f>IF(AND(AU54=1,ISNUMBER(AW54),BB54=1),$AW54,1)</f>
        <v>0</v>
      </c>
      <c r="BE54">
        <f>IF(ISNUMBER(AB54),INDEX(AllCollegeILPub, MATCH(N54,AllCollegeNCES,0)),0)</f>
        <v>0</v>
      </c>
      <c r="BF54">
        <f>IF(AN54=ReachLabel,AS54,0)</f>
        <v>0</v>
      </c>
      <c r="BG54">
        <f>IF(AN54=MatchLabel,AS54,0)</f>
        <v>0</v>
      </c>
      <c r="BH54">
        <f>IF(AN54=SafetyLabel,AS54,0)</f>
        <v>0</v>
      </c>
      <c r="BI54">
        <f>IF(AN54=SecureLabel,AS54,0)</f>
        <v>0</v>
      </c>
      <c r="BJ54">
        <f>IF(AN54=SureThingLabel,AS54,0)</f>
        <v>0</v>
      </c>
      <c r="BK54">
        <f>MAX(BF54:BJ54)</f>
        <v>0</v>
      </c>
      <c r="BL54">
        <f>MAX(BG54:BJ54)</f>
        <v>0</v>
      </c>
      <c r="BM54">
        <f>MAX(BH54:BJ54)</f>
        <v>0</v>
      </c>
      <c r="BN54">
        <f>IF(AND(AN54=ReachLabel,BB54=1),AS54,0)</f>
        <v>0</v>
      </c>
      <c r="BO54">
        <f>IF(AND(AN54=MatchLabel,BB54=1),AS54,0)</f>
        <v>0</v>
      </c>
      <c r="BP54">
        <f>IF(AND(AN54=SafetyLabel,BB54=1),AS54,0)</f>
        <v>0</v>
      </c>
      <c r="BQ54">
        <f>IF(AND(AN54=SecureLabel,BB54=1),AS54,0)</f>
        <v>0</v>
      </c>
      <c r="BR54">
        <f>IF(AND(AN54=SureThingLabel,BB54=1),AS54,0)</f>
        <v>0</v>
      </c>
      <c r="BS54">
        <f>MAX(BN54:BR54)</f>
        <v>0</v>
      </c>
      <c r="BT54">
        <f>MAX(BO54:BR54)</f>
        <v>0</v>
      </c>
      <c r="BU54">
        <f>MAX(BP54:BR54)</f>
        <v>0</v>
      </c>
      <c r="BV54">
        <f>IF(ISNUMBER(AB54),INDEX(AllCollegeChicago, MATCH(N54,AllCollegeNCES,0))*BB54,0)</f>
        <v>0</v>
      </c>
      <c r="BW54">
        <f>IF(ISNUMBER(AB54),INDEX(AllCollegeMoneyCode, MATCH(N54,AllCollegeNCES,0)),"?")</f>
        <v>0</v>
      </c>
      <c r="BX54">
        <f>IF(OR(BW54="---",BW54="--",BW54="+/--",BW54="+/---"),1,0)</f>
        <v>0</v>
      </c>
      <c r="BY54">
        <f>BB54*AR54*AT54</f>
        <v>0</v>
      </c>
    </row>
    <row r="55" spans="1:77">
      <c r="A55" t="s">
        <v>96</v>
      </c>
      <c r="B55">
        <v>22165076</v>
      </c>
      <c r="C55" t="s">
        <v>200</v>
      </c>
      <c r="D55" t="s">
        <v>201</v>
      </c>
      <c r="E55" t="s">
        <v>446</v>
      </c>
      <c r="F55" t="s">
        <v>497</v>
      </c>
      <c r="G55" t="s">
        <v>448</v>
      </c>
      <c r="H55" t="s">
        <v>449</v>
      </c>
      <c r="I55" t="s">
        <v>450</v>
      </c>
      <c r="J55" t="s">
        <v>450</v>
      </c>
      <c r="K55">
        <v>0</v>
      </c>
      <c r="L55" t="s">
        <v>446</v>
      </c>
      <c r="M55" t="s">
        <v>446</v>
      </c>
      <c r="N55">
        <v>216287</v>
      </c>
      <c r="O55">
        <f>INDEX(Counselor,MATCH(B55,KidIDs,0))</f>
        <v>0</v>
      </c>
      <c r="P55">
        <f>INDEX(Advisors,MATCH(B55,KidIDs,0))</f>
        <v>0</v>
      </c>
      <c r="Q55">
        <f>INDEX(Cohort,MATCH(B55,KidIDs,0))</f>
        <v>0</v>
      </c>
      <c r="R55">
        <f>INDEX(AllCollegeBarrons,MATCH(N55,AllCollegeNCES,0))</f>
        <v>0</v>
      </c>
      <c r="S55">
        <f>INDEX(KidGPAs,MATCH(B55,KidIDs,0))</f>
        <v>0</v>
      </c>
      <c r="T55">
        <f>INDEX(KidSATs,MATCH(B55,KidIDs,0))</f>
        <v>0</v>
      </c>
      <c r="U55">
        <f>INDEX(Strats,MATCH(B55,KidIDs,0))</f>
        <v>0</v>
      </c>
      <c r="V55">
        <f>INDEX(KidRace,MATCH(B55,KidIDs,0))</f>
        <v>0</v>
      </c>
      <c r="W55">
        <f>IF(OR(V55="M",V55="I"),"H",IF(V55="P","A",V55))</f>
        <v>0</v>
      </c>
      <c r="X55">
        <f>INDEX(StudentTargets,MATCH(B55,KidIDs,0))</f>
        <v>0</v>
      </c>
      <c r="Y55">
        <f>INDEX(ReachStudentTargets,MATCH(B55,KidIDs,0))</f>
        <v>0</v>
      </c>
      <c r="Z55">
        <f>IF(OR(M55="Posse"),1,0)</f>
        <v>0</v>
      </c>
      <c r="AA55">
        <f>IF(ISNUMBER(INDEX(AllCollegeGR, MATCH(N55,AllCollegeNCES,0))),ROUND(INDEX(AllCollegeGR, MATCH(N55,AllCollegeNCES,0))+Z55*IF(INDEX(AllCollegeGR, MATCH(N55,AllCollegeNCES,0))&gt;0.7,(1-INDEX(AllCollegeGR, MATCH(N55,AllCollegeNCES,0)))/2,0.15),2),INDEX(AllCollegeGR, MATCH(N55,AllCollegeNCES,0)))</f>
        <v>0</v>
      </c>
      <c r="AB55">
        <f>IF(ISNUMBER(INDEX(AllCollegeAAHGR, MATCH(N55,AllCollegeNCES,0))),ROUND(INDEX(AllCollegeAAHGR, MATCH(N55,AllCollegeNCES,0))+Z55*IF(INDEX(AllCollegeAAHGR, MATCH(N55,AllCollegeNCES,0))&gt;0.7,(1-INDEX(AllCollegeAAHGR, MATCH(N55,AllCollegeNCES,0)))/2,0.15),2),INDEX(AllCollegeAAHGR, MATCH(N55,AllCollegeNCES,0)))</f>
        <v>0</v>
      </c>
      <c r="AC55">
        <f>IF(OR(W55="H",W55="B"),INDEX(AllCollegeSAT25, MATCH(N55,AllCollegeNCES,0)),INDEX(AllCollegeSAT50, MATCH(N55,AllCollegeNCES,0)))</f>
        <v>0</v>
      </c>
      <c r="AD55">
        <f>INDEX(CustomWeightsGPA,MATCH(W55&amp;":"&amp;N55,CustomWeightsIndex,0))</f>
        <v>0</v>
      </c>
      <c r="AE55">
        <f>INDEX(CustomWeightsSAT,MATCH(W55&amp;":"&amp;N55,CustomWeightsIndex,0))</f>
        <v>0</v>
      </c>
      <c r="AF55">
        <f>INDEX(CustomWeightsIntercept,MATCH(W55&amp;":"&amp;N55,CustomWeightsIndex,0))</f>
        <v>0</v>
      </c>
      <c r="AG55">
        <f>AD55*S55+AE55*T55+AF55</f>
        <v>0</v>
      </c>
      <c r="AH55">
        <f>INDEX(CoefficientsGPA,MATCH(W55&amp;":"&amp;R55,CoefficientsIndex,0))</f>
        <v>0</v>
      </c>
      <c r="AI55">
        <f>INDEX(CoefficientsSAT,MATCH(W55&amp;":"&amp;R55,CoefficientsIndex,0))</f>
        <v>0</v>
      </c>
      <c r="AJ55">
        <f>INDEX(CoefficientsIntercept,MATCH(W55&amp;":"&amp;R55,CoefficientsIndex,0))</f>
        <v>0</v>
      </c>
      <c r="AK55">
        <f>AH55*S55+(T55-AC55)*AI55+AJ55</f>
        <v>0</v>
      </c>
      <c r="AL55">
        <f>IF(ISNUMBER(AG55),AG55,AK55)</f>
        <v>0</v>
      </c>
      <c r="AM55">
        <f>IF(ISNUMBER(AL55),IF(ISNUMBER(AH55),IF(AND(AH55=1,AI55=1,AJ55=1),100,MIN(99,ROUND(100*EXP(AL55)/(1+EXP(AL55)),2))),MIN(99,ROUND(100*EXP(AL55)/(1+EXP(AL55)),2))),IF(ISTEXT(R55),IF(LEFT(R55,1)="2",100,"N/A"),"N/A"))</f>
        <v>0</v>
      </c>
      <c r="AN55">
        <f>IF(ISNUMBER(AM55),IF(AM55&gt;=99,IF(OR(U55=10,U55=11),MatchLabel,SureThingLabel),IF(AM55&gt;=95,SecureLabel,IF(AM55&gt;=80,SafetyLabel,IF(AM55&gt;=50,MatchLabel,IF(AM55&gt;=20,ReachLabel,IF(AM55&gt;=10,LongshotLabel,HailMaryLabel)))))),"Other")</f>
        <v>0</v>
      </c>
      <c r="AO55">
        <f>IF(OR(I55="accepted",I55="cond. accept",I55="summer admit"),IF(J55="yes","CHOICE!","Accepted!"),IF(I55="guar. transfer","Guar. Xfer",IF(I55="denied","Denied",IF(K55=1,"Waitlist",IF(L55=1,"Deferred",IF(G55="pending","Pending",IF(OR(G55="initial materials submitted",G55="mid-year submitted",G55="final submitted"),"Submitted",IF(H55="interest","Interest","?"))))))))</f>
        <v>0</v>
      </c>
      <c r="AP55">
        <f>IF(OR(AN55=ReachLabel,AN55=LongshotLabel,AN55=HailMaryLabel),1,0)</f>
        <v>0</v>
      </c>
      <c r="AQ55">
        <f>IF(OR(AP55=1,AN55=MatchLabel),1,0)</f>
        <v>0</v>
      </c>
      <c r="AR55">
        <f>IF(OR(AN55=MatchLabel,AN55=SafetyLabel,AN55=SecureLabel,AN55=SureThingLabel),1,0)</f>
        <v>0</v>
      </c>
      <c r="AS55">
        <f>IF(OR(W55="H",W55="B",W55="I",W55="M"),IF(ISNUMBER(AB55),ROUND(AB55,2),0),IF(ISNUMBER(AA55),ROUND(AA55,2),0))</f>
        <v>0</v>
      </c>
      <c r="AT55">
        <f>IF(AS55&gt;=X55,1,0)</f>
        <v>0</v>
      </c>
      <c r="AU55">
        <f>IF(AS55&gt;=Y55,1,0)</f>
        <v>0</v>
      </c>
      <c r="AV55">
        <f>IF(AS55&lt;(X55-0.10),1,0)</f>
        <v>0</v>
      </c>
      <c r="AW55">
        <f>1-AM55/100</f>
        <v>0</v>
      </c>
      <c r="AX55">
        <f>IF(AQ55=1,AW55,1)</f>
        <v>0</v>
      </c>
      <c r="AY55">
        <f>IF(AP55=1,AW55,1)</f>
        <v>0</v>
      </c>
      <c r="AZ55">
        <f>IF(AND(AT55=1,ISNUMBER(AW55)),$AW55,1)</f>
        <v>0</v>
      </c>
      <c r="BA55">
        <f>IF(AND(AU55=1,ISNUMBER(AW55)),$AW55,1)</f>
        <v>0</v>
      </c>
      <c r="BB55">
        <f>IF(ISNUMBER(AB55),INDEX(AllCollegeMoney, MATCH(N55,AllCollegeNCES,0)),0)</f>
        <v>0</v>
      </c>
      <c r="BC55">
        <f>IF(AND(AT55=1,ISNUMBER(AW55),BB55=1),$AW55,1)</f>
        <v>0</v>
      </c>
      <c r="BD55">
        <f>IF(AND(AU55=1,ISNUMBER(AW55),BB55=1),$AW55,1)</f>
        <v>0</v>
      </c>
      <c r="BE55">
        <f>IF(ISNUMBER(AB55),INDEX(AllCollegeILPub, MATCH(N55,AllCollegeNCES,0)),0)</f>
        <v>0</v>
      </c>
      <c r="BF55">
        <f>IF(AN55=ReachLabel,AS55,0)</f>
        <v>0</v>
      </c>
      <c r="BG55">
        <f>IF(AN55=MatchLabel,AS55,0)</f>
        <v>0</v>
      </c>
      <c r="BH55">
        <f>IF(AN55=SafetyLabel,AS55,0)</f>
        <v>0</v>
      </c>
      <c r="BI55">
        <f>IF(AN55=SecureLabel,AS55,0)</f>
        <v>0</v>
      </c>
      <c r="BJ55">
        <f>IF(AN55=SureThingLabel,AS55,0)</f>
        <v>0</v>
      </c>
      <c r="BK55">
        <f>MAX(BF55:BJ55)</f>
        <v>0</v>
      </c>
      <c r="BL55">
        <f>MAX(BG55:BJ55)</f>
        <v>0</v>
      </c>
      <c r="BM55">
        <f>MAX(BH55:BJ55)</f>
        <v>0</v>
      </c>
      <c r="BN55">
        <f>IF(AND(AN55=ReachLabel,BB55=1),AS55,0)</f>
        <v>0</v>
      </c>
      <c r="BO55">
        <f>IF(AND(AN55=MatchLabel,BB55=1),AS55,0)</f>
        <v>0</v>
      </c>
      <c r="BP55">
        <f>IF(AND(AN55=SafetyLabel,BB55=1),AS55,0)</f>
        <v>0</v>
      </c>
      <c r="BQ55">
        <f>IF(AND(AN55=SecureLabel,BB55=1),AS55,0)</f>
        <v>0</v>
      </c>
      <c r="BR55">
        <f>IF(AND(AN55=SureThingLabel,BB55=1),AS55,0)</f>
        <v>0</v>
      </c>
      <c r="BS55">
        <f>MAX(BN55:BR55)</f>
        <v>0</v>
      </c>
      <c r="BT55">
        <f>MAX(BO55:BR55)</f>
        <v>0</v>
      </c>
      <c r="BU55">
        <f>MAX(BP55:BR55)</f>
        <v>0</v>
      </c>
      <c r="BV55">
        <f>IF(ISNUMBER(AB55),INDEX(AllCollegeChicago, MATCH(N55,AllCollegeNCES,0))*BB55,0)</f>
        <v>0</v>
      </c>
      <c r="BW55">
        <f>IF(ISNUMBER(AB55),INDEX(AllCollegeMoneyCode, MATCH(N55,AllCollegeNCES,0)),"?")</f>
        <v>0</v>
      </c>
      <c r="BX55">
        <f>IF(OR(BW55="---",BW55="--",BW55="+/--",BW55="+/---"),1,0)</f>
        <v>0</v>
      </c>
      <c r="BY55">
        <f>BB55*AR55*AT55</f>
        <v>0</v>
      </c>
    </row>
    <row r="56" spans="1:77">
      <c r="A56" t="s">
        <v>96</v>
      </c>
      <c r="B56">
        <v>22165076</v>
      </c>
      <c r="C56" t="s">
        <v>200</v>
      </c>
      <c r="D56" t="s">
        <v>201</v>
      </c>
      <c r="E56" t="s">
        <v>446</v>
      </c>
      <c r="F56" t="s">
        <v>498</v>
      </c>
      <c r="G56" t="s">
        <v>448</v>
      </c>
      <c r="H56" t="s">
        <v>449</v>
      </c>
      <c r="I56" t="s">
        <v>450</v>
      </c>
      <c r="J56" t="s">
        <v>450</v>
      </c>
      <c r="K56">
        <v>0</v>
      </c>
      <c r="L56" t="s">
        <v>446</v>
      </c>
      <c r="M56" t="s">
        <v>446</v>
      </c>
      <c r="N56">
        <v>179867</v>
      </c>
      <c r="O56">
        <f>INDEX(Counselor,MATCH(B56,KidIDs,0))</f>
        <v>0</v>
      </c>
      <c r="P56">
        <f>INDEX(Advisors,MATCH(B56,KidIDs,0))</f>
        <v>0</v>
      </c>
      <c r="Q56">
        <f>INDEX(Cohort,MATCH(B56,KidIDs,0))</f>
        <v>0</v>
      </c>
      <c r="R56">
        <f>INDEX(AllCollegeBarrons,MATCH(N56,AllCollegeNCES,0))</f>
        <v>0</v>
      </c>
      <c r="S56">
        <f>INDEX(KidGPAs,MATCH(B56,KidIDs,0))</f>
        <v>0</v>
      </c>
      <c r="T56">
        <f>INDEX(KidSATs,MATCH(B56,KidIDs,0))</f>
        <v>0</v>
      </c>
      <c r="U56">
        <f>INDEX(Strats,MATCH(B56,KidIDs,0))</f>
        <v>0</v>
      </c>
      <c r="V56">
        <f>INDEX(KidRace,MATCH(B56,KidIDs,0))</f>
        <v>0</v>
      </c>
      <c r="W56">
        <f>IF(OR(V56="M",V56="I"),"H",IF(V56="P","A",V56))</f>
        <v>0</v>
      </c>
      <c r="X56">
        <f>INDEX(StudentTargets,MATCH(B56,KidIDs,0))</f>
        <v>0</v>
      </c>
      <c r="Y56">
        <f>INDEX(ReachStudentTargets,MATCH(B56,KidIDs,0))</f>
        <v>0</v>
      </c>
      <c r="Z56">
        <f>IF(OR(M56="Posse"),1,0)</f>
        <v>0</v>
      </c>
      <c r="AA56">
        <f>IF(ISNUMBER(INDEX(AllCollegeGR, MATCH(N56,AllCollegeNCES,0))),ROUND(INDEX(AllCollegeGR, MATCH(N56,AllCollegeNCES,0))+Z56*IF(INDEX(AllCollegeGR, MATCH(N56,AllCollegeNCES,0))&gt;0.7,(1-INDEX(AllCollegeGR, MATCH(N56,AllCollegeNCES,0)))/2,0.15),2),INDEX(AllCollegeGR, MATCH(N56,AllCollegeNCES,0)))</f>
        <v>0</v>
      </c>
      <c r="AB56">
        <f>IF(ISNUMBER(INDEX(AllCollegeAAHGR, MATCH(N56,AllCollegeNCES,0))),ROUND(INDEX(AllCollegeAAHGR, MATCH(N56,AllCollegeNCES,0))+Z56*IF(INDEX(AllCollegeAAHGR, MATCH(N56,AllCollegeNCES,0))&gt;0.7,(1-INDEX(AllCollegeAAHGR, MATCH(N56,AllCollegeNCES,0)))/2,0.15),2),INDEX(AllCollegeAAHGR, MATCH(N56,AllCollegeNCES,0)))</f>
        <v>0</v>
      </c>
      <c r="AC56">
        <f>IF(OR(W56="H",W56="B"),INDEX(AllCollegeSAT25, MATCH(N56,AllCollegeNCES,0)),INDEX(AllCollegeSAT50, MATCH(N56,AllCollegeNCES,0)))</f>
        <v>0</v>
      </c>
      <c r="AD56">
        <f>INDEX(CustomWeightsGPA,MATCH(W56&amp;":"&amp;N56,CustomWeightsIndex,0))</f>
        <v>0</v>
      </c>
      <c r="AE56">
        <f>INDEX(CustomWeightsSAT,MATCH(W56&amp;":"&amp;N56,CustomWeightsIndex,0))</f>
        <v>0</v>
      </c>
      <c r="AF56">
        <f>INDEX(CustomWeightsIntercept,MATCH(W56&amp;":"&amp;N56,CustomWeightsIndex,0))</f>
        <v>0</v>
      </c>
      <c r="AG56">
        <f>AD56*S56+AE56*T56+AF56</f>
        <v>0</v>
      </c>
      <c r="AH56">
        <f>INDEX(CoefficientsGPA,MATCH(W56&amp;":"&amp;R56,CoefficientsIndex,0))</f>
        <v>0</v>
      </c>
      <c r="AI56">
        <f>INDEX(CoefficientsSAT,MATCH(W56&amp;":"&amp;R56,CoefficientsIndex,0))</f>
        <v>0</v>
      </c>
      <c r="AJ56">
        <f>INDEX(CoefficientsIntercept,MATCH(W56&amp;":"&amp;R56,CoefficientsIndex,0))</f>
        <v>0</v>
      </c>
      <c r="AK56">
        <f>AH56*S56+(T56-AC56)*AI56+AJ56</f>
        <v>0</v>
      </c>
      <c r="AL56">
        <f>IF(ISNUMBER(AG56),AG56,AK56)</f>
        <v>0</v>
      </c>
      <c r="AM56">
        <f>IF(ISNUMBER(AL56),IF(ISNUMBER(AH56),IF(AND(AH56=1,AI56=1,AJ56=1),100,MIN(99,ROUND(100*EXP(AL56)/(1+EXP(AL56)),2))),MIN(99,ROUND(100*EXP(AL56)/(1+EXP(AL56)),2))),IF(ISTEXT(R56),IF(LEFT(R56,1)="2",100,"N/A"),"N/A"))</f>
        <v>0</v>
      </c>
      <c r="AN56">
        <f>IF(ISNUMBER(AM56),IF(AM56&gt;=99,IF(OR(U56=10,U56=11),MatchLabel,SureThingLabel),IF(AM56&gt;=95,SecureLabel,IF(AM56&gt;=80,SafetyLabel,IF(AM56&gt;=50,MatchLabel,IF(AM56&gt;=20,ReachLabel,IF(AM56&gt;=10,LongshotLabel,HailMaryLabel)))))),"Other")</f>
        <v>0</v>
      </c>
      <c r="AO56">
        <f>IF(OR(I56="accepted",I56="cond. accept",I56="summer admit"),IF(J56="yes","CHOICE!","Accepted!"),IF(I56="guar. transfer","Guar. Xfer",IF(I56="denied","Denied",IF(K56=1,"Waitlist",IF(L56=1,"Deferred",IF(G56="pending","Pending",IF(OR(G56="initial materials submitted",G56="mid-year submitted",G56="final submitted"),"Submitted",IF(H56="interest","Interest","?"))))))))</f>
        <v>0</v>
      </c>
      <c r="AP56">
        <f>IF(OR(AN56=ReachLabel,AN56=LongshotLabel,AN56=HailMaryLabel),1,0)</f>
        <v>0</v>
      </c>
      <c r="AQ56">
        <f>IF(OR(AP56=1,AN56=MatchLabel),1,0)</f>
        <v>0</v>
      </c>
      <c r="AR56">
        <f>IF(OR(AN56=MatchLabel,AN56=SafetyLabel,AN56=SecureLabel,AN56=SureThingLabel),1,0)</f>
        <v>0</v>
      </c>
      <c r="AS56">
        <f>IF(OR(W56="H",W56="B",W56="I",W56="M"),IF(ISNUMBER(AB56),ROUND(AB56,2),0),IF(ISNUMBER(AA56),ROUND(AA56,2),0))</f>
        <v>0</v>
      </c>
      <c r="AT56">
        <f>IF(AS56&gt;=X56,1,0)</f>
        <v>0</v>
      </c>
      <c r="AU56">
        <f>IF(AS56&gt;=Y56,1,0)</f>
        <v>0</v>
      </c>
      <c r="AV56">
        <f>IF(AS56&lt;(X56-0.10),1,0)</f>
        <v>0</v>
      </c>
      <c r="AW56">
        <f>1-AM56/100</f>
        <v>0</v>
      </c>
      <c r="AX56">
        <f>IF(AQ56=1,AW56,1)</f>
        <v>0</v>
      </c>
      <c r="AY56">
        <f>IF(AP56=1,AW56,1)</f>
        <v>0</v>
      </c>
      <c r="AZ56">
        <f>IF(AND(AT56=1,ISNUMBER(AW56)),$AW56,1)</f>
        <v>0</v>
      </c>
      <c r="BA56">
        <f>IF(AND(AU56=1,ISNUMBER(AW56)),$AW56,1)</f>
        <v>0</v>
      </c>
      <c r="BB56">
        <f>IF(ISNUMBER(AB56),INDEX(AllCollegeMoney, MATCH(N56,AllCollegeNCES,0)),0)</f>
        <v>0</v>
      </c>
      <c r="BC56">
        <f>IF(AND(AT56=1,ISNUMBER(AW56),BB56=1),$AW56,1)</f>
        <v>0</v>
      </c>
      <c r="BD56">
        <f>IF(AND(AU56=1,ISNUMBER(AW56),BB56=1),$AW56,1)</f>
        <v>0</v>
      </c>
      <c r="BE56">
        <f>IF(ISNUMBER(AB56),INDEX(AllCollegeILPub, MATCH(N56,AllCollegeNCES,0)),0)</f>
        <v>0</v>
      </c>
      <c r="BF56">
        <f>IF(AN56=ReachLabel,AS56,0)</f>
        <v>0</v>
      </c>
      <c r="BG56">
        <f>IF(AN56=MatchLabel,AS56,0)</f>
        <v>0</v>
      </c>
      <c r="BH56">
        <f>IF(AN56=SafetyLabel,AS56,0)</f>
        <v>0</v>
      </c>
      <c r="BI56">
        <f>IF(AN56=SecureLabel,AS56,0)</f>
        <v>0</v>
      </c>
      <c r="BJ56">
        <f>IF(AN56=SureThingLabel,AS56,0)</f>
        <v>0</v>
      </c>
      <c r="BK56">
        <f>MAX(BF56:BJ56)</f>
        <v>0</v>
      </c>
      <c r="BL56">
        <f>MAX(BG56:BJ56)</f>
        <v>0</v>
      </c>
      <c r="BM56">
        <f>MAX(BH56:BJ56)</f>
        <v>0</v>
      </c>
      <c r="BN56">
        <f>IF(AND(AN56=ReachLabel,BB56=1),AS56,0)</f>
        <v>0</v>
      </c>
      <c r="BO56">
        <f>IF(AND(AN56=MatchLabel,BB56=1),AS56,0)</f>
        <v>0</v>
      </c>
      <c r="BP56">
        <f>IF(AND(AN56=SafetyLabel,BB56=1),AS56,0)</f>
        <v>0</v>
      </c>
      <c r="BQ56">
        <f>IF(AND(AN56=SecureLabel,BB56=1),AS56,0)</f>
        <v>0</v>
      </c>
      <c r="BR56">
        <f>IF(AND(AN56=SureThingLabel,BB56=1),AS56,0)</f>
        <v>0</v>
      </c>
      <c r="BS56">
        <f>MAX(BN56:BR56)</f>
        <v>0</v>
      </c>
      <c r="BT56">
        <f>MAX(BO56:BR56)</f>
        <v>0</v>
      </c>
      <c r="BU56">
        <f>MAX(BP56:BR56)</f>
        <v>0</v>
      </c>
      <c r="BV56">
        <f>IF(ISNUMBER(AB56),INDEX(AllCollegeChicago, MATCH(N56,AllCollegeNCES,0))*BB56,0)</f>
        <v>0</v>
      </c>
      <c r="BW56">
        <f>IF(ISNUMBER(AB56),INDEX(AllCollegeMoneyCode, MATCH(N56,AllCollegeNCES,0)),"?")</f>
        <v>0</v>
      </c>
      <c r="BX56">
        <f>IF(OR(BW56="---",BW56="--",BW56="+/--",BW56="+/---"),1,0)</f>
        <v>0</v>
      </c>
      <c r="BY56">
        <f>BB56*AR56*AT56</f>
        <v>0</v>
      </c>
    </row>
    <row r="57" spans="1:77">
      <c r="A57" t="s">
        <v>96</v>
      </c>
      <c r="B57">
        <v>22165076</v>
      </c>
      <c r="C57" t="s">
        <v>200</v>
      </c>
      <c r="D57" t="s">
        <v>201</v>
      </c>
      <c r="E57" t="s">
        <v>446</v>
      </c>
      <c r="F57" t="s">
        <v>482</v>
      </c>
      <c r="G57" t="s">
        <v>479</v>
      </c>
      <c r="H57" t="s">
        <v>449</v>
      </c>
      <c r="I57" t="s">
        <v>450</v>
      </c>
      <c r="J57" t="s">
        <v>450</v>
      </c>
      <c r="K57">
        <v>0</v>
      </c>
      <c r="L57" t="s">
        <v>446</v>
      </c>
      <c r="M57" t="s">
        <v>446</v>
      </c>
      <c r="N57">
        <v>170976</v>
      </c>
      <c r="O57">
        <f>INDEX(Counselor,MATCH(B57,KidIDs,0))</f>
        <v>0</v>
      </c>
      <c r="P57">
        <f>INDEX(Advisors,MATCH(B57,KidIDs,0))</f>
        <v>0</v>
      </c>
      <c r="Q57">
        <f>INDEX(Cohort,MATCH(B57,KidIDs,0))</f>
        <v>0</v>
      </c>
      <c r="R57">
        <f>INDEX(AllCollegeBarrons,MATCH(N57,AllCollegeNCES,0))</f>
        <v>0</v>
      </c>
      <c r="S57">
        <f>INDEX(KidGPAs,MATCH(B57,KidIDs,0))</f>
        <v>0</v>
      </c>
      <c r="T57">
        <f>INDEX(KidSATs,MATCH(B57,KidIDs,0))</f>
        <v>0</v>
      </c>
      <c r="U57">
        <f>INDEX(Strats,MATCH(B57,KidIDs,0))</f>
        <v>0</v>
      </c>
      <c r="V57">
        <f>INDEX(KidRace,MATCH(B57,KidIDs,0))</f>
        <v>0</v>
      </c>
      <c r="W57">
        <f>IF(OR(V57="M",V57="I"),"H",IF(V57="P","A",V57))</f>
        <v>0</v>
      </c>
      <c r="X57">
        <f>INDEX(StudentTargets,MATCH(B57,KidIDs,0))</f>
        <v>0</v>
      </c>
      <c r="Y57">
        <f>INDEX(ReachStudentTargets,MATCH(B57,KidIDs,0))</f>
        <v>0</v>
      </c>
      <c r="Z57">
        <f>IF(OR(M57="Posse"),1,0)</f>
        <v>0</v>
      </c>
      <c r="AA57">
        <f>IF(ISNUMBER(INDEX(AllCollegeGR, MATCH(N57,AllCollegeNCES,0))),ROUND(INDEX(AllCollegeGR, MATCH(N57,AllCollegeNCES,0))+Z57*IF(INDEX(AllCollegeGR, MATCH(N57,AllCollegeNCES,0))&gt;0.7,(1-INDEX(AllCollegeGR, MATCH(N57,AllCollegeNCES,0)))/2,0.15),2),INDEX(AllCollegeGR, MATCH(N57,AllCollegeNCES,0)))</f>
        <v>0</v>
      </c>
      <c r="AB57">
        <f>IF(ISNUMBER(INDEX(AllCollegeAAHGR, MATCH(N57,AllCollegeNCES,0))),ROUND(INDEX(AllCollegeAAHGR, MATCH(N57,AllCollegeNCES,0))+Z57*IF(INDEX(AllCollegeAAHGR, MATCH(N57,AllCollegeNCES,0))&gt;0.7,(1-INDEX(AllCollegeAAHGR, MATCH(N57,AllCollegeNCES,0)))/2,0.15),2),INDEX(AllCollegeAAHGR, MATCH(N57,AllCollegeNCES,0)))</f>
        <v>0</v>
      </c>
      <c r="AC57">
        <f>IF(OR(W57="H",W57="B"),INDEX(AllCollegeSAT25, MATCH(N57,AllCollegeNCES,0)),INDEX(AllCollegeSAT50, MATCH(N57,AllCollegeNCES,0)))</f>
        <v>0</v>
      </c>
      <c r="AD57">
        <f>INDEX(CustomWeightsGPA,MATCH(W57&amp;":"&amp;N57,CustomWeightsIndex,0))</f>
        <v>0</v>
      </c>
      <c r="AE57">
        <f>INDEX(CustomWeightsSAT,MATCH(W57&amp;":"&amp;N57,CustomWeightsIndex,0))</f>
        <v>0</v>
      </c>
      <c r="AF57">
        <f>INDEX(CustomWeightsIntercept,MATCH(W57&amp;":"&amp;N57,CustomWeightsIndex,0))</f>
        <v>0</v>
      </c>
      <c r="AG57">
        <f>AD57*S57+AE57*T57+AF57</f>
        <v>0</v>
      </c>
      <c r="AH57">
        <f>INDEX(CoefficientsGPA,MATCH(W57&amp;":"&amp;R57,CoefficientsIndex,0))</f>
        <v>0</v>
      </c>
      <c r="AI57">
        <f>INDEX(CoefficientsSAT,MATCH(W57&amp;":"&amp;R57,CoefficientsIndex,0))</f>
        <v>0</v>
      </c>
      <c r="AJ57">
        <f>INDEX(CoefficientsIntercept,MATCH(W57&amp;":"&amp;R57,CoefficientsIndex,0))</f>
        <v>0</v>
      </c>
      <c r="AK57">
        <f>AH57*S57+(T57-AC57)*AI57+AJ57</f>
        <v>0</v>
      </c>
      <c r="AL57">
        <f>IF(ISNUMBER(AG57),AG57,AK57)</f>
        <v>0</v>
      </c>
      <c r="AM57">
        <f>IF(ISNUMBER(AL57),IF(ISNUMBER(AH57),IF(AND(AH57=1,AI57=1,AJ57=1),100,MIN(99,ROUND(100*EXP(AL57)/(1+EXP(AL57)),2))),MIN(99,ROUND(100*EXP(AL57)/(1+EXP(AL57)),2))),IF(ISTEXT(R57),IF(LEFT(R57,1)="2",100,"N/A"),"N/A"))</f>
        <v>0</v>
      </c>
      <c r="AN57">
        <f>IF(ISNUMBER(AM57),IF(AM57&gt;=99,IF(OR(U57=10,U57=11),MatchLabel,SureThingLabel),IF(AM57&gt;=95,SecureLabel,IF(AM57&gt;=80,SafetyLabel,IF(AM57&gt;=50,MatchLabel,IF(AM57&gt;=20,ReachLabel,IF(AM57&gt;=10,LongshotLabel,HailMaryLabel)))))),"Other")</f>
        <v>0</v>
      </c>
      <c r="AO57">
        <f>IF(OR(I57="accepted",I57="cond. accept",I57="summer admit"),IF(J57="yes","CHOICE!","Accepted!"),IF(I57="guar. transfer","Guar. Xfer",IF(I57="denied","Denied",IF(K57=1,"Waitlist",IF(L57=1,"Deferred",IF(G57="pending","Pending",IF(OR(G57="initial materials submitted",G57="mid-year submitted",G57="final submitted"),"Submitted",IF(H57="interest","Interest","?"))))))))</f>
        <v>0</v>
      </c>
      <c r="AP57">
        <f>IF(OR(AN57=ReachLabel,AN57=LongshotLabel,AN57=HailMaryLabel),1,0)</f>
        <v>0</v>
      </c>
      <c r="AQ57">
        <f>IF(OR(AP57=1,AN57=MatchLabel),1,0)</f>
        <v>0</v>
      </c>
      <c r="AR57">
        <f>IF(OR(AN57=MatchLabel,AN57=SafetyLabel,AN57=SecureLabel,AN57=SureThingLabel),1,0)</f>
        <v>0</v>
      </c>
      <c r="AS57">
        <f>IF(OR(W57="H",W57="B",W57="I",W57="M"),IF(ISNUMBER(AB57),ROUND(AB57,2),0),IF(ISNUMBER(AA57),ROUND(AA57,2),0))</f>
        <v>0</v>
      </c>
      <c r="AT57">
        <f>IF(AS57&gt;=X57,1,0)</f>
        <v>0</v>
      </c>
      <c r="AU57">
        <f>IF(AS57&gt;=Y57,1,0)</f>
        <v>0</v>
      </c>
      <c r="AV57">
        <f>IF(AS57&lt;(X57-0.10),1,0)</f>
        <v>0</v>
      </c>
      <c r="AW57">
        <f>1-AM57/100</f>
        <v>0</v>
      </c>
      <c r="AX57">
        <f>IF(AQ57=1,AW57,1)</f>
        <v>0</v>
      </c>
      <c r="AY57">
        <f>IF(AP57=1,AW57,1)</f>
        <v>0</v>
      </c>
      <c r="AZ57">
        <f>IF(AND(AT57=1,ISNUMBER(AW57)),$AW57,1)</f>
        <v>0</v>
      </c>
      <c r="BA57">
        <f>IF(AND(AU57=1,ISNUMBER(AW57)),$AW57,1)</f>
        <v>0</v>
      </c>
      <c r="BB57">
        <f>IF(ISNUMBER(AB57),INDEX(AllCollegeMoney, MATCH(N57,AllCollegeNCES,0)),0)</f>
        <v>0</v>
      </c>
      <c r="BC57">
        <f>IF(AND(AT57=1,ISNUMBER(AW57),BB57=1),$AW57,1)</f>
        <v>0</v>
      </c>
      <c r="BD57">
        <f>IF(AND(AU57=1,ISNUMBER(AW57),BB57=1),$AW57,1)</f>
        <v>0</v>
      </c>
      <c r="BE57">
        <f>IF(ISNUMBER(AB57),INDEX(AllCollegeILPub, MATCH(N57,AllCollegeNCES,0)),0)</f>
        <v>0</v>
      </c>
      <c r="BF57">
        <f>IF(AN57=ReachLabel,AS57,0)</f>
        <v>0</v>
      </c>
      <c r="BG57">
        <f>IF(AN57=MatchLabel,AS57,0)</f>
        <v>0</v>
      </c>
      <c r="BH57">
        <f>IF(AN57=SafetyLabel,AS57,0)</f>
        <v>0</v>
      </c>
      <c r="BI57">
        <f>IF(AN57=SecureLabel,AS57,0)</f>
        <v>0</v>
      </c>
      <c r="BJ57">
        <f>IF(AN57=SureThingLabel,AS57,0)</f>
        <v>0</v>
      </c>
      <c r="BK57">
        <f>MAX(BF57:BJ57)</f>
        <v>0</v>
      </c>
      <c r="BL57">
        <f>MAX(BG57:BJ57)</f>
        <v>0</v>
      </c>
      <c r="BM57">
        <f>MAX(BH57:BJ57)</f>
        <v>0</v>
      </c>
      <c r="BN57">
        <f>IF(AND(AN57=ReachLabel,BB57=1),AS57,0)</f>
        <v>0</v>
      </c>
      <c r="BO57">
        <f>IF(AND(AN57=MatchLabel,BB57=1),AS57,0)</f>
        <v>0</v>
      </c>
      <c r="BP57">
        <f>IF(AND(AN57=SafetyLabel,BB57=1),AS57,0)</f>
        <v>0</v>
      </c>
      <c r="BQ57">
        <f>IF(AND(AN57=SecureLabel,BB57=1),AS57,0)</f>
        <v>0</v>
      </c>
      <c r="BR57">
        <f>IF(AND(AN57=SureThingLabel,BB57=1),AS57,0)</f>
        <v>0</v>
      </c>
      <c r="BS57">
        <f>MAX(BN57:BR57)</f>
        <v>0</v>
      </c>
      <c r="BT57">
        <f>MAX(BO57:BR57)</f>
        <v>0</v>
      </c>
      <c r="BU57">
        <f>MAX(BP57:BR57)</f>
        <v>0</v>
      </c>
      <c r="BV57">
        <f>IF(ISNUMBER(AB57),INDEX(AllCollegeChicago, MATCH(N57,AllCollegeNCES,0))*BB57,0)</f>
        <v>0</v>
      </c>
      <c r="BW57">
        <f>IF(ISNUMBER(AB57),INDEX(AllCollegeMoneyCode, MATCH(N57,AllCollegeNCES,0)),"?")</f>
        <v>0</v>
      </c>
      <c r="BX57">
        <f>IF(OR(BW57="---",BW57="--",BW57="+/--",BW57="+/---"),1,0)</f>
        <v>0</v>
      </c>
      <c r="BY57">
        <f>BB57*AR57*AT57</f>
        <v>0</v>
      </c>
    </row>
    <row r="58" spans="1:77">
      <c r="A58" t="s">
        <v>96</v>
      </c>
      <c r="B58">
        <v>22165076</v>
      </c>
      <c r="C58" t="s">
        <v>200</v>
      </c>
      <c r="D58" t="s">
        <v>201</v>
      </c>
      <c r="E58" t="s">
        <v>446</v>
      </c>
      <c r="F58" t="s">
        <v>499</v>
      </c>
      <c r="G58" t="s">
        <v>448</v>
      </c>
      <c r="H58" t="s">
        <v>449</v>
      </c>
      <c r="I58" t="s">
        <v>450</v>
      </c>
      <c r="J58" t="s">
        <v>450</v>
      </c>
      <c r="K58">
        <v>0</v>
      </c>
      <c r="L58" t="s">
        <v>446</v>
      </c>
      <c r="M58" t="s">
        <v>446</v>
      </c>
      <c r="N58">
        <v>173902</v>
      </c>
      <c r="O58">
        <f>INDEX(Counselor,MATCH(B58,KidIDs,0))</f>
        <v>0</v>
      </c>
      <c r="P58">
        <f>INDEX(Advisors,MATCH(B58,KidIDs,0))</f>
        <v>0</v>
      </c>
      <c r="Q58">
        <f>INDEX(Cohort,MATCH(B58,KidIDs,0))</f>
        <v>0</v>
      </c>
      <c r="R58">
        <f>INDEX(AllCollegeBarrons,MATCH(N58,AllCollegeNCES,0))</f>
        <v>0</v>
      </c>
      <c r="S58">
        <f>INDEX(KidGPAs,MATCH(B58,KidIDs,0))</f>
        <v>0</v>
      </c>
      <c r="T58">
        <f>INDEX(KidSATs,MATCH(B58,KidIDs,0))</f>
        <v>0</v>
      </c>
      <c r="U58">
        <f>INDEX(Strats,MATCH(B58,KidIDs,0))</f>
        <v>0</v>
      </c>
      <c r="V58">
        <f>INDEX(KidRace,MATCH(B58,KidIDs,0))</f>
        <v>0</v>
      </c>
      <c r="W58">
        <f>IF(OR(V58="M",V58="I"),"H",IF(V58="P","A",V58))</f>
        <v>0</v>
      </c>
      <c r="X58">
        <f>INDEX(StudentTargets,MATCH(B58,KidIDs,0))</f>
        <v>0</v>
      </c>
      <c r="Y58">
        <f>INDEX(ReachStudentTargets,MATCH(B58,KidIDs,0))</f>
        <v>0</v>
      </c>
      <c r="Z58">
        <f>IF(OR(M58="Posse"),1,0)</f>
        <v>0</v>
      </c>
      <c r="AA58">
        <f>IF(ISNUMBER(INDEX(AllCollegeGR, MATCH(N58,AllCollegeNCES,0))),ROUND(INDEX(AllCollegeGR, MATCH(N58,AllCollegeNCES,0))+Z58*IF(INDEX(AllCollegeGR, MATCH(N58,AllCollegeNCES,0))&gt;0.7,(1-INDEX(AllCollegeGR, MATCH(N58,AllCollegeNCES,0)))/2,0.15),2),INDEX(AllCollegeGR, MATCH(N58,AllCollegeNCES,0)))</f>
        <v>0</v>
      </c>
      <c r="AB58">
        <f>IF(ISNUMBER(INDEX(AllCollegeAAHGR, MATCH(N58,AllCollegeNCES,0))),ROUND(INDEX(AllCollegeAAHGR, MATCH(N58,AllCollegeNCES,0))+Z58*IF(INDEX(AllCollegeAAHGR, MATCH(N58,AllCollegeNCES,0))&gt;0.7,(1-INDEX(AllCollegeAAHGR, MATCH(N58,AllCollegeNCES,0)))/2,0.15),2),INDEX(AllCollegeAAHGR, MATCH(N58,AllCollegeNCES,0)))</f>
        <v>0</v>
      </c>
      <c r="AC58">
        <f>IF(OR(W58="H",W58="B"),INDEX(AllCollegeSAT25, MATCH(N58,AllCollegeNCES,0)),INDEX(AllCollegeSAT50, MATCH(N58,AllCollegeNCES,0)))</f>
        <v>0</v>
      </c>
      <c r="AD58">
        <f>INDEX(CustomWeightsGPA,MATCH(W58&amp;":"&amp;N58,CustomWeightsIndex,0))</f>
        <v>0</v>
      </c>
      <c r="AE58">
        <f>INDEX(CustomWeightsSAT,MATCH(W58&amp;":"&amp;N58,CustomWeightsIndex,0))</f>
        <v>0</v>
      </c>
      <c r="AF58">
        <f>INDEX(CustomWeightsIntercept,MATCH(W58&amp;":"&amp;N58,CustomWeightsIndex,0))</f>
        <v>0</v>
      </c>
      <c r="AG58">
        <f>AD58*S58+AE58*T58+AF58</f>
        <v>0</v>
      </c>
      <c r="AH58">
        <f>INDEX(CoefficientsGPA,MATCH(W58&amp;":"&amp;R58,CoefficientsIndex,0))</f>
        <v>0</v>
      </c>
      <c r="AI58">
        <f>INDEX(CoefficientsSAT,MATCH(W58&amp;":"&amp;R58,CoefficientsIndex,0))</f>
        <v>0</v>
      </c>
      <c r="AJ58">
        <f>INDEX(CoefficientsIntercept,MATCH(W58&amp;":"&amp;R58,CoefficientsIndex,0))</f>
        <v>0</v>
      </c>
      <c r="AK58">
        <f>AH58*S58+(T58-AC58)*AI58+AJ58</f>
        <v>0</v>
      </c>
      <c r="AL58">
        <f>IF(ISNUMBER(AG58),AG58,AK58)</f>
        <v>0</v>
      </c>
      <c r="AM58">
        <f>IF(ISNUMBER(AL58),IF(ISNUMBER(AH58),IF(AND(AH58=1,AI58=1,AJ58=1),100,MIN(99,ROUND(100*EXP(AL58)/(1+EXP(AL58)),2))),MIN(99,ROUND(100*EXP(AL58)/(1+EXP(AL58)),2))),IF(ISTEXT(R58),IF(LEFT(R58,1)="2",100,"N/A"),"N/A"))</f>
        <v>0</v>
      </c>
      <c r="AN58">
        <f>IF(ISNUMBER(AM58),IF(AM58&gt;=99,IF(OR(U58=10,U58=11),MatchLabel,SureThingLabel),IF(AM58&gt;=95,SecureLabel,IF(AM58&gt;=80,SafetyLabel,IF(AM58&gt;=50,MatchLabel,IF(AM58&gt;=20,ReachLabel,IF(AM58&gt;=10,LongshotLabel,HailMaryLabel)))))),"Other")</f>
        <v>0</v>
      </c>
      <c r="AO58">
        <f>IF(OR(I58="accepted",I58="cond. accept",I58="summer admit"),IF(J58="yes","CHOICE!","Accepted!"),IF(I58="guar. transfer","Guar. Xfer",IF(I58="denied","Denied",IF(K58=1,"Waitlist",IF(L58=1,"Deferred",IF(G58="pending","Pending",IF(OR(G58="initial materials submitted",G58="mid-year submitted",G58="final submitted"),"Submitted",IF(H58="interest","Interest","?"))))))))</f>
        <v>0</v>
      </c>
      <c r="AP58">
        <f>IF(OR(AN58=ReachLabel,AN58=LongshotLabel,AN58=HailMaryLabel),1,0)</f>
        <v>0</v>
      </c>
      <c r="AQ58">
        <f>IF(OR(AP58=1,AN58=MatchLabel),1,0)</f>
        <v>0</v>
      </c>
      <c r="AR58">
        <f>IF(OR(AN58=MatchLabel,AN58=SafetyLabel,AN58=SecureLabel,AN58=SureThingLabel),1,0)</f>
        <v>0</v>
      </c>
      <c r="AS58">
        <f>IF(OR(W58="H",W58="B",W58="I",W58="M"),IF(ISNUMBER(AB58),ROUND(AB58,2),0),IF(ISNUMBER(AA58),ROUND(AA58,2),0))</f>
        <v>0</v>
      </c>
      <c r="AT58">
        <f>IF(AS58&gt;=X58,1,0)</f>
        <v>0</v>
      </c>
      <c r="AU58">
        <f>IF(AS58&gt;=Y58,1,0)</f>
        <v>0</v>
      </c>
      <c r="AV58">
        <f>IF(AS58&lt;(X58-0.10),1,0)</f>
        <v>0</v>
      </c>
      <c r="AW58">
        <f>1-AM58/100</f>
        <v>0</v>
      </c>
      <c r="AX58">
        <f>IF(AQ58=1,AW58,1)</f>
        <v>0</v>
      </c>
      <c r="AY58">
        <f>IF(AP58=1,AW58,1)</f>
        <v>0</v>
      </c>
      <c r="AZ58">
        <f>IF(AND(AT58=1,ISNUMBER(AW58)),$AW58,1)</f>
        <v>0</v>
      </c>
      <c r="BA58">
        <f>IF(AND(AU58=1,ISNUMBER(AW58)),$AW58,1)</f>
        <v>0</v>
      </c>
      <c r="BB58">
        <f>IF(ISNUMBER(AB58),INDEX(AllCollegeMoney, MATCH(N58,AllCollegeNCES,0)),0)</f>
        <v>0</v>
      </c>
      <c r="BC58">
        <f>IF(AND(AT58=1,ISNUMBER(AW58),BB58=1),$AW58,1)</f>
        <v>0</v>
      </c>
      <c r="BD58">
        <f>IF(AND(AU58=1,ISNUMBER(AW58),BB58=1),$AW58,1)</f>
        <v>0</v>
      </c>
      <c r="BE58">
        <f>IF(ISNUMBER(AB58),INDEX(AllCollegeILPub, MATCH(N58,AllCollegeNCES,0)),0)</f>
        <v>0</v>
      </c>
      <c r="BF58">
        <f>IF(AN58=ReachLabel,AS58,0)</f>
        <v>0</v>
      </c>
      <c r="BG58">
        <f>IF(AN58=MatchLabel,AS58,0)</f>
        <v>0</v>
      </c>
      <c r="BH58">
        <f>IF(AN58=SafetyLabel,AS58,0)</f>
        <v>0</v>
      </c>
      <c r="BI58">
        <f>IF(AN58=SecureLabel,AS58,0)</f>
        <v>0</v>
      </c>
      <c r="BJ58">
        <f>IF(AN58=SureThingLabel,AS58,0)</f>
        <v>0</v>
      </c>
      <c r="BK58">
        <f>MAX(BF58:BJ58)</f>
        <v>0</v>
      </c>
      <c r="BL58">
        <f>MAX(BG58:BJ58)</f>
        <v>0</v>
      </c>
      <c r="BM58">
        <f>MAX(BH58:BJ58)</f>
        <v>0</v>
      </c>
      <c r="BN58">
        <f>IF(AND(AN58=ReachLabel,BB58=1),AS58,0)</f>
        <v>0</v>
      </c>
      <c r="BO58">
        <f>IF(AND(AN58=MatchLabel,BB58=1),AS58,0)</f>
        <v>0</v>
      </c>
      <c r="BP58">
        <f>IF(AND(AN58=SafetyLabel,BB58=1),AS58,0)</f>
        <v>0</v>
      </c>
      <c r="BQ58">
        <f>IF(AND(AN58=SecureLabel,BB58=1),AS58,0)</f>
        <v>0</v>
      </c>
      <c r="BR58">
        <f>IF(AND(AN58=SureThingLabel,BB58=1),AS58,0)</f>
        <v>0</v>
      </c>
      <c r="BS58">
        <f>MAX(BN58:BR58)</f>
        <v>0</v>
      </c>
      <c r="BT58">
        <f>MAX(BO58:BR58)</f>
        <v>0</v>
      </c>
      <c r="BU58">
        <f>MAX(BP58:BR58)</f>
        <v>0</v>
      </c>
      <c r="BV58">
        <f>IF(ISNUMBER(AB58),INDEX(AllCollegeChicago, MATCH(N58,AllCollegeNCES,0))*BB58,0)</f>
        <v>0</v>
      </c>
      <c r="BW58">
        <f>IF(ISNUMBER(AB58),INDEX(AllCollegeMoneyCode, MATCH(N58,AllCollegeNCES,0)),"?")</f>
        <v>0</v>
      </c>
      <c r="BX58">
        <f>IF(OR(BW58="---",BW58="--",BW58="+/--",BW58="+/---"),1,0)</f>
        <v>0</v>
      </c>
      <c r="BY58">
        <f>BB58*AR58*AT58</f>
        <v>0</v>
      </c>
    </row>
    <row r="59" spans="1:77">
      <c r="A59" t="s">
        <v>96</v>
      </c>
      <c r="B59">
        <v>22165076</v>
      </c>
      <c r="C59" t="s">
        <v>200</v>
      </c>
      <c r="D59" t="s">
        <v>201</v>
      </c>
      <c r="E59" t="s">
        <v>446</v>
      </c>
      <c r="F59" t="s">
        <v>500</v>
      </c>
      <c r="G59" t="s">
        <v>448</v>
      </c>
      <c r="H59" t="s">
        <v>449</v>
      </c>
      <c r="I59" t="s">
        <v>450</v>
      </c>
      <c r="J59" t="s">
        <v>450</v>
      </c>
      <c r="K59">
        <v>0</v>
      </c>
      <c r="L59" t="s">
        <v>446</v>
      </c>
      <c r="M59" t="s">
        <v>446</v>
      </c>
      <c r="N59">
        <v>153384</v>
      </c>
      <c r="O59">
        <f>INDEX(Counselor,MATCH(B59,KidIDs,0))</f>
        <v>0</v>
      </c>
      <c r="P59">
        <f>INDEX(Advisors,MATCH(B59,KidIDs,0))</f>
        <v>0</v>
      </c>
      <c r="Q59">
        <f>INDEX(Cohort,MATCH(B59,KidIDs,0))</f>
        <v>0</v>
      </c>
      <c r="R59">
        <f>INDEX(AllCollegeBarrons,MATCH(N59,AllCollegeNCES,0))</f>
        <v>0</v>
      </c>
      <c r="S59">
        <f>INDEX(KidGPAs,MATCH(B59,KidIDs,0))</f>
        <v>0</v>
      </c>
      <c r="T59">
        <f>INDEX(KidSATs,MATCH(B59,KidIDs,0))</f>
        <v>0</v>
      </c>
      <c r="U59">
        <f>INDEX(Strats,MATCH(B59,KidIDs,0))</f>
        <v>0</v>
      </c>
      <c r="V59">
        <f>INDEX(KidRace,MATCH(B59,KidIDs,0))</f>
        <v>0</v>
      </c>
      <c r="W59">
        <f>IF(OR(V59="M",V59="I"),"H",IF(V59="P","A",V59))</f>
        <v>0</v>
      </c>
      <c r="X59">
        <f>INDEX(StudentTargets,MATCH(B59,KidIDs,0))</f>
        <v>0</v>
      </c>
      <c r="Y59">
        <f>INDEX(ReachStudentTargets,MATCH(B59,KidIDs,0))</f>
        <v>0</v>
      </c>
      <c r="Z59">
        <f>IF(OR(M59="Posse"),1,0)</f>
        <v>0</v>
      </c>
      <c r="AA59">
        <f>IF(ISNUMBER(INDEX(AllCollegeGR, MATCH(N59,AllCollegeNCES,0))),ROUND(INDEX(AllCollegeGR, MATCH(N59,AllCollegeNCES,0))+Z59*IF(INDEX(AllCollegeGR, MATCH(N59,AllCollegeNCES,0))&gt;0.7,(1-INDEX(AllCollegeGR, MATCH(N59,AllCollegeNCES,0)))/2,0.15),2),INDEX(AllCollegeGR, MATCH(N59,AllCollegeNCES,0)))</f>
        <v>0</v>
      </c>
      <c r="AB59">
        <f>IF(ISNUMBER(INDEX(AllCollegeAAHGR, MATCH(N59,AllCollegeNCES,0))),ROUND(INDEX(AllCollegeAAHGR, MATCH(N59,AllCollegeNCES,0))+Z59*IF(INDEX(AllCollegeAAHGR, MATCH(N59,AllCollegeNCES,0))&gt;0.7,(1-INDEX(AllCollegeAAHGR, MATCH(N59,AllCollegeNCES,0)))/2,0.15),2),INDEX(AllCollegeAAHGR, MATCH(N59,AllCollegeNCES,0)))</f>
        <v>0</v>
      </c>
      <c r="AC59">
        <f>IF(OR(W59="H",W59="B"),INDEX(AllCollegeSAT25, MATCH(N59,AllCollegeNCES,0)),INDEX(AllCollegeSAT50, MATCH(N59,AllCollegeNCES,0)))</f>
        <v>0</v>
      </c>
      <c r="AD59">
        <f>INDEX(CustomWeightsGPA,MATCH(W59&amp;":"&amp;N59,CustomWeightsIndex,0))</f>
        <v>0</v>
      </c>
      <c r="AE59">
        <f>INDEX(CustomWeightsSAT,MATCH(W59&amp;":"&amp;N59,CustomWeightsIndex,0))</f>
        <v>0</v>
      </c>
      <c r="AF59">
        <f>INDEX(CustomWeightsIntercept,MATCH(W59&amp;":"&amp;N59,CustomWeightsIndex,0))</f>
        <v>0</v>
      </c>
      <c r="AG59">
        <f>AD59*S59+AE59*T59+AF59</f>
        <v>0</v>
      </c>
      <c r="AH59">
        <f>INDEX(CoefficientsGPA,MATCH(W59&amp;":"&amp;R59,CoefficientsIndex,0))</f>
        <v>0</v>
      </c>
      <c r="AI59">
        <f>INDEX(CoefficientsSAT,MATCH(W59&amp;":"&amp;R59,CoefficientsIndex,0))</f>
        <v>0</v>
      </c>
      <c r="AJ59">
        <f>INDEX(CoefficientsIntercept,MATCH(W59&amp;":"&amp;R59,CoefficientsIndex,0))</f>
        <v>0</v>
      </c>
      <c r="AK59">
        <f>AH59*S59+(T59-AC59)*AI59+AJ59</f>
        <v>0</v>
      </c>
      <c r="AL59">
        <f>IF(ISNUMBER(AG59),AG59,AK59)</f>
        <v>0</v>
      </c>
      <c r="AM59">
        <f>IF(ISNUMBER(AL59),IF(ISNUMBER(AH59),IF(AND(AH59=1,AI59=1,AJ59=1),100,MIN(99,ROUND(100*EXP(AL59)/(1+EXP(AL59)),2))),MIN(99,ROUND(100*EXP(AL59)/(1+EXP(AL59)),2))),IF(ISTEXT(R59),IF(LEFT(R59,1)="2",100,"N/A"),"N/A"))</f>
        <v>0</v>
      </c>
      <c r="AN59">
        <f>IF(ISNUMBER(AM59),IF(AM59&gt;=99,IF(OR(U59=10,U59=11),MatchLabel,SureThingLabel),IF(AM59&gt;=95,SecureLabel,IF(AM59&gt;=80,SafetyLabel,IF(AM59&gt;=50,MatchLabel,IF(AM59&gt;=20,ReachLabel,IF(AM59&gt;=10,LongshotLabel,HailMaryLabel)))))),"Other")</f>
        <v>0</v>
      </c>
      <c r="AO59">
        <f>IF(OR(I59="accepted",I59="cond. accept",I59="summer admit"),IF(J59="yes","CHOICE!","Accepted!"),IF(I59="guar. transfer","Guar. Xfer",IF(I59="denied","Denied",IF(K59=1,"Waitlist",IF(L59=1,"Deferred",IF(G59="pending","Pending",IF(OR(G59="initial materials submitted",G59="mid-year submitted",G59="final submitted"),"Submitted",IF(H59="interest","Interest","?"))))))))</f>
        <v>0</v>
      </c>
      <c r="AP59">
        <f>IF(OR(AN59=ReachLabel,AN59=LongshotLabel,AN59=HailMaryLabel),1,0)</f>
        <v>0</v>
      </c>
      <c r="AQ59">
        <f>IF(OR(AP59=1,AN59=MatchLabel),1,0)</f>
        <v>0</v>
      </c>
      <c r="AR59">
        <f>IF(OR(AN59=MatchLabel,AN59=SafetyLabel,AN59=SecureLabel,AN59=SureThingLabel),1,0)</f>
        <v>0</v>
      </c>
      <c r="AS59">
        <f>IF(OR(W59="H",W59="B",W59="I",W59="M"),IF(ISNUMBER(AB59),ROUND(AB59,2),0),IF(ISNUMBER(AA59),ROUND(AA59,2),0))</f>
        <v>0</v>
      </c>
      <c r="AT59">
        <f>IF(AS59&gt;=X59,1,0)</f>
        <v>0</v>
      </c>
      <c r="AU59">
        <f>IF(AS59&gt;=Y59,1,0)</f>
        <v>0</v>
      </c>
      <c r="AV59">
        <f>IF(AS59&lt;(X59-0.10),1,0)</f>
        <v>0</v>
      </c>
      <c r="AW59">
        <f>1-AM59/100</f>
        <v>0</v>
      </c>
      <c r="AX59">
        <f>IF(AQ59=1,AW59,1)</f>
        <v>0</v>
      </c>
      <c r="AY59">
        <f>IF(AP59=1,AW59,1)</f>
        <v>0</v>
      </c>
      <c r="AZ59">
        <f>IF(AND(AT59=1,ISNUMBER(AW59)),$AW59,1)</f>
        <v>0</v>
      </c>
      <c r="BA59">
        <f>IF(AND(AU59=1,ISNUMBER(AW59)),$AW59,1)</f>
        <v>0</v>
      </c>
      <c r="BB59">
        <f>IF(ISNUMBER(AB59),INDEX(AllCollegeMoney, MATCH(N59,AllCollegeNCES,0)),0)</f>
        <v>0</v>
      </c>
      <c r="BC59">
        <f>IF(AND(AT59=1,ISNUMBER(AW59),BB59=1),$AW59,1)</f>
        <v>0</v>
      </c>
      <c r="BD59">
        <f>IF(AND(AU59=1,ISNUMBER(AW59),BB59=1),$AW59,1)</f>
        <v>0</v>
      </c>
      <c r="BE59">
        <f>IF(ISNUMBER(AB59),INDEX(AllCollegeILPub, MATCH(N59,AllCollegeNCES,0)),0)</f>
        <v>0</v>
      </c>
      <c r="BF59">
        <f>IF(AN59=ReachLabel,AS59,0)</f>
        <v>0</v>
      </c>
      <c r="BG59">
        <f>IF(AN59=MatchLabel,AS59,0)</f>
        <v>0</v>
      </c>
      <c r="BH59">
        <f>IF(AN59=SafetyLabel,AS59,0)</f>
        <v>0</v>
      </c>
      <c r="BI59">
        <f>IF(AN59=SecureLabel,AS59,0)</f>
        <v>0</v>
      </c>
      <c r="BJ59">
        <f>IF(AN59=SureThingLabel,AS59,0)</f>
        <v>0</v>
      </c>
      <c r="BK59">
        <f>MAX(BF59:BJ59)</f>
        <v>0</v>
      </c>
      <c r="BL59">
        <f>MAX(BG59:BJ59)</f>
        <v>0</v>
      </c>
      <c r="BM59">
        <f>MAX(BH59:BJ59)</f>
        <v>0</v>
      </c>
      <c r="BN59">
        <f>IF(AND(AN59=ReachLabel,BB59=1),AS59,0)</f>
        <v>0</v>
      </c>
      <c r="BO59">
        <f>IF(AND(AN59=MatchLabel,BB59=1),AS59,0)</f>
        <v>0</v>
      </c>
      <c r="BP59">
        <f>IF(AND(AN59=SafetyLabel,BB59=1),AS59,0)</f>
        <v>0</v>
      </c>
      <c r="BQ59">
        <f>IF(AND(AN59=SecureLabel,BB59=1),AS59,0)</f>
        <v>0</v>
      </c>
      <c r="BR59">
        <f>IF(AND(AN59=SureThingLabel,BB59=1),AS59,0)</f>
        <v>0</v>
      </c>
      <c r="BS59">
        <f>MAX(BN59:BR59)</f>
        <v>0</v>
      </c>
      <c r="BT59">
        <f>MAX(BO59:BR59)</f>
        <v>0</v>
      </c>
      <c r="BU59">
        <f>MAX(BP59:BR59)</f>
        <v>0</v>
      </c>
      <c r="BV59">
        <f>IF(ISNUMBER(AB59),INDEX(AllCollegeChicago, MATCH(N59,AllCollegeNCES,0))*BB59,0)</f>
        <v>0</v>
      </c>
      <c r="BW59">
        <f>IF(ISNUMBER(AB59),INDEX(AllCollegeMoneyCode, MATCH(N59,AllCollegeNCES,0)),"?")</f>
        <v>0</v>
      </c>
      <c r="BX59">
        <f>IF(OR(BW59="---",BW59="--",BW59="+/--",BW59="+/---"),1,0)</f>
        <v>0</v>
      </c>
      <c r="BY59">
        <f>BB59*AR59*AT59</f>
        <v>0</v>
      </c>
    </row>
    <row r="60" spans="1:77">
      <c r="A60" t="s">
        <v>96</v>
      </c>
      <c r="B60">
        <v>22165076</v>
      </c>
      <c r="C60" t="s">
        <v>200</v>
      </c>
      <c r="D60" t="s">
        <v>201</v>
      </c>
      <c r="E60" t="s">
        <v>446</v>
      </c>
      <c r="F60" t="s">
        <v>484</v>
      </c>
      <c r="G60" t="s">
        <v>448</v>
      </c>
      <c r="H60" t="s">
        <v>449</v>
      </c>
      <c r="I60" t="s">
        <v>450</v>
      </c>
      <c r="J60" t="s">
        <v>450</v>
      </c>
      <c r="K60">
        <v>0</v>
      </c>
      <c r="L60" t="s">
        <v>446</v>
      </c>
      <c r="M60" t="s">
        <v>446</v>
      </c>
      <c r="N60">
        <v>213385</v>
      </c>
      <c r="O60">
        <f>INDEX(Counselor,MATCH(B60,KidIDs,0))</f>
        <v>0</v>
      </c>
      <c r="P60">
        <f>INDEX(Advisors,MATCH(B60,KidIDs,0))</f>
        <v>0</v>
      </c>
      <c r="Q60">
        <f>INDEX(Cohort,MATCH(B60,KidIDs,0))</f>
        <v>0</v>
      </c>
      <c r="R60">
        <f>INDEX(AllCollegeBarrons,MATCH(N60,AllCollegeNCES,0))</f>
        <v>0</v>
      </c>
      <c r="S60">
        <f>INDEX(KidGPAs,MATCH(B60,KidIDs,0))</f>
        <v>0</v>
      </c>
      <c r="T60">
        <f>INDEX(KidSATs,MATCH(B60,KidIDs,0))</f>
        <v>0</v>
      </c>
      <c r="U60">
        <f>INDEX(Strats,MATCH(B60,KidIDs,0))</f>
        <v>0</v>
      </c>
      <c r="V60">
        <f>INDEX(KidRace,MATCH(B60,KidIDs,0))</f>
        <v>0</v>
      </c>
      <c r="W60">
        <f>IF(OR(V60="M",V60="I"),"H",IF(V60="P","A",V60))</f>
        <v>0</v>
      </c>
      <c r="X60">
        <f>INDEX(StudentTargets,MATCH(B60,KidIDs,0))</f>
        <v>0</v>
      </c>
      <c r="Y60">
        <f>INDEX(ReachStudentTargets,MATCH(B60,KidIDs,0))</f>
        <v>0</v>
      </c>
      <c r="Z60">
        <f>IF(OR(M60="Posse"),1,0)</f>
        <v>0</v>
      </c>
      <c r="AA60">
        <f>IF(ISNUMBER(INDEX(AllCollegeGR, MATCH(N60,AllCollegeNCES,0))),ROUND(INDEX(AllCollegeGR, MATCH(N60,AllCollegeNCES,0))+Z60*IF(INDEX(AllCollegeGR, MATCH(N60,AllCollegeNCES,0))&gt;0.7,(1-INDEX(AllCollegeGR, MATCH(N60,AllCollegeNCES,0)))/2,0.15),2),INDEX(AllCollegeGR, MATCH(N60,AllCollegeNCES,0)))</f>
        <v>0</v>
      </c>
      <c r="AB60">
        <f>IF(ISNUMBER(INDEX(AllCollegeAAHGR, MATCH(N60,AllCollegeNCES,0))),ROUND(INDEX(AllCollegeAAHGR, MATCH(N60,AllCollegeNCES,0))+Z60*IF(INDEX(AllCollegeAAHGR, MATCH(N60,AllCollegeNCES,0))&gt;0.7,(1-INDEX(AllCollegeAAHGR, MATCH(N60,AllCollegeNCES,0)))/2,0.15),2),INDEX(AllCollegeAAHGR, MATCH(N60,AllCollegeNCES,0)))</f>
        <v>0</v>
      </c>
      <c r="AC60">
        <f>IF(OR(W60="H",W60="B"),INDEX(AllCollegeSAT25, MATCH(N60,AllCollegeNCES,0)),INDEX(AllCollegeSAT50, MATCH(N60,AllCollegeNCES,0)))</f>
        <v>0</v>
      </c>
      <c r="AD60">
        <f>INDEX(CustomWeightsGPA,MATCH(W60&amp;":"&amp;N60,CustomWeightsIndex,0))</f>
        <v>0</v>
      </c>
      <c r="AE60">
        <f>INDEX(CustomWeightsSAT,MATCH(W60&amp;":"&amp;N60,CustomWeightsIndex,0))</f>
        <v>0</v>
      </c>
      <c r="AF60">
        <f>INDEX(CustomWeightsIntercept,MATCH(W60&amp;":"&amp;N60,CustomWeightsIndex,0))</f>
        <v>0</v>
      </c>
      <c r="AG60">
        <f>AD60*S60+AE60*T60+AF60</f>
        <v>0</v>
      </c>
      <c r="AH60">
        <f>INDEX(CoefficientsGPA,MATCH(W60&amp;":"&amp;R60,CoefficientsIndex,0))</f>
        <v>0</v>
      </c>
      <c r="AI60">
        <f>INDEX(CoefficientsSAT,MATCH(W60&amp;":"&amp;R60,CoefficientsIndex,0))</f>
        <v>0</v>
      </c>
      <c r="AJ60">
        <f>INDEX(CoefficientsIntercept,MATCH(W60&amp;":"&amp;R60,CoefficientsIndex,0))</f>
        <v>0</v>
      </c>
      <c r="AK60">
        <f>AH60*S60+(T60-AC60)*AI60+AJ60</f>
        <v>0</v>
      </c>
      <c r="AL60">
        <f>IF(ISNUMBER(AG60),AG60,AK60)</f>
        <v>0</v>
      </c>
      <c r="AM60">
        <f>IF(ISNUMBER(AL60),IF(ISNUMBER(AH60),IF(AND(AH60=1,AI60=1,AJ60=1),100,MIN(99,ROUND(100*EXP(AL60)/(1+EXP(AL60)),2))),MIN(99,ROUND(100*EXP(AL60)/(1+EXP(AL60)),2))),IF(ISTEXT(R60),IF(LEFT(R60,1)="2",100,"N/A"),"N/A"))</f>
        <v>0</v>
      </c>
      <c r="AN60">
        <f>IF(ISNUMBER(AM60),IF(AM60&gt;=99,IF(OR(U60=10,U60=11),MatchLabel,SureThingLabel),IF(AM60&gt;=95,SecureLabel,IF(AM60&gt;=80,SafetyLabel,IF(AM60&gt;=50,MatchLabel,IF(AM60&gt;=20,ReachLabel,IF(AM60&gt;=10,LongshotLabel,HailMaryLabel)))))),"Other")</f>
        <v>0</v>
      </c>
      <c r="AO60">
        <f>IF(OR(I60="accepted",I60="cond. accept",I60="summer admit"),IF(J60="yes","CHOICE!","Accepted!"),IF(I60="guar. transfer","Guar. Xfer",IF(I60="denied","Denied",IF(K60=1,"Waitlist",IF(L60=1,"Deferred",IF(G60="pending","Pending",IF(OR(G60="initial materials submitted",G60="mid-year submitted",G60="final submitted"),"Submitted",IF(H60="interest","Interest","?"))))))))</f>
        <v>0</v>
      </c>
      <c r="AP60">
        <f>IF(OR(AN60=ReachLabel,AN60=LongshotLabel,AN60=HailMaryLabel),1,0)</f>
        <v>0</v>
      </c>
      <c r="AQ60">
        <f>IF(OR(AP60=1,AN60=MatchLabel),1,0)</f>
        <v>0</v>
      </c>
      <c r="AR60">
        <f>IF(OR(AN60=MatchLabel,AN60=SafetyLabel,AN60=SecureLabel,AN60=SureThingLabel),1,0)</f>
        <v>0</v>
      </c>
      <c r="AS60">
        <f>IF(OR(W60="H",W60="B",W60="I",W60="M"),IF(ISNUMBER(AB60),ROUND(AB60,2),0),IF(ISNUMBER(AA60),ROUND(AA60,2),0))</f>
        <v>0</v>
      </c>
      <c r="AT60">
        <f>IF(AS60&gt;=X60,1,0)</f>
        <v>0</v>
      </c>
      <c r="AU60">
        <f>IF(AS60&gt;=Y60,1,0)</f>
        <v>0</v>
      </c>
      <c r="AV60">
        <f>IF(AS60&lt;(X60-0.10),1,0)</f>
        <v>0</v>
      </c>
      <c r="AW60">
        <f>1-AM60/100</f>
        <v>0</v>
      </c>
      <c r="AX60">
        <f>IF(AQ60=1,AW60,1)</f>
        <v>0</v>
      </c>
      <c r="AY60">
        <f>IF(AP60=1,AW60,1)</f>
        <v>0</v>
      </c>
      <c r="AZ60">
        <f>IF(AND(AT60=1,ISNUMBER(AW60)),$AW60,1)</f>
        <v>0</v>
      </c>
      <c r="BA60">
        <f>IF(AND(AU60=1,ISNUMBER(AW60)),$AW60,1)</f>
        <v>0</v>
      </c>
      <c r="BB60">
        <f>IF(ISNUMBER(AB60),INDEX(AllCollegeMoney, MATCH(N60,AllCollegeNCES,0)),0)</f>
        <v>0</v>
      </c>
      <c r="BC60">
        <f>IF(AND(AT60=1,ISNUMBER(AW60),BB60=1),$AW60,1)</f>
        <v>0</v>
      </c>
      <c r="BD60">
        <f>IF(AND(AU60=1,ISNUMBER(AW60),BB60=1),$AW60,1)</f>
        <v>0</v>
      </c>
      <c r="BE60">
        <f>IF(ISNUMBER(AB60),INDEX(AllCollegeILPub, MATCH(N60,AllCollegeNCES,0)),0)</f>
        <v>0</v>
      </c>
      <c r="BF60">
        <f>IF(AN60=ReachLabel,AS60,0)</f>
        <v>0</v>
      </c>
      <c r="BG60">
        <f>IF(AN60=MatchLabel,AS60,0)</f>
        <v>0</v>
      </c>
      <c r="BH60">
        <f>IF(AN60=SafetyLabel,AS60,0)</f>
        <v>0</v>
      </c>
      <c r="BI60">
        <f>IF(AN60=SecureLabel,AS60,0)</f>
        <v>0</v>
      </c>
      <c r="BJ60">
        <f>IF(AN60=SureThingLabel,AS60,0)</f>
        <v>0</v>
      </c>
      <c r="BK60">
        <f>MAX(BF60:BJ60)</f>
        <v>0</v>
      </c>
      <c r="BL60">
        <f>MAX(BG60:BJ60)</f>
        <v>0</v>
      </c>
      <c r="BM60">
        <f>MAX(BH60:BJ60)</f>
        <v>0</v>
      </c>
      <c r="BN60">
        <f>IF(AND(AN60=ReachLabel,BB60=1),AS60,0)</f>
        <v>0</v>
      </c>
      <c r="BO60">
        <f>IF(AND(AN60=MatchLabel,BB60=1),AS60,0)</f>
        <v>0</v>
      </c>
      <c r="BP60">
        <f>IF(AND(AN60=SafetyLabel,BB60=1),AS60,0)</f>
        <v>0</v>
      </c>
      <c r="BQ60">
        <f>IF(AND(AN60=SecureLabel,BB60=1),AS60,0)</f>
        <v>0</v>
      </c>
      <c r="BR60">
        <f>IF(AND(AN60=SureThingLabel,BB60=1),AS60,0)</f>
        <v>0</v>
      </c>
      <c r="BS60">
        <f>MAX(BN60:BR60)</f>
        <v>0</v>
      </c>
      <c r="BT60">
        <f>MAX(BO60:BR60)</f>
        <v>0</v>
      </c>
      <c r="BU60">
        <f>MAX(BP60:BR60)</f>
        <v>0</v>
      </c>
      <c r="BV60">
        <f>IF(ISNUMBER(AB60),INDEX(AllCollegeChicago, MATCH(N60,AllCollegeNCES,0))*BB60,0)</f>
        <v>0</v>
      </c>
      <c r="BW60">
        <f>IF(ISNUMBER(AB60),INDEX(AllCollegeMoneyCode, MATCH(N60,AllCollegeNCES,0)),"?")</f>
        <v>0</v>
      </c>
      <c r="BX60">
        <f>IF(OR(BW60="---",BW60="--",BW60="+/--",BW60="+/---"),1,0)</f>
        <v>0</v>
      </c>
      <c r="BY60">
        <f>BB60*AR60*AT60</f>
        <v>0</v>
      </c>
    </row>
    <row r="61" spans="1:77">
      <c r="A61" t="s">
        <v>96</v>
      </c>
      <c r="B61">
        <v>22165076</v>
      </c>
      <c r="C61" t="s">
        <v>200</v>
      </c>
      <c r="D61" t="s">
        <v>201</v>
      </c>
      <c r="E61" t="s">
        <v>446</v>
      </c>
      <c r="F61" t="s">
        <v>475</v>
      </c>
      <c r="G61" t="s">
        <v>479</v>
      </c>
      <c r="H61" t="s">
        <v>449</v>
      </c>
      <c r="I61" t="s">
        <v>450</v>
      </c>
      <c r="J61" t="s">
        <v>450</v>
      </c>
      <c r="K61">
        <v>0</v>
      </c>
      <c r="L61" t="s">
        <v>446</v>
      </c>
      <c r="M61" t="s">
        <v>446</v>
      </c>
      <c r="N61">
        <v>145637</v>
      </c>
      <c r="O61">
        <f>INDEX(Counselor,MATCH(B61,KidIDs,0))</f>
        <v>0</v>
      </c>
      <c r="P61">
        <f>INDEX(Advisors,MATCH(B61,KidIDs,0))</f>
        <v>0</v>
      </c>
      <c r="Q61">
        <f>INDEX(Cohort,MATCH(B61,KidIDs,0))</f>
        <v>0</v>
      </c>
      <c r="R61">
        <f>INDEX(AllCollegeBarrons,MATCH(N61,AllCollegeNCES,0))</f>
        <v>0</v>
      </c>
      <c r="S61">
        <f>INDEX(KidGPAs,MATCH(B61,KidIDs,0))</f>
        <v>0</v>
      </c>
      <c r="T61">
        <f>INDEX(KidSATs,MATCH(B61,KidIDs,0))</f>
        <v>0</v>
      </c>
      <c r="U61">
        <f>INDEX(Strats,MATCH(B61,KidIDs,0))</f>
        <v>0</v>
      </c>
      <c r="V61">
        <f>INDEX(KidRace,MATCH(B61,KidIDs,0))</f>
        <v>0</v>
      </c>
      <c r="W61">
        <f>IF(OR(V61="M",V61="I"),"H",IF(V61="P","A",V61))</f>
        <v>0</v>
      </c>
      <c r="X61">
        <f>INDEX(StudentTargets,MATCH(B61,KidIDs,0))</f>
        <v>0</v>
      </c>
      <c r="Y61">
        <f>INDEX(ReachStudentTargets,MATCH(B61,KidIDs,0))</f>
        <v>0</v>
      </c>
      <c r="Z61">
        <f>IF(OR(M61="Posse"),1,0)</f>
        <v>0</v>
      </c>
      <c r="AA61">
        <f>IF(ISNUMBER(INDEX(AllCollegeGR, MATCH(N61,AllCollegeNCES,0))),ROUND(INDEX(AllCollegeGR, MATCH(N61,AllCollegeNCES,0))+Z61*IF(INDEX(AllCollegeGR, MATCH(N61,AllCollegeNCES,0))&gt;0.7,(1-INDEX(AllCollegeGR, MATCH(N61,AllCollegeNCES,0)))/2,0.15),2),INDEX(AllCollegeGR, MATCH(N61,AllCollegeNCES,0)))</f>
        <v>0</v>
      </c>
      <c r="AB61">
        <f>IF(ISNUMBER(INDEX(AllCollegeAAHGR, MATCH(N61,AllCollegeNCES,0))),ROUND(INDEX(AllCollegeAAHGR, MATCH(N61,AllCollegeNCES,0))+Z61*IF(INDEX(AllCollegeAAHGR, MATCH(N61,AllCollegeNCES,0))&gt;0.7,(1-INDEX(AllCollegeAAHGR, MATCH(N61,AllCollegeNCES,0)))/2,0.15),2),INDEX(AllCollegeAAHGR, MATCH(N61,AllCollegeNCES,0)))</f>
        <v>0</v>
      </c>
      <c r="AC61">
        <f>IF(OR(W61="H",W61="B"),INDEX(AllCollegeSAT25, MATCH(N61,AllCollegeNCES,0)),INDEX(AllCollegeSAT50, MATCH(N61,AllCollegeNCES,0)))</f>
        <v>0</v>
      </c>
      <c r="AD61">
        <f>INDEX(CustomWeightsGPA,MATCH(W61&amp;":"&amp;N61,CustomWeightsIndex,0))</f>
        <v>0</v>
      </c>
      <c r="AE61">
        <f>INDEX(CustomWeightsSAT,MATCH(W61&amp;":"&amp;N61,CustomWeightsIndex,0))</f>
        <v>0</v>
      </c>
      <c r="AF61">
        <f>INDEX(CustomWeightsIntercept,MATCH(W61&amp;":"&amp;N61,CustomWeightsIndex,0))</f>
        <v>0</v>
      </c>
      <c r="AG61">
        <f>AD61*S61+AE61*T61+AF61</f>
        <v>0</v>
      </c>
      <c r="AH61">
        <f>INDEX(CoefficientsGPA,MATCH(W61&amp;":"&amp;R61,CoefficientsIndex,0))</f>
        <v>0</v>
      </c>
      <c r="AI61">
        <f>INDEX(CoefficientsSAT,MATCH(W61&amp;":"&amp;R61,CoefficientsIndex,0))</f>
        <v>0</v>
      </c>
      <c r="AJ61">
        <f>INDEX(CoefficientsIntercept,MATCH(W61&amp;":"&amp;R61,CoefficientsIndex,0))</f>
        <v>0</v>
      </c>
      <c r="AK61">
        <f>AH61*S61+(T61-AC61)*AI61+AJ61</f>
        <v>0</v>
      </c>
      <c r="AL61">
        <f>IF(ISNUMBER(AG61),AG61,AK61)</f>
        <v>0</v>
      </c>
      <c r="AM61">
        <f>IF(ISNUMBER(AL61),IF(ISNUMBER(AH61),IF(AND(AH61=1,AI61=1,AJ61=1),100,MIN(99,ROUND(100*EXP(AL61)/(1+EXP(AL61)),2))),MIN(99,ROUND(100*EXP(AL61)/(1+EXP(AL61)),2))),IF(ISTEXT(R61),IF(LEFT(R61,1)="2",100,"N/A"),"N/A"))</f>
        <v>0</v>
      </c>
      <c r="AN61">
        <f>IF(ISNUMBER(AM61),IF(AM61&gt;=99,IF(OR(U61=10,U61=11),MatchLabel,SureThingLabel),IF(AM61&gt;=95,SecureLabel,IF(AM61&gt;=80,SafetyLabel,IF(AM61&gt;=50,MatchLabel,IF(AM61&gt;=20,ReachLabel,IF(AM61&gt;=10,LongshotLabel,HailMaryLabel)))))),"Other")</f>
        <v>0</v>
      </c>
      <c r="AO61">
        <f>IF(OR(I61="accepted",I61="cond. accept",I61="summer admit"),IF(J61="yes","CHOICE!","Accepted!"),IF(I61="guar. transfer","Guar. Xfer",IF(I61="denied","Denied",IF(K61=1,"Waitlist",IF(L61=1,"Deferred",IF(G61="pending","Pending",IF(OR(G61="initial materials submitted",G61="mid-year submitted",G61="final submitted"),"Submitted",IF(H61="interest","Interest","?"))))))))</f>
        <v>0</v>
      </c>
      <c r="AP61">
        <f>IF(OR(AN61=ReachLabel,AN61=LongshotLabel,AN61=HailMaryLabel),1,0)</f>
        <v>0</v>
      </c>
      <c r="AQ61">
        <f>IF(OR(AP61=1,AN61=MatchLabel),1,0)</f>
        <v>0</v>
      </c>
      <c r="AR61">
        <f>IF(OR(AN61=MatchLabel,AN61=SafetyLabel,AN61=SecureLabel,AN61=SureThingLabel),1,0)</f>
        <v>0</v>
      </c>
      <c r="AS61">
        <f>IF(OR(W61="H",W61="B",W61="I",W61="M"),IF(ISNUMBER(AB61),ROUND(AB61,2),0),IF(ISNUMBER(AA61),ROUND(AA61,2),0))</f>
        <v>0</v>
      </c>
      <c r="AT61">
        <f>IF(AS61&gt;=X61,1,0)</f>
        <v>0</v>
      </c>
      <c r="AU61">
        <f>IF(AS61&gt;=Y61,1,0)</f>
        <v>0</v>
      </c>
      <c r="AV61">
        <f>IF(AS61&lt;(X61-0.10),1,0)</f>
        <v>0</v>
      </c>
      <c r="AW61">
        <f>1-AM61/100</f>
        <v>0</v>
      </c>
      <c r="AX61">
        <f>IF(AQ61=1,AW61,1)</f>
        <v>0</v>
      </c>
      <c r="AY61">
        <f>IF(AP61=1,AW61,1)</f>
        <v>0</v>
      </c>
      <c r="AZ61">
        <f>IF(AND(AT61=1,ISNUMBER(AW61)),$AW61,1)</f>
        <v>0</v>
      </c>
      <c r="BA61">
        <f>IF(AND(AU61=1,ISNUMBER(AW61)),$AW61,1)</f>
        <v>0</v>
      </c>
      <c r="BB61">
        <f>IF(ISNUMBER(AB61),INDEX(AllCollegeMoney, MATCH(N61,AllCollegeNCES,0)),0)</f>
        <v>0</v>
      </c>
      <c r="BC61">
        <f>IF(AND(AT61=1,ISNUMBER(AW61),BB61=1),$AW61,1)</f>
        <v>0</v>
      </c>
      <c r="BD61">
        <f>IF(AND(AU61=1,ISNUMBER(AW61),BB61=1),$AW61,1)</f>
        <v>0</v>
      </c>
      <c r="BE61">
        <f>IF(ISNUMBER(AB61),INDEX(AllCollegeILPub, MATCH(N61,AllCollegeNCES,0)),0)</f>
        <v>0</v>
      </c>
      <c r="BF61">
        <f>IF(AN61=ReachLabel,AS61,0)</f>
        <v>0</v>
      </c>
      <c r="BG61">
        <f>IF(AN61=MatchLabel,AS61,0)</f>
        <v>0</v>
      </c>
      <c r="BH61">
        <f>IF(AN61=SafetyLabel,AS61,0)</f>
        <v>0</v>
      </c>
      <c r="BI61">
        <f>IF(AN61=SecureLabel,AS61,0)</f>
        <v>0</v>
      </c>
      <c r="BJ61">
        <f>IF(AN61=SureThingLabel,AS61,0)</f>
        <v>0</v>
      </c>
      <c r="BK61">
        <f>MAX(BF61:BJ61)</f>
        <v>0</v>
      </c>
      <c r="BL61">
        <f>MAX(BG61:BJ61)</f>
        <v>0</v>
      </c>
      <c r="BM61">
        <f>MAX(BH61:BJ61)</f>
        <v>0</v>
      </c>
      <c r="BN61">
        <f>IF(AND(AN61=ReachLabel,BB61=1),AS61,0)</f>
        <v>0</v>
      </c>
      <c r="BO61">
        <f>IF(AND(AN61=MatchLabel,BB61=1),AS61,0)</f>
        <v>0</v>
      </c>
      <c r="BP61">
        <f>IF(AND(AN61=SafetyLabel,BB61=1),AS61,0)</f>
        <v>0</v>
      </c>
      <c r="BQ61">
        <f>IF(AND(AN61=SecureLabel,BB61=1),AS61,0)</f>
        <v>0</v>
      </c>
      <c r="BR61">
        <f>IF(AND(AN61=SureThingLabel,BB61=1),AS61,0)</f>
        <v>0</v>
      </c>
      <c r="BS61">
        <f>MAX(BN61:BR61)</f>
        <v>0</v>
      </c>
      <c r="BT61">
        <f>MAX(BO61:BR61)</f>
        <v>0</v>
      </c>
      <c r="BU61">
        <f>MAX(BP61:BR61)</f>
        <v>0</v>
      </c>
      <c r="BV61">
        <f>IF(ISNUMBER(AB61),INDEX(AllCollegeChicago, MATCH(N61,AllCollegeNCES,0))*BB61,0)</f>
        <v>0</v>
      </c>
      <c r="BW61">
        <f>IF(ISNUMBER(AB61),INDEX(AllCollegeMoneyCode, MATCH(N61,AllCollegeNCES,0)),"?")</f>
        <v>0</v>
      </c>
      <c r="BX61">
        <f>IF(OR(BW61="---",BW61="--",BW61="+/--",BW61="+/---"),1,0)</f>
        <v>0</v>
      </c>
      <c r="BY61">
        <f>BB61*AR61*AT61</f>
        <v>0</v>
      </c>
    </row>
    <row r="62" spans="1:77">
      <c r="A62" t="s">
        <v>96</v>
      </c>
      <c r="B62">
        <v>22264507</v>
      </c>
      <c r="C62" t="s">
        <v>178</v>
      </c>
      <c r="D62" t="s">
        <v>179</v>
      </c>
      <c r="E62" t="s">
        <v>446</v>
      </c>
      <c r="F62" t="s">
        <v>447</v>
      </c>
      <c r="G62" t="s">
        <v>448</v>
      </c>
      <c r="H62" t="s">
        <v>449</v>
      </c>
      <c r="I62" t="s">
        <v>450</v>
      </c>
      <c r="J62" t="s">
        <v>450</v>
      </c>
      <c r="K62">
        <v>0</v>
      </c>
      <c r="L62" t="s">
        <v>446</v>
      </c>
      <c r="M62" t="s">
        <v>446</v>
      </c>
      <c r="N62">
        <v>148496</v>
      </c>
      <c r="O62">
        <f>INDEX(Counselor,MATCH(B62,KidIDs,0))</f>
        <v>0</v>
      </c>
      <c r="P62">
        <f>INDEX(Advisors,MATCH(B62,KidIDs,0))</f>
        <v>0</v>
      </c>
      <c r="Q62">
        <f>INDEX(Cohort,MATCH(B62,KidIDs,0))</f>
        <v>0</v>
      </c>
      <c r="R62">
        <f>INDEX(AllCollegeBarrons,MATCH(N62,AllCollegeNCES,0))</f>
        <v>0</v>
      </c>
      <c r="S62">
        <f>INDEX(KidGPAs,MATCH(B62,KidIDs,0))</f>
        <v>0</v>
      </c>
      <c r="T62">
        <f>INDEX(KidSATs,MATCH(B62,KidIDs,0))</f>
        <v>0</v>
      </c>
      <c r="U62">
        <f>INDEX(Strats,MATCH(B62,KidIDs,0))</f>
        <v>0</v>
      </c>
      <c r="V62">
        <f>INDEX(KidRace,MATCH(B62,KidIDs,0))</f>
        <v>0</v>
      </c>
      <c r="W62">
        <f>IF(OR(V62="M",V62="I"),"H",IF(V62="P","A",V62))</f>
        <v>0</v>
      </c>
      <c r="X62">
        <f>INDEX(StudentTargets,MATCH(B62,KidIDs,0))</f>
        <v>0</v>
      </c>
      <c r="Y62">
        <f>INDEX(ReachStudentTargets,MATCH(B62,KidIDs,0))</f>
        <v>0</v>
      </c>
      <c r="Z62">
        <f>IF(OR(M62="Posse"),1,0)</f>
        <v>0</v>
      </c>
      <c r="AA62">
        <f>IF(ISNUMBER(INDEX(AllCollegeGR, MATCH(N62,AllCollegeNCES,0))),ROUND(INDEX(AllCollegeGR, MATCH(N62,AllCollegeNCES,0))+Z62*IF(INDEX(AllCollegeGR, MATCH(N62,AllCollegeNCES,0))&gt;0.7,(1-INDEX(AllCollegeGR, MATCH(N62,AllCollegeNCES,0)))/2,0.15),2),INDEX(AllCollegeGR, MATCH(N62,AllCollegeNCES,0)))</f>
        <v>0</v>
      </c>
      <c r="AB62">
        <f>IF(ISNUMBER(INDEX(AllCollegeAAHGR, MATCH(N62,AllCollegeNCES,0))),ROUND(INDEX(AllCollegeAAHGR, MATCH(N62,AllCollegeNCES,0))+Z62*IF(INDEX(AllCollegeAAHGR, MATCH(N62,AllCollegeNCES,0))&gt;0.7,(1-INDEX(AllCollegeAAHGR, MATCH(N62,AllCollegeNCES,0)))/2,0.15),2),INDEX(AllCollegeAAHGR, MATCH(N62,AllCollegeNCES,0)))</f>
        <v>0</v>
      </c>
      <c r="AC62">
        <f>IF(OR(W62="H",W62="B"),INDEX(AllCollegeSAT25, MATCH(N62,AllCollegeNCES,0)),INDEX(AllCollegeSAT50, MATCH(N62,AllCollegeNCES,0)))</f>
        <v>0</v>
      </c>
      <c r="AD62">
        <f>INDEX(CustomWeightsGPA,MATCH(W62&amp;":"&amp;N62,CustomWeightsIndex,0))</f>
        <v>0</v>
      </c>
      <c r="AE62">
        <f>INDEX(CustomWeightsSAT,MATCH(W62&amp;":"&amp;N62,CustomWeightsIndex,0))</f>
        <v>0</v>
      </c>
      <c r="AF62">
        <f>INDEX(CustomWeightsIntercept,MATCH(W62&amp;":"&amp;N62,CustomWeightsIndex,0))</f>
        <v>0</v>
      </c>
      <c r="AG62">
        <f>AD62*S62+AE62*T62+AF62</f>
        <v>0</v>
      </c>
      <c r="AH62">
        <f>INDEX(CoefficientsGPA,MATCH(W62&amp;":"&amp;R62,CoefficientsIndex,0))</f>
        <v>0</v>
      </c>
      <c r="AI62">
        <f>INDEX(CoefficientsSAT,MATCH(W62&amp;":"&amp;R62,CoefficientsIndex,0))</f>
        <v>0</v>
      </c>
      <c r="AJ62">
        <f>INDEX(CoefficientsIntercept,MATCH(W62&amp;":"&amp;R62,CoefficientsIndex,0))</f>
        <v>0</v>
      </c>
      <c r="AK62">
        <f>AH62*S62+(T62-AC62)*AI62+AJ62</f>
        <v>0</v>
      </c>
      <c r="AL62">
        <f>IF(ISNUMBER(AG62),AG62,AK62)</f>
        <v>0</v>
      </c>
      <c r="AM62">
        <f>IF(ISNUMBER(AL62),IF(ISNUMBER(AH62),IF(AND(AH62=1,AI62=1,AJ62=1),100,MIN(99,ROUND(100*EXP(AL62)/(1+EXP(AL62)),2))),MIN(99,ROUND(100*EXP(AL62)/(1+EXP(AL62)),2))),IF(ISTEXT(R62),IF(LEFT(R62,1)="2",100,"N/A"),"N/A"))</f>
        <v>0</v>
      </c>
      <c r="AN62">
        <f>IF(ISNUMBER(AM62),IF(AM62&gt;=99,IF(OR(U62=10,U62=11),MatchLabel,SureThingLabel),IF(AM62&gt;=95,SecureLabel,IF(AM62&gt;=80,SafetyLabel,IF(AM62&gt;=50,MatchLabel,IF(AM62&gt;=20,ReachLabel,IF(AM62&gt;=10,LongshotLabel,HailMaryLabel)))))),"Other")</f>
        <v>0</v>
      </c>
      <c r="AO62">
        <f>IF(OR(I62="accepted",I62="cond. accept",I62="summer admit"),IF(J62="yes","CHOICE!","Accepted!"),IF(I62="guar. transfer","Guar. Xfer",IF(I62="denied","Denied",IF(K62=1,"Waitlist",IF(L62=1,"Deferred",IF(G62="pending","Pending",IF(OR(G62="initial materials submitted",G62="mid-year submitted",G62="final submitted"),"Submitted",IF(H62="interest","Interest","?"))))))))</f>
        <v>0</v>
      </c>
      <c r="AP62">
        <f>IF(OR(AN62=ReachLabel,AN62=LongshotLabel,AN62=HailMaryLabel),1,0)</f>
        <v>0</v>
      </c>
      <c r="AQ62">
        <f>IF(OR(AP62=1,AN62=MatchLabel),1,0)</f>
        <v>0</v>
      </c>
      <c r="AR62">
        <f>IF(OR(AN62=MatchLabel,AN62=SafetyLabel,AN62=SecureLabel,AN62=SureThingLabel),1,0)</f>
        <v>0</v>
      </c>
      <c r="AS62">
        <f>IF(OR(W62="H",W62="B",W62="I",W62="M"),IF(ISNUMBER(AB62),ROUND(AB62,2),0),IF(ISNUMBER(AA62),ROUND(AA62,2),0))</f>
        <v>0</v>
      </c>
      <c r="AT62">
        <f>IF(AS62&gt;=X62,1,0)</f>
        <v>0</v>
      </c>
      <c r="AU62">
        <f>IF(AS62&gt;=Y62,1,0)</f>
        <v>0</v>
      </c>
      <c r="AV62">
        <f>IF(AS62&lt;(X62-0.10),1,0)</f>
        <v>0</v>
      </c>
      <c r="AW62">
        <f>1-AM62/100</f>
        <v>0</v>
      </c>
      <c r="AX62">
        <f>IF(AQ62=1,AW62,1)</f>
        <v>0</v>
      </c>
      <c r="AY62">
        <f>IF(AP62=1,AW62,1)</f>
        <v>0</v>
      </c>
      <c r="AZ62">
        <f>IF(AND(AT62=1,ISNUMBER(AW62)),$AW62,1)</f>
        <v>0</v>
      </c>
      <c r="BA62">
        <f>IF(AND(AU62=1,ISNUMBER(AW62)),$AW62,1)</f>
        <v>0</v>
      </c>
      <c r="BB62">
        <f>IF(ISNUMBER(AB62),INDEX(AllCollegeMoney, MATCH(N62,AllCollegeNCES,0)),0)</f>
        <v>0</v>
      </c>
      <c r="BC62">
        <f>IF(AND(AT62=1,ISNUMBER(AW62),BB62=1),$AW62,1)</f>
        <v>0</v>
      </c>
      <c r="BD62">
        <f>IF(AND(AU62=1,ISNUMBER(AW62),BB62=1),$AW62,1)</f>
        <v>0</v>
      </c>
      <c r="BE62">
        <f>IF(ISNUMBER(AB62),INDEX(AllCollegeILPub, MATCH(N62,AllCollegeNCES,0)),0)</f>
        <v>0</v>
      </c>
      <c r="BF62">
        <f>IF(AN62=ReachLabel,AS62,0)</f>
        <v>0</v>
      </c>
      <c r="BG62">
        <f>IF(AN62=MatchLabel,AS62,0)</f>
        <v>0</v>
      </c>
      <c r="BH62">
        <f>IF(AN62=SafetyLabel,AS62,0)</f>
        <v>0</v>
      </c>
      <c r="BI62">
        <f>IF(AN62=SecureLabel,AS62,0)</f>
        <v>0</v>
      </c>
      <c r="BJ62">
        <f>IF(AN62=SureThingLabel,AS62,0)</f>
        <v>0</v>
      </c>
      <c r="BK62">
        <f>MAX(BF62:BJ62)</f>
        <v>0</v>
      </c>
      <c r="BL62">
        <f>MAX(BG62:BJ62)</f>
        <v>0</v>
      </c>
      <c r="BM62">
        <f>MAX(BH62:BJ62)</f>
        <v>0</v>
      </c>
      <c r="BN62">
        <f>IF(AND(AN62=ReachLabel,BB62=1),AS62,0)</f>
        <v>0</v>
      </c>
      <c r="BO62">
        <f>IF(AND(AN62=MatchLabel,BB62=1),AS62,0)</f>
        <v>0</v>
      </c>
      <c r="BP62">
        <f>IF(AND(AN62=SafetyLabel,BB62=1),AS62,0)</f>
        <v>0</v>
      </c>
      <c r="BQ62">
        <f>IF(AND(AN62=SecureLabel,BB62=1),AS62,0)</f>
        <v>0</v>
      </c>
      <c r="BR62">
        <f>IF(AND(AN62=SureThingLabel,BB62=1),AS62,0)</f>
        <v>0</v>
      </c>
      <c r="BS62">
        <f>MAX(BN62:BR62)</f>
        <v>0</v>
      </c>
      <c r="BT62">
        <f>MAX(BO62:BR62)</f>
        <v>0</v>
      </c>
      <c r="BU62">
        <f>MAX(BP62:BR62)</f>
        <v>0</v>
      </c>
      <c r="BV62">
        <f>IF(ISNUMBER(AB62),INDEX(AllCollegeChicago, MATCH(N62,AllCollegeNCES,0))*BB62,0)</f>
        <v>0</v>
      </c>
      <c r="BW62">
        <f>IF(ISNUMBER(AB62),INDEX(AllCollegeMoneyCode, MATCH(N62,AllCollegeNCES,0)),"?")</f>
        <v>0</v>
      </c>
      <c r="BX62">
        <f>IF(OR(BW62="---",BW62="--",BW62="+/--",BW62="+/---"),1,0)</f>
        <v>0</v>
      </c>
      <c r="BY62">
        <f>BB62*AR62*AT62</f>
        <v>0</v>
      </c>
    </row>
    <row r="63" spans="1:77">
      <c r="A63" t="s">
        <v>96</v>
      </c>
      <c r="B63">
        <v>22264507</v>
      </c>
      <c r="C63" t="s">
        <v>178</v>
      </c>
      <c r="D63" t="s">
        <v>179</v>
      </c>
      <c r="E63" t="s">
        <v>446</v>
      </c>
      <c r="F63" t="s">
        <v>476</v>
      </c>
      <c r="G63" t="s">
        <v>448</v>
      </c>
      <c r="H63" t="s">
        <v>449</v>
      </c>
      <c r="I63" t="s">
        <v>450</v>
      </c>
      <c r="J63" t="s">
        <v>450</v>
      </c>
      <c r="K63">
        <v>0</v>
      </c>
      <c r="L63" t="s">
        <v>446</v>
      </c>
      <c r="M63" t="s">
        <v>446</v>
      </c>
      <c r="N63">
        <v>213668</v>
      </c>
      <c r="O63">
        <f>INDEX(Counselor,MATCH(B63,KidIDs,0))</f>
        <v>0</v>
      </c>
      <c r="P63">
        <f>INDEX(Advisors,MATCH(B63,KidIDs,0))</f>
        <v>0</v>
      </c>
      <c r="Q63">
        <f>INDEX(Cohort,MATCH(B63,KidIDs,0))</f>
        <v>0</v>
      </c>
      <c r="R63">
        <f>INDEX(AllCollegeBarrons,MATCH(N63,AllCollegeNCES,0))</f>
        <v>0</v>
      </c>
      <c r="S63">
        <f>INDEX(KidGPAs,MATCH(B63,KidIDs,0))</f>
        <v>0</v>
      </c>
      <c r="T63">
        <f>INDEX(KidSATs,MATCH(B63,KidIDs,0))</f>
        <v>0</v>
      </c>
      <c r="U63">
        <f>INDEX(Strats,MATCH(B63,KidIDs,0))</f>
        <v>0</v>
      </c>
      <c r="V63">
        <f>INDEX(KidRace,MATCH(B63,KidIDs,0))</f>
        <v>0</v>
      </c>
      <c r="W63">
        <f>IF(OR(V63="M",V63="I"),"H",IF(V63="P","A",V63))</f>
        <v>0</v>
      </c>
      <c r="X63">
        <f>INDEX(StudentTargets,MATCH(B63,KidIDs,0))</f>
        <v>0</v>
      </c>
      <c r="Y63">
        <f>INDEX(ReachStudentTargets,MATCH(B63,KidIDs,0))</f>
        <v>0</v>
      </c>
      <c r="Z63">
        <f>IF(OR(M63="Posse"),1,0)</f>
        <v>0</v>
      </c>
      <c r="AA63">
        <f>IF(ISNUMBER(INDEX(AllCollegeGR, MATCH(N63,AllCollegeNCES,0))),ROUND(INDEX(AllCollegeGR, MATCH(N63,AllCollegeNCES,0))+Z63*IF(INDEX(AllCollegeGR, MATCH(N63,AllCollegeNCES,0))&gt;0.7,(1-INDEX(AllCollegeGR, MATCH(N63,AllCollegeNCES,0)))/2,0.15),2),INDEX(AllCollegeGR, MATCH(N63,AllCollegeNCES,0)))</f>
        <v>0</v>
      </c>
      <c r="AB63">
        <f>IF(ISNUMBER(INDEX(AllCollegeAAHGR, MATCH(N63,AllCollegeNCES,0))),ROUND(INDEX(AllCollegeAAHGR, MATCH(N63,AllCollegeNCES,0))+Z63*IF(INDEX(AllCollegeAAHGR, MATCH(N63,AllCollegeNCES,0))&gt;0.7,(1-INDEX(AllCollegeAAHGR, MATCH(N63,AllCollegeNCES,0)))/2,0.15),2),INDEX(AllCollegeAAHGR, MATCH(N63,AllCollegeNCES,0)))</f>
        <v>0</v>
      </c>
      <c r="AC63">
        <f>IF(OR(W63="H",W63="B"),INDEX(AllCollegeSAT25, MATCH(N63,AllCollegeNCES,0)),INDEX(AllCollegeSAT50, MATCH(N63,AllCollegeNCES,0)))</f>
        <v>0</v>
      </c>
      <c r="AD63">
        <f>INDEX(CustomWeightsGPA,MATCH(W63&amp;":"&amp;N63,CustomWeightsIndex,0))</f>
        <v>0</v>
      </c>
      <c r="AE63">
        <f>INDEX(CustomWeightsSAT,MATCH(W63&amp;":"&amp;N63,CustomWeightsIndex,0))</f>
        <v>0</v>
      </c>
      <c r="AF63">
        <f>INDEX(CustomWeightsIntercept,MATCH(W63&amp;":"&amp;N63,CustomWeightsIndex,0))</f>
        <v>0</v>
      </c>
      <c r="AG63">
        <f>AD63*S63+AE63*T63+AF63</f>
        <v>0</v>
      </c>
      <c r="AH63">
        <f>INDEX(CoefficientsGPA,MATCH(W63&amp;":"&amp;R63,CoefficientsIndex,0))</f>
        <v>0</v>
      </c>
      <c r="AI63">
        <f>INDEX(CoefficientsSAT,MATCH(W63&amp;":"&amp;R63,CoefficientsIndex,0))</f>
        <v>0</v>
      </c>
      <c r="AJ63">
        <f>INDEX(CoefficientsIntercept,MATCH(W63&amp;":"&amp;R63,CoefficientsIndex,0))</f>
        <v>0</v>
      </c>
      <c r="AK63">
        <f>AH63*S63+(T63-AC63)*AI63+AJ63</f>
        <v>0</v>
      </c>
      <c r="AL63">
        <f>IF(ISNUMBER(AG63),AG63,AK63)</f>
        <v>0</v>
      </c>
      <c r="AM63">
        <f>IF(ISNUMBER(AL63),IF(ISNUMBER(AH63),IF(AND(AH63=1,AI63=1,AJ63=1),100,MIN(99,ROUND(100*EXP(AL63)/(1+EXP(AL63)),2))),MIN(99,ROUND(100*EXP(AL63)/(1+EXP(AL63)),2))),IF(ISTEXT(R63),IF(LEFT(R63,1)="2",100,"N/A"),"N/A"))</f>
        <v>0</v>
      </c>
      <c r="AN63">
        <f>IF(ISNUMBER(AM63),IF(AM63&gt;=99,IF(OR(U63=10,U63=11),MatchLabel,SureThingLabel),IF(AM63&gt;=95,SecureLabel,IF(AM63&gt;=80,SafetyLabel,IF(AM63&gt;=50,MatchLabel,IF(AM63&gt;=20,ReachLabel,IF(AM63&gt;=10,LongshotLabel,HailMaryLabel)))))),"Other")</f>
        <v>0</v>
      </c>
      <c r="AO63">
        <f>IF(OR(I63="accepted",I63="cond. accept",I63="summer admit"),IF(J63="yes","CHOICE!","Accepted!"),IF(I63="guar. transfer","Guar. Xfer",IF(I63="denied","Denied",IF(K63=1,"Waitlist",IF(L63=1,"Deferred",IF(G63="pending","Pending",IF(OR(G63="initial materials submitted",G63="mid-year submitted",G63="final submitted"),"Submitted",IF(H63="interest","Interest","?"))))))))</f>
        <v>0</v>
      </c>
      <c r="AP63">
        <f>IF(OR(AN63=ReachLabel,AN63=LongshotLabel,AN63=HailMaryLabel),1,0)</f>
        <v>0</v>
      </c>
      <c r="AQ63">
        <f>IF(OR(AP63=1,AN63=MatchLabel),1,0)</f>
        <v>0</v>
      </c>
      <c r="AR63">
        <f>IF(OR(AN63=MatchLabel,AN63=SafetyLabel,AN63=SecureLabel,AN63=SureThingLabel),1,0)</f>
        <v>0</v>
      </c>
      <c r="AS63">
        <f>IF(OR(W63="H",W63="B",W63="I",W63="M"),IF(ISNUMBER(AB63),ROUND(AB63,2),0),IF(ISNUMBER(AA63),ROUND(AA63,2),0))</f>
        <v>0</v>
      </c>
      <c r="AT63">
        <f>IF(AS63&gt;=X63,1,0)</f>
        <v>0</v>
      </c>
      <c r="AU63">
        <f>IF(AS63&gt;=Y63,1,0)</f>
        <v>0</v>
      </c>
      <c r="AV63">
        <f>IF(AS63&lt;(X63-0.10),1,0)</f>
        <v>0</v>
      </c>
      <c r="AW63">
        <f>1-AM63/100</f>
        <v>0</v>
      </c>
      <c r="AX63">
        <f>IF(AQ63=1,AW63,1)</f>
        <v>0</v>
      </c>
      <c r="AY63">
        <f>IF(AP63=1,AW63,1)</f>
        <v>0</v>
      </c>
      <c r="AZ63">
        <f>IF(AND(AT63=1,ISNUMBER(AW63)),$AW63,1)</f>
        <v>0</v>
      </c>
      <c r="BA63">
        <f>IF(AND(AU63=1,ISNUMBER(AW63)),$AW63,1)</f>
        <v>0</v>
      </c>
      <c r="BB63">
        <f>IF(ISNUMBER(AB63),INDEX(AllCollegeMoney, MATCH(N63,AllCollegeNCES,0)),0)</f>
        <v>0</v>
      </c>
      <c r="BC63">
        <f>IF(AND(AT63=1,ISNUMBER(AW63),BB63=1),$AW63,1)</f>
        <v>0</v>
      </c>
      <c r="BD63">
        <f>IF(AND(AU63=1,ISNUMBER(AW63),BB63=1),$AW63,1)</f>
        <v>0</v>
      </c>
      <c r="BE63">
        <f>IF(ISNUMBER(AB63),INDEX(AllCollegeILPub, MATCH(N63,AllCollegeNCES,0)),0)</f>
        <v>0</v>
      </c>
      <c r="BF63">
        <f>IF(AN63=ReachLabel,AS63,0)</f>
        <v>0</v>
      </c>
      <c r="BG63">
        <f>IF(AN63=MatchLabel,AS63,0)</f>
        <v>0</v>
      </c>
      <c r="BH63">
        <f>IF(AN63=SafetyLabel,AS63,0)</f>
        <v>0</v>
      </c>
      <c r="BI63">
        <f>IF(AN63=SecureLabel,AS63,0)</f>
        <v>0</v>
      </c>
      <c r="BJ63">
        <f>IF(AN63=SureThingLabel,AS63,0)</f>
        <v>0</v>
      </c>
      <c r="BK63">
        <f>MAX(BF63:BJ63)</f>
        <v>0</v>
      </c>
      <c r="BL63">
        <f>MAX(BG63:BJ63)</f>
        <v>0</v>
      </c>
      <c r="BM63">
        <f>MAX(BH63:BJ63)</f>
        <v>0</v>
      </c>
      <c r="BN63">
        <f>IF(AND(AN63=ReachLabel,BB63=1),AS63,0)</f>
        <v>0</v>
      </c>
      <c r="BO63">
        <f>IF(AND(AN63=MatchLabel,BB63=1),AS63,0)</f>
        <v>0</v>
      </c>
      <c r="BP63">
        <f>IF(AND(AN63=SafetyLabel,BB63=1),AS63,0)</f>
        <v>0</v>
      </c>
      <c r="BQ63">
        <f>IF(AND(AN63=SecureLabel,BB63=1),AS63,0)</f>
        <v>0</v>
      </c>
      <c r="BR63">
        <f>IF(AND(AN63=SureThingLabel,BB63=1),AS63,0)</f>
        <v>0</v>
      </c>
      <c r="BS63">
        <f>MAX(BN63:BR63)</f>
        <v>0</v>
      </c>
      <c r="BT63">
        <f>MAX(BO63:BR63)</f>
        <v>0</v>
      </c>
      <c r="BU63">
        <f>MAX(BP63:BR63)</f>
        <v>0</v>
      </c>
      <c r="BV63">
        <f>IF(ISNUMBER(AB63),INDEX(AllCollegeChicago, MATCH(N63,AllCollegeNCES,0))*BB63,0)</f>
        <v>0</v>
      </c>
      <c r="BW63">
        <f>IF(ISNUMBER(AB63),INDEX(AllCollegeMoneyCode, MATCH(N63,AllCollegeNCES,0)),"?")</f>
        <v>0</v>
      </c>
      <c r="BX63">
        <f>IF(OR(BW63="---",BW63="--",BW63="+/--",BW63="+/---"),1,0)</f>
        <v>0</v>
      </c>
      <c r="BY63">
        <f>BB63*AR63*AT63</f>
        <v>0</v>
      </c>
    </row>
    <row r="64" spans="1:77">
      <c r="A64" t="s">
        <v>96</v>
      </c>
      <c r="B64">
        <v>22264507</v>
      </c>
      <c r="C64" t="s">
        <v>178</v>
      </c>
      <c r="D64" t="s">
        <v>179</v>
      </c>
      <c r="E64" t="s">
        <v>446</v>
      </c>
      <c r="F64" t="s">
        <v>501</v>
      </c>
      <c r="G64" t="s">
        <v>448</v>
      </c>
      <c r="H64" t="s">
        <v>449</v>
      </c>
      <c r="I64" t="s">
        <v>450</v>
      </c>
      <c r="J64" t="s">
        <v>450</v>
      </c>
      <c r="K64">
        <v>0</v>
      </c>
      <c r="L64" t="s">
        <v>446</v>
      </c>
      <c r="M64" t="s">
        <v>446</v>
      </c>
      <c r="N64">
        <v>144740</v>
      </c>
      <c r="O64">
        <f>INDEX(Counselor,MATCH(B64,KidIDs,0))</f>
        <v>0</v>
      </c>
      <c r="P64">
        <f>INDEX(Advisors,MATCH(B64,KidIDs,0))</f>
        <v>0</v>
      </c>
      <c r="Q64">
        <f>INDEX(Cohort,MATCH(B64,KidIDs,0))</f>
        <v>0</v>
      </c>
      <c r="R64">
        <f>INDEX(AllCollegeBarrons,MATCH(N64,AllCollegeNCES,0))</f>
        <v>0</v>
      </c>
      <c r="S64">
        <f>INDEX(KidGPAs,MATCH(B64,KidIDs,0))</f>
        <v>0</v>
      </c>
      <c r="T64">
        <f>INDEX(KidSATs,MATCH(B64,KidIDs,0))</f>
        <v>0</v>
      </c>
      <c r="U64">
        <f>INDEX(Strats,MATCH(B64,KidIDs,0))</f>
        <v>0</v>
      </c>
      <c r="V64">
        <f>INDEX(KidRace,MATCH(B64,KidIDs,0))</f>
        <v>0</v>
      </c>
      <c r="W64">
        <f>IF(OR(V64="M",V64="I"),"H",IF(V64="P","A",V64))</f>
        <v>0</v>
      </c>
      <c r="X64">
        <f>INDEX(StudentTargets,MATCH(B64,KidIDs,0))</f>
        <v>0</v>
      </c>
      <c r="Y64">
        <f>INDEX(ReachStudentTargets,MATCH(B64,KidIDs,0))</f>
        <v>0</v>
      </c>
      <c r="Z64">
        <f>IF(OR(M64="Posse"),1,0)</f>
        <v>0</v>
      </c>
      <c r="AA64">
        <f>IF(ISNUMBER(INDEX(AllCollegeGR, MATCH(N64,AllCollegeNCES,0))),ROUND(INDEX(AllCollegeGR, MATCH(N64,AllCollegeNCES,0))+Z64*IF(INDEX(AllCollegeGR, MATCH(N64,AllCollegeNCES,0))&gt;0.7,(1-INDEX(AllCollegeGR, MATCH(N64,AllCollegeNCES,0)))/2,0.15),2),INDEX(AllCollegeGR, MATCH(N64,AllCollegeNCES,0)))</f>
        <v>0</v>
      </c>
      <c r="AB64">
        <f>IF(ISNUMBER(INDEX(AllCollegeAAHGR, MATCH(N64,AllCollegeNCES,0))),ROUND(INDEX(AllCollegeAAHGR, MATCH(N64,AllCollegeNCES,0))+Z64*IF(INDEX(AllCollegeAAHGR, MATCH(N64,AllCollegeNCES,0))&gt;0.7,(1-INDEX(AllCollegeAAHGR, MATCH(N64,AllCollegeNCES,0)))/2,0.15),2),INDEX(AllCollegeAAHGR, MATCH(N64,AllCollegeNCES,0)))</f>
        <v>0</v>
      </c>
      <c r="AC64">
        <f>IF(OR(W64="H",W64="B"),INDEX(AllCollegeSAT25, MATCH(N64,AllCollegeNCES,0)),INDEX(AllCollegeSAT50, MATCH(N64,AllCollegeNCES,0)))</f>
        <v>0</v>
      </c>
      <c r="AD64">
        <f>INDEX(CustomWeightsGPA,MATCH(W64&amp;":"&amp;N64,CustomWeightsIndex,0))</f>
        <v>0</v>
      </c>
      <c r="AE64">
        <f>INDEX(CustomWeightsSAT,MATCH(W64&amp;":"&amp;N64,CustomWeightsIndex,0))</f>
        <v>0</v>
      </c>
      <c r="AF64">
        <f>INDEX(CustomWeightsIntercept,MATCH(W64&amp;":"&amp;N64,CustomWeightsIndex,0))</f>
        <v>0</v>
      </c>
      <c r="AG64">
        <f>AD64*S64+AE64*T64+AF64</f>
        <v>0</v>
      </c>
      <c r="AH64">
        <f>INDEX(CoefficientsGPA,MATCH(W64&amp;":"&amp;R64,CoefficientsIndex,0))</f>
        <v>0</v>
      </c>
      <c r="AI64">
        <f>INDEX(CoefficientsSAT,MATCH(W64&amp;":"&amp;R64,CoefficientsIndex,0))</f>
        <v>0</v>
      </c>
      <c r="AJ64">
        <f>INDEX(CoefficientsIntercept,MATCH(W64&amp;":"&amp;R64,CoefficientsIndex,0))</f>
        <v>0</v>
      </c>
      <c r="AK64">
        <f>AH64*S64+(T64-AC64)*AI64+AJ64</f>
        <v>0</v>
      </c>
      <c r="AL64">
        <f>IF(ISNUMBER(AG64),AG64,AK64)</f>
        <v>0</v>
      </c>
      <c r="AM64">
        <f>IF(ISNUMBER(AL64),IF(ISNUMBER(AH64),IF(AND(AH64=1,AI64=1,AJ64=1),100,MIN(99,ROUND(100*EXP(AL64)/(1+EXP(AL64)),2))),MIN(99,ROUND(100*EXP(AL64)/(1+EXP(AL64)),2))),IF(ISTEXT(R64),IF(LEFT(R64,1)="2",100,"N/A"),"N/A"))</f>
        <v>0</v>
      </c>
      <c r="AN64">
        <f>IF(ISNUMBER(AM64),IF(AM64&gt;=99,IF(OR(U64=10,U64=11),MatchLabel,SureThingLabel),IF(AM64&gt;=95,SecureLabel,IF(AM64&gt;=80,SafetyLabel,IF(AM64&gt;=50,MatchLabel,IF(AM64&gt;=20,ReachLabel,IF(AM64&gt;=10,LongshotLabel,HailMaryLabel)))))),"Other")</f>
        <v>0</v>
      </c>
      <c r="AO64">
        <f>IF(OR(I64="accepted",I64="cond. accept",I64="summer admit"),IF(J64="yes","CHOICE!","Accepted!"),IF(I64="guar. transfer","Guar. Xfer",IF(I64="denied","Denied",IF(K64=1,"Waitlist",IF(L64=1,"Deferred",IF(G64="pending","Pending",IF(OR(G64="initial materials submitted",G64="mid-year submitted",G64="final submitted"),"Submitted",IF(H64="interest","Interest","?"))))))))</f>
        <v>0</v>
      </c>
      <c r="AP64">
        <f>IF(OR(AN64=ReachLabel,AN64=LongshotLabel,AN64=HailMaryLabel),1,0)</f>
        <v>0</v>
      </c>
      <c r="AQ64">
        <f>IF(OR(AP64=1,AN64=MatchLabel),1,0)</f>
        <v>0</v>
      </c>
      <c r="AR64">
        <f>IF(OR(AN64=MatchLabel,AN64=SafetyLabel,AN64=SecureLabel,AN64=SureThingLabel),1,0)</f>
        <v>0</v>
      </c>
      <c r="AS64">
        <f>IF(OR(W64="H",W64="B",W64="I",W64="M"),IF(ISNUMBER(AB64),ROUND(AB64,2),0),IF(ISNUMBER(AA64),ROUND(AA64,2),0))</f>
        <v>0</v>
      </c>
      <c r="AT64">
        <f>IF(AS64&gt;=X64,1,0)</f>
        <v>0</v>
      </c>
      <c r="AU64">
        <f>IF(AS64&gt;=Y64,1,0)</f>
        <v>0</v>
      </c>
      <c r="AV64">
        <f>IF(AS64&lt;(X64-0.10),1,0)</f>
        <v>0</v>
      </c>
      <c r="AW64">
        <f>1-AM64/100</f>
        <v>0</v>
      </c>
      <c r="AX64">
        <f>IF(AQ64=1,AW64,1)</f>
        <v>0</v>
      </c>
      <c r="AY64">
        <f>IF(AP64=1,AW64,1)</f>
        <v>0</v>
      </c>
      <c r="AZ64">
        <f>IF(AND(AT64=1,ISNUMBER(AW64)),$AW64,1)</f>
        <v>0</v>
      </c>
      <c r="BA64">
        <f>IF(AND(AU64=1,ISNUMBER(AW64)),$AW64,1)</f>
        <v>0</v>
      </c>
      <c r="BB64">
        <f>IF(ISNUMBER(AB64),INDEX(AllCollegeMoney, MATCH(N64,AllCollegeNCES,0)),0)</f>
        <v>0</v>
      </c>
      <c r="BC64">
        <f>IF(AND(AT64=1,ISNUMBER(AW64),BB64=1),$AW64,1)</f>
        <v>0</v>
      </c>
      <c r="BD64">
        <f>IF(AND(AU64=1,ISNUMBER(AW64),BB64=1),$AW64,1)</f>
        <v>0</v>
      </c>
      <c r="BE64">
        <f>IF(ISNUMBER(AB64),INDEX(AllCollegeILPub, MATCH(N64,AllCollegeNCES,0)),0)</f>
        <v>0</v>
      </c>
      <c r="BF64">
        <f>IF(AN64=ReachLabel,AS64,0)</f>
        <v>0</v>
      </c>
      <c r="BG64">
        <f>IF(AN64=MatchLabel,AS64,0)</f>
        <v>0</v>
      </c>
      <c r="BH64">
        <f>IF(AN64=SafetyLabel,AS64,0)</f>
        <v>0</v>
      </c>
      <c r="BI64">
        <f>IF(AN64=SecureLabel,AS64,0)</f>
        <v>0</v>
      </c>
      <c r="BJ64">
        <f>IF(AN64=SureThingLabel,AS64,0)</f>
        <v>0</v>
      </c>
      <c r="BK64">
        <f>MAX(BF64:BJ64)</f>
        <v>0</v>
      </c>
      <c r="BL64">
        <f>MAX(BG64:BJ64)</f>
        <v>0</v>
      </c>
      <c r="BM64">
        <f>MAX(BH64:BJ64)</f>
        <v>0</v>
      </c>
      <c r="BN64">
        <f>IF(AND(AN64=ReachLabel,BB64=1),AS64,0)</f>
        <v>0</v>
      </c>
      <c r="BO64">
        <f>IF(AND(AN64=MatchLabel,BB64=1),AS64,0)</f>
        <v>0</v>
      </c>
      <c r="BP64">
        <f>IF(AND(AN64=SafetyLabel,BB64=1),AS64,0)</f>
        <v>0</v>
      </c>
      <c r="BQ64">
        <f>IF(AND(AN64=SecureLabel,BB64=1),AS64,0)</f>
        <v>0</v>
      </c>
      <c r="BR64">
        <f>IF(AND(AN64=SureThingLabel,BB64=1),AS64,0)</f>
        <v>0</v>
      </c>
      <c r="BS64">
        <f>MAX(BN64:BR64)</f>
        <v>0</v>
      </c>
      <c r="BT64">
        <f>MAX(BO64:BR64)</f>
        <v>0</v>
      </c>
      <c r="BU64">
        <f>MAX(BP64:BR64)</f>
        <v>0</v>
      </c>
      <c r="BV64">
        <f>IF(ISNUMBER(AB64),INDEX(AllCollegeChicago, MATCH(N64,AllCollegeNCES,0))*BB64,0)</f>
        <v>0</v>
      </c>
      <c r="BW64">
        <f>IF(ISNUMBER(AB64),INDEX(AllCollegeMoneyCode, MATCH(N64,AllCollegeNCES,0)),"?")</f>
        <v>0</v>
      </c>
      <c r="BX64">
        <f>IF(OR(BW64="---",BW64="--",BW64="+/--",BW64="+/---"),1,0)</f>
        <v>0</v>
      </c>
      <c r="BY64">
        <f>BB64*AR64*AT64</f>
        <v>0</v>
      </c>
    </row>
    <row r="65" spans="1:77">
      <c r="A65" t="s">
        <v>96</v>
      </c>
      <c r="B65">
        <v>22264507</v>
      </c>
      <c r="C65" t="s">
        <v>178</v>
      </c>
      <c r="D65" t="s">
        <v>179</v>
      </c>
      <c r="E65" t="s">
        <v>446</v>
      </c>
      <c r="F65" t="s">
        <v>478</v>
      </c>
      <c r="G65" t="s">
        <v>448</v>
      </c>
      <c r="H65" t="s">
        <v>449</v>
      </c>
      <c r="I65" t="s">
        <v>450</v>
      </c>
      <c r="J65" t="s">
        <v>450</v>
      </c>
      <c r="K65">
        <v>0</v>
      </c>
      <c r="L65" t="s">
        <v>446</v>
      </c>
      <c r="M65" t="s">
        <v>446</v>
      </c>
      <c r="N65">
        <v>168546</v>
      </c>
      <c r="O65">
        <f>INDEX(Counselor,MATCH(B65,KidIDs,0))</f>
        <v>0</v>
      </c>
      <c r="P65">
        <f>INDEX(Advisors,MATCH(B65,KidIDs,0))</f>
        <v>0</v>
      </c>
      <c r="Q65">
        <f>INDEX(Cohort,MATCH(B65,KidIDs,0))</f>
        <v>0</v>
      </c>
      <c r="R65">
        <f>INDEX(AllCollegeBarrons,MATCH(N65,AllCollegeNCES,0))</f>
        <v>0</v>
      </c>
      <c r="S65">
        <f>INDEX(KidGPAs,MATCH(B65,KidIDs,0))</f>
        <v>0</v>
      </c>
      <c r="T65">
        <f>INDEX(KidSATs,MATCH(B65,KidIDs,0))</f>
        <v>0</v>
      </c>
      <c r="U65">
        <f>INDEX(Strats,MATCH(B65,KidIDs,0))</f>
        <v>0</v>
      </c>
      <c r="V65">
        <f>INDEX(KidRace,MATCH(B65,KidIDs,0))</f>
        <v>0</v>
      </c>
      <c r="W65">
        <f>IF(OR(V65="M",V65="I"),"H",IF(V65="P","A",V65))</f>
        <v>0</v>
      </c>
      <c r="X65">
        <f>INDEX(StudentTargets,MATCH(B65,KidIDs,0))</f>
        <v>0</v>
      </c>
      <c r="Y65">
        <f>INDEX(ReachStudentTargets,MATCH(B65,KidIDs,0))</f>
        <v>0</v>
      </c>
      <c r="Z65">
        <f>IF(OR(M65="Posse"),1,0)</f>
        <v>0</v>
      </c>
      <c r="AA65">
        <f>IF(ISNUMBER(INDEX(AllCollegeGR, MATCH(N65,AllCollegeNCES,0))),ROUND(INDEX(AllCollegeGR, MATCH(N65,AllCollegeNCES,0))+Z65*IF(INDEX(AllCollegeGR, MATCH(N65,AllCollegeNCES,0))&gt;0.7,(1-INDEX(AllCollegeGR, MATCH(N65,AllCollegeNCES,0)))/2,0.15),2),INDEX(AllCollegeGR, MATCH(N65,AllCollegeNCES,0)))</f>
        <v>0</v>
      </c>
      <c r="AB65">
        <f>IF(ISNUMBER(INDEX(AllCollegeAAHGR, MATCH(N65,AllCollegeNCES,0))),ROUND(INDEX(AllCollegeAAHGR, MATCH(N65,AllCollegeNCES,0))+Z65*IF(INDEX(AllCollegeAAHGR, MATCH(N65,AllCollegeNCES,0))&gt;0.7,(1-INDEX(AllCollegeAAHGR, MATCH(N65,AllCollegeNCES,0)))/2,0.15),2),INDEX(AllCollegeAAHGR, MATCH(N65,AllCollegeNCES,0)))</f>
        <v>0</v>
      </c>
      <c r="AC65">
        <f>IF(OR(W65="H",W65="B"),INDEX(AllCollegeSAT25, MATCH(N65,AllCollegeNCES,0)),INDEX(AllCollegeSAT50, MATCH(N65,AllCollegeNCES,0)))</f>
        <v>0</v>
      </c>
      <c r="AD65">
        <f>INDEX(CustomWeightsGPA,MATCH(W65&amp;":"&amp;N65,CustomWeightsIndex,0))</f>
        <v>0</v>
      </c>
      <c r="AE65">
        <f>INDEX(CustomWeightsSAT,MATCH(W65&amp;":"&amp;N65,CustomWeightsIndex,0))</f>
        <v>0</v>
      </c>
      <c r="AF65">
        <f>INDEX(CustomWeightsIntercept,MATCH(W65&amp;":"&amp;N65,CustomWeightsIndex,0))</f>
        <v>0</v>
      </c>
      <c r="AG65">
        <f>AD65*S65+AE65*T65+AF65</f>
        <v>0</v>
      </c>
      <c r="AH65">
        <f>INDEX(CoefficientsGPA,MATCH(W65&amp;":"&amp;R65,CoefficientsIndex,0))</f>
        <v>0</v>
      </c>
      <c r="AI65">
        <f>INDEX(CoefficientsSAT,MATCH(W65&amp;":"&amp;R65,CoefficientsIndex,0))</f>
        <v>0</v>
      </c>
      <c r="AJ65">
        <f>INDEX(CoefficientsIntercept,MATCH(W65&amp;":"&amp;R65,CoefficientsIndex,0))</f>
        <v>0</v>
      </c>
      <c r="AK65">
        <f>AH65*S65+(T65-AC65)*AI65+AJ65</f>
        <v>0</v>
      </c>
      <c r="AL65">
        <f>IF(ISNUMBER(AG65),AG65,AK65)</f>
        <v>0</v>
      </c>
      <c r="AM65">
        <f>IF(ISNUMBER(AL65),IF(ISNUMBER(AH65),IF(AND(AH65=1,AI65=1,AJ65=1),100,MIN(99,ROUND(100*EXP(AL65)/(1+EXP(AL65)),2))),MIN(99,ROUND(100*EXP(AL65)/(1+EXP(AL65)),2))),IF(ISTEXT(R65),IF(LEFT(R65,1)="2",100,"N/A"),"N/A"))</f>
        <v>0</v>
      </c>
      <c r="AN65">
        <f>IF(ISNUMBER(AM65),IF(AM65&gt;=99,IF(OR(U65=10,U65=11),MatchLabel,SureThingLabel),IF(AM65&gt;=95,SecureLabel,IF(AM65&gt;=80,SafetyLabel,IF(AM65&gt;=50,MatchLabel,IF(AM65&gt;=20,ReachLabel,IF(AM65&gt;=10,LongshotLabel,HailMaryLabel)))))),"Other")</f>
        <v>0</v>
      </c>
      <c r="AO65">
        <f>IF(OR(I65="accepted",I65="cond. accept",I65="summer admit"),IF(J65="yes","CHOICE!","Accepted!"),IF(I65="guar. transfer","Guar. Xfer",IF(I65="denied","Denied",IF(K65=1,"Waitlist",IF(L65=1,"Deferred",IF(G65="pending","Pending",IF(OR(G65="initial materials submitted",G65="mid-year submitted",G65="final submitted"),"Submitted",IF(H65="interest","Interest","?"))))))))</f>
        <v>0</v>
      </c>
      <c r="AP65">
        <f>IF(OR(AN65=ReachLabel,AN65=LongshotLabel,AN65=HailMaryLabel),1,0)</f>
        <v>0</v>
      </c>
      <c r="AQ65">
        <f>IF(OR(AP65=1,AN65=MatchLabel),1,0)</f>
        <v>0</v>
      </c>
      <c r="AR65">
        <f>IF(OR(AN65=MatchLabel,AN65=SafetyLabel,AN65=SecureLabel,AN65=SureThingLabel),1,0)</f>
        <v>0</v>
      </c>
      <c r="AS65">
        <f>IF(OR(W65="H",W65="B",W65="I",W65="M"),IF(ISNUMBER(AB65),ROUND(AB65,2),0),IF(ISNUMBER(AA65),ROUND(AA65,2),0))</f>
        <v>0</v>
      </c>
      <c r="AT65">
        <f>IF(AS65&gt;=X65,1,0)</f>
        <v>0</v>
      </c>
      <c r="AU65">
        <f>IF(AS65&gt;=Y65,1,0)</f>
        <v>0</v>
      </c>
      <c r="AV65">
        <f>IF(AS65&lt;(X65-0.10),1,0)</f>
        <v>0</v>
      </c>
      <c r="AW65">
        <f>1-AM65/100</f>
        <v>0</v>
      </c>
      <c r="AX65">
        <f>IF(AQ65=1,AW65,1)</f>
        <v>0</v>
      </c>
      <c r="AY65">
        <f>IF(AP65=1,AW65,1)</f>
        <v>0</v>
      </c>
      <c r="AZ65">
        <f>IF(AND(AT65=1,ISNUMBER(AW65)),$AW65,1)</f>
        <v>0</v>
      </c>
      <c r="BA65">
        <f>IF(AND(AU65=1,ISNUMBER(AW65)),$AW65,1)</f>
        <v>0</v>
      </c>
      <c r="BB65">
        <f>IF(ISNUMBER(AB65),INDEX(AllCollegeMoney, MATCH(N65,AllCollegeNCES,0)),0)</f>
        <v>0</v>
      </c>
      <c r="BC65">
        <f>IF(AND(AT65=1,ISNUMBER(AW65),BB65=1),$AW65,1)</f>
        <v>0</v>
      </c>
      <c r="BD65">
        <f>IF(AND(AU65=1,ISNUMBER(AW65),BB65=1),$AW65,1)</f>
        <v>0</v>
      </c>
      <c r="BE65">
        <f>IF(ISNUMBER(AB65),INDEX(AllCollegeILPub, MATCH(N65,AllCollegeNCES,0)),0)</f>
        <v>0</v>
      </c>
      <c r="BF65">
        <f>IF(AN65=ReachLabel,AS65,0)</f>
        <v>0</v>
      </c>
      <c r="BG65">
        <f>IF(AN65=MatchLabel,AS65,0)</f>
        <v>0</v>
      </c>
      <c r="BH65">
        <f>IF(AN65=SafetyLabel,AS65,0)</f>
        <v>0</v>
      </c>
      <c r="BI65">
        <f>IF(AN65=SecureLabel,AS65,0)</f>
        <v>0</v>
      </c>
      <c r="BJ65">
        <f>IF(AN65=SureThingLabel,AS65,0)</f>
        <v>0</v>
      </c>
      <c r="BK65">
        <f>MAX(BF65:BJ65)</f>
        <v>0</v>
      </c>
      <c r="BL65">
        <f>MAX(BG65:BJ65)</f>
        <v>0</v>
      </c>
      <c r="BM65">
        <f>MAX(BH65:BJ65)</f>
        <v>0</v>
      </c>
      <c r="BN65">
        <f>IF(AND(AN65=ReachLabel,BB65=1),AS65,0)</f>
        <v>0</v>
      </c>
      <c r="BO65">
        <f>IF(AND(AN65=MatchLabel,BB65=1),AS65,0)</f>
        <v>0</v>
      </c>
      <c r="BP65">
        <f>IF(AND(AN65=SafetyLabel,BB65=1),AS65,0)</f>
        <v>0</v>
      </c>
      <c r="BQ65">
        <f>IF(AND(AN65=SecureLabel,BB65=1),AS65,0)</f>
        <v>0</v>
      </c>
      <c r="BR65">
        <f>IF(AND(AN65=SureThingLabel,BB65=1),AS65,0)</f>
        <v>0</v>
      </c>
      <c r="BS65">
        <f>MAX(BN65:BR65)</f>
        <v>0</v>
      </c>
      <c r="BT65">
        <f>MAX(BO65:BR65)</f>
        <v>0</v>
      </c>
      <c r="BU65">
        <f>MAX(BP65:BR65)</f>
        <v>0</v>
      </c>
      <c r="BV65">
        <f>IF(ISNUMBER(AB65),INDEX(AllCollegeChicago, MATCH(N65,AllCollegeNCES,0))*BB65,0)</f>
        <v>0</v>
      </c>
      <c r="BW65">
        <f>IF(ISNUMBER(AB65),INDEX(AllCollegeMoneyCode, MATCH(N65,AllCollegeNCES,0)),"?")</f>
        <v>0</v>
      </c>
      <c r="BX65">
        <f>IF(OR(BW65="---",BW65="--",BW65="+/--",BW65="+/---"),1,0)</f>
        <v>0</v>
      </c>
      <c r="BY65">
        <f>BB65*AR65*AT65</f>
        <v>0</v>
      </c>
    </row>
    <row r="66" spans="1:77">
      <c r="A66" t="s">
        <v>96</v>
      </c>
      <c r="B66">
        <v>22264507</v>
      </c>
      <c r="C66" t="s">
        <v>178</v>
      </c>
      <c r="D66" t="s">
        <v>179</v>
      </c>
      <c r="E66" t="s">
        <v>446</v>
      </c>
      <c r="F66" t="s">
        <v>502</v>
      </c>
      <c r="G66" t="s">
        <v>448</v>
      </c>
      <c r="H66" t="s">
        <v>449</v>
      </c>
      <c r="I66" t="s">
        <v>450</v>
      </c>
      <c r="J66" t="s">
        <v>450</v>
      </c>
      <c r="K66">
        <v>0</v>
      </c>
      <c r="L66" t="s">
        <v>446</v>
      </c>
      <c r="M66" t="s">
        <v>446</v>
      </c>
      <c r="N66">
        <v>170082</v>
      </c>
      <c r="O66">
        <f>INDEX(Counselor,MATCH(B66,KidIDs,0))</f>
        <v>0</v>
      </c>
      <c r="P66">
        <f>INDEX(Advisors,MATCH(B66,KidIDs,0))</f>
        <v>0</v>
      </c>
      <c r="Q66">
        <f>INDEX(Cohort,MATCH(B66,KidIDs,0))</f>
        <v>0</v>
      </c>
      <c r="R66">
        <f>INDEX(AllCollegeBarrons,MATCH(N66,AllCollegeNCES,0))</f>
        <v>0</v>
      </c>
      <c r="S66">
        <f>INDEX(KidGPAs,MATCH(B66,KidIDs,0))</f>
        <v>0</v>
      </c>
      <c r="T66">
        <f>INDEX(KidSATs,MATCH(B66,KidIDs,0))</f>
        <v>0</v>
      </c>
      <c r="U66">
        <f>INDEX(Strats,MATCH(B66,KidIDs,0))</f>
        <v>0</v>
      </c>
      <c r="V66">
        <f>INDEX(KidRace,MATCH(B66,KidIDs,0))</f>
        <v>0</v>
      </c>
      <c r="W66">
        <f>IF(OR(V66="M",V66="I"),"H",IF(V66="P","A",V66))</f>
        <v>0</v>
      </c>
      <c r="X66">
        <f>INDEX(StudentTargets,MATCH(B66,KidIDs,0))</f>
        <v>0</v>
      </c>
      <c r="Y66">
        <f>INDEX(ReachStudentTargets,MATCH(B66,KidIDs,0))</f>
        <v>0</v>
      </c>
      <c r="Z66">
        <f>IF(OR(M66="Posse"),1,0)</f>
        <v>0</v>
      </c>
      <c r="AA66">
        <f>IF(ISNUMBER(INDEX(AllCollegeGR, MATCH(N66,AllCollegeNCES,0))),ROUND(INDEX(AllCollegeGR, MATCH(N66,AllCollegeNCES,0))+Z66*IF(INDEX(AllCollegeGR, MATCH(N66,AllCollegeNCES,0))&gt;0.7,(1-INDEX(AllCollegeGR, MATCH(N66,AllCollegeNCES,0)))/2,0.15),2),INDEX(AllCollegeGR, MATCH(N66,AllCollegeNCES,0)))</f>
        <v>0</v>
      </c>
      <c r="AB66">
        <f>IF(ISNUMBER(INDEX(AllCollegeAAHGR, MATCH(N66,AllCollegeNCES,0))),ROUND(INDEX(AllCollegeAAHGR, MATCH(N66,AllCollegeNCES,0))+Z66*IF(INDEX(AllCollegeAAHGR, MATCH(N66,AllCollegeNCES,0))&gt;0.7,(1-INDEX(AllCollegeAAHGR, MATCH(N66,AllCollegeNCES,0)))/2,0.15),2),INDEX(AllCollegeAAHGR, MATCH(N66,AllCollegeNCES,0)))</f>
        <v>0</v>
      </c>
      <c r="AC66">
        <f>IF(OR(W66="H",W66="B"),INDEX(AllCollegeSAT25, MATCH(N66,AllCollegeNCES,0)),INDEX(AllCollegeSAT50, MATCH(N66,AllCollegeNCES,0)))</f>
        <v>0</v>
      </c>
      <c r="AD66">
        <f>INDEX(CustomWeightsGPA,MATCH(W66&amp;":"&amp;N66,CustomWeightsIndex,0))</f>
        <v>0</v>
      </c>
      <c r="AE66">
        <f>INDEX(CustomWeightsSAT,MATCH(W66&amp;":"&amp;N66,CustomWeightsIndex,0))</f>
        <v>0</v>
      </c>
      <c r="AF66">
        <f>INDEX(CustomWeightsIntercept,MATCH(W66&amp;":"&amp;N66,CustomWeightsIndex,0))</f>
        <v>0</v>
      </c>
      <c r="AG66">
        <f>AD66*S66+AE66*T66+AF66</f>
        <v>0</v>
      </c>
      <c r="AH66">
        <f>INDEX(CoefficientsGPA,MATCH(W66&amp;":"&amp;R66,CoefficientsIndex,0))</f>
        <v>0</v>
      </c>
      <c r="AI66">
        <f>INDEX(CoefficientsSAT,MATCH(W66&amp;":"&amp;R66,CoefficientsIndex,0))</f>
        <v>0</v>
      </c>
      <c r="AJ66">
        <f>INDEX(CoefficientsIntercept,MATCH(W66&amp;":"&amp;R66,CoefficientsIndex,0))</f>
        <v>0</v>
      </c>
      <c r="AK66">
        <f>AH66*S66+(T66-AC66)*AI66+AJ66</f>
        <v>0</v>
      </c>
      <c r="AL66">
        <f>IF(ISNUMBER(AG66),AG66,AK66)</f>
        <v>0</v>
      </c>
      <c r="AM66">
        <f>IF(ISNUMBER(AL66),IF(ISNUMBER(AH66),IF(AND(AH66=1,AI66=1,AJ66=1),100,MIN(99,ROUND(100*EXP(AL66)/(1+EXP(AL66)),2))),MIN(99,ROUND(100*EXP(AL66)/(1+EXP(AL66)),2))),IF(ISTEXT(R66),IF(LEFT(R66,1)="2",100,"N/A"),"N/A"))</f>
        <v>0</v>
      </c>
      <c r="AN66">
        <f>IF(ISNUMBER(AM66),IF(AM66&gt;=99,IF(OR(U66=10,U66=11),MatchLabel,SureThingLabel),IF(AM66&gt;=95,SecureLabel,IF(AM66&gt;=80,SafetyLabel,IF(AM66&gt;=50,MatchLabel,IF(AM66&gt;=20,ReachLabel,IF(AM66&gt;=10,LongshotLabel,HailMaryLabel)))))),"Other")</f>
        <v>0</v>
      </c>
      <c r="AO66">
        <f>IF(OR(I66="accepted",I66="cond. accept",I66="summer admit"),IF(J66="yes","CHOICE!","Accepted!"),IF(I66="guar. transfer","Guar. Xfer",IF(I66="denied","Denied",IF(K66=1,"Waitlist",IF(L66=1,"Deferred",IF(G66="pending","Pending",IF(OR(G66="initial materials submitted",G66="mid-year submitted",G66="final submitted"),"Submitted",IF(H66="interest","Interest","?"))))))))</f>
        <v>0</v>
      </c>
      <c r="AP66">
        <f>IF(OR(AN66=ReachLabel,AN66=LongshotLabel,AN66=HailMaryLabel),1,0)</f>
        <v>0</v>
      </c>
      <c r="AQ66">
        <f>IF(OR(AP66=1,AN66=MatchLabel),1,0)</f>
        <v>0</v>
      </c>
      <c r="AR66">
        <f>IF(OR(AN66=MatchLabel,AN66=SafetyLabel,AN66=SecureLabel,AN66=SureThingLabel),1,0)</f>
        <v>0</v>
      </c>
      <c r="AS66">
        <f>IF(OR(W66="H",W66="B",W66="I",W66="M"),IF(ISNUMBER(AB66),ROUND(AB66,2),0),IF(ISNUMBER(AA66),ROUND(AA66,2),0))</f>
        <v>0</v>
      </c>
      <c r="AT66">
        <f>IF(AS66&gt;=X66,1,0)</f>
        <v>0</v>
      </c>
      <c r="AU66">
        <f>IF(AS66&gt;=Y66,1,0)</f>
        <v>0</v>
      </c>
      <c r="AV66">
        <f>IF(AS66&lt;(X66-0.10),1,0)</f>
        <v>0</v>
      </c>
      <c r="AW66">
        <f>1-AM66/100</f>
        <v>0</v>
      </c>
      <c r="AX66">
        <f>IF(AQ66=1,AW66,1)</f>
        <v>0</v>
      </c>
      <c r="AY66">
        <f>IF(AP66=1,AW66,1)</f>
        <v>0</v>
      </c>
      <c r="AZ66">
        <f>IF(AND(AT66=1,ISNUMBER(AW66)),$AW66,1)</f>
        <v>0</v>
      </c>
      <c r="BA66">
        <f>IF(AND(AU66=1,ISNUMBER(AW66)),$AW66,1)</f>
        <v>0</v>
      </c>
      <c r="BB66">
        <f>IF(ISNUMBER(AB66),INDEX(AllCollegeMoney, MATCH(N66,AllCollegeNCES,0)),0)</f>
        <v>0</v>
      </c>
      <c r="BC66">
        <f>IF(AND(AT66=1,ISNUMBER(AW66),BB66=1),$AW66,1)</f>
        <v>0</v>
      </c>
      <c r="BD66">
        <f>IF(AND(AU66=1,ISNUMBER(AW66),BB66=1),$AW66,1)</f>
        <v>0</v>
      </c>
      <c r="BE66">
        <f>IF(ISNUMBER(AB66),INDEX(AllCollegeILPub, MATCH(N66,AllCollegeNCES,0)),0)</f>
        <v>0</v>
      </c>
      <c r="BF66">
        <f>IF(AN66=ReachLabel,AS66,0)</f>
        <v>0</v>
      </c>
      <c r="BG66">
        <f>IF(AN66=MatchLabel,AS66,0)</f>
        <v>0</v>
      </c>
      <c r="BH66">
        <f>IF(AN66=SafetyLabel,AS66,0)</f>
        <v>0</v>
      </c>
      <c r="BI66">
        <f>IF(AN66=SecureLabel,AS66,0)</f>
        <v>0</v>
      </c>
      <c r="BJ66">
        <f>IF(AN66=SureThingLabel,AS66,0)</f>
        <v>0</v>
      </c>
      <c r="BK66">
        <f>MAX(BF66:BJ66)</f>
        <v>0</v>
      </c>
      <c r="BL66">
        <f>MAX(BG66:BJ66)</f>
        <v>0</v>
      </c>
      <c r="BM66">
        <f>MAX(BH66:BJ66)</f>
        <v>0</v>
      </c>
      <c r="BN66">
        <f>IF(AND(AN66=ReachLabel,BB66=1),AS66,0)</f>
        <v>0</v>
      </c>
      <c r="BO66">
        <f>IF(AND(AN66=MatchLabel,BB66=1),AS66,0)</f>
        <v>0</v>
      </c>
      <c r="BP66">
        <f>IF(AND(AN66=SafetyLabel,BB66=1),AS66,0)</f>
        <v>0</v>
      </c>
      <c r="BQ66">
        <f>IF(AND(AN66=SecureLabel,BB66=1),AS66,0)</f>
        <v>0</v>
      </c>
      <c r="BR66">
        <f>IF(AND(AN66=SureThingLabel,BB66=1),AS66,0)</f>
        <v>0</v>
      </c>
      <c r="BS66">
        <f>MAX(BN66:BR66)</f>
        <v>0</v>
      </c>
      <c r="BT66">
        <f>MAX(BO66:BR66)</f>
        <v>0</v>
      </c>
      <c r="BU66">
        <f>MAX(BP66:BR66)</f>
        <v>0</v>
      </c>
      <c r="BV66">
        <f>IF(ISNUMBER(AB66),INDEX(AllCollegeChicago, MATCH(N66,AllCollegeNCES,0))*BB66,0)</f>
        <v>0</v>
      </c>
      <c r="BW66">
        <f>IF(ISNUMBER(AB66),INDEX(AllCollegeMoneyCode, MATCH(N66,AllCollegeNCES,0)),"?")</f>
        <v>0</v>
      </c>
      <c r="BX66">
        <f>IF(OR(BW66="---",BW66="--",BW66="+/--",BW66="+/---"),1,0)</f>
        <v>0</v>
      </c>
      <c r="BY66">
        <f>BB66*AR66*AT66</f>
        <v>0</v>
      </c>
    </row>
    <row r="67" spans="1:77">
      <c r="A67" t="s">
        <v>96</v>
      </c>
      <c r="B67">
        <v>22264507</v>
      </c>
      <c r="C67" t="s">
        <v>178</v>
      </c>
      <c r="D67" t="s">
        <v>179</v>
      </c>
      <c r="E67" t="s">
        <v>446</v>
      </c>
      <c r="F67" t="s">
        <v>465</v>
      </c>
      <c r="G67" t="s">
        <v>448</v>
      </c>
      <c r="H67" t="s">
        <v>449</v>
      </c>
      <c r="I67" t="s">
        <v>450</v>
      </c>
      <c r="J67" t="s">
        <v>450</v>
      </c>
      <c r="K67">
        <v>0</v>
      </c>
      <c r="L67" t="s">
        <v>446</v>
      </c>
      <c r="M67" t="s">
        <v>446</v>
      </c>
      <c r="N67">
        <v>145600</v>
      </c>
      <c r="O67">
        <f>INDEX(Counselor,MATCH(B67,KidIDs,0))</f>
        <v>0</v>
      </c>
      <c r="P67">
        <f>INDEX(Advisors,MATCH(B67,KidIDs,0))</f>
        <v>0</v>
      </c>
      <c r="Q67">
        <f>INDEX(Cohort,MATCH(B67,KidIDs,0))</f>
        <v>0</v>
      </c>
      <c r="R67">
        <f>INDEX(AllCollegeBarrons,MATCH(N67,AllCollegeNCES,0))</f>
        <v>0</v>
      </c>
      <c r="S67">
        <f>INDEX(KidGPAs,MATCH(B67,KidIDs,0))</f>
        <v>0</v>
      </c>
      <c r="T67">
        <f>INDEX(KidSATs,MATCH(B67,KidIDs,0))</f>
        <v>0</v>
      </c>
      <c r="U67">
        <f>INDEX(Strats,MATCH(B67,KidIDs,0))</f>
        <v>0</v>
      </c>
      <c r="V67">
        <f>INDEX(KidRace,MATCH(B67,KidIDs,0))</f>
        <v>0</v>
      </c>
      <c r="W67">
        <f>IF(OR(V67="M",V67="I"),"H",IF(V67="P","A",V67))</f>
        <v>0</v>
      </c>
      <c r="X67">
        <f>INDEX(StudentTargets,MATCH(B67,KidIDs,0))</f>
        <v>0</v>
      </c>
      <c r="Y67">
        <f>INDEX(ReachStudentTargets,MATCH(B67,KidIDs,0))</f>
        <v>0</v>
      </c>
      <c r="Z67">
        <f>IF(OR(M67="Posse"),1,0)</f>
        <v>0</v>
      </c>
      <c r="AA67">
        <f>IF(ISNUMBER(INDEX(AllCollegeGR, MATCH(N67,AllCollegeNCES,0))),ROUND(INDEX(AllCollegeGR, MATCH(N67,AllCollegeNCES,0))+Z67*IF(INDEX(AllCollegeGR, MATCH(N67,AllCollegeNCES,0))&gt;0.7,(1-INDEX(AllCollegeGR, MATCH(N67,AllCollegeNCES,0)))/2,0.15),2),INDEX(AllCollegeGR, MATCH(N67,AllCollegeNCES,0)))</f>
        <v>0</v>
      </c>
      <c r="AB67">
        <f>IF(ISNUMBER(INDEX(AllCollegeAAHGR, MATCH(N67,AllCollegeNCES,0))),ROUND(INDEX(AllCollegeAAHGR, MATCH(N67,AllCollegeNCES,0))+Z67*IF(INDEX(AllCollegeAAHGR, MATCH(N67,AllCollegeNCES,0))&gt;0.7,(1-INDEX(AllCollegeAAHGR, MATCH(N67,AllCollegeNCES,0)))/2,0.15),2),INDEX(AllCollegeAAHGR, MATCH(N67,AllCollegeNCES,0)))</f>
        <v>0</v>
      </c>
      <c r="AC67">
        <f>IF(OR(W67="H",W67="B"),INDEX(AllCollegeSAT25, MATCH(N67,AllCollegeNCES,0)),INDEX(AllCollegeSAT50, MATCH(N67,AllCollegeNCES,0)))</f>
        <v>0</v>
      </c>
      <c r="AD67">
        <f>INDEX(CustomWeightsGPA,MATCH(W67&amp;":"&amp;N67,CustomWeightsIndex,0))</f>
        <v>0</v>
      </c>
      <c r="AE67">
        <f>INDEX(CustomWeightsSAT,MATCH(W67&amp;":"&amp;N67,CustomWeightsIndex,0))</f>
        <v>0</v>
      </c>
      <c r="AF67">
        <f>INDEX(CustomWeightsIntercept,MATCH(W67&amp;":"&amp;N67,CustomWeightsIndex,0))</f>
        <v>0</v>
      </c>
      <c r="AG67">
        <f>AD67*S67+AE67*T67+AF67</f>
        <v>0</v>
      </c>
      <c r="AH67">
        <f>INDEX(CoefficientsGPA,MATCH(W67&amp;":"&amp;R67,CoefficientsIndex,0))</f>
        <v>0</v>
      </c>
      <c r="AI67">
        <f>INDEX(CoefficientsSAT,MATCH(W67&amp;":"&amp;R67,CoefficientsIndex,0))</f>
        <v>0</v>
      </c>
      <c r="AJ67">
        <f>INDEX(CoefficientsIntercept,MATCH(W67&amp;":"&amp;R67,CoefficientsIndex,0))</f>
        <v>0</v>
      </c>
      <c r="AK67">
        <f>AH67*S67+(T67-AC67)*AI67+AJ67</f>
        <v>0</v>
      </c>
      <c r="AL67">
        <f>IF(ISNUMBER(AG67),AG67,AK67)</f>
        <v>0</v>
      </c>
      <c r="AM67">
        <f>IF(ISNUMBER(AL67),IF(ISNUMBER(AH67),IF(AND(AH67=1,AI67=1,AJ67=1),100,MIN(99,ROUND(100*EXP(AL67)/(1+EXP(AL67)),2))),MIN(99,ROUND(100*EXP(AL67)/(1+EXP(AL67)),2))),IF(ISTEXT(R67),IF(LEFT(R67,1)="2",100,"N/A"),"N/A"))</f>
        <v>0</v>
      </c>
      <c r="AN67">
        <f>IF(ISNUMBER(AM67),IF(AM67&gt;=99,IF(OR(U67=10,U67=11),MatchLabel,SureThingLabel),IF(AM67&gt;=95,SecureLabel,IF(AM67&gt;=80,SafetyLabel,IF(AM67&gt;=50,MatchLabel,IF(AM67&gt;=20,ReachLabel,IF(AM67&gt;=10,LongshotLabel,HailMaryLabel)))))),"Other")</f>
        <v>0</v>
      </c>
      <c r="AO67">
        <f>IF(OR(I67="accepted",I67="cond. accept",I67="summer admit"),IF(J67="yes","CHOICE!","Accepted!"),IF(I67="guar. transfer","Guar. Xfer",IF(I67="denied","Denied",IF(K67=1,"Waitlist",IF(L67=1,"Deferred",IF(G67="pending","Pending",IF(OR(G67="initial materials submitted",G67="mid-year submitted",G67="final submitted"),"Submitted",IF(H67="interest","Interest","?"))))))))</f>
        <v>0</v>
      </c>
      <c r="AP67">
        <f>IF(OR(AN67=ReachLabel,AN67=LongshotLabel,AN67=HailMaryLabel),1,0)</f>
        <v>0</v>
      </c>
      <c r="AQ67">
        <f>IF(OR(AP67=1,AN67=MatchLabel),1,0)</f>
        <v>0</v>
      </c>
      <c r="AR67">
        <f>IF(OR(AN67=MatchLabel,AN67=SafetyLabel,AN67=SecureLabel,AN67=SureThingLabel),1,0)</f>
        <v>0</v>
      </c>
      <c r="AS67">
        <f>IF(OR(W67="H",W67="B",W67="I",W67="M"),IF(ISNUMBER(AB67),ROUND(AB67,2),0),IF(ISNUMBER(AA67),ROUND(AA67,2),0))</f>
        <v>0</v>
      </c>
      <c r="AT67">
        <f>IF(AS67&gt;=X67,1,0)</f>
        <v>0</v>
      </c>
      <c r="AU67">
        <f>IF(AS67&gt;=Y67,1,0)</f>
        <v>0</v>
      </c>
      <c r="AV67">
        <f>IF(AS67&lt;(X67-0.10),1,0)</f>
        <v>0</v>
      </c>
      <c r="AW67">
        <f>1-AM67/100</f>
        <v>0</v>
      </c>
      <c r="AX67">
        <f>IF(AQ67=1,AW67,1)</f>
        <v>0</v>
      </c>
      <c r="AY67">
        <f>IF(AP67=1,AW67,1)</f>
        <v>0</v>
      </c>
      <c r="AZ67">
        <f>IF(AND(AT67=1,ISNUMBER(AW67)),$AW67,1)</f>
        <v>0</v>
      </c>
      <c r="BA67">
        <f>IF(AND(AU67=1,ISNUMBER(AW67)),$AW67,1)</f>
        <v>0</v>
      </c>
      <c r="BB67">
        <f>IF(ISNUMBER(AB67),INDEX(AllCollegeMoney, MATCH(N67,AllCollegeNCES,0)),0)</f>
        <v>0</v>
      </c>
      <c r="BC67">
        <f>IF(AND(AT67=1,ISNUMBER(AW67),BB67=1),$AW67,1)</f>
        <v>0</v>
      </c>
      <c r="BD67">
        <f>IF(AND(AU67=1,ISNUMBER(AW67),BB67=1),$AW67,1)</f>
        <v>0</v>
      </c>
      <c r="BE67">
        <f>IF(ISNUMBER(AB67),INDEX(AllCollegeILPub, MATCH(N67,AllCollegeNCES,0)),0)</f>
        <v>0</v>
      </c>
      <c r="BF67">
        <f>IF(AN67=ReachLabel,AS67,0)</f>
        <v>0</v>
      </c>
      <c r="BG67">
        <f>IF(AN67=MatchLabel,AS67,0)</f>
        <v>0</v>
      </c>
      <c r="BH67">
        <f>IF(AN67=SafetyLabel,AS67,0)</f>
        <v>0</v>
      </c>
      <c r="BI67">
        <f>IF(AN67=SecureLabel,AS67,0)</f>
        <v>0</v>
      </c>
      <c r="BJ67">
        <f>IF(AN67=SureThingLabel,AS67,0)</f>
        <v>0</v>
      </c>
      <c r="BK67">
        <f>MAX(BF67:BJ67)</f>
        <v>0</v>
      </c>
      <c r="BL67">
        <f>MAX(BG67:BJ67)</f>
        <v>0</v>
      </c>
      <c r="BM67">
        <f>MAX(BH67:BJ67)</f>
        <v>0</v>
      </c>
      <c r="BN67">
        <f>IF(AND(AN67=ReachLabel,BB67=1),AS67,0)</f>
        <v>0</v>
      </c>
      <c r="BO67">
        <f>IF(AND(AN67=MatchLabel,BB67=1),AS67,0)</f>
        <v>0</v>
      </c>
      <c r="BP67">
        <f>IF(AND(AN67=SafetyLabel,BB67=1),AS67,0)</f>
        <v>0</v>
      </c>
      <c r="BQ67">
        <f>IF(AND(AN67=SecureLabel,BB67=1),AS67,0)</f>
        <v>0</v>
      </c>
      <c r="BR67">
        <f>IF(AND(AN67=SureThingLabel,BB67=1),AS67,0)</f>
        <v>0</v>
      </c>
      <c r="BS67">
        <f>MAX(BN67:BR67)</f>
        <v>0</v>
      </c>
      <c r="BT67">
        <f>MAX(BO67:BR67)</f>
        <v>0</v>
      </c>
      <c r="BU67">
        <f>MAX(BP67:BR67)</f>
        <v>0</v>
      </c>
      <c r="BV67">
        <f>IF(ISNUMBER(AB67),INDEX(AllCollegeChicago, MATCH(N67,AllCollegeNCES,0))*BB67,0)</f>
        <v>0</v>
      </c>
      <c r="BW67">
        <f>IF(ISNUMBER(AB67),INDEX(AllCollegeMoneyCode, MATCH(N67,AllCollegeNCES,0)),"?")</f>
        <v>0</v>
      </c>
      <c r="BX67">
        <f>IF(OR(BW67="---",BW67="--",BW67="+/--",BW67="+/---"),1,0)</f>
        <v>0</v>
      </c>
      <c r="BY67">
        <f>BB67*AR67*AT67</f>
        <v>0</v>
      </c>
    </row>
    <row r="68" spans="1:77">
      <c r="A68" t="s">
        <v>96</v>
      </c>
      <c r="B68">
        <v>22264507</v>
      </c>
      <c r="C68" t="s">
        <v>178</v>
      </c>
      <c r="D68" t="s">
        <v>179</v>
      </c>
      <c r="E68" t="s">
        <v>446</v>
      </c>
      <c r="F68" t="s">
        <v>456</v>
      </c>
      <c r="G68" t="s">
        <v>448</v>
      </c>
      <c r="H68" t="s">
        <v>449</v>
      </c>
      <c r="I68" t="s">
        <v>450</v>
      </c>
      <c r="J68" t="s">
        <v>450</v>
      </c>
      <c r="K68">
        <v>0</v>
      </c>
      <c r="L68" t="s">
        <v>446</v>
      </c>
      <c r="M68" t="s">
        <v>446</v>
      </c>
      <c r="N68">
        <v>149772</v>
      </c>
      <c r="O68">
        <f>INDEX(Counselor,MATCH(B68,KidIDs,0))</f>
        <v>0</v>
      </c>
      <c r="P68">
        <f>INDEX(Advisors,MATCH(B68,KidIDs,0))</f>
        <v>0</v>
      </c>
      <c r="Q68">
        <f>INDEX(Cohort,MATCH(B68,KidIDs,0))</f>
        <v>0</v>
      </c>
      <c r="R68">
        <f>INDEX(AllCollegeBarrons,MATCH(N68,AllCollegeNCES,0))</f>
        <v>0</v>
      </c>
      <c r="S68">
        <f>INDEX(KidGPAs,MATCH(B68,KidIDs,0))</f>
        <v>0</v>
      </c>
      <c r="T68">
        <f>INDEX(KidSATs,MATCH(B68,KidIDs,0))</f>
        <v>0</v>
      </c>
      <c r="U68">
        <f>INDEX(Strats,MATCH(B68,KidIDs,0))</f>
        <v>0</v>
      </c>
      <c r="V68">
        <f>INDEX(KidRace,MATCH(B68,KidIDs,0))</f>
        <v>0</v>
      </c>
      <c r="W68">
        <f>IF(OR(V68="M",V68="I"),"H",IF(V68="P","A",V68))</f>
        <v>0</v>
      </c>
      <c r="X68">
        <f>INDEX(StudentTargets,MATCH(B68,KidIDs,0))</f>
        <v>0</v>
      </c>
      <c r="Y68">
        <f>INDEX(ReachStudentTargets,MATCH(B68,KidIDs,0))</f>
        <v>0</v>
      </c>
      <c r="Z68">
        <f>IF(OR(M68="Posse"),1,0)</f>
        <v>0</v>
      </c>
      <c r="AA68">
        <f>IF(ISNUMBER(INDEX(AllCollegeGR, MATCH(N68,AllCollegeNCES,0))),ROUND(INDEX(AllCollegeGR, MATCH(N68,AllCollegeNCES,0))+Z68*IF(INDEX(AllCollegeGR, MATCH(N68,AllCollegeNCES,0))&gt;0.7,(1-INDEX(AllCollegeGR, MATCH(N68,AllCollegeNCES,0)))/2,0.15),2),INDEX(AllCollegeGR, MATCH(N68,AllCollegeNCES,0)))</f>
        <v>0</v>
      </c>
      <c r="AB68">
        <f>IF(ISNUMBER(INDEX(AllCollegeAAHGR, MATCH(N68,AllCollegeNCES,0))),ROUND(INDEX(AllCollegeAAHGR, MATCH(N68,AllCollegeNCES,0))+Z68*IF(INDEX(AllCollegeAAHGR, MATCH(N68,AllCollegeNCES,0))&gt;0.7,(1-INDEX(AllCollegeAAHGR, MATCH(N68,AllCollegeNCES,0)))/2,0.15),2),INDEX(AllCollegeAAHGR, MATCH(N68,AllCollegeNCES,0)))</f>
        <v>0</v>
      </c>
      <c r="AC68">
        <f>IF(OR(W68="H",W68="B"),INDEX(AllCollegeSAT25, MATCH(N68,AllCollegeNCES,0)),INDEX(AllCollegeSAT50, MATCH(N68,AllCollegeNCES,0)))</f>
        <v>0</v>
      </c>
      <c r="AD68">
        <f>INDEX(CustomWeightsGPA,MATCH(W68&amp;":"&amp;N68,CustomWeightsIndex,0))</f>
        <v>0</v>
      </c>
      <c r="AE68">
        <f>INDEX(CustomWeightsSAT,MATCH(W68&amp;":"&amp;N68,CustomWeightsIndex,0))</f>
        <v>0</v>
      </c>
      <c r="AF68">
        <f>INDEX(CustomWeightsIntercept,MATCH(W68&amp;":"&amp;N68,CustomWeightsIndex,0))</f>
        <v>0</v>
      </c>
      <c r="AG68">
        <f>AD68*S68+AE68*T68+AF68</f>
        <v>0</v>
      </c>
      <c r="AH68">
        <f>INDEX(CoefficientsGPA,MATCH(W68&amp;":"&amp;R68,CoefficientsIndex,0))</f>
        <v>0</v>
      </c>
      <c r="AI68">
        <f>INDEX(CoefficientsSAT,MATCH(W68&amp;":"&amp;R68,CoefficientsIndex,0))</f>
        <v>0</v>
      </c>
      <c r="AJ68">
        <f>INDEX(CoefficientsIntercept,MATCH(W68&amp;":"&amp;R68,CoefficientsIndex,0))</f>
        <v>0</v>
      </c>
      <c r="AK68">
        <f>AH68*S68+(T68-AC68)*AI68+AJ68</f>
        <v>0</v>
      </c>
      <c r="AL68">
        <f>IF(ISNUMBER(AG68),AG68,AK68)</f>
        <v>0</v>
      </c>
      <c r="AM68">
        <f>IF(ISNUMBER(AL68),IF(ISNUMBER(AH68),IF(AND(AH68=1,AI68=1,AJ68=1),100,MIN(99,ROUND(100*EXP(AL68)/(1+EXP(AL68)),2))),MIN(99,ROUND(100*EXP(AL68)/(1+EXP(AL68)),2))),IF(ISTEXT(R68),IF(LEFT(R68,1)="2",100,"N/A"),"N/A"))</f>
        <v>0</v>
      </c>
      <c r="AN68">
        <f>IF(ISNUMBER(AM68),IF(AM68&gt;=99,IF(OR(U68=10,U68=11),MatchLabel,SureThingLabel),IF(AM68&gt;=95,SecureLabel,IF(AM68&gt;=80,SafetyLabel,IF(AM68&gt;=50,MatchLabel,IF(AM68&gt;=20,ReachLabel,IF(AM68&gt;=10,LongshotLabel,HailMaryLabel)))))),"Other")</f>
        <v>0</v>
      </c>
      <c r="AO68">
        <f>IF(OR(I68="accepted",I68="cond. accept",I68="summer admit"),IF(J68="yes","CHOICE!","Accepted!"),IF(I68="guar. transfer","Guar. Xfer",IF(I68="denied","Denied",IF(K68=1,"Waitlist",IF(L68=1,"Deferred",IF(G68="pending","Pending",IF(OR(G68="initial materials submitted",G68="mid-year submitted",G68="final submitted"),"Submitted",IF(H68="interest","Interest","?"))))))))</f>
        <v>0</v>
      </c>
      <c r="AP68">
        <f>IF(OR(AN68=ReachLabel,AN68=LongshotLabel,AN68=HailMaryLabel),1,0)</f>
        <v>0</v>
      </c>
      <c r="AQ68">
        <f>IF(OR(AP68=1,AN68=MatchLabel),1,0)</f>
        <v>0</v>
      </c>
      <c r="AR68">
        <f>IF(OR(AN68=MatchLabel,AN68=SafetyLabel,AN68=SecureLabel,AN68=SureThingLabel),1,0)</f>
        <v>0</v>
      </c>
      <c r="AS68">
        <f>IF(OR(W68="H",W68="B",W68="I",W68="M"),IF(ISNUMBER(AB68),ROUND(AB68,2),0),IF(ISNUMBER(AA68),ROUND(AA68,2),0))</f>
        <v>0</v>
      </c>
      <c r="AT68">
        <f>IF(AS68&gt;=X68,1,0)</f>
        <v>0</v>
      </c>
      <c r="AU68">
        <f>IF(AS68&gt;=Y68,1,0)</f>
        <v>0</v>
      </c>
      <c r="AV68">
        <f>IF(AS68&lt;(X68-0.10),1,0)</f>
        <v>0</v>
      </c>
      <c r="AW68">
        <f>1-AM68/100</f>
        <v>0</v>
      </c>
      <c r="AX68">
        <f>IF(AQ68=1,AW68,1)</f>
        <v>0</v>
      </c>
      <c r="AY68">
        <f>IF(AP68=1,AW68,1)</f>
        <v>0</v>
      </c>
      <c r="AZ68">
        <f>IF(AND(AT68=1,ISNUMBER(AW68)),$AW68,1)</f>
        <v>0</v>
      </c>
      <c r="BA68">
        <f>IF(AND(AU68=1,ISNUMBER(AW68)),$AW68,1)</f>
        <v>0</v>
      </c>
      <c r="BB68">
        <f>IF(ISNUMBER(AB68),INDEX(AllCollegeMoney, MATCH(N68,AllCollegeNCES,0)),0)</f>
        <v>0</v>
      </c>
      <c r="BC68">
        <f>IF(AND(AT68=1,ISNUMBER(AW68),BB68=1),$AW68,1)</f>
        <v>0</v>
      </c>
      <c r="BD68">
        <f>IF(AND(AU68=1,ISNUMBER(AW68),BB68=1),$AW68,1)</f>
        <v>0</v>
      </c>
      <c r="BE68">
        <f>IF(ISNUMBER(AB68),INDEX(AllCollegeILPub, MATCH(N68,AllCollegeNCES,0)),0)</f>
        <v>0</v>
      </c>
      <c r="BF68">
        <f>IF(AN68=ReachLabel,AS68,0)</f>
        <v>0</v>
      </c>
      <c r="BG68">
        <f>IF(AN68=MatchLabel,AS68,0)</f>
        <v>0</v>
      </c>
      <c r="BH68">
        <f>IF(AN68=SafetyLabel,AS68,0)</f>
        <v>0</v>
      </c>
      <c r="BI68">
        <f>IF(AN68=SecureLabel,AS68,0)</f>
        <v>0</v>
      </c>
      <c r="BJ68">
        <f>IF(AN68=SureThingLabel,AS68,0)</f>
        <v>0</v>
      </c>
      <c r="BK68">
        <f>MAX(BF68:BJ68)</f>
        <v>0</v>
      </c>
      <c r="BL68">
        <f>MAX(BG68:BJ68)</f>
        <v>0</v>
      </c>
      <c r="BM68">
        <f>MAX(BH68:BJ68)</f>
        <v>0</v>
      </c>
      <c r="BN68">
        <f>IF(AND(AN68=ReachLabel,BB68=1),AS68,0)</f>
        <v>0</v>
      </c>
      <c r="BO68">
        <f>IF(AND(AN68=MatchLabel,BB68=1),AS68,0)</f>
        <v>0</v>
      </c>
      <c r="BP68">
        <f>IF(AND(AN68=SafetyLabel,BB68=1),AS68,0)</f>
        <v>0</v>
      </c>
      <c r="BQ68">
        <f>IF(AND(AN68=SecureLabel,BB68=1),AS68,0)</f>
        <v>0</v>
      </c>
      <c r="BR68">
        <f>IF(AND(AN68=SureThingLabel,BB68=1),AS68,0)</f>
        <v>0</v>
      </c>
      <c r="BS68">
        <f>MAX(BN68:BR68)</f>
        <v>0</v>
      </c>
      <c r="BT68">
        <f>MAX(BO68:BR68)</f>
        <v>0</v>
      </c>
      <c r="BU68">
        <f>MAX(BP68:BR68)</f>
        <v>0</v>
      </c>
      <c r="BV68">
        <f>IF(ISNUMBER(AB68),INDEX(AllCollegeChicago, MATCH(N68,AllCollegeNCES,0))*BB68,0)</f>
        <v>0</v>
      </c>
      <c r="BW68">
        <f>IF(ISNUMBER(AB68),INDEX(AllCollegeMoneyCode, MATCH(N68,AllCollegeNCES,0)),"?")</f>
        <v>0</v>
      </c>
      <c r="BX68">
        <f>IF(OR(BW68="---",BW68="--",BW68="+/--",BW68="+/---"),1,0)</f>
        <v>0</v>
      </c>
      <c r="BY68">
        <f>BB68*AR68*AT68</f>
        <v>0</v>
      </c>
    </row>
    <row r="69" spans="1:77">
      <c r="A69" t="s">
        <v>96</v>
      </c>
      <c r="B69">
        <v>22264507</v>
      </c>
      <c r="C69" t="s">
        <v>178</v>
      </c>
      <c r="D69" t="s">
        <v>179</v>
      </c>
      <c r="E69" t="s">
        <v>446</v>
      </c>
      <c r="F69" t="s">
        <v>458</v>
      </c>
      <c r="G69" t="s">
        <v>448</v>
      </c>
      <c r="H69" t="s">
        <v>449</v>
      </c>
      <c r="I69" t="s">
        <v>450</v>
      </c>
      <c r="J69" t="s">
        <v>450</v>
      </c>
      <c r="K69">
        <v>0</v>
      </c>
      <c r="L69" t="s">
        <v>446</v>
      </c>
      <c r="M69" t="s">
        <v>446</v>
      </c>
      <c r="N69">
        <v>144892</v>
      </c>
      <c r="O69">
        <f>INDEX(Counselor,MATCH(B69,KidIDs,0))</f>
        <v>0</v>
      </c>
      <c r="P69">
        <f>INDEX(Advisors,MATCH(B69,KidIDs,0))</f>
        <v>0</v>
      </c>
      <c r="Q69">
        <f>INDEX(Cohort,MATCH(B69,KidIDs,0))</f>
        <v>0</v>
      </c>
      <c r="R69">
        <f>INDEX(AllCollegeBarrons,MATCH(N69,AllCollegeNCES,0))</f>
        <v>0</v>
      </c>
      <c r="S69">
        <f>INDEX(KidGPAs,MATCH(B69,KidIDs,0))</f>
        <v>0</v>
      </c>
      <c r="T69">
        <f>INDEX(KidSATs,MATCH(B69,KidIDs,0))</f>
        <v>0</v>
      </c>
      <c r="U69">
        <f>INDEX(Strats,MATCH(B69,KidIDs,0))</f>
        <v>0</v>
      </c>
      <c r="V69">
        <f>INDEX(KidRace,MATCH(B69,KidIDs,0))</f>
        <v>0</v>
      </c>
      <c r="W69">
        <f>IF(OR(V69="M",V69="I"),"H",IF(V69="P","A",V69))</f>
        <v>0</v>
      </c>
      <c r="X69">
        <f>INDEX(StudentTargets,MATCH(B69,KidIDs,0))</f>
        <v>0</v>
      </c>
      <c r="Y69">
        <f>INDEX(ReachStudentTargets,MATCH(B69,KidIDs,0))</f>
        <v>0</v>
      </c>
      <c r="Z69">
        <f>IF(OR(M69="Posse"),1,0)</f>
        <v>0</v>
      </c>
      <c r="AA69">
        <f>IF(ISNUMBER(INDEX(AllCollegeGR, MATCH(N69,AllCollegeNCES,0))),ROUND(INDEX(AllCollegeGR, MATCH(N69,AllCollegeNCES,0))+Z69*IF(INDEX(AllCollegeGR, MATCH(N69,AllCollegeNCES,0))&gt;0.7,(1-INDEX(AllCollegeGR, MATCH(N69,AllCollegeNCES,0)))/2,0.15),2),INDEX(AllCollegeGR, MATCH(N69,AllCollegeNCES,0)))</f>
        <v>0</v>
      </c>
      <c r="AB69">
        <f>IF(ISNUMBER(INDEX(AllCollegeAAHGR, MATCH(N69,AllCollegeNCES,0))),ROUND(INDEX(AllCollegeAAHGR, MATCH(N69,AllCollegeNCES,0))+Z69*IF(INDEX(AllCollegeAAHGR, MATCH(N69,AllCollegeNCES,0))&gt;0.7,(1-INDEX(AllCollegeAAHGR, MATCH(N69,AllCollegeNCES,0)))/2,0.15),2),INDEX(AllCollegeAAHGR, MATCH(N69,AllCollegeNCES,0)))</f>
        <v>0</v>
      </c>
      <c r="AC69">
        <f>IF(OR(W69="H",W69="B"),INDEX(AllCollegeSAT25, MATCH(N69,AllCollegeNCES,0)),INDEX(AllCollegeSAT50, MATCH(N69,AllCollegeNCES,0)))</f>
        <v>0</v>
      </c>
      <c r="AD69">
        <f>INDEX(CustomWeightsGPA,MATCH(W69&amp;":"&amp;N69,CustomWeightsIndex,0))</f>
        <v>0</v>
      </c>
      <c r="AE69">
        <f>INDEX(CustomWeightsSAT,MATCH(W69&amp;":"&amp;N69,CustomWeightsIndex,0))</f>
        <v>0</v>
      </c>
      <c r="AF69">
        <f>INDEX(CustomWeightsIntercept,MATCH(W69&amp;":"&amp;N69,CustomWeightsIndex,0))</f>
        <v>0</v>
      </c>
      <c r="AG69">
        <f>AD69*S69+AE69*T69+AF69</f>
        <v>0</v>
      </c>
      <c r="AH69">
        <f>INDEX(CoefficientsGPA,MATCH(W69&amp;":"&amp;R69,CoefficientsIndex,0))</f>
        <v>0</v>
      </c>
      <c r="AI69">
        <f>INDEX(CoefficientsSAT,MATCH(W69&amp;":"&amp;R69,CoefficientsIndex,0))</f>
        <v>0</v>
      </c>
      <c r="AJ69">
        <f>INDEX(CoefficientsIntercept,MATCH(W69&amp;":"&amp;R69,CoefficientsIndex,0))</f>
        <v>0</v>
      </c>
      <c r="AK69">
        <f>AH69*S69+(T69-AC69)*AI69+AJ69</f>
        <v>0</v>
      </c>
      <c r="AL69">
        <f>IF(ISNUMBER(AG69),AG69,AK69)</f>
        <v>0</v>
      </c>
      <c r="AM69">
        <f>IF(ISNUMBER(AL69),IF(ISNUMBER(AH69),IF(AND(AH69=1,AI69=1,AJ69=1),100,MIN(99,ROUND(100*EXP(AL69)/(1+EXP(AL69)),2))),MIN(99,ROUND(100*EXP(AL69)/(1+EXP(AL69)),2))),IF(ISTEXT(R69),IF(LEFT(R69,1)="2",100,"N/A"),"N/A"))</f>
        <v>0</v>
      </c>
      <c r="AN69">
        <f>IF(ISNUMBER(AM69),IF(AM69&gt;=99,IF(OR(U69=10,U69=11),MatchLabel,SureThingLabel),IF(AM69&gt;=95,SecureLabel,IF(AM69&gt;=80,SafetyLabel,IF(AM69&gt;=50,MatchLabel,IF(AM69&gt;=20,ReachLabel,IF(AM69&gt;=10,LongshotLabel,HailMaryLabel)))))),"Other")</f>
        <v>0</v>
      </c>
      <c r="AO69">
        <f>IF(OR(I69="accepted",I69="cond. accept",I69="summer admit"),IF(J69="yes","CHOICE!","Accepted!"),IF(I69="guar. transfer","Guar. Xfer",IF(I69="denied","Denied",IF(K69=1,"Waitlist",IF(L69=1,"Deferred",IF(G69="pending","Pending",IF(OR(G69="initial materials submitted",G69="mid-year submitted",G69="final submitted"),"Submitted",IF(H69="interest","Interest","?"))))))))</f>
        <v>0</v>
      </c>
      <c r="AP69">
        <f>IF(OR(AN69=ReachLabel,AN69=LongshotLabel,AN69=HailMaryLabel),1,0)</f>
        <v>0</v>
      </c>
      <c r="AQ69">
        <f>IF(OR(AP69=1,AN69=MatchLabel),1,0)</f>
        <v>0</v>
      </c>
      <c r="AR69">
        <f>IF(OR(AN69=MatchLabel,AN69=SafetyLabel,AN69=SecureLabel,AN69=SureThingLabel),1,0)</f>
        <v>0</v>
      </c>
      <c r="AS69">
        <f>IF(OR(W69="H",W69="B",W69="I",W69="M"),IF(ISNUMBER(AB69),ROUND(AB69,2),0),IF(ISNUMBER(AA69),ROUND(AA69,2),0))</f>
        <v>0</v>
      </c>
      <c r="AT69">
        <f>IF(AS69&gt;=X69,1,0)</f>
        <v>0</v>
      </c>
      <c r="AU69">
        <f>IF(AS69&gt;=Y69,1,0)</f>
        <v>0</v>
      </c>
      <c r="AV69">
        <f>IF(AS69&lt;(X69-0.10),1,0)</f>
        <v>0</v>
      </c>
      <c r="AW69">
        <f>1-AM69/100</f>
        <v>0</v>
      </c>
      <c r="AX69">
        <f>IF(AQ69=1,AW69,1)</f>
        <v>0</v>
      </c>
      <c r="AY69">
        <f>IF(AP69=1,AW69,1)</f>
        <v>0</v>
      </c>
      <c r="AZ69">
        <f>IF(AND(AT69=1,ISNUMBER(AW69)),$AW69,1)</f>
        <v>0</v>
      </c>
      <c r="BA69">
        <f>IF(AND(AU69=1,ISNUMBER(AW69)),$AW69,1)</f>
        <v>0</v>
      </c>
      <c r="BB69">
        <f>IF(ISNUMBER(AB69),INDEX(AllCollegeMoney, MATCH(N69,AllCollegeNCES,0)),0)</f>
        <v>0</v>
      </c>
      <c r="BC69">
        <f>IF(AND(AT69=1,ISNUMBER(AW69),BB69=1),$AW69,1)</f>
        <v>0</v>
      </c>
      <c r="BD69">
        <f>IF(AND(AU69=1,ISNUMBER(AW69),BB69=1),$AW69,1)</f>
        <v>0</v>
      </c>
      <c r="BE69">
        <f>IF(ISNUMBER(AB69),INDEX(AllCollegeILPub, MATCH(N69,AllCollegeNCES,0)),0)</f>
        <v>0</v>
      </c>
      <c r="BF69">
        <f>IF(AN69=ReachLabel,AS69,0)</f>
        <v>0</v>
      </c>
      <c r="BG69">
        <f>IF(AN69=MatchLabel,AS69,0)</f>
        <v>0</v>
      </c>
      <c r="BH69">
        <f>IF(AN69=SafetyLabel,AS69,0)</f>
        <v>0</v>
      </c>
      <c r="BI69">
        <f>IF(AN69=SecureLabel,AS69,0)</f>
        <v>0</v>
      </c>
      <c r="BJ69">
        <f>IF(AN69=SureThingLabel,AS69,0)</f>
        <v>0</v>
      </c>
      <c r="BK69">
        <f>MAX(BF69:BJ69)</f>
        <v>0</v>
      </c>
      <c r="BL69">
        <f>MAX(BG69:BJ69)</f>
        <v>0</v>
      </c>
      <c r="BM69">
        <f>MAX(BH69:BJ69)</f>
        <v>0</v>
      </c>
      <c r="BN69">
        <f>IF(AND(AN69=ReachLabel,BB69=1),AS69,0)</f>
        <v>0</v>
      </c>
      <c r="BO69">
        <f>IF(AND(AN69=MatchLabel,BB69=1),AS69,0)</f>
        <v>0</v>
      </c>
      <c r="BP69">
        <f>IF(AND(AN69=SafetyLabel,BB69=1),AS69,0)</f>
        <v>0</v>
      </c>
      <c r="BQ69">
        <f>IF(AND(AN69=SecureLabel,BB69=1),AS69,0)</f>
        <v>0</v>
      </c>
      <c r="BR69">
        <f>IF(AND(AN69=SureThingLabel,BB69=1),AS69,0)</f>
        <v>0</v>
      </c>
      <c r="BS69">
        <f>MAX(BN69:BR69)</f>
        <v>0</v>
      </c>
      <c r="BT69">
        <f>MAX(BO69:BR69)</f>
        <v>0</v>
      </c>
      <c r="BU69">
        <f>MAX(BP69:BR69)</f>
        <v>0</v>
      </c>
      <c r="BV69">
        <f>IF(ISNUMBER(AB69),INDEX(AllCollegeChicago, MATCH(N69,AllCollegeNCES,0))*BB69,0)</f>
        <v>0</v>
      </c>
      <c r="BW69">
        <f>IF(ISNUMBER(AB69),INDEX(AllCollegeMoneyCode, MATCH(N69,AllCollegeNCES,0)),"?")</f>
        <v>0</v>
      </c>
      <c r="BX69">
        <f>IF(OR(BW69="---",BW69="--",BW69="+/--",BW69="+/---"),1,0)</f>
        <v>0</v>
      </c>
      <c r="BY69">
        <f>BB69*AR69*AT69</f>
        <v>0</v>
      </c>
    </row>
    <row r="70" spans="1:77">
      <c r="A70" t="s">
        <v>96</v>
      </c>
      <c r="B70">
        <v>22264507</v>
      </c>
      <c r="C70" t="s">
        <v>178</v>
      </c>
      <c r="D70" t="s">
        <v>179</v>
      </c>
      <c r="E70" t="s">
        <v>446</v>
      </c>
      <c r="F70" t="s">
        <v>461</v>
      </c>
      <c r="G70" t="s">
        <v>448</v>
      </c>
      <c r="H70" t="s">
        <v>449</v>
      </c>
      <c r="I70" t="s">
        <v>450</v>
      </c>
      <c r="J70" t="s">
        <v>450</v>
      </c>
      <c r="K70">
        <v>0</v>
      </c>
      <c r="L70" t="s">
        <v>446</v>
      </c>
      <c r="M70" t="s">
        <v>446</v>
      </c>
      <c r="N70">
        <v>147536</v>
      </c>
      <c r="O70">
        <f>INDEX(Counselor,MATCH(B70,KidIDs,0))</f>
        <v>0</v>
      </c>
      <c r="P70">
        <f>INDEX(Advisors,MATCH(B70,KidIDs,0))</f>
        <v>0</v>
      </c>
      <c r="Q70">
        <f>INDEX(Cohort,MATCH(B70,KidIDs,0))</f>
        <v>0</v>
      </c>
      <c r="R70">
        <f>INDEX(AllCollegeBarrons,MATCH(N70,AllCollegeNCES,0))</f>
        <v>0</v>
      </c>
      <c r="S70">
        <f>INDEX(KidGPAs,MATCH(B70,KidIDs,0))</f>
        <v>0</v>
      </c>
      <c r="T70">
        <f>INDEX(KidSATs,MATCH(B70,KidIDs,0))</f>
        <v>0</v>
      </c>
      <c r="U70">
        <f>INDEX(Strats,MATCH(B70,KidIDs,0))</f>
        <v>0</v>
      </c>
      <c r="V70">
        <f>INDEX(KidRace,MATCH(B70,KidIDs,0))</f>
        <v>0</v>
      </c>
      <c r="W70">
        <f>IF(OR(V70="M",V70="I"),"H",IF(V70="P","A",V70))</f>
        <v>0</v>
      </c>
      <c r="X70">
        <f>INDEX(StudentTargets,MATCH(B70,KidIDs,0))</f>
        <v>0</v>
      </c>
      <c r="Y70">
        <f>INDEX(ReachStudentTargets,MATCH(B70,KidIDs,0))</f>
        <v>0</v>
      </c>
      <c r="Z70">
        <f>IF(OR(M70="Posse"),1,0)</f>
        <v>0</v>
      </c>
      <c r="AA70">
        <f>IF(ISNUMBER(INDEX(AllCollegeGR, MATCH(N70,AllCollegeNCES,0))),ROUND(INDEX(AllCollegeGR, MATCH(N70,AllCollegeNCES,0))+Z70*IF(INDEX(AllCollegeGR, MATCH(N70,AllCollegeNCES,0))&gt;0.7,(1-INDEX(AllCollegeGR, MATCH(N70,AllCollegeNCES,0)))/2,0.15),2),INDEX(AllCollegeGR, MATCH(N70,AllCollegeNCES,0)))</f>
        <v>0</v>
      </c>
      <c r="AB70">
        <f>IF(ISNUMBER(INDEX(AllCollegeAAHGR, MATCH(N70,AllCollegeNCES,0))),ROUND(INDEX(AllCollegeAAHGR, MATCH(N70,AllCollegeNCES,0))+Z70*IF(INDEX(AllCollegeAAHGR, MATCH(N70,AllCollegeNCES,0))&gt;0.7,(1-INDEX(AllCollegeAAHGR, MATCH(N70,AllCollegeNCES,0)))/2,0.15),2),INDEX(AllCollegeAAHGR, MATCH(N70,AllCollegeNCES,0)))</f>
        <v>0</v>
      </c>
      <c r="AC70">
        <f>IF(OR(W70="H",W70="B"),INDEX(AllCollegeSAT25, MATCH(N70,AllCollegeNCES,0)),INDEX(AllCollegeSAT50, MATCH(N70,AllCollegeNCES,0)))</f>
        <v>0</v>
      </c>
      <c r="AD70">
        <f>INDEX(CustomWeightsGPA,MATCH(W70&amp;":"&amp;N70,CustomWeightsIndex,0))</f>
        <v>0</v>
      </c>
      <c r="AE70">
        <f>INDEX(CustomWeightsSAT,MATCH(W70&amp;":"&amp;N70,CustomWeightsIndex,0))</f>
        <v>0</v>
      </c>
      <c r="AF70">
        <f>INDEX(CustomWeightsIntercept,MATCH(W70&amp;":"&amp;N70,CustomWeightsIndex,0))</f>
        <v>0</v>
      </c>
      <c r="AG70">
        <f>AD70*S70+AE70*T70+AF70</f>
        <v>0</v>
      </c>
      <c r="AH70">
        <f>INDEX(CoefficientsGPA,MATCH(W70&amp;":"&amp;R70,CoefficientsIndex,0))</f>
        <v>0</v>
      </c>
      <c r="AI70">
        <f>INDEX(CoefficientsSAT,MATCH(W70&amp;":"&amp;R70,CoefficientsIndex,0))</f>
        <v>0</v>
      </c>
      <c r="AJ70">
        <f>INDEX(CoefficientsIntercept,MATCH(W70&amp;":"&amp;R70,CoefficientsIndex,0))</f>
        <v>0</v>
      </c>
      <c r="AK70">
        <f>AH70*S70+(T70-AC70)*AI70+AJ70</f>
        <v>0</v>
      </c>
      <c r="AL70">
        <f>IF(ISNUMBER(AG70),AG70,AK70)</f>
        <v>0</v>
      </c>
      <c r="AM70">
        <f>IF(ISNUMBER(AL70),IF(ISNUMBER(AH70),IF(AND(AH70=1,AI70=1,AJ70=1),100,MIN(99,ROUND(100*EXP(AL70)/(1+EXP(AL70)),2))),MIN(99,ROUND(100*EXP(AL70)/(1+EXP(AL70)),2))),IF(ISTEXT(R70),IF(LEFT(R70,1)="2",100,"N/A"),"N/A"))</f>
        <v>0</v>
      </c>
      <c r="AN70">
        <f>IF(ISNUMBER(AM70),IF(AM70&gt;=99,IF(OR(U70=10,U70=11),MatchLabel,SureThingLabel),IF(AM70&gt;=95,SecureLabel,IF(AM70&gt;=80,SafetyLabel,IF(AM70&gt;=50,MatchLabel,IF(AM70&gt;=20,ReachLabel,IF(AM70&gt;=10,LongshotLabel,HailMaryLabel)))))),"Other")</f>
        <v>0</v>
      </c>
      <c r="AO70">
        <f>IF(OR(I70="accepted",I70="cond. accept",I70="summer admit"),IF(J70="yes","CHOICE!","Accepted!"),IF(I70="guar. transfer","Guar. Xfer",IF(I70="denied","Denied",IF(K70=1,"Waitlist",IF(L70=1,"Deferred",IF(G70="pending","Pending",IF(OR(G70="initial materials submitted",G70="mid-year submitted",G70="final submitted"),"Submitted",IF(H70="interest","Interest","?"))))))))</f>
        <v>0</v>
      </c>
      <c r="AP70">
        <f>IF(OR(AN70=ReachLabel,AN70=LongshotLabel,AN70=HailMaryLabel),1,0)</f>
        <v>0</v>
      </c>
      <c r="AQ70">
        <f>IF(OR(AP70=1,AN70=MatchLabel),1,0)</f>
        <v>0</v>
      </c>
      <c r="AR70">
        <f>IF(OR(AN70=MatchLabel,AN70=SafetyLabel,AN70=SecureLabel,AN70=SureThingLabel),1,0)</f>
        <v>0</v>
      </c>
      <c r="AS70">
        <f>IF(OR(W70="H",W70="B",W70="I",W70="M"),IF(ISNUMBER(AB70),ROUND(AB70,2),0),IF(ISNUMBER(AA70),ROUND(AA70,2),0))</f>
        <v>0</v>
      </c>
      <c r="AT70">
        <f>IF(AS70&gt;=X70,1,0)</f>
        <v>0</v>
      </c>
      <c r="AU70">
        <f>IF(AS70&gt;=Y70,1,0)</f>
        <v>0</v>
      </c>
      <c r="AV70">
        <f>IF(AS70&lt;(X70-0.10),1,0)</f>
        <v>0</v>
      </c>
      <c r="AW70">
        <f>1-AM70/100</f>
        <v>0</v>
      </c>
      <c r="AX70">
        <f>IF(AQ70=1,AW70,1)</f>
        <v>0</v>
      </c>
      <c r="AY70">
        <f>IF(AP70=1,AW70,1)</f>
        <v>0</v>
      </c>
      <c r="AZ70">
        <f>IF(AND(AT70=1,ISNUMBER(AW70)),$AW70,1)</f>
        <v>0</v>
      </c>
      <c r="BA70">
        <f>IF(AND(AU70=1,ISNUMBER(AW70)),$AW70,1)</f>
        <v>0</v>
      </c>
      <c r="BB70">
        <f>IF(ISNUMBER(AB70),INDEX(AllCollegeMoney, MATCH(N70,AllCollegeNCES,0)),0)</f>
        <v>0</v>
      </c>
      <c r="BC70">
        <f>IF(AND(AT70=1,ISNUMBER(AW70),BB70=1),$AW70,1)</f>
        <v>0</v>
      </c>
      <c r="BD70">
        <f>IF(AND(AU70=1,ISNUMBER(AW70),BB70=1),$AW70,1)</f>
        <v>0</v>
      </c>
      <c r="BE70">
        <f>IF(ISNUMBER(AB70),INDEX(AllCollegeILPub, MATCH(N70,AllCollegeNCES,0)),0)</f>
        <v>0</v>
      </c>
      <c r="BF70">
        <f>IF(AN70=ReachLabel,AS70,0)</f>
        <v>0</v>
      </c>
      <c r="BG70">
        <f>IF(AN70=MatchLabel,AS70,0)</f>
        <v>0</v>
      </c>
      <c r="BH70">
        <f>IF(AN70=SafetyLabel,AS70,0)</f>
        <v>0</v>
      </c>
      <c r="BI70">
        <f>IF(AN70=SecureLabel,AS70,0)</f>
        <v>0</v>
      </c>
      <c r="BJ70">
        <f>IF(AN70=SureThingLabel,AS70,0)</f>
        <v>0</v>
      </c>
      <c r="BK70">
        <f>MAX(BF70:BJ70)</f>
        <v>0</v>
      </c>
      <c r="BL70">
        <f>MAX(BG70:BJ70)</f>
        <v>0</v>
      </c>
      <c r="BM70">
        <f>MAX(BH70:BJ70)</f>
        <v>0</v>
      </c>
      <c r="BN70">
        <f>IF(AND(AN70=ReachLabel,BB70=1),AS70,0)</f>
        <v>0</v>
      </c>
      <c r="BO70">
        <f>IF(AND(AN70=MatchLabel,BB70=1),AS70,0)</f>
        <v>0</v>
      </c>
      <c r="BP70">
        <f>IF(AND(AN70=SafetyLabel,BB70=1),AS70,0)</f>
        <v>0</v>
      </c>
      <c r="BQ70">
        <f>IF(AND(AN70=SecureLabel,BB70=1),AS70,0)</f>
        <v>0</v>
      </c>
      <c r="BR70">
        <f>IF(AND(AN70=SureThingLabel,BB70=1),AS70,0)</f>
        <v>0</v>
      </c>
      <c r="BS70">
        <f>MAX(BN70:BR70)</f>
        <v>0</v>
      </c>
      <c r="BT70">
        <f>MAX(BO70:BR70)</f>
        <v>0</v>
      </c>
      <c r="BU70">
        <f>MAX(BP70:BR70)</f>
        <v>0</v>
      </c>
      <c r="BV70">
        <f>IF(ISNUMBER(AB70),INDEX(AllCollegeChicago, MATCH(N70,AllCollegeNCES,0))*BB70,0)</f>
        <v>0</v>
      </c>
      <c r="BW70">
        <f>IF(ISNUMBER(AB70),INDEX(AllCollegeMoneyCode, MATCH(N70,AllCollegeNCES,0)),"?")</f>
        <v>0</v>
      </c>
      <c r="BX70">
        <f>IF(OR(BW70="---",BW70="--",BW70="+/--",BW70="+/---"),1,0)</f>
        <v>0</v>
      </c>
      <c r="BY70">
        <f>BB70*AR70*AT70</f>
        <v>0</v>
      </c>
    </row>
    <row r="71" spans="1:77">
      <c r="A71" t="s">
        <v>96</v>
      </c>
      <c r="B71">
        <v>22347828</v>
      </c>
      <c r="C71" t="s">
        <v>191</v>
      </c>
      <c r="D71" t="s">
        <v>192</v>
      </c>
      <c r="E71" t="s">
        <v>446</v>
      </c>
      <c r="F71" t="s">
        <v>470</v>
      </c>
      <c r="G71" t="s">
        <v>479</v>
      </c>
      <c r="H71" t="s">
        <v>449</v>
      </c>
      <c r="I71" t="s">
        <v>450</v>
      </c>
      <c r="J71" t="s">
        <v>450</v>
      </c>
      <c r="K71">
        <v>0</v>
      </c>
      <c r="L71" t="s">
        <v>446</v>
      </c>
      <c r="M71" t="s">
        <v>446</v>
      </c>
      <c r="N71">
        <v>240444</v>
      </c>
      <c r="O71">
        <f>INDEX(Counselor,MATCH(B71,KidIDs,0))</f>
        <v>0</v>
      </c>
      <c r="P71">
        <f>INDEX(Advisors,MATCH(B71,KidIDs,0))</f>
        <v>0</v>
      </c>
      <c r="Q71">
        <f>INDEX(Cohort,MATCH(B71,KidIDs,0))</f>
        <v>0</v>
      </c>
      <c r="R71">
        <f>INDEX(AllCollegeBarrons,MATCH(N71,AllCollegeNCES,0))</f>
        <v>0</v>
      </c>
      <c r="S71">
        <f>INDEX(KidGPAs,MATCH(B71,KidIDs,0))</f>
        <v>0</v>
      </c>
      <c r="T71">
        <f>INDEX(KidSATs,MATCH(B71,KidIDs,0))</f>
        <v>0</v>
      </c>
      <c r="U71">
        <f>INDEX(Strats,MATCH(B71,KidIDs,0))</f>
        <v>0</v>
      </c>
      <c r="V71">
        <f>INDEX(KidRace,MATCH(B71,KidIDs,0))</f>
        <v>0</v>
      </c>
      <c r="W71">
        <f>IF(OR(V71="M",V71="I"),"H",IF(V71="P","A",V71))</f>
        <v>0</v>
      </c>
      <c r="X71">
        <f>INDEX(StudentTargets,MATCH(B71,KidIDs,0))</f>
        <v>0</v>
      </c>
      <c r="Y71">
        <f>INDEX(ReachStudentTargets,MATCH(B71,KidIDs,0))</f>
        <v>0</v>
      </c>
      <c r="Z71">
        <f>IF(OR(M71="Posse"),1,0)</f>
        <v>0</v>
      </c>
      <c r="AA71">
        <f>IF(ISNUMBER(INDEX(AllCollegeGR, MATCH(N71,AllCollegeNCES,0))),ROUND(INDEX(AllCollegeGR, MATCH(N71,AllCollegeNCES,0))+Z71*IF(INDEX(AllCollegeGR, MATCH(N71,AllCollegeNCES,0))&gt;0.7,(1-INDEX(AllCollegeGR, MATCH(N71,AllCollegeNCES,0)))/2,0.15),2),INDEX(AllCollegeGR, MATCH(N71,AllCollegeNCES,0)))</f>
        <v>0</v>
      </c>
      <c r="AB71">
        <f>IF(ISNUMBER(INDEX(AllCollegeAAHGR, MATCH(N71,AllCollegeNCES,0))),ROUND(INDEX(AllCollegeAAHGR, MATCH(N71,AllCollegeNCES,0))+Z71*IF(INDEX(AllCollegeAAHGR, MATCH(N71,AllCollegeNCES,0))&gt;0.7,(1-INDEX(AllCollegeAAHGR, MATCH(N71,AllCollegeNCES,0)))/2,0.15),2),INDEX(AllCollegeAAHGR, MATCH(N71,AllCollegeNCES,0)))</f>
        <v>0</v>
      </c>
      <c r="AC71">
        <f>IF(OR(W71="H",W71="B"),INDEX(AllCollegeSAT25, MATCH(N71,AllCollegeNCES,0)),INDEX(AllCollegeSAT50, MATCH(N71,AllCollegeNCES,0)))</f>
        <v>0</v>
      </c>
      <c r="AD71">
        <f>INDEX(CustomWeightsGPA,MATCH(W71&amp;":"&amp;N71,CustomWeightsIndex,0))</f>
        <v>0</v>
      </c>
      <c r="AE71">
        <f>INDEX(CustomWeightsSAT,MATCH(W71&amp;":"&amp;N71,CustomWeightsIndex,0))</f>
        <v>0</v>
      </c>
      <c r="AF71">
        <f>INDEX(CustomWeightsIntercept,MATCH(W71&amp;":"&amp;N71,CustomWeightsIndex,0))</f>
        <v>0</v>
      </c>
      <c r="AG71">
        <f>AD71*S71+AE71*T71+AF71</f>
        <v>0</v>
      </c>
      <c r="AH71">
        <f>INDEX(CoefficientsGPA,MATCH(W71&amp;":"&amp;R71,CoefficientsIndex,0))</f>
        <v>0</v>
      </c>
      <c r="AI71">
        <f>INDEX(CoefficientsSAT,MATCH(W71&amp;":"&amp;R71,CoefficientsIndex,0))</f>
        <v>0</v>
      </c>
      <c r="AJ71">
        <f>INDEX(CoefficientsIntercept,MATCH(W71&amp;":"&amp;R71,CoefficientsIndex,0))</f>
        <v>0</v>
      </c>
      <c r="AK71">
        <f>AH71*S71+(T71-AC71)*AI71+AJ71</f>
        <v>0</v>
      </c>
      <c r="AL71">
        <f>IF(ISNUMBER(AG71),AG71,AK71)</f>
        <v>0</v>
      </c>
      <c r="AM71">
        <f>IF(ISNUMBER(AL71),IF(ISNUMBER(AH71),IF(AND(AH71=1,AI71=1,AJ71=1),100,MIN(99,ROUND(100*EXP(AL71)/(1+EXP(AL71)),2))),MIN(99,ROUND(100*EXP(AL71)/(1+EXP(AL71)),2))),IF(ISTEXT(R71),IF(LEFT(R71,1)="2",100,"N/A"),"N/A"))</f>
        <v>0</v>
      </c>
      <c r="AN71">
        <f>IF(ISNUMBER(AM71),IF(AM71&gt;=99,IF(OR(U71=10,U71=11),MatchLabel,SureThingLabel),IF(AM71&gt;=95,SecureLabel,IF(AM71&gt;=80,SafetyLabel,IF(AM71&gt;=50,MatchLabel,IF(AM71&gt;=20,ReachLabel,IF(AM71&gt;=10,LongshotLabel,HailMaryLabel)))))),"Other")</f>
        <v>0</v>
      </c>
      <c r="AO71">
        <f>IF(OR(I71="accepted",I71="cond. accept",I71="summer admit"),IF(J71="yes","CHOICE!","Accepted!"),IF(I71="guar. transfer","Guar. Xfer",IF(I71="denied","Denied",IF(K71=1,"Waitlist",IF(L71=1,"Deferred",IF(G71="pending","Pending",IF(OR(G71="initial materials submitted",G71="mid-year submitted",G71="final submitted"),"Submitted",IF(H71="interest","Interest","?"))))))))</f>
        <v>0</v>
      </c>
      <c r="AP71">
        <f>IF(OR(AN71=ReachLabel,AN71=LongshotLabel,AN71=HailMaryLabel),1,0)</f>
        <v>0</v>
      </c>
      <c r="AQ71">
        <f>IF(OR(AP71=1,AN71=MatchLabel),1,0)</f>
        <v>0</v>
      </c>
      <c r="AR71">
        <f>IF(OR(AN71=MatchLabel,AN71=SafetyLabel,AN71=SecureLabel,AN71=SureThingLabel),1,0)</f>
        <v>0</v>
      </c>
      <c r="AS71">
        <f>IF(OR(W71="H",W71="B",W71="I",W71="M"),IF(ISNUMBER(AB71),ROUND(AB71,2),0),IF(ISNUMBER(AA71),ROUND(AA71,2),0))</f>
        <v>0</v>
      </c>
      <c r="AT71">
        <f>IF(AS71&gt;=X71,1,0)</f>
        <v>0</v>
      </c>
      <c r="AU71">
        <f>IF(AS71&gt;=Y71,1,0)</f>
        <v>0</v>
      </c>
      <c r="AV71">
        <f>IF(AS71&lt;(X71-0.10),1,0)</f>
        <v>0</v>
      </c>
      <c r="AW71">
        <f>1-AM71/100</f>
        <v>0</v>
      </c>
      <c r="AX71">
        <f>IF(AQ71=1,AW71,1)</f>
        <v>0</v>
      </c>
      <c r="AY71">
        <f>IF(AP71=1,AW71,1)</f>
        <v>0</v>
      </c>
      <c r="AZ71">
        <f>IF(AND(AT71=1,ISNUMBER(AW71)),$AW71,1)</f>
        <v>0</v>
      </c>
      <c r="BA71">
        <f>IF(AND(AU71=1,ISNUMBER(AW71)),$AW71,1)</f>
        <v>0</v>
      </c>
      <c r="BB71">
        <f>IF(ISNUMBER(AB71),INDEX(AllCollegeMoney, MATCH(N71,AllCollegeNCES,0)),0)</f>
        <v>0</v>
      </c>
      <c r="BC71">
        <f>IF(AND(AT71=1,ISNUMBER(AW71),BB71=1),$AW71,1)</f>
        <v>0</v>
      </c>
      <c r="BD71">
        <f>IF(AND(AU71=1,ISNUMBER(AW71),BB71=1),$AW71,1)</f>
        <v>0</v>
      </c>
      <c r="BE71">
        <f>IF(ISNUMBER(AB71),INDEX(AllCollegeILPub, MATCH(N71,AllCollegeNCES,0)),0)</f>
        <v>0</v>
      </c>
      <c r="BF71">
        <f>IF(AN71=ReachLabel,AS71,0)</f>
        <v>0</v>
      </c>
      <c r="BG71">
        <f>IF(AN71=MatchLabel,AS71,0)</f>
        <v>0</v>
      </c>
      <c r="BH71">
        <f>IF(AN71=SafetyLabel,AS71,0)</f>
        <v>0</v>
      </c>
      <c r="BI71">
        <f>IF(AN71=SecureLabel,AS71,0)</f>
        <v>0</v>
      </c>
      <c r="BJ71">
        <f>IF(AN71=SureThingLabel,AS71,0)</f>
        <v>0</v>
      </c>
      <c r="BK71">
        <f>MAX(BF71:BJ71)</f>
        <v>0</v>
      </c>
      <c r="BL71">
        <f>MAX(BG71:BJ71)</f>
        <v>0</v>
      </c>
      <c r="BM71">
        <f>MAX(BH71:BJ71)</f>
        <v>0</v>
      </c>
      <c r="BN71">
        <f>IF(AND(AN71=ReachLabel,BB71=1),AS71,0)</f>
        <v>0</v>
      </c>
      <c r="BO71">
        <f>IF(AND(AN71=MatchLabel,BB71=1),AS71,0)</f>
        <v>0</v>
      </c>
      <c r="BP71">
        <f>IF(AND(AN71=SafetyLabel,BB71=1),AS71,0)</f>
        <v>0</v>
      </c>
      <c r="BQ71">
        <f>IF(AND(AN71=SecureLabel,BB71=1),AS71,0)</f>
        <v>0</v>
      </c>
      <c r="BR71">
        <f>IF(AND(AN71=SureThingLabel,BB71=1),AS71,0)</f>
        <v>0</v>
      </c>
      <c r="BS71">
        <f>MAX(BN71:BR71)</f>
        <v>0</v>
      </c>
      <c r="BT71">
        <f>MAX(BO71:BR71)</f>
        <v>0</v>
      </c>
      <c r="BU71">
        <f>MAX(BP71:BR71)</f>
        <v>0</v>
      </c>
      <c r="BV71">
        <f>IF(ISNUMBER(AB71),INDEX(AllCollegeChicago, MATCH(N71,AllCollegeNCES,0))*BB71,0)</f>
        <v>0</v>
      </c>
      <c r="BW71">
        <f>IF(ISNUMBER(AB71),INDEX(AllCollegeMoneyCode, MATCH(N71,AllCollegeNCES,0)),"?")</f>
        <v>0</v>
      </c>
      <c r="BX71">
        <f>IF(OR(BW71="---",BW71="--",BW71="+/--",BW71="+/---"),1,0)</f>
        <v>0</v>
      </c>
      <c r="BY71">
        <f>BB71*AR71*AT71</f>
        <v>0</v>
      </c>
    </row>
    <row r="72" spans="1:77">
      <c r="A72" t="s">
        <v>96</v>
      </c>
      <c r="B72">
        <v>22347828</v>
      </c>
      <c r="C72" t="s">
        <v>191</v>
      </c>
      <c r="D72" t="s">
        <v>192</v>
      </c>
      <c r="E72" t="s">
        <v>446</v>
      </c>
      <c r="F72" t="s">
        <v>471</v>
      </c>
      <c r="G72" t="s">
        <v>448</v>
      </c>
      <c r="H72" t="s">
        <v>449</v>
      </c>
      <c r="I72" t="s">
        <v>450</v>
      </c>
      <c r="J72" t="s">
        <v>450</v>
      </c>
      <c r="K72">
        <v>0</v>
      </c>
      <c r="L72" t="s">
        <v>446</v>
      </c>
      <c r="M72" t="s">
        <v>446</v>
      </c>
      <c r="N72">
        <v>202523</v>
      </c>
      <c r="O72">
        <f>INDEX(Counselor,MATCH(B72,KidIDs,0))</f>
        <v>0</v>
      </c>
      <c r="P72">
        <f>INDEX(Advisors,MATCH(B72,KidIDs,0))</f>
        <v>0</v>
      </c>
      <c r="Q72">
        <f>INDEX(Cohort,MATCH(B72,KidIDs,0))</f>
        <v>0</v>
      </c>
      <c r="R72">
        <f>INDEX(AllCollegeBarrons,MATCH(N72,AllCollegeNCES,0))</f>
        <v>0</v>
      </c>
      <c r="S72">
        <f>INDEX(KidGPAs,MATCH(B72,KidIDs,0))</f>
        <v>0</v>
      </c>
      <c r="T72">
        <f>INDEX(KidSATs,MATCH(B72,KidIDs,0))</f>
        <v>0</v>
      </c>
      <c r="U72">
        <f>INDEX(Strats,MATCH(B72,KidIDs,0))</f>
        <v>0</v>
      </c>
      <c r="V72">
        <f>INDEX(KidRace,MATCH(B72,KidIDs,0))</f>
        <v>0</v>
      </c>
      <c r="W72">
        <f>IF(OR(V72="M",V72="I"),"H",IF(V72="P","A",V72))</f>
        <v>0</v>
      </c>
      <c r="X72">
        <f>INDEX(StudentTargets,MATCH(B72,KidIDs,0))</f>
        <v>0</v>
      </c>
      <c r="Y72">
        <f>INDEX(ReachStudentTargets,MATCH(B72,KidIDs,0))</f>
        <v>0</v>
      </c>
      <c r="Z72">
        <f>IF(OR(M72="Posse"),1,0)</f>
        <v>0</v>
      </c>
      <c r="AA72">
        <f>IF(ISNUMBER(INDEX(AllCollegeGR, MATCH(N72,AllCollegeNCES,0))),ROUND(INDEX(AllCollegeGR, MATCH(N72,AllCollegeNCES,0))+Z72*IF(INDEX(AllCollegeGR, MATCH(N72,AllCollegeNCES,0))&gt;0.7,(1-INDEX(AllCollegeGR, MATCH(N72,AllCollegeNCES,0)))/2,0.15),2),INDEX(AllCollegeGR, MATCH(N72,AllCollegeNCES,0)))</f>
        <v>0</v>
      </c>
      <c r="AB72">
        <f>IF(ISNUMBER(INDEX(AllCollegeAAHGR, MATCH(N72,AllCollegeNCES,0))),ROUND(INDEX(AllCollegeAAHGR, MATCH(N72,AllCollegeNCES,0))+Z72*IF(INDEX(AllCollegeAAHGR, MATCH(N72,AllCollegeNCES,0))&gt;0.7,(1-INDEX(AllCollegeAAHGR, MATCH(N72,AllCollegeNCES,0)))/2,0.15),2),INDEX(AllCollegeAAHGR, MATCH(N72,AllCollegeNCES,0)))</f>
        <v>0</v>
      </c>
      <c r="AC72">
        <f>IF(OR(W72="H",W72="B"),INDEX(AllCollegeSAT25, MATCH(N72,AllCollegeNCES,0)),INDEX(AllCollegeSAT50, MATCH(N72,AllCollegeNCES,0)))</f>
        <v>0</v>
      </c>
      <c r="AD72">
        <f>INDEX(CustomWeightsGPA,MATCH(W72&amp;":"&amp;N72,CustomWeightsIndex,0))</f>
        <v>0</v>
      </c>
      <c r="AE72">
        <f>INDEX(CustomWeightsSAT,MATCH(W72&amp;":"&amp;N72,CustomWeightsIndex,0))</f>
        <v>0</v>
      </c>
      <c r="AF72">
        <f>INDEX(CustomWeightsIntercept,MATCH(W72&amp;":"&amp;N72,CustomWeightsIndex,0))</f>
        <v>0</v>
      </c>
      <c r="AG72">
        <f>AD72*S72+AE72*T72+AF72</f>
        <v>0</v>
      </c>
      <c r="AH72">
        <f>INDEX(CoefficientsGPA,MATCH(W72&amp;":"&amp;R72,CoefficientsIndex,0))</f>
        <v>0</v>
      </c>
      <c r="AI72">
        <f>INDEX(CoefficientsSAT,MATCH(W72&amp;":"&amp;R72,CoefficientsIndex,0))</f>
        <v>0</v>
      </c>
      <c r="AJ72">
        <f>INDEX(CoefficientsIntercept,MATCH(W72&amp;":"&amp;R72,CoefficientsIndex,0))</f>
        <v>0</v>
      </c>
      <c r="AK72">
        <f>AH72*S72+(T72-AC72)*AI72+AJ72</f>
        <v>0</v>
      </c>
      <c r="AL72">
        <f>IF(ISNUMBER(AG72),AG72,AK72)</f>
        <v>0</v>
      </c>
      <c r="AM72">
        <f>IF(ISNUMBER(AL72),IF(ISNUMBER(AH72),IF(AND(AH72=1,AI72=1,AJ72=1),100,MIN(99,ROUND(100*EXP(AL72)/(1+EXP(AL72)),2))),MIN(99,ROUND(100*EXP(AL72)/(1+EXP(AL72)),2))),IF(ISTEXT(R72),IF(LEFT(R72,1)="2",100,"N/A"),"N/A"))</f>
        <v>0</v>
      </c>
      <c r="AN72">
        <f>IF(ISNUMBER(AM72),IF(AM72&gt;=99,IF(OR(U72=10,U72=11),MatchLabel,SureThingLabel),IF(AM72&gt;=95,SecureLabel,IF(AM72&gt;=80,SafetyLabel,IF(AM72&gt;=50,MatchLabel,IF(AM72&gt;=20,ReachLabel,IF(AM72&gt;=10,LongshotLabel,HailMaryLabel)))))),"Other")</f>
        <v>0</v>
      </c>
      <c r="AO72">
        <f>IF(OR(I72="accepted",I72="cond. accept",I72="summer admit"),IF(J72="yes","CHOICE!","Accepted!"),IF(I72="guar. transfer","Guar. Xfer",IF(I72="denied","Denied",IF(K72=1,"Waitlist",IF(L72=1,"Deferred",IF(G72="pending","Pending",IF(OR(G72="initial materials submitted",G72="mid-year submitted",G72="final submitted"),"Submitted",IF(H72="interest","Interest","?"))))))))</f>
        <v>0</v>
      </c>
      <c r="AP72">
        <f>IF(OR(AN72=ReachLabel,AN72=LongshotLabel,AN72=HailMaryLabel),1,0)</f>
        <v>0</v>
      </c>
      <c r="AQ72">
        <f>IF(OR(AP72=1,AN72=MatchLabel),1,0)</f>
        <v>0</v>
      </c>
      <c r="AR72">
        <f>IF(OR(AN72=MatchLabel,AN72=SafetyLabel,AN72=SecureLabel,AN72=SureThingLabel),1,0)</f>
        <v>0</v>
      </c>
      <c r="AS72">
        <f>IF(OR(W72="H",W72="B",W72="I",W72="M"),IF(ISNUMBER(AB72),ROUND(AB72,2),0),IF(ISNUMBER(AA72),ROUND(AA72,2),0))</f>
        <v>0</v>
      </c>
      <c r="AT72">
        <f>IF(AS72&gt;=X72,1,0)</f>
        <v>0</v>
      </c>
      <c r="AU72">
        <f>IF(AS72&gt;=Y72,1,0)</f>
        <v>0</v>
      </c>
      <c r="AV72">
        <f>IF(AS72&lt;(X72-0.10),1,0)</f>
        <v>0</v>
      </c>
      <c r="AW72">
        <f>1-AM72/100</f>
        <v>0</v>
      </c>
      <c r="AX72">
        <f>IF(AQ72=1,AW72,1)</f>
        <v>0</v>
      </c>
      <c r="AY72">
        <f>IF(AP72=1,AW72,1)</f>
        <v>0</v>
      </c>
      <c r="AZ72">
        <f>IF(AND(AT72=1,ISNUMBER(AW72)),$AW72,1)</f>
        <v>0</v>
      </c>
      <c r="BA72">
        <f>IF(AND(AU72=1,ISNUMBER(AW72)),$AW72,1)</f>
        <v>0</v>
      </c>
      <c r="BB72">
        <f>IF(ISNUMBER(AB72),INDEX(AllCollegeMoney, MATCH(N72,AllCollegeNCES,0)),0)</f>
        <v>0</v>
      </c>
      <c r="BC72">
        <f>IF(AND(AT72=1,ISNUMBER(AW72),BB72=1),$AW72,1)</f>
        <v>0</v>
      </c>
      <c r="BD72">
        <f>IF(AND(AU72=1,ISNUMBER(AW72),BB72=1),$AW72,1)</f>
        <v>0</v>
      </c>
      <c r="BE72">
        <f>IF(ISNUMBER(AB72),INDEX(AllCollegeILPub, MATCH(N72,AllCollegeNCES,0)),0)</f>
        <v>0</v>
      </c>
      <c r="BF72">
        <f>IF(AN72=ReachLabel,AS72,0)</f>
        <v>0</v>
      </c>
      <c r="BG72">
        <f>IF(AN72=MatchLabel,AS72,0)</f>
        <v>0</v>
      </c>
      <c r="BH72">
        <f>IF(AN72=SafetyLabel,AS72,0)</f>
        <v>0</v>
      </c>
      <c r="BI72">
        <f>IF(AN72=SecureLabel,AS72,0)</f>
        <v>0</v>
      </c>
      <c r="BJ72">
        <f>IF(AN72=SureThingLabel,AS72,0)</f>
        <v>0</v>
      </c>
      <c r="BK72">
        <f>MAX(BF72:BJ72)</f>
        <v>0</v>
      </c>
      <c r="BL72">
        <f>MAX(BG72:BJ72)</f>
        <v>0</v>
      </c>
      <c r="BM72">
        <f>MAX(BH72:BJ72)</f>
        <v>0</v>
      </c>
      <c r="BN72">
        <f>IF(AND(AN72=ReachLabel,BB72=1),AS72,0)</f>
        <v>0</v>
      </c>
      <c r="BO72">
        <f>IF(AND(AN72=MatchLabel,BB72=1),AS72,0)</f>
        <v>0</v>
      </c>
      <c r="BP72">
        <f>IF(AND(AN72=SafetyLabel,BB72=1),AS72,0)</f>
        <v>0</v>
      </c>
      <c r="BQ72">
        <f>IF(AND(AN72=SecureLabel,BB72=1),AS72,0)</f>
        <v>0</v>
      </c>
      <c r="BR72">
        <f>IF(AND(AN72=SureThingLabel,BB72=1),AS72,0)</f>
        <v>0</v>
      </c>
      <c r="BS72">
        <f>MAX(BN72:BR72)</f>
        <v>0</v>
      </c>
      <c r="BT72">
        <f>MAX(BO72:BR72)</f>
        <v>0</v>
      </c>
      <c r="BU72">
        <f>MAX(BP72:BR72)</f>
        <v>0</v>
      </c>
      <c r="BV72">
        <f>IF(ISNUMBER(AB72),INDEX(AllCollegeChicago, MATCH(N72,AllCollegeNCES,0))*BB72,0)</f>
        <v>0</v>
      </c>
      <c r="BW72">
        <f>IF(ISNUMBER(AB72),INDEX(AllCollegeMoneyCode, MATCH(N72,AllCollegeNCES,0)),"?")</f>
        <v>0</v>
      </c>
      <c r="BX72">
        <f>IF(OR(BW72="---",BW72="--",BW72="+/--",BW72="+/---"),1,0)</f>
        <v>0</v>
      </c>
      <c r="BY72">
        <f>BB72*AR72*AT72</f>
        <v>0</v>
      </c>
    </row>
    <row r="73" spans="1:77">
      <c r="A73" t="s">
        <v>96</v>
      </c>
      <c r="B73">
        <v>22347828</v>
      </c>
      <c r="C73" t="s">
        <v>191</v>
      </c>
      <c r="D73" t="s">
        <v>192</v>
      </c>
      <c r="E73" t="s">
        <v>446</v>
      </c>
      <c r="F73" t="s">
        <v>475</v>
      </c>
      <c r="G73" t="s">
        <v>448</v>
      </c>
      <c r="H73" t="s">
        <v>449</v>
      </c>
      <c r="I73" t="s">
        <v>450</v>
      </c>
      <c r="J73" t="s">
        <v>450</v>
      </c>
      <c r="K73">
        <v>0</v>
      </c>
      <c r="L73" t="s">
        <v>446</v>
      </c>
      <c r="M73" t="s">
        <v>446</v>
      </c>
      <c r="N73">
        <v>145637</v>
      </c>
      <c r="O73">
        <f>INDEX(Counselor,MATCH(B73,KidIDs,0))</f>
        <v>0</v>
      </c>
      <c r="P73">
        <f>INDEX(Advisors,MATCH(B73,KidIDs,0))</f>
        <v>0</v>
      </c>
      <c r="Q73">
        <f>INDEX(Cohort,MATCH(B73,KidIDs,0))</f>
        <v>0</v>
      </c>
      <c r="R73">
        <f>INDEX(AllCollegeBarrons,MATCH(N73,AllCollegeNCES,0))</f>
        <v>0</v>
      </c>
      <c r="S73">
        <f>INDEX(KidGPAs,MATCH(B73,KidIDs,0))</f>
        <v>0</v>
      </c>
      <c r="T73">
        <f>INDEX(KidSATs,MATCH(B73,KidIDs,0))</f>
        <v>0</v>
      </c>
      <c r="U73">
        <f>INDEX(Strats,MATCH(B73,KidIDs,0))</f>
        <v>0</v>
      </c>
      <c r="V73">
        <f>INDEX(KidRace,MATCH(B73,KidIDs,0))</f>
        <v>0</v>
      </c>
      <c r="W73">
        <f>IF(OR(V73="M",V73="I"),"H",IF(V73="P","A",V73))</f>
        <v>0</v>
      </c>
      <c r="X73">
        <f>INDEX(StudentTargets,MATCH(B73,KidIDs,0))</f>
        <v>0</v>
      </c>
      <c r="Y73">
        <f>INDEX(ReachStudentTargets,MATCH(B73,KidIDs,0))</f>
        <v>0</v>
      </c>
      <c r="Z73">
        <f>IF(OR(M73="Posse"),1,0)</f>
        <v>0</v>
      </c>
      <c r="AA73">
        <f>IF(ISNUMBER(INDEX(AllCollegeGR, MATCH(N73,AllCollegeNCES,0))),ROUND(INDEX(AllCollegeGR, MATCH(N73,AllCollegeNCES,0))+Z73*IF(INDEX(AllCollegeGR, MATCH(N73,AllCollegeNCES,0))&gt;0.7,(1-INDEX(AllCollegeGR, MATCH(N73,AllCollegeNCES,0)))/2,0.15),2),INDEX(AllCollegeGR, MATCH(N73,AllCollegeNCES,0)))</f>
        <v>0</v>
      </c>
      <c r="AB73">
        <f>IF(ISNUMBER(INDEX(AllCollegeAAHGR, MATCH(N73,AllCollegeNCES,0))),ROUND(INDEX(AllCollegeAAHGR, MATCH(N73,AllCollegeNCES,0))+Z73*IF(INDEX(AllCollegeAAHGR, MATCH(N73,AllCollegeNCES,0))&gt;0.7,(1-INDEX(AllCollegeAAHGR, MATCH(N73,AllCollegeNCES,0)))/2,0.15),2),INDEX(AllCollegeAAHGR, MATCH(N73,AllCollegeNCES,0)))</f>
        <v>0</v>
      </c>
      <c r="AC73">
        <f>IF(OR(W73="H",W73="B"),INDEX(AllCollegeSAT25, MATCH(N73,AllCollegeNCES,0)),INDEX(AllCollegeSAT50, MATCH(N73,AllCollegeNCES,0)))</f>
        <v>0</v>
      </c>
      <c r="AD73">
        <f>INDEX(CustomWeightsGPA,MATCH(W73&amp;":"&amp;N73,CustomWeightsIndex,0))</f>
        <v>0</v>
      </c>
      <c r="AE73">
        <f>INDEX(CustomWeightsSAT,MATCH(W73&amp;":"&amp;N73,CustomWeightsIndex,0))</f>
        <v>0</v>
      </c>
      <c r="AF73">
        <f>INDEX(CustomWeightsIntercept,MATCH(W73&amp;":"&amp;N73,CustomWeightsIndex,0))</f>
        <v>0</v>
      </c>
      <c r="AG73">
        <f>AD73*S73+AE73*T73+AF73</f>
        <v>0</v>
      </c>
      <c r="AH73">
        <f>INDEX(CoefficientsGPA,MATCH(W73&amp;":"&amp;R73,CoefficientsIndex,0))</f>
        <v>0</v>
      </c>
      <c r="AI73">
        <f>INDEX(CoefficientsSAT,MATCH(W73&amp;":"&amp;R73,CoefficientsIndex,0))</f>
        <v>0</v>
      </c>
      <c r="AJ73">
        <f>INDEX(CoefficientsIntercept,MATCH(W73&amp;":"&amp;R73,CoefficientsIndex,0))</f>
        <v>0</v>
      </c>
      <c r="AK73">
        <f>AH73*S73+(T73-AC73)*AI73+AJ73</f>
        <v>0</v>
      </c>
      <c r="AL73">
        <f>IF(ISNUMBER(AG73),AG73,AK73)</f>
        <v>0</v>
      </c>
      <c r="AM73">
        <f>IF(ISNUMBER(AL73),IF(ISNUMBER(AH73),IF(AND(AH73=1,AI73=1,AJ73=1),100,MIN(99,ROUND(100*EXP(AL73)/(1+EXP(AL73)),2))),MIN(99,ROUND(100*EXP(AL73)/(1+EXP(AL73)),2))),IF(ISTEXT(R73),IF(LEFT(R73,1)="2",100,"N/A"),"N/A"))</f>
        <v>0</v>
      </c>
      <c r="AN73">
        <f>IF(ISNUMBER(AM73),IF(AM73&gt;=99,IF(OR(U73=10,U73=11),MatchLabel,SureThingLabel),IF(AM73&gt;=95,SecureLabel,IF(AM73&gt;=80,SafetyLabel,IF(AM73&gt;=50,MatchLabel,IF(AM73&gt;=20,ReachLabel,IF(AM73&gt;=10,LongshotLabel,HailMaryLabel)))))),"Other")</f>
        <v>0</v>
      </c>
      <c r="AO73">
        <f>IF(OR(I73="accepted",I73="cond. accept",I73="summer admit"),IF(J73="yes","CHOICE!","Accepted!"),IF(I73="guar. transfer","Guar. Xfer",IF(I73="denied","Denied",IF(K73=1,"Waitlist",IF(L73=1,"Deferred",IF(G73="pending","Pending",IF(OR(G73="initial materials submitted",G73="mid-year submitted",G73="final submitted"),"Submitted",IF(H73="interest","Interest","?"))))))))</f>
        <v>0</v>
      </c>
      <c r="AP73">
        <f>IF(OR(AN73=ReachLabel,AN73=LongshotLabel,AN73=HailMaryLabel),1,0)</f>
        <v>0</v>
      </c>
      <c r="AQ73">
        <f>IF(OR(AP73=1,AN73=MatchLabel),1,0)</f>
        <v>0</v>
      </c>
      <c r="AR73">
        <f>IF(OR(AN73=MatchLabel,AN73=SafetyLabel,AN73=SecureLabel,AN73=SureThingLabel),1,0)</f>
        <v>0</v>
      </c>
      <c r="AS73">
        <f>IF(OR(W73="H",W73="B",W73="I",W73="M"),IF(ISNUMBER(AB73),ROUND(AB73,2),0),IF(ISNUMBER(AA73),ROUND(AA73,2),0))</f>
        <v>0</v>
      </c>
      <c r="AT73">
        <f>IF(AS73&gt;=X73,1,0)</f>
        <v>0</v>
      </c>
      <c r="AU73">
        <f>IF(AS73&gt;=Y73,1,0)</f>
        <v>0</v>
      </c>
      <c r="AV73">
        <f>IF(AS73&lt;(X73-0.10),1,0)</f>
        <v>0</v>
      </c>
      <c r="AW73">
        <f>1-AM73/100</f>
        <v>0</v>
      </c>
      <c r="AX73">
        <f>IF(AQ73=1,AW73,1)</f>
        <v>0</v>
      </c>
      <c r="AY73">
        <f>IF(AP73=1,AW73,1)</f>
        <v>0</v>
      </c>
      <c r="AZ73">
        <f>IF(AND(AT73=1,ISNUMBER(AW73)),$AW73,1)</f>
        <v>0</v>
      </c>
      <c r="BA73">
        <f>IF(AND(AU73=1,ISNUMBER(AW73)),$AW73,1)</f>
        <v>0</v>
      </c>
      <c r="BB73">
        <f>IF(ISNUMBER(AB73),INDEX(AllCollegeMoney, MATCH(N73,AllCollegeNCES,0)),0)</f>
        <v>0</v>
      </c>
      <c r="BC73">
        <f>IF(AND(AT73=1,ISNUMBER(AW73),BB73=1),$AW73,1)</f>
        <v>0</v>
      </c>
      <c r="BD73">
        <f>IF(AND(AU73=1,ISNUMBER(AW73),BB73=1),$AW73,1)</f>
        <v>0</v>
      </c>
      <c r="BE73">
        <f>IF(ISNUMBER(AB73),INDEX(AllCollegeILPub, MATCH(N73,AllCollegeNCES,0)),0)</f>
        <v>0</v>
      </c>
      <c r="BF73">
        <f>IF(AN73=ReachLabel,AS73,0)</f>
        <v>0</v>
      </c>
      <c r="BG73">
        <f>IF(AN73=MatchLabel,AS73,0)</f>
        <v>0</v>
      </c>
      <c r="BH73">
        <f>IF(AN73=SafetyLabel,AS73,0)</f>
        <v>0</v>
      </c>
      <c r="BI73">
        <f>IF(AN73=SecureLabel,AS73,0)</f>
        <v>0</v>
      </c>
      <c r="BJ73">
        <f>IF(AN73=SureThingLabel,AS73,0)</f>
        <v>0</v>
      </c>
      <c r="BK73">
        <f>MAX(BF73:BJ73)</f>
        <v>0</v>
      </c>
      <c r="BL73">
        <f>MAX(BG73:BJ73)</f>
        <v>0</v>
      </c>
      <c r="BM73">
        <f>MAX(BH73:BJ73)</f>
        <v>0</v>
      </c>
      <c r="BN73">
        <f>IF(AND(AN73=ReachLabel,BB73=1),AS73,0)</f>
        <v>0</v>
      </c>
      <c r="BO73">
        <f>IF(AND(AN73=MatchLabel,BB73=1),AS73,0)</f>
        <v>0</v>
      </c>
      <c r="BP73">
        <f>IF(AND(AN73=SafetyLabel,BB73=1),AS73,0)</f>
        <v>0</v>
      </c>
      <c r="BQ73">
        <f>IF(AND(AN73=SecureLabel,BB73=1),AS73,0)</f>
        <v>0</v>
      </c>
      <c r="BR73">
        <f>IF(AND(AN73=SureThingLabel,BB73=1),AS73,0)</f>
        <v>0</v>
      </c>
      <c r="BS73">
        <f>MAX(BN73:BR73)</f>
        <v>0</v>
      </c>
      <c r="BT73">
        <f>MAX(BO73:BR73)</f>
        <v>0</v>
      </c>
      <c r="BU73">
        <f>MAX(BP73:BR73)</f>
        <v>0</v>
      </c>
      <c r="BV73">
        <f>IF(ISNUMBER(AB73),INDEX(AllCollegeChicago, MATCH(N73,AllCollegeNCES,0))*BB73,0)</f>
        <v>0</v>
      </c>
      <c r="BW73">
        <f>IF(ISNUMBER(AB73),INDEX(AllCollegeMoneyCode, MATCH(N73,AllCollegeNCES,0)),"?")</f>
        <v>0</v>
      </c>
      <c r="BX73">
        <f>IF(OR(BW73="---",BW73="--",BW73="+/--",BW73="+/---"),1,0)</f>
        <v>0</v>
      </c>
      <c r="BY73">
        <f>BB73*AR73*AT73</f>
        <v>0</v>
      </c>
    </row>
    <row r="74" spans="1:77">
      <c r="A74" t="s">
        <v>96</v>
      </c>
      <c r="B74">
        <v>22347828</v>
      </c>
      <c r="C74" t="s">
        <v>191</v>
      </c>
      <c r="D74" t="s">
        <v>192</v>
      </c>
      <c r="E74" t="s">
        <v>446</v>
      </c>
      <c r="F74" t="s">
        <v>477</v>
      </c>
      <c r="G74" t="s">
        <v>479</v>
      </c>
      <c r="H74" t="s">
        <v>449</v>
      </c>
      <c r="I74" t="s">
        <v>450</v>
      </c>
      <c r="J74" t="s">
        <v>450</v>
      </c>
      <c r="K74">
        <v>0</v>
      </c>
      <c r="L74" t="s">
        <v>446</v>
      </c>
      <c r="M74" t="s">
        <v>446</v>
      </c>
      <c r="N74">
        <v>146427</v>
      </c>
      <c r="O74">
        <f>INDEX(Counselor,MATCH(B74,KidIDs,0))</f>
        <v>0</v>
      </c>
      <c r="P74">
        <f>INDEX(Advisors,MATCH(B74,KidIDs,0))</f>
        <v>0</v>
      </c>
      <c r="Q74">
        <f>INDEX(Cohort,MATCH(B74,KidIDs,0))</f>
        <v>0</v>
      </c>
      <c r="R74">
        <f>INDEX(AllCollegeBarrons,MATCH(N74,AllCollegeNCES,0))</f>
        <v>0</v>
      </c>
      <c r="S74">
        <f>INDEX(KidGPAs,MATCH(B74,KidIDs,0))</f>
        <v>0</v>
      </c>
      <c r="T74">
        <f>INDEX(KidSATs,MATCH(B74,KidIDs,0))</f>
        <v>0</v>
      </c>
      <c r="U74">
        <f>INDEX(Strats,MATCH(B74,KidIDs,0))</f>
        <v>0</v>
      </c>
      <c r="V74">
        <f>INDEX(KidRace,MATCH(B74,KidIDs,0))</f>
        <v>0</v>
      </c>
      <c r="W74">
        <f>IF(OR(V74="M",V74="I"),"H",IF(V74="P","A",V74))</f>
        <v>0</v>
      </c>
      <c r="X74">
        <f>INDEX(StudentTargets,MATCH(B74,KidIDs,0))</f>
        <v>0</v>
      </c>
      <c r="Y74">
        <f>INDEX(ReachStudentTargets,MATCH(B74,KidIDs,0))</f>
        <v>0</v>
      </c>
      <c r="Z74">
        <f>IF(OR(M74="Posse"),1,0)</f>
        <v>0</v>
      </c>
      <c r="AA74">
        <f>IF(ISNUMBER(INDEX(AllCollegeGR, MATCH(N74,AllCollegeNCES,0))),ROUND(INDEX(AllCollegeGR, MATCH(N74,AllCollegeNCES,0))+Z74*IF(INDEX(AllCollegeGR, MATCH(N74,AllCollegeNCES,0))&gt;0.7,(1-INDEX(AllCollegeGR, MATCH(N74,AllCollegeNCES,0)))/2,0.15),2),INDEX(AllCollegeGR, MATCH(N74,AllCollegeNCES,0)))</f>
        <v>0</v>
      </c>
      <c r="AB74">
        <f>IF(ISNUMBER(INDEX(AllCollegeAAHGR, MATCH(N74,AllCollegeNCES,0))),ROUND(INDEX(AllCollegeAAHGR, MATCH(N74,AllCollegeNCES,0))+Z74*IF(INDEX(AllCollegeAAHGR, MATCH(N74,AllCollegeNCES,0))&gt;0.7,(1-INDEX(AllCollegeAAHGR, MATCH(N74,AllCollegeNCES,0)))/2,0.15),2),INDEX(AllCollegeAAHGR, MATCH(N74,AllCollegeNCES,0)))</f>
        <v>0</v>
      </c>
      <c r="AC74">
        <f>IF(OR(W74="H",W74="B"),INDEX(AllCollegeSAT25, MATCH(N74,AllCollegeNCES,0)),INDEX(AllCollegeSAT50, MATCH(N74,AllCollegeNCES,0)))</f>
        <v>0</v>
      </c>
      <c r="AD74">
        <f>INDEX(CustomWeightsGPA,MATCH(W74&amp;":"&amp;N74,CustomWeightsIndex,0))</f>
        <v>0</v>
      </c>
      <c r="AE74">
        <f>INDEX(CustomWeightsSAT,MATCH(W74&amp;":"&amp;N74,CustomWeightsIndex,0))</f>
        <v>0</v>
      </c>
      <c r="AF74">
        <f>INDEX(CustomWeightsIntercept,MATCH(W74&amp;":"&amp;N74,CustomWeightsIndex,0))</f>
        <v>0</v>
      </c>
      <c r="AG74">
        <f>AD74*S74+AE74*T74+AF74</f>
        <v>0</v>
      </c>
      <c r="AH74">
        <f>INDEX(CoefficientsGPA,MATCH(W74&amp;":"&amp;R74,CoefficientsIndex,0))</f>
        <v>0</v>
      </c>
      <c r="AI74">
        <f>INDEX(CoefficientsSAT,MATCH(W74&amp;":"&amp;R74,CoefficientsIndex,0))</f>
        <v>0</v>
      </c>
      <c r="AJ74">
        <f>INDEX(CoefficientsIntercept,MATCH(W74&amp;":"&amp;R74,CoefficientsIndex,0))</f>
        <v>0</v>
      </c>
      <c r="AK74">
        <f>AH74*S74+(T74-AC74)*AI74+AJ74</f>
        <v>0</v>
      </c>
      <c r="AL74">
        <f>IF(ISNUMBER(AG74),AG74,AK74)</f>
        <v>0</v>
      </c>
      <c r="AM74">
        <f>IF(ISNUMBER(AL74),IF(ISNUMBER(AH74),IF(AND(AH74=1,AI74=1,AJ74=1),100,MIN(99,ROUND(100*EXP(AL74)/(1+EXP(AL74)),2))),MIN(99,ROUND(100*EXP(AL74)/(1+EXP(AL74)),2))),IF(ISTEXT(R74),IF(LEFT(R74,1)="2",100,"N/A"),"N/A"))</f>
        <v>0</v>
      </c>
      <c r="AN74">
        <f>IF(ISNUMBER(AM74),IF(AM74&gt;=99,IF(OR(U74=10,U74=11),MatchLabel,SureThingLabel),IF(AM74&gt;=95,SecureLabel,IF(AM74&gt;=80,SafetyLabel,IF(AM74&gt;=50,MatchLabel,IF(AM74&gt;=20,ReachLabel,IF(AM74&gt;=10,LongshotLabel,HailMaryLabel)))))),"Other")</f>
        <v>0</v>
      </c>
      <c r="AO74">
        <f>IF(OR(I74="accepted",I74="cond. accept",I74="summer admit"),IF(J74="yes","CHOICE!","Accepted!"),IF(I74="guar. transfer","Guar. Xfer",IF(I74="denied","Denied",IF(K74=1,"Waitlist",IF(L74=1,"Deferred",IF(G74="pending","Pending",IF(OR(G74="initial materials submitted",G74="mid-year submitted",G74="final submitted"),"Submitted",IF(H74="interest","Interest","?"))))))))</f>
        <v>0</v>
      </c>
      <c r="AP74">
        <f>IF(OR(AN74=ReachLabel,AN74=LongshotLabel,AN74=HailMaryLabel),1,0)</f>
        <v>0</v>
      </c>
      <c r="AQ74">
        <f>IF(OR(AP74=1,AN74=MatchLabel),1,0)</f>
        <v>0</v>
      </c>
      <c r="AR74">
        <f>IF(OR(AN74=MatchLabel,AN74=SafetyLabel,AN74=SecureLabel,AN74=SureThingLabel),1,0)</f>
        <v>0</v>
      </c>
      <c r="AS74">
        <f>IF(OR(W74="H",W74="B",W74="I",W74="M"),IF(ISNUMBER(AB74),ROUND(AB74,2),0),IF(ISNUMBER(AA74),ROUND(AA74,2),0))</f>
        <v>0</v>
      </c>
      <c r="AT74">
        <f>IF(AS74&gt;=X74,1,0)</f>
        <v>0</v>
      </c>
      <c r="AU74">
        <f>IF(AS74&gt;=Y74,1,0)</f>
        <v>0</v>
      </c>
      <c r="AV74">
        <f>IF(AS74&lt;(X74-0.10),1,0)</f>
        <v>0</v>
      </c>
      <c r="AW74">
        <f>1-AM74/100</f>
        <v>0</v>
      </c>
      <c r="AX74">
        <f>IF(AQ74=1,AW74,1)</f>
        <v>0</v>
      </c>
      <c r="AY74">
        <f>IF(AP74=1,AW74,1)</f>
        <v>0</v>
      </c>
      <c r="AZ74">
        <f>IF(AND(AT74=1,ISNUMBER(AW74)),$AW74,1)</f>
        <v>0</v>
      </c>
      <c r="BA74">
        <f>IF(AND(AU74=1,ISNUMBER(AW74)),$AW74,1)</f>
        <v>0</v>
      </c>
      <c r="BB74">
        <f>IF(ISNUMBER(AB74),INDEX(AllCollegeMoney, MATCH(N74,AllCollegeNCES,0)),0)</f>
        <v>0</v>
      </c>
      <c r="BC74">
        <f>IF(AND(AT74=1,ISNUMBER(AW74),BB74=1),$AW74,1)</f>
        <v>0</v>
      </c>
      <c r="BD74">
        <f>IF(AND(AU74=1,ISNUMBER(AW74),BB74=1),$AW74,1)</f>
        <v>0</v>
      </c>
      <c r="BE74">
        <f>IF(ISNUMBER(AB74),INDEX(AllCollegeILPub, MATCH(N74,AllCollegeNCES,0)),0)</f>
        <v>0</v>
      </c>
      <c r="BF74">
        <f>IF(AN74=ReachLabel,AS74,0)</f>
        <v>0</v>
      </c>
      <c r="BG74">
        <f>IF(AN74=MatchLabel,AS74,0)</f>
        <v>0</v>
      </c>
      <c r="BH74">
        <f>IF(AN74=SafetyLabel,AS74,0)</f>
        <v>0</v>
      </c>
      <c r="BI74">
        <f>IF(AN74=SecureLabel,AS74,0)</f>
        <v>0</v>
      </c>
      <c r="BJ74">
        <f>IF(AN74=SureThingLabel,AS74,0)</f>
        <v>0</v>
      </c>
      <c r="BK74">
        <f>MAX(BF74:BJ74)</f>
        <v>0</v>
      </c>
      <c r="BL74">
        <f>MAX(BG74:BJ74)</f>
        <v>0</v>
      </c>
      <c r="BM74">
        <f>MAX(BH74:BJ74)</f>
        <v>0</v>
      </c>
      <c r="BN74">
        <f>IF(AND(AN74=ReachLabel,BB74=1),AS74,0)</f>
        <v>0</v>
      </c>
      <c r="BO74">
        <f>IF(AND(AN74=MatchLabel,BB74=1),AS74,0)</f>
        <v>0</v>
      </c>
      <c r="BP74">
        <f>IF(AND(AN74=SafetyLabel,BB74=1),AS74,0)</f>
        <v>0</v>
      </c>
      <c r="BQ74">
        <f>IF(AND(AN74=SecureLabel,BB74=1),AS74,0)</f>
        <v>0</v>
      </c>
      <c r="BR74">
        <f>IF(AND(AN74=SureThingLabel,BB74=1),AS74,0)</f>
        <v>0</v>
      </c>
      <c r="BS74">
        <f>MAX(BN74:BR74)</f>
        <v>0</v>
      </c>
      <c r="BT74">
        <f>MAX(BO74:BR74)</f>
        <v>0</v>
      </c>
      <c r="BU74">
        <f>MAX(BP74:BR74)</f>
        <v>0</v>
      </c>
      <c r="BV74">
        <f>IF(ISNUMBER(AB74),INDEX(AllCollegeChicago, MATCH(N74,AllCollegeNCES,0))*BB74,0)</f>
        <v>0</v>
      </c>
      <c r="BW74">
        <f>IF(ISNUMBER(AB74),INDEX(AllCollegeMoneyCode, MATCH(N74,AllCollegeNCES,0)),"?")</f>
        <v>0</v>
      </c>
      <c r="BX74">
        <f>IF(OR(BW74="---",BW74="--",BW74="+/--",BW74="+/---"),1,0)</f>
        <v>0</v>
      </c>
      <c r="BY74">
        <f>BB74*AR74*AT74</f>
        <v>0</v>
      </c>
    </row>
    <row r="75" spans="1:77">
      <c r="A75" t="s">
        <v>96</v>
      </c>
      <c r="B75">
        <v>22347828</v>
      </c>
      <c r="C75" t="s">
        <v>191</v>
      </c>
      <c r="D75" t="s">
        <v>192</v>
      </c>
      <c r="E75" t="s">
        <v>446</v>
      </c>
      <c r="F75" t="s">
        <v>503</v>
      </c>
      <c r="G75" t="s">
        <v>479</v>
      </c>
      <c r="H75" t="s">
        <v>449</v>
      </c>
      <c r="I75" t="s">
        <v>450</v>
      </c>
      <c r="J75" t="s">
        <v>450</v>
      </c>
      <c r="K75">
        <v>0</v>
      </c>
      <c r="L75" t="s">
        <v>446</v>
      </c>
      <c r="M75" t="s">
        <v>446</v>
      </c>
      <c r="N75">
        <v>238333</v>
      </c>
      <c r="O75">
        <f>INDEX(Counselor,MATCH(B75,KidIDs,0))</f>
        <v>0</v>
      </c>
      <c r="P75">
        <f>INDEX(Advisors,MATCH(B75,KidIDs,0))</f>
        <v>0</v>
      </c>
      <c r="Q75">
        <f>INDEX(Cohort,MATCH(B75,KidIDs,0))</f>
        <v>0</v>
      </c>
      <c r="R75">
        <f>INDEX(AllCollegeBarrons,MATCH(N75,AllCollegeNCES,0))</f>
        <v>0</v>
      </c>
      <c r="S75">
        <f>INDEX(KidGPAs,MATCH(B75,KidIDs,0))</f>
        <v>0</v>
      </c>
      <c r="T75">
        <f>INDEX(KidSATs,MATCH(B75,KidIDs,0))</f>
        <v>0</v>
      </c>
      <c r="U75">
        <f>INDEX(Strats,MATCH(B75,KidIDs,0))</f>
        <v>0</v>
      </c>
      <c r="V75">
        <f>INDEX(KidRace,MATCH(B75,KidIDs,0))</f>
        <v>0</v>
      </c>
      <c r="W75">
        <f>IF(OR(V75="M",V75="I"),"H",IF(V75="P","A",V75))</f>
        <v>0</v>
      </c>
      <c r="X75">
        <f>INDEX(StudentTargets,MATCH(B75,KidIDs,0))</f>
        <v>0</v>
      </c>
      <c r="Y75">
        <f>INDEX(ReachStudentTargets,MATCH(B75,KidIDs,0))</f>
        <v>0</v>
      </c>
      <c r="Z75">
        <f>IF(OR(M75="Posse"),1,0)</f>
        <v>0</v>
      </c>
      <c r="AA75">
        <f>IF(ISNUMBER(INDEX(AllCollegeGR, MATCH(N75,AllCollegeNCES,0))),ROUND(INDEX(AllCollegeGR, MATCH(N75,AllCollegeNCES,0))+Z75*IF(INDEX(AllCollegeGR, MATCH(N75,AllCollegeNCES,0))&gt;0.7,(1-INDEX(AllCollegeGR, MATCH(N75,AllCollegeNCES,0)))/2,0.15),2),INDEX(AllCollegeGR, MATCH(N75,AllCollegeNCES,0)))</f>
        <v>0</v>
      </c>
      <c r="AB75">
        <f>IF(ISNUMBER(INDEX(AllCollegeAAHGR, MATCH(N75,AllCollegeNCES,0))),ROUND(INDEX(AllCollegeAAHGR, MATCH(N75,AllCollegeNCES,0))+Z75*IF(INDEX(AllCollegeAAHGR, MATCH(N75,AllCollegeNCES,0))&gt;0.7,(1-INDEX(AllCollegeAAHGR, MATCH(N75,AllCollegeNCES,0)))/2,0.15),2),INDEX(AllCollegeAAHGR, MATCH(N75,AllCollegeNCES,0)))</f>
        <v>0</v>
      </c>
      <c r="AC75">
        <f>IF(OR(W75="H",W75="B"),INDEX(AllCollegeSAT25, MATCH(N75,AllCollegeNCES,0)),INDEX(AllCollegeSAT50, MATCH(N75,AllCollegeNCES,0)))</f>
        <v>0</v>
      </c>
      <c r="AD75">
        <f>INDEX(CustomWeightsGPA,MATCH(W75&amp;":"&amp;N75,CustomWeightsIndex,0))</f>
        <v>0</v>
      </c>
      <c r="AE75">
        <f>INDEX(CustomWeightsSAT,MATCH(W75&amp;":"&amp;N75,CustomWeightsIndex,0))</f>
        <v>0</v>
      </c>
      <c r="AF75">
        <f>INDEX(CustomWeightsIntercept,MATCH(W75&amp;":"&amp;N75,CustomWeightsIndex,0))</f>
        <v>0</v>
      </c>
      <c r="AG75">
        <f>AD75*S75+AE75*T75+AF75</f>
        <v>0</v>
      </c>
      <c r="AH75">
        <f>INDEX(CoefficientsGPA,MATCH(W75&amp;":"&amp;R75,CoefficientsIndex,0))</f>
        <v>0</v>
      </c>
      <c r="AI75">
        <f>INDEX(CoefficientsSAT,MATCH(W75&amp;":"&amp;R75,CoefficientsIndex,0))</f>
        <v>0</v>
      </c>
      <c r="AJ75">
        <f>INDEX(CoefficientsIntercept,MATCH(W75&amp;":"&amp;R75,CoefficientsIndex,0))</f>
        <v>0</v>
      </c>
      <c r="AK75">
        <f>AH75*S75+(T75-AC75)*AI75+AJ75</f>
        <v>0</v>
      </c>
      <c r="AL75">
        <f>IF(ISNUMBER(AG75),AG75,AK75)</f>
        <v>0</v>
      </c>
      <c r="AM75">
        <f>IF(ISNUMBER(AL75),IF(ISNUMBER(AH75),IF(AND(AH75=1,AI75=1,AJ75=1),100,MIN(99,ROUND(100*EXP(AL75)/(1+EXP(AL75)),2))),MIN(99,ROUND(100*EXP(AL75)/(1+EXP(AL75)),2))),IF(ISTEXT(R75),IF(LEFT(R75,1)="2",100,"N/A"),"N/A"))</f>
        <v>0</v>
      </c>
      <c r="AN75">
        <f>IF(ISNUMBER(AM75),IF(AM75&gt;=99,IF(OR(U75=10,U75=11),MatchLabel,SureThingLabel),IF(AM75&gt;=95,SecureLabel,IF(AM75&gt;=80,SafetyLabel,IF(AM75&gt;=50,MatchLabel,IF(AM75&gt;=20,ReachLabel,IF(AM75&gt;=10,LongshotLabel,HailMaryLabel)))))),"Other")</f>
        <v>0</v>
      </c>
      <c r="AO75">
        <f>IF(OR(I75="accepted",I75="cond. accept",I75="summer admit"),IF(J75="yes","CHOICE!","Accepted!"),IF(I75="guar. transfer","Guar. Xfer",IF(I75="denied","Denied",IF(K75=1,"Waitlist",IF(L75=1,"Deferred",IF(G75="pending","Pending",IF(OR(G75="initial materials submitted",G75="mid-year submitted",G75="final submitted"),"Submitted",IF(H75="interest","Interest","?"))))))))</f>
        <v>0</v>
      </c>
      <c r="AP75">
        <f>IF(OR(AN75=ReachLabel,AN75=LongshotLabel,AN75=HailMaryLabel),1,0)</f>
        <v>0</v>
      </c>
      <c r="AQ75">
        <f>IF(OR(AP75=1,AN75=MatchLabel),1,0)</f>
        <v>0</v>
      </c>
      <c r="AR75">
        <f>IF(OR(AN75=MatchLabel,AN75=SafetyLabel,AN75=SecureLabel,AN75=SureThingLabel),1,0)</f>
        <v>0</v>
      </c>
      <c r="AS75">
        <f>IF(OR(W75="H",W75="B",W75="I",W75="M"),IF(ISNUMBER(AB75),ROUND(AB75,2),0),IF(ISNUMBER(AA75),ROUND(AA75,2),0))</f>
        <v>0</v>
      </c>
      <c r="AT75">
        <f>IF(AS75&gt;=X75,1,0)</f>
        <v>0</v>
      </c>
      <c r="AU75">
        <f>IF(AS75&gt;=Y75,1,0)</f>
        <v>0</v>
      </c>
      <c r="AV75">
        <f>IF(AS75&lt;(X75-0.10),1,0)</f>
        <v>0</v>
      </c>
      <c r="AW75">
        <f>1-AM75/100</f>
        <v>0</v>
      </c>
      <c r="AX75">
        <f>IF(AQ75=1,AW75,1)</f>
        <v>0</v>
      </c>
      <c r="AY75">
        <f>IF(AP75=1,AW75,1)</f>
        <v>0</v>
      </c>
      <c r="AZ75">
        <f>IF(AND(AT75=1,ISNUMBER(AW75)),$AW75,1)</f>
        <v>0</v>
      </c>
      <c r="BA75">
        <f>IF(AND(AU75=1,ISNUMBER(AW75)),$AW75,1)</f>
        <v>0</v>
      </c>
      <c r="BB75">
        <f>IF(ISNUMBER(AB75),INDEX(AllCollegeMoney, MATCH(N75,AllCollegeNCES,0)),0)</f>
        <v>0</v>
      </c>
      <c r="BC75">
        <f>IF(AND(AT75=1,ISNUMBER(AW75),BB75=1),$AW75,1)</f>
        <v>0</v>
      </c>
      <c r="BD75">
        <f>IF(AND(AU75=1,ISNUMBER(AW75),BB75=1),$AW75,1)</f>
        <v>0</v>
      </c>
      <c r="BE75">
        <f>IF(ISNUMBER(AB75),INDEX(AllCollegeILPub, MATCH(N75,AllCollegeNCES,0)),0)</f>
        <v>0</v>
      </c>
      <c r="BF75">
        <f>IF(AN75=ReachLabel,AS75,0)</f>
        <v>0</v>
      </c>
      <c r="BG75">
        <f>IF(AN75=MatchLabel,AS75,0)</f>
        <v>0</v>
      </c>
      <c r="BH75">
        <f>IF(AN75=SafetyLabel,AS75,0)</f>
        <v>0</v>
      </c>
      <c r="BI75">
        <f>IF(AN75=SecureLabel,AS75,0)</f>
        <v>0</v>
      </c>
      <c r="BJ75">
        <f>IF(AN75=SureThingLabel,AS75,0)</f>
        <v>0</v>
      </c>
      <c r="BK75">
        <f>MAX(BF75:BJ75)</f>
        <v>0</v>
      </c>
      <c r="BL75">
        <f>MAX(BG75:BJ75)</f>
        <v>0</v>
      </c>
      <c r="BM75">
        <f>MAX(BH75:BJ75)</f>
        <v>0</v>
      </c>
      <c r="BN75">
        <f>IF(AND(AN75=ReachLabel,BB75=1),AS75,0)</f>
        <v>0</v>
      </c>
      <c r="BO75">
        <f>IF(AND(AN75=MatchLabel,BB75=1),AS75,0)</f>
        <v>0</v>
      </c>
      <c r="BP75">
        <f>IF(AND(AN75=SafetyLabel,BB75=1),AS75,0)</f>
        <v>0</v>
      </c>
      <c r="BQ75">
        <f>IF(AND(AN75=SecureLabel,BB75=1),AS75,0)</f>
        <v>0</v>
      </c>
      <c r="BR75">
        <f>IF(AND(AN75=SureThingLabel,BB75=1),AS75,0)</f>
        <v>0</v>
      </c>
      <c r="BS75">
        <f>MAX(BN75:BR75)</f>
        <v>0</v>
      </c>
      <c r="BT75">
        <f>MAX(BO75:BR75)</f>
        <v>0</v>
      </c>
      <c r="BU75">
        <f>MAX(BP75:BR75)</f>
        <v>0</v>
      </c>
      <c r="BV75">
        <f>IF(ISNUMBER(AB75),INDEX(AllCollegeChicago, MATCH(N75,AllCollegeNCES,0))*BB75,0)</f>
        <v>0</v>
      </c>
      <c r="BW75">
        <f>IF(ISNUMBER(AB75),INDEX(AllCollegeMoneyCode, MATCH(N75,AllCollegeNCES,0)),"?")</f>
        <v>0</v>
      </c>
      <c r="BX75">
        <f>IF(OR(BW75="---",BW75="--",BW75="+/--",BW75="+/---"),1,0)</f>
        <v>0</v>
      </c>
      <c r="BY75">
        <f>BB75*AR75*AT75</f>
        <v>0</v>
      </c>
    </row>
    <row r="76" spans="1:77">
      <c r="A76" t="s">
        <v>96</v>
      </c>
      <c r="B76">
        <v>22347828</v>
      </c>
      <c r="C76" t="s">
        <v>191</v>
      </c>
      <c r="D76" t="s">
        <v>192</v>
      </c>
      <c r="E76" t="s">
        <v>446</v>
      </c>
      <c r="F76" t="s">
        <v>489</v>
      </c>
      <c r="G76" t="s">
        <v>479</v>
      </c>
      <c r="H76" t="s">
        <v>449</v>
      </c>
      <c r="I76" t="s">
        <v>450</v>
      </c>
      <c r="J76" t="s">
        <v>450</v>
      </c>
      <c r="K76">
        <v>0</v>
      </c>
      <c r="L76" t="s">
        <v>446</v>
      </c>
      <c r="M76" t="s">
        <v>446</v>
      </c>
      <c r="N76">
        <v>170301</v>
      </c>
      <c r="O76">
        <f>INDEX(Counselor,MATCH(B76,KidIDs,0))</f>
        <v>0</v>
      </c>
      <c r="P76">
        <f>INDEX(Advisors,MATCH(B76,KidIDs,0))</f>
        <v>0</v>
      </c>
      <c r="Q76">
        <f>INDEX(Cohort,MATCH(B76,KidIDs,0))</f>
        <v>0</v>
      </c>
      <c r="R76">
        <f>INDEX(AllCollegeBarrons,MATCH(N76,AllCollegeNCES,0))</f>
        <v>0</v>
      </c>
      <c r="S76">
        <f>INDEX(KidGPAs,MATCH(B76,KidIDs,0))</f>
        <v>0</v>
      </c>
      <c r="T76">
        <f>INDEX(KidSATs,MATCH(B76,KidIDs,0))</f>
        <v>0</v>
      </c>
      <c r="U76">
        <f>INDEX(Strats,MATCH(B76,KidIDs,0))</f>
        <v>0</v>
      </c>
      <c r="V76">
        <f>INDEX(KidRace,MATCH(B76,KidIDs,0))</f>
        <v>0</v>
      </c>
      <c r="W76">
        <f>IF(OR(V76="M",V76="I"),"H",IF(V76="P","A",V76))</f>
        <v>0</v>
      </c>
      <c r="X76">
        <f>INDEX(StudentTargets,MATCH(B76,KidIDs,0))</f>
        <v>0</v>
      </c>
      <c r="Y76">
        <f>INDEX(ReachStudentTargets,MATCH(B76,KidIDs,0))</f>
        <v>0</v>
      </c>
      <c r="Z76">
        <f>IF(OR(M76="Posse"),1,0)</f>
        <v>0</v>
      </c>
      <c r="AA76">
        <f>IF(ISNUMBER(INDEX(AllCollegeGR, MATCH(N76,AllCollegeNCES,0))),ROUND(INDEX(AllCollegeGR, MATCH(N76,AllCollegeNCES,0))+Z76*IF(INDEX(AllCollegeGR, MATCH(N76,AllCollegeNCES,0))&gt;0.7,(1-INDEX(AllCollegeGR, MATCH(N76,AllCollegeNCES,0)))/2,0.15),2),INDEX(AllCollegeGR, MATCH(N76,AllCollegeNCES,0)))</f>
        <v>0</v>
      </c>
      <c r="AB76">
        <f>IF(ISNUMBER(INDEX(AllCollegeAAHGR, MATCH(N76,AllCollegeNCES,0))),ROUND(INDEX(AllCollegeAAHGR, MATCH(N76,AllCollegeNCES,0))+Z76*IF(INDEX(AllCollegeAAHGR, MATCH(N76,AllCollegeNCES,0))&gt;0.7,(1-INDEX(AllCollegeAAHGR, MATCH(N76,AllCollegeNCES,0)))/2,0.15),2),INDEX(AllCollegeAAHGR, MATCH(N76,AllCollegeNCES,0)))</f>
        <v>0</v>
      </c>
      <c r="AC76">
        <f>IF(OR(W76="H",W76="B"),INDEX(AllCollegeSAT25, MATCH(N76,AllCollegeNCES,0)),INDEX(AllCollegeSAT50, MATCH(N76,AllCollegeNCES,0)))</f>
        <v>0</v>
      </c>
      <c r="AD76">
        <f>INDEX(CustomWeightsGPA,MATCH(W76&amp;":"&amp;N76,CustomWeightsIndex,0))</f>
        <v>0</v>
      </c>
      <c r="AE76">
        <f>INDEX(CustomWeightsSAT,MATCH(W76&amp;":"&amp;N76,CustomWeightsIndex,0))</f>
        <v>0</v>
      </c>
      <c r="AF76">
        <f>INDEX(CustomWeightsIntercept,MATCH(W76&amp;":"&amp;N76,CustomWeightsIndex,0))</f>
        <v>0</v>
      </c>
      <c r="AG76">
        <f>AD76*S76+AE76*T76+AF76</f>
        <v>0</v>
      </c>
      <c r="AH76">
        <f>INDEX(CoefficientsGPA,MATCH(W76&amp;":"&amp;R76,CoefficientsIndex,0))</f>
        <v>0</v>
      </c>
      <c r="AI76">
        <f>INDEX(CoefficientsSAT,MATCH(W76&amp;":"&amp;R76,CoefficientsIndex,0))</f>
        <v>0</v>
      </c>
      <c r="AJ76">
        <f>INDEX(CoefficientsIntercept,MATCH(W76&amp;":"&amp;R76,CoefficientsIndex,0))</f>
        <v>0</v>
      </c>
      <c r="AK76">
        <f>AH76*S76+(T76-AC76)*AI76+AJ76</f>
        <v>0</v>
      </c>
      <c r="AL76">
        <f>IF(ISNUMBER(AG76),AG76,AK76)</f>
        <v>0</v>
      </c>
      <c r="AM76">
        <f>IF(ISNUMBER(AL76),IF(ISNUMBER(AH76),IF(AND(AH76=1,AI76=1,AJ76=1),100,MIN(99,ROUND(100*EXP(AL76)/(1+EXP(AL76)),2))),MIN(99,ROUND(100*EXP(AL76)/(1+EXP(AL76)),2))),IF(ISTEXT(R76),IF(LEFT(R76,1)="2",100,"N/A"),"N/A"))</f>
        <v>0</v>
      </c>
      <c r="AN76">
        <f>IF(ISNUMBER(AM76),IF(AM76&gt;=99,IF(OR(U76=10,U76=11),MatchLabel,SureThingLabel),IF(AM76&gt;=95,SecureLabel,IF(AM76&gt;=80,SafetyLabel,IF(AM76&gt;=50,MatchLabel,IF(AM76&gt;=20,ReachLabel,IF(AM76&gt;=10,LongshotLabel,HailMaryLabel)))))),"Other")</f>
        <v>0</v>
      </c>
      <c r="AO76">
        <f>IF(OR(I76="accepted",I76="cond. accept",I76="summer admit"),IF(J76="yes","CHOICE!","Accepted!"),IF(I76="guar. transfer","Guar. Xfer",IF(I76="denied","Denied",IF(K76=1,"Waitlist",IF(L76=1,"Deferred",IF(G76="pending","Pending",IF(OR(G76="initial materials submitted",G76="mid-year submitted",G76="final submitted"),"Submitted",IF(H76="interest","Interest","?"))))))))</f>
        <v>0</v>
      </c>
      <c r="AP76">
        <f>IF(OR(AN76=ReachLabel,AN76=LongshotLabel,AN76=HailMaryLabel),1,0)</f>
        <v>0</v>
      </c>
      <c r="AQ76">
        <f>IF(OR(AP76=1,AN76=MatchLabel),1,0)</f>
        <v>0</v>
      </c>
      <c r="AR76">
        <f>IF(OR(AN76=MatchLabel,AN76=SafetyLabel,AN76=SecureLabel,AN76=SureThingLabel),1,0)</f>
        <v>0</v>
      </c>
      <c r="AS76">
        <f>IF(OR(W76="H",W76="B",W76="I",W76="M"),IF(ISNUMBER(AB76),ROUND(AB76,2),0),IF(ISNUMBER(AA76),ROUND(AA76,2),0))</f>
        <v>0</v>
      </c>
      <c r="AT76">
        <f>IF(AS76&gt;=X76,1,0)</f>
        <v>0</v>
      </c>
      <c r="AU76">
        <f>IF(AS76&gt;=Y76,1,0)</f>
        <v>0</v>
      </c>
      <c r="AV76">
        <f>IF(AS76&lt;(X76-0.10),1,0)</f>
        <v>0</v>
      </c>
      <c r="AW76">
        <f>1-AM76/100</f>
        <v>0</v>
      </c>
      <c r="AX76">
        <f>IF(AQ76=1,AW76,1)</f>
        <v>0</v>
      </c>
      <c r="AY76">
        <f>IF(AP76=1,AW76,1)</f>
        <v>0</v>
      </c>
      <c r="AZ76">
        <f>IF(AND(AT76=1,ISNUMBER(AW76)),$AW76,1)</f>
        <v>0</v>
      </c>
      <c r="BA76">
        <f>IF(AND(AU76=1,ISNUMBER(AW76)),$AW76,1)</f>
        <v>0</v>
      </c>
      <c r="BB76">
        <f>IF(ISNUMBER(AB76),INDEX(AllCollegeMoney, MATCH(N76,AllCollegeNCES,0)),0)</f>
        <v>0</v>
      </c>
      <c r="BC76">
        <f>IF(AND(AT76=1,ISNUMBER(AW76),BB76=1),$AW76,1)</f>
        <v>0</v>
      </c>
      <c r="BD76">
        <f>IF(AND(AU76=1,ISNUMBER(AW76),BB76=1),$AW76,1)</f>
        <v>0</v>
      </c>
      <c r="BE76">
        <f>IF(ISNUMBER(AB76),INDEX(AllCollegeILPub, MATCH(N76,AllCollegeNCES,0)),0)</f>
        <v>0</v>
      </c>
      <c r="BF76">
        <f>IF(AN76=ReachLabel,AS76,0)</f>
        <v>0</v>
      </c>
      <c r="BG76">
        <f>IF(AN76=MatchLabel,AS76,0)</f>
        <v>0</v>
      </c>
      <c r="BH76">
        <f>IF(AN76=SafetyLabel,AS76,0)</f>
        <v>0</v>
      </c>
      <c r="BI76">
        <f>IF(AN76=SecureLabel,AS76,0)</f>
        <v>0</v>
      </c>
      <c r="BJ76">
        <f>IF(AN76=SureThingLabel,AS76,0)</f>
        <v>0</v>
      </c>
      <c r="BK76">
        <f>MAX(BF76:BJ76)</f>
        <v>0</v>
      </c>
      <c r="BL76">
        <f>MAX(BG76:BJ76)</f>
        <v>0</v>
      </c>
      <c r="BM76">
        <f>MAX(BH76:BJ76)</f>
        <v>0</v>
      </c>
      <c r="BN76">
        <f>IF(AND(AN76=ReachLabel,BB76=1),AS76,0)</f>
        <v>0</v>
      </c>
      <c r="BO76">
        <f>IF(AND(AN76=MatchLabel,BB76=1),AS76,0)</f>
        <v>0</v>
      </c>
      <c r="BP76">
        <f>IF(AND(AN76=SafetyLabel,BB76=1),AS76,0)</f>
        <v>0</v>
      </c>
      <c r="BQ76">
        <f>IF(AND(AN76=SecureLabel,BB76=1),AS76,0)</f>
        <v>0</v>
      </c>
      <c r="BR76">
        <f>IF(AND(AN76=SureThingLabel,BB76=1),AS76,0)</f>
        <v>0</v>
      </c>
      <c r="BS76">
        <f>MAX(BN76:BR76)</f>
        <v>0</v>
      </c>
      <c r="BT76">
        <f>MAX(BO76:BR76)</f>
        <v>0</v>
      </c>
      <c r="BU76">
        <f>MAX(BP76:BR76)</f>
        <v>0</v>
      </c>
      <c r="BV76">
        <f>IF(ISNUMBER(AB76),INDEX(AllCollegeChicago, MATCH(N76,AllCollegeNCES,0))*BB76,0)</f>
        <v>0</v>
      </c>
      <c r="BW76">
        <f>IF(ISNUMBER(AB76),INDEX(AllCollegeMoneyCode, MATCH(N76,AllCollegeNCES,0)),"?")</f>
        <v>0</v>
      </c>
      <c r="BX76">
        <f>IF(OR(BW76="---",BW76="--",BW76="+/--",BW76="+/---"),1,0)</f>
        <v>0</v>
      </c>
      <c r="BY76">
        <f>BB76*AR76*AT76</f>
        <v>0</v>
      </c>
    </row>
    <row r="77" spans="1:77">
      <c r="A77" t="s">
        <v>96</v>
      </c>
      <c r="B77">
        <v>22347828</v>
      </c>
      <c r="C77" t="s">
        <v>191</v>
      </c>
      <c r="D77" t="s">
        <v>192</v>
      </c>
      <c r="E77" t="s">
        <v>446</v>
      </c>
      <c r="F77" t="s">
        <v>465</v>
      </c>
      <c r="G77" t="s">
        <v>479</v>
      </c>
      <c r="H77" t="s">
        <v>449</v>
      </c>
      <c r="I77" t="s">
        <v>450</v>
      </c>
      <c r="J77" t="s">
        <v>450</v>
      </c>
      <c r="K77">
        <v>0</v>
      </c>
      <c r="L77" t="s">
        <v>446</v>
      </c>
      <c r="M77" t="s">
        <v>446</v>
      </c>
      <c r="N77">
        <v>145600</v>
      </c>
      <c r="O77">
        <f>INDEX(Counselor,MATCH(B77,KidIDs,0))</f>
        <v>0</v>
      </c>
      <c r="P77">
        <f>INDEX(Advisors,MATCH(B77,KidIDs,0))</f>
        <v>0</v>
      </c>
      <c r="Q77">
        <f>INDEX(Cohort,MATCH(B77,KidIDs,0))</f>
        <v>0</v>
      </c>
      <c r="R77">
        <f>INDEX(AllCollegeBarrons,MATCH(N77,AllCollegeNCES,0))</f>
        <v>0</v>
      </c>
      <c r="S77">
        <f>INDEX(KidGPAs,MATCH(B77,KidIDs,0))</f>
        <v>0</v>
      </c>
      <c r="T77">
        <f>INDEX(KidSATs,MATCH(B77,KidIDs,0))</f>
        <v>0</v>
      </c>
      <c r="U77">
        <f>INDEX(Strats,MATCH(B77,KidIDs,0))</f>
        <v>0</v>
      </c>
      <c r="V77">
        <f>INDEX(KidRace,MATCH(B77,KidIDs,0))</f>
        <v>0</v>
      </c>
      <c r="W77">
        <f>IF(OR(V77="M",V77="I"),"H",IF(V77="P","A",V77))</f>
        <v>0</v>
      </c>
      <c r="X77">
        <f>INDEX(StudentTargets,MATCH(B77,KidIDs,0))</f>
        <v>0</v>
      </c>
      <c r="Y77">
        <f>INDEX(ReachStudentTargets,MATCH(B77,KidIDs,0))</f>
        <v>0</v>
      </c>
      <c r="Z77">
        <f>IF(OR(M77="Posse"),1,0)</f>
        <v>0</v>
      </c>
      <c r="AA77">
        <f>IF(ISNUMBER(INDEX(AllCollegeGR, MATCH(N77,AllCollegeNCES,0))),ROUND(INDEX(AllCollegeGR, MATCH(N77,AllCollegeNCES,0))+Z77*IF(INDEX(AllCollegeGR, MATCH(N77,AllCollegeNCES,0))&gt;0.7,(1-INDEX(AllCollegeGR, MATCH(N77,AllCollegeNCES,0)))/2,0.15),2),INDEX(AllCollegeGR, MATCH(N77,AllCollegeNCES,0)))</f>
        <v>0</v>
      </c>
      <c r="AB77">
        <f>IF(ISNUMBER(INDEX(AllCollegeAAHGR, MATCH(N77,AllCollegeNCES,0))),ROUND(INDEX(AllCollegeAAHGR, MATCH(N77,AllCollegeNCES,0))+Z77*IF(INDEX(AllCollegeAAHGR, MATCH(N77,AllCollegeNCES,0))&gt;0.7,(1-INDEX(AllCollegeAAHGR, MATCH(N77,AllCollegeNCES,0)))/2,0.15),2),INDEX(AllCollegeAAHGR, MATCH(N77,AllCollegeNCES,0)))</f>
        <v>0</v>
      </c>
      <c r="AC77">
        <f>IF(OR(W77="H",W77="B"),INDEX(AllCollegeSAT25, MATCH(N77,AllCollegeNCES,0)),INDEX(AllCollegeSAT50, MATCH(N77,AllCollegeNCES,0)))</f>
        <v>0</v>
      </c>
      <c r="AD77">
        <f>INDEX(CustomWeightsGPA,MATCH(W77&amp;":"&amp;N77,CustomWeightsIndex,0))</f>
        <v>0</v>
      </c>
      <c r="AE77">
        <f>INDEX(CustomWeightsSAT,MATCH(W77&amp;":"&amp;N77,CustomWeightsIndex,0))</f>
        <v>0</v>
      </c>
      <c r="AF77">
        <f>INDEX(CustomWeightsIntercept,MATCH(W77&amp;":"&amp;N77,CustomWeightsIndex,0))</f>
        <v>0</v>
      </c>
      <c r="AG77">
        <f>AD77*S77+AE77*T77+AF77</f>
        <v>0</v>
      </c>
      <c r="AH77">
        <f>INDEX(CoefficientsGPA,MATCH(W77&amp;":"&amp;R77,CoefficientsIndex,0))</f>
        <v>0</v>
      </c>
      <c r="AI77">
        <f>INDEX(CoefficientsSAT,MATCH(W77&amp;":"&amp;R77,CoefficientsIndex,0))</f>
        <v>0</v>
      </c>
      <c r="AJ77">
        <f>INDEX(CoefficientsIntercept,MATCH(W77&amp;":"&amp;R77,CoefficientsIndex,0))</f>
        <v>0</v>
      </c>
      <c r="AK77">
        <f>AH77*S77+(T77-AC77)*AI77+AJ77</f>
        <v>0</v>
      </c>
      <c r="AL77">
        <f>IF(ISNUMBER(AG77),AG77,AK77)</f>
        <v>0</v>
      </c>
      <c r="AM77">
        <f>IF(ISNUMBER(AL77),IF(ISNUMBER(AH77),IF(AND(AH77=1,AI77=1,AJ77=1),100,MIN(99,ROUND(100*EXP(AL77)/(1+EXP(AL77)),2))),MIN(99,ROUND(100*EXP(AL77)/(1+EXP(AL77)),2))),IF(ISTEXT(R77),IF(LEFT(R77,1)="2",100,"N/A"),"N/A"))</f>
        <v>0</v>
      </c>
      <c r="AN77">
        <f>IF(ISNUMBER(AM77),IF(AM77&gt;=99,IF(OR(U77=10,U77=11),MatchLabel,SureThingLabel),IF(AM77&gt;=95,SecureLabel,IF(AM77&gt;=80,SafetyLabel,IF(AM77&gt;=50,MatchLabel,IF(AM77&gt;=20,ReachLabel,IF(AM77&gt;=10,LongshotLabel,HailMaryLabel)))))),"Other")</f>
        <v>0</v>
      </c>
      <c r="AO77">
        <f>IF(OR(I77="accepted",I77="cond. accept",I77="summer admit"),IF(J77="yes","CHOICE!","Accepted!"),IF(I77="guar. transfer","Guar. Xfer",IF(I77="denied","Denied",IF(K77=1,"Waitlist",IF(L77=1,"Deferred",IF(G77="pending","Pending",IF(OR(G77="initial materials submitted",G77="mid-year submitted",G77="final submitted"),"Submitted",IF(H77="interest","Interest","?"))))))))</f>
        <v>0</v>
      </c>
      <c r="AP77">
        <f>IF(OR(AN77=ReachLabel,AN77=LongshotLabel,AN77=HailMaryLabel),1,0)</f>
        <v>0</v>
      </c>
      <c r="AQ77">
        <f>IF(OR(AP77=1,AN77=MatchLabel),1,0)</f>
        <v>0</v>
      </c>
      <c r="AR77">
        <f>IF(OR(AN77=MatchLabel,AN77=SafetyLabel,AN77=SecureLabel,AN77=SureThingLabel),1,0)</f>
        <v>0</v>
      </c>
      <c r="AS77">
        <f>IF(OR(W77="H",W77="B",W77="I",W77="M"),IF(ISNUMBER(AB77),ROUND(AB77,2),0),IF(ISNUMBER(AA77),ROUND(AA77,2),0))</f>
        <v>0</v>
      </c>
      <c r="AT77">
        <f>IF(AS77&gt;=X77,1,0)</f>
        <v>0</v>
      </c>
      <c r="AU77">
        <f>IF(AS77&gt;=Y77,1,0)</f>
        <v>0</v>
      </c>
      <c r="AV77">
        <f>IF(AS77&lt;(X77-0.10),1,0)</f>
        <v>0</v>
      </c>
      <c r="AW77">
        <f>1-AM77/100</f>
        <v>0</v>
      </c>
      <c r="AX77">
        <f>IF(AQ77=1,AW77,1)</f>
        <v>0</v>
      </c>
      <c r="AY77">
        <f>IF(AP77=1,AW77,1)</f>
        <v>0</v>
      </c>
      <c r="AZ77">
        <f>IF(AND(AT77=1,ISNUMBER(AW77)),$AW77,1)</f>
        <v>0</v>
      </c>
      <c r="BA77">
        <f>IF(AND(AU77=1,ISNUMBER(AW77)),$AW77,1)</f>
        <v>0</v>
      </c>
      <c r="BB77">
        <f>IF(ISNUMBER(AB77),INDEX(AllCollegeMoney, MATCH(N77,AllCollegeNCES,0)),0)</f>
        <v>0</v>
      </c>
      <c r="BC77">
        <f>IF(AND(AT77=1,ISNUMBER(AW77),BB77=1),$AW77,1)</f>
        <v>0</v>
      </c>
      <c r="BD77">
        <f>IF(AND(AU77=1,ISNUMBER(AW77),BB77=1),$AW77,1)</f>
        <v>0</v>
      </c>
      <c r="BE77">
        <f>IF(ISNUMBER(AB77),INDEX(AllCollegeILPub, MATCH(N77,AllCollegeNCES,0)),0)</f>
        <v>0</v>
      </c>
      <c r="BF77">
        <f>IF(AN77=ReachLabel,AS77,0)</f>
        <v>0</v>
      </c>
      <c r="BG77">
        <f>IF(AN77=MatchLabel,AS77,0)</f>
        <v>0</v>
      </c>
      <c r="BH77">
        <f>IF(AN77=SafetyLabel,AS77,0)</f>
        <v>0</v>
      </c>
      <c r="BI77">
        <f>IF(AN77=SecureLabel,AS77,0)</f>
        <v>0</v>
      </c>
      <c r="BJ77">
        <f>IF(AN77=SureThingLabel,AS77,0)</f>
        <v>0</v>
      </c>
      <c r="BK77">
        <f>MAX(BF77:BJ77)</f>
        <v>0</v>
      </c>
      <c r="BL77">
        <f>MAX(BG77:BJ77)</f>
        <v>0</v>
      </c>
      <c r="BM77">
        <f>MAX(BH77:BJ77)</f>
        <v>0</v>
      </c>
      <c r="BN77">
        <f>IF(AND(AN77=ReachLabel,BB77=1),AS77,0)</f>
        <v>0</v>
      </c>
      <c r="BO77">
        <f>IF(AND(AN77=MatchLabel,BB77=1),AS77,0)</f>
        <v>0</v>
      </c>
      <c r="BP77">
        <f>IF(AND(AN77=SafetyLabel,BB77=1),AS77,0)</f>
        <v>0</v>
      </c>
      <c r="BQ77">
        <f>IF(AND(AN77=SecureLabel,BB77=1),AS77,0)</f>
        <v>0</v>
      </c>
      <c r="BR77">
        <f>IF(AND(AN77=SureThingLabel,BB77=1),AS77,0)</f>
        <v>0</v>
      </c>
      <c r="BS77">
        <f>MAX(BN77:BR77)</f>
        <v>0</v>
      </c>
      <c r="BT77">
        <f>MAX(BO77:BR77)</f>
        <v>0</v>
      </c>
      <c r="BU77">
        <f>MAX(BP77:BR77)</f>
        <v>0</v>
      </c>
      <c r="BV77">
        <f>IF(ISNUMBER(AB77),INDEX(AllCollegeChicago, MATCH(N77,AllCollegeNCES,0))*BB77,0)</f>
        <v>0</v>
      </c>
      <c r="BW77">
        <f>IF(ISNUMBER(AB77),INDEX(AllCollegeMoneyCode, MATCH(N77,AllCollegeNCES,0)),"?")</f>
        <v>0</v>
      </c>
      <c r="BX77">
        <f>IF(OR(BW77="---",BW77="--",BW77="+/--",BW77="+/---"),1,0)</f>
        <v>0</v>
      </c>
      <c r="BY77">
        <f>BB77*AR77*AT77</f>
        <v>0</v>
      </c>
    </row>
    <row r="78" spans="1:77">
      <c r="A78" t="s">
        <v>96</v>
      </c>
      <c r="B78">
        <v>22366458</v>
      </c>
      <c r="C78" t="s">
        <v>300</v>
      </c>
      <c r="D78" t="s">
        <v>301</v>
      </c>
      <c r="E78" t="s">
        <v>446</v>
      </c>
      <c r="F78" t="s">
        <v>482</v>
      </c>
      <c r="G78" t="s">
        <v>448</v>
      </c>
      <c r="H78" t="s">
        <v>449</v>
      </c>
      <c r="I78" t="s">
        <v>450</v>
      </c>
      <c r="J78" t="s">
        <v>450</v>
      </c>
      <c r="K78">
        <v>0</v>
      </c>
      <c r="L78" t="s">
        <v>446</v>
      </c>
      <c r="M78" t="s">
        <v>446</v>
      </c>
      <c r="N78">
        <v>170976</v>
      </c>
      <c r="O78">
        <f>INDEX(Counselor,MATCH(B78,KidIDs,0))</f>
        <v>0</v>
      </c>
      <c r="P78">
        <f>INDEX(Advisors,MATCH(B78,KidIDs,0))</f>
        <v>0</v>
      </c>
      <c r="Q78">
        <f>INDEX(Cohort,MATCH(B78,KidIDs,0))</f>
        <v>0</v>
      </c>
      <c r="R78">
        <f>INDEX(AllCollegeBarrons,MATCH(N78,AllCollegeNCES,0))</f>
        <v>0</v>
      </c>
      <c r="S78">
        <f>INDEX(KidGPAs,MATCH(B78,KidIDs,0))</f>
        <v>0</v>
      </c>
      <c r="T78">
        <f>INDEX(KidSATs,MATCH(B78,KidIDs,0))</f>
        <v>0</v>
      </c>
      <c r="U78">
        <f>INDEX(Strats,MATCH(B78,KidIDs,0))</f>
        <v>0</v>
      </c>
      <c r="V78">
        <f>INDEX(KidRace,MATCH(B78,KidIDs,0))</f>
        <v>0</v>
      </c>
      <c r="W78">
        <f>IF(OR(V78="M",V78="I"),"H",IF(V78="P","A",V78))</f>
        <v>0</v>
      </c>
      <c r="X78">
        <f>INDEX(StudentTargets,MATCH(B78,KidIDs,0))</f>
        <v>0</v>
      </c>
      <c r="Y78">
        <f>INDEX(ReachStudentTargets,MATCH(B78,KidIDs,0))</f>
        <v>0</v>
      </c>
      <c r="Z78">
        <f>IF(OR(M78="Posse"),1,0)</f>
        <v>0</v>
      </c>
      <c r="AA78">
        <f>IF(ISNUMBER(INDEX(AllCollegeGR, MATCH(N78,AllCollegeNCES,0))),ROUND(INDEX(AllCollegeGR, MATCH(N78,AllCollegeNCES,0))+Z78*IF(INDEX(AllCollegeGR, MATCH(N78,AllCollegeNCES,0))&gt;0.7,(1-INDEX(AllCollegeGR, MATCH(N78,AllCollegeNCES,0)))/2,0.15),2),INDEX(AllCollegeGR, MATCH(N78,AllCollegeNCES,0)))</f>
        <v>0</v>
      </c>
      <c r="AB78">
        <f>IF(ISNUMBER(INDEX(AllCollegeAAHGR, MATCH(N78,AllCollegeNCES,0))),ROUND(INDEX(AllCollegeAAHGR, MATCH(N78,AllCollegeNCES,0))+Z78*IF(INDEX(AllCollegeAAHGR, MATCH(N78,AllCollegeNCES,0))&gt;0.7,(1-INDEX(AllCollegeAAHGR, MATCH(N78,AllCollegeNCES,0)))/2,0.15),2),INDEX(AllCollegeAAHGR, MATCH(N78,AllCollegeNCES,0)))</f>
        <v>0</v>
      </c>
      <c r="AC78">
        <f>IF(OR(W78="H",W78="B"),INDEX(AllCollegeSAT25, MATCH(N78,AllCollegeNCES,0)),INDEX(AllCollegeSAT50, MATCH(N78,AllCollegeNCES,0)))</f>
        <v>0</v>
      </c>
      <c r="AD78">
        <f>INDEX(CustomWeightsGPA,MATCH(W78&amp;":"&amp;N78,CustomWeightsIndex,0))</f>
        <v>0</v>
      </c>
      <c r="AE78">
        <f>INDEX(CustomWeightsSAT,MATCH(W78&amp;":"&amp;N78,CustomWeightsIndex,0))</f>
        <v>0</v>
      </c>
      <c r="AF78">
        <f>INDEX(CustomWeightsIntercept,MATCH(W78&amp;":"&amp;N78,CustomWeightsIndex,0))</f>
        <v>0</v>
      </c>
      <c r="AG78">
        <f>AD78*S78+AE78*T78+AF78</f>
        <v>0</v>
      </c>
      <c r="AH78">
        <f>INDEX(CoefficientsGPA,MATCH(W78&amp;":"&amp;R78,CoefficientsIndex,0))</f>
        <v>0</v>
      </c>
      <c r="AI78">
        <f>INDEX(CoefficientsSAT,MATCH(W78&amp;":"&amp;R78,CoefficientsIndex,0))</f>
        <v>0</v>
      </c>
      <c r="AJ78">
        <f>INDEX(CoefficientsIntercept,MATCH(W78&amp;":"&amp;R78,CoefficientsIndex,0))</f>
        <v>0</v>
      </c>
      <c r="AK78">
        <f>AH78*S78+(T78-AC78)*AI78+AJ78</f>
        <v>0</v>
      </c>
      <c r="AL78">
        <f>IF(ISNUMBER(AG78),AG78,AK78)</f>
        <v>0</v>
      </c>
      <c r="AM78">
        <f>IF(ISNUMBER(AL78),IF(ISNUMBER(AH78),IF(AND(AH78=1,AI78=1,AJ78=1),100,MIN(99,ROUND(100*EXP(AL78)/(1+EXP(AL78)),2))),MIN(99,ROUND(100*EXP(AL78)/(1+EXP(AL78)),2))),IF(ISTEXT(R78),IF(LEFT(R78,1)="2",100,"N/A"),"N/A"))</f>
        <v>0</v>
      </c>
      <c r="AN78">
        <f>IF(ISNUMBER(AM78),IF(AM78&gt;=99,IF(OR(U78=10,U78=11),MatchLabel,SureThingLabel),IF(AM78&gt;=95,SecureLabel,IF(AM78&gt;=80,SafetyLabel,IF(AM78&gt;=50,MatchLabel,IF(AM78&gt;=20,ReachLabel,IF(AM78&gt;=10,LongshotLabel,HailMaryLabel)))))),"Other")</f>
        <v>0</v>
      </c>
      <c r="AO78">
        <f>IF(OR(I78="accepted",I78="cond. accept",I78="summer admit"),IF(J78="yes","CHOICE!","Accepted!"),IF(I78="guar. transfer","Guar. Xfer",IF(I78="denied","Denied",IF(K78=1,"Waitlist",IF(L78=1,"Deferred",IF(G78="pending","Pending",IF(OR(G78="initial materials submitted",G78="mid-year submitted",G78="final submitted"),"Submitted",IF(H78="interest","Interest","?"))))))))</f>
        <v>0</v>
      </c>
      <c r="AP78">
        <f>IF(OR(AN78=ReachLabel,AN78=LongshotLabel,AN78=HailMaryLabel),1,0)</f>
        <v>0</v>
      </c>
      <c r="AQ78">
        <f>IF(OR(AP78=1,AN78=MatchLabel),1,0)</f>
        <v>0</v>
      </c>
      <c r="AR78">
        <f>IF(OR(AN78=MatchLabel,AN78=SafetyLabel,AN78=SecureLabel,AN78=SureThingLabel),1,0)</f>
        <v>0</v>
      </c>
      <c r="AS78">
        <f>IF(OR(W78="H",W78="B",W78="I",W78="M"),IF(ISNUMBER(AB78),ROUND(AB78,2),0),IF(ISNUMBER(AA78),ROUND(AA78,2),0))</f>
        <v>0</v>
      </c>
      <c r="AT78">
        <f>IF(AS78&gt;=X78,1,0)</f>
        <v>0</v>
      </c>
      <c r="AU78">
        <f>IF(AS78&gt;=Y78,1,0)</f>
        <v>0</v>
      </c>
      <c r="AV78">
        <f>IF(AS78&lt;(X78-0.10),1,0)</f>
        <v>0</v>
      </c>
      <c r="AW78">
        <f>1-AM78/100</f>
        <v>0</v>
      </c>
      <c r="AX78">
        <f>IF(AQ78=1,AW78,1)</f>
        <v>0</v>
      </c>
      <c r="AY78">
        <f>IF(AP78=1,AW78,1)</f>
        <v>0</v>
      </c>
      <c r="AZ78">
        <f>IF(AND(AT78=1,ISNUMBER(AW78)),$AW78,1)</f>
        <v>0</v>
      </c>
      <c r="BA78">
        <f>IF(AND(AU78=1,ISNUMBER(AW78)),$AW78,1)</f>
        <v>0</v>
      </c>
      <c r="BB78">
        <f>IF(ISNUMBER(AB78),INDEX(AllCollegeMoney, MATCH(N78,AllCollegeNCES,0)),0)</f>
        <v>0</v>
      </c>
      <c r="BC78">
        <f>IF(AND(AT78=1,ISNUMBER(AW78),BB78=1),$AW78,1)</f>
        <v>0</v>
      </c>
      <c r="BD78">
        <f>IF(AND(AU78=1,ISNUMBER(AW78),BB78=1),$AW78,1)</f>
        <v>0</v>
      </c>
      <c r="BE78">
        <f>IF(ISNUMBER(AB78),INDEX(AllCollegeILPub, MATCH(N78,AllCollegeNCES,0)),0)</f>
        <v>0</v>
      </c>
      <c r="BF78">
        <f>IF(AN78=ReachLabel,AS78,0)</f>
        <v>0</v>
      </c>
      <c r="BG78">
        <f>IF(AN78=MatchLabel,AS78,0)</f>
        <v>0</v>
      </c>
      <c r="BH78">
        <f>IF(AN78=SafetyLabel,AS78,0)</f>
        <v>0</v>
      </c>
      <c r="BI78">
        <f>IF(AN78=SecureLabel,AS78,0)</f>
        <v>0</v>
      </c>
      <c r="BJ78">
        <f>IF(AN78=SureThingLabel,AS78,0)</f>
        <v>0</v>
      </c>
      <c r="BK78">
        <f>MAX(BF78:BJ78)</f>
        <v>0</v>
      </c>
      <c r="BL78">
        <f>MAX(BG78:BJ78)</f>
        <v>0</v>
      </c>
      <c r="BM78">
        <f>MAX(BH78:BJ78)</f>
        <v>0</v>
      </c>
      <c r="BN78">
        <f>IF(AND(AN78=ReachLabel,BB78=1),AS78,0)</f>
        <v>0</v>
      </c>
      <c r="BO78">
        <f>IF(AND(AN78=MatchLabel,BB78=1),AS78,0)</f>
        <v>0</v>
      </c>
      <c r="BP78">
        <f>IF(AND(AN78=SafetyLabel,BB78=1),AS78,0)</f>
        <v>0</v>
      </c>
      <c r="BQ78">
        <f>IF(AND(AN78=SecureLabel,BB78=1),AS78,0)</f>
        <v>0</v>
      </c>
      <c r="BR78">
        <f>IF(AND(AN78=SureThingLabel,BB78=1),AS78,0)</f>
        <v>0</v>
      </c>
      <c r="BS78">
        <f>MAX(BN78:BR78)</f>
        <v>0</v>
      </c>
      <c r="BT78">
        <f>MAX(BO78:BR78)</f>
        <v>0</v>
      </c>
      <c r="BU78">
        <f>MAX(BP78:BR78)</f>
        <v>0</v>
      </c>
      <c r="BV78">
        <f>IF(ISNUMBER(AB78),INDEX(AllCollegeChicago, MATCH(N78,AllCollegeNCES,0))*BB78,0)</f>
        <v>0</v>
      </c>
      <c r="BW78">
        <f>IF(ISNUMBER(AB78),INDEX(AllCollegeMoneyCode, MATCH(N78,AllCollegeNCES,0)),"?")</f>
        <v>0</v>
      </c>
      <c r="BX78">
        <f>IF(OR(BW78="---",BW78="--",BW78="+/--",BW78="+/---"),1,0)</f>
        <v>0</v>
      </c>
      <c r="BY78">
        <f>BB78*AR78*AT78</f>
        <v>0</v>
      </c>
    </row>
    <row r="79" spans="1:77">
      <c r="A79" t="s">
        <v>96</v>
      </c>
      <c r="B79">
        <v>22366458</v>
      </c>
      <c r="C79" t="s">
        <v>300</v>
      </c>
      <c r="D79" t="s">
        <v>301</v>
      </c>
      <c r="E79" t="s">
        <v>446</v>
      </c>
      <c r="F79" t="s">
        <v>470</v>
      </c>
      <c r="G79" t="s">
        <v>448</v>
      </c>
      <c r="H79" t="s">
        <v>449</v>
      </c>
      <c r="I79" t="s">
        <v>450</v>
      </c>
      <c r="J79" t="s">
        <v>450</v>
      </c>
      <c r="K79">
        <v>0</v>
      </c>
      <c r="L79" t="s">
        <v>446</v>
      </c>
      <c r="M79" t="s">
        <v>446</v>
      </c>
      <c r="N79">
        <v>240444</v>
      </c>
      <c r="O79">
        <f>INDEX(Counselor,MATCH(B79,KidIDs,0))</f>
        <v>0</v>
      </c>
      <c r="P79">
        <f>INDEX(Advisors,MATCH(B79,KidIDs,0))</f>
        <v>0</v>
      </c>
      <c r="Q79">
        <f>INDEX(Cohort,MATCH(B79,KidIDs,0))</f>
        <v>0</v>
      </c>
      <c r="R79">
        <f>INDEX(AllCollegeBarrons,MATCH(N79,AllCollegeNCES,0))</f>
        <v>0</v>
      </c>
      <c r="S79">
        <f>INDEX(KidGPAs,MATCH(B79,KidIDs,0))</f>
        <v>0</v>
      </c>
      <c r="T79">
        <f>INDEX(KidSATs,MATCH(B79,KidIDs,0))</f>
        <v>0</v>
      </c>
      <c r="U79">
        <f>INDEX(Strats,MATCH(B79,KidIDs,0))</f>
        <v>0</v>
      </c>
      <c r="V79">
        <f>INDEX(KidRace,MATCH(B79,KidIDs,0))</f>
        <v>0</v>
      </c>
      <c r="W79">
        <f>IF(OR(V79="M",V79="I"),"H",IF(V79="P","A",V79))</f>
        <v>0</v>
      </c>
      <c r="X79">
        <f>INDEX(StudentTargets,MATCH(B79,KidIDs,0))</f>
        <v>0</v>
      </c>
      <c r="Y79">
        <f>INDEX(ReachStudentTargets,MATCH(B79,KidIDs,0))</f>
        <v>0</v>
      </c>
      <c r="Z79">
        <f>IF(OR(M79="Posse"),1,0)</f>
        <v>0</v>
      </c>
      <c r="AA79">
        <f>IF(ISNUMBER(INDEX(AllCollegeGR, MATCH(N79,AllCollegeNCES,0))),ROUND(INDEX(AllCollegeGR, MATCH(N79,AllCollegeNCES,0))+Z79*IF(INDEX(AllCollegeGR, MATCH(N79,AllCollegeNCES,0))&gt;0.7,(1-INDEX(AllCollegeGR, MATCH(N79,AllCollegeNCES,0)))/2,0.15),2),INDEX(AllCollegeGR, MATCH(N79,AllCollegeNCES,0)))</f>
        <v>0</v>
      </c>
      <c r="AB79">
        <f>IF(ISNUMBER(INDEX(AllCollegeAAHGR, MATCH(N79,AllCollegeNCES,0))),ROUND(INDEX(AllCollegeAAHGR, MATCH(N79,AllCollegeNCES,0))+Z79*IF(INDEX(AllCollegeAAHGR, MATCH(N79,AllCollegeNCES,0))&gt;0.7,(1-INDEX(AllCollegeAAHGR, MATCH(N79,AllCollegeNCES,0)))/2,0.15),2),INDEX(AllCollegeAAHGR, MATCH(N79,AllCollegeNCES,0)))</f>
        <v>0</v>
      </c>
      <c r="AC79">
        <f>IF(OR(W79="H",W79="B"),INDEX(AllCollegeSAT25, MATCH(N79,AllCollegeNCES,0)),INDEX(AllCollegeSAT50, MATCH(N79,AllCollegeNCES,0)))</f>
        <v>0</v>
      </c>
      <c r="AD79">
        <f>INDEX(CustomWeightsGPA,MATCH(W79&amp;":"&amp;N79,CustomWeightsIndex,0))</f>
        <v>0</v>
      </c>
      <c r="AE79">
        <f>INDEX(CustomWeightsSAT,MATCH(W79&amp;":"&amp;N79,CustomWeightsIndex,0))</f>
        <v>0</v>
      </c>
      <c r="AF79">
        <f>INDEX(CustomWeightsIntercept,MATCH(W79&amp;":"&amp;N79,CustomWeightsIndex,0))</f>
        <v>0</v>
      </c>
      <c r="AG79">
        <f>AD79*S79+AE79*T79+AF79</f>
        <v>0</v>
      </c>
      <c r="AH79">
        <f>INDEX(CoefficientsGPA,MATCH(W79&amp;":"&amp;R79,CoefficientsIndex,0))</f>
        <v>0</v>
      </c>
      <c r="AI79">
        <f>INDEX(CoefficientsSAT,MATCH(W79&amp;":"&amp;R79,CoefficientsIndex,0))</f>
        <v>0</v>
      </c>
      <c r="AJ79">
        <f>INDEX(CoefficientsIntercept,MATCH(W79&amp;":"&amp;R79,CoefficientsIndex,0))</f>
        <v>0</v>
      </c>
      <c r="AK79">
        <f>AH79*S79+(T79-AC79)*AI79+AJ79</f>
        <v>0</v>
      </c>
      <c r="AL79">
        <f>IF(ISNUMBER(AG79),AG79,AK79)</f>
        <v>0</v>
      </c>
      <c r="AM79">
        <f>IF(ISNUMBER(AL79),IF(ISNUMBER(AH79),IF(AND(AH79=1,AI79=1,AJ79=1),100,MIN(99,ROUND(100*EXP(AL79)/(1+EXP(AL79)),2))),MIN(99,ROUND(100*EXP(AL79)/(1+EXP(AL79)),2))),IF(ISTEXT(R79),IF(LEFT(R79,1)="2",100,"N/A"),"N/A"))</f>
        <v>0</v>
      </c>
      <c r="AN79">
        <f>IF(ISNUMBER(AM79),IF(AM79&gt;=99,IF(OR(U79=10,U79=11),MatchLabel,SureThingLabel),IF(AM79&gt;=95,SecureLabel,IF(AM79&gt;=80,SafetyLabel,IF(AM79&gt;=50,MatchLabel,IF(AM79&gt;=20,ReachLabel,IF(AM79&gt;=10,LongshotLabel,HailMaryLabel)))))),"Other")</f>
        <v>0</v>
      </c>
      <c r="AO79">
        <f>IF(OR(I79="accepted",I79="cond. accept",I79="summer admit"),IF(J79="yes","CHOICE!","Accepted!"),IF(I79="guar. transfer","Guar. Xfer",IF(I79="denied","Denied",IF(K79=1,"Waitlist",IF(L79=1,"Deferred",IF(G79="pending","Pending",IF(OR(G79="initial materials submitted",G79="mid-year submitted",G79="final submitted"),"Submitted",IF(H79="interest","Interest","?"))))))))</f>
        <v>0</v>
      </c>
      <c r="AP79">
        <f>IF(OR(AN79=ReachLabel,AN79=LongshotLabel,AN79=HailMaryLabel),1,0)</f>
        <v>0</v>
      </c>
      <c r="AQ79">
        <f>IF(OR(AP79=1,AN79=MatchLabel),1,0)</f>
        <v>0</v>
      </c>
      <c r="AR79">
        <f>IF(OR(AN79=MatchLabel,AN79=SafetyLabel,AN79=SecureLabel,AN79=SureThingLabel),1,0)</f>
        <v>0</v>
      </c>
      <c r="AS79">
        <f>IF(OR(W79="H",W79="B",W79="I",W79="M"),IF(ISNUMBER(AB79),ROUND(AB79,2),0),IF(ISNUMBER(AA79),ROUND(AA79,2),0))</f>
        <v>0</v>
      </c>
      <c r="AT79">
        <f>IF(AS79&gt;=X79,1,0)</f>
        <v>0</v>
      </c>
      <c r="AU79">
        <f>IF(AS79&gt;=Y79,1,0)</f>
        <v>0</v>
      </c>
      <c r="AV79">
        <f>IF(AS79&lt;(X79-0.10),1,0)</f>
        <v>0</v>
      </c>
      <c r="AW79">
        <f>1-AM79/100</f>
        <v>0</v>
      </c>
      <c r="AX79">
        <f>IF(AQ79=1,AW79,1)</f>
        <v>0</v>
      </c>
      <c r="AY79">
        <f>IF(AP79=1,AW79,1)</f>
        <v>0</v>
      </c>
      <c r="AZ79">
        <f>IF(AND(AT79=1,ISNUMBER(AW79)),$AW79,1)</f>
        <v>0</v>
      </c>
      <c r="BA79">
        <f>IF(AND(AU79=1,ISNUMBER(AW79)),$AW79,1)</f>
        <v>0</v>
      </c>
      <c r="BB79">
        <f>IF(ISNUMBER(AB79),INDEX(AllCollegeMoney, MATCH(N79,AllCollegeNCES,0)),0)</f>
        <v>0</v>
      </c>
      <c r="BC79">
        <f>IF(AND(AT79=1,ISNUMBER(AW79),BB79=1),$AW79,1)</f>
        <v>0</v>
      </c>
      <c r="BD79">
        <f>IF(AND(AU79=1,ISNUMBER(AW79),BB79=1),$AW79,1)</f>
        <v>0</v>
      </c>
      <c r="BE79">
        <f>IF(ISNUMBER(AB79),INDEX(AllCollegeILPub, MATCH(N79,AllCollegeNCES,0)),0)</f>
        <v>0</v>
      </c>
      <c r="BF79">
        <f>IF(AN79=ReachLabel,AS79,0)</f>
        <v>0</v>
      </c>
      <c r="BG79">
        <f>IF(AN79=MatchLabel,AS79,0)</f>
        <v>0</v>
      </c>
      <c r="BH79">
        <f>IF(AN79=SafetyLabel,AS79,0)</f>
        <v>0</v>
      </c>
      <c r="BI79">
        <f>IF(AN79=SecureLabel,AS79,0)</f>
        <v>0</v>
      </c>
      <c r="BJ79">
        <f>IF(AN79=SureThingLabel,AS79,0)</f>
        <v>0</v>
      </c>
      <c r="BK79">
        <f>MAX(BF79:BJ79)</f>
        <v>0</v>
      </c>
      <c r="BL79">
        <f>MAX(BG79:BJ79)</f>
        <v>0</v>
      </c>
      <c r="BM79">
        <f>MAX(BH79:BJ79)</f>
        <v>0</v>
      </c>
      <c r="BN79">
        <f>IF(AND(AN79=ReachLabel,BB79=1),AS79,0)</f>
        <v>0</v>
      </c>
      <c r="BO79">
        <f>IF(AND(AN79=MatchLabel,BB79=1),AS79,0)</f>
        <v>0</v>
      </c>
      <c r="BP79">
        <f>IF(AND(AN79=SafetyLabel,BB79=1),AS79,0)</f>
        <v>0</v>
      </c>
      <c r="BQ79">
        <f>IF(AND(AN79=SecureLabel,BB79=1),AS79,0)</f>
        <v>0</v>
      </c>
      <c r="BR79">
        <f>IF(AND(AN79=SureThingLabel,BB79=1),AS79,0)</f>
        <v>0</v>
      </c>
      <c r="BS79">
        <f>MAX(BN79:BR79)</f>
        <v>0</v>
      </c>
      <c r="BT79">
        <f>MAX(BO79:BR79)</f>
        <v>0</v>
      </c>
      <c r="BU79">
        <f>MAX(BP79:BR79)</f>
        <v>0</v>
      </c>
      <c r="BV79">
        <f>IF(ISNUMBER(AB79),INDEX(AllCollegeChicago, MATCH(N79,AllCollegeNCES,0))*BB79,0)</f>
        <v>0</v>
      </c>
      <c r="BW79">
        <f>IF(ISNUMBER(AB79),INDEX(AllCollegeMoneyCode, MATCH(N79,AllCollegeNCES,0)),"?")</f>
        <v>0</v>
      </c>
      <c r="BX79">
        <f>IF(OR(BW79="---",BW79="--",BW79="+/--",BW79="+/---"),1,0)</f>
        <v>0</v>
      </c>
      <c r="BY79">
        <f>BB79*AR79*AT79</f>
        <v>0</v>
      </c>
    </row>
    <row r="80" spans="1:77">
      <c r="A80" t="s">
        <v>96</v>
      </c>
      <c r="B80">
        <v>22366458</v>
      </c>
      <c r="C80" t="s">
        <v>300</v>
      </c>
      <c r="D80" t="s">
        <v>301</v>
      </c>
      <c r="E80" t="s">
        <v>446</v>
      </c>
      <c r="F80" t="s">
        <v>471</v>
      </c>
      <c r="G80" t="s">
        <v>448</v>
      </c>
      <c r="H80" t="s">
        <v>449</v>
      </c>
      <c r="I80" t="s">
        <v>450</v>
      </c>
      <c r="J80" t="s">
        <v>450</v>
      </c>
      <c r="K80">
        <v>0</v>
      </c>
      <c r="L80" t="s">
        <v>446</v>
      </c>
      <c r="M80" t="s">
        <v>446</v>
      </c>
      <c r="N80">
        <v>202523</v>
      </c>
      <c r="O80">
        <f>INDEX(Counselor,MATCH(B80,KidIDs,0))</f>
        <v>0</v>
      </c>
      <c r="P80">
        <f>INDEX(Advisors,MATCH(B80,KidIDs,0))</f>
        <v>0</v>
      </c>
      <c r="Q80">
        <f>INDEX(Cohort,MATCH(B80,KidIDs,0))</f>
        <v>0</v>
      </c>
      <c r="R80">
        <f>INDEX(AllCollegeBarrons,MATCH(N80,AllCollegeNCES,0))</f>
        <v>0</v>
      </c>
      <c r="S80">
        <f>INDEX(KidGPAs,MATCH(B80,KidIDs,0))</f>
        <v>0</v>
      </c>
      <c r="T80">
        <f>INDEX(KidSATs,MATCH(B80,KidIDs,0))</f>
        <v>0</v>
      </c>
      <c r="U80">
        <f>INDEX(Strats,MATCH(B80,KidIDs,0))</f>
        <v>0</v>
      </c>
      <c r="V80">
        <f>INDEX(KidRace,MATCH(B80,KidIDs,0))</f>
        <v>0</v>
      </c>
      <c r="W80">
        <f>IF(OR(V80="M",V80="I"),"H",IF(V80="P","A",V80))</f>
        <v>0</v>
      </c>
      <c r="X80">
        <f>INDEX(StudentTargets,MATCH(B80,KidIDs,0))</f>
        <v>0</v>
      </c>
      <c r="Y80">
        <f>INDEX(ReachStudentTargets,MATCH(B80,KidIDs,0))</f>
        <v>0</v>
      </c>
      <c r="Z80">
        <f>IF(OR(M80="Posse"),1,0)</f>
        <v>0</v>
      </c>
      <c r="AA80">
        <f>IF(ISNUMBER(INDEX(AllCollegeGR, MATCH(N80,AllCollegeNCES,0))),ROUND(INDEX(AllCollegeGR, MATCH(N80,AllCollegeNCES,0))+Z80*IF(INDEX(AllCollegeGR, MATCH(N80,AllCollegeNCES,0))&gt;0.7,(1-INDEX(AllCollegeGR, MATCH(N80,AllCollegeNCES,0)))/2,0.15),2),INDEX(AllCollegeGR, MATCH(N80,AllCollegeNCES,0)))</f>
        <v>0</v>
      </c>
      <c r="AB80">
        <f>IF(ISNUMBER(INDEX(AllCollegeAAHGR, MATCH(N80,AllCollegeNCES,0))),ROUND(INDEX(AllCollegeAAHGR, MATCH(N80,AllCollegeNCES,0))+Z80*IF(INDEX(AllCollegeAAHGR, MATCH(N80,AllCollegeNCES,0))&gt;0.7,(1-INDEX(AllCollegeAAHGR, MATCH(N80,AllCollegeNCES,0)))/2,0.15),2),INDEX(AllCollegeAAHGR, MATCH(N80,AllCollegeNCES,0)))</f>
        <v>0</v>
      </c>
      <c r="AC80">
        <f>IF(OR(W80="H",W80="B"),INDEX(AllCollegeSAT25, MATCH(N80,AllCollegeNCES,0)),INDEX(AllCollegeSAT50, MATCH(N80,AllCollegeNCES,0)))</f>
        <v>0</v>
      </c>
      <c r="AD80">
        <f>INDEX(CustomWeightsGPA,MATCH(W80&amp;":"&amp;N80,CustomWeightsIndex,0))</f>
        <v>0</v>
      </c>
      <c r="AE80">
        <f>INDEX(CustomWeightsSAT,MATCH(W80&amp;":"&amp;N80,CustomWeightsIndex,0))</f>
        <v>0</v>
      </c>
      <c r="AF80">
        <f>INDEX(CustomWeightsIntercept,MATCH(W80&amp;":"&amp;N80,CustomWeightsIndex,0))</f>
        <v>0</v>
      </c>
      <c r="AG80">
        <f>AD80*S80+AE80*T80+AF80</f>
        <v>0</v>
      </c>
      <c r="AH80">
        <f>INDEX(CoefficientsGPA,MATCH(W80&amp;":"&amp;R80,CoefficientsIndex,0))</f>
        <v>0</v>
      </c>
      <c r="AI80">
        <f>INDEX(CoefficientsSAT,MATCH(W80&amp;":"&amp;R80,CoefficientsIndex,0))</f>
        <v>0</v>
      </c>
      <c r="AJ80">
        <f>INDEX(CoefficientsIntercept,MATCH(W80&amp;":"&amp;R80,CoefficientsIndex,0))</f>
        <v>0</v>
      </c>
      <c r="AK80">
        <f>AH80*S80+(T80-AC80)*AI80+AJ80</f>
        <v>0</v>
      </c>
      <c r="AL80">
        <f>IF(ISNUMBER(AG80),AG80,AK80)</f>
        <v>0</v>
      </c>
      <c r="AM80">
        <f>IF(ISNUMBER(AL80),IF(ISNUMBER(AH80),IF(AND(AH80=1,AI80=1,AJ80=1),100,MIN(99,ROUND(100*EXP(AL80)/(1+EXP(AL80)),2))),MIN(99,ROUND(100*EXP(AL80)/(1+EXP(AL80)),2))),IF(ISTEXT(R80),IF(LEFT(R80,1)="2",100,"N/A"),"N/A"))</f>
        <v>0</v>
      </c>
      <c r="AN80">
        <f>IF(ISNUMBER(AM80),IF(AM80&gt;=99,IF(OR(U80=10,U80=11),MatchLabel,SureThingLabel),IF(AM80&gt;=95,SecureLabel,IF(AM80&gt;=80,SafetyLabel,IF(AM80&gt;=50,MatchLabel,IF(AM80&gt;=20,ReachLabel,IF(AM80&gt;=10,LongshotLabel,HailMaryLabel)))))),"Other")</f>
        <v>0</v>
      </c>
      <c r="AO80">
        <f>IF(OR(I80="accepted",I80="cond. accept",I80="summer admit"),IF(J80="yes","CHOICE!","Accepted!"),IF(I80="guar. transfer","Guar. Xfer",IF(I80="denied","Denied",IF(K80=1,"Waitlist",IF(L80=1,"Deferred",IF(G80="pending","Pending",IF(OR(G80="initial materials submitted",G80="mid-year submitted",G80="final submitted"),"Submitted",IF(H80="interest","Interest","?"))))))))</f>
        <v>0</v>
      </c>
      <c r="AP80">
        <f>IF(OR(AN80=ReachLabel,AN80=LongshotLabel,AN80=HailMaryLabel),1,0)</f>
        <v>0</v>
      </c>
      <c r="AQ80">
        <f>IF(OR(AP80=1,AN80=MatchLabel),1,0)</f>
        <v>0</v>
      </c>
      <c r="AR80">
        <f>IF(OR(AN80=MatchLabel,AN80=SafetyLabel,AN80=SecureLabel,AN80=SureThingLabel),1,0)</f>
        <v>0</v>
      </c>
      <c r="AS80">
        <f>IF(OR(W80="H",W80="B",W80="I",W80="M"),IF(ISNUMBER(AB80),ROUND(AB80,2),0),IF(ISNUMBER(AA80),ROUND(AA80,2),0))</f>
        <v>0</v>
      </c>
      <c r="AT80">
        <f>IF(AS80&gt;=X80,1,0)</f>
        <v>0</v>
      </c>
      <c r="AU80">
        <f>IF(AS80&gt;=Y80,1,0)</f>
        <v>0</v>
      </c>
      <c r="AV80">
        <f>IF(AS80&lt;(X80-0.10),1,0)</f>
        <v>0</v>
      </c>
      <c r="AW80">
        <f>1-AM80/100</f>
        <v>0</v>
      </c>
      <c r="AX80">
        <f>IF(AQ80=1,AW80,1)</f>
        <v>0</v>
      </c>
      <c r="AY80">
        <f>IF(AP80=1,AW80,1)</f>
        <v>0</v>
      </c>
      <c r="AZ80">
        <f>IF(AND(AT80=1,ISNUMBER(AW80)),$AW80,1)</f>
        <v>0</v>
      </c>
      <c r="BA80">
        <f>IF(AND(AU80=1,ISNUMBER(AW80)),$AW80,1)</f>
        <v>0</v>
      </c>
      <c r="BB80">
        <f>IF(ISNUMBER(AB80),INDEX(AllCollegeMoney, MATCH(N80,AllCollegeNCES,0)),0)</f>
        <v>0</v>
      </c>
      <c r="BC80">
        <f>IF(AND(AT80=1,ISNUMBER(AW80),BB80=1),$AW80,1)</f>
        <v>0</v>
      </c>
      <c r="BD80">
        <f>IF(AND(AU80=1,ISNUMBER(AW80),BB80=1),$AW80,1)</f>
        <v>0</v>
      </c>
      <c r="BE80">
        <f>IF(ISNUMBER(AB80),INDEX(AllCollegeILPub, MATCH(N80,AllCollegeNCES,0)),0)</f>
        <v>0</v>
      </c>
      <c r="BF80">
        <f>IF(AN80=ReachLabel,AS80,0)</f>
        <v>0</v>
      </c>
      <c r="BG80">
        <f>IF(AN80=MatchLabel,AS80,0)</f>
        <v>0</v>
      </c>
      <c r="BH80">
        <f>IF(AN80=SafetyLabel,AS80,0)</f>
        <v>0</v>
      </c>
      <c r="BI80">
        <f>IF(AN80=SecureLabel,AS80,0)</f>
        <v>0</v>
      </c>
      <c r="BJ80">
        <f>IF(AN80=SureThingLabel,AS80,0)</f>
        <v>0</v>
      </c>
      <c r="BK80">
        <f>MAX(BF80:BJ80)</f>
        <v>0</v>
      </c>
      <c r="BL80">
        <f>MAX(BG80:BJ80)</f>
        <v>0</v>
      </c>
      <c r="BM80">
        <f>MAX(BH80:BJ80)</f>
        <v>0</v>
      </c>
      <c r="BN80">
        <f>IF(AND(AN80=ReachLabel,BB80=1),AS80,0)</f>
        <v>0</v>
      </c>
      <c r="BO80">
        <f>IF(AND(AN80=MatchLabel,BB80=1),AS80,0)</f>
        <v>0</v>
      </c>
      <c r="BP80">
        <f>IF(AND(AN80=SafetyLabel,BB80=1),AS80,0)</f>
        <v>0</v>
      </c>
      <c r="BQ80">
        <f>IF(AND(AN80=SecureLabel,BB80=1),AS80,0)</f>
        <v>0</v>
      </c>
      <c r="BR80">
        <f>IF(AND(AN80=SureThingLabel,BB80=1),AS80,0)</f>
        <v>0</v>
      </c>
      <c r="BS80">
        <f>MAX(BN80:BR80)</f>
        <v>0</v>
      </c>
      <c r="BT80">
        <f>MAX(BO80:BR80)</f>
        <v>0</v>
      </c>
      <c r="BU80">
        <f>MAX(BP80:BR80)</f>
        <v>0</v>
      </c>
      <c r="BV80">
        <f>IF(ISNUMBER(AB80),INDEX(AllCollegeChicago, MATCH(N80,AllCollegeNCES,0))*BB80,0)</f>
        <v>0</v>
      </c>
      <c r="BW80">
        <f>IF(ISNUMBER(AB80),INDEX(AllCollegeMoneyCode, MATCH(N80,AllCollegeNCES,0)),"?")</f>
        <v>0</v>
      </c>
      <c r="BX80">
        <f>IF(OR(BW80="---",BW80="--",BW80="+/--",BW80="+/---"),1,0)</f>
        <v>0</v>
      </c>
      <c r="BY80">
        <f>BB80*AR80*AT80</f>
        <v>0</v>
      </c>
    </row>
    <row r="81" spans="1:77">
      <c r="A81" t="s">
        <v>96</v>
      </c>
      <c r="B81">
        <v>22366458</v>
      </c>
      <c r="C81" t="s">
        <v>300</v>
      </c>
      <c r="D81" t="s">
        <v>301</v>
      </c>
      <c r="E81" t="s">
        <v>446</v>
      </c>
      <c r="F81" t="s">
        <v>472</v>
      </c>
      <c r="G81" t="s">
        <v>448</v>
      </c>
      <c r="H81" t="s">
        <v>449</v>
      </c>
      <c r="I81" t="s">
        <v>450</v>
      </c>
      <c r="J81" t="s">
        <v>450</v>
      </c>
      <c r="K81">
        <v>0</v>
      </c>
      <c r="L81" t="s">
        <v>446</v>
      </c>
      <c r="M81" t="s">
        <v>446</v>
      </c>
      <c r="N81">
        <v>212674</v>
      </c>
      <c r="O81">
        <f>INDEX(Counselor,MATCH(B81,KidIDs,0))</f>
        <v>0</v>
      </c>
      <c r="P81">
        <f>INDEX(Advisors,MATCH(B81,KidIDs,0))</f>
        <v>0</v>
      </c>
      <c r="Q81">
        <f>INDEX(Cohort,MATCH(B81,KidIDs,0))</f>
        <v>0</v>
      </c>
      <c r="R81">
        <f>INDEX(AllCollegeBarrons,MATCH(N81,AllCollegeNCES,0))</f>
        <v>0</v>
      </c>
      <c r="S81">
        <f>INDEX(KidGPAs,MATCH(B81,KidIDs,0))</f>
        <v>0</v>
      </c>
      <c r="T81">
        <f>INDEX(KidSATs,MATCH(B81,KidIDs,0))</f>
        <v>0</v>
      </c>
      <c r="U81">
        <f>INDEX(Strats,MATCH(B81,KidIDs,0))</f>
        <v>0</v>
      </c>
      <c r="V81">
        <f>INDEX(KidRace,MATCH(B81,KidIDs,0))</f>
        <v>0</v>
      </c>
      <c r="W81">
        <f>IF(OR(V81="M",V81="I"),"H",IF(V81="P","A",V81))</f>
        <v>0</v>
      </c>
      <c r="X81">
        <f>INDEX(StudentTargets,MATCH(B81,KidIDs,0))</f>
        <v>0</v>
      </c>
      <c r="Y81">
        <f>INDEX(ReachStudentTargets,MATCH(B81,KidIDs,0))</f>
        <v>0</v>
      </c>
      <c r="Z81">
        <f>IF(OR(M81="Posse"),1,0)</f>
        <v>0</v>
      </c>
      <c r="AA81">
        <f>IF(ISNUMBER(INDEX(AllCollegeGR, MATCH(N81,AllCollegeNCES,0))),ROUND(INDEX(AllCollegeGR, MATCH(N81,AllCollegeNCES,0))+Z81*IF(INDEX(AllCollegeGR, MATCH(N81,AllCollegeNCES,0))&gt;0.7,(1-INDEX(AllCollegeGR, MATCH(N81,AllCollegeNCES,0)))/2,0.15),2),INDEX(AllCollegeGR, MATCH(N81,AllCollegeNCES,0)))</f>
        <v>0</v>
      </c>
      <c r="AB81">
        <f>IF(ISNUMBER(INDEX(AllCollegeAAHGR, MATCH(N81,AllCollegeNCES,0))),ROUND(INDEX(AllCollegeAAHGR, MATCH(N81,AllCollegeNCES,0))+Z81*IF(INDEX(AllCollegeAAHGR, MATCH(N81,AllCollegeNCES,0))&gt;0.7,(1-INDEX(AllCollegeAAHGR, MATCH(N81,AllCollegeNCES,0)))/2,0.15),2),INDEX(AllCollegeAAHGR, MATCH(N81,AllCollegeNCES,0)))</f>
        <v>0</v>
      </c>
      <c r="AC81">
        <f>IF(OR(W81="H",W81="B"),INDEX(AllCollegeSAT25, MATCH(N81,AllCollegeNCES,0)),INDEX(AllCollegeSAT50, MATCH(N81,AllCollegeNCES,0)))</f>
        <v>0</v>
      </c>
      <c r="AD81">
        <f>INDEX(CustomWeightsGPA,MATCH(W81&amp;":"&amp;N81,CustomWeightsIndex,0))</f>
        <v>0</v>
      </c>
      <c r="AE81">
        <f>INDEX(CustomWeightsSAT,MATCH(W81&amp;":"&amp;N81,CustomWeightsIndex,0))</f>
        <v>0</v>
      </c>
      <c r="AF81">
        <f>INDEX(CustomWeightsIntercept,MATCH(W81&amp;":"&amp;N81,CustomWeightsIndex,0))</f>
        <v>0</v>
      </c>
      <c r="AG81">
        <f>AD81*S81+AE81*T81+AF81</f>
        <v>0</v>
      </c>
      <c r="AH81">
        <f>INDEX(CoefficientsGPA,MATCH(W81&amp;":"&amp;R81,CoefficientsIndex,0))</f>
        <v>0</v>
      </c>
      <c r="AI81">
        <f>INDEX(CoefficientsSAT,MATCH(W81&amp;":"&amp;R81,CoefficientsIndex,0))</f>
        <v>0</v>
      </c>
      <c r="AJ81">
        <f>INDEX(CoefficientsIntercept,MATCH(W81&amp;":"&amp;R81,CoefficientsIndex,0))</f>
        <v>0</v>
      </c>
      <c r="AK81">
        <f>AH81*S81+(T81-AC81)*AI81+AJ81</f>
        <v>0</v>
      </c>
      <c r="AL81">
        <f>IF(ISNUMBER(AG81),AG81,AK81)</f>
        <v>0</v>
      </c>
      <c r="AM81">
        <f>IF(ISNUMBER(AL81),IF(ISNUMBER(AH81),IF(AND(AH81=1,AI81=1,AJ81=1),100,MIN(99,ROUND(100*EXP(AL81)/(1+EXP(AL81)),2))),MIN(99,ROUND(100*EXP(AL81)/(1+EXP(AL81)),2))),IF(ISTEXT(R81),IF(LEFT(R81,1)="2",100,"N/A"),"N/A"))</f>
        <v>0</v>
      </c>
      <c r="AN81">
        <f>IF(ISNUMBER(AM81),IF(AM81&gt;=99,IF(OR(U81=10,U81=11),MatchLabel,SureThingLabel),IF(AM81&gt;=95,SecureLabel,IF(AM81&gt;=80,SafetyLabel,IF(AM81&gt;=50,MatchLabel,IF(AM81&gt;=20,ReachLabel,IF(AM81&gt;=10,LongshotLabel,HailMaryLabel)))))),"Other")</f>
        <v>0</v>
      </c>
      <c r="AO81">
        <f>IF(OR(I81="accepted",I81="cond. accept",I81="summer admit"),IF(J81="yes","CHOICE!","Accepted!"),IF(I81="guar. transfer","Guar. Xfer",IF(I81="denied","Denied",IF(K81=1,"Waitlist",IF(L81=1,"Deferred",IF(G81="pending","Pending",IF(OR(G81="initial materials submitted",G81="mid-year submitted",G81="final submitted"),"Submitted",IF(H81="interest","Interest","?"))))))))</f>
        <v>0</v>
      </c>
      <c r="AP81">
        <f>IF(OR(AN81=ReachLabel,AN81=LongshotLabel,AN81=HailMaryLabel),1,0)</f>
        <v>0</v>
      </c>
      <c r="AQ81">
        <f>IF(OR(AP81=1,AN81=MatchLabel),1,0)</f>
        <v>0</v>
      </c>
      <c r="AR81">
        <f>IF(OR(AN81=MatchLabel,AN81=SafetyLabel,AN81=SecureLabel,AN81=SureThingLabel),1,0)</f>
        <v>0</v>
      </c>
      <c r="AS81">
        <f>IF(OR(W81="H",W81="B",W81="I",W81="M"),IF(ISNUMBER(AB81),ROUND(AB81,2),0),IF(ISNUMBER(AA81),ROUND(AA81,2),0))</f>
        <v>0</v>
      </c>
      <c r="AT81">
        <f>IF(AS81&gt;=X81,1,0)</f>
        <v>0</v>
      </c>
      <c r="AU81">
        <f>IF(AS81&gt;=Y81,1,0)</f>
        <v>0</v>
      </c>
      <c r="AV81">
        <f>IF(AS81&lt;(X81-0.10),1,0)</f>
        <v>0</v>
      </c>
      <c r="AW81">
        <f>1-AM81/100</f>
        <v>0</v>
      </c>
      <c r="AX81">
        <f>IF(AQ81=1,AW81,1)</f>
        <v>0</v>
      </c>
      <c r="AY81">
        <f>IF(AP81=1,AW81,1)</f>
        <v>0</v>
      </c>
      <c r="AZ81">
        <f>IF(AND(AT81=1,ISNUMBER(AW81)),$AW81,1)</f>
        <v>0</v>
      </c>
      <c r="BA81">
        <f>IF(AND(AU81=1,ISNUMBER(AW81)),$AW81,1)</f>
        <v>0</v>
      </c>
      <c r="BB81">
        <f>IF(ISNUMBER(AB81),INDEX(AllCollegeMoney, MATCH(N81,AllCollegeNCES,0)),0)</f>
        <v>0</v>
      </c>
      <c r="BC81">
        <f>IF(AND(AT81=1,ISNUMBER(AW81),BB81=1),$AW81,1)</f>
        <v>0</v>
      </c>
      <c r="BD81">
        <f>IF(AND(AU81=1,ISNUMBER(AW81),BB81=1),$AW81,1)</f>
        <v>0</v>
      </c>
      <c r="BE81">
        <f>IF(ISNUMBER(AB81),INDEX(AllCollegeILPub, MATCH(N81,AllCollegeNCES,0)),0)</f>
        <v>0</v>
      </c>
      <c r="BF81">
        <f>IF(AN81=ReachLabel,AS81,0)</f>
        <v>0</v>
      </c>
      <c r="BG81">
        <f>IF(AN81=MatchLabel,AS81,0)</f>
        <v>0</v>
      </c>
      <c r="BH81">
        <f>IF(AN81=SafetyLabel,AS81,0)</f>
        <v>0</v>
      </c>
      <c r="BI81">
        <f>IF(AN81=SecureLabel,AS81,0)</f>
        <v>0</v>
      </c>
      <c r="BJ81">
        <f>IF(AN81=SureThingLabel,AS81,0)</f>
        <v>0</v>
      </c>
      <c r="BK81">
        <f>MAX(BF81:BJ81)</f>
        <v>0</v>
      </c>
      <c r="BL81">
        <f>MAX(BG81:BJ81)</f>
        <v>0</v>
      </c>
      <c r="BM81">
        <f>MAX(BH81:BJ81)</f>
        <v>0</v>
      </c>
      <c r="BN81">
        <f>IF(AND(AN81=ReachLabel,BB81=1),AS81,0)</f>
        <v>0</v>
      </c>
      <c r="BO81">
        <f>IF(AND(AN81=MatchLabel,BB81=1),AS81,0)</f>
        <v>0</v>
      </c>
      <c r="BP81">
        <f>IF(AND(AN81=SafetyLabel,BB81=1),AS81,0)</f>
        <v>0</v>
      </c>
      <c r="BQ81">
        <f>IF(AND(AN81=SecureLabel,BB81=1),AS81,0)</f>
        <v>0</v>
      </c>
      <c r="BR81">
        <f>IF(AND(AN81=SureThingLabel,BB81=1),AS81,0)</f>
        <v>0</v>
      </c>
      <c r="BS81">
        <f>MAX(BN81:BR81)</f>
        <v>0</v>
      </c>
      <c r="BT81">
        <f>MAX(BO81:BR81)</f>
        <v>0</v>
      </c>
      <c r="BU81">
        <f>MAX(BP81:BR81)</f>
        <v>0</v>
      </c>
      <c r="BV81">
        <f>IF(ISNUMBER(AB81),INDEX(AllCollegeChicago, MATCH(N81,AllCollegeNCES,0))*BB81,0)</f>
        <v>0</v>
      </c>
      <c r="BW81">
        <f>IF(ISNUMBER(AB81),INDEX(AllCollegeMoneyCode, MATCH(N81,AllCollegeNCES,0)),"?")</f>
        <v>0</v>
      </c>
      <c r="BX81">
        <f>IF(OR(BW81="---",BW81="--",BW81="+/--",BW81="+/---"),1,0)</f>
        <v>0</v>
      </c>
      <c r="BY81">
        <f>BB81*AR81*AT81</f>
        <v>0</v>
      </c>
    </row>
    <row r="82" spans="1:77">
      <c r="A82" t="s">
        <v>96</v>
      </c>
      <c r="B82">
        <v>22366458</v>
      </c>
      <c r="C82" t="s">
        <v>300</v>
      </c>
      <c r="D82" t="s">
        <v>301</v>
      </c>
      <c r="E82" t="s">
        <v>446</v>
      </c>
      <c r="F82" t="s">
        <v>487</v>
      </c>
      <c r="G82" t="s">
        <v>448</v>
      </c>
      <c r="H82" t="s">
        <v>449</v>
      </c>
      <c r="I82" t="s">
        <v>450</v>
      </c>
      <c r="J82" t="s">
        <v>450</v>
      </c>
      <c r="K82">
        <v>0</v>
      </c>
      <c r="L82" t="s">
        <v>446</v>
      </c>
      <c r="M82" t="s">
        <v>446</v>
      </c>
      <c r="N82">
        <v>174844</v>
      </c>
      <c r="O82">
        <f>INDEX(Counselor,MATCH(B82,KidIDs,0))</f>
        <v>0</v>
      </c>
      <c r="P82">
        <f>INDEX(Advisors,MATCH(B82,KidIDs,0))</f>
        <v>0</v>
      </c>
      <c r="Q82">
        <f>INDEX(Cohort,MATCH(B82,KidIDs,0))</f>
        <v>0</v>
      </c>
      <c r="R82">
        <f>INDEX(AllCollegeBarrons,MATCH(N82,AllCollegeNCES,0))</f>
        <v>0</v>
      </c>
      <c r="S82">
        <f>INDEX(KidGPAs,MATCH(B82,KidIDs,0))</f>
        <v>0</v>
      </c>
      <c r="T82">
        <f>INDEX(KidSATs,MATCH(B82,KidIDs,0))</f>
        <v>0</v>
      </c>
      <c r="U82">
        <f>INDEX(Strats,MATCH(B82,KidIDs,0))</f>
        <v>0</v>
      </c>
      <c r="V82">
        <f>INDEX(KidRace,MATCH(B82,KidIDs,0))</f>
        <v>0</v>
      </c>
      <c r="W82">
        <f>IF(OR(V82="M",V82="I"),"H",IF(V82="P","A",V82))</f>
        <v>0</v>
      </c>
      <c r="X82">
        <f>INDEX(StudentTargets,MATCH(B82,KidIDs,0))</f>
        <v>0</v>
      </c>
      <c r="Y82">
        <f>INDEX(ReachStudentTargets,MATCH(B82,KidIDs,0))</f>
        <v>0</v>
      </c>
      <c r="Z82">
        <f>IF(OR(M82="Posse"),1,0)</f>
        <v>0</v>
      </c>
      <c r="AA82">
        <f>IF(ISNUMBER(INDEX(AllCollegeGR, MATCH(N82,AllCollegeNCES,0))),ROUND(INDEX(AllCollegeGR, MATCH(N82,AllCollegeNCES,0))+Z82*IF(INDEX(AllCollegeGR, MATCH(N82,AllCollegeNCES,0))&gt;0.7,(1-INDEX(AllCollegeGR, MATCH(N82,AllCollegeNCES,0)))/2,0.15),2),INDEX(AllCollegeGR, MATCH(N82,AllCollegeNCES,0)))</f>
        <v>0</v>
      </c>
      <c r="AB82">
        <f>IF(ISNUMBER(INDEX(AllCollegeAAHGR, MATCH(N82,AllCollegeNCES,0))),ROUND(INDEX(AllCollegeAAHGR, MATCH(N82,AllCollegeNCES,0))+Z82*IF(INDEX(AllCollegeAAHGR, MATCH(N82,AllCollegeNCES,0))&gt;0.7,(1-INDEX(AllCollegeAAHGR, MATCH(N82,AllCollegeNCES,0)))/2,0.15),2),INDEX(AllCollegeAAHGR, MATCH(N82,AllCollegeNCES,0)))</f>
        <v>0</v>
      </c>
      <c r="AC82">
        <f>IF(OR(W82="H",W82="B"),INDEX(AllCollegeSAT25, MATCH(N82,AllCollegeNCES,0)),INDEX(AllCollegeSAT50, MATCH(N82,AllCollegeNCES,0)))</f>
        <v>0</v>
      </c>
      <c r="AD82">
        <f>INDEX(CustomWeightsGPA,MATCH(W82&amp;":"&amp;N82,CustomWeightsIndex,0))</f>
        <v>0</v>
      </c>
      <c r="AE82">
        <f>INDEX(CustomWeightsSAT,MATCH(W82&amp;":"&amp;N82,CustomWeightsIndex,0))</f>
        <v>0</v>
      </c>
      <c r="AF82">
        <f>INDEX(CustomWeightsIntercept,MATCH(W82&amp;":"&amp;N82,CustomWeightsIndex,0))</f>
        <v>0</v>
      </c>
      <c r="AG82">
        <f>AD82*S82+AE82*T82+AF82</f>
        <v>0</v>
      </c>
      <c r="AH82">
        <f>INDEX(CoefficientsGPA,MATCH(W82&amp;":"&amp;R82,CoefficientsIndex,0))</f>
        <v>0</v>
      </c>
      <c r="AI82">
        <f>INDEX(CoefficientsSAT,MATCH(W82&amp;":"&amp;R82,CoefficientsIndex,0))</f>
        <v>0</v>
      </c>
      <c r="AJ82">
        <f>INDEX(CoefficientsIntercept,MATCH(W82&amp;":"&amp;R82,CoefficientsIndex,0))</f>
        <v>0</v>
      </c>
      <c r="AK82">
        <f>AH82*S82+(T82-AC82)*AI82+AJ82</f>
        <v>0</v>
      </c>
      <c r="AL82">
        <f>IF(ISNUMBER(AG82),AG82,AK82)</f>
        <v>0</v>
      </c>
      <c r="AM82">
        <f>IF(ISNUMBER(AL82),IF(ISNUMBER(AH82),IF(AND(AH82=1,AI82=1,AJ82=1),100,MIN(99,ROUND(100*EXP(AL82)/(1+EXP(AL82)),2))),MIN(99,ROUND(100*EXP(AL82)/(1+EXP(AL82)),2))),IF(ISTEXT(R82),IF(LEFT(R82,1)="2",100,"N/A"),"N/A"))</f>
        <v>0</v>
      </c>
      <c r="AN82">
        <f>IF(ISNUMBER(AM82),IF(AM82&gt;=99,IF(OR(U82=10,U82=11),MatchLabel,SureThingLabel),IF(AM82&gt;=95,SecureLabel,IF(AM82&gt;=80,SafetyLabel,IF(AM82&gt;=50,MatchLabel,IF(AM82&gt;=20,ReachLabel,IF(AM82&gt;=10,LongshotLabel,HailMaryLabel)))))),"Other")</f>
        <v>0</v>
      </c>
      <c r="AO82">
        <f>IF(OR(I82="accepted",I82="cond. accept",I82="summer admit"),IF(J82="yes","CHOICE!","Accepted!"),IF(I82="guar. transfer","Guar. Xfer",IF(I82="denied","Denied",IF(K82=1,"Waitlist",IF(L82=1,"Deferred",IF(G82="pending","Pending",IF(OR(G82="initial materials submitted",G82="mid-year submitted",G82="final submitted"),"Submitted",IF(H82="interest","Interest","?"))))))))</f>
        <v>0</v>
      </c>
      <c r="AP82">
        <f>IF(OR(AN82=ReachLabel,AN82=LongshotLabel,AN82=HailMaryLabel),1,0)</f>
        <v>0</v>
      </c>
      <c r="AQ82">
        <f>IF(OR(AP82=1,AN82=MatchLabel),1,0)</f>
        <v>0</v>
      </c>
      <c r="AR82">
        <f>IF(OR(AN82=MatchLabel,AN82=SafetyLabel,AN82=SecureLabel,AN82=SureThingLabel),1,0)</f>
        <v>0</v>
      </c>
      <c r="AS82">
        <f>IF(OR(W82="H",W82="B",W82="I",W82="M"),IF(ISNUMBER(AB82),ROUND(AB82,2),0),IF(ISNUMBER(AA82),ROUND(AA82,2),0))</f>
        <v>0</v>
      </c>
      <c r="AT82">
        <f>IF(AS82&gt;=X82,1,0)</f>
        <v>0</v>
      </c>
      <c r="AU82">
        <f>IF(AS82&gt;=Y82,1,0)</f>
        <v>0</v>
      </c>
      <c r="AV82">
        <f>IF(AS82&lt;(X82-0.10),1,0)</f>
        <v>0</v>
      </c>
      <c r="AW82">
        <f>1-AM82/100</f>
        <v>0</v>
      </c>
      <c r="AX82">
        <f>IF(AQ82=1,AW82,1)</f>
        <v>0</v>
      </c>
      <c r="AY82">
        <f>IF(AP82=1,AW82,1)</f>
        <v>0</v>
      </c>
      <c r="AZ82">
        <f>IF(AND(AT82=1,ISNUMBER(AW82)),$AW82,1)</f>
        <v>0</v>
      </c>
      <c r="BA82">
        <f>IF(AND(AU82=1,ISNUMBER(AW82)),$AW82,1)</f>
        <v>0</v>
      </c>
      <c r="BB82">
        <f>IF(ISNUMBER(AB82),INDEX(AllCollegeMoney, MATCH(N82,AllCollegeNCES,0)),0)</f>
        <v>0</v>
      </c>
      <c r="BC82">
        <f>IF(AND(AT82=1,ISNUMBER(AW82),BB82=1),$AW82,1)</f>
        <v>0</v>
      </c>
      <c r="BD82">
        <f>IF(AND(AU82=1,ISNUMBER(AW82),BB82=1),$AW82,1)</f>
        <v>0</v>
      </c>
      <c r="BE82">
        <f>IF(ISNUMBER(AB82),INDEX(AllCollegeILPub, MATCH(N82,AllCollegeNCES,0)),0)</f>
        <v>0</v>
      </c>
      <c r="BF82">
        <f>IF(AN82=ReachLabel,AS82,0)</f>
        <v>0</v>
      </c>
      <c r="BG82">
        <f>IF(AN82=MatchLabel,AS82,0)</f>
        <v>0</v>
      </c>
      <c r="BH82">
        <f>IF(AN82=SafetyLabel,AS82,0)</f>
        <v>0</v>
      </c>
      <c r="BI82">
        <f>IF(AN82=SecureLabel,AS82,0)</f>
        <v>0</v>
      </c>
      <c r="BJ82">
        <f>IF(AN82=SureThingLabel,AS82,0)</f>
        <v>0</v>
      </c>
      <c r="BK82">
        <f>MAX(BF82:BJ82)</f>
        <v>0</v>
      </c>
      <c r="BL82">
        <f>MAX(BG82:BJ82)</f>
        <v>0</v>
      </c>
      <c r="BM82">
        <f>MAX(BH82:BJ82)</f>
        <v>0</v>
      </c>
      <c r="BN82">
        <f>IF(AND(AN82=ReachLabel,BB82=1),AS82,0)</f>
        <v>0</v>
      </c>
      <c r="BO82">
        <f>IF(AND(AN82=MatchLabel,BB82=1),AS82,0)</f>
        <v>0</v>
      </c>
      <c r="BP82">
        <f>IF(AND(AN82=SafetyLabel,BB82=1),AS82,0)</f>
        <v>0</v>
      </c>
      <c r="BQ82">
        <f>IF(AND(AN82=SecureLabel,BB82=1),AS82,0)</f>
        <v>0</v>
      </c>
      <c r="BR82">
        <f>IF(AND(AN82=SureThingLabel,BB82=1),AS82,0)</f>
        <v>0</v>
      </c>
      <c r="BS82">
        <f>MAX(BN82:BR82)</f>
        <v>0</v>
      </c>
      <c r="BT82">
        <f>MAX(BO82:BR82)</f>
        <v>0</v>
      </c>
      <c r="BU82">
        <f>MAX(BP82:BR82)</f>
        <v>0</v>
      </c>
      <c r="BV82">
        <f>IF(ISNUMBER(AB82),INDEX(AllCollegeChicago, MATCH(N82,AllCollegeNCES,0))*BB82,0)</f>
        <v>0</v>
      </c>
      <c r="BW82">
        <f>IF(ISNUMBER(AB82),INDEX(AllCollegeMoneyCode, MATCH(N82,AllCollegeNCES,0)),"?")</f>
        <v>0</v>
      </c>
      <c r="BX82">
        <f>IF(OR(BW82="---",BW82="--",BW82="+/--",BW82="+/---"),1,0)</f>
        <v>0</v>
      </c>
      <c r="BY82">
        <f>BB82*AR82*AT82</f>
        <v>0</v>
      </c>
    </row>
    <row r="83" spans="1:77">
      <c r="A83" t="s">
        <v>96</v>
      </c>
      <c r="B83">
        <v>22366458</v>
      </c>
      <c r="C83" t="s">
        <v>300</v>
      </c>
      <c r="D83" t="s">
        <v>301</v>
      </c>
      <c r="E83" t="s">
        <v>446</v>
      </c>
      <c r="F83" t="s">
        <v>475</v>
      </c>
      <c r="G83" t="s">
        <v>448</v>
      </c>
      <c r="H83" t="s">
        <v>449</v>
      </c>
      <c r="I83" t="s">
        <v>450</v>
      </c>
      <c r="J83" t="s">
        <v>450</v>
      </c>
      <c r="K83">
        <v>0</v>
      </c>
      <c r="L83" t="s">
        <v>446</v>
      </c>
      <c r="M83" t="s">
        <v>446</v>
      </c>
      <c r="N83">
        <v>145637</v>
      </c>
      <c r="O83">
        <f>INDEX(Counselor,MATCH(B83,KidIDs,0))</f>
        <v>0</v>
      </c>
      <c r="P83">
        <f>INDEX(Advisors,MATCH(B83,KidIDs,0))</f>
        <v>0</v>
      </c>
      <c r="Q83">
        <f>INDEX(Cohort,MATCH(B83,KidIDs,0))</f>
        <v>0</v>
      </c>
      <c r="R83">
        <f>INDEX(AllCollegeBarrons,MATCH(N83,AllCollegeNCES,0))</f>
        <v>0</v>
      </c>
      <c r="S83">
        <f>INDEX(KidGPAs,MATCH(B83,KidIDs,0))</f>
        <v>0</v>
      </c>
      <c r="T83">
        <f>INDEX(KidSATs,MATCH(B83,KidIDs,0))</f>
        <v>0</v>
      </c>
      <c r="U83">
        <f>INDEX(Strats,MATCH(B83,KidIDs,0))</f>
        <v>0</v>
      </c>
      <c r="V83">
        <f>INDEX(KidRace,MATCH(B83,KidIDs,0))</f>
        <v>0</v>
      </c>
      <c r="W83">
        <f>IF(OR(V83="M",V83="I"),"H",IF(V83="P","A",V83))</f>
        <v>0</v>
      </c>
      <c r="X83">
        <f>INDEX(StudentTargets,MATCH(B83,KidIDs,0))</f>
        <v>0</v>
      </c>
      <c r="Y83">
        <f>INDEX(ReachStudentTargets,MATCH(B83,KidIDs,0))</f>
        <v>0</v>
      </c>
      <c r="Z83">
        <f>IF(OR(M83="Posse"),1,0)</f>
        <v>0</v>
      </c>
      <c r="AA83">
        <f>IF(ISNUMBER(INDEX(AllCollegeGR, MATCH(N83,AllCollegeNCES,0))),ROUND(INDEX(AllCollegeGR, MATCH(N83,AllCollegeNCES,0))+Z83*IF(INDEX(AllCollegeGR, MATCH(N83,AllCollegeNCES,0))&gt;0.7,(1-INDEX(AllCollegeGR, MATCH(N83,AllCollegeNCES,0)))/2,0.15),2),INDEX(AllCollegeGR, MATCH(N83,AllCollegeNCES,0)))</f>
        <v>0</v>
      </c>
      <c r="AB83">
        <f>IF(ISNUMBER(INDEX(AllCollegeAAHGR, MATCH(N83,AllCollegeNCES,0))),ROUND(INDEX(AllCollegeAAHGR, MATCH(N83,AllCollegeNCES,0))+Z83*IF(INDEX(AllCollegeAAHGR, MATCH(N83,AllCollegeNCES,0))&gt;0.7,(1-INDEX(AllCollegeAAHGR, MATCH(N83,AllCollegeNCES,0)))/2,0.15),2),INDEX(AllCollegeAAHGR, MATCH(N83,AllCollegeNCES,0)))</f>
        <v>0</v>
      </c>
      <c r="AC83">
        <f>IF(OR(W83="H",W83="B"),INDEX(AllCollegeSAT25, MATCH(N83,AllCollegeNCES,0)),INDEX(AllCollegeSAT50, MATCH(N83,AllCollegeNCES,0)))</f>
        <v>0</v>
      </c>
      <c r="AD83">
        <f>INDEX(CustomWeightsGPA,MATCH(W83&amp;":"&amp;N83,CustomWeightsIndex,0))</f>
        <v>0</v>
      </c>
      <c r="AE83">
        <f>INDEX(CustomWeightsSAT,MATCH(W83&amp;":"&amp;N83,CustomWeightsIndex,0))</f>
        <v>0</v>
      </c>
      <c r="AF83">
        <f>INDEX(CustomWeightsIntercept,MATCH(W83&amp;":"&amp;N83,CustomWeightsIndex,0))</f>
        <v>0</v>
      </c>
      <c r="AG83">
        <f>AD83*S83+AE83*T83+AF83</f>
        <v>0</v>
      </c>
      <c r="AH83">
        <f>INDEX(CoefficientsGPA,MATCH(W83&amp;":"&amp;R83,CoefficientsIndex,0))</f>
        <v>0</v>
      </c>
      <c r="AI83">
        <f>INDEX(CoefficientsSAT,MATCH(W83&amp;":"&amp;R83,CoefficientsIndex,0))</f>
        <v>0</v>
      </c>
      <c r="AJ83">
        <f>INDEX(CoefficientsIntercept,MATCH(W83&amp;":"&amp;R83,CoefficientsIndex,0))</f>
        <v>0</v>
      </c>
      <c r="AK83">
        <f>AH83*S83+(T83-AC83)*AI83+AJ83</f>
        <v>0</v>
      </c>
      <c r="AL83">
        <f>IF(ISNUMBER(AG83),AG83,AK83)</f>
        <v>0</v>
      </c>
      <c r="AM83">
        <f>IF(ISNUMBER(AL83),IF(ISNUMBER(AH83),IF(AND(AH83=1,AI83=1,AJ83=1),100,MIN(99,ROUND(100*EXP(AL83)/(1+EXP(AL83)),2))),MIN(99,ROUND(100*EXP(AL83)/(1+EXP(AL83)),2))),IF(ISTEXT(R83),IF(LEFT(R83,1)="2",100,"N/A"),"N/A"))</f>
        <v>0</v>
      </c>
      <c r="AN83">
        <f>IF(ISNUMBER(AM83),IF(AM83&gt;=99,IF(OR(U83=10,U83=11),MatchLabel,SureThingLabel),IF(AM83&gt;=95,SecureLabel,IF(AM83&gt;=80,SafetyLabel,IF(AM83&gt;=50,MatchLabel,IF(AM83&gt;=20,ReachLabel,IF(AM83&gt;=10,LongshotLabel,HailMaryLabel)))))),"Other")</f>
        <v>0</v>
      </c>
      <c r="AO83">
        <f>IF(OR(I83="accepted",I83="cond. accept",I83="summer admit"),IF(J83="yes","CHOICE!","Accepted!"),IF(I83="guar. transfer","Guar. Xfer",IF(I83="denied","Denied",IF(K83=1,"Waitlist",IF(L83=1,"Deferred",IF(G83="pending","Pending",IF(OR(G83="initial materials submitted",G83="mid-year submitted",G83="final submitted"),"Submitted",IF(H83="interest","Interest","?"))))))))</f>
        <v>0</v>
      </c>
      <c r="AP83">
        <f>IF(OR(AN83=ReachLabel,AN83=LongshotLabel,AN83=HailMaryLabel),1,0)</f>
        <v>0</v>
      </c>
      <c r="AQ83">
        <f>IF(OR(AP83=1,AN83=MatchLabel),1,0)</f>
        <v>0</v>
      </c>
      <c r="AR83">
        <f>IF(OR(AN83=MatchLabel,AN83=SafetyLabel,AN83=SecureLabel,AN83=SureThingLabel),1,0)</f>
        <v>0</v>
      </c>
      <c r="AS83">
        <f>IF(OR(W83="H",W83="B",W83="I",W83="M"),IF(ISNUMBER(AB83),ROUND(AB83,2),0),IF(ISNUMBER(AA83),ROUND(AA83,2),0))</f>
        <v>0</v>
      </c>
      <c r="AT83">
        <f>IF(AS83&gt;=X83,1,0)</f>
        <v>0</v>
      </c>
      <c r="AU83">
        <f>IF(AS83&gt;=Y83,1,0)</f>
        <v>0</v>
      </c>
      <c r="AV83">
        <f>IF(AS83&lt;(X83-0.10),1,0)</f>
        <v>0</v>
      </c>
      <c r="AW83">
        <f>1-AM83/100</f>
        <v>0</v>
      </c>
      <c r="AX83">
        <f>IF(AQ83=1,AW83,1)</f>
        <v>0</v>
      </c>
      <c r="AY83">
        <f>IF(AP83=1,AW83,1)</f>
        <v>0</v>
      </c>
      <c r="AZ83">
        <f>IF(AND(AT83=1,ISNUMBER(AW83)),$AW83,1)</f>
        <v>0</v>
      </c>
      <c r="BA83">
        <f>IF(AND(AU83=1,ISNUMBER(AW83)),$AW83,1)</f>
        <v>0</v>
      </c>
      <c r="BB83">
        <f>IF(ISNUMBER(AB83),INDEX(AllCollegeMoney, MATCH(N83,AllCollegeNCES,0)),0)</f>
        <v>0</v>
      </c>
      <c r="BC83">
        <f>IF(AND(AT83=1,ISNUMBER(AW83),BB83=1),$AW83,1)</f>
        <v>0</v>
      </c>
      <c r="BD83">
        <f>IF(AND(AU83=1,ISNUMBER(AW83),BB83=1),$AW83,1)</f>
        <v>0</v>
      </c>
      <c r="BE83">
        <f>IF(ISNUMBER(AB83),INDEX(AllCollegeILPub, MATCH(N83,AllCollegeNCES,0)),0)</f>
        <v>0</v>
      </c>
      <c r="BF83">
        <f>IF(AN83=ReachLabel,AS83,0)</f>
        <v>0</v>
      </c>
      <c r="BG83">
        <f>IF(AN83=MatchLabel,AS83,0)</f>
        <v>0</v>
      </c>
      <c r="BH83">
        <f>IF(AN83=SafetyLabel,AS83,0)</f>
        <v>0</v>
      </c>
      <c r="BI83">
        <f>IF(AN83=SecureLabel,AS83,0)</f>
        <v>0</v>
      </c>
      <c r="BJ83">
        <f>IF(AN83=SureThingLabel,AS83,0)</f>
        <v>0</v>
      </c>
      <c r="BK83">
        <f>MAX(BF83:BJ83)</f>
        <v>0</v>
      </c>
      <c r="BL83">
        <f>MAX(BG83:BJ83)</f>
        <v>0</v>
      </c>
      <c r="BM83">
        <f>MAX(BH83:BJ83)</f>
        <v>0</v>
      </c>
      <c r="BN83">
        <f>IF(AND(AN83=ReachLabel,BB83=1),AS83,0)</f>
        <v>0</v>
      </c>
      <c r="BO83">
        <f>IF(AND(AN83=MatchLabel,BB83=1),AS83,0)</f>
        <v>0</v>
      </c>
      <c r="BP83">
        <f>IF(AND(AN83=SafetyLabel,BB83=1),AS83,0)</f>
        <v>0</v>
      </c>
      <c r="BQ83">
        <f>IF(AND(AN83=SecureLabel,BB83=1),AS83,0)</f>
        <v>0</v>
      </c>
      <c r="BR83">
        <f>IF(AND(AN83=SureThingLabel,BB83=1),AS83,0)</f>
        <v>0</v>
      </c>
      <c r="BS83">
        <f>MAX(BN83:BR83)</f>
        <v>0</v>
      </c>
      <c r="BT83">
        <f>MAX(BO83:BR83)</f>
        <v>0</v>
      </c>
      <c r="BU83">
        <f>MAX(BP83:BR83)</f>
        <v>0</v>
      </c>
      <c r="BV83">
        <f>IF(ISNUMBER(AB83),INDEX(AllCollegeChicago, MATCH(N83,AllCollegeNCES,0))*BB83,0)</f>
        <v>0</v>
      </c>
      <c r="BW83">
        <f>IF(ISNUMBER(AB83),INDEX(AllCollegeMoneyCode, MATCH(N83,AllCollegeNCES,0)),"?")</f>
        <v>0</v>
      </c>
      <c r="BX83">
        <f>IF(OR(BW83="---",BW83="--",BW83="+/--",BW83="+/---"),1,0)</f>
        <v>0</v>
      </c>
      <c r="BY83">
        <f>BB83*AR83*AT83</f>
        <v>0</v>
      </c>
    </row>
    <row r="84" spans="1:77">
      <c r="A84" t="s">
        <v>96</v>
      </c>
      <c r="B84">
        <v>22366458</v>
      </c>
      <c r="C84" t="s">
        <v>300</v>
      </c>
      <c r="D84" t="s">
        <v>301</v>
      </c>
      <c r="E84" t="s">
        <v>446</v>
      </c>
      <c r="F84" t="s">
        <v>477</v>
      </c>
      <c r="G84" t="s">
        <v>448</v>
      </c>
      <c r="H84" t="s">
        <v>449</v>
      </c>
      <c r="I84" t="s">
        <v>450</v>
      </c>
      <c r="J84" t="s">
        <v>450</v>
      </c>
      <c r="K84">
        <v>0</v>
      </c>
      <c r="L84" t="s">
        <v>446</v>
      </c>
      <c r="M84" t="s">
        <v>446</v>
      </c>
      <c r="N84">
        <v>146427</v>
      </c>
      <c r="O84">
        <f>INDEX(Counselor,MATCH(B84,KidIDs,0))</f>
        <v>0</v>
      </c>
      <c r="P84">
        <f>INDEX(Advisors,MATCH(B84,KidIDs,0))</f>
        <v>0</v>
      </c>
      <c r="Q84">
        <f>INDEX(Cohort,MATCH(B84,KidIDs,0))</f>
        <v>0</v>
      </c>
      <c r="R84">
        <f>INDEX(AllCollegeBarrons,MATCH(N84,AllCollegeNCES,0))</f>
        <v>0</v>
      </c>
      <c r="S84">
        <f>INDEX(KidGPAs,MATCH(B84,KidIDs,0))</f>
        <v>0</v>
      </c>
      <c r="T84">
        <f>INDEX(KidSATs,MATCH(B84,KidIDs,0))</f>
        <v>0</v>
      </c>
      <c r="U84">
        <f>INDEX(Strats,MATCH(B84,KidIDs,0))</f>
        <v>0</v>
      </c>
      <c r="V84">
        <f>INDEX(KidRace,MATCH(B84,KidIDs,0))</f>
        <v>0</v>
      </c>
      <c r="W84">
        <f>IF(OR(V84="M",V84="I"),"H",IF(V84="P","A",V84))</f>
        <v>0</v>
      </c>
      <c r="X84">
        <f>INDEX(StudentTargets,MATCH(B84,KidIDs,0))</f>
        <v>0</v>
      </c>
      <c r="Y84">
        <f>INDEX(ReachStudentTargets,MATCH(B84,KidIDs,0))</f>
        <v>0</v>
      </c>
      <c r="Z84">
        <f>IF(OR(M84="Posse"),1,0)</f>
        <v>0</v>
      </c>
      <c r="AA84">
        <f>IF(ISNUMBER(INDEX(AllCollegeGR, MATCH(N84,AllCollegeNCES,0))),ROUND(INDEX(AllCollegeGR, MATCH(N84,AllCollegeNCES,0))+Z84*IF(INDEX(AllCollegeGR, MATCH(N84,AllCollegeNCES,0))&gt;0.7,(1-INDEX(AllCollegeGR, MATCH(N84,AllCollegeNCES,0)))/2,0.15),2),INDEX(AllCollegeGR, MATCH(N84,AllCollegeNCES,0)))</f>
        <v>0</v>
      </c>
      <c r="AB84">
        <f>IF(ISNUMBER(INDEX(AllCollegeAAHGR, MATCH(N84,AllCollegeNCES,0))),ROUND(INDEX(AllCollegeAAHGR, MATCH(N84,AllCollegeNCES,0))+Z84*IF(INDEX(AllCollegeAAHGR, MATCH(N84,AllCollegeNCES,0))&gt;0.7,(1-INDEX(AllCollegeAAHGR, MATCH(N84,AllCollegeNCES,0)))/2,0.15),2),INDEX(AllCollegeAAHGR, MATCH(N84,AllCollegeNCES,0)))</f>
        <v>0</v>
      </c>
      <c r="AC84">
        <f>IF(OR(W84="H",W84="B"),INDEX(AllCollegeSAT25, MATCH(N84,AllCollegeNCES,0)),INDEX(AllCollegeSAT50, MATCH(N84,AllCollegeNCES,0)))</f>
        <v>0</v>
      </c>
      <c r="AD84">
        <f>INDEX(CustomWeightsGPA,MATCH(W84&amp;":"&amp;N84,CustomWeightsIndex,0))</f>
        <v>0</v>
      </c>
      <c r="AE84">
        <f>INDEX(CustomWeightsSAT,MATCH(W84&amp;":"&amp;N84,CustomWeightsIndex,0))</f>
        <v>0</v>
      </c>
      <c r="AF84">
        <f>INDEX(CustomWeightsIntercept,MATCH(W84&amp;":"&amp;N84,CustomWeightsIndex,0))</f>
        <v>0</v>
      </c>
      <c r="AG84">
        <f>AD84*S84+AE84*T84+AF84</f>
        <v>0</v>
      </c>
      <c r="AH84">
        <f>INDEX(CoefficientsGPA,MATCH(W84&amp;":"&amp;R84,CoefficientsIndex,0))</f>
        <v>0</v>
      </c>
      <c r="AI84">
        <f>INDEX(CoefficientsSAT,MATCH(W84&amp;":"&amp;R84,CoefficientsIndex,0))</f>
        <v>0</v>
      </c>
      <c r="AJ84">
        <f>INDEX(CoefficientsIntercept,MATCH(W84&amp;":"&amp;R84,CoefficientsIndex,0))</f>
        <v>0</v>
      </c>
      <c r="AK84">
        <f>AH84*S84+(T84-AC84)*AI84+AJ84</f>
        <v>0</v>
      </c>
      <c r="AL84">
        <f>IF(ISNUMBER(AG84),AG84,AK84)</f>
        <v>0</v>
      </c>
      <c r="AM84">
        <f>IF(ISNUMBER(AL84),IF(ISNUMBER(AH84),IF(AND(AH84=1,AI84=1,AJ84=1),100,MIN(99,ROUND(100*EXP(AL84)/(1+EXP(AL84)),2))),MIN(99,ROUND(100*EXP(AL84)/(1+EXP(AL84)),2))),IF(ISTEXT(R84),IF(LEFT(R84,1)="2",100,"N/A"),"N/A"))</f>
        <v>0</v>
      </c>
      <c r="AN84">
        <f>IF(ISNUMBER(AM84),IF(AM84&gt;=99,IF(OR(U84=10,U84=11),MatchLabel,SureThingLabel),IF(AM84&gt;=95,SecureLabel,IF(AM84&gt;=80,SafetyLabel,IF(AM84&gt;=50,MatchLabel,IF(AM84&gt;=20,ReachLabel,IF(AM84&gt;=10,LongshotLabel,HailMaryLabel)))))),"Other")</f>
        <v>0</v>
      </c>
      <c r="AO84">
        <f>IF(OR(I84="accepted",I84="cond. accept",I84="summer admit"),IF(J84="yes","CHOICE!","Accepted!"),IF(I84="guar. transfer","Guar. Xfer",IF(I84="denied","Denied",IF(K84=1,"Waitlist",IF(L84=1,"Deferred",IF(G84="pending","Pending",IF(OR(G84="initial materials submitted",G84="mid-year submitted",G84="final submitted"),"Submitted",IF(H84="interest","Interest","?"))))))))</f>
        <v>0</v>
      </c>
      <c r="AP84">
        <f>IF(OR(AN84=ReachLabel,AN84=LongshotLabel,AN84=HailMaryLabel),1,0)</f>
        <v>0</v>
      </c>
      <c r="AQ84">
        <f>IF(OR(AP84=1,AN84=MatchLabel),1,0)</f>
        <v>0</v>
      </c>
      <c r="AR84">
        <f>IF(OR(AN84=MatchLabel,AN84=SafetyLabel,AN84=SecureLabel,AN84=SureThingLabel),1,0)</f>
        <v>0</v>
      </c>
      <c r="AS84">
        <f>IF(OR(W84="H",W84="B",W84="I",W84="M"),IF(ISNUMBER(AB84),ROUND(AB84,2),0),IF(ISNUMBER(AA84),ROUND(AA84,2),0))</f>
        <v>0</v>
      </c>
      <c r="AT84">
        <f>IF(AS84&gt;=X84,1,0)</f>
        <v>0</v>
      </c>
      <c r="AU84">
        <f>IF(AS84&gt;=Y84,1,0)</f>
        <v>0</v>
      </c>
      <c r="AV84">
        <f>IF(AS84&lt;(X84-0.10),1,0)</f>
        <v>0</v>
      </c>
      <c r="AW84">
        <f>1-AM84/100</f>
        <v>0</v>
      </c>
      <c r="AX84">
        <f>IF(AQ84=1,AW84,1)</f>
        <v>0</v>
      </c>
      <c r="AY84">
        <f>IF(AP84=1,AW84,1)</f>
        <v>0</v>
      </c>
      <c r="AZ84">
        <f>IF(AND(AT84=1,ISNUMBER(AW84)),$AW84,1)</f>
        <v>0</v>
      </c>
      <c r="BA84">
        <f>IF(AND(AU84=1,ISNUMBER(AW84)),$AW84,1)</f>
        <v>0</v>
      </c>
      <c r="BB84">
        <f>IF(ISNUMBER(AB84),INDEX(AllCollegeMoney, MATCH(N84,AllCollegeNCES,0)),0)</f>
        <v>0</v>
      </c>
      <c r="BC84">
        <f>IF(AND(AT84=1,ISNUMBER(AW84),BB84=1),$AW84,1)</f>
        <v>0</v>
      </c>
      <c r="BD84">
        <f>IF(AND(AU84=1,ISNUMBER(AW84),BB84=1),$AW84,1)</f>
        <v>0</v>
      </c>
      <c r="BE84">
        <f>IF(ISNUMBER(AB84),INDEX(AllCollegeILPub, MATCH(N84,AllCollegeNCES,0)),0)</f>
        <v>0</v>
      </c>
      <c r="BF84">
        <f>IF(AN84=ReachLabel,AS84,0)</f>
        <v>0</v>
      </c>
      <c r="BG84">
        <f>IF(AN84=MatchLabel,AS84,0)</f>
        <v>0</v>
      </c>
      <c r="BH84">
        <f>IF(AN84=SafetyLabel,AS84,0)</f>
        <v>0</v>
      </c>
      <c r="BI84">
        <f>IF(AN84=SecureLabel,AS84,0)</f>
        <v>0</v>
      </c>
      <c r="BJ84">
        <f>IF(AN84=SureThingLabel,AS84,0)</f>
        <v>0</v>
      </c>
      <c r="BK84">
        <f>MAX(BF84:BJ84)</f>
        <v>0</v>
      </c>
      <c r="BL84">
        <f>MAX(BG84:BJ84)</f>
        <v>0</v>
      </c>
      <c r="BM84">
        <f>MAX(BH84:BJ84)</f>
        <v>0</v>
      </c>
      <c r="BN84">
        <f>IF(AND(AN84=ReachLabel,BB84=1),AS84,0)</f>
        <v>0</v>
      </c>
      <c r="BO84">
        <f>IF(AND(AN84=MatchLabel,BB84=1),AS84,0)</f>
        <v>0</v>
      </c>
      <c r="BP84">
        <f>IF(AND(AN84=SafetyLabel,BB84=1),AS84,0)</f>
        <v>0</v>
      </c>
      <c r="BQ84">
        <f>IF(AND(AN84=SecureLabel,BB84=1),AS84,0)</f>
        <v>0</v>
      </c>
      <c r="BR84">
        <f>IF(AND(AN84=SureThingLabel,BB84=1),AS84,0)</f>
        <v>0</v>
      </c>
      <c r="BS84">
        <f>MAX(BN84:BR84)</f>
        <v>0</v>
      </c>
      <c r="BT84">
        <f>MAX(BO84:BR84)</f>
        <v>0</v>
      </c>
      <c r="BU84">
        <f>MAX(BP84:BR84)</f>
        <v>0</v>
      </c>
      <c r="BV84">
        <f>IF(ISNUMBER(AB84),INDEX(AllCollegeChicago, MATCH(N84,AllCollegeNCES,0))*BB84,0)</f>
        <v>0</v>
      </c>
      <c r="BW84">
        <f>IF(ISNUMBER(AB84),INDEX(AllCollegeMoneyCode, MATCH(N84,AllCollegeNCES,0)),"?")</f>
        <v>0</v>
      </c>
      <c r="BX84">
        <f>IF(OR(BW84="---",BW84="--",BW84="+/--",BW84="+/---"),1,0)</f>
        <v>0</v>
      </c>
      <c r="BY84">
        <f>BB84*AR84*AT84</f>
        <v>0</v>
      </c>
    </row>
    <row r="85" spans="1:77">
      <c r="A85" t="s">
        <v>96</v>
      </c>
      <c r="B85">
        <v>22366458</v>
      </c>
      <c r="C85" t="s">
        <v>300</v>
      </c>
      <c r="D85" t="s">
        <v>301</v>
      </c>
      <c r="E85" t="s">
        <v>446</v>
      </c>
      <c r="F85" t="s">
        <v>489</v>
      </c>
      <c r="G85" t="s">
        <v>448</v>
      </c>
      <c r="H85" t="s">
        <v>449</v>
      </c>
      <c r="I85" t="s">
        <v>450</v>
      </c>
      <c r="J85" t="s">
        <v>450</v>
      </c>
      <c r="K85">
        <v>0</v>
      </c>
      <c r="L85" t="s">
        <v>446</v>
      </c>
      <c r="M85" t="s">
        <v>446</v>
      </c>
      <c r="N85">
        <v>170301</v>
      </c>
      <c r="O85">
        <f>INDEX(Counselor,MATCH(B85,KidIDs,0))</f>
        <v>0</v>
      </c>
      <c r="P85">
        <f>INDEX(Advisors,MATCH(B85,KidIDs,0))</f>
        <v>0</v>
      </c>
      <c r="Q85">
        <f>INDEX(Cohort,MATCH(B85,KidIDs,0))</f>
        <v>0</v>
      </c>
      <c r="R85">
        <f>INDEX(AllCollegeBarrons,MATCH(N85,AllCollegeNCES,0))</f>
        <v>0</v>
      </c>
      <c r="S85">
        <f>INDEX(KidGPAs,MATCH(B85,KidIDs,0))</f>
        <v>0</v>
      </c>
      <c r="T85">
        <f>INDEX(KidSATs,MATCH(B85,KidIDs,0))</f>
        <v>0</v>
      </c>
      <c r="U85">
        <f>INDEX(Strats,MATCH(B85,KidIDs,0))</f>
        <v>0</v>
      </c>
      <c r="V85">
        <f>INDEX(KidRace,MATCH(B85,KidIDs,0))</f>
        <v>0</v>
      </c>
      <c r="W85">
        <f>IF(OR(V85="M",V85="I"),"H",IF(V85="P","A",V85))</f>
        <v>0</v>
      </c>
      <c r="X85">
        <f>INDEX(StudentTargets,MATCH(B85,KidIDs,0))</f>
        <v>0</v>
      </c>
      <c r="Y85">
        <f>INDEX(ReachStudentTargets,MATCH(B85,KidIDs,0))</f>
        <v>0</v>
      </c>
      <c r="Z85">
        <f>IF(OR(M85="Posse"),1,0)</f>
        <v>0</v>
      </c>
      <c r="AA85">
        <f>IF(ISNUMBER(INDEX(AllCollegeGR, MATCH(N85,AllCollegeNCES,0))),ROUND(INDEX(AllCollegeGR, MATCH(N85,AllCollegeNCES,0))+Z85*IF(INDEX(AllCollegeGR, MATCH(N85,AllCollegeNCES,0))&gt;0.7,(1-INDEX(AllCollegeGR, MATCH(N85,AllCollegeNCES,0)))/2,0.15),2),INDEX(AllCollegeGR, MATCH(N85,AllCollegeNCES,0)))</f>
        <v>0</v>
      </c>
      <c r="AB85">
        <f>IF(ISNUMBER(INDEX(AllCollegeAAHGR, MATCH(N85,AllCollegeNCES,0))),ROUND(INDEX(AllCollegeAAHGR, MATCH(N85,AllCollegeNCES,0))+Z85*IF(INDEX(AllCollegeAAHGR, MATCH(N85,AllCollegeNCES,0))&gt;0.7,(1-INDEX(AllCollegeAAHGR, MATCH(N85,AllCollegeNCES,0)))/2,0.15),2),INDEX(AllCollegeAAHGR, MATCH(N85,AllCollegeNCES,0)))</f>
        <v>0</v>
      </c>
      <c r="AC85">
        <f>IF(OR(W85="H",W85="B"),INDEX(AllCollegeSAT25, MATCH(N85,AllCollegeNCES,0)),INDEX(AllCollegeSAT50, MATCH(N85,AllCollegeNCES,0)))</f>
        <v>0</v>
      </c>
      <c r="AD85">
        <f>INDEX(CustomWeightsGPA,MATCH(W85&amp;":"&amp;N85,CustomWeightsIndex,0))</f>
        <v>0</v>
      </c>
      <c r="AE85">
        <f>INDEX(CustomWeightsSAT,MATCH(W85&amp;":"&amp;N85,CustomWeightsIndex,0))</f>
        <v>0</v>
      </c>
      <c r="AF85">
        <f>INDEX(CustomWeightsIntercept,MATCH(W85&amp;":"&amp;N85,CustomWeightsIndex,0))</f>
        <v>0</v>
      </c>
      <c r="AG85">
        <f>AD85*S85+AE85*T85+AF85</f>
        <v>0</v>
      </c>
      <c r="AH85">
        <f>INDEX(CoefficientsGPA,MATCH(W85&amp;":"&amp;R85,CoefficientsIndex,0))</f>
        <v>0</v>
      </c>
      <c r="AI85">
        <f>INDEX(CoefficientsSAT,MATCH(W85&amp;":"&amp;R85,CoefficientsIndex,0))</f>
        <v>0</v>
      </c>
      <c r="AJ85">
        <f>INDEX(CoefficientsIntercept,MATCH(W85&amp;":"&amp;R85,CoefficientsIndex,0))</f>
        <v>0</v>
      </c>
      <c r="AK85">
        <f>AH85*S85+(T85-AC85)*AI85+AJ85</f>
        <v>0</v>
      </c>
      <c r="AL85">
        <f>IF(ISNUMBER(AG85),AG85,AK85)</f>
        <v>0</v>
      </c>
      <c r="AM85">
        <f>IF(ISNUMBER(AL85),IF(ISNUMBER(AH85),IF(AND(AH85=1,AI85=1,AJ85=1),100,MIN(99,ROUND(100*EXP(AL85)/(1+EXP(AL85)),2))),MIN(99,ROUND(100*EXP(AL85)/(1+EXP(AL85)),2))),IF(ISTEXT(R85),IF(LEFT(R85,1)="2",100,"N/A"),"N/A"))</f>
        <v>0</v>
      </c>
      <c r="AN85">
        <f>IF(ISNUMBER(AM85),IF(AM85&gt;=99,IF(OR(U85=10,U85=11),MatchLabel,SureThingLabel),IF(AM85&gt;=95,SecureLabel,IF(AM85&gt;=80,SafetyLabel,IF(AM85&gt;=50,MatchLabel,IF(AM85&gt;=20,ReachLabel,IF(AM85&gt;=10,LongshotLabel,HailMaryLabel)))))),"Other")</f>
        <v>0</v>
      </c>
      <c r="AO85">
        <f>IF(OR(I85="accepted",I85="cond. accept",I85="summer admit"),IF(J85="yes","CHOICE!","Accepted!"),IF(I85="guar. transfer","Guar. Xfer",IF(I85="denied","Denied",IF(K85=1,"Waitlist",IF(L85=1,"Deferred",IF(G85="pending","Pending",IF(OR(G85="initial materials submitted",G85="mid-year submitted",G85="final submitted"),"Submitted",IF(H85="interest","Interest","?"))))))))</f>
        <v>0</v>
      </c>
      <c r="AP85">
        <f>IF(OR(AN85=ReachLabel,AN85=LongshotLabel,AN85=HailMaryLabel),1,0)</f>
        <v>0</v>
      </c>
      <c r="AQ85">
        <f>IF(OR(AP85=1,AN85=MatchLabel),1,0)</f>
        <v>0</v>
      </c>
      <c r="AR85">
        <f>IF(OR(AN85=MatchLabel,AN85=SafetyLabel,AN85=SecureLabel,AN85=SureThingLabel),1,0)</f>
        <v>0</v>
      </c>
      <c r="AS85">
        <f>IF(OR(W85="H",W85="B",W85="I",W85="M"),IF(ISNUMBER(AB85),ROUND(AB85,2),0),IF(ISNUMBER(AA85),ROUND(AA85,2),0))</f>
        <v>0</v>
      </c>
      <c r="AT85">
        <f>IF(AS85&gt;=X85,1,0)</f>
        <v>0</v>
      </c>
      <c r="AU85">
        <f>IF(AS85&gt;=Y85,1,0)</f>
        <v>0</v>
      </c>
      <c r="AV85">
        <f>IF(AS85&lt;(X85-0.10),1,0)</f>
        <v>0</v>
      </c>
      <c r="AW85">
        <f>1-AM85/100</f>
        <v>0</v>
      </c>
      <c r="AX85">
        <f>IF(AQ85=1,AW85,1)</f>
        <v>0</v>
      </c>
      <c r="AY85">
        <f>IF(AP85=1,AW85,1)</f>
        <v>0</v>
      </c>
      <c r="AZ85">
        <f>IF(AND(AT85=1,ISNUMBER(AW85)),$AW85,1)</f>
        <v>0</v>
      </c>
      <c r="BA85">
        <f>IF(AND(AU85=1,ISNUMBER(AW85)),$AW85,1)</f>
        <v>0</v>
      </c>
      <c r="BB85">
        <f>IF(ISNUMBER(AB85),INDEX(AllCollegeMoney, MATCH(N85,AllCollegeNCES,0)),0)</f>
        <v>0</v>
      </c>
      <c r="BC85">
        <f>IF(AND(AT85=1,ISNUMBER(AW85),BB85=1),$AW85,1)</f>
        <v>0</v>
      </c>
      <c r="BD85">
        <f>IF(AND(AU85=1,ISNUMBER(AW85),BB85=1),$AW85,1)</f>
        <v>0</v>
      </c>
      <c r="BE85">
        <f>IF(ISNUMBER(AB85),INDEX(AllCollegeILPub, MATCH(N85,AllCollegeNCES,0)),0)</f>
        <v>0</v>
      </c>
      <c r="BF85">
        <f>IF(AN85=ReachLabel,AS85,0)</f>
        <v>0</v>
      </c>
      <c r="BG85">
        <f>IF(AN85=MatchLabel,AS85,0)</f>
        <v>0</v>
      </c>
      <c r="BH85">
        <f>IF(AN85=SafetyLabel,AS85,0)</f>
        <v>0</v>
      </c>
      <c r="BI85">
        <f>IF(AN85=SecureLabel,AS85,0)</f>
        <v>0</v>
      </c>
      <c r="BJ85">
        <f>IF(AN85=SureThingLabel,AS85,0)</f>
        <v>0</v>
      </c>
      <c r="BK85">
        <f>MAX(BF85:BJ85)</f>
        <v>0</v>
      </c>
      <c r="BL85">
        <f>MAX(BG85:BJ85)</f>
        <v>0</v>
      </c>
      <c r="BM85">
        <f>MAX(BH85:BJ85)</f>
        <v>0</v>
      </c>
      <c r="BN85">
        <f>IF(AND(AN85=ReachLabel,BB85=1),AS85,0)</f>
        <v>0</v>
      </c>
      <c r="BO85">
        <f>IF(AND(AN85=MatchLabel,BB85=1),AS85,0)</f>
        <v>0</v>
      </c>
      <c r="BP85">
        <f>IF(AND(AN85=SafetyLabel,BB85=1),AS85,0)</f>
        <v>0</v>
      </c>
      <c r="BQ85">
        <f>IF(AND(AN85=SecureLabel,BB85=1),AS85,0)</f>
        <v>0</v>
      </c>
      <c r="BR85">
        <f>IF(AND(AN85=SureThingLabel,BB85=1),AS85,0)</f>
        <v>0</v>
      </c>
      <c r="BS85">
        <f>MAX(BN85:BR85)</f>
        <v>0</v>
      </c>
      <c r="BT85">
        <f>MAX(BO85:BR85)</f>
        <v>0</v>
      </c>
      <c r="BU85">
        <f>MAX(BP85:BR85)</f>
        <v>0</v>
      </c>
      <c r="BV85">
        <f>IF(ISNUMBER(AB85),INDEX(AllCollegeChicago, MATCH(N85,AllCollegeNCES,0))*BB85,0)</f>
        <v>0</v>
      </c>
      <c r="BW85">
        <f>IF(ISNUMBER(AB85),INDEX(AllCollegeMoneyCode, MATCH(N85,AllCollegeNCES,0)),"?")</f>
        <v>0</v>
      </c>
      <c r="BX85">
        <f>IF(OR(BW85="---",BW85="--",BW85="+/--",BW85="+/---"),1,0)</f>
        <v>0</v>
      </c>
      <c r="BY85">
        <f>BB85*AR85*AT85</f>
        <v>0</v>
      </c>
    </row>
    <row r="86" spans="1:77">
      <c r="A86" t="s">
        <v>96</v>
      </c>
      <c r="B86">
        <v>22366458</v>
      </c>
      <c r="C86" t="s">
        <v>300</v>
      </c>
      <c r="D86" t="s">
        <v>301</v>
      </c>
      <c r="E86" t="s">
        <v>446</v>
      </c>
      <c r="F86" t="s">
        <v>481</v>
      </c>
      <c r="G86" t="s">
        <v>448</v>
      </c>
      <c r="H86" t="s">
        <v>449</v>
      </c>
      <c r="I86" t="s">
        <v>450</v>
      </c>
      <c r="J86" t="s">
        <v>450</v>
      </c>
      <c r="K86">
        <v>0</v>
      </c>
      <c r="L86" t="s">
        <v>446</v>
      </c>
      <c r="M86" t="s">
        <v>446</v>
      </c>
      <c r="N86">
        <v>153834</v>
      </c>
      <c r="O86">
        <f>INDEX(Counselor,MATCH(B86,KidIDs,0))</f>
        <v>0</v>
      </c>
      <c r="P86">
        <f>INDEX(Advisors,MATCH(B86,KidIDs,0))</f>
        <v>0</v>
      </c>
      <c r="Q86">
        <f>INDEX(Cohort,MATCH(B86,KidIDs,0))</f>
        <v>0</v>
      </c>
      <c r="R86">
        <f>INDEX(AllCollegeBarrons,MATCH(N86,AllCollegeNCES,0))</f>
        <v>0</v>
      </c>
      <c r="S86">
        <f>INDEX(KidGPAs,MATCH(B86,KidIDs,0))</f>
        <v>0</v>
      </c>
      <c r="T86">
        <f>INDEX(KidSATs,MATCH(B86,KidIDs,0))</f>
        <v>0</v>
      </c>
      <c r="U86">
        <f>INDEX(Strats,MATCH(B86,KidIDs,0))</f>
        <v>0</v>
      </c>
      <c r="V86">
        <f>INDEX(KidRace,MATCH(B86,KidIDs,0))</f>
        <v>0</v>
      </c>
      <c r="W86">
        <f>IF(OR(V86="M",V86="I"),"H",IF(V86="P","A",V86))</f>
        <v>0</v>
      </c>
      <c r="X86">
        <f>INDEX(StudentTargets,MATCH(B86,KidIDs,0))</f>
        <v>0</v>
      </c>
      <c r="Y86">
        <f>INDEX(ReachStudentTargets,MATCH(B86,KidIDs,0))</f>
        <v>0</v>
      </c>
      <c r="Z86">
        <f>IF(OR(M86="Posse"),1,0)</f>
        <v>0</v>
      </c>
      <c r="AA86">
        <f>IF(ISNUMBER(INDEX(AllCollegeGR, MATCH(N86,AllCollegeNCES,0))),ROUND(INDEX(AllCollegeGR, MATCH(N86,AllCollegeNCES,0))+Z86*IF(INDEX(AllCollegeGR, MATCH(N86,AllCollegeNCES,0))&gt;0.7,(1-INDEX(AllCollegeGR, MATCH(N86,AllCollegeNCES,0)))/2,0.15),2),INDEX(AllCollegeGR, MATCH(N86,AllCollegeNCES,0)))</f>
        <v>0</v>
      </c>
      <c r="AB86">
        <f>IF(ISNUMBER(INDEX(AllCollegeAAHGR, MATCH(N86,AllCollegeNCES,0))),ROUND(INDEX(AllCollegeAAHGR, MATCH(N86,AllCollegeNCES,0))+Z86*IF(INDEX(AllCollegeAAHGR, MATCH(N86,AllCollegeNCES,0))&gt;0.7,(1-INDEX(AllCollegeAAHGR, MATCH(N86,AllCollegeNCES,0)))/2,0.15),2),INDEX(AllCollegeAAHGR, MATCH(N86,AllCollegeNCES,0)))</f>
        <v>0</v>
      </c>
      <c r="AC86">
        <f>IF(OR(W86="H",W86="B"),INDEX(AllCollegeSAT25, MATCH(N86,AllCollegeNCES,0)),INDEX(AllCollegeSAT50, MATCH(N86,AllCollegeNCES,0)))</f>
        <v>0</v>
      </c>
      <c r="AD86">
        <f>INDEX(CustomWeightsGPA,MATCH(W86&amp;":"&amp;N86,CustomWeightsIndex,0))</f>
        <v>0</v>
      </c>
      <c r="AE86">
        <f>INDEX(CustomWeightsSAT,MATCH(W86&amp;":"&amp;N86,CustomWeightsIndex,0))</f>
        <v>0</v>
      </c>
      <c r="AF86">
        <f>INDEX(CustomWeightsIntercept,MATCH(W86&amp;":"&amp;N86,CustomWeightsIndex,0))</f>
        <v>0</v>
      </c>
      <c r="AG86">
        <f>AD86*S86+AE86*T86+AF86</f>
        <v>0</v>
      </c>
      <c r="AH86">
        <f>INDEX(CoefficientsGPA,MATCH(W86&amp;":"&amp;R86,CoefficientsIndex,0))</f>
        <v>0</v>
      </c>
      <c r="AI86">
        <f>INDEX(CoefficientsSAT,MATCH(W86&amp;":"&amp;R86,CoefficientsIndex,0))</f>
        <v>0</v>
      </c>
      <c r="AJ86">
        <f>INDEX(CoefficientsIntercept,MATCH(W86&amp;":"&amp;R86,CoefficientsIndex,0))</f>
        <v>0</v>
      </c>
      <c r="AK86">
        <f>AH86*S86+(T86-AC86)*AI86+AJ86</f>
        <v>0</v>
      </c>
      <c r="AL86">
        <f>IF(ISNUMBER(AG86),AG86,AK86)</f>
        <v>0</v>
      </c>
      <c r="AM86">
        <f>IF(ISNUMBER(AL86),IF(ISNUMBER(AH86),IF(AND(AH86=1,AI86=1,AJ86=1),100,MIN(99,ROUND(100*EXP(AL86)/(1+EXP(AL86)),2))),MIN(99,ROUND(100*EXP(AL86)/(1+EXP(AL86)),2))),IF(ISTEXT(R86),IF(LEFT(R86,1)="2",100,"N/A"),"N/A"))</f>
        <v>0</v>
      </c>
      <c r="AN86">
        <f>IF(ISNUMBER(AM86),IF(AM86&gt;=99,IF(OR(U86=10,U86=11),MatchLabel,SureThingLabel),IF(AM86&gt;=95,SecureLabel,IF(AM86&gt;=80,SafetyLabel,IF(AM86&gt;=50,MatchLabel,IF(AM86&gt;=20,ReachLabel,IF(AM86&gt;=10,LongshotLabel,HailMaryLabel)))))),"Other")</f>
        <v>0</v>
      </c>
      <c r="AO86">
        <f>IF(OR(I86="accepted",I86="cond. accept",I86="summer admit"),IF(J86="yes","CHOICE!","Accepted!"),IF(I86="guar. transfer","Guar. Xfer",IF(I86="denied","Denied",IF(K86=1,"Waitlist",IF(L86=1,"Deferred",IF(G86="pending","Pending",IF(OR(G86="initial materials submitted",G86="mid-year submitted",G86="final submitted"),"Submitted",IF(H86="interest","Interest","?"))))))))</f>
        <v>0</v>
      </c>
      <c r="AP86">
        <f>IF(OR(AN86=ReachLabel,AN86=LongshotLabel,AN86=HailMaryLabel),1,0)</f>
        <v>0</v>
      </c>
      <c r="AQ86">
        <f>IF(OR(AP86=1,AN86=MatchLabel),1,0)</f>
        <v>0</v>
      </c>
      <c r="AR86">
        <f>IF(OR(AN86=MatchLabel,AN86=SafetyLabel,AN86=SecureLabel,AN86=SureThingLabel),1,0)</f>
        <v>0</v>
      </c>
      <c r="AS86">
        <f>IF(OR(W86="H",W86="B",W86="I",W86="M"),IF(ISNUMBER(AB86),ROUND(AB86,2),0),IF(ISNUMBER(AA86),ROUND(AA86,2),0))</f>
        <v>0</v>
      </c>
      <c r="AT86">
        <f>IF(AS86&gt;=X86,1,0)</f>
        <v>0</v>
      </c>
      <c r="AU86">
        <f>IF(AS86&gt;=Y86,1,0)</f>
        <v>0</v>
      </c>
      <c r="AV86">
        <f>IF(AS86&lt;(X86-0.10),1,0)</f>
        <v>0</v>
      </c>
      <c r="AW86">
        <f>1-AM86/100</f>
        <v>0</v>
      </c>
      <c r="AX86">
        <f>IF(AQ86=1,AW86,1)</f>
        <v>0</v>
      </c>
      <c r="AY86">
        <f>IF(AP86=1,AW86,1)</f>
        <v>0</v>
      </c>
      <c r="AZ86">
        <f>IF(AND(AT86=1,ISNUMBER(AW86)),$AW86,1)</f>
        <v>0</v>
      </c>
      <c r="BA86">
        <f>IF(AND(AU86=1,ISNUMBER(AW86)),$AW86,1)</f>
        <v>0</v>
      </c>
      <c r="BB86">
        <f>IF(ISNUMBER(AB86),INDEX(AllCollegeMoney, MATCH(N86,AllCollegeNCES,0)),0)</f>
        <v>0</v>
      </c>
      <c r="BC86">
        <f>IF(AND(AT86=1,ISNUMBER(AW86),BB86=1),$AW86,1)</f>
        <v>0</v>
      </c>
      <c r="BD86">
        <f>IF(AND(AU86=1,ISNUMBER(AW86),BB86=1),$AW86,1)</f>
        <v>0</v>
      </c>
      <c r="BE86">
        <f>IF(ISNUMBER(AB86),INDEX(AllCollegeILPub, MATCH(N86,AllCollegeNCES,0)),0)</f>
        <v>0</v>
      </c>
      <c r="BF86">
        <f>IF(AN86=ReachLabel,AS86,0)</f>
        <v>0</v>
      </c>
      <c r="BG86">
        <f>IF(AN86=MatchLabel,AS86,0)</f>
        <v>0</v>
      </c>
      <c r="BH86">
        <f>IF(AN86=SafetyLabel,AS86,0)</f>
        <v>0</v>
      </c>
      <c r="BI86">
        <f>IF(AN86=SecureLabel,AS86,0)</f>
        <v>0</v>
      </c>
      <c r="BJ86">
        <f>IF(AN86=SureThingLabel,AS86,0)</f>
        <v>0</v>
      </c>
      <c r="BK86">
        <f>MAX(BF86:BJ86)</f>
        <v>0</v>
      </c>
      <c r="BL86">
        <f>MAX(BG86:BJ86)</f>
        <v>0</v>
      </c>
      <c r="BM86">
        <f>MAX(BH86:BJ86)</f>
        <v>0</v>
      </c>
      <c r="BN86">
        <f>IF(AND(AN86=ReachLabel,BB86=1),AS86,0)</f>
        <v>0</v>
      </c>
      <c r="BO86">
        <f>IF(AND(AN86=MatchLabel,BB86=1),AS86,0)</f>
        <v>0</v>
      </c>
      <c r="BP86">
        <f>IF(AND(AN86=SafetyLabel,BB86=1),AS86,0)</f>
        <v>0</v>
      </c>
      <c r="BQ86">
        <f>IF(AND(AN86=SecureLabel,BB86=1),AS86,0)</f>
        <v>0</v>
      </c>
      <c r="BR86">
        <f>IF(AND(AN86=SureThingLabel,BB86=1),AS86,0)</f>
        <v>0</v>
      </c>
      <c r="BS86">
        <f>MAX(BN86:BR86)</f>
        <v>0</v>
      </c>
      <c r="BT86">
        <f>MAX(BO86:BR86)</f>
        <v>0</v>
      </c>
      <c r="BU86">
        <f>MAX(BP86:BR86)</f>
        <v>0</v>
      </c>
      <c r="BV86">
        <f>IF(ISNUMBER(AB86),INDEX(AllCollegeChicago, MATCH(N86,AllCollegeNCES,0))*BB86,0)</f>
        <v>0</v>
      </c>
      <c r="BW86">
        <f>IF(ISNUMBER(AB86),INDEX(AllCollegeMoneyCode, MATCH(N86,AllCollegeNCES,0)),"?")</f>
        <v>0</v>
      </c>
      <c r="BX86">
        <f>IF(OR(BW86="---",BW86="--",BW86="+/--",BW86="+/---"),1,0)</f>
        <v>0</v>
      </c>
      <c r="BY86">
        <f>BB86*AR86*AT86</f>
        <v>0</v>
      </c>
    </row>
    <row r="87" spans="1:77">
      <c r="A87" t="s">
        <v>96</v>
      </c>
      <c r="B87">
        <v>22366458</v>
      </c>
      <c r="C87" t="s">
        <v>300</v>
      </c>
      <c r="D87" t="s">
        <v>301</v>
      </c>
      <c r="E87" t="s">
        <v>446</v>
      </c>
      <c r="F87" t="s">
        <v>453</v>
      </c>
      <c r="G87" t="s">
        <v>448</v>
      </c>
      <c r="H87" t="s">
        <v>449</v>
      </c>
      <c r="I87" t="s">
        <v>450</v>
      </c>
      <c r="J87" t="s">
        <v>450</v>
      </c>
      <c r="K87">
        <v>0</v>
      </c>
      <c r="L87" t="s">
        <v>446</v>
      </c>
      <c r="M87" t="s">
        <v>454</v>
      </c>
      <c r="N87">
        <v>150774</v>
      </c>
      <c r="O87">
        <f>INDEX(Counselor,MATCH(B87,KidIDs,0))</f>
        <v>0</v>
      </c>
      <c r="P87">
        <f>INDEX(Advisors,MATCH(B87,KidIDs,0))</f>
        <v>0</v>
      </c>
      <c r="Q87">
        <f>INDEX(Cohort,MATCH(B87,KidIDs,0))</f>
        <v>0</v>
      </c>
      <c r="R87">
        <f>INDEX(AllCollegeBarrons,MATCH(N87,AllCollegeNCES,0))</f>
        <v>0</v>
      </c>
      <c r="S87">
        <f>INDEX(KidGPAs,MATCH(B87,KidIDs,0))</f>
        <v>0</v>
      </c>
      <c r="T87">
        <f>INDEX(KidSATs,MATCH(B87,KidIDs,0))</f>
        <v>0</v>
      </c>
      <c r="U87">
        <f>INDEX(Strats,MATCH(B87,KidIDs,0))</f>
        <v>0</v>
      </c>
      <c r="V87">
        <f>INDEX(KidRace,MATCH(B87,KidIDs,0))</f>
        <v>0</v>
      </c>
      <c r="W87">
        <f>IF(OR(V87="M",V87="I"),"H",IF(V87="P","A",V87))</f>
        <v>0</v>
      </c>
      <c r="X87">
        <f>INDEX(StudentTargets,MATCH(B87,KidIDs,0))</f>
        <v>0</v>
      </c>
      <c r="Y87">
        <f>INDEX(ReachStudentTargets,MATCH(B87,KidIDs,0))</f>
        <v>0</v>
      </c>
      <c r="Z87">
        <f>IF(OR(M87="Posse"),1,0)</f>
        <v>0</v>
      </c>
      <c r="AA87">
        <f>IF(ISNUMBER(INDEX(AllCollegeGR, MATCH(N87,AllCollegeNCES,0))),ROUND(INDEX(AllCollegeGR, MATCH(N87,AllCollegeNCES,0))+Z87*IF(INDEX(AllCollegeGR, MATCH(N87,AllCollegeNCES,0))&gt;0.7,(1-INDEX(AllCollegeGR, MATCH(N87,AllCollegeNCES,0)))/2,0.15),2),INDEX(AllCollegeGR, MATCH(N87,AllCollegeNCES,0)))</f>
        <v>0</v>
      </c>
      <c r="AB87">
        <f>IF(ISNUMBER(INDEX(AllCollegeAAHGR, MATCH(N87,AllCollegeNCES,0))),ROUND(INDEX(AllCollegeAAHGR, MATCH(N87,AllCollegeNCES,0))+Z87*IF(INDEX(AllCollegeAAHGR, MATCH(N87,AllCollegeNCES,0))&gt;0.7,(1-INDEX(AllCollegeAAHGR, MATCH(N87,AllCollegeNCES,0)))/2,0.15),2),INDEX(AllCollegeAAHGR, MATCH(N87,AllCollegeNCES,0)))</f>
        <v>0</v>
      </c>
      <c r="AC87">
        <f>IF(OR(W87="H",W87="B"),INDEX(AllCollegeSAT25, MATCH(N87,AllCollegeNCES,0)),INDEX(AllCollegeSAT50, MATCH(N87,AllCollegeNCES,0)))</f>
        <v>0</v>
      </c>
      <c r="AD87">
        <f>INDEX(CustomWeightsGPA,MATCH(W87&amp;":"&amp;N87,CustomWeightsIndex,0))</f>
        <v>0</v>
      </c>
      <c r="AE87">
        <f>INDEX(CustomWeightsSAT,MATCH(W87&amp;":"&amp;N87,CustomWeightsIndex,0))</f>
        <v>0</v>
      </c>
      <c r="AF87">
        <f>INDEX(CustomWeightsIntercept,MATCH(W87&amp;":"&amp;N87,CustomWeightsIndex,0))</f>
        <v>0</v>
      </c>
      <c r="AG87">
        <f>AD87*S87+AE87*T87+AF87</f>
        <v>0</v>
      </c>
      <c r="AH87">
        <f>INDEX(CoefficientsGPA,MATCH(W87&amp;":"&amp;R87,CoefficientsIndex,0))</f>
        <v>0</v>
      </c>
      <c r="AI87">
        <f>INDEX(CoefficientsSAT,MATCH(W87&amp;":"&amp;R87,CoefficientsIndex,0))</f>
        <v>0</v>
      </c>
      <c r="AJ87">
        <f>INDEX(CoefficientsIntercept,MATCH(W87&amp;":"&amp;R87,CoefficientsIndex,0))</f>
        <v>0</v>
      </c>
      <c r="AK87">
        <f>AH87*S87+(T87-AC87)*AI87+AJ87</f>
        <v>0</v>
      </c>
      <c r="AL87">
        <f>IF(ISNUMBER(AG87),AG87,AK87)</f>
        <v>0</v>
      </c>
      <c r="AM87">
        <f>IF(ISNUMBER(AL87),IF(ISNUMBER(AH87),IF(AND(AH87=1,AI87=1,AJ87=1),100,MIN(99,ROUND(100*EXP(AL87)/(1+EXP(AL87)),2))),MIN(99,ROUND(100*EXP(AL87)/(1+EXP(AL87)),2))),IF(ISTEXT(R87),IF(LEFT(R87,1)="2",100,"N/A"),"N/A"))</f>
        <v>0</v>
      </c>
      <c r="AN87">
        <f>IF(ISNUMBER(AM87),IF(AM87&gt;=99,IF(OR(U87=10,U87=11),MatchLabel,SureThingLabel),IF(AM87&gt;=95,SecureLabel,IF(AM87&gt;=80,SafetyLabel,IF(AM87&gt;=50,MatchLabel,IF(AM87&gt;=20,ReachLabel,IF(AM87&gt;=10,LongshotLabel,HailMaryLabel)))))),"Other")</f>
        <v>0</v>
      </c>
      <c r="AO87">
        <f>IF(OR(I87="accepted",I87="cond. accept",I87="summer admit"),IF(J87="yes","CHOICE!","Accepted!"),IF(I87="guar. transfer","Guar. Xfer",IF(I87="denied","Denied",IF(K87=1,"Waitlist",IF(L87=1,"Deferred",IF(G87="pending","Pending",IF(OR(G87="initial materials submitted",G87="mid-year submitted",G87="final submitted"),"Submitted",IF(H87="interest","Interest","?"))))))))</f>
        <v>0</v>
      </c>
      <c r="AP87">
        <f>IF(OR(AN87=ReachLabel,AN87=LongshotLabel,AN87=HailMaryLabel),1,0)</f>
        <v>0</v>
      </c>
      <c r="AQ87">
        <f>IF(OR(AP87=1,AN87=MatchLabel),1,0)</f>
        <v>0</v>
      </c>
      <c r="AR87">
        <f>IF(OR(AN87=MatchLabel,AN87=SafetyLabel,AN87=SecureLabel,AN87=SureThingLabel),1,0)</f>
        <v>0</v>
      </c>
      <c r="AS87">
        <f>IF(OR(W87="H",W87="B",W87="I",W87="M"),IF(ISNUMBER(AB87),ROUND(AB87,2),0),IF(ISNUMBER(AA87),ROUND(AA87,2),0))</f>
        <v>0</v>
      </c>
      <c r="AT87">
        <f>IF(AS87&gt;=X87,1,0)</f>
        <v>0</v>
      </c>
      <c r="AU87">
        <f>IF(AS87&gt;=Y87,1,0)</f>
        <v>0</v>
      </c>
      <c r="AV87">
        <f>IF(AS87&lt;(X87-0.10),1,0)</f>
        <v>0</v>
      </c>
      <c r="AW87">
        <f>1-AM87/100</f>
        <v>0</v>
      </c>
      <c r="AX87">
        <f>IF(AQ87=1,AW87,1)</f>
        <v>0</v>
      </c>
      <c r="AY87">
        <f>IF(AP87=1,AW87,1)</f>
        <v>0</v>
      </c>
      <c r="AZ87">
        <f>IF(AND(AT87=1,ISNUMBER(AW87)),$AW87,1)</f>
        <v>0</v>
      </c>
      <c r="BA87">
        <f>IF(AND(AU87=1,ISNUMBER(AW87)),$AW87,1)</f>
        <v>0</v>
      </c>
      <c r="BB87">
        <f>IF(ISNUMBER(AB87),INDEX(AllCollegeMoney, MATCH(N87,AllCollegeNCES,0)),0)</f>
        <v>0</v>
      </c>
      <c r="BC87">
        <f>IF(AND(AT87=1,ISNUMBER(AW87),BB87=1),$AW87,1)</f>
        <v>0</v>
      </c>
      <c r="BD87">
        <f>IF(AND(AU87=1,ISNUMBER(AW87),BB87=1),$AW87,1)</f>
        <v>0</v>
      </c>
      <c r="BE87">
        <f>IF(ISNUMBER(AB87),INDEX(AllCollegeILPub, MATCH(N87,AllCollegeNCES,0)),0)</f>
        <v>0</v>
      </c>
      <c r="BF87">
        <f>IF(AN87=ReachLabel,AS87,0)</f>
        <v>0</v>
      </c>
      <c r="BG87">
        <f>IF(AN87=MatchLabel,AS87,0)</f>
        <v>0</v>
      </c>
      <c r="BH87">
        <f>IF(AN87=SafetyLabel,AS87,0)</f>
        <v>0</v>
      </c>
      <c r="BI87">
        <f>IF(AN87=SecureLabel,AS87,0)</f>
        <v>0</v>
      </c>
      <c r="BJ87">
        <f>IF(AN87=SureThingLabel,AS87,0)</f>
        <v>0</v>
      </c>
      <c r="BK87">
        <f>MAX(BF87:BJ87)</f>
        <v>0</v>
      </c>
      <c r="BL87">
        <f>MAX(BG87:BJ87)</f>
        <v>0</v>
      </c>
      <c r="BM87">
        <f>MAX(BH87:BJ87)</f>
        <v>0</v>
      </c>
      <c r="BN87">
        <f>IF(AND(AN87=ReachLabel,BB87=1),AS87,0)</f>
        <v>0</v>
      </c>
      <c r="BO87">
        <f>IF(AND(AN87=MatchLabel,BB87=1),AS87,0)</f>
        <v>0</v>
      </c>
      <c r="BP87">
        <f>IF(AND(AN87=SafetyLabel,BB87=1),AS87,0)</f>
        <v>0</v>
      </c>
      <c r="BQ87">
        <f>IF(AND(AN87=SecureLabel,BB87=1),AS87,0)</f>
        <v>0</v>
      </c>
      <c r="BR87">
        <f>IF(AND(AN87=SureThingLabel,BB87=1),AS87,0)</f>
        <v>0</v>
      </c>
      <c r="BS87">
        <f>MAX(BN87:BR87)</f>
        <v>0</v>
      </c>
      <c r="BT87">
        <f>MAX(BO87:BR87)</f>
        <v>0</v>
      </c>
      <c r="BU87">
        <f>MAX(BP87:BR87)</f>
        <v>0</v>
      </c>
      <c r="BV87">
        <f>IF(ISNUMBER(AB87),INDEX(AllCollegeChicago, MATCH(N87,AllCollegeNCES,0))*BB87,0)</f>
        <v>0</v>
      </c>
      <c r="BW87">
        <f>IF(ISNUMBER(AB87),INDEX(AllCollegeMoneyCode, MATCH(N87,AllCollegeNCES,0)),"?")</f>
        <v>0</v>
      </c>
      <c r="BX87">
        <f>IF(OR(BW87="---",BW87="--",BW87="+/--",BW87="+/---"),1,0)</f>
        <v>0</v>
      </c>
      <c r="BY87">
        <f>BB87*AR87*AT87</f>
        <v>0</v>
      </c>
    </row>
    <row r="88" spans="1:77">
      <c r="A88" t="s">
        <v>96</v>
      </c>
      <c r="B88">
        <v>22372458</v>
      </c>
      <c r="C88" t="s">
        <v>282</v>
      </c>
      <c r="D88" t="s">
        <v>283</v>
      </c>
      <c r="E88" t="s">
        <v>446</v>
      </c>
      <c r="F88" t="s">
        <v>466</v>
      </c>
      <c r="G88" t="s">
        <v>448</v>
      </c>
      <c r="H88" t="s">
        <v>449</v>
      </c>
      <c r="I88" t="s">
        <v>450</v>
      </c>
      <c r="J88" t="s">
        <v>450</v>
      </c>
      <c r="K88">
        <v>0</v>
      </c>
      <c r="L88" t="s">
        <v>446</v>
      </c>
      <c r="M88" t="s">
        <v>446</v>
      </c>
      <c r="N88">
        <v>100000001</v>
      </c>
      <c r="O88">
        <f>INDEX(Counselor,MATCH(B88,KidIDs,0))</f>
        <v>0</v>
      </c>
      <c r="P88">
        <f>INDEX(Advisors,MATCH(B88,KidIDs,0))</f>
        <v>0</v>
      </c>
      <c r="Q88">
        <f>INDEX(Cohort,MATCH(B88,KidIDs,0))</f>
        <v>0</v>
      </c>
      <c r="R88">
        <f>INDEX(AllCollegeBarrons,MATCH(N88,AllCollegeNCES,0))</f>
        <v>0</v>
      </c>
      <c r="S88">
        <f>INDEX(KidGPAs,MATCH(B88,KidIDs,0))</f>
        <v>0</v>
      </c>
      <c r="T88">
        <f>INDEX(KidSATs,MATCH(B88,KidIDs,0))</f>
        <v>0</v>
      </c>
      <c r="U88">
        <f>INDEX(Strats,MATCH(B88,KidIDs,0))</f>
        <v>0</v>
      </c>
      <c r="V88">
        <f>INDEX(KidRace,MATCH(B88,KidIDs,0))</f>
        <v>0</v>
      </c>
      <c r="W88">
        <f>IF(OR(V88="M",V88="I"),"H",IF(V88="P","A",V88))</f>
        <v>0</v>
      </c>
      <c r="X88">
        <f>INDEX(StudentTargets,MATCH(B88,KidIDs,0))</f>
        <v>0</v>
      </c>
      <c r="Y88">
        <f>INDEX(ReachStudentTargets,MATCH(B88,KidIDs,0))</f>
        <v>0</v>
      </c>
      <c r="Z88">
        <f>IF(OR(M88="Posse"),1,0)</f>
        <v>0</v>
      </c>
      <c r="AA88">
        <f>IF(ISNUMBER(INDEX(AllCollegeGR, MATCH(N88,AllCollegeNCES,0))),ROUND(INDEX(AllCollegeGR, MATCH(N88,AllCollegeNCES,0))+Z88*IF(INDEX(AllCollegeGR, MATCH(N88,AllCollegeNCES,0))&gt;0.7,(1-INDEX(AllCollegeGR, MATCH(N88,AllCollegeNCES,0)))/2,0.15),2),INDEX(AllCollegeGR, MATCH(N88,AllCollegeNCES,0)))</f>
        <v>0</v>
      </c>
      <c r="AB88">
        <f>IF(ISNUMBER(INDEX(AllCollegeAAHGR, MATCH(N88,AllCollegeNCES,0))),ROUND(INDEX(AllCollegeAAHGR, MATCH(N88,AllCollegeNCES,0))+Z88*IF(INDEX(AllCollegeAAHGR, MATCH(N88,AllCollegeNCES,0))&gt;0.7,(1-INDEX(AllCollegeAAHGR, MATCH(N88,AllCollegeNCES,0)))/2,0.15),2),INDEX(AllCollegeAAHGR, MATCH(N88,AllCollegeNCES,0)))</f>
        <v>0</v>
      </c>
      <c r="AC88">
        <f>IF(OR(W88="H",W88="B"),INDEX(AllCollegeSAT25, MATCH(N88,AllCollegeNCES,0)),INDEX(AllCollegeSAT50, MATCH(N88,AllCollegeNCES,0)))</f>
        <v>0</v>
      </c>
      <c r="AD88">
        <f>INDEX(CustomWeightsGPA,MATCH(W88&amp;":"&amp;N88,CustomWeightsIndex,0))</f>
        <v>0</v>
      </c>
      <c r="AE88">
        <f>INDEX(CustomWeightsSAT,MATCH(W88&amp;":"&amp;N88,CustomWeightsIndex,0))</f>
        <v>0</v>
      </c>
      <c r="AF88">
        <f>INDEX(CustomWeightsIntercept,MATCH(W88&amp;":"&amp;N88,CustomWeightsIndex,0))</f>
        <v>0</v>
      </c>
      <c r="AG88">
        <f>AD88*S88+AE88*T88+AF88</f>
        <v>0</v>
      </c>
      <c r="AH88">
        <f>INDEX(CoefficientsGPA,MATCH(W88&amp;":"&amp;R88,CoefficientsIndex,0))</f>
        <v>0</v>
      </c>
      <c r="AI88">
        <f>INDEX(CoefficientsSAT,MATCH(W88&amp;":"&amp;R88,CoefficientsIndex,0))</f>
        <v>0</v>
      </c>
      <c r="AJ88">
        <f>INDEX(CoefficientsIntercept,MATCH(W88&amp;":"&amp;R88,CoefficientsIndex,0))</f>
        <v>0</v>
      </c>
      <c r="AK88">
        <f>AH88*S88+(T88-AC88)*AI88+AJ88</f>
        <v>0</v>
      </c>
      <c r="AL88">
        <f>IF(ISNUMBER(AG88),AG88,AK88)</f>
        <v>0</v>
      </c>
      <c r="AM88">
        <f>IF(ISNUMBER(AL88),IF(ISNUMBER(AH88),IF(AND(AH88=1,AI88=1,AJ88=1),100,MIN(99,ROUND(100*EXP(AL88)/(1+EXP(AL88)),2))),MIN(99,ROUND(100*EXP(AL88)/(1+EXP(AL88)),2))),IF(ISTEXT(R88),IF(LEFT(R88,1)="2",100,"N/A"),"N/A"))</f>
        <v>0</v>
      </c>
      <c r="AN88">
        <f>IF(ISNUMBER(AM88),IF(AM88&gt;=99,IF(OR(U88=10,U88=11),MatchLabel,SureThingLabel),IF(AM88&gt;=95,SecureLabel,IF(AM88&gt;=80,SafetyLabel,IF(AM88&gt;=50,MatchLabel,IF(AM88&gt;=20,ReachLabel,IF(AM88&gt;=10,LongshotLabel,HailMaryLabel)))))),"Other")</f>
        <v>0</v>
      </c>
      <c r="AO88">
        <f>IF(OR(I88="accepted",I88="cond. accept",I88="summer admit"),IF(J88="yes","CHOICE!","Accepted!"),IF(I88="guar. transfer","Guar. Xfer",IF(I88="denied","Denied",IF(K88=1,"Waitlist",IF(L88=1,"Deferred",IF(G88="pending","Pending",IF(OR(G88="initial materials submitted",G88="mid-year submitted",G88="final submitted"),"Submitted",IF(H88="interest","Interest","?"))))))))</f>
        <v>0</v>
      </c>
      <c r="AP88">
        <f>IF(OR(AN88=ReachLabel,AN88=LongshotLabel,AN88=HailMaryLabel),1,0)</f>
        <v>0</v>
      </c>
      <c r="AQ88">
        <f>IF(OR(AP88=1,AN88=MatchLabel),1,0)</f>
        <v>0</v>
      </c>
      <c r="AR88">
        <f>IF(OR(AN88=MatchLabel,AN88=SafetyLabel,AN88=SecureLabel,AN88=SureThingLabel),1,0)</f>
        <v>0</v>
      </c>
      <c r="AS88">
        <f>IF(OR(W88="H",W88="B",W88="I",W88="M"),IF(ISNUMBER(AB88),ROUND(AB88,2),0),IF(ISNUMBER(AA88),ROUND(AA88,2),0))</f>
        <v>0</v>
      </c>
      <c r="AT88">
        <f>IF(AS88&gt;=X88,1,0)</f>
        <v>0</v>
      </c>
      <c r="AU88">
        <f>IF(AS88&gt;=Y88,1,0)</f>
        <v>0</v>
      </c>
      <c r="AV88">
        <f>IF(AS88&lt;(X88-0.10),1,0)</f>
        <v>0</v>
      </c>
      <c r="AW88">
        <f>1-AM88/100</f>
        <v>0</v>
      </c>
      <c r="AX88">
        <f>IF(AQ88=1,AW88,1)</f>
        <v>0</v>
      </c>
      <c r="AY88">
        <f>IF(AP88=1,AW88,1)</f>
        <v>0</v>
      </c>
      <c r="AZ88">
        <f>IF(AND(AT88=1,ISNUMBER(AW88)),$AW88,1)</f>
        <v>0</v>
      </c>
      <c r="BA88">
        <f>IF(AND(AU88=1,ISNUMBER(AW88)),$AW88,1)</f>
        <v>0</v>
      </c>
      <c r="BB88">
        <f>IF(ISNUMBER(AB88),INDEX(AllCollegeMoney, MATCH(N88,AllCollegeNCES,0)),0)</f>
        <v>0</v>
      </c>
      <c r="BC88">
        <f>IF(AND(AT88=1,ISNUMBER(AW88),BB88=1),$AW88,1)</f>
        <v>0</v>
      </c>
      <c r="BD88">
        <f>IF(AND(AU88=1,ISNUMBER(AW88),BB88=1),$AW88,1)</f>
        <v>0</v>
      </c>
      <c r="BE88">
        <f>IF(ISNUMBER(AB88),INDEX(AllCollegeILPub, MATCH(N88,AllCollegeNCES,0)),0)</f>
        <v>0</v>
      </c>
      <c r="BF88">
        <f>IF(AN88=ReachLabel,AS88,0)</f>
        <v>0</v>
      </c>
      <c r="BG88">
        <f>IF(AN88=MatchLabel,AS88,0)</f>
        <v>0</v>
      </c>
      <c r="BH88">
        <f>IF(AN88=SafetyLabel,AS88,0)</f>
        <v>0</v>
      </c>
      <c r="BI88">
        <f>IF(AN88=SecureLabel,AS88,0)</f>
        <v>0</v>
      </c>
      <c r="BJ88">
        <f>IF(AN88=SureThingLabel,AS88,0)</f>
        <v>0</v>
      </c>
      <c r="BK88">
        <f>MAX(BF88:BJ88)</f>
        <v>0</v>
      </c>
      <c r="BL88">
        <f>MAX(BG88:BJ88)</f>
        <v>0</v>
      </c>
      <c r="BM88">
        <f>MAX(BH88:BJ88)</f>
        <v>0</v>
      </c>
      <c r="BN88">
        <f>IF(AND(AN88=ReachLabel,BB88=1),AS88,0)</f>
        <v>0</v>
      </c>
      <c r="BO88">
        <f>IF(AND(AN88=MatchLabel,BB88=1),AS88,0)</f>
        <v>0</v>
      </c>
      <c r="BP88">
        <f>IF(AND(AN88=SafetyLabel,BB88=1),AS88,0)</f>
        <v>0</v>
      </c>
      <c r="BQ88">
        <f>IF(AND(AN88=SecureLabel,BB88=1),AS88,0)</f>
        <v>0</v>
      </c>
      <c r="BR88">
        <f>IF(AND(AN88=SureThingLabel,BB88=1),AS88,0)</f>
        <v>0</v>
      </c>
      <c r="BS88">
        <f>MAX(BN88:BR88)</f>
        <v>0</v>
      </c>
      <c r="BT88">
        <f>MAX(BO88:BR88)</f>
        <v>0</v>
      </c>
      <c r="BU88">
        <f>MAX(BP88:BR88)</f>
        <v>0</v>
      </c>
      <c r="BV88">
        <f>IF(ISNUMBER(AB88),INDEX(AllCollegeChicago, MATCH(N88,AllCollegeNCES,0))*BB88,0)</f>
        <v>0</v>
      </c>
      <c r="BW88">
        <f>IF(ISNUMBER(AB88),INDEX(AllCollegeMoneyCode, MATCH(N88,AllCollegeNCES,0)),"?")</f>
        <v>0</v>
      </c>
      <c r="BX88">
        <f>IF(OR(BW88="---",BW88="--",BW88="+/--",BW88="+/---"),1,0)</f>
        <v>0</v>
      </c>
      <c r="BY88">
        <f>BB88*AR88*AT88</f>
        <v>0</v>
      </c>
    </row>
    <row r="89" spans="1:77">
      <c r="A89" t="s">
        <v>96</v>
      </c>
      <c r="B89">
        <v>22372458</v>
      </c>
      <c r="C89" t="s">
        <v>282</v>
      </c>
      <c r="D89" t="s">
        <v>283</v>
      </c>
      <c r="E89" t="s">
        <v>446</v>
      </c>
      <c r="F89" t="s">
        <v>504</v>
      </c>
      <c r="G89" t="s">
        <v>448</v>
      </c>
      <c r="H89" t="s">
        <v>449</v>
      </c>
      <c r="I89" t="s">
        <v>450</v>
      </c>
      <c r="J89" t="s">
        <v>450</v>
      </c>
      <c r="K89">
        <v>0</v>
      </c>
      <c r="L89" t="s">
        <v>446</v>
      </c>
      <c r="M89" t="s">
        <v>446</v>
      </c>
      <c r="N89">
        <v>144351</v>
      </c>
      <c r="O89">
        <f>INDEX(Counselor,MATCH(B89,KidIDs,0))</f>
        <v>0</v>
      </c>
      <c r="P89">
        <f>INDEX(Advisors,MATCH(B89,KidIDs,0))</f>
        <v>0</v>
      </c>
      <c r="Q89">
        <f>INDEX(Cohort,MATCH(B89,KidIDs,0))</f>
        <v>0</v>
      </c>
      <c r="R89">
        <f>INDEX(AllCollegeBarrons,MATCH(N89,AllCollegeNCES,0))</f>
        <v>0</v>
      </c>
      <c r="S89">
        <f>INDEX(KidGPAs,MATCH(B89,KidIDs,0))</f>
        <v>0</v>
      </c>
      <c r="T89">
        <f>INDEX(KidSATs,MATCH(B89,KidIDs,0))</f>
        <v>0</v>
      </c>
      <c r="U89">
        <f>INDEX(Strats,MATCH(B89,KidIDs,0))</f>
        <v>0</v>
      </c>
      <c r="V89">
        <f>INDEX(KidRace,MATCH(B89,KidIDs,0))</f>
        <v>0</v>
      </c>
      <c r="W89">
        <f>IF(OR(V89="M",V89="I"),"H",IF(V89="P","A",V89))</f>
        <v>0</v>
      </c>
      <c r="X89">
        <f>INDEX(StudentTargets,MATCH(B89,KidIDs,0))</f>
        <v>0</v>
      </c>
      <c r="Y89">
        <f>INDEX(ReachStudentTargets,MATCH(B89,KidIDs,0))</f>
        <v>0</v>
      </c>
      <c r="Z89">
        <f>IF(OR(M89="Posse"),1,0)</f>
        <v>0</v>
      </c>
      <c r="AA89">
        <f>IF(ISNUMBER(INDEX(AllCollegeGR, MATCH(N89,AllCollegeNCES,0))),ROUND(INDEX(AllCollegeGR, MATCH(N89,AllCollegeNCES,0))+Z89*IF(INDEX(AllCollegeGR, MATCH(N89,AllCollegeNCES,0))&gt;0.7,(1-INDEX(AllCollegeGR, MATCH(N89,AllCollegeNCES,0)))/2,0.15),2),INDEX(AllCollegeGR, MATCH(N89,AllCollegeNCES,0)))</f>
        <v>0</v>
      </c>
      <c r="AB89">
        <f>IF(ISNUMBER(INDEX(AllCollegeAAHGR, MATCH(N89,AllCollegeNCES,0))),ROUND(INDEX(AllCollegeAAHGR, MATCH(N89,AllCollegeNCES,0))+Z89*IF(INDEX(AllCollegeAAHGR, MATCH(N89,AllCollegeNCES,0))&gt;0.7,(1-INDEX(AllCollegeAAHGR, MATCH(N89,AllCollegeNCES,0)))/2,0.15),2),INDEX(AllCollegeAAHGR, MATCH(N89,AllCollegeNCES,0)))</f>
        <v>0</v>
      </c>
      <c r="AC89">
        <f>IF(OR(W89="H",W89="B"),INDEX(AllCollegeSAT25, MATCH(N89,AllCollegeNCES,0)),INDEX(AllCollegeSAT50, MATCH(N89,AllCollegeNCES,0)))</f>
        <v>0</v>
      </c>
      <c r="AD89">
        <f>INDEX(CustomWeightsGPA,MATCH(W89&amp;":"&amp;N89,CustomWeightsIndex,0))</f>
        <v>0</v>
      </c>
      <c r="AE89">
        <f>INDEX(CustomWeightsSAT,MATCH(W89&amp;":"&amp;N89,CustomWeightsIndex,0))</f>
        <v>0</v>
      </c>
      <c r="AF89">
        <f>INDEX(CustomWeightsIntercept,MATCH(W89&amp;":"&amp;N89,CustomWeightsIndex,0))</f>
        <v>0</v>
      </c>
      <c r="AG89">
        <f>AD89*S89+AE89*T89+AF89</f>
        <v>0</v>
      </c>
      <c r="AH89">
        <f>INDEX(CoefficientsGPA,MATCH(W89&amp;":"&amp;R89,CoefficientsIndex,0))</f>
        <v>0</v>
      </c>
      <c r="AI89">
        <f>INDEX(CoefficientsSAT,MATCH(W89&amp;":"&amp;R89,CoefficientsIndex,0))</f>
        <v>0</v>
      </c>
      <c r="AJ89">
        <f>INDEX(CoefficientsIntercept,MATCH(W89&amp;":"&amp;R89,CoefficientsIndex,0))</f>
        <v>0</v>
      </c>
      <c r="AK89">
        <f>AH89*S89+(T89-AC89)*AI89+AJ89</f>
        <v>0</v>
      </c>
      <c r="AL89">
        <f>IF(ISNUMBER(AG89),AG89,AK89)</f>
        <v>0</v>
      </c>
      <c r="AM89">
        <f>IF(ISNUMBER(AL89),IF(ISNUMBER(AH89),IF(AND(AH89=1,AI89=1,AJ89=1),100,MIN(99,ROUND(100*EXP(AL89)/(1+EXP(AL89)),2))),MIN(99,ROUND(100*EXP(AL89)/(1+EXP(AL89)),2))),IF(ISTEXT(R89),IF(LEFT(R89,1)="2",100,"N/A"),"N/A"))</f>
        <v>0</v>
      </c>
      <c r="AN89">
        <f>IF(ISNUMBER(AM89),IF(AM89&gt;=99,IF(OR(U89=10,U89=11),MatchLabel,SureThingLabel),IF(AM89&gt;=95,SecureLabel,IF(AM89&gt;=80,SafetyLabel,IF(AM89&gt;=50,MatchLabel,IF(AM89&gt;=20,ReachLabel,IF(AM89&gt;=10,LongshotLabel,HailMaryLabel)))))),"Other")</f>
        <v>0</v>
      </c>
      <c r="AO89">
        <f>IF(OR(I89="accepted",I89="cond. accept",I89="summer admit"),IF(J89="yes","CHOICE!","Accepted!"),IF(I89="guar. transfer","Guar. Xfer",IF(I89="denied","Denied",IF(K89=1,"Waitlist",IF(L89=1,"Deferred",IF(G89="pending","Pending",IF(OR(G89="initial materials submitted",G89="mid-year submitted",G89="final submitted"),"Submitted",IF(H89="interest","Interest","?"))))))))</f>
        <v>0</v>
      </c>
      <c r="AP89">
        <f>IF(OR(AN89=ReachLabel,AN89=LongshotLabel,AN89=HailMaryLabel),1,0)</f>
        <v>0</v>
      </c>
      <c r="AQ89">
        <f>IF(OR(AP89=1,AN89=MatchLabel),1,0)</f>
        <v>0</v>
      </c>
      <c r="AR89">
        <f>IF(OR(AN89=MatchLabel,AN89=SafetyLabel,AN89=SecureLabel,AN89=SureThingLabel),1,0)</f>
        <v>0</v>
      </c>
      <c r="AS89">
        <f>IF(OR(W89="H",W89="B",W89="I",W89="M"),IF(ISNUMBER(AB89),ROUND(AB89,2),0),IF(ISNUMBER(AA89),ROUND(AA89,2),0))</f>
        <v>0</v>
      </c>
      <c r="AT89">
        <f>IF(AS89&gt;=X89,1,0)</f>
        <v>0</v>
      </c>
      <c r="AU89">
        <f>IF(AS89&gt;=Y89,1,0)</f>
        <v>0</v>
      </c>
      <c r="AV89">
        <f>IF(AS89&lt;(X89-0.10),1,0)</f>
        <v>0</v>
      </c>
      <c r="AW89">
        <f>1-AM89/100</f>
        <v>0</v>
      </c>
      <c r="AX89">
        <f>IF(AQ89=1,AW89,1)</f>
        <v>0</v>
      </c>
      <c r="AY89">
        <f>IF(AP89=1,AW89,1)</f>
        <v>0</v>
      </c>
      <c r="AZ89">
        <f>IF(AND(AT89=1,ISNUMBER(AW89)),$AW89,1)</f>
        <v>0</v>
      </c>
      <c r="BA89">
        <f>IF(AND(AU89=1,ISNUMBER(AW89)),$AW89,1)</f>
        <v>0</v>
      </c>
      <c r="BB89">
        <f>IF(ISNUMBER(AB89),INDEX(AllCollegeMoney, MATCH(N89,AllCollegeNCES,0)),0)</f>
        <v>0</v>
      </c>
      <c r="BC89">
        <f>IF(AND(AT89=1,ISNUMBER(AW89),BB89=1),$AW89,1)</f>
        <v>0</v>
      </c>
      <c r="BD89">
        <f>IF(AND(AU89=1,ISNUMBER(AW89),BB89=1),$AW89,1)</f>
        <v>0</v>
      </c>
      <c r="BE89">
        <f>IF(ISNUMBER(AB89),INDEX(AllCollegeILPub, MATCH(N89,AllCollegeNCES,0)),0)</f>
        <v>0</v>
      </c>
      <c r="BF89">
        <f>IF(AN89=ReachLabel,AS89,0)</f>
        <v>0</v>
      </c>
      <c r="BG89">
        <f>IF(AN89=MatchLabel,AS89,0)</f>
        <v>0</v>
      </c>
      <c r="BH89">
        <f>IF(AN89=SafetyLabel,AS89,0)</f>
        <v>0</v>
      </c>
      <c r="BI89">
        <f>IF(AN89=SecureLabel,AS89,0)</f>
        <v>0</v>
      </c>
      <c r="BJ89">
        <f>IF(AN89=SureThingLabel,AS89,0)</f>
        <v>0</v>
      </c>
      <c r="BK89">
        <f>MAX(BF89:BJ89)</f>
        <v>0</v>
      </c>
      <c r="BL89">
        <f>MAX(BG89:BJ89)</f>
        <v>0</v>
      </c>
      <c r="BM89">
        <f>MAX(BH89:BJ89)</f>
        <v>0</v>
      </c>
      <c r="BN89">
        <f>IF(AND(AN89=ReachLabel,BB89=1),AS89,0)</f>
        <v>0</v>
      </c>
      <c r="BO89">
        <f>IF(AND(AN89=MatchLabel,BB89=1),AS89,0)</f>
        <v>0</v>
      </c>
      <c r="BP89">
        <f>IF(AND(AN89=SafetyLabel,BB89=1),AS89,0)</f>
        <v>0</v>
      </c>
      <c r="BQ89">
        <f>IF(AND(AN89=SecureLabel,BB89=1),AS89,0)</f>
        <v>0</v>
      </c>
      <c r="BR89">
        <f>IF(AND(AN89=SureThingLabel,BB89=1),AS89,0)</f>
        <v>0</v>
      </c>
      <c r="BS89">
        <f>MAX(BN89:BR89)</f>
        <v>0</v>
      </c>
      <c r="BT89">
        <f>MAX(BO89:BR89)</f>
        <v>0</v>
      </c>
      <c r="BU89">
        <f>MAX(BP89:BR89)</f>
        <v>0</v>
      </c>
      <c r="BV89">
        <f>IF(ISNUMBER(AB89),INDEX(AllCollegeChicago, MATCH(N89,AllCollegeNCES,0))*BB89,0)</f>
        <v>0</v>
      </c>
      <c r="BW89">
        <f>IF(ISNUMBER(AB89),INDEX(AllCollegeMoneyCode, MATCH(N89,AllCollegeNCES,0)),"?")</f>
        <v>0</v>
      </c>
      <c r="BX89">
        <f>IF(OR(BW89="---",BW89="--",BW89="+/--",BW89="+/---"),1,0)</f>
        <v>0</v>
      </c>
      <c r="BY89">
        <f>BB89*AR89*AT89</f>
        <v>0</v>
      </c>
    </row>
    <row r="90" spans="1:77">
      <c r="A90" t="s">
        <v>96</v>
      </c>
      <c r="B90">
        <v>22372458</v>
      </c>
      <c r="C90" t="s">
        <v>282</v>
      </c>
      <c r="D90" t="s">
        <v>283</v>
      </c>
      <c r="E90" t="s">
        <v>446</v>
      </c>
      <c r="F90" t="s">
        <v>505</v>
      </c>
      <c r="G90" t="s">
        <v>448</v>
      </c>
      <c r="H90" t="s">
        <v>449</v>
      </c>
      <c r="I90" t="s">
        <v>450</v>
      </c>
      <c r="J90" t="s">
        <v>450</v>
      </c>
      <c r="K90">
        <v>0</v>
      </c>
      <c r="L90" t="s">
        <v>446</v>
      </c>
      <c r="M90" t="s">
        <v>446</v>
      </c>
      <c r="N90">
        <v>149231</v>
      </c>
      <c r="O90">
        <f>INDEX(Counselor,MATCH(B90,KidIDs,0))</f>
        <v>0</v>
      </c>
      <c r="P90">
        <f>INDEX(Advisors,MATCH(B90,KidIDs,0))</f>
        <v>0</v>
      </c>
      <c r="Q90">
        <f>INDEX(Cohort,MATCH(B90,KidIDs,0))</f>
        <v>0</v>
      </c>
      <c r="R90">
        <f>INDEX(AllCollegeBarrons,MATCH(N90,AllCollegeNCES,0))</f>
        <v>0</v>
      </c>
      <c r="S90">
        <f>INDEX(KidGPAs,MATCH(B90,KidIDs,0))</f>
        <v>0</v>
      </c>
      <c r="T90">
        <f>INDEX(KidSATs,MATCH(B90,KidIDs,0))</f>
        <v>0</v>
      </c>
      <c r="U90">
        <f>INDEX(Strats,MATCH(B90,KidIDs,0))</f>
        <v>0</v>
      </c>
      <c r="V90">
        <f>INDEX(KidRace,MATCH(B90,KidIDs,0))</f>
        <v>0</v>
      </c>
      <c r="W90">
        <f>IF(OR(V90="M",V90="I"),"H",IF(V90="P","A",V90))</f>
        <v>0</v>
      </c>
      <c r="X90">
        <f>INDEX(StudentTargets,MATCH(B90,KidIDs,0))</f>
        <v>0</v>
      </c>
      <c r="Y90">
        <f>INDEX(ReachStudentTargets,MATCH(B90,KidIDs,0))</f>
        <v>0</v>
      </c>
      <c r="Z90">
        <f>IF(OR(M90="Posse"),1,0)</f>
        <v>0</v>
      </c>
      <c r="AA90">
        <f>IF(ISNUMBER(INDEX(AllCollegeGR, MATCH(N90,AllCollegeNCES,0))),ROUND(INDEX(AllCollegeGR, MATCH(N90,AllCollegeNCES,0))+Z90*IF(INDEX(AllCollegeGR, MATCH(N90,AllCollegeNCES,0))&gt;0.7,(1-INDEX(AllCollegeGR, MATCH(N90,AllCollegeNCES,0)))/2,0.15),2),INDEX(AllCollegeGR, MATCH(N90,AllCollegeNCES,0)))</f>
        <v>0</v>
      </c>
      <c r="AB90">
        <f>IF(ISNUMBER(INDEX(AllCollegeAAHGR, MATCH(N90,AllCollegeNCES,0))),ROUND(INDEX(AllCollegeAAHGR, MATCH(N90,AllCollegeNCES,0))+Z90*IF(INDEX(AllCollegeAAHGR, MATCH(N90,AllCollegeNCES,0))&gt;0.7,(1-INDEX(AllCollegeAAHGR, MATCH(N90,AllCollegeNCES,0)))/2,0.15),2),INDEX(AllCollegeAAHGR, MATCH(N90,AllCollegeNCES,0)))</f>
        <v>0</v>
      </c>
      <c r="AC90">
        <f>IF(OR(W90="H",W90="B"),INDEX(AllCollegeSAT25, MATCH(N90,AllCollegeNCES,0)),INDEX(AllCollegeSAT50, MATCH(N90,AllCollegeNCES,0)))</f>
        <v>0</v>
      </c>
      <c r="AD90">
        <f>INDEX(CustomWeightsGPA,MATCH(W90&amp;":"&amp;N90,CustomWeightsIndex,0))</f>
        <v>0</v>
      </c>
      <c r="AE90">
        <f>INDEX(CustomWeightsSAT,MATCH(W90&amp;":"&amp;N90,CustomWeightsIndex,0))</f>
        <v>0</v>
      </c>
      <c r="AF90">
        <f>INDEX(CustomWeightsIntercept,MATCH(W90&amp;":"&amp;N90,CustomWeightsIndex,0))</f>
        <v>0</v>
      </c>
      <c r="AG90">
        <f>AD90*S90+AE90*T90+AF90</f>
        <v>0</v>
      </c>
      <c r="AH90">
        <f>INDEX(CoefficientsGPA,MATCH(W90&amp;":"&amp;R90,CoefficientsIndex,0))</f>
        <v>0</v>
      </c>
      <c r="AI90">
        <f>INDEX(CoefficientsSAT,MATCH(W90&amp;":"&amp;R90,CoefficientsIndex,0))</f>
        <v>0</v>
      </c>
      <c r="AJ90">
        <f>INDEX(CoefficientsIntercept,MATCH(W90&amp;":"&amp;R90,CoefficientsIndex,0))</f>
        <v>0</v>
      </c>
      <c r="AK90">
        <f>AH90*S90+(T90-AC90)*AI90+AJ90</f>
        <v>0</v>
      </c>
      <c r="AL90">
        <f>IF(ISNUMBER(AG90),AG90,AK90)</f>
        <v>0</v>
      </c>
      <c r="AM90">
        <f>IF(ISNUMBER(AL90),IF(ISNUMBER(AH90),IF(AND(AH90=1,AI90=1,AJ90=1),100,MIN(99,ROUND(100*EXP(AL90)/(1+EXP(AL90)),2))),MIN(99,ROUND(100*EXP(AL90)/(1+EXP(AL90)),2))),IF(ISTEXT(R90),IF(LEFT(R90,1)="2",100,"N/A"),"N/A"))</f>
        <v>0</v>
      </c>
      <c r="AN90">
        <f>IF(ISNUMBER(AM90),IF(AM90&gt;=99,IF(OR(U90=10,U90=11),MatchLabel,SureThingLabel),IF(AM90&gt;=95,SecureLabel,IF(AM90&gt;=80,SafetyLabel,IF(AM90&gt;=50,MatchLabel,IF(AM90&gt;=20,ReachLabel,IF(AM90&gt;=10,LongshotLabel,HailMaryLabel)))))),"Other")</f>
        <v>0</v>
      </c>
      <c r="AO90">
        <f>IF(OR(I90="accepted",I90="cond. accept",I90="summer admit"),IF(J90="yes","CHOICE!","Accepted!"),IF(I90="guar. transfer","Guar. Xfer",IF(I90="denied","Denied",IF(K90=1,"Waitlist",IF(L90=1,"Deferred",IF(G90="pending","Pending",IF(OR(G90="initial materials submitted",G90="mid-year submitted",G90="final submitted"),"Submitted",IF(H90="interest","Interest","?"))))))))</f>
        <v>0</v>
      </c>
      <c r="AP90">
        <f>IF(OR(AN90=ReachLabel,AN90=LongshotLabel,AN90=HailMaryLabel),1,0)</f>
        <v>0</v>
      </c>
      <c r="AQ90">
        <f>IF(OR(AP90=1,AN90=MatchLabel),1,0)</f>
        <v>0</v>
      </c>
      <c r="AR90">
        <f>IF(OR(AN90=MatchLabel,AN90=SafetyLabel,AN90=SecureLabel,AN90=SureThingLabel),1,0)</f>
        <v>0</v>
      </c>
      <c r="AS90">
        <f>IF(OR(W90="H",W90="B",W90="I",W90="M"),IF(ISNUMBER(AB90),ROUND(AB90,2),0),IF(ISNUMBER(AA90),ROUND(AA90,2),0))</f>
        <v>0</v>
      </c>
      <c r="AT90">
        <f>IF(AS90&gt;=X90,1,0)</f>
        <v>0</v>
      </c>
      <c r="AU90">
        <f>IF(AS90&gt;=Y90,1,0)</f>
        <v>0</v>
      </c>
      <c r="AV90">
        <f>IF(AS90&lt;(X90-0.10),1,0)</f>
        <v>0</v>
      </c>
      <c r="AW90">
        <f>1-AM90/100</f>
        <v>0</v>
      </c>
      <c r="AX90">
        <f>IF(AQ90=1,AW90,1)</f>
        <v>0</v>
      </c>
      <c r="AY90">
        <f>IF(AP90=1,AW90,1)</f>
        <v>0</v>
      </c>
      <c r="AZ90">
        <f>IF(AND(AT90=1,ISNUMBER(AW90)),$AW90,1)</f>
        <v>0</v>
      </c>
      <c r="BA90">
        <f>IF(AND(AU90=1,ISNUMBER(AW90)),$AW90,1)</f>
        <v>0</v>
      </c>
      <c r="BB90">
        <f>IF(ISNUMBER(AB90),INDEX(AllCollegeMoney, MATCH(N90,AllCollegeNCES,0)),0)</f>
        <v>0</v>
      </c>
      <c r="BC90">
        <f>IF(AND(AT90=1,ISNUMBER(AW90),BB90=1),$AW90,1)</f>
        <v>0</v>
      </c>
      <c r="BD90">
        <f>IF(AND(AU90=1,ISNUMBER(AW90),BB90=1),$AW90,1)</f>
        <v>0</v>
      </c>
      <c r="BE90">
        <f>IF(ISNUMBER(AB90),INDEX(AllCollegeILPub, MATCH(N90,AllCollegeNCES,0)),0)</f>
        <v>0</v>
      </c>
      <c r="BF90">
        <f>IF(AN90=ReachLabel,AS90,0)</f>
        <v>0</v>
      </c>
      <c r="BG90">
        <f>IF(AN90=MatchLabel,AS90,0)</f>
        <v>0</v>
      </c>
      <c r="BH90">
        <f>IF(AN90=SafetyLabel,AS90,0)</f>
        <v>0</v>
      </c>
      <c r="BI90">
        <f>IF(AN90=SecureLabel,AS90,0)</f>
        <v>0</v>
      </c>
      <c r="BJ90">
        <f>IF(AN90=SureThingLabel,AS90,0)</f>
        <v>0</v>
      </c>
      <c r="BK90">
        <f>MAX(BF90:BJ90)</f>
        <v>0</v>
      </c>
      <c r="BL90">
        <f>MAX(BG90:BJ90)</f>
        <v>0</v>
      </c>
      <c r="BM90">
        <f>MAX(BH90:BJ90)</f>
        <v>0</v>
      </c>
      <c r="BN90">
        <f>IF(AND(AN90=ReachLabel,BB90=1),AS90,0)</f>
        <v>0</v>
      </c>
      <c r="BO90">
        <f>IF(AND(AN90=MatchLabel,BB90=1),AS90,0)</f>
        <v>0</v>
      </c>
      <c r="BP90">
        <f>IF(AND(AN90=SafetyLabel,BB90=1),AS90,0)</f>
        <v>0</v>
      </c>
      <c r="BQ90">
        <f>IF(AND(AN90=SecureLabel,BB90=1),AS90,0)</f>
        <v>0</v>
      </c>
      <c r="BR90">
        <f>IF(AND(AN90=SureThingLabel,BB90=1),AS90,0)</f>
        <v>0</v>
      </c>
      <c r="BS90">
        <f>MAX(BN90:BR90)</f>
        <v>0</v>
      </c>
      <c r="BT90">
        <f>MAX(BO90:BR90)</f>
        <v>0</v>
      </c>
      <c r="BU90">
        <f>MAX(BP90:BR90)</f>
        <v>0</v>
      </c>
      <c r="BV90">
        <f>IF(ISNUMBER(AB90),INDEX(AllCollegeChicago, MATCH(N90,AllCollegeNCES,0))*BB90,0)</f>
        <v>0</v>
      </c>
      <c r="BW90">
        <f>IF(ISNUMBER(AB90),INDEX(AllCollegeMoneyCode, MATCH(N90,AllCollegeNCES,0)),"?")</f>
        <v>0</v>
      </c>
      <c r="BX90">
        <f>IF(OR(BW90="---",BW90="--",BW90="+/--",BW90="+/---"),1,0)</f>
        <v>0</v>
      </c>
      <c r="BY90">
        <f>BB90*AR90*AT90</f>
        <v>0</v>
      </c>
    </row>
    <row r="91" spans="1:77">
      <c r="A91" t="s">
        <v>96</v>
      </c>
      <c r="B91">
        <v>22372458</v>
      </c>
      <c r="C91" t="s">
        <v>282</v>
      </c>
      <c r="D91" t="s">
        <v>283</v>
      </c>
      <c r="E91" t="s">
        <v>446</v>
      </c>
      <c r="F91" t="s">
        <v>460</v>
      </c>
      <c r="G91" t="s">
        <v>448</v>
      </c>
      <c r="H91" t="s">
        <v>449</v>
      </c>
      <c r="I91" t="s">
        <v>450</v>
      </c>
      <c r="J91" t="s">
        <v>450</v>
      </c>
      <c r="K91">
        <v>0</v>
      </c>
      <c r="L91" t="s">
        <v>446</v>
      </c>
      <c r="M91" t="s">
        <v>446</v>
      </c>
      <c r="N91">
        <v>144209</v>
      </c>
      <c r="O91">
        <f>INDEX(Counselor,MATCH(B91,KidIDs,0))</f>
        <v>0</v>
      </c>
      <c r="P91">
        <f>INDEX(Advisors,MATCH(B91,KidIDs,0))</f>
        <v>0</v>
      </c>
      <c r="Q91">
        <f>INDEX(Cohort,MATCH(B91,KidIDs,0))</f>
        <v>0</v>
      </c>
      <c r="R91">
        <f>INDEX(AllCollegeBarrons,MATCH(N91,AllCollegeNCES,0))</f>
        <v>0</v>
      </c>
      <c r="S91">
        <f>INDEX(KidGPAs,MATCH(B91,KidIDs,0))</f>
        <v>0</v>
      </c>
      <c r="T91">
        <f>INDEX(KidSATs,MATCH(B91,KidIDs,0))</f>
        <v>0</v>
      </c>
      <c r="U91">
        <f>INDEX(Strats,MATCH(B91,KidIDs,0))</f>
        <v>0</v>
      </c>
      <c r="V91">
        <f>INDEX(KidRace,MATCH(B91,KidIDs,0))</f>
        <v>0</v>
      </c>
      <c r="W91">
        <f>IF(OR(V91="M",V91="I"),"H",IF(V91="P","A",V91))</f>
        <v>0</v>
      </c>
      <c r="X91">
        <f>INDEX(StudentTargets,MATCH(B91,KidIDs,0))</f>
        <v>0</v>
      </c>
      <c r="Y91">
        <f>INDEX(ReachStudentTargets,MATCH(B91,KidIDs,0))</f>
        <v>0</v>
      </c>
      <c r="Z91">
        <f>IF(OR(M91="Posse"),1,0)</f>
        <v>0</v>
      </c>
      <c r="AA91">
        <f>IF(ISNUMBER(INDEX(AllCollegeGR, MATCH(N91,AllCollegeNCES,0))),ROUND(INDEX(AllCollegeGR, MATCH(N91,AllCollegeNCES,0))+Z91*IF(INDEX(AllCollegeGR, MATCH(N91,AllCollegeNCES,0))&gt;0.7,(1-INDEX(AllCollegeGR, MATCH(N91,AllCollegeNCES,0)))/2,0.15),2),INDEX(AllCollegeGR, MATCH(N91,AllCollegeNCES,0)))</f>
        <v>0</v>
      </c>
      <c r="AB91">
        <f>IF(ISNUMBER(INDEX(AllCollegeAAHGR, MATCH(N91,AllCollegeNCES,0))),ROUND(INDEX(AllCollegeAAHGR, MATCH(N91,AllCollegeNCES,0))+Z91*IF(INDEX(AllCollegeAAHGR, MATCH(N91,AllCollegeNCES,0))&gt;0.7,(1-INDEX(AllCollegeAAHGR, MATCH(N91,AllCollegeNCES,0)))/2,0.15),2),INDEX(AllCollegeAAHGR, MATCH(N91,AllCollegeNCES,0)))</f>
        <v>0</v>
      </c>
      <c r="AC91">
        <f>IF(OR(W91="H",W91="B"),INDEX(AllCollegeSAT25, MATCH(N91,AllCollegeNCES,0)),INDEX(AllCollegeSAT50, MATCH(N91,AllCollegeNCES,0)))</f>
        <v>0</v>
      </c>
      <c r="AD91">
        <f>INDEX(CustomWeightsGPA,MATCH(W91&amp;":"&amp;N91,CustomWeightsIndex,0))</f>
        <v>0</v>
      </c>
      <c r="AE91">
        <f>INDEX(CustomWeightsSAT,MATCH(W91&amp;":"&amp;N91,CustomWeightsIndex,0))</f>
        <v>0</v>
      </c>
      <c r="AF91">
        <f>INDEX(CustomWeightsIntercept,MATCH(W91&amp;":"&amp;N91,CustomWeightsIndex,0))</f>
        <v>0</v>
      </c>
      <c r="AG91">
        <f>AD91*S91+AE91*T91+AF91</f>
        <v>0</v>
      </c>
      <c r="AH91">
        <f>INDEX(CoefficientsGPA,MATCH(W91&amp;":"&amp;R91,CoefficientsIndex,0))</f>
        <v>0</v>
      </c>
      <c r="AI91">
        <f>INDEX(CoefficientsSAT,MATCH(W91&amp;":"&amp;R91,CoefficientsIndex,0))</f>
        <v>0</v>
      </c>
      <c r="AJ91">
        <f>INDEX(CoefficientsIntercept,MATCH(W91&amp;":"&amp;R91,CoefficientsIndex,0))</f>
        <v>0</v>
      </c>
      <c r="AK91">
        <f>AH91*S91+(T91-AC91)*AI91+AJ91</f>
        <v>0</v>
      </c>
      <c r="AL91">
        <f>IF(ISNUMBER(AG91),AG91,AK91)</f>
        <v>0</v>
      </c>
      <c r="AM91">
        <f>IF(ISNUMBER(AL91),IF(ISNUMBER(AH91),IF(AND(AH91=1,AI91=1,AJ91=1),100,MIN(99,ROUND(100*EXP(AL91)/(1+EXP(AL91)),2))),MIN(99,ROUND(100*EXP(AL91)/(1+EXP(AL91)),2))),IF(ISTEXT(R91),IF(LEFT(R91,1)="2",100,"N/A"),"N/A"))</f>
        <v>0</v>
      </c>
      <c r="AN91">
        <f>IF(ISNUMBER(AM91),IF(AM91&gt;=99,IF(OR(U91=10,U91=11),MatchLabel,SureThingLabel),IF(AM91&gt;=95,SecureLabel,IF(AM91&gt;=80,SafetyLabel,IF(AM91&gt;=50,MatchLabel,IF(AM91&gt;=20,ReachLabel,IF(AM91&gt;=10,LongshotLabel,HailMaryLabel)))))),"Other")</f>
        <v>0</v>
      </c>
      <c r="AO91">
        <f>IF(OR(I91="accepted",I91="cond. accept",I91="summer admit"),IF(J91="yes","CHOICE!","Accepted!"),IF(I91="guar. transfer","Guar. Xfer",IF(I91="denied","Denied",IF(K91=1,"Waitlist",IF(L91=1,"Deferred",IF(G91="pending","Pending",IF(OR(G91="initial materials submitted",G91="mid-year submitted",G91="final submitted"),"Submitted",IF(H91="interest","Interest","?"))))))))</f>
        <v>0</v>
      </c>
      <c r="AP91">
        <f>IF(OR(AN91=ReachLabel,AN91=LongshotLabel,AN91=HailMaryLabel),1,0)</f>
        <v>0</v>
      </c>
      <c r="AQ91">
        <f>IF(OR(AP91=1,AN91=MatchLabel),1,0)</f>
        <v>0</v>
      </c>
      <c r="AR91">
        <f>IF(OR(AN91=MatchLabel,AN91=SafetyLabel,AN91=SecureLabel,AN91=SureThingLabel),1,0)</f>
        <v>0</v>
      </c>
      <c r="AS91">
        <f>IF(OR(W91="H",W91="B",W91="I",W91="M"),IF(ISNUMBER(AB91),ROUND(AB91,2),0),IF(ISNUMBER(AA91),ROUND(AA91,2),0))</f>
        <v>0</v>
      </c>
      <c r="AT91">
        <f>IF(AS91&gt;=X91,1,0)</f>
        <v>0</v>
      </c>
      <c r="AU91">
        <f>IF(AS91&gt;=Y91,1,0)</f>
        <v>0</v>
      </c>
      <c r="AV91">
        <f>IF(AS91&lt;(X91-0.10),1,0)</f>
        <v>0</v>
      </c>
      <c r="AW91">
        <f>1-AM91/100</f>
        <v>0</v>
      </c>
      <c r="AX91">
        <f>IF(AQ91=1,AW91,1)</f>
        <v>0</v>
      </c>
      <c r="AY91">
        <f>IF(AP91=1,AW91,1)</f>
        <v>0</v>
      </c>
      <c r="AZ91">
        <f>IF(AND(AT91=1,ISNUMBER(AW91)),$AW91,1)</f>
        <v>0</v>
      </c>
      <c r="BA91">
        <f>IF(AND(AU91=1,ISNUMBER(AW91)),$AW91,1)</f>
        <v>0</v>
      </c>
      <c r="BB91">
        <f>IF(ISNUMBER(AB91),INDEX(AllCollegeMoney, MATCH(N91,AllCollegeNCES,0)),0)</f>
        <v>0</v>
      </c>
      <c r="BC91">
        <f>IF(AND(AT91=1,ISNUMBER(AW91),BB91=1),$AW91,1)</f>
        <v>0</v>
      </c>
      <c r="BD91">
        <f>IF(AND(AU91=1,ISNUMBER(AW91),BB91=1),$AW91,1)</f>
        <v>0</v>
      </c>
      <c r="BE91">
        <f>IF(ISNUMBER(AB91),INDEX(AllCollegeILPub, MATCH(N91,AllCollegeNCES,0)),0)</f>
        <v>0</v>
      </c>
      <c r="BF91">
        <f>IF(AN91=ReachLabel,AS91,0)</f>
        <v>0</v>
      </c>
      <c r="BG91">
        <f>IF(AN91=MatchLabel,AS91,0)</f>
        <v>0</v>
      </c>
      <c r="BH91">
        <f>IF(AN91=SafetyLabel,AS91,0)</f>
        <v>0</v>
      </c>
      <c r="BI91">
        <f>IF(AN91=SecureLabel,AS91,0)</f>
        <v>0</v>
      </c>
      <c r="BJ91">
        <f>IF(AN91=SureThingLabel,AS91,0)</f>
        <v>0</v>
      </c>
      <c r="BK91">
        <f>MAX(BF91:BJ91)</f>
        <v>0</v>
      </c>
      <c r="BL91">
        <f>MAX(BG91:BJ91)</f>
        <v>0</v>
      </c>
      <c r="BM91">
        <f>MAX(BH91:BJ91)</f>
        <v>0</v>
      </c>
      <c r="BN91">
        <f>IF(AND(AN91=ReachLabel,BB91=1),AS91,0)</f>
        <v>0</v>
      </c>
      <c r="BO91">
        <f>IF(AND(AN91=MatchLabel,BB91=1),AS91,0)</f>
        <v>0</v>
      </c>
      <c r="BP91">
        <f>IF(AND(AN91=SafetyLabel,BB91=1),AS91,0)</f>
        <v>0</v>
      </c>
      <c r="BQ91">
        <f>IF(AND(AN91=SecureLabel,BB91=1),AS91,0)</f>
        <v>0</v>
      </c>
      <c r="BR91">
        <f>IF(AND(AN91=SureThingLabel,BB91=1),AS91,0)</f>
        <v>0</v>
      </c>
      <c r="BS91">
        <f>MAX(BN91:BR91)</f>
        <v>0</v>
      </c>
      <c r="BT91">
        <f>MAX(BO91:BR91)</f>
        <v>0</v>
      </c>
      <c r="BU91">
        <f>MAX(BP91:BR91)</f>
        <v>0</v>
      </c>
      <c r="BV91">
        <f>IF(ISNUMBER(AB91),INDEX(AllCollegeChicago, MATCH(N91,AllCollegeNCES,0))*BB91,0)</f>
        <v>0</v>
      </c>
      <c r="BW91">
        <f>IF(ISNUMBER(AB91),INDEX(AllCollegeMoneyCode, MATCH(N91,AllCollegeNCES,0)),"?")</f>
        <v>0</v>
      </c>
      <c r="BX91">
        <f>IF(OR(BW91="---",BW91="--",BW91="+/--",BW91="+/---"),1,0)</f>
        <v>0</v>
      </c>
      <c r="BY91">
        <f>BB91*AR91*AT91</f>
        <v>0</v>
      </c>
    </row>
    <row r="92" spans="1:77">
      <c r="A92" t="s">
        <v>96</v>
      </c>
      <c r="B92">
        <v>22372458</v>
      </c>
      <c r="C92" t="s">
        <v>282</v>
      </c>
      <c r="D92" t="s">
        <v>283</v>
      </c>
      <c r="E92" t="s">
        <v>446</v>
      </c>
      <c r="F92" t="s">
        <v>461</v>
      </c>
      <c r="G92" t="s">
        <v>448</v>
      </c>
      <c r="H92" t="s">
        <v>449</v>
      </c>
      <c r="I92" t="s">
        <v>450</v>
      </c>
      <c r="J92" t="s">
        <v>450</v>
      </c>
      <c r="K92">
        <v>0</v>
      </c>
      <c r="L92" t="s">
        <v>446</v>
      </c>
      <c r="M92" t="s">
        <v>446</v>
      </c>
      <c r="N92">
        <v>147536</v>
      </c>
      <c r="O92">
        <f>INDEX(Counselor,MATCH(B92,KidIDs,0))</f>
        <v>0</v>
      </c>
      <c r="P92">
        <f>INDEX(Advisors,MATCH(B92,KidIDs,0))</f>
        <v>0</v>
      </c>
      <c r="Q92">
        <f>INDEX(Cohort,MATCH(B92,KidIDs,0))</f>
        <v>0</v>
      </c>
      <c r="R92">
        <f>INDEX(AllCollegeBarrons,MATCH(N92,AllCollegeNCES,0))</f>
        <v>0</v>
      </c>
      <c r="S92">
        <f>INDEX(KidGPAs,MATCH(B92,KidIDs,0))</f>
        <v>0</v>
      </c>
      <c r="T92">
        <f>INDEX(KidSATs,MATCH(B92,KidIDs,0))</f>
        <v>0</v>
      </c>
      <c r="U92">
        <f>INDEX(Strats,MATCH(B92,KidIDs,0))</f>
        <v>0</v>
      </c>
      <c r="V92">
        <f>INDEX(KidRace,MATCH(B92,KidIDs,0))</f>
        <v>0</v>
      </c>
      <c r="W92">
        <f>IF(OR(V92="M",V92="I"),"H",IF(V92="P","A",V92))</f>
        <v>0</v>
      </c>
      <c r="X92">
        <f>INDEX(StudentTargets,MATCH(B92,KidIDs,0))</f>
        <v>0</v>
      </c>
      <c r="Y92">
        <f>INDEX(ReachStudentTargets,MATCH(B92,KidIDs,0))</f>
        <v>0</v>
      </c>
      <c r="Z92">
        <f>IF(OR(M92="Posse"),1,0)</f>
        <v>0</v>
      </c>
      <c r="AA92">
        <f>IF(ISNUMBER(INDEX(AllCollegeGR, MATCH(N92,AllCollegeNCES,0))),ROUND(INDEX(AllCollegeGR, MATCH(N92,AllCollegeNCES,0))+Z92*IF(INDEX(AllCollegeGR, MATCH(N92,AllCollegeNCES,0))&gt;0.7,(1-INDEX(AllCollegeGR, MATCH(N92,AllCollegeNCES,0)))/2,0.15),2),INDEX(AllCollegeGR, MATCH(N92,AllCollegeNCES,0)))</f>
        <v>0</v>
      </c>
      <c r="AB92">
        <f>IF(ISNUMBER(INDEX(AllCollegeAAHGR, MATCH(N92,AllCollegeNCES,0))),ROUND(INDEX(AllCollegeAAHGR, MATCH(N92,AllCollegeNCES,0))+Z92*IF(INDEX(AllCollegeAAHGR, MATCH(N92,AllCollegeNCES,0))&gt;0.7,(1-INDEX(AllCollegeAAHGR, MATCH(N92,AllCollegeNCES,0)))/2,0.15),2),INDEX(AllCollegeAAHGR, MATCH(N92,AllCollegeNCES,0)))</f>
        <v>0</v>
      </c>
      <c r="AC92">
        <f>IF(OR(W92="H",W92="B"),INDEX(AllCollegeSAT25, MATCH(N92,AllCollegeNCES,0)),INDEX(AllCollegeSAT50, MATCH(N92,AllCollegeNCES,0)))</f>
        <v>0</v>
      </c>
      <c r="AD92">
        <f>INDEX(CustomWeightsGPA,MATCH(W92&amp;":"&amp;N92,CustomWeightsIndex,0))</f>
        <v>0</v>
      </c>
      <c r="AE92">
        <f>INDEX(CustomWeightsSAT,MATCH(W92&amp;":"&amp;N92,CustomWeightsIndex,0))</f>
        <v>0</v>
      </c>
      <c r="AF92">
        <f>INDEX(CustomWeightsIntercept,MATCH(W92&amp;":"&amp;N92,CustomWeightsIndex,0))</f>
        <v>0</v>
      </c>
      <c r="AG92">
        <f>AD92*S92+AE92*T92+AF92</f>
        <v>0</v>
      </c>
      <c r="AH92">
        <f>INDEX(CoefficientsGPA,MATCH(W92&amp;":"&amp;R92,CoefficientsIndex,0))</f>
        <v>0</v>
      </c>
      <c r="AI92">
        <f>INDEX(CoefficientsSAT,MATCH(W92&amp;":"&amp;R92,CoefficientsIndex,0))</f>
        <v>0</v>
      </c>
      <c r="AJ92">
        <f>INDEX(CoefficientsIntercept,MATCH(W92&amp;":"&amp;R92,CoefficientsIndex,0))</f>
        <v>0</v>
      </c>
      <c r="AK92">
        <f>AH92*S92+(T92-AC92)*AI92+AJ92</f>
        <v>0</v>
      </c>
      <c r="AL92">
        <f>IF(ISNUMBER(AG92),AG92,AK92)</f>
        <v>0</v>
      </c>
      <c r="AM92">
        <f>IF(ISNUMBER(AL92),IF(ISNUMBER(AH92),IF(AND(AH92=1,AI92=1,AJ92=1),100,MIN(99,ROUND(100*EXP(AL92)/(1+EXP(AL92)),2))),MIN(99,ROUND(100*EXP(AL92)/(1+EXP(AL92)),2))),IF(ISTEXT(R92),IF(LEFT(R92,1)="2",100,"N/A"),"N/A"))</f>
        <v>0</v>
      </c>
      <c r="AN92">
        <f>IF(ISNUMBER(AM92),IF(AM92&gt;=99,IF(OR(U92=10,U92=11),MatchLabel,SureThingLabel),IF(AM92&gt;=95,SecureLabel,IF(AM92&gt;=80,SafetyLabel,IF(AM92&gt;=50,MatchLabel,IF(AM92&gt;=20,ReachLabel,IF(AM92&gt;=10,LongshotLabel,HailMaryLabel)))))),"Other")</f>
        <v>0</v>
      </c>
      <c r="AO92">
        <f>IF(OR(I92="accepted",I92="cond. accept",I92="summer admit"),IF(J92="yes","CHOICE!","Accepted!"),IF(I92="guar. transfer","Guar. Xfer",IF(I92="denied","Denied",IF(K92=1,"Waitlist",IF(L92=1,"Deferred",IF(G92="pending","Pending",IF(OR(G92="initial materials submitted",G92="mid-year submitted",G92="final submitted"),"Submitted",IF(H92="interest","Interest","?"))))))))</f>
        <v>0</v>
      </c>
      <c r="AP92">
        <f>IF(OR(AN92=ReachLabel,AN92=LongshotLabel,AN92=HailMaryLabel),1,0)</f>
        <v>0</v>
      </c>
      <c r="AQ92">
        <f>IF(OR(AP92=1,AN92=MatchLabel),1,0)</f>
        <v>0</v>
      </c>
      <c r="AR92">
        <f>IF(OR(AN92=MatchLabel,AN92=SafetyLabel,AN92=SecureLabel,AN92=SureThingLabel),1,0)</f>
        <v>0</v>
      </c>
      <c r="AS92">
        <f>IF(OR(W92="H",W92="B",W92="I",W92="M"),IF(ISNUMBER(AB92),ROUND(AB92,2),0),IF(ISNUMBER(AA92),ROUND(AA92,2),0))</f>
        <v>0</v>
      </c>
      <c r="AT92">
        <f>IF(AS92&gt;=X92,1,0)</f>
        <v>0</v>
      </c>
      <c r="AU92">
        <f>IF(AS92&gt;=Y92,1,0)</f>
        <v>0</v>
      </c>
      <c r="AV92">
        <f>IF(AS92&lt;(X92-0.10),1,0)</f>
        <v>0</v>
      </c>
      <c r="AW92">
        <f>1-AM92/100</f>
        <v>0</v>
      </c>
      <c r="AX92">
        <f>IF(AQ92=1,AW92,1)</f>
        <v>0</v>
      </c>
      <c r="AY92">
        <f>IF(AP92=1,AW92,1)</f>
        <v>0</v>
      </c>
      <c r="AZ92">
        <f>IF(AND(AT92=1,ISNUMBER(AW92)),$AW92,1)</f>
        <v>0</v>
      </c>
      <c r="BA92">
        <f>IF(AND(AU92=1,ISNUMBER(AW92)),$AW92,1)</f>
        <v>0</v>
      </c>
      <c r="BB92">
        <f>IF(ISNUMBER(AB92),INDEX(AllCollegeMoney, MATCH(N92,AllCollegeNCES,0)),0)</f>
        <v>0</v>
      </c>
      <c r="BC92">
        <f>IF(AND(AT92=1,ISNUMBER(AW92),BB92=1),$AW92,1)</f>
        <v>0</v>
      </c>
      <c r="BD92">
        <f>IF(AND(AU92=1,ISNUMBER(AW92),BB92=1),$AW92,1)</f>
        <v>0</v>
      </c>
      <c r="BE92">
        <f>IF(ISNUMBER(AB92),INDEX(AllCollegeILPub, MATCH(N92,AllCollegeNCES,0)),0)</f>
        <v>0</v>
      </c>
      <c r="BF92">
        <f>IF(AN92=ReachLabel,AS92,0)</f>
        <v>0</v>
      </c>
      <c r="BG92">
        <f>IF(AN92=MatchLabel,AS92,0)</f>
        <v>0</v>
      </c>
      <c r="BH92">
        <f>IF(AN92=SafetyLabel,AS92,0)</f>
        <v>0</v>
      </c>
      <c r="BI92">
        <f>IF(AN92=SecureLabel,AS92,0)</f>
        <v>0</v>
      </c>
      <c r="BJ92">
        <f>IF(AN92=SureThingLabel,AS92,0)</f>
        <v>0</v>
      </c>
      <c r="BK92">
        <f>MAX(BF92:BJ92)</f>
        <v>0</v>
      </c>
      <c r="BL92">
        <f>MAX(BG92:BJ92)</f>
        <v>0</v>
      </c>
      <c r="BM92">
        <f>MAX(BH92:BJ92)</f>
        <v>0</v>
      </c>
      <c r="BN92">
        <f>IF(AND(AN92=ReachLabel,BB92=1),AS92,0)</f>
        <v>0</v>
      </c>
      <c r="BO92">
        <f>IF(AND(AN92=MatchLabel,BB92=1),AS92,0)</f>
        <v>0</v>
      </c>
      <c r="BP92">
        <f>IF(AND(AN92=SafetyLabel,BB92=1),AS92,0)</f>
        <v>0</v>
      </c>
      <c r="BQ92">
        <f>IF(AND(AN92=SecureLabel,BB92=1),AS92,0)</f>
        <v>0</v>
      </c>
      <c r="BR92">
        <f>IF(AND(AN92=SureThingLabel,BB92=1),AS92,0)</f>
        <v>0</v>
      </c>
      <c r="BS92">
        <f>MAX(BN92:BR92)</f>
        <v>0</v>
      </c>
      <c r="BT92">
        <f>MAX(BO92:BR92)</f>
        <v>0</v>
      </c>
      <c r="BU92">
        <f>MAX(BP92:BR92)</f>
        <v>0</v>
      </c>
      <c r="BV92">
        <f>IF(ISNUMBER(AB92),INDEX(AllCollegeChicago, MATCH(N92,AllCollegeNCES,0))*BB92,0)</f>
        <v>0</v>
      </c>
      <c r="BW92">
        <f>IF(ISNUMBER(AB92),INDEX(AllCollegeMoneyCode, MATCH(N92,AllCollegeNCES,0)),"?")</f>
        <v>0</v>
      </c>
      <c r="BX92">
        <f>IF(OR(BW92="---",BW92="--",BW92="+/--",BW92="+/---"),1,0)</f>
        <v>0</v>
      </c>
      <c r="BY92">
        <f>BB92*AR92*AT92</f>
        <v>0</v>
      </c>
    </row>
    <row r="93" spans="1:77">
      <c r="A93" t="s">
        <v>96</v>
      </c>
      <c r="B93">
        <v>22372458</v>
      </c>
      <c r="C93" t="s">
        <v>282</v>
      </c>
      <c r="D93" t="s">
        <v>283</v>
      </c>
      <c r="E93" t="s">
        <v>446</v>
      </c>
      <c r="F93" t="s">
        <v>462</v>
      </c>
      <c r="G93" t="s">
        <v>448</v>
      </c>
      <c r="H93" t="s">
        <v>449</v>
      </c>
      <c r="I93" t="s">
        <v>450</v>
      </c>
      <c r="J93" t="s">
        <v>450</v>
      </c>
      <c r="K93">
        <v>0</v>
      </c>
      <c r="L93" t="s">
        <v>446</v>
      </c>
      <c r="M93" t="s">
        <v>446</v>
      </c>
      <c r="N93">
        <v>149222</v>
      </c>
      <c r="O93">
        <f>INDEX(Counselor,MATCH(B93,KidIDs,0))</f>
        <v>0</v>
      </c>
      <c r="P93">
        <f>INDEX(Advisors,MATCH(B93,KidIDs,0))</f>
        <v>0</v>
      </c>
      <c r="Q93">
        <f>INDEX(Cohort,MATCH(B93,KidIDs,0))</f>
        <v>0</v>
      </c>
      <c r="R93">
        <f>INDEX(AllCollegeBarrons,MATCH(N93,AllCollegeNCES,0))</f>
        <v>0</v>
      </c>
      <c r="S93">
        <f>INDEX(KidGPAs,MATCH(B93,KidIDs,0))</f>
        <v>0</v>
      </c>
      <c r="T93">
        <f>INDEX(KidSATs,MATCH(B93,KidIDs,0))</f>
        <v>0</v>
      </c>
      <c r="U93">
        <f>INDEX(Strats,MATCH(B93,KidIDs,0))</f>
        <v>0</v>
      </c>
      <c r="V93">
        <f>INDEX(KidRace,MATCH(B93,KidIDs,0))</f>
        <v>0</v>
      </c>
      <c r="W93">
        <f>IF(OR(V93="M",V93="I"),"H",IF(V93="P","A",V93))</f>
        <v>0</v>
      </c>
      <c r="X93">
        <f>INDEX(StudentTargets,MATCH(B93,KidIDs,0))</f>
        <v>0</v>
      </c>
      <c r="Y93">
        <f>INDEX(ReachStudentTargets,MATCH(B93,KidIDs,0))</f>
        <v>0</v>
      </c>
      <c r="Z93">
        <f>IF(OR(M93="Posse"),1,0)</f>
        <v>0</v>
      </c>
      <c r="AA93">
        <f>IF(ISNUMBER(INDEX(AllCollegeGR, MATCH(N93,AllCollegeNCES,0))),ROUND(INDEX(AllCollegeGR, MATCH(N93,AllCollegeNCES,0))+Z93*IF(INDEX(AllCollegeGR, MATCH(N93,AllCollegeNCES,0))&gt;0.7,(1-INDEX(AllCollegeGR, MATCH(N93,AllCollegeNCES,0)))/2,0.15),2),INDEX(AllCollegeGR, MATCH(N93,AllCollegeNCES,0)))</f>
        <v>0</v>
      </c>
      <c r="AB93">
        <f>IF(ISNUMBER(INDEX(AllCollegeAAHGR, MATCH(N93,AllCollegeNCES,0))),ROUND(INDEX(AllCollegeAAHGR, MATCH(N93,AllCollegeNCES,0))+Z93*IF(INDEX(AllCollegeAAHGR, MATCH(N93,AllCollegeNCES,0))&gt;0.7,(1-INDEX(AllCollegeAAHGR, MATCH(N93,AllCollegeNCES,0)))/2,0.15),2),INDEX(AllCollegeAAHGR, MATCH(N93,AllCollegeNCES,0)))</f>
        <v>0</v>
      </c>
      <c r="AC93">
        <f>IF(OR(W93="H",W93="B"),INDEX(AllCollegeSAT25, MATCH(N93,AllCollegeNCES,0)),INDEX(AllCollegeSAT50, MATCH(N93,AllCollegeNCES,0)))</f>
        <v>0</v>
      </c>
      <c r="AD93">
        <f>INDEX(CustomWeightsGPA,MATCH(W93&amp;":"&amp;N93,CustomWeightsIndex,0))</f>
        <v>0</v>
      </c>
      <c r="AE93">
        <f>INDEX(CustomWeightsSAT,MATCH(W93&amp;":"&amp;N93,CustomWeightsIndex,0))</f>
        <v>0</v>
      </c>
      <c r="AF93">
        <f>INDEX(CustomWeightsIntercept,MATCH(W93&amp;":"&amp;N93,CustomWeightsIndex,0))</f>
        <v>0</v>
      </c>
      <c r="AG93">
        <f>AD93*S93+AE93*T93+AF93</f>
        <v>0</v>
      </c>
      <c r="AH93">
        <f>INDEX(CoefficientsGPA,MATCH(W93&amp;":"&amp;R93,CoefficientsIndex,0))</f>
        <v>0</v>
      </c>
      <c r="AI93">
        <f>INDEX(CoefficientsSAT,MATCH(W93&amp;":"&amp;R93,CoefficientsIndex,0))</f>
        <v>0</v>
      </c>
      <c r="AJ93">
        <f>INDEX(CoefficientsIntercept,MATCH(W93&amp;":"&amp;R93,CoefficientsIndex,0))</f>
        <v>0</v>
      </c>
      <c r="AK93">
        <f>AH93*S93+(T93-AC93)*AI93+AJ93</f>
        <v>0</v>
      </c>
      <c r="AL93">
        <f>IF(ISNUMBER(AG93),AG93,AK93)</f>
        <v>0</v>
      </c>
      <c r="AM93">
        <f>IF(ISNUMBER(AL93),IF(ISNUMBER(AH93),IF(AND(AH93=1,AI93=1,AJ93=1),100,MIN(99,ROUND(100*EXP(AL93)/(1+EXP(AL93)),2))),MIN(99,ROUND(100*EXP(AL93)/(1+EXP(AL93)),2))),IF(ISTEXT(R93),IF(LEFT(R93,1)="2",100,"N/A"),"N/A"))</f>
        <v>0</v>
      </c>
      <c r="AN93">
        <f>IF(ISNUMBER(AM93),IF(AM93&gt;=99,IF(OR(U93=10,U93=11),MatchLabel,SureThingLabel),IF(AM93&gt;=95,SecureLabel,IF(AM93&gt;=80,SafetyLabel,IF(AM93&gt;=50,MatchLabel,IF(AM93&gt;=20,ReachLabel,IF(AM93&gt;=10,LongshotLabel,HailMaryLabel)))))),"Other")</f>
        <v>0</v>
      </c>
      <c r="AO93">
        <f>IF(OR(I93="accepted",I93="cond. accept",I93="summer admit"),IF(J93="yes","CHOICE!","Accepted!"),IF(I93="guar. transfer","Guar. Xfer",IF(I93="denied","Denied",IF(K93=1,"Waitlist",IF(L93=1,"Deferred",IF(G93="pending","Pending",IF(OR(G93="initial materials submitted",G93="mid-year submitted",G93="final submitted"),"Submitted",IF(H93="interest","Interest","?"))))))))</f>
        <v>0</v>
      </c>
      <c r="AP93">
        <f>IF(OR(AN93=ReachLabel,AN93=LongshotLabel,AN93=HailMaryLabel),1,0)</f>
        <v>0</v>
      </c>
      <c r="AQ93">
        <f>IF(OR(AP93=1,AN93=MatchLabel),1,0)</f>
        <v>0</v>
      </c>
      <c r="AR93">
        <f>IF(OR(AN93=MatchLabel,AN93=SafetyLabel,AN93=SecureLabel,AN93=SureThingLabel),1,0)</f>
        <v>0</v>
      </c>
      <c r="AS93">
        <f>IF(OR(W93="H",W93="B",W93="I",W93="M"),IF(ISNUMBER(AB93),ROUND(AB93,2),0),IF(ISNUMBER(AA93),ROUND(AA93,2),0))</f>
        <v>0</v>
      </c>
      <c r="AT93">
        <f>IF(AS93&gt;=X93,1,0)</f>
        <v>0</v>
      </c>
      <c r="AU93">
        <f>IF(AS93&gt;=Y93,1,0)</f>
        <v>0</v>
      </c>
      <c r="AV93">
        <f>IF(AS93&lt;(X93-0.10),1,0)</f>
        <v>0</v>
      </c>
      <c r="AW93">
        <f>1-AM93/100</f>
        <v>0</v>
      </c>
      <c r="AX93">
        <f>IF(AQ93=1,AW93,1)</f>
        <v>0</v>
      </c>
      <c r="AY93">
        <f>IF(AP93=1,AW93,1)</f>
        <v>0</v>
      </c>
      <c r="AZ93">
        <f>IF(AND(AT93=1,ISNUMBER(AW93)),$AW93,1)</f>
        <v>0</v>
      </c>
      <c r="BA93">
        <f>IF(AND(AU93=1,ISNUMBER(AW93)),$AW93,1)</f>
        <v>0</v>
      </c>
      <c r="BB93">
        <f>IF(ISNUMBER(AB93),INDEX(AllCollegeMoney, MATCH(N93,AllCollegeNCES,0)),0)</f>
        <v>0</v>
      </c>
      <c r="BC93">
        <f>IF(AND(AT93=1,ISNUMBER(AW93),BB93=1),$AW93,1)</f>
        <v>0</v>
      </c>
      <c r="BD93">
        <f>IF(AND(AU93=1,ISNUMBER(AW93),BB93=1),$AW93,1)</f>
        <v>0</v>
      </c>
      <c r="BE93">
        <f>IF(ISNUMBER(AB93),INDEX(AllCollegeILPub, MATCH(N93,AllCollegeNCES,0)),0)</f>
        <v>0</v>
      </c>
      <c r="BF93">
        <f>IF(AN93=ReachLabel,AS93,0)</f>
        <v>0</v>
      </c>
      <c r="BG93">
        <f>IF(AN93=MatchLabel,AS93,0)</f>
        <v>0</v>
      </c>
      <c r="BH93">
        <f>IF(AN93=SafetyLabel,AS93,0)</f>
        <v>0</v>
      </c>
      <c r="BI93">
        <f>IF(AN93=SecureLabel,AS93,0)</f>
        <v>0</v>
      </c>
      <c r="BJ93">
        <f>IF(AN93=SureThingLabel,AS93,0)</f>
        <v>0</v>
      </c>
      <c r="BK93">
        <f>MAX(BF93:BJ93)</f>
        <v>0</v>
      </c>
      <c r="BL93">
        <f>MAX(BG93:BJ93)</f>
        <v>0</v>
      </c>
      <c r="BM93">
        <f>MAX(BH93:BJ93)</f>
        <v>0</v>
      </c>
      <c r="BN93">
        <f>IF(AND(AN93=ReachLabel,BB93=1),AS93,0)</f>
        <v>0</v>
      </c>
      <c r="BO93">
        <f>IF(AND(AN93=MatchLabel,BB93=1),AS93,0)</f>
        <v>0</v>
      </c>
      <c r="BP93">
        <f>IF(AND(AN93=SafetyLabel,BB93=1),AS93,0)</f>
        <v>0</v>
      </c>
      <c r="BQ93">
        <f>IF(AND(AN93=SecureLabel,BB93=1),AS93,0)</f>
        <v>0</v>
      </c>
      <c r="BR93">
        <f>IF(AND(AN93=SureThingLabel,BB93=1),AS93,0)</f>
        <v>0</v>
      </c>
      <c r="BS93">
        <f>MAX(BN93:BR93)</f>
        <v>0</v>
      </c>
      <c r="BT93">
        <f>MAX(BO93:BR93)</f>
        <v>0</v>
      </c>
      <c r="BU93">
        <f>MAX(BP93:BR93)</f>
        <v>0</v>
      </c>
      <c r="BV93">
        <f>IF(ISNUMBER(AB93),INDEX(AllCollegeChicago, MATCH(N93,AllCollegeNCES,0))*BB93,0)</f>
        <v>0</v>
      </c>
      <c r="BW93">
        <f>IF(ISNUMBER(AB93),INDEX(AllCollegeMoneyCode, MATCH(N93,AllCollegeNCES,0)),"?")</f>
        <v>0</v>
      </c>
      <c r="BX93">
        <f>IF(OR(BW93="---",BW93="--",BW93="+/--",BW93="+/---"),1,0)</f>
        <v>0</v>
      </c>
      <c r="BY93">
        <f>BB93*AR93*AT93</f>
        <v>0</v>
      </c>
    </row>
    <row r="94" spans="1:77">
      <c r="A94" t="s">
        <v>96</v>
      </c>
      <c r="B94">
        <v>22372458</v>
      </c>
      <c r="C94" t="s">
        <v>282</v>
      </c>
      <c r="D94" t="s">
        <v>283</v>
      </c>
      <c r="E94" t="s">
        <v>446</v>
      </c>
      <c r="F94" t="s">
        <v>463</v>
      </c>
      <c r="G94" t="s">
        <v>479</v>
      </c>
      <c r="H94" t="s">
        <v>449</v>
      </c>
      <c r="I94" t="s">
        <v>450</v>
      </c>
      <c r="J94" t="s">
        <v>450</v>
      </c>
      <c r="K94">
        <v>0</v>
      </c>
      <c r="L94" t="s">
        <v>446</v>
      </c>
      <c r="M94" t="s">
        <v>446</v>
      </c>
      <c r="N94">
        <v>147776</v>
      </c>
      <c r="O94">
        <f>INDEX(Counselor,MATCH(B94,KidIDs,0))</f>
        <v>0</v>
      </c>
      <c r="P94">
        <f>INDEX(Advisors,MATCH(B94,KidIDs,0))</f>
        <v>0</v>
      </c>
      <c r="Q94">
        <f>INDEX(Cohort,MATCH(B94,KidIDs,0))</f>
        <v>0</v>
      </c>
      <c r="R94">
        <f>INDEX(AllCollegeBarrons,MATCH(N94,AllCollegeNCES,0))</f>
        <v>0</v>
      </c>
      <c r="S94">
        <f>INDEX(KidGPAs,MATCH(B94,KidIDs,0))</f>
        <v>0</v>
      </c>
      <c r="T94">
        <f>INDEX(KidSATs,MATCH(B94,KidIDs,0))</f>
        <v>0</v>
      </c>
      <c r="U94">
        <f>INDEX(Strats,MATCH(B94,KidIDs,0))</f>
        <v>0</v>
      </c>
      <c r="V94">
        <f>INDEX(KidRace,MATCH(B94,KidIDs,0))</f>
        <v>0</v>
      </c>
      <c r="W94">
        <f>IF(OR(V94="M",V94="I"),"H",IF(V94="P","A",V94))</f>
        <v>0</v>
      </c>
      <c r="X94">
        <f>INDEX(StudentTargets,MATCH(B94,KidIDs,0))</f>
        <v>0</v>
      </c>
      <c r="Y94">
        <f>INDEX(ReachStudentTargets,MATCH(B94,KidIDs,0))</f>
        <v>0</v>
      </c>
      <c r="Z94">
        <f>IF(OR(M94="Posse"),1,0)</f>
        <v>0</v>
      </c>
      <c r="AA94">
        <f>IF(ISNUMBER(INDEX(AllCollegeGR, MATCH(N94,AllCollegeNCES,0))),ROUND(INDEX(AllCollegeGR, MATCH(N94,AllCollegeNCES,0))+Z94*IF(INDEX(AllCollegeGR, MATCH(N94,AllCollegeNCES,0))&gt;0.7,(1-INDEX(AllCollegeGR, MATCH(N94,AllCollegeNCES,0)))/2,0.15),2),INDEX(AllCollegeGR, MATCH(N94,AllCollegeNCES,0)))</f>
        <v>0</v>
      </c>
      <c r="AB94">
        <f>IF(ISNUMBER(INDEX(AllCollegeAAHGR, MATCH(N94,AllCollegeNCES,0))),ROUND(INDEX(AllCollegeAAHGR, MATCH(N94,AllCollegeNCES,0))+Z94*IF(INDEX(AllCollegeAAHGR, MATCH(N94,AllCollegeNCES,0))&gt;0.7,(1-INDEX(AllCollegeAAHGR, MATCH(N94,AllCollegeNCES,0)))/2,0.15),2),INDEX(AllCollegeAAHGR, MATCH(N94,AllCollegeNCES,0)))</f>
        <v>0</v>
      </c>
      <c r="AC94">
        <f>IF(OR(W94="H",W94="B"),INDEX(AllCollegeSAT25, MATCH(N94,AllCollegeNCES,0)),INDEX(AllCollegeSAT50, MATCH(N94,AllCollegeNCES,0)))</f>
        <v>0</v>
      </c>
      <c r="AD94">
        <f>INDEX(CustomWeightsGPA,MATCH(W94&amp;":"&amp;N94,CustomWeightsIndex,0))</f>
        <v>0</v>
      </c>
      <c r="AE94">
        <f>INDEX(CustomWeightsSAT,MATCH(W94&amp;":"&amp;N94,CustomWeightsIndex,0))</f>
        <v>0</v>
      </c>
      <c r="AF94">
        <f>INDEX(CustomWeightsIntercept,MATCH(W94&amp;":"&amp;N94,CustomWeightsIndex,0))</f>
        <v>0</v>
      </c>
      <c r="AG94">
        <f>AD94*S94+AE94*T94+AF94</f>
        <v>0</v>
      </c>
      <c r="AH94">
        <f>INDEX(CoefficientsGPA,MATCH(W94&amp;":"&amp;R94,CoefficientsIndex,0))</f>
        <v>0</v>
      </c>
      <c r="AI94">
        <f>INDEX(CoefficientsSAT,MATCH(W94&amp;":"&amp;R94,CoefficientsIndex,0))</f>
        <v>0</v>
      </c>
      <c r="AJ94">
        <f>INDEX(CoefficientsIntercept,MATCH(W94&amp;":"&amp;R94,CoefficientsIndex,0))</f>
        <v>0</v>
      </c>
      <c r="AK94">
        <f>AH94*S94+(T94-AC94)*AI94+AJ94</f>
        <v>0</v>
      </c>
      <c r="AL94">
        <f>IF(ISNUMBER(AG94),AG94,AK94)</f>
        <v>0</v>
      </c>
      <c r="AM94">
        <f>IF(ISNUMBER(AL94),IF(ISNUMBER(AH94),IF(AND(AH94=1,AI94=1,AJ94=1),100,MIN(99,ROUND(100*EXP(AL94)/(1+EXP(AL94)),2))),MIN(99,ROUND(100*EXP(AL94)/(1+EXP(AL94)),2))),IF(ISTEXT(R94),IF(LEFT(R94,1)="2",100,"N/A"),"N/A"))</f>
        <v>0</v>
      </c>
      <c r="AN94">
        <f>IF(ISNUMBER(AM94),IF(AM94&gt;=99,IF(OR(U94=10,U94=11),MatchLabel,SureThingLabel),IF(AM94&gt;=95,SecureLabel,IF(AM94&gt;=80,SafetyLabel,IF(AM94&gt;=50,MatchLabel,IF(AM94&gt;=20,ReachLabel,IF(AM94&gt;=10,LongshotLabel,HailMaryLabel)))))),"Other")</f>
        <v>0</v>
      </c>
      <c r="AO94">
        <f>IF(OR(I94="accepted",I94="cond. accept",I94="summer admit"),IF(J94="yes","CHOICE!","Accepted!"),IF(I94="guar. transfer","Guar. Xfer",IF(I94="denied","Denied",IF(K94=1,"Waitlist",IF(L94=1,"Deferred",IF(G94="pending","Pending",IF(OR(G94="initial materials submitted",G94="mid-year submitted",G94="final submitted"),"Submitted",IF(H94="interest","Interest","?"))))))))</f>
        <v>0</v>
      </c>
      <c r="AP94">
        <f>IF(OR(AN94=ReachLabel,AN94=LongshotLabel,AN94=HailMaryLabel),1,0)</f>
        <v>0</v>
      </c>
      <c r="AQ94">
        <f>IF(OR(AP94=1,AN94=MatchLabel),1,0)</f>
        <v>0</v>
      </c>
      <c r="AR94">
        <f>IF(OR(AN94=MatchLabel,AN94=SafetyLabel,AN94=SecureLabel,AN94=SureThingLabel),1,0)</f>
        <v>0</v>
      </c>
      <c r="AS94">
        <f>IF(OR(W94="H",W94="B",W94="I",W94="M"),IF(ISNUMBER(AB94),ROUND(AB94,2),0),IF(ISNUMBER(AA94),ROUND(AA94,2),0))</f>
        <v>0</v>
      </c>
      <c r="AT94">
        <f>IF(AS94&gt;=X94,1,0)</f>
        <v>0</v>
      </c>
      <c r="AU94">
        <f>IF(AS94&gt;=Y94,1,0)</f>
        <v>0</v>
      </c>
      <c r="AV94">
        <f>IF(AS94&lt;(X94-0.10),1,0)</f>
        <v>0</v>
      </c>
      <c r="AW94">
        <f>1-AM94/100</f>
        <v>0</v>
      </c>
      <c r="AX94">
        <f>IF(AQ94=1,AW94,1)</f>
        <v>0</v>
      </c>
      <c r="AY94">
        <f>IF(AP94=1,AW94,1)</f>
        <v>0</v>
      </c>
      <c r="AZ94">
        <f>IF(AND(AT94=1,ISNUMBER(AW94)),$AW94,1)</f>
        <v>0</v>
      </c>
      <c r="BA94">
        <f>IF(AND(AU94=1,ISNUMBER(AW94)),$AW94,1)</f>
        <v>0</v>
      </c>
      <c r="BB94">
        <f>IF(ISNUMBER(AB94),INDEX(AllCollegeMoney, MATCH(N94,AllCollegeNCES,0)),0)</f>
        <v>0</v>
      </c>
      <c r="BC94">
        <f>IF(AND(AT94=1,ISNUMBER(AW94),BB94=1),$AW94,1)</f>
        <v>0</v>
      </c>
      <c r="BD94">
        <f>IF(AND(AU94=1,ISNUMBER(AW94),BB94=1),$AW94,1)</f>
        <v>0</v>
      </c>
      <c r="BE94">
        <f>IF(ISNUMBER(AB94),INDEX(AllCollegeILPub, MATCH(N94,AllCollegeNCES,0)),0)</f>
        <v>0</v>
      </c>
      <c r="BF94">
        <f>IF(AN94=ReachLabel,AS94,0)</f>
        <v>0</v>
      </c>
      <c r="BG94">
        <f>IF(AN94=MatchLabel,AS94,0)</f>
        <v>0</v>
      </c>
      <c r="BH94">
        <f>IF(AN94=SafetyLabel,AS94,0)</f>
        <v>0</v>
      </c>
      <c r="BI94">
        <f>IF(AN94=SecureLabel,AS94,0)</f>
        <v>0</v>
      </c>
      <c r="BJ94">
        <f>IF(AN94=SureThingLabel,AS94,0)</f>
        <v>0</v>
      </c>
      <c r="BK94">
        <f>MAX(BF94:BJ94)</f>
        <v>0</v>
      </c>
      <c r="BL94">
        <f>MAX(BG94:BJ94)</f>
        <v>0</v>
      </c>
      <c r="BM94">
        <f>MAX(BH94:BJ94)</f>
        <v>0</v>
      </c>
      <c r="BN94">
        <f>IF(AND(AN94=ReachLabel,BB94=1),AS94,0)</f>
        <v>0</v>
      </c>
      <c r="BO94">
        <f>IF(AND(AN94=MatchLabel,BB94=1),AS94,0)</f>
        <v>0</v>
      </c>
      <c r="BP94">
        <f>IF(AND(AN94=SafetyLabel,BB94=1),AS94,0)</f>
        <v>0</v>
      </c>
      <c r="BQ94">
        <f>IF(AND(AN94=SecureLabel,BB94=1),AS94,0)</f>
        <v>0</v>
      </c>
      <c r="BR94">
        <f>IF(AND(AN94=SureThingLabel,BB94=1),AS94,0)</f>
        <v>0</v>
      </c>
      <c r="BS94">
        <f>MAX(BN94:BR94)</f>
        <v>0</v>
      </c>
      <c r="BT94">
        <f>MAX(BO94:BR94)</f>
        <v>0</v>
      </c>
      <c r="BU94">
        <f>MAX(BP94:BR94)</f>
        <v>0</v>
      </c>
      <c r="BV94">
        <f>IF(ISNUMBER(AB94),INDEX(AllCollegeChicago, MATCH(N94,AllCollegeNCES,0))*BB94,0)</f>
        <v>0</v>
      </c>
      <c r="BW94">
        <f>IF(ISNUMBER(AB94),INDEX(AllCollegeMoneyCode, MATCH(N94,AllCollegeNCES,0)),"?")</f>
        <v>0</v>
      </c>
      <c r="BX94">
        <f>IF(OR(BW94="---",BW94="--",BW94="+/--",BW94="+/---"),1,0)</f>
        <v>0</v>
      </c>
      <c r="BY94">
        <f>BB94*AR94*AT94</f>
        <v>0</v>
      </c>
    </row>
    <row r="95" spans="1:77">
      <c r="A95" t="s">
        <v>96</v>
      </c>
      <c r="B95">
        <v>22410481</v>
      </c>
      <c r="C95" t="s">
        <v>194</v>
      </c>
      <c r="D95" t="s">
        <v>195</v>
      </c>
      <c r="E95" t="s">
        <v>446</v>
      </c>
      <c r="F95" t="s">
        <v>506</v>
      </c>
      <c r="G95" t="s">
        <v>448</v>
      </c>
      <c r="H95" t="s">
        <v>449</v>
      </c>
      <c r="I95" t="s">
        <v>450</v>
      </c>
      <c r="J95" t="s">
        <v>450</v>
      </c>
      <c r="K95">
        <v>0</v>
      </c>
      <c r="L95" t="s">
        <v>446</v>
      </c>
      <c r="M95" t="s">
        <v>446</v>
      </c>
      <c r="N95">
        <v>147679</v>
      </c>
      <c r="O95">
        <f>INDEX(Counselor,MATCH(B95,KidIDs,0))</f>
        <v>0</v>
      </c>
      <c r="P95">
        <f>INDEX(Advisors,MATCH(B95,KidIDs,0))</f>
        <v>0</v>
      </c>
      <c r="Q95">
        <f>INDEX(Cohort,MATCH(B95,KidIDs,0))</f>
        <v>0</v>
      </c>
      <c r="R95">
        <f>INDEX(AllCollegeBarrons,MATCH(N95,AllCollegeNCES,0))</f>
        <v>0</v>
      </c>
      <c r="S95">
        <f>INDEX(KidGPAs,MATCH(B95,KidIDs,0))</f>
        <v>0</v>
      </c>
      <c r="T95">
        <f>INDEX(KidSATs,MATCH(B95,KidIDs,0))</f>
        <v>0</v>
      </c>
      <c r="U95">
        <f>INDEX(Strats,MATCH(B95,KidIDs,0))</f>
        <v>0</v>
      </c>
      <c r="V95">
        <f>INDEX(KidRace,MATCH(B95,KidIDs,0))</f>
        <v>0</v>
      </c>
      <c r="W95">
        <f>IF(OR(V95="M",V95="I"),"H",IF(V95="P","A",V95))</f>
        <v>0</v>
      </c>
      <c r="X95">
        <f>INDEX(StudentTargets,MATCH(B95,KidIDs,0))</f>
        <v>0</v>
      </c>
      <c r="Y95">
        <f>INDEX(ReachStudentTargets,MATCH(B95,KidIDs,0))</f>
        <v>0</v>
      </c>
      <c r="Z95">
        <f>IF(OR(M95="Posse"),1,0)</f>
        <v>0</v>
      </c>
      <c r="AA95">
        <f>IF(ISNUMBER(INDEX(AllCollegeGR, MATCH(N95,AllCollegeNCES,0))),ROUND(INDEX(AllCollegeGR, MATCH(N95,AllCollegeNCES,0))+Z95*IF(INDEX(AllCollegeGR, MATCH(N95,AllCollegeNCES,0))&gt;0.7,(1-INDEX(AllCollegeGR, MATCH(N95,AllCollegeNCES,0)))/2,0.15),2),INDEX(AllCollegeGR, MATCH(N95,AllCollegeNCES,0)))</f>
        <v>0</v>
      </c>
      <c r="AB95">
        <f>IF(ISNUMBER(INDEX(AllCollegeAAHGR, MATCH(N95,AllCollegeNCES,0))),ROUND(INDEX(AllCollegeAAHGR, MATCH(N95,AllCollegeNCES,0))+Z95*IF(INDEX(AllCollegeAAHGR, MATCH(N95,AllCollegeNCES,0))&gt;0.7,(1-INDEX(AllCollegeAAHGR, MATCH(N95,AllCollegeNCES,0)))/2,0.15),2),INDEX(AllCollegeAAHGR, MATCH(N95,AllCollegeNCES,0)))</f>
        <v>0</v>
      </c>
      <c r="AC95">
        <f>IF(OR(W95="H",W95="B"),INDEX(AllCollegeSAT25, MATCH(N95,AllCollegeNCES,0)),INDEX(AllCollegeSAT50, MATCH(N95,AllCollegeNCES,0)))</f>
        <v>0</v>
      </c>
      <c r="AD95">
        <f>INDEX(CustomWeightsGPA,MATCH(W95&amp;":"&amp;N95,CustomWeightsIndex,0))</f>
        <v>0</v>
      </c>
      <c r="AE95">
        <f>INDEX(CustomWeightsSAT,MATCH(W95&amp;":"&amp;N95,CustomWeightsIndex,0))</f>
        <v>0</v>
      </c>
      <c r="AF95">
        <f>INDEX(CustomWeightsIntercept,MATCH(W95&amp;":"&amp;N95,CustomWeightsIndex,0))</f>
        <v>0</v>
      </c>
      <c r="AG95">
        <f>AD95*S95+AE95*T95+AF95</f>
        <v>0</v>
      </c>
      <c r="AH95">
        <f>INDEX(CoefficientsGPA,MATCH(W95&amp;":"&amp;R95,CoefficientsIndex,0))</f>
        <v>0</v>
      </c>
      <c r="AI95">
        <f>INDEX(CoefficientsSAT,MATCH(W95&amp;":"&amp;R95,CoefficientsIndex,0))</f>
        <v>0</v>
      </c>
      <c r="AJ95">
        <f>INDEX(CoefficientsIntercept,MATCH(W95&amp;":"&amp;R95,CoefficientsIndex,0))</f>
        <v>0</v>
      </c>
      <c r="AK95">
        <f>AH95*S95+(T95-AC95)*AI95+AJ95</f>
        <v>0</v>
      </c>
      <c r="AL95">
        <f>IF(ISNUMBER(AG95),AG95,AK95)</f>
        <v>0</v>
      </c>
      <c r="AM95">
        <f>IF(ISNUMBER(AL95),IF(ISNUMBER(AH95),IF(AND(AH95=1,AI95=1,AJ95=1),100,MIN(99,ROUND(100*EXP(AL95)/(1+EXP(AL95)),2))),MIN(99,ROUND(100*EXP(AL95)/(1+EXP(AL95)),2))),IF(ISTEXT(R95),IF(LEFT(R95,1)="2",100,"N/A"),"N/A"))</f>
        <v>0</v>
      </c>
      <c r="AN95">
        <f>IF(ISNUMBER(AM95),IF(AM95&gt;=99,IF(OR(U95=10,U95=11),MatchLabel,SureThingLabel),IF(AM95&gt;=95,SecureLabel,IF(AM95&gt;=80,SafetyLabel,IF(AM95&gt;=50,MatchLabel,IF(AM95&gt;=20,ReachLabel,IF(AM95&gt;=10,LongshotLabel,HailMaryLabel)))))),"Other")</f>
        <v>0</v>
      </c>
      <c r="AO95">
        <f>IF(OR(I95="accepted",I95="cond. accept",I95="summer admit"),IF(J95="yes","CHOICE!","Accepted!"),IF(I95="guar. transfer","Guar. Xfer",IF(I95="denied","Denied",IF(K95=1,"Waitlist",IF(L95=1,"Deferred",IF(G95="pending","Pending",IF(OR(G95="initial materials submitted",G95="mid-year submitted",G95="final submitted"),"Submitted",IF(H95="interest","Interest","?"))))))))</f>
        <v>0</v>
      </c>
      <c r="AP95">
        <f>IF(OR(AN95=ReachLabel,AN95=LongshotLabel,AN95=HailMaryLabel),1,0)</f>
        <v>0</v>
      </c>
      <c r="AQ95">
        <f>IF(OR(AP95=1,AN95=MatchLabel),1,0)</f>
        <v>0</v>
      </c>
      <c r="AR95">
        <f>IF(OR(AN95=MatchLabel,AN95=SafetyLabel,AN95=SecureLabel,AN95=SureThingLabel),1,0)</f>
        <v>0</v>
      </c>
      <c r="AS95">
        <f>IF(OR(W95="H",W95="B",W95="I",W95="M"),IF(ISNUMBER(AB95),ROUND(AB95,2),0),IF(ISNUMBER(AA95),ROUND(AA95,2),0))</f>
        <v>0</v>
      </c>
      <c r="AT95">
        <f>IF(AS95&gt;=X95,1,0)</f>
        <v>0</v>
      </c>
      <c r="AU95">
        <f>IF(AS95&gt;=Y95,1,0)</f>
        <v>0</v>
      </c>
      <c r="AV95">
        <f>IF(AS95&lt;(X95-0.10),1,0)</f>
        <v>0</v>
      </c>
      <c r="AW95">
        <f>1-AM95/100</f>
        <v>0</v>
      </c>
      <c r="AX95">
        <f>IF(AQ95=1,AW95,1)</f>
        <v>0</v>
      </c>
      <c r="AY95">
        <f>IF(AP95=1,AW95,1)</f>
        <v>0</v>
      </c>
      <c r="AZ95">
        <f>IF(AND(AT95=1,ISNUMBER(AW95)),$AW95,1)</f>
        <v>0</v>
      </c>
      <c r="BA95">
        <f>IF(AND(AU95=1,ISNUMBER(AW95)),$AW95,1)</f>
        <v>0</v>
      </c>
      <c r="BB95">
        <f>IF(ISNUMBER(AB95),INDEX(AllCollegeMoney, MATCH(N95,AllCollegeNCES,0)),0)</f>
        <v>0</v>
      </c>
      <c r="BC95">
        <f>IF(AND(AT95=1,ISNUMBER(AW95),BB95=1),$AW95,1)</f>
        <v>0</v>
      </c>
      <c r="BD95">
        <f>IF(AND(AU95=1,ISNUMBER(AW95),BB95=1),$AW95,1)</f>
        <v>0</v>
      </c>
      <c r="BE95">
        <f>IF(ISNUMBER(AB95),INDEX(AllCollegeILPub, MATCH(N95,AllCollegeNCES,0)),0)</f>
        <v>0</v>
      </c>
      <c r="BF95">
        <f>IF(AN95=ReachLabel,AS95,0)</f>
        <v>0</v>
      </c>
      <c r="BG95">
        <f>IF(AN95=MatchLabel,AS95,0)</f>
        <v>0</v>
      </c>
      <c r="BH95">
        <f>IF(AN95=SafetyLabel,AS95,0)</f>
        <v>0</v>
      </c>
      <c r="BI95">
        <f>IF(AN95=SecureLabel,AS95,0)</f>
        <v>0</v>
      </c>
      <c r="BJ95">
        <f>IF(AN95=SureThingLabel,AS95,0)</f>
        <v>0</v>
      </c>
      <c r="BK95">
        <f>MAX(BF95:BJ95)</f>
        <v>0</v>
      </c>
      <c r="BL95">
        <f>MAX(BG95:BJ95)</f>
        <v>0</v>
      </c>
      <c r="BM95">
        <f>MAX(BH95:BJ95)</f>
        <v>0</v>
      </c>
      <c r="BN95">
        <f>IF(AND(AN95=ReachLabel,BB95=1),AS95,0)</f>
        <v>0</v>
      </c>
      <c r="BO95">
        <f>IF(AND(AN95=MatchLabel,BB95=1),AS95,0)</f>
        <v>0</v>
      </c>
      <c r="BP95">
        <f>IF(AND(AN95=SafetyLabel,BB95=1),AS95,0)</f>
        <v>0</v>
      </c>
      <c r="BQ95">
        <f>IF(AND(AN95=SecureLabel,BB95=1),AS95,0)</f>
        <v>0</v>
      </c>
      <c r="BR95">
        <f>IF(AND(AN95=SureThingLabel,BB95=1),AS95,0)</f>
        <v>0</v>
      </c>
      <c r="BS95">
        <f>MAX(BN95:BR95)</f>
        <v>0</v>
      </c>
      <c r="BT95">
        <f>MAX(BO95:BR95)</f>
        <v>0</v>
      </c>
      <c r="BU95">
        <f>MAX(BP95:BR95)</f>
        <v>0</v>
      </c>
      <c r="BV95">
        <f>IF(ISNUMBER(AB95),INDEX(AllCollegeChicago, MATCH(N95,AllCollegeNCES,0))*BB95,0)</f>
        <v>0</v>
      </c>
      <c r="BW95">
        <f>IF(ISNUMBER(AB95),INDEX(AllCollegeMoneyCode, MATCH(N95,AllCollegeNCES,0)),"?")</f>
        <v>0</v>
      </c>
      <c r="BX95">
        <f>IF(OR(BW95="---",BW95="--",BW95="+/--",BW95="+/---"),1,0)</f>
        <v>0</v>
      </c>
      <c r="BY95">
        <f>BB95*AR95*AT95</f>
        <v>0</v>
      </c>
    </row>
    <row r="96" spans="1:77">
      <c r="A96" t="s">
        <v>96</v>
      </c>
      <c r="B96">
        <v>22410481</v>
      </c>
      <c r="C96" t="s">
        <v>194</v>
      </c>
      <c r="D96" t="s">
        <v>195</v>
      </c>
      <c r="E96" t="s">
        <v>446</v>
      </c>
      <c r="F96" t="s">
        <v>453</v>
      </c>
      <c r="G96" t="s">
        <v>448</v>
      </c>
      <c r="H96" t="s">
        <v>449</v>
      </c>
      <c r="I96" t="s">
        <v>450</v>
      </c>
      <c r="J96" t="s">
        <v>450</v>
      </c>
      <c r="K96">
        <v>0</v>
      </c>
      <c r="L96" t="s">
        <v>446</v>
      </c>
      <c r="M96" t="s">
        <v>454</v>
      </c>
      <c r="N96">
        <v>150774</v>
      </c>
      <c r="O96">
        <f>INDEX(Counselor,MATCH(B96,KidIDs,0))</f>
        <v>0</v>
      </c>
      <c r="P96">
        <f>INDEX(Advisors,MATCH(B96,KidIDs,0))</f>
        <v>0</v>
      </c>
      <c r="Q96">
        <f>INDEX(Cohort,MATCH(B96,KidIDs,0))</f>
        <v>0</v>
      </c>
      <c r="R96">
        <f>INDEX(AllCollegeBarrons,MATCH(N96,AllCollegeNCES,0))</f>
        <v>0</v>
      </c>
      <c r="S96">
        <f>INDEX(KidGPAs,MATCH(B96,KidIDs,0))</f>
        <v>0</v>
      </c>
      <c r="T96">
        <f>INDEX(KidSATs,MATCH(B96,KidIDs,0))</f>
        <v>0</v>
      </c>
      <c r="U96">
        <f>INDEX(Strats,MATCH(B96,KidIDs,0))</f>
        <v>0</v>
      </c>
      <c r="V96">
        <f>INDEX(KidRace,MATCH(B96,KidIDs,0))</f>
        <v>0</v>
      </c>
      <c r="W96">
        <f>IF(OR(V96="M",V96="I"),"H",IF(V96="P","A",V96))</f>
        <v>0</v>
      </c>
      <c r="X96">
        <f>INDEX(StudentTargets,MATCH(B96,KidIDs,0))</f>
        <v>0</v>
      </c>
      <c r="Y96">
        <f>INDEX(ReachStudentTargets,MATCH(B96,KidIDs,0))</f>
        <v>0</v>
      </c>
      <c r="Z96">
        <f>IF(OR(M96="Posse"),1,0)</f>
        <v>0</v>
      </c>
      <c r="AA96">
        <f>IF(ISNUMBER(INDEX(AllCollegeGR, MATCH(N96,AllCollegeNCES,0))),ROUND(INDEX(AllCollegeGR, MATCH(N96,AllCollegeNCES,0))+Z96*IF(INDEX(AllCollegeGR, MATCH(N96,AllCollegeNCES,0))&gt;0.7,(1-INDEX(AllCollegeGR, MATCH(N96,AllCollegeNCES,0)))/2,0.15),2),INDEX(AllCollegeGR, MATCH(N96,AllCollegeNCES,0)))</f>
        <v>0</v>
      </c>
      <c r="AB96">
        <f>IF(ISNUMBER(INDEX(AllCollegeAAHGR, MATCH(N96,AllCollegeNCES,0))),ROUND(INDEX(AllCollegeAAHGR, MATCH(N96,AllCollegeNCES,0))+Z96*IF(INDEX(AllCollegeAAHGR, MATCH(N96,AllCollegeNCES,0))&gt;0.7,(1-INDEX(AllCollegeAAHGR, MATCH(N96,AllCollegeNCES,0)))/2,0.15),2),INDEX(AllCollegeAAHGR, MATCH(N96,AllCollegeNCES,0)))</f>
        <v>0</v>
      </c>
      <c r="AC96">
        <f>IF(OR(W96="H",W96="B"),INDEX(AllCollegeSAT25, MATCH(N96,AllCollegeNCES,0)),INDEX(AllCollegeSAT50, MATCH(N96,AllCollegeNCES,0)))</f>
        <v>0</v>
      </c>
      <c r="AD96">
        <f>INDEX(CustomWeightsGPA,MATCH(W96&amp;":"&amp;N96,CustomWeightsIndex,0))</f>
        <v>0</v>
      </c>
      <c r="AE96">
        <f>INDEX(CustomWeightsSAT,MATCH(W96&amp;":"&amp;N96,CustomWeightsIndex,0))</f>
        <v>0</v>
      </c>
      <c r="AF96">
        <f>INDEX(CustomWeightsIntercept,MATCH(W96&amp;":"&amp;N96,CustomWeightsIndex,0))</f>
        <v>0</v>
      </c>
      <c r="AG96">
        <f>AD96*S96+AE96*T96+AF96</f>
        <v>0</v>
      </c>
      <c r="AH96">
        <f>INDEX(CoefficientsGPA,MATCH(W96&amp;":"&amp;R96,CoefficientsIndex,0))</f>
        <v>0</v>
      </c>
      <c r="AI96">
        <f>INDEX(CoefficientsSAT,MATCH(W96&amp;":"&amp;R96,CoefficientsIndex,0))</f>
        <v>0</v>
      </c>
      <c r="AJ96">
        <f>INDEX(CoefficientsIntercept,MATCH(W96&amp;":"&amp;R96,CoefficientsIndex,0))</f>
        <v>0</v>
      </c>
      <c r="AK96">
        <f>AH96*S96+(T96-AC96)*AI96+AJ96</f>
        <v>0</v>
      </c>
      <c r="AL96">
        <f>IF(ISNUMBER(AG96),AG96,AK96)</f>
        <v>0</v>
      </c>
      <c r="AM96">
        <f>IF(ISNUMBER(AL96),IF(ISNUMBER(AH96),IF(AND(AH96=1,AI96=1,AJ96=1),100,MIN(99,ROUND(100*EXP(AL96)/(1+EXP(AL96)),2))),MIN(99,ROUND(100*EXP(AL96)/(1+EXP(AL96)),2))),IF(ISTEXT(R96),IF(LEFT(R96,1)="2",100,"N/A"),"N/A"))</f>
        <v>0</v>
      </c>
      <c r="AN96">
        <f>IF(ISNUMBER(AM96),IF(AM96&gt;=99,IF(OR(U96=10,U96=11),MatchLabel,SureThingLabel),IF(AM96&gt;=95,SecureLabel,IF(AM96&gt;=80,SafetyLabel,IF(AM96&gt;=50,MatchLabel,IF(AM96&gt;=20,ReachLabel,IF(AM96&gt;=10,LongshotLabel,HailMaryLabel)))))),"Other")</f>
        <v>0</v>
      </c>
      <c r="AO96">
        <f>IF(OR(I96="accepted",I96="cond. accept",I96="summer admit"),IF(J96="yes","CHOICE!","Accepted!"),IF(I96="guar. transfer","Guar. Xfer",IF(I96="denied","Denied",IF(K96=1,"Waitlist",IF(L96=1,"Deferred",IF(G96="pending","Pending",IF(OR(G96="initial materials submitted",G96="mid-year submitted",G96="final submitted"),"Submitted",IF(H96="interest","Interest","?"))))))))</f>
        <v>0</v>
      </c>
      <c r="AP96">
        <f>IF(OR(AN96=ReachLabel,AN96=LongshotLabel,AN96=HailMaryLabel),1,0)</f>
        <v>0</v>
      </c>
      <c r="AQ96">
        <f>IF(OR(AP96=1,AN96=MatchLabel),1,0)</f>
        <v>0</v>
      </c>
      <c r="AR96">
        <f>IF(OR(AN96=MatchLabel,AN96=SafetyLabel,AN96=SecureLabel,AN96=SureThingLabel),1,0)</f>
        <v>0</v>
      </c>
      <c r="AS96">
        <f>IF(OR(W96="H",W96="B",W96="I",W96="M"),IF(ISNUMBER(AB96),ROUND(AB96,2),0),IF(ISNUMBER(AA96),ROUND(AA96,2),0))</f>
        <v>0</v>
      </c>
      <c r="AT96">
        <f>IF(AS96&gt;=X96,1,0)</f>
        <v>0</v>
      </c>
      <c r="AU96">
        <f>IF(AS96&gt;=Y96,1,0)</f>
        <v>0</v>
      </c>
      <c r="AV96">
        <f>IF(AS96&lt;(X96-0.10),1,0)</f>
        <v>0</v>
      </c>
      <c r="AW96">
        <f>1-AM96/100</f>
        <v>0</v>
      </c>
      <c r="AX96">
        <f>IF(AQ96=1,AW96,1)</f>
        <v>0</v>
      </c>
      <c r="AY96">
        <f>IF(AP96=1,AW96,1)</f>
        <v>0</v>
      </c>
      <c r="AZ96">
        <f>IF(AND(AT96=1,ISNUMBER(AW96)),$AW96,1)</f>
        <v>0</v>
      </c>
      <c r="BA96">
        <f>IF(AND(AU96=1,ISNUMBER(AW96)),$AW96,1)</f>
        <v>0</v>
      </c>
      <c r="BB96">
        <f>IF(ISNUMBER(AB96),INDEX(AllCollegeMoney, MATCH(N96,AllCollegeNCES,0)),0)</f>
        <v>0</v>
      </c>
      <c r="BC96">
        <f>IF(AND(AT96=1,ISNUMBER(AW96),BB96=1),$AW96,1)</f>
        <v>0</v>
      </c>
      <c r="BD96">
        <f>IF(AND(AU96=1,ISNUMBER(AW96),BB96=1),$AW96,1)</f>
        <v>0</v>
      </c>
      <c r="BE96">
        <f>IF(ISNUMBER(AB96),INDEX(AllCollegeILPub, MATCH(N96,AllCollegeNCES,0)),0)</f>
        <v>0</v>
      </c>
      <c r="BF96">
        <f>IF(AN96=ReachLabel,AS96,0)</f>
        <v>0</v>
      </c>
      <c r="BG96">
        <f>IF(AN96=MatchLabel,AS96,0)</f>
        <v>0</v>
      </c>
      <c r="BH96">
        <f>IF(AN96=SafetyLabel,AS96,0)</f>
        <v>0</v>
      </c>
      <c r="BI96">
        <f>IF(AN96=SecureLabel,AS96,0)</f>
        <v>0</v>
      </c>
      <c r="BJ96">
        <f>IF(AN96=SureThingLabel,AS96,0)</f>
        <v>0</v>
      </c>
      <c r="BK96">
        <f>MAX(BF96:BJ96)</f>
        <v>0</v>
      </c>
      <c r="BL96">
        <f>MAX(BG96:BJ96)</f>
        <v>0</v>
      </c>
      <c r="BM96">
        <f>MAX(BH96:BJ96)</f>
        <v>0</v>
      </c>
      <c r="BN96">
        <f>IF(AND(AN96=ReachLabel,BB96=1),AS96,0)</f>
        <v>0</v>
      </c>
      <c r="BO96">
        <f>IF(AND(AN96=MatchLabel,BB96=1),AS96,0)</f>
        <v>0</v>
      </c>
      <c r="BP96">
        <f>IF(AND(AN96=SafetyLabel,BB96=1),AS96,0)</f>
        <v>0</v>
      </c>
      <c r="BQ96">
        <f>IF(AND(AN96=SecureLabel,BB96=1),AS96,0)</f>
        <v>0</v>
      </c>
      <c r="BR96">
        <f>IF(AND(AN96=SureThingLabel,BB96=1),AS96,0)</f>
        <v>0</v>
      </c>
      <c r="BS96">
        <f>MAX(BN96:BR96)</f>
        <v>0</v>
      </c>
      <c r="BT96">
        <f>MAX(BO96:BR96)</f>
        <v>0</v>
      </c>
      <c r="BU96">
        <f>MAX(BP96:BR96)</f>
        <v>0</v>
      </c>
      <c r="BV96">
        <f>IF(ISNUMBER(AB96),INDEX(AllCollegeChicago, MATCH(N96,AllCollegeNCES,0))*BB96,0)</f>
        <v>0</v>
      </c>
      <c r="BW96">
        <f>IF(ISNUMBER(AB96),INDEX(AllCollegeMoneyCode, MATCH(N96,AllCollegeNCES,0)),"?")</f>
        <v>0</v>
      </c>
      <c r="BX96">
        <f>IF(OR(BW96="---",BW96="--",BW96="+/--",BW96="+/---"),1,0)</f>
        <v>0</v>
      </c>
      <c r="BY96">
        <f>BB96*AR96*AT96</f>
        <v>0</v>
      </c>
    </row>
    <row r="97" spans="1:77">
      <c r="A97" t="s">
        <v>96</v>
      </c>
      <c r="B97">
        <v>22410481</v>
      </c>
      <c r="C97" t="s">
        <v>194</v>
      </c>
      <c r="D97" t="s">
        <v>195</v>
      </c>
      <c r="E97" t="s">
        <v>446</v>
      </c>
      <c r="F97" t="s">
        <v>466</v>
      </c>
      <c r="G97" t="s">
        <v>448</v>
      </c>
      <c r="H97" t="s">
        <v>449</v>
      </c>
      <c r="I97" t="s">
        <v>450</v>
      </c>
      <c r="J97" t="s">
        <v>450</v>
      </c>
      <c r="K97">
        <v>0</v>
      </c>
      <c r="L97" t="s">
        <v>446</v>
      </c>
      <c r="M97" t="s">
        <v>446</v>
      </c>
      <c r="N97">
        <v>100000001</v>
      </c>
      <c r="O97">
        <f>INDEX(Counselor,MATCH(B97,KidIDs,0))</f>
        <v>0</v>
      </c>
      <c r="P97">
        <f>INDEX(Advisors,MATCH(B97,KidIDs,0))</f>
        <v>0</v>
      </c>
      <c r="Q97">
        <f>INDEX(Cohort,MATCH(B97,KidIDs,0))</f>
        <v>0</v>
      </c>
      <c r="R97">
        <f>INDEX(AllCollegeBarrons,MATCH(N97,AllCollegeNCES,0))</f>
        <v>0</v>
      </c>
      <c r="S97">
        <f>INDEX(KidGPAs,MATCH(B97,KidIDs,0))</f>
        <v>0</v>
      </c>
      <c r="T97">
        <f>INDEX(KidSATs,MATCH(B97,KidIDs,0))</f>
        <v>0</v>
      </c>
      <c r="U97">
        <f>INDEX(Strats,MATCH(B97,KidIDs,0))</f>
        <v>0</v>
      </c>
      <c r="V97">
        <f>INDEX(KidRace,MATCH(B97,KidIDs,0))</f>
        <v>0</v>
      </c>
      <c r="W97">
        <f>IF(OR(V97="M",V97="I"),"H",IF(V97="P","A",V97))</f>
        <v>0</v>
      </c>
      <c r="X97">
        <f>INDEX(StudentTargets,MATCH(B97,KidIDs,0))</f>
        <v>0</v>
      </c>
      <c r="Y97">
        <f>INDEX(ReachStudentTargets,MATCH(B97,KidIDs,0))</f>
        <v>0</v>
      </c>
      <c r="Z97">
        <f>IF(OR(M97="Posse"),1,0)</f>
        <v>0</v>
      </c>
      <c r="AA97">
        <f>IF(ISNUMBER(INDEX(AllCollegeGR, MATCH(N97,AllCollegeNCES,0))),ROUND(INDEX(AllCollegeGR, MATCH(N97,AllCollegeNCES,0))+Z97*IF(INDEX(AllCollegeGR, MATCH(N97,AllCollegeNCES,0))&gt;0.7,(1-INDEX(AllCollegeGR, MATCH(N97,AllCollegeNCES,0)))/2,0.15),2),INDEX(AllCollegeGR, MATCH(N97,AllCollegeNCES,0)))</f>
        <v>0</v>
      </c>
      <c r="AB97">
        <f>IF(ISNUMBER(INDEX(AllCollegeAAHGR, MATCH(N97,AllCollegeNCES,0))),ROUND(INDEX(AllCollegeAAHGR, MATCH(N97,AllCollegeNCES,0))+Z97*IF(INDEX(AllCollegeAAHGR, MATCH(N97,AllCollegeNCES,0))&gt;0.7,(1-INDEX(AllCollegeAAHGR, MATCH(N97,AllCollegeNCES,0)))/2,0.15),2),INDEX(AllCollegeAAHGR, MATCH(N97,AllCollegeNCES,0)))</f>
        <v>0</v>
      </c>
      <c r="AC97">
        <f>IF(OR(W97="H",W97="B"),INDEX(AllCollegeSAT25, MATCH(N97,AllCollegeNCES,0)),INDEX(AllCollegeSAT50, MATCH(N97,AllCollegeNCES,0)))</f>
        <v>0</v>
      </c>
      <c r="AD97">
        <f>INDEX(CustomWeightsGPA,MATCH(W97&amp;":"&amp;N97,CustomWeightsIndex,0))</f>
        <v>0</v>
      </c>
      <c r="AE97">
        <f>INDEX(CustomWeightsSAT,MATCH(W97&amp;":"&amp;N97,CustomWeightsIndex,0))</f>
        <v>0</v>
      </c>
      <c r="AF97">
        <f>INDEX(CustomWeightsIntercept,MATCH(W97&amp;":"&amp;N97,CustomWeightsIndex,0))</f>
        <v>0</v>
      </c>
      <c r="AG97">
        <f>AD97*S97+AE97*T97+AF97</f>
        <v>0</v>
      </c>
      <c r="AH97">
        <f>INDEX(CoefficientsGPA,MATCH(W97&amp;":"&amp;R97,CoefficientsIndex,0))</f>
        <v>0</v>
      </c>
      <c r="AI97">
        <f>INDEX(CoefficientsSAT,MATCH(W97&amp;":"&amp;R97,CoefficientsIndex,0))</f>
        <v>0</v>
      </c>
      <c r="AJ97">
        <f>INDEX(CoefficientsIntercept,MATCH(W97&amp;":"&amp;R97,CoefficientsIndex,0))</f>
        <v>0</v>
      </c>
      <c r="AK97">
        <f>AH97*S97+(T97-AC97)*AI97+AJ97</f>
        <v>0</v>
      </c>
      <c r="AL97">
        <f>IF(ISNUMBER(AG97),AG97,AK97)</f>
        <v>0</v>
      </c>
      <c r="AM97">
        <f>IF(ISNUMBER(AL97),IF(ISNUMBER(AH97),IF(AND(AH97=1,AI97=1,AJ97=1),100,MIN(99,ROUND(100*EXP(AL97)/(1+EXP(AL97)),2))),MIN(99,ROUND(100*EXP(AL97)/(1+EXP(AL97)),2))),IF(ISTEXT(R97),IF(LEFT(R97,1)="2",100,"N/A"),"N/A"))</f>
        <v>0</v>
      </c>
      <c r="AN97">
        <f>IF(ISNUMBER(AM97),IF(AM97&gt;=99,IF(OR(U97=10,U97=11),MatchLabel,SureThingLabel),IF(AM97&gt;=95,SecureLabel,IF(AM97&gt;=80,SafetyLabel,IF(AM97&gt;=50,MatchLabel,IF(AM97&gt;=20,ReachLabel,IF(AM97&gt;=10,LongshotLabel,HailMaryLabel)))))),"Other")</f>
        <v>0</v>
      </c>
      <c r="AO97">
        <f>IF(OR(I97="accepted",I97="cond. accept",I97="summer admit"),IF(J97="yes","CHOICE!","Accepted!"),IF(I97="guar. transfer","Guar. Xfer",IF(I97="denied","Denied",IF(K97=1,"Waitlist",IF(L97=1,"Deferred",IF(G97="pending","Pending",IF(OR(G97="initial materials submitted",G97="mid-year submitted",G97="final submitted"),"Submitted",IF(H97="interest","Interest","?"))))))))</f>
        <v>0</v>
      </c>
      <c r="AP97">
        <f>IF(OR(AN97=ReachLabel,AN97=LongshotLabel,AN97=HailMaryLabel),1,0)</f>
        <v>0</v>
      </c>
      <c r="AQ97">
        <f>IF(OR(AP97=1,AN97=MatchLabel),1,0)</f>
        <v>0</v>
      </c>
      <c r="AR97">
        <f>IF(OR(AN97=MatchLabel,AN97=SafetyLabel,AN97=SecureLabel,AN97=SureThingLabel),1,0)</f>
        <v>0</v>
      </c>
      <c r="AS97">
        <f>IF(OR(W97="H",W97="B",W97="I",W97="M"),IF(ISNUMBER(AB97),ROUND(AB97,2),0),IF(ISNUMBER(AA97),ROUND(AA97,2),0))</f>
        <v>0</v>
      </c>
      <c r="AT97">
        <f>IF(AS97&gt;=X97,1,0)</f>
        <v>0</v>
      </c>
      <c r="AU97">
        <f>IF(AS97&gt;=Y97,1,0)</f>
        <v>0</v>
      </c>
      <c r="AV97">
        <f>IF(AS97&lt;(X97-0.10),1,0)</f>
        <v>0</v>
      </c>
      <c r="AW97">
        <f>1-AM97/100</f>
        <v>0</v>
      </c>
      <c r="AX97">
        <f>IF(AQ97=1,AW97,1)</f>
        <v>0</v>
      </c>
      <c r="AY97">
        <f>IF(AP97=1,AW97,1)</f>
        <v>0</v>
      </c>
      <c r="AZ97">
        <f>IF(AND(AT97=1,ISNUMBER(AW97)),$AW97,1)</f>
        <v>0</v>
      </c>
      <c r="BA97">
        <f>IF(AND(AU97=1,ISNUMBER(AW97)),$AW97,1)</f>
        <v>0</v>
      </c>
      <c r="BB97">
        <f>IF(ISNUMBER(AB97),INDEX(AllCollegeMoney, MATCH(N97,AllCollegeNCES,0)),0)</f>
        <v>0</v>
      </c>
      <c r="BC97">
        <f>IF(AND(AT97=1,ISNUMBER(AW97),BB97=1),$AW97,1)</f>
        <v>0</v>
      </c>
      <c r="BD97">
        <f>IF(AND(AU97=1,ISNUMBER(AW97),BB97=1),$AW97,1)</f>
        <v>0</v>
      </c>
      <c r="BE97">
        <f>IF(ISNUMBER(AB97),INDEX(AllCollegeILPub, MATCH(N97,AllCollegeNCES,0)),0)</f>
        <v>0</v>
      </c>
      <c r="BF97">
        <f>IF(AN97=ReachLabel,AS97,0)</f>
        <v>0</v>
      </c>
      <c r="BG97">
        <f>IF(AN97=MatchLabel,AS97,0)</f>
        <v>0</v>
      </c>
      <c r="BH97">
        <f>IF(AN97=SafetyLabel,AS97,0)</f>
        <v>0</v>
      </c>
      <c r="BI97">
        <f>IF(AN97=SecureLabel,AS97,0)</f>
        <v>0</v>
      </c>
      <c r="BJ97">
        <f>IF(AN97=SureThingLabel,AS97,0)</f>
        <v>0</v>
      </c>
      <c r="BK97">
        <f>MAX(BF97:BJ97)</f>
        <v>0</v>
      </c>
      <c r="BL97">
        <f>MAX(BG97:BJ97)</f>
        <v>0</v>
      </c>
      <c r="BM97">
        <f>MAX(BH97:BJ97)</f>
        <v>0</v>
      </c>
      <c r="BN97">
        <f>IF(AND(AN97=ReachLabel,BB97=1),AS97,0)</f>
        <v>0</v>
      </c>
      <c r="BO97">
        <f>IF(AND(AN97=MatchLabel,BB97=1),AS97,0)</f>
        <v>0</v>
      </c>
      <c r="BP97">
        <f>IF(AND(AN97=SafetyLabel,BB97=1),AS97,0)</f>
        <v>0</v>
      </c>
      <c r="BQ97">
        <f>IF(AND(AN97=SecureLabel,BB97=1),AS97,0)</f>
        <v>0</v>
      </c>
      <c r="BR97">
        <f>IF(AND(AN97=SureThingLabel,BB97=1),AS97,0)</f>
        <v>0</v>
      </c>
      <c r="BS97">
        <f>MAX(BN97:BR97)</f>
        <v>0</v>
      </c>
      <c r="BT97">
        <f>MAX(BO97:BR97)</f>
        <v>0</v>
      </c>
      <c r="BU97">
        <f>MAX(BP97:BR97)</f>
        <v>0</v>
      </c>
      <c r="BV97">
        <f>IF(ISNUMBER(AB97),INDEX(AllCollegeChicago, MATCH(N97,AllCollegeNCES,0))*BB97,0)</f>
        <v>0</v>
      </c>
      <c r="BW97">
        <f>IF(ISNUMBER(AB97),INDEX(AllCollegeMoneyCode, MATCH(N97,AllCollegeNCES,0)),"?")</f>
        <v>0</v>
      </c>
      <c r="BX97">
        <f>IF(OR(BW97="---",BW97="--",BW97="+/--",BW97="+/---"),1,0)</f>
        <v>0</v>
      </c>
      <c r="BY97">
        <f>BB97*AR97*AT97</f>
        <v>0</v>
      </c>
    </row>
    <row r="98" spans="1:77">
      <c r="A98" t="s">
        <v>96</v>
      </c>
      <c r="B98">
        <v>22410481</v>
      </c>
      <c r="C98" t="s">
        <v>194</v>
      </c>
      <c r="D98" t="s">
        <v>195</v>
      </c>
      <c r="E98" t="s">
        <v>446</v>
      </c>
      <c r="F98" t="s">
        <v>507</v>
      </c>
      <c r="G98" t="s">
        <v>448</v>
      </c>
      <c r="H98" t="s">
        <v>449</v>
      </c>
      <c r="I98" t="s">
        <v>450</v>
      </c>
      <c r="J98" t="s">
        <v>450</v>
      </c>
      <c r="K98">
        <v>0</v>
      </c>
      <c r="L98" t="s">
        <v>446</v>
      </c>
      <c r="M98" t="s">
        <v>446</v>
      </c>
      <c r="N98">
        <v>144166</v>
      </c>
      <c r="O98">
        <f>INDEX(Counselor,MATCH(B98,KidIDs,0))</f>
        <v>0</v>
      </c>
      <c r="P98">
        <f>INDEX(Advisors,MATCH(B98,KidIDs,0))</f>
        <v>0</v>
      </c>
      <c r="Q98">
        <f>INDEX(Cohort,MATCH(B98,KidIDs,0))</f>
        <v>0</v>
      </c>
      <c r="R98">
        <f>INDEX(AllCollegeBarrons,MATCH(N98,AllCollegeNCES,0))</f>
        <v>0</v>
      </c>
      <c r="S98">
        <f>INDEX(KidGPAs,MATCH(B98,KidIDs,0))</f>
        <v>0</v>
      </c>
      <c r="T98">
        <f>INDEX(KidSATs,MATCH(B98,KidIDs,0))</f>
        <v>0</v>
      </c>
      <c r="U98">
        <f>INDEX(Strats,MATCH(B98,KidIDs,0))</f>
        <v>0</v>
      </c>
      <c r="V98">
        <f>INDEX(KidRace,MATCH(B98,KidIDs,0))</f>
        <v>0</v>
      </c>
      <c r="W98">
        <f>IF(OR(V98="M",V98="I"),"H",IF(V98="P","A",V98))</f>
        <v>0</v>
      </c>
      <c r="X98">
        <f>INDEX(StudentTargets,MATCH(B98,KidIDs,0))</f>
        <v>0</v>
      </c>
      <c r="Y98">
        <f>INDEX(ReachStudentTargets,MATCH(B98,KidIDs,0))</f>
        <v>0</v>
      </c>
      <c r="Z98">
        <f>IF(OR(M98="Posse"),1,0)</f>
        <v>0</v>
      </c>
      <c r="AA98">
        <f>IF(ISNUMBER(INDEX(AllCollegeGR, MATCH(N98,AllCollegeNCES,0))),ROUND(INDEX(AllCollegeGR, MATCH(N98,AllCollegeNCES,0))+Z98*IF(INDEX(AllCollegeGR, MATCH(N98,AllCollegeNCES,0))&gt;0.7,(1-INDEX(AllCollegeGR, MATCH(N98,AllCollegeNCES,0)))/2,0.15),2),INDEX(AllCollegeGR, MATCH(N98,AllCollegeNCES,0)))</f>
        <v>0</v>
      </c>
      <c r="AB98">
        <f>IF(ISNUMBER(INDEX(AllCollegeAAHGR, MATCH(N98,AllCollegeNCES,0))),ROUND(INDEX(AllCollegeAAHGR, MATCH(N98,AllCollegeNCES,0))+Z98*IF(INDEX(AllCollegeAAHGR, MATCH(N98,AllCollegeNCES,0))&gt;0.7,(1-INDEX(AllCollegeAAHGR, MATCH(N98,AllCollegeNCES,0)))/2,0.15),2),INDEX(AllCollegeAAHGR, MATCH(N98,AllCollegeNCES,0)))</f>
        <v>0</v>
      </c>
      <c r="AC98">
        <f>IF(OR(W98="H",W98="B"),INDEX(AllCollegeSAT25, MATCH(N98,AllCollegeNCES,0)),INDEX(AllCollegeSAT50, MATCH(N98,AllCollegeNCES,0)))</f>
        <v>0</v>
      </c>
      <c r="AD98">
        <f>INDEX(CustomWeightsGPA,MATCH(W98&amp;":"&amp;N98,CustomWeightsIndex,0))</f>
        <v>0</v>
      </c>
      <c r="AE98">
        <f>INDEX(CustomWeightsSAT,MATCH(W98&amp;":"&amp;N98,CustomWeightsIndex,0))</f>
        <v>0</v>
      </c>
      <c r="AF98">
        <f>INDEX(CustomWeightsIntercept,MATCH(W98&amp;":"&amp;N98,CustomWeightsIndex,0))</f>
        <v>0</v>
      </c>
      <c r="AG98">
        <f>AD98*S98+AE98*T98+AF98</f>
        <v>0</v>
      </c>
      <c r="AH98">
        <f>INDEX(CoefficientsGPA,MATCH(W98&amp;":"&amp;R98,CoefficientsIndex,0))</f>
        <v>0</v>
      </c>
      <c r="AI98">
        <f>INDEX(CoefficientsSAT,MATCH(W98&amp;":"&amp;R98,CoefficientsIndex,0))</f>
        <v>0</v>
      </c>
      <c r="AJ98">
        <f>INDEX(CoefficientsIntercept,MATCH(W98&amp;":"&amp;R98,CoefficientsIndex,0))</f>
        <v>0</v>
      </c>
      <c r="AK98">
        <f>AH98*S98+(T98-AC98)*AI98+AJ98</f>
        <v>0</v>
      </c>
      <c r="AL98">
        <f>IF(ISNUMBER(AG98),AG98,AK98)</f>
        <v>0</v>
      </c>
      <c r="AM98">
        <f>IF(ISNUMBER(AL98),IF(ISNUMBER(AH98),IF(AND(AH98=1,AI98=1,AJ98=1),100,MIN(99,ROUND(100*EXP(AL98)/(1+EXP(AL98)),2))),MIN(99,ROUND(100*EXP(AL98)/(1+EXP(AL98)),2))),IF(ISTEXT(R98),IF(LEFT(R98,1)="2",100,"N/A"),"N/A"))</f>
        <v>0</v>
      </c>
      <c r="AN98">
        <f>IF(ISNUMBER(AM98),IF(AM98&gt;=99,IF(OR(U98=10,U98=11),MatchLabel,SureThingLabel),IF(AM98&gt;=95,SecureLabel,IF(AM98&gt;=80,SafetyLabel,IF(AM98&gt;=50,MatchLabel,IF(AM98&gt;=20,ReachLabel,IF(AM98&gt;=10,LongshotLabel,HailMaryLabel)))))),"Other")</f>
        <v>0</v>
      </c>
      <c r="AO98">
        <f>IF(OR(I98="accepted",I98="cond. accept",I98="summer admit"),IF(J98="yes","CHOICE!","Accepted!"),IF(I98="guar. transfer","Guar. Xfer",IF(I98="denied","Denied",IF(K98=1,"Waitlist",IF(L98=1,"Deferred",IF(G98="pending","Pending",IF(OR(G98="initial materials submitted",G98="mid-year submitted",G98="final submitted"),"Submitted",IF(H98="interest","Interest","?"))))))))</f>
        <v>0</v>
      </c>
      <c r="AP98">
        <f>IF(OR(AN98=ReachLabel,AN98=LongshotLabel,AN98=HailMaryLabel),1,0)</f>
        <v>0</v>
      </c>
      <c r="AQ98">
        <f>IF(OR(AP98=1,AN98=MatchLabel),1,0)</f>
        <v>0</v>
      </c>
      <c r="AR98">
        <f>IF(OR(AN98=MatchLabel,AN98=SafetyLabel,AN98=SecureLabel,AN98=SureThingLabel),1,0)</f>
        <v>0</v>
      </c>
      <c r="AS98">
        <f>IF(OR(W98="H",W98="B",W98="I",W98="M"),IF(ISNUMBER(AB98),ROUND(AB98,2),0),IF(ISNUMBER(AA98),ROUND(AA98,2),0))</f>
        <v>0</v>
      </c>
      <c r="AT98">
        <f>IF(AS98&gt;=X98,1,0)</f>
        <v>0</v>
      </c>
      <c r="AU98">
        <f>IF(AS98&gt;=Y98,1,0)</f>
        <v>0</v>
      </c>
      <c r="AV98">
        <f>IF(AS98&lt;(X98-0.10),1,0)</f>
        <v>0</v>
      </c>
      <c r="AW98">
        <f>1-AM98/100</f>
        <v>0</v>
      </c>
      <c r="AX98">
        <f>IF(AQ98=1,AW98,1)</f>
        <v>0</v>
      </c>
      <c r="AY98">
        <f>IF(AP98=1,AW98,1)</f>
        <v>0</v>
      </c>
      <c r="AZ98">
        <f>IF(AND(AT98=1,ISNUMBER(AW98)),$AW98,1)</f>
        <v>0</v>
      </c>
      <c r="BA98">
        <f>IF(AND(AU98=1,ISNUMBER(AW98)),$AW98,1)</f>
        <v>0</v>
      </c>
      <c r="BB98">
        <f>IF(ISNUMBER(AB98),INDEX(AllCollegeMoney, MATCH(N98,AllCollegeNCES,0)),0)</f>
        <v>0</v>
      </c>
      <c r="BC98">
        <f>IF(AND(AT98=1,ISNUMBER(AW98),BB98=1),$AW98,1)</f>
        <v>0</v>
      </c>
      <c r="BD98">
        <f>IF(AND(AU98=1,ISNUMBER(AW98),BB98=1),$AW98,1)</f>
        <v>0</v>
      </c>
      <c r="BE98">
        <f>IF(ISNUMBER(AB98),INDEX(AllCollegeILPub, MATCH(N98,AllCollegeNCES,0)),0)</f>
        <v>0</v>
      </c>
      <c r="BF98">
        <f>IF(AN98=ReachLabel,AS98,0)</f>
        <v>0</v>
      </c>
      <c r="BG98">
        <f>IF(AN98=MatchLabel,AS98,0)</f>
        <v>0</v>
      </c>
      <c r="BH98">
        <f>IF(AN98=SafetyLabel,AS98,0)</f>
        <v>0</v>
      </c>
      <c r="BI98">
        <f>IF(AN98=SecureLabel,AS98,0)</f>
        <v>0</v>
      </c>
      <c r="BJ98">
        <f>IF(AN98=SureThingLabel,AS98,0)</f>
        <v>0</v>
      </c>
      <c r="BK98">
        <f>MAX(BF98:BJ98)</f>
        <v>0</v>
      </c>
      <c r="BL98">
        <f>MAX(BG98:BJ98)</f>
        <v>0</v>
      </c>
      <c r="BM98">
        <f>MAX(BH98:BJ98)</f>
        <v>0</v>
      </c>
      <c r="BN98">
        <f>IF(AND(AN98=ReachLabel,BB98=1),AS98,0)</f>
        <v>0</v>
      </c>
      <c r="BO98">
        <f>IF(AND(AN98=MatchLabel,BB98=1),AS98,0)</f>
        <v>0</v>
      </c>
      <c r="BP98">
        <f>IF(AND(AN98=SafetyLabel,BB98=1),AS98,0)</f>
        <v>0</v>
      </c>
      <c r="BQ98">
        <f>IF(AND(AN98=SecureLabel,BB98=1),AS98,0)</f>
        <v>0</v>
      </c>
      <c r="BR98">
        <f>IF(AND(AN98=SureThingLabel,BB98=1),AS98,0)</f>
        <v>0</v>
      </c>
      <c r="BS98">
        <f>MAX(BN98:BR98)</f>
        <v>0</v>
      </c>
      <c r="BT98">
        <f>MAX(BO98:BR98)</f>
        <v>0</v>
      </c>
      <c r="BU98">
        <f>MAX(BP98:BR98)</f>
        <v>0</v>
      </c>
      <c r="BV98">
        <f>IF(ISNUMBER(AB98),INDEX(AllCollegeChicago, MATCH(N98,AllCollegeNCES,0))*BB98,0)</f>
        <v>0</v>
      </c>
      <c r="BW98">
        <f>IF(ISNUMBER(AB98),INDEX(AllCollegeMoneyCode, MATCH(N98,AllCollegeNCES,0)),"?")</f>
        <v>0</v>
      </c>
      <c r="BX98">
        <f>IF(OR(BW98="---",BW98="--",BW98="+/--",BW98="+/---"),1,0)</f>
        <v>0</v>
      </c>
      <c r="BY98">
        <f>BB98*AR98*AT98</f>
        <v>0</v>
      </c>
    </row>
    <row r="99" spans="1:77">
      <c r="A99" t="s">
        <v>96</v>
      </c>
      <c r="B99">
        <v>22410481</v>
      </c>
      <c r="C99" t="s">
        <v>194</v>
      </c>
      <c r="D99" t="s">
        <v>195</v>
      </c>
      <c r="E99" t="s">
        <v>446</v>
      </c>
      <c r="F99" t="s">
        <v>504</v>
      </c>
      <c r="G99" t="s">
        <v>448</v>
      </c>
      <c r="H99" t="s">
        <v>449</v>
      </c>
      <c r="I99" t="s">
        <v>450</v>
      </c>
      <c r="J99" t="s">
        <v>450</v>
      </c>
      <c r="K99">
        <v>0</v>
      </c>
      <c r="L99" t="s">
        <v>446</v>
      </c>
      <c r="M99" t="s">
        <v>446</v>
      </c>
      <c r="N99">
        <v>144351</v>
      </c>
      <c r="O99">
        <f>INDEX(Counselor,MATCH(B99,KidIDs,0))</f>
        <v>0</v>
      </c>
      <c r="P99">
        <f>INDEX(Advisors,MATCH(B99,KidIDs,0))</f>
        <v>0</v>
      </c>
      <c r="Q99">
        <f>INDEX(Cohort,MATCH(B99,KidIDs,0))</f>
        <v>0</v>
      </c>
      <c r="R99">
        <f>INDEX(AllCollegeBarrons,MATCH(N99,AllCollegeNCES,0))</f>
        <v>0</v>
      </c>
      <c r="S99">
        <f>INDEX(KidGPAs,MATCH(B99,KidIDs,0))</f>
        <v>0</v>
      </c>
      <c r="T99">
        <f>INDEX(KidSATs,MATCH(B99,KidIDs,0))</f>
        <v>0</v>
      </c>
      <c r="U99">
        <f>INDEX(Strats,MATCH(B99,KidIDs,0))</f>
        <v>0</v>
      </c>
      <c r="V99">
        <f>INDEX(KidRace,MATCH(B99,KidIDs,0))</f>
        <v>0</v>
      </c>
      <c r="W99">
        <f>IF(OR(V99="M",V99="I"),"H",IF(V99="P","A",V99))</f>
        <v>0</v>
      </c>
      <c r="X99">
        <f>INDEX(StudentTargets,MATCH(B99,KidIDs,0))</f>
        <v>0</v>
      </c>
      <c r="Y99">
        <f>INDEX(ReachStudentTargets,MATCH(B99,KidIDs,0))</f>
        <v>0</v>
      </c>
      <c r="Z99">
        <f>IF(OR(M99="Posse"),1,0)</f>
        <v>0</v>
      </c>
      <c r="AA99">
        <f>IF(ISNUMBER(INDEX(AllCollegeGR, MATCH(N99,AllCollegeNCES,0))),ROUND(INDEX(AllCollegeGR, MATCH(N99,AllCollegeNCES,0))+Z99*IF(INDEX(AllCollegeGR, MATCH(N99,AllCollegeNCES,0))&gt;0.7,(1-INDEX(AllCollegeGR, MATCH(N99,AllCollegeNCES,0)))/2,0.15),2),INDEX(AllCollegeGR, MATCH(N99,AllCollegeNCES,0)))</f>
        <v>0</v>
      </c>
      <c r="AB99">
        <f>IF(ISNUMBER(INDEX(AllCollegeAAHGR, MATCH(N99,AllCollegeNCES,0))),ROUND(INDEX(AllCollegeAAHGR, MATCH(N99,AllCollegeNCES,0))+Z99*IF(INDEX(AllCollegeAAHGR, MATCH(N99,AllCollegeNCES,0))&gt;0.7,(1-INDEX(AllCollegeAAHGR, MATCH(N99,AllCollegeNCES,0)))/2,0.15),2),INDEX(AllCollegeAAHGR, MATCH(N99,AllCollegeNCES,0)))</f>
        <v>0</v>
      </c>
      <c r="AC99">
        <f>IF(OR(W99="H",W99="B"),INDEX(AllCollegeSAT25, MATCH(N99,AllCollegeNCES,0)),INDEX(AllCollegeSAT50, MATCH(N99,AllCollegeNCES,0)))</f>
        <v>0</v>
      </c>
      <c r="AD99">
        <f>INDEX(CustomWeightsGPA,MATCH(W99&amp;":"&amp;N99,CustomWeightsIndex,0))</f>
        <v>0</v>
      </c>
      <c r="AE99">
        <f>INDEX(CustomWeightsSAT,MATCH(W99&amp;":"&amp;N99,CustomWeightsIndex,0))</f>
        <v>0</v>
      </c>
      <c r="AF99">
        <f>INDEX(CustomWeightsIntercept,MATCH(W99&amp;":"&amp;N99,CustomWeightsIndex,0))</f>
        <v>0</v>
      </c>
      <c r="AG99">
        <f>AD99*S99+AE99*T99+AF99</f>
        <v>0</v>
      </c>
      <c r="AH99">
        <f>INDEX(CoefficientsGPA,MATCH(W99&amp;":"&amp;R99,CoefficientsIndex,0))</f>
        <v>0</v>
      </c>
      <c r="AI99">
        <f>INDEX(CoefficientsSAT,MATCH(W99&amp;":"&amp;R99,CoefficientsIndex,0))</f>
        <v>0</v>
      </c>
      <c r="AJ99">
        <f>INDEX(CoefficientsIntercept,MATCH(W99&amp;":"&amp;R99,CoefficientsIndex,0))</f>
        <v>0</v>
      </c>
      <c r="AK99">
        <f>AH99*S99+(T99-AC99)*AI99+AJ99</f>
        <v>0</v>
      </c>
      <c r="AL99">
        <f>IF(ISNUMBER(AG99),AG99,AK99)</f>
        <v>0</v>
      </c>
      <c r="AM99">
        <f>IF(ISNUMBER(AL99),IF(ISNUMBER(AH99),IF(AND(AH99=1,AI99=1,AJ99=1),100,MIN(99,ROUND(100*EXP(AL99)/(1+EXP(AL99)),2))),MIN(99,ROUND(100*EXP(AL99)/(1+EXP(AL99)),2))),IF(ISTEXT(R99),IF(LEFT(R99,1)="2",100,"N/A"),"N/A"))</f>
        <v>0</v>
      </c>
      <c r="AN99">
        <f>IF(ISNUMBER(AM99),IF(AM99&gt;=99,IF(OR(U99=10,U99=11),MatchLabel,SureThingLabel),IF(AM99&gt;=95,SecureLabel,IF(AM99&gt;=80,SafetyLabel,IF(AM99&gt;=50,MatchLabel,IF(AM99&gt;=20,ReachLabel,IF(AM99&gt;=10,LongshotLabel,HailMaryLabel)))))),"Other")</f>
        <v>0</v>
      </c>
      <c r="AO99">
        <f>IF(OR(I99="accepted",I99="cond. accept",I99="summer admit"),IF(J99="yes","CHOICE!","Accepted!"),IF(I99="guar. transfer","Guar. Xfer",IF(I99="denied","Denied",IF(K99=1,"Waitlist",IF(L99=1,"Deferred",IF(G99="pending","Pending",IF(OR(G99="initial materials submitted",G99="mid-year submitted",G99="final submitted"),"Submitted",IF(H99="interest","Interest","?"))))))))</f>
        <v>0</v>
      </c>
      <c r="AP99">
        <f>IF(OR(AN99=ReachLabel,AN99=LongshotLabel,AN99=HailMaryLabel),1,0)</f>
        <v>0</v>
      </c>
      <c r="AQ99">
        <f>IF(OR(AP99=1,AN99=MatchLabel),1,0)</f>
        <v>0</v>
      </c>
      <c r="AR99">
        <f>IF(OR(AN99=MatchLabel,AN99=SafetyLabel,AN99=SecureLabel,AN99=SureThingLabel),1,0)</f>
        <v>0</v>
      </c>
      <c r="AS99">
        <f>IF(OR(W99="H",W99="B",W99="I",W99="M"),IF(ISNUMBER(AB99),ROUND(AB99,2),0),IF(ISNUMBER(AA99),ROUND(AA99,2),0))</f>
        <v>0</v>
      </c>
      <c r="AT99">
        <f>IF(AS99&gt;=X99,1,0)</f>
        <v>0</v>
      </c>
      <c r="AU99">
        <f>IF(AS99&gt;=Y99,1,0)</f>
        <v>0</v>
      </c>
      <c r="AV99">
        <f>IF(AS99&lt;(X99-0.10),1,0)</f>
        <v>0</v>
      </c>
      <c r="AW99">
        <f>1-AM99/100</f>
        <v>0</v>
      </c>
      <c r="AX99">
        <f>IF(AQ99=1,AW99,1)</f>
        <v>0</v>
      </c>
      <c r="AY99">
        <f>IF(AP99=1,AW99,1)</f>
        <v>0</v>
      </c>
      <c r="AZ99">
        <f>IF(AND(AT99=1,ISNUMBER(AW99)),$AW99,1)</f>
        <v>0</v>
      </c>
      <c r="BA99">
        <f>IF(AND(AU99=1,ISNUMBER(AW99)),$AW99,1)</f>
        <v>0</v>
      </c>
      <c r="BB99">
        <f>IF(ISNUMBER(AB99),INDEX(AllCollegeMoney, MATCH(N99,AllCollegeNCES,0)),0)</f>
        <v>0</v>
      </c>
      <c r="BC99">
        <f>IF(AND(AT99=1,ISNUMBER(AW99),BB99=1),$AW99,1)</f>
        <v>0</v>
      </c>
      <c r="BD99">
        <f>IF(AND(AU99=1,ISNUMBER(AW99),BB99=1),$AW99,1)</f>
        <v>0</v>
      </c>
      <c r="BE99">
        <f>IF(ISNUMBER(AB99),INDEX(AllCollegeILPub, MATCH(N99,AllCollegeNCES,0)),0)</f>
        <v>0</v>
      </c>
      <c r="BF99">
        <f>IF(AN99=ReachLabel,AS99,0)</f>
        <v>0</v>
      </c>
      <c r="BG99">
        <f>IF(AN99=MatchLabel,AS99,0)</f>
        <v>0</v>
      </c>
      <c r="BH99">
        <f>IF(AN99=SafetyLabel,AS99,0)</f>
        <v>0</v>
      </c>
      <c r="BI99">
        <f>IF(AN99=SecureLabel,AS99,0)</f>
        <v>0</v>
      </c>
      <c r="BJ99">
        <f>IF(AN99=SureThingLabel,AS99,0)</f>
        <v>0</v>
      </c>
      <c r="BK99">
        <f>MAX(BF99:BJ99)</f>
        <v>0</v>
      </c>
      <c r="BL99">
        <f>MAX(BG99:BJ99)</f>
        <v>0</v>
      </c>
      <c r="BM99">
        <f>MAX(BH99:BJ99)</f>
        <v>0</v>
      </c>
      <c r="BN99">
        <f>IF(AND(AN99=ReachLabel,BB99=1),AS99,0)</f>
        <v>0</v>
      </c>
      <c r="BO99">
        <f>IF(AND(AN99=MatchLabel,BB99=1),AS99,0)</f>
        <v>0</v>
      </c>
      <c r="BP99">
        <f>IF(AND(AN99=SafetyLabel,BB99=1),AS99,0)</f>
        <v>0</v>
      </c>
      <c r="BQ99">
        <f>IF(AND(AN99=SecureLabel,BB99=1),AS99,0)</f>
        <v>0</v>
      </c>
      <c r="BR99">
        <f>IF(AND(AN99=SureThingLabel,BB99=1),AS99,0)</f>
        <v>0</v>
      </c>
      <c r="BS99">
        <f>MAX(BN99:BR99)</f>
        <v>0</v>
      </c>
      <c r="BT99">
        <f>MAX(BO99:BR99)</f>
        <v>0</v>
      </c>
      <c r="BU99">
        <f>MAX(BP99:BR99)</f>
        <v>0</v>
      </c>
      <c r="BV99">
        <f>IF(ISNUMBER(AB99),INDEX(AllCollegeChicago, MATCH(N99,AllCollegeNCES,0))*BB99,0)</f>
        <v>0</v>
      </c>
      <c r="BW99">
        <f>IF(ISNUMBER(AB99),INDEX(AllCollegeMoneyCode, MATCH(N99,AllCollegeNCES,0)),"?")</f>
        <v>0</v>
      </c>
      <c r="BX99">
        <f>IF(OR(BW99="---",BW99="--",BW99="+/--",BW99="+/---"),1,0)</f>
        <v>0</v>
      </c>
      <c r="BY99">
        <f>BB99*AR99*AT99</f>
        <v>0</v>
      </c>
    </row>
    <row r="100" spans="1:77">
      <c r="A100" t="s">
        <v>96</v>
      </c>
      <c r="B100">
        <v>22410481</v>
      </c>
      <c r="C100" t="s">
        <v>194</v>
      </c>
      <c r="D100" t="s">
        <v>195</v>
      </c>
      <c r="E100" t="s">
        <v>446</v>
      </c>
      <c r="F100" t="s">
        <v>461</v>
      </c>
      <c r="G100" t="s">
        <v>448</v>
      </c>
      <c r="H100" t="s">
        <v>449</v>
      </c>
      <c r="I100" t="s">
        <v>450</v>
      </c>
      <c r="J100" t="s">
        <v>450</v>
      </c>
      <c r="K100">
        <v>0</v>
      </c>
      <c r="L100" t="s">
        <v>446</v>
      </c>
      <c r="M100" t="s">
        <v>446</v>
      </c>
      <c r="N100">
        <v>147536</v>
      </c>
      <c r="O100">
        <f>INDEX(Counselor,MATCH(B100,KidIDs,0))</f>
        <v>0</v>
      </c>
      <c r="P100">
        <f>INDEX(Advisors,MATCH(B100,KidIDs,0))</f>
        <v>0</v>
      </c>
      <c r="Q100">
        <f>INDEX(Cohort,MATCH(B100,KidIDs,0))</f>
        <v>0</v>
      </c>
      <c r="R100">
        <f>INDEX(AllCollegeBarrons,MATCH(N100,AllCollegeNCES,0))</f>
        <v>0</v>
      </c>
      <c r="S100">
        <f>INDEX(KidGPAs,MATCH(B100,KidIDs,0))</f>
        <v>0</v>
      </c>
      <c r="T100">
        <f>INDEX(KidSATs,MATCH(B100,KidIDs,0))</f>
        <v>0</v>
      </c>
      <c r="U100">
        <f>INDEX(Strats,MATCH(B100,KidIDs,0))</f>
        <v>0</v>
      </c>
      <c r="V100">
        <f>INDEX(KidRace,MATCH(B100,KidIDs,0))</f>
        <v>0</v>
      </c>
      <c r="W100">
        <f>IF(OR(V100="M",V100="I"),"H",IF(V100="P","A",V100))</f>
        <v>0</v>
      </c>
      <c r="X100">
        <f>INDEX(StudentTargets,MATCH(B100,KidIDs,0))</f>
        <v>0</v>
      </c>
      <c r="Y100">
        <f>INDEX(ReachStudentTargets,MATCH(B100,KidIDs,0))</f>
        <v>0</v>
      </c>
      <c r="Z100">
        <f>IF(OR(M100="Posse"),1,0)</f>
        <v>0</v>
      </c>
      <c r="AA100">
        <f>IF(ISNUMBER(INDEX(AllCollegeGR, MATCH(N100,AllCollegeNCES,0))),ROUND(INDEX(AllCollegeGR, MATCH(N100,AllCollegeNCES,0))+Z100*IF(INDEX(AllCollegeGR, MATCH(N100,AllCollegeNCES,0))&gt;0.7,(1-INDEX(AllCollegeGR, MATCH(N100,AllCollegeNCES,0)))/2,0.15),2),INDEX(AllCollegeGR, MATCH(N100,AllCollegeNCES,0)))</f>
        <v>0</v>
      </c>
      <c r="AB100">
        <f>IF(ISNUMBER(INDEX(AllCollegeAAHGR, MATCH(N100,AllCollegeNCES,0))),ROUND(INDEX(AllCollegeAAHGR, MATCH(N100,AllCollegeNCES,0))+Z100*IF(INDEX(AllCollegeAAHGR, MATCH(N100,AllCollegeNCES,0))&gt;0.7,(1-INDEX(AllCollegeAAHGR, MATCH(N100,AllCollegeNCES,0)))/2,0.15),2),INDEX(AllCollegeAAHGR, MATCH(N100,AllCollegeNCES,0)))</f>
        <v>0</v>
      </c>
      <c r="AC100">
        <f>IF(OR(W100="H",W100="B"),INDEX(AllCollegeSAT25, MATCH(N100,AllCollegeNCES,0)),INDEX(AllCollegeSAT50, MATCH(N100,AllCollegeNCES,0)))</f>
        <v>0</v>
      </c>
      <c r="AD100">
        <f>INDEX(CustomWeightsGPA,MATCH(W100&amp;":"&amp;N100,CustomWeightsIndex,0))</f>
        <v>0</v>
      </c>
      <c r="AE100">
        <f>INDEX(CustomWeightsSAT,MATCH(W100&amp;":"&amp;N100,CustomWeightsIndex,0))</f>
        <v>0</v>
      </c>
      <c r="AF100">
        <f>INDEX(CustomWeightsIntercept,MATCH(W100&amp;":"&amp;N100,CustomWeightsIndex,0))</f>
        <v>0</v>
      </c>
      <c r="AG100">
        <f>AD100*S100+AE100*T100+AF100</f>
        <v>0</v>
      </c>
      <c r="AH100">
        <f>INDEX(CoefficientsGPA,MATCH(W100&amp;":"&amp;R100,CoefficientsIndex,0))</f>
        <v>0</v>
      </c>
      <c r="AI100">
        <f>INDEX(CoefficientsSAT,MATCH(W100&amp;":"&amp;R100,CoefficientsIndex,0))</f>
        <v>0</v>
      </c>
      <c r="AJ100">
        <f>INDEX(CoefficientsIntercept,MATCH(W100&amp;":"&amp;R100,CoefficientsIndex,0))</f>
        <v>0</v>
      </c>
      <c r="AK100">
        <f>AH100*S100+(T100-AC100)*AI100+AJ100</f>
        <v>0</v>
      </c>
      <c r="AL100">
        <f>IF(ISNUMBER(AG100),AG100,AK100)</f>
        <v>0</v>
      </c>
      <c r="AM100">
        <f>IF(ISNUMBER(AL100),IF(ISNUMBER(AH100),IF(AND(AH100=1,AI100=1,AJ100=1),100,MIN(99,ROUND(100*EXP(AL100)/(1+EXP(AL100)),2))),MIN(99,ROUND(100*EXP(AL100)/(1+EXP(AL100)),2))),IF(ISTEXT(R100),IF(LEFT(R100,1)="2",100,"N/A"),"N/A"))</f>
        <v>0</v>
      </c>
      <c r="AN100">
        <f>IF(ISNUMBER(AM100),IF(AM100&gt;=99,IF(OR(U100=10,U100=11),MatchLabel,SureThingLabel),IF(AM100&gt;=95,SecureLabel,IF(AM100&gt;=80,SafetyLabel,IF(AM100&gt;=50,MatchLabel,IF(AM100&gt;=20,ReachLabel,IF(AM100&gt;=10,LongshotLabel,HailMaryLabel)))))),"Other")</f>
        <v>0</v>
      </c>
      <c r="AO100">
        <f>IF(OR(I100="accepted",I100="cond. accept",I100="summer admit"),IF(J100="yes","CHOICE!","Accepted!"),IF(I100="guar. transfer","Guar. Xfer",IF(I100="denied","Denied",IF(K100=1,"Waitlist",IF(L100=1,"Deferred",IF(G100="pending","Pending",IF(OR(G100="initial materials submitted",G100="mid-year submitted",G100="final submitted"),"Submitted",IF(H100="interest","Interest","?"))))))))</f>
        <v>0</v>
      </c>
      <c r="AP100">
        <f>IF(OR(AN100=ReachLabel,AN100=LongshotLabel,AN100=HailMaryLabel),1,0)</f>
        <v>0</v>
      </c>
      <c r="AQ100">
        <f>IF(OR(AP100=1,AN100=MatchLabel),1,0)</f>
        <v>0</v>
      </c>
      <c r="AR100">
        <f>IF(OR(AN100=MatchLabel,AN100=SafetyLabel,AN100=SecureLabel,AN100=SureThingLabel),1,0)</f>
        <v>0</v>
      </c>
      <c r="AS100">
        <f>IF(OR(W100="H",W100="B",W100="I",W100="M"),IF(ISNUMBER(AB100),ROUND(AB100,2),0),IF(ISNUMBER(AA100),ROUND(AA100,2),0))</f>
        <v>0</v>
      </c>
      <c r="AT100">
        <f>IF(AS100&gt;=X100,1,0)</f>
        <v>0</v>
      </c>
      <c r="AU100">
        <f>IF(AS100&gt;=Y100,1,0)</f>
        <v>0</v>
      </c>
      <c r="AV100">
        <f>IF(AS100&lt;(X100-0.10),1,0)</f>
        <v>0</v>
      </c>
      <c r="AW100">
        <f>1-AM100/100</f>
        <v>0</v>
      </c>
      <c r="AX100">
        <f>IF(AQ100=1,AW100,1)</f>
        <v>0</v>
      </c>
      <c r="AY100">
        <f>IF(AP100=1,AW100,1)</f>
        <v>0</v>
      </c>
      <c r="AZ100">
        <f>IF(AND(AT100=1,ISNUMBER(AW100)),$AW100,1)</f>
        <v>0</v>
      </c>
      <c r="BA100">
        <f>IF(AND(AU100=1,ISNUMBER(AW100)),$AW100,1)</f>
        <v>0</v>
      </c>
      <c r="BB100">
        <f>IF(ISNUMBER(AB100),INDEX(AllCollegeMoney, MATCH(N100,AllCollegeNCES,0)),0)</f>
        <v>0</v>
      </c>
      <c r="BC100">
        <f>IF(AND(AT100=1,ISNUMBER(AW100),BB100=1),$AW100,1)</f>
        <v>0</v>
      </c>
      <c r="BD100">
        <f>IF(AND(AU100=1,ISNUMBER(AW100),BB100=1),$AW100,1)</f>
        <v>0</v>
      </c>
      <c r="BE100">
        <f>IF(ISNUMBER(AB100),INDEX(AllCollegeILPub, MATCH(N100,AllCollegeNCES,0)),0)</f>
        <v>0</v>
      </c>
      <c r="BF100">
        <f>IF(AN100=ReachLabel,AS100,0)</f>
        <v>0</v>
      </c>
      <c r="BG100">
        <f>IF(AN100=MatchLabel,AS100,0)</f>
        <v>0</v>
      </c>
      <c r="BH100">
        <f>IF(AN100=SafetyLabel,AS100,0)</f>
        <v>0</v>
      </c>
      <c r="BI100">
        <f>IF(AN100=SecureLabel,AS100,0)</f>
        <v>0</v>
      </c>
      <c r="BJ100">
        <f>IF(AN100=SureThingLabel,AS100,0)</f>
        <v>0</v>
      </c>
      <c r="BK100">
        <f>MAX(BF100:BJ100)</f>
        <v>0</v>
      </c>
      <c r="BL100">
        <f>MAX(BG100:BJ100)</f>
        <v>0</v>
      </c>
      <c r="BM100">
        <f>MAX(BH100:BJ100)</f>
        <v>0</v>
      </c>
      <c r="BN100">
        <f>IF(AND(AN100=ReachLabel,BB100=1),AS100,0)</f>
        <v>0</v>
      </c>
      <c r="BO100">
        <f>IF(AND(AN100=MatchLabel,BB100=1),AS100,0)</f>
        <v>0</v>
      </c>
      <c r="BP100">
        <f>IF(AND(AN100=SafetyLabel,BB100=1),AS100,0)</f>
        <v>0</v>
      </c>
      <c r="BQ100">
        <f>IF(AND(AN100=SecureLabel,BB100=1),AS100,0)</f>
        <v>0</v>
      </c>
      <c r="BR100">
        <f>IF(AND(AN100=SureThingLabel,BB100=1),AS100,0)</f>
        <v>0</v>
      </c>
      <c r="BS100">
        <f>MAX(BN100:BR100)</f>
        <v>0</v>
      </c>
      <c r="BT100">
        <f>MAX(BO100:BR100)</f>
        <v>0</v>
      </c>
      <c r="BU100">
        <f>MAX(BP100:BR100)</f>
        <v>0</v>
      </c>
      <c r="BV100">
        <f>IF(ISNUMBER(AB100),INDEX(AllCollegeChicago, MATCH(N100,AllCollegeNCES,0))*BB100,0)</f>
        <v>0</v>
      </c>
      <c r="BW100">
        <f>IF(ISNUMBER(AB100),INDEX(AllCollegeMoneyCode, MATCH(N100,AllCollegeNCES,0)),"?")</f>
        <v>0</v>
      </c>
      <c r="BX100">
        <f>IF(OR(BW100="---",BW100="--",BW100="+/--",BW100="+/---"),1,0)</f>
        <v>0</v>
      </c>
      <c r="BY100">
        <f>BB100*AR100*AT100</f>
        <v>0</v>
      </c>
    </row>
    <row r="101" spans="1:77">
      <c r="A101" t="s">
        <v>96</v>
      </c>
      <c r="B101">
        <v>22410481</v>
      </c>
      <c r="C101" t="s">
        <v>194</v>
      </c>
      <c r="D101" t="s">
        <v>195</v>
      </c>
      <c r="E101" t="s">
        <v>446</v>
      </c>
      <c r="F101" t="s">
        <v>508</v>
      </c>
      <c r="G101" t="s">
        <v>448</v>
      </c>
      <c r="H101" t="s">
        <v>449</v>
      </c>
      <c r="I101" t="s">
        <v>450</v>
      </c>
      <c r="J101" t="s">
        <v>450</v>
      </c>
      <c r="K101">
        <v>0</v>
      </c>
      <c r="L101" t="s">
        <v>446</v>
      </c>
      <c r="M101" t="s">
        <v>446</v>
      </c>
      <c r="N101">
        <v>147411</v>
      </c>
      <c r="O101">
        <f>INDEX(Counselor,MATCH(B101,KidIDs,0))</f>
        <v>0</v>
      </c>
      <c r="P101">
        <f>INDEX(Advisors,MATCH(B101,KidIDs,0))</f>
        <v>0</v>
      </c>
      <c r="Q101">
        <f>INDEX(Cohort,MATCH(B101,KidIDs,0))</f>
        <v>0</v>
      </c>
      <c r="R101">
        <f>INDEX(AllCollegeBarrons,MATCH(N101,AllCollegeNCES,0))</f>
        <v>0</v>
      </c>
      <c r="S101">
        <f>INDEX(KidGPAs,MATCH(B101,KidIDs,0))</f>
        <v>0</v>
      </c>
      <c r="T101">
        <f>INDEX(KidSATs,MATCH(B101,KidIDs,0))</f>
        <v>0</v>
      </c>
      <c r="U101">
        <f>INDEX(Strats,MATCH(B101,KidIDs,0))</f>
        <v>0</v>
      </c>
      <c r="V101">
        <f>INDEX(KidRace,MATCH(B101,KidIDs,0))</f>
        <v>0</v>
      </c>
      <c r="W101">
        <f>IF(OR(V101="M",V101="I"),"H",IF(V101="P","A",V101))</f>
        <v>0</v>
      </c>
      <c r="X101">
        <f>INDEX(StudentTargets,MATCH(B101,KidIDs,0))</f>
        <v>0</v>
      </c>
      <c r="Y101">
        <f>INDEX(ReachStudentTargets,MATCH(B101,KidIDs,0))</f>
        <v>0</v>
      </c>
      <c r="Z101">
        <f>IF(OR(M101="Posse"),1,0)</f>
        <v>0</v>
      </c>
      <c r="AA101">
        <f>IF(ISNUMBER(INDEX(AllCollegeGR, MATCH(N101,AllCollegeNCES,0))),ROUND(INDEX(AllCollegeGR, MATCH(N101,AllCollegeNCES,0))+Z101*IF(INDEX(AllCollegeGR, MATCH(N101,AllCollegeNCES,0))&gt;0.7,(1-INDEX(AllCollegeGR, MATCH(N101,AllCollegeNCES,0)))/2,0.15),2),INDEX(AllCollegeGR, MATCH(N101,AllCollegeNCES,0)))</f>
        <v>0</v>
      </c>
      <c r="AB101">
        <f>IF(ISNUMBER(INDEX(AllCollegeAAHGR, MATCH(N101,AllCollegeNCES,0))),ROUND(INDEX(AllCollegeAAHGR, MATCH(N101,AllCollegeNCES,0))+Z101*IF(INDEX(AllCollegeAAHGR, MATCH(N101,AllCollegeNCES,0))&gt;0.7,(1-INDEX(AllCollegeAAHGR, MATCH(N101,AllCollegeNCES,0)))/2,0.15),2),INDEX(AllCollegeAAHGR, MATCH(N101,AllCollegeNCES,0)))</f>
        <v>0</v>
      </c>
      <c r="AC101">
        <f>IF(OR(W101="H",W101="B"),INDEX(AllCollegeSAT25, MATCH(N101,AllCollegeNCES,0)),INDEX(AllCollegeSAT50, MATCH(N101,AllCollegeNCES,0)))</f>
        <v>0</v>
      </c>
      <c r="AD101">
        <f>INDEX(CustomWeightsGPA,MATCH(W101&amp;":"&amp;N101,CustomWeightsIndex,0))</f>
        <v>0</v>
      </c>
      <c r="AE101">
        <f>INDEX(CustomWeightsSAT,MATCH(W101&amp;":"&amp;N101,CustomWeightsIndex,0))</f>
        <v>0</v>
      </c>
      <c r="AF101">
        <f>INDEX(CustomWeightsIntercept,MATCH(W101&amp;":"&amp;N101,CustomWeightsIndex,0))</f>
        <v>0</v>
      </c>
      <c r="AG101">
        <f>AD101*S101+AE101*T101+AF101</f>
        <v>0</v>
      </c>
      <c r="AH101">
        <f>INDEX(CoefficientsGPA,MATCH(W101&amp;":"&amp;R101,CoefficientsIndex,0))</f>
        <v>0</v>
      </c>
      <c r="AI101">
        <f>INDEX(CoefficientsSAT,MATCH(W101&amp;":"&amp;R101,CoefficientsIndex,0))</f>
        <v>0</v>
      </c>
      <c r="AJ101">
        <f>INDEX(CoefficientsIntercept,MATCH(W101&amp;":"&amp;R101,CoefficientsIndex,0))</f>
        <v>0</v>
      </c>
      <c r="AK101">
        <f>AH101*S101+(T101-AC101)*AI101+AJ101</f>
        <v>0</v>
      </c>
      <c r="AL101">
        <f>IF(ISNUMBER(AG101),AG101,AK101)</f>
        <v>0</v>
      </c>
      <c r="AM101">
        <f>IF(ISNUMBER(AL101),IF(ISNUMBER(AH101),IF(AND(AH101=1,AI101=1,AJ101=1),100,MIN(99,ROUND(100*EXP(AL101)/(1+EXP(AL101)),2))),MIN(99,ROUND(100*EXP(AL101)/(1+EXP(AL101)),2))),IF(ISTEXT(R101),IF(LEFT(R101,1)="2",100,"N/A"),"N/A"))</f>
        <v>0</v>
      </c>
      <c r="AN101">
        <f>IF(ISNUMBER(AM101),IF(AM101&gt;=99,IF(OR(U101=10,U101=11),MatchLabel,SureThingLabel),IF(AM101&gt;=95,SecureLabel,IF(AM101&gt;=80,SafetyLabel,IF(AM101&gt;=50,MatchLabel,IF(AM101&gt;=20,ReachLabel,IF(AM101&gt;=10,LongshotLabel,HailMaryLabel)))))),"Other")</f>
        <v>0</v>
      </c>
      <c r="AO101">
        <f>IF(OR(I101="accepted",I101="cond. accept",I101="summer admit"),IF(J101="yes","CHOICE!","Accepted!"),IF(I101="guar. transfer","Guar. Xfer",IF(I101="denied","Denied",IF(K101=1,"Waitlist",IF(L101=1,"Deferred",IF(G101="pending","Pending",IF(OR(G101="initial materials submitted",G101="mid-year submitted",G101="final submitted"),"Submitted",IF(H101="interest","Interest","?"))))))))</f>
        <v>0</v>
      </c>
      <c r="AP101">
        <f>IF(OR(AN101=ReachLabel,AN101=LongshotLabel,AN101=HailMaryLabel),1,0)</f>
        <v>0</v>
      </c>
      <c r="AQ101">
        <f>IF(OR(AP101=1,AN101=MatchLabel),1,0)</f>
        <v>0</v>
      </c>
      <c r="AR101">
        <f>IF(OR(AN101=MatchLabel,AN101=SafetyLabel,AN101=SecureLabel,AN101=SureThingLabel),1,0)</f>
        <v>0</v>
      </c>
      <c r="AS101">
        <f>IF(OR(W101="H",W101="B",W101="I",W101="M"),IF(ISNUMBER(AB101),ROUND(AB101,2),0),IF(ISNUMBER(AA101),ROUND(AA101,2),0))</f>
        <v>0</v>
      </c>
      <c r="AT101">
        <f>IF(AS101&gt;=X101,1,0)</f>
        <v>0</v>
      </c>
      <c r="AU101">
        <f>IF(AS101&gt;=Y101,1,0)</f>
        <v>0</v>
      </c>
      <c r="AV101">
        <f>IF(AS101&lt;(X101-0.10),1,0)</f>
        <v>0</v>
      </c>
      <c r="AW101">
        <f>1-AM101/100</f>
        <v>0</v>
      </c>
      <c r="AX101">
        <f>IF(AQ101=1,AW101,1)</f>
        <v>0</v>
      </c>
      <c r="AY101">
        <f>IF(AP101=1,AW101,1)</f>
        <v>0</v>
      </c>
      <c r="AZ101">
        <f>IF(AND(AT101=1,ISNUMBER(AW101)),$AW101,1)</f>
        <v>0</v>
      </c>
      <c r="BA101">
        <f>IF(AND(AU101=1,ISNUMBER(AW101)),$AW101,1)</f>
        <v>0</v>
      </c>
      <c r="BB101">
        <f>IF(ISNUMBER(AB101),INDEX(AllCollegeMoney, MATCH(N101,AllCollegeNCES,0)),0)</f>
        <v>0</v>
      </c>
      <c r="BC101">
        <f>IF(AND(AT101=1,ISNUMBER(AW101),BB101=1),$AW101,1)</f>
        <v>0</v>
      </c>
      <c r="BD101">
        <f>IF(AND(AU101=1,ISNUMBER(AW101),BB101=1),$AW101,1)</f>
        <v>0</v>
      </c>
      <c r="BE101">
        <f>IF(ISNUMBER(AB101),INDEX(AllCollegeILPub, MATCH(N101,AllCollegeNCES,0)),0)</f>
        <v>0</v>
      </c>
      <c r="BF101">
        <f>IF(AN101=ReachLabel,AS101,0)</f>
        <v>0</v>
      </c>
      <c r="BG101">
        <f>IF(AN101=MatchLabel,AS101,0)</f>
        <v>0</v>
      </c>
      <c r="BH101">
        <f>IF(AN101=SafetyLabel,AS101,0)</f>
        <v>0</v>
      </c>
      <c r="BI101">
        <f>IF(AN101=SecureLabel,AS101,0)</f>
        <v>0</v>
      </c>
      <c r="BJ101">
        <f>IF(AN101=SureThingLabel,AS101,0)</f>
        <v>0</v>
      </c>
      <c r="BK101">
        <f>MAX(BF101:BJ101)</f>
        <v>0</v>
      </c>
      <c r="BL101">
        <f>MAX(BG101:BJ101)</f>
        <v>0</v>
      </c>
      <c r="BM101">
        <f>MAX(BH101:BJ101)</f>
        <v>0</v>
      </c>
      <c r="BN101">
        <f>IF(AND(AN101=ReachLabel,BB101=1),AS101,0)</f>
        <v>0</v>
      </c>
      <c r="BO101">
        <f>IF(AND(AN101=MatchLabel,BB101=1),AS101,0)</f>
        <v>0</v>
      </c>
      <c r="BP101">
        <f>IF(AND(AN101=SafetyLabel,BB101=1),AS101,0)</f>
        <v>0</v>
      </c>
      <c r="BQ101">
        <f>IF(AND(AN101=SecureLabel,BB101=1),AS101,0)</f>
        <v>0</v>
      </c>
      <c r="BR101">
        <f>IF(AND(AN101=SureThingLabel,BB101=1),AS101,0)</f>
        <v>0</v>
      </c>
      <c r="BS101">
        <f>MAX(BN101:BR101)</f>
        <v>0</v>
      </c>
      <c r="BT101">
        <f>MAX(BO101:BR101)</f>
        <v>0</v>
      </c>
      <c r="BU101">
        <f>MAX(BP101:BR101)</f>
        <v>0</v>
      </c>
      <c r="BV101">
        <f>IF(ISNUMBER(AB101),INDEX(AllCollegeChicago, MATCH(N101,AllCollegeNCES,0))*BB101,0)</f>
        <v>0</v>
      </c>
      <c r="BW101">
        <f>IF(ISNUMBER(AB101),INDEX(AllCollegeMoneyCode, MATCH(N101,AllCollegeNCES,0)),"?")</f>
        <v>0</v>
      </c>
      <c r="BX101">
        <f>IF(OR(BW101="---",BW101="--",BW101="+/--",BW101="+/---"),1,0)</f>
        <v>0</v>
      </c>
      <c r="BY101">
        <f>BB101*AR101*AT101</f>
        <v>0</v>
      </c>
    </row>
    <row r="102" spans="1:77">
      <c r="A102" t="s">
        <v>96</v>
      </c>
      <c r="B102">
        <v>22410481</v>
      </c>
      <c r="C102" t="s">
        <v>194</v>
      </c>
      <c r="D102" t="s">
        <v>195</v>
      </c>
      <c r="E102" t="s">
        <v>446</v>
      </c>
      <c r="F102" t="s">
        <v>509</v>
      </c>
      <c r="G102" t="s">
        <v>448</v>
      </c>
      <c r="H102" t="s">
        <v>449</v>
      </c>
      <c r="I102" t="s">
        <v>450</v>
      </c>
      <c r="J102" t="s">
        <v>450</v>
      </c>
      <c r="K102">
        <v>0</v>
      </c>
      <c r="L102" t="s">
        <v>446</v>
      </c>
      <c r="M102" t="s">
        <v>446</v>
      </c>
      <c r="N102">
        <v>135717</v>
      </c>
      <c r="O102">
        <f>INDEX(Counselor,MATCH(B102,KidIDs,0))</f>
        <v>0</v>
      </c>
      <c r="P102">
        <f>INDEX(Advisors,MATCH(B102,KidIDs,0))</f>
        <v>0</v>
      </c>
      <c r="Q102">
        <f>INDEX(Cohort,MATCH(B102,KidIDs,0))</f>
        <v>0</v>
      </c>
      <c r="R102">
        <f>INDEX(AllCollegeBarrons,MATCH(N102,AllCollegeNCES,0))</f>
        <v>0</v>
      </c>
      <c r="S102">
        <f>INDEX(KidGPAs,MATCH(B102,KidIDs,0))</f>
        <v>0</v>
      </c>
      <c r="T102">
        <f>INDEX(KidSATs,MATCH(B102,KidIDs,0))</f>
        <v>0</v>
      </c>
      <c r="U102">
        <f>INDEX(Strats,MATCH(B102,KidIDs,0))</f>
        <v>0</v>
      </c>
      <c r="V102">
        <f>INDEX(KidRace,MATCH(B102,KidIDs,0))</f>
        <v>0</v>
      </c>
      <c r="W102">
        <f>IF(OR(V102="M",V102="I"),"H",IF(V102="P","A",V102))</f>
        <v>0</v>
      </c>
      <c r="X102">
        <f>INDEX(StudentTargets,MATCH(B102,KidIDs,0))</f>
        <v>0</v>
      </c>
      <c r="Y102">
        <f>INDEX(ReachStudentTargets,MATCH(B102,KidIDs,0))</f>
        <v>0</v>
      </c>
      <c r="Z102">
        <f>IF(OR(M102="Posse"),1,0)</f>
        <v>0</v>
      </c>
      <c r="AA102">
        <f>IF(ISNUMBER(INDEX(AllCollegeGR, MATCH(N102,AllCollegeNCES,0))),ROUND(INDEX(AllCollegeGR, MATCH(N102,AllCollegeNCES,0))+Z102*IF(INDEX(AllCollegeGR, MATCH(N102,AllCollegeNCES,0))&gt;0.7,(1-INDEX(AllCollegeGR, MATCH(N102,AllCollegeNCES,0)))/2,0.15),2),INDEX(AllCollegeGR, MATCH(N102,AllCollegeNCES,0)))</f>
        <v>0</v>
      </c>
      <c r="AB102">
        <f>IF(ISNUMBER(INDEX(AllCollegeAAHGR, MATCH(N102,AllCollegeNCES,0))),ROUND(INDEX(AllCollegeAAHGR, MATCH(N102,AllCollegeNCES,0))+Z102*IF(INDEX(AllCollegeAAHGR, MATCH(N102,AllCollegeNCES,0))&gt;0.7,(1-INDEX(AllCollegeAAHGR, MATCH(N102,AllCollegeNCES,0)))/2,0.15),2),INDEX(AllCollegeAAHGR, MATCH(N102,AllCollegeNCES,0)))</f>
        <v>0</v>
      </c>
      <c r="AC102">
        <f>IF(OR(W102="H",W102="B"),INDEX(AllCollegeSAT25, MATCH(N102,AllCollegeNCES,0)),INDEX(AllCollegeSAT50, MATCH(N102,AllCollegeNCES,0)))</f>
        <v>0</v>
      </c>
      <c r="AD102">
        <f>INDEX(CustomWeightsGPA,MATCH(W102&amp;":"&amp;N102,CustomWeightsIndex,0))</f>
        <v>0</v>
      </c>
      <c r="AE102">
        <f>INDEX(CustomWeightsSAT,MATCH(W102&amp;":"&amp;N102,CustomWeightsIndex,0))</f>
        <v>0</v>
      </c>
      <c r="AF102">
        <f>INDEX(CustomWeightsIntercept,MATCH(W102&amp;":"&amp;N102,CustomWeightsIndex,0))</f>
        <v>0</v>
      </c>
      <c r="AG102">
        <f>AD102*S102+AE102*T102+AF102</f>
        <v>0</v>
      </c>
      <c r="AH102">
        <f>INDEX(CoefficientsGPA,MATCH(W102&amp;":"&amp;R102,CoefficientsIndex,0))</f>
        <v>0</v>
      </c>
      <c r="AI102">
        <f>INDEX(CoefficientsSAT,MATCH(W102&amp;":"&amp;R102,CoefficientsIndex,0))</f>
        <v>0</v>
      </c>
      <c r="AJ102">
        <f>INDEX(CoefficientsIntercept,MATCH(W102&amp;":"&amp;R102,CoefficientsIndex,0))</f>
        <v>0</v>
      </c>
      <c r="AK102">
        <f>AH102*S102+(T102-AC102)*AI102+AJ102</f>
        <v>0</v>
      </c>
      <c r="AL102">
        <f>IF(ISNUMBER(AG102),AG102,AK102)</f>
        <v>0</v>
      </c>
      <c r="AM102">
        <f>IF(ISNUMBER(AL102),IF(ISNUMBER(AH102),IF(AND(AH102=1,AI102=1,AJ102=1),100,MIN(99,ROUND(100*EXP(AL102)/(1+EXP(AL102)),2))),MIN(99,ROUND(100*EXP(AL102)/(1+EXP(AL102)),2))),IF(ISTEXT(R102),IF(LEFT(R102,1)="2",100,"N/A"),"N/A"))</f>
        <v>0</v>
      </c>
      <c r="AN102">
        <f>IF(ISNUMBER(AM102),IF(AM102&gt;=99,IF(OR(U102=10,U102=11),MatchLabel,SureThingLabel),IF(AM102&gt;=95,SecureLabel,IF(AM102&gt;=80,SafetyLabel,IF(AM102&gt;=50,MatchLabel,IF(AM102&gt;=20,ReachLabel,IF(AM102&gt;=10,LongshotLabel,HailMaryLabel)))))),"Other")</f>
        <v>0</v>
      </c>
      <c r="AO102">
        <f>IF(OR(I102="accepted",I102="cond. accept",I102="summer admit"),IF(J102="yes","CHOICE!","Accepted!"),IF(I102="guar. transfer","Guar. Xfer",IF(I102="denied","Denied",IF(K102=1,"Waitlist",IF(L102=1,"Deferred",IF(G102="pending","Pending",IF(OR(G102="initial materials submitted",G102="mid-year submitted",G102="final submitted"),"Submitted",IF(H102="interest","Interest","?"))))))))</f>
        <v>0</v>
      </c>
      <c r="AP102">
        <f>IF(OR(AN102=ReachLabel,AN102=LongshotLabel,AN102=HailMaryLabel),1,0)</f>
        <v>0</v>
      </c>
      <c r="AQ102">
        <f>IF(OR(AP102=1,AN102=MatchLabel),1,0)</f>
        <v>0</v>
      </c>
      <c r="AR102">
        <f>IF(OR(AN102=MatchLabel,AN102=SafetyLabel,AN102=SecureLabel,AN102=SureThingLabel),1,0)</f>
        <v>0</v>
      </c>
      <c r="AS102">
        <f>IF(OR(W102="H",W102="B",W102="I",W102="M"),IF(ISNUMBER(AB102),ROUND(AB102,2),0),IF(ISNUMBER(AA102),ROUND(AA102,2),0))</f>
        <v>0</v>
      </c>
      <c r="AT102">
        <f>IF(AS102&gt;=X102,1,0)</f>
        <v>0</v>
      </c>
      <c r="AU102">
        <f>IF(AS102&gt;=Y102,1,0)</f>
        <v>0</v>
      </c>
      <c r="AV102">
        <f>IF(AS102&lt;(X102-0.10),1,0)</f>
        <v>0</v>
      </c>
      <c r="AW102">
        <f>1-AM102/100</f>
        <v>0</v>
      </c>
      <c r="AX102">
        <f>IF(AQ102=1,AW102,1)</f>
        <v>0</v>
      </c>
      <c r="AY102">
        <f>IF(AP102=1,AW102,1)</f>
        <v>0</v>
      </c>
      <c r="AZ102">
        <f>IF(AND(AT102=1,ISNUMBER(AW102)),$AW102,1)</f>
        <v>0</v>
      </c>
      <c r="BA102">
        <f>IF(AND(AU102=1,ISNUMBER(AW102)),$AW102,1)</f>
        <v>0</v>
      </c>
      <c r="BB102">
        <f>IF(ISNUMBER(AB102),INDEX(AllCollegeMoney, MATCH(N102,AllCollegeNCES,0)),0)</f>
        <v>0</v>
      </c>
      <c r="BC102">
        <f>IF(AND(AT102=1,ISNUMBER(AW102),BB102=1),$AW102,1)</f>
        <v>0</v>
      </c>
      <c r="BD102">
        <f>IF(AND(AU102=1,ISNUMBER(AW102),BB102=1),$AW102,1)</f>
        <v>0</v>
      </c>
      <c r="BE102">
        <f>IF(ISNUMBER(AB102),INDEX(AllCollegeILPub, MATCH(N102,AllCollegeNCES,0)),0)</f>
        <v>0</v>
      </c>
      <c r="BF102">
        <f>IF(AN102=ReachLabel,AS102,0)</f>
        <v>0</v>
      </c>
      <c r="BG102">
        <f>IF(AN102=MatchLabel,AS102,0)</f>
        <v>0</v>
      </c>
      <c r="BH102">
        <f>IF(AN102=SafetyLabel,AS102,0)</f>
        <v>0</v>
      </c>
      <c r="BI102">
        <f>IF(AN102=SecureLabel,AS102,0)</f>
        <v>0</v>
      </c>
      <c r="BJ102">
        <f>IF(AN102=SureThingLabel,AS102,0)</f>
        <v>0</v>
      </c>
      <c r="BK102">
        <f>MAX(BF102:BJ102)</f>
        <v>0</v>
      </c>
      <c r="BL102">
        <f>MAX(BG102:BJ102)</f>
        <v>0</v>
      </c>
      <c r="BM102">
        <f>MAX(BH102:BJ102)</f>
        <v>0</v>
      </c>
      <c r="BN102">
        <f>IF(AND(AN102=ReachLabel,BB102=1),AS102,0)</f>
        <v>0</v>
      </c>
      <c r="BO102">
        <f>IF(AND(AN102=MatchLabel,BB102=1),AS102,0)</f>
        <v>0</v>
      </c>
      <c r="BP102">
        <f>IF(AND(AN102=SafetyLabel,BB102=1),AS102,0)</f>
        <v>0</v>
      </c>
      <c r="BQ102">
        <f>IF(AND(AN102=SecureLabel,BB102=1),AS102,0)</f>
        <v>0</v>
      </c>
      <c r="BR102">
        <f>IF(AND(AN102=SureThingLabel,BB102=1),AS102,0)</f>
        <v>0</v>
      </c>
      <c r="BS102">
        <f>MAX(BN102:BR102)</f>
        <v>0</v>
      </c>
      <c r="BT102">
        <f>MAX(BO102:BR102)</f>
        <v>0</v>
      </c>
      <c r="BU102">
        <f>MAX(BP102:BR102)</f>
        <v>0</v>
      </c>
      <c r="BV102">
        <f>IF(ISNUMBER(AB102),INDEX(AllCollegeChicago, MATCH(N102,AllCollegeNCES,0))*BB102,0)</f>
        <v>0</v>
      </c>
      <c r="BW102">
        <f>IF(ISNUMBER(AB102),INDEX(AllCollegeMoneyCode, MATCH(N102,AllCollegeNCES,0)),"?")</f>
        <v>0</v>
      </c>
      <c r="BX102">
        <f>IF(OR(BW102="---",BW102="--",BW102="+/--",BW102="+/---"),1,0)</f>
        <v>0</v>
      </c>
      <c r="BY102">
        <f>BB102*AR102*AT102</f>
        <v>0</v>
      </c>
    </row>
    <row r="103" spans="1:77">
      <c r="A103" t="s">
        <v>96</v>
      </c>
      <c r="B103">
        <v>22410481</v>
      </c>
      <c r="C103" t="s">
        <v>194</v>
      </c>
      <c r="D103" t="s">
        <v>195</v>
      </c>
      <c r="E103" t="s">
        <v>446</v>
      </c>
      <c r="F103" t="s">
        <v>463</v>
      </c>
      <c r="G103" t="s">
        <v>448</v>
      </c>
      <c r="H103" t="s">
        <v>449</v>
      </c>
      <c r="I103" t="s">
        <v>450</v>
      </c>
      <c r="J103" t="s">
        <v>450</v>
      </c>
      <c r="K103">
        <v>0</v>
      </c>
      <c r="L103" t="s">
        <v>446</v>
      </c>
      <c r="M103" t="s">
        <v>446</v>
      </c>
      <c r="N103">
        <v>147776</v>
      </c>
      <c r="O103">
        <f>INDEX(Counselor,MATCH(B103,KidIDs,0))</f>
        <v>0</v>
      </c>
      <c r="P103">
        <f>INDEX(Advisors,MATCH(B103,KidIDs,0))</f>
        <v>0</v>
      </c>
      <c r="Q103">
        <f>INDEX(Cohort,MATCH(B103,KidIDs,0))</f>
        <v>0</v>
      </c>
      <c r="R103">
        <f>INDEX(AllCollegeBarrons,MATCH(N103,AllCollegeNCES,0))</f>
        <v>0</v>
      </c>
      <c r="S103">
        <f>INDEX(KidGPAs,MATCH(B103,KidIDs,0))</f>
        <v>0</v>
      </c>
      <c r="T103">
        <f>INDEX(KidSATs,MATCH(B103,KidIDs,0))</f>
        <v>0</v>
      </c>
      <c r="U103">
        <f>INDEX(Strats,MATCH(B103,KidIDs,0))</f>
        <v>0</v>
      </c>
      <c r="V103">
        <f>INDEX(KidRace,MATCH(B103,KidIDs,0))</f>
        <v>0</v>
      </c>
      <c r="W103">
        <f>IF(OR(V103="M",V103="I"),"H",IF(V103="P","A",V103))</f>
        <v>0</v>
      </c>
      <c r="X103">
        <f>INDEX(StudentTargets,MATCH(B103,KidIDs,0))</f>
        <v>0</v>
      </c>
      <c r="Y103">
        <f>INDEX(ReachStudentTargets,MATCH(B103,KidIDs,0))</f>
        <v>0</v>
      </c>
      <c r="Z103">
        <f>IF(OR(M103="Posse"),1,0)</f>
        <v>0</v>
      </c>
      <c r="AA103">
        <f>IF(ISNUMBER(INDEX(AllCollegeGR, MATCH(N103,AllCollegeNCES,0))),ROUND(INDEX(AllCollegeGR, MATCH(N103,AllCollegeNCES,0))+Z103*IF(INDEX(AllCollegeGR, MATCH(N103,AllCollegeNCES,0))&gt;0.7,(1-INDEX(AllCollegeGR, MATCH(N103,AllCollegeNCES,0)))/2,0.15),2),INDEX(AllCollegeGR, MATCH(N103,AllCollegeNCES,0)))</f>
        <v>0</v>
      </c>
      <c r="AB103">
        <f>IF(ISNUMBER(INDEX(AllCollegeAAHGR, MATCH(N103,AllCollegeNCES,0))),ROUND(INDEX(AllCollegeAAHGR, MATCH(N103,AllCollegeNCES,0))+Z103*IF(INDEX(AllCollegeAAHGR, MATCH(N103,AllCollegeNCES,0))&gt;0.7,(1-INDEX(AllCollegeAAHGR, MATCH(N103,AllCollegeNCES,0)))/2,0.15),2),INDEX(AllCollegeAAHGR, MATCH(N103,AllCollegeNCES,0)))</f>
        <v>0</v>
      </c>
      <c r="AC103">
        <f>IF(OR(W103="H",W103="B"),INDEX(AllCollegeSAT25, MATCH(N103,AllCollegeNCES,0)),INDEX(AllCollegeSAT50, MATCH(N103,AllCollegeNCES,0)))</f>
        <v>0</v>
      </c>
      <c r="AD103">
        <f>INDEX(CustomWeightsGPA,MATCH(W103&amp;":"&amp;N103,CustomWeightsIndex,0))</f>
        <v>0</v>
      </c>
      <c r="AE103">
        <f>INDEX(CustomWeightsSAT,MATCH(W103&amp;":"&amp;N103,CustomWeightsIndex,0))</f>
        <v>0</v>
      </c>
      <c r="AF103">
        <f>INDEX(CustomWeightsIntercept,MATCH(W103&amp;":"&amp;N103,CustomWeightsIndex,0))</f>
        <v>0</v>
      </c>
      <c r="AG103">
        <f>AD103*S103+AE103*T103+AF103</f>
        <v>0</v>
      </c>
      <c r="AH103">
        <f>INDEX(CoefficientsGPA,MATCH(W103&amp;":"&amp;R103,CoefficientsIndex,0))</f>
        <v>0</v>
      </c>
      <c r="AI103">
        <f>INDEX(CoefficientsSAT,MATCH(W103&amp;":"&amp;R103,CoefficientsIndex,0))</f>
        <v>0</v>
      </c>
      <c r="AJ103">
        <f>INDEX(CoefficientsIntercept,MATCH(W103&amp;":"&amp;R103,CoefficientsIndex,0))</f>
        <v>0</v>
      </c>
      <c r="AK103">
        <f>AH103*S103+(T103-AC103)*AI103+AJ103</f>
        <v>0</v>
      </c>
      <c r="AL103">
        <f>IF(ISNUMBER(AG103),AG103,AK103)</f>
        <v>0</v>
      </c>
      <c r="AM103">
        <f>IF(ISNUMBER(AL103),IF(ISNUMBER(AH103),IF(AND(AH103=1,AI103=1,AJ103=1),100,MIN(99,ROUND(100*EXP(AL103)/(1+EXP(AL103)),2))),MIN(99,ROUND(100*EXP(AL103)/(1+EXP(AL103)),2))),IF(ISTEXT(R103),IF(LEFT(R103,1)="2",100,"N/A"),"N/A"))</f>
        <v>0</v>
      </c>
      <c r="AN103">
        <f>IF(ISNUMBER(AM103),IF(AM103&gt;=99,IF(OR(U103=10,U103=11),MatchLabel,SureThingLabel),IF(AM103&gt;=95,SecureLabel,IF(AM103&gt;=80,SafetyLabel,IF(AM103&gt;=50,MatchLabel,IF(AM103&gt;=20,ReachLabel,IF(AM103&gt;=10,LongshotLabel,HailMaryLabel)))))),"Other")</f>
        <v>0</v>
      </c>
      <c r="AO103">
        <f>IF(OR(I103="accepted",I103="cond. accept",I103="summer admit"),IF(J103="yes","CHOICE!","Accepted!"),IF(I103="guar. transfer","Guar. Xfer",IF(I103="denied","Denied",IF(K103=1,"Waitlist",IF(L103=1,"Deferred",IF(G103="pending","Pending",IF(OR(G103="initial materials submitted",G103="mid-year submitted",G103="final submitted"),"Submitted",IF(H103="interest","Interest","?"))))))))</f>
        <v>0</v>
      </c>
      <c r="AP103">
        <f>IF(OR(AN103=ReachLabel,AN103=LongshotLabel,AN103=HailMaryLabel),1,0)</f>
        <v>0</v>
      </c>
      <c r="AQ103">
        <f>IF(OR(AP103=1,AN103=MatchLabel),1,0)</f>
        <v>0</v>
      </c>
      <c r="AR103">
        <f>IF(OR(AN103=MatchLabel,AN103=SafetyLabel,AN103=SecureLabel,AN103=SureThingLabel),1,0)</f>
        <v>0</v>
      </c>
      <c r="AS103">
        <f>IF(OR(W103="H",W103="B",W103="I",W103="M"),IF(ISNUMBER(AB103),ROUND(AB103,2),0),IF(ISNUMBER(AA103),ROUND(AA103,2),0))</f>
        <v>0</v>
      </c>
      <c r="AT103">
        <f>IF(AS103&gt;=X103,1,0)</f>
        <v>0</v>
      </c>
      <c r="AU103">
        <f>IF(AS103&gt;=Y103,1,0)</f>
        <v>0</v>
      </c>
      <c r="AV103">
        <f>IF(AS103&lt;(X103-0.10),1,0)</f>
        <v>0</v>
      </c>
      <c r="AW103">
        <f>1-AM103/100</f>
        <v>0</v>
      </c>
      <c r="AX103">
        <f>IF(AQ103=1,AW103,1)</f>
        <v>0</v>
      </c>
      <c r="AY103">
        <f>IF(AP103=1,AW103,1)</f>
        <v>0</v>
      </c>
      <c r="AZ103">
        <f>IF(AND(AT103=1,ISNUMBER(AW103)),$AW103,1)</f>
        <v>0</v>
      </c>
      <c r="BA103">
        <f>IF(AND(AU103=1,ISNUMBER(AW103)),$AW103,1)</f>
        <v>0</v>
      </c>
      <c r="BB103">
        <f>IF(ISNUMBER(AB103),INDEX(AllCollegeMoney, MATCH(N103,AllCollegeNCES,0)),0)</f>
        <v>0</v>
      </c>
      <c r="BC103">
        <f>IF(AND(AT103=1,ISNUMBER(AW103),BB103=1),$AW103,1)</f>
        <v>0</v>
      </c>
      <c r="BD103">
        <f>IF(AND(AU103=1,ISNUMBER(AW103),BB103=1),$AW103,1)</f>
        <v>0</v>
      </c>
      <c r="BE103">
        <f>IF(ISNUMBER(AB103),INDEX(AllCollegeILPub, MATCH(N103,AllCollegeNCES,0)),0)</f>
        <v>0</v>
      </c>
      <c r="BF103">
        <f>IF(AN103=ReachLabel,AS103,0)</f>
        <v>0</v>
      </c>
      <c r="BG103">
        <f>IF(AN103=MatchLabel,AS103,0)</f>
        <v>0</v>
      </c>
      <c r="BH103">
        <f>IF(AN103=SafetyLabel,AS103,0)</f>
        <v>0</v>
      </c>
      <c r="BI103">
        <f>IF(AN103=SecureLabel,AS103,0)</f>
        <v>0</v>
      </c>
      <c r="BJ103">
        <f>IF(AN103=SureThingLabel,AS103,0)</f>
        <v>0</v>
      </c>
      <c r="BK103">
        <f>MAX(BF103:BJ103)</f>
        <v>0</v>
      </c>
      <c r="BL103">
        <f>MAX(BG103:BJ103)</f>
        <v>0</v>
      </c>
      <c r="BM103">
        <f>MAX(BH103:BJ103)</f>
        <v>0</v>
      </c>
      <c r="BN103">
        <f>IF(AND(AN103=ReachLabel,BB103=1),AS103,0)</f>
        <v>0</v>
      </c>
      <c r="BO103">
        <f>IF(AND(AN103=MatchLabel,BB103=1),AS103,0)</f>
        <v>0</v>
      </c>
      <c r="BP103">
        <f>IF(AND(AN103=SafetyLabel,BB103=1),AS103,0)</f>
        <v>0</v>
      </c>
      <c r="BQ103">
        <f>IF(AND(AN103=SecureLabel,BB103=1),AS103,0)</f>
        <v>0</v>
      </c>
      <c r="BR103">
        <f>IF(AND(AN103=SureThingLabel,BB103=1),AS103,0)</f>
        <v>0</v>
      </c>
      <c r="BS103">
        <f>MAX(BN103:BR103)</f>
        <v>0</v>
      </c>
      <c r="BT103">
        <f>MAX(BO103:BR103)</f>
        <v>0</v>
      </c>
      <c r="BU103">
        <f>MAX(BP103:BR103)</f>
        <v>0</v>
      </c>
      <c r="BV103">
        <f>IF(ISNUMBER(AB103),INDEX(AllCollegeChicago, MATCH(N103,AllCollegeNCES,0))*BB103,0)</f>
        <v>0</v>
      </c>
      <c r="BW103">
        <f>IF(ISNUMBER(AB103),INDEX(AllCollegeMoneyCode, MATCH(N103,AllCollegeNCES,0)),"?")</f>
        <v>0</v>
      </c>
      <c r="BX103">
        <f>IF(OR(BW103="---",BW103="--",BW103="+/--",BW103="+/---"),1,0)</f>
        <v>0</v>
      </c>
      <c r="BY103">
        <f>BB103*AR103*AT103</f>
        <v>0</v>
      </c>
    </row>
    <row r="104" spans="1:77">
      <c r="A104" t="s">
        <v>96</v>
      </c>
      <c r="B104">
        <v>22410481</v>
      </c>
      <c r="C104" t="s">
        <v>194</v>
      </c>
      <c r="D104" t="s">
        <v>195</v>
      </c>
      <c r="E104" t="s">
        <v>446</v>
      </c>
      <c r="F104" t="s">
        <v>468</v>
      </c>
      <c r="G104" t="s">
        <v>448</v>
      </c>
      <c r="H104" t="s">
        <v>449</v>
      </c>
      <c r="I104" t="s">
        <v>450</v>
      </c>
      <c r="J104" t="s">
        <v>450</v>
      </c>
      <c r="K104">
        <v>0</v>
      </c>
      <c r="L104" t="s">
        <v>446</v>
      </c>
      <c r="M104" t="s">
        <v>454</v>
      </c>
      <c r="N104">
        <v>154493</v>
      </c>
      <c r="O104">
        <f>INDEX(Counselor,MATCH(B104,KidIDs,0))</f>
        <v>0</v>
      </c>
      <c r="P104">
        <f>INDEX(Advisors,MATCH(B104,KidIDs,0))</f>
        <v>0</v>
      </c>
      <c r="Q104">
        <f>INDEX(Cohort,MATCH(B104,KidIDs,0))</f>
        <v>0</v>
      </c>
      <c r="R104">
        <f>INDEX(AllCollegeBarrons,MATCH(N104,AllCollegeNCES,0))</f>
        <v>0</v>
      </c>
      <c r="S104">
        <f>INDEX(KidGPAs,MATCH(B104,KidIDs,0))</f>
        <v>0</v>
      </c>
      <c r="T104">
        <f>INDEX(KidSATs,MATCH(B104,KidIDs,0))</f>
        <v>0</v>
      </c>
      <c r="U104">
        <f>INDEX(Strats,MATCH(B104,KidIDs,0))</f>
        <v>0</v>
      </c>
      <c r="V104">
        <f>INDEX(KidRace,MATCH(B104,KidIDs,0))</f>
        <v>0</v>
      </c>
      <c r="W104">
        <f>IF(OR(V104="M",V104="I"),"H",IF(V104="P","A",V104))</f>
        <v>0</v>
      </c>
      <c r="X104">
        <f>INDEX(StudentTargets,MATCH(B104,KidIDs,0))</f>
        <v>0</v>
      </c>
      <c r="Y104">
        <f>INDEX(ReachStudentTargets,MATCH(B104,KidIDs,0))</f>
        <v>0</v>
      </c>
      <c r="Z104">
        <f>IF(OR(M104="Posse"),1,0)</f>
        <v>0</v>
      </c>
      <c r="AA104">
        <f>IF(ISNUMBER(INDEX(AllCollegeGR, MATCH(N104,AllCollegeNCES,0))),ROUND(INDEX(AllCollegeGR, MATCH(N104,AllCollegeNCES,0))+Z104*IF(INDEX(AllCollegeGR, MATCH(N104,AllCollegeNCES,0))&gt;0.7,(1-INDEX(AllCollegeGR, MATCH(N104,AllCollegeNCES,0)))/2,0.15),2),INDEX(AllCollegeGR, MATCH(N104,AllCollegeNCES,0)))</f>
        <v>0</v>
      </c>
      <c r="AB104">
        <f>IF(ISNUMBER(INDEX(AllCollegeAAHGR, MATCH(N104,AllCollegeNCES,0))),ROUND(INDEX(AllCollegeAAHGR, MATCH(N104,AllCollegeNCES,0))+Z104*IF(INDEX(AllCollegeAAHGR, MATCH(N104,AllCollegeNCES,0))&gt;0.7,(1-INDEX(AllCollegeAAHGR, MATCH(N104,AllCollegeNCES,0)))/2,0.15),2),INDEX(AllCollegeAAHGR, MATCH(N104,AllCollegeNCES,0)))</f>
        <v>0</v>
      </c>
      <c r="AC104">
        <f>IF(OR(W104="H",W104="B"),INDEX(AllCollegeSAT25, MATCH(N104,AllCollegeNCES,0)),INDEX(AllCollegeSAT50, MATCH(N104,AllCollegeNCES,0)))</f>
        <v>0</v>
      </c>
      <c r="AD104">
        <f>INDEX(CustomWeightsGPA,MATCH(W104&amp;":"&amp;N104,CustomWeightsIndex,0))</f>
        <v>0</v>
      </c>
      <c r="AE104">
        <f>INDEX(CustomWeightsSAT,MATCH(W104&amp;":"&amp;N104,CustomWeightsIndex,0))</f>
        <v>0</v>
      </c>
      <c r="AF104">
        <f>INDEX(CustomWeightsIntercept,MATCH(W104&amp;":"&amp;N104,CustomWeightsIndex,0))</f>
        <v>0</v>
      </c>
      <c r="AG104">
        <f>AD104*S104+AE104*T104+AF104</f>
        <v>0</v>
      </c>
      <c r="AH104">
        <f>INDEX(CoefficientsGPA,MATCH(W104&amp;":"&amp;R104,CoefficientsIndex,0))</f>
        <v>0</v>
      </c>
      <c r="AI104">
        <f>INDEX(CoefficientsSAT,MATCH(W104&amp;":"&amp;R104,CoefficientsIndex,0))</f>
        <v>0</v>
      </c>
      <c r="AJ104">
        <f>INDEX(CoefficientsIntercept,MATCH(W104&amp;":"&amp;R104,CoefficientsIndex,0))</f>
        <v>0</v>
      </c>
      <c r="AK104">
        <f>AH104*S104+(T104-AC104)*AI104+AJ104</f>
        <v>0</v>
      </c>
      <c r="AL104">
        <f>IF(ISNUMBER(AG104),AG104,AK104)</f>
        <v>0</v>
      </c>
      <c r="AM104">
        <f>IF(ISNUMBER(AL104),IF(ISNUMBER(AH104),IF(AND(AH104=1,AI104=1,AJ104=1),100,MIN(99,ROUND(100*EXP(AL104)/(1+EXP(AL104)),2))),MIN(99,ROUND(100*EXP(AL104)/(1+EXP(AL104)),2))),IF(ISTEXT(R104),IF(LEFT(R104,1)="2",100,"N/A"),"N/A"))</f>
        <v>0</v>
      </c>
      <c r="AN104">
        <f>IF(ISNUMBER(AM104),IF(AM104&gt;=99,IF(OR(U104=10,U104=11),MatchLabel,SureThingLabel),IF(AM104&gt;=95,SecureLabel,IF(AM104&gt;=80,SafetyLabel,IF(AM104&gt;=50,MatchLabel,IF(AM104&gt;=20,ReachLabel,IF(AM104&gt;=10,LongshotLabel,HailMaryLabel)))))),"Other")</f>
        <v>0</v>
      </c>
      <c r="AO104">
        <f>IF(OR(I104="accepted",I104="cond. accept",I104="summer admit"),IF(J104="yes","CHOICE!","Accepted!"),IF(I104="guar. transfer","Guar. Xfer",IF(I104="denied","Denied",IF(K104=1,"Waitlist",IF(L104=1,"Deferred",IF(G104="pending","Pending",IF(OR(G104="initial materials submitted",G104="mid-year submitted",G104="final submitted"),"Submitted",IF(H104="interest","Interest","?"))))))))</f>
        <v>0</v>
      </c>
      <c r="AP104">
        <f>IF(OR(AN104=ReachLabel,AN104=LongshotLabel,AN104=HailMaryLabel),1,0)</f>
        <v>0</v>
      </c>
      <c r="AQ104">
        <f>IF(OR(AP104=1,AN104=MatchLabel),1,0)</f>
        <v>0</v>
      </c>
      <c r="AR104">
        <f>IF(OR(AN104=MatchLabel,AN104=SafetyLabel,AN104=SecureLabel,AN104=SureThingLabel),1,0)</f>
        <v>0</v>
      </c>
      <c r="AS104">
        <f>IF(OR(W104="H",W104="B",W104="I",W104="M"),IF(ISNUMBER(AB104),ROUND(AB104,2),0),IF(ISNUMBER(AA104),ROUND(AA104,2),0))</f>
        <v>0</v>
      </c>
      <c r="AT104">
        <f>IF(AS104&gt;=X104,1,0)</f>
        <v>0</v>
      </c>
      <c r="AU104">
        <f>IF(AS104&gt;=Y104,1,0)</f>
        <v>0</v>
      </c>
      <c r="AV104">
        <f>IF(AS104&lt;(X104-0.10),1,0)</f>
        <v>0</v>
      </c>
      <c r="AW104">
        <f>1-AM104/100</f>
        <v>0</v>
      </c>
      <c r="AX104">
        <f>IF(AQ104=1,AW104,1)</f>
        <v>0</v>
      </c>
      <c r="AY104">
        <f>IF(AP104=1,AW104,1)</f>
        <v>0</v>
      </c>
      <c r="AZ104">
        <f>IF(AND(AT104=1,ISNUMBER(AW104)),$AW104,1)</f>
        <v>0</v>
      </c>
      <c r="BA104">
        <f>IF(AND(AU104=1,ISNUMBER(AW104)),$AW104,1)</f>
        <v>0</v>
      </c>
      <c r="BB104">
        <f>IF(ISNUMBER(AB104),INDEX(AllCollegeMoney, MATCH(N104,AllCollegeNCES,0)),0)</f>
        <v>0</v>
      </c>
      <c r="BC104">
        <f>IF(AND(AT104=1,ISNUMBER(AW104),BB104=1),$AW104,1)</f>
        <v>0</v>
      </c>
      <c r="BD104">
        <f>IF(AND(AU104=1,ISNUMBER(AW104),BB104=1),$AW104,1)</f>
        <v>0</v>
      </c>
      <c r="BE104">
        <f>IF(ISNUMBER(AB104),INDEX(AllCollegeILPub, MATCH(N104,AllCollegeNCES,0)),0)</f>
        <v>0</v>
      </c>
      <c r="BF104">
        <f>IF(AN104=ReachLabel,AS104,0)</f>
        <v>0</v>
      </c>
      <c r="BG104">
        <f>IF(AN104=MatchLabel,AS104,0)</f>
        <v>0</v>
      </c>
      <c r="BH104">
        <f>IF(AN104=SafetyLabel,AS104,0)</f>
        <v>0</v>
      </c>
      <c r="BI104">
        <f>IF(AN104=SecureLabel,AS104,0)</f>
        <v>0</v>
      </c>
      <c r="BJ104">
        <f>IF(AN104=SureThingLabel,AS104,0)</f>
        <v>0</v>
      </c>
      <c r="BK104">
        <f>MAX(BF104:BJ104)</f>
        <v>0</v>
      </c>
      <c r="BL104">
        <f>MAX(BG104:BJ104)</f>
        <v>0</v>
      </c>
      <c r="BM104">
        <f>MAX(BH104:BJ104)</f>
        <v>0</v>
      </c>
      <c r="BN104">
        <f>IF(AND(AN104=ReachLabel,BB104=1),AS104,0)</f>
        <v>0</v>
      </c>
      <c r="BO104">
        <f>IF(AND(AN104=MatchLabel,BB104=1),AS104,0)</f>
        <v>0</v>
      </c>
      <c r="BP104">
        <f>IF(AND(AN104=SafetyLabel,BB104=1),AS104,0)</f>
        <v>0</v>
      </c>
      <c r="BQ104">
        <f>IF(AND(AN104=SecureLabel,BB104=1),AS104,0)</f>
        <v>0</v>
      </c>
      <c r="BR104">
        <f>IF(AND(AN104=SureThingLabel,BB104=1),AS104,0)</f>
        <v>0</v>
      </c>
      <c r="BS104">
        <f>MAX(BN104:BR104)</f>
        <v>0</v>
      </c>
      <c r="BT104">
        <f>MAX(BO104:BR104)</f>
        <v>0</v>
      </c>
      <c r="BU104">
        <f>MAX(BP104:BR104)</f>
        <v>0</v>
      </c>
      <c r="BV104">
        <f>IF(ISNUMBER(AB104),INDEX(AllCollegeChicago, MATCH(N104,AllCollegeNCES,0))*BB104,0)</f>
        <v>0</v>
      </c>
      <c r="BW104">
        <f>IF(ISNUMBER(AB104),INDEX(AllCollegeMoneyCode, MATCH(N104,AllCollegeNCES,0)),"?")</f>
        <v>0</v>
      </c>
      <c r="BX104">
        <f>IF(OR(BW104="---",BW104="--",BW104="+/--",BW104="+/---"),1,0)</f>
        <v>0</v>
      </c>
      <c r="BY104">
        <f>BB104*AR104*AT104</f>
        <v>0</v>
      </c>
    </row>
    <row r="105" spans="1:77">
      <c r="A105" t="s">
        <v>96</v>
      </c>
      <c r="B105">
        <v>22415099</v>
      </c>
      <c r="C105" t="s">
        <v>297</v>
      </c>
      <c r="D105" t="s">
        <v>298</v>
      </c>
      <c r="E105" t="s">
        <v>446</v>
      </c>
      <c r="F105" t="s">
        <v>447</v>
      </c>
      <c r="G105" t="s">
        <v>448</v>
      </c>
      <c r="H105" t="s">
        <v>449</v>
      </c>
      <c r="I105" t="s">
        <v>450</v>
      </c>
      <c r="J105" t="s">
        <v>450</v>
      </c>
      <c r="K105">
        <v>0</v>
      </c>
      <c r="L105" t="s">
        <v>446</v>
      </c>
      <c r="M105" t="s">
        <v>446</v>
      </c>
      <c r="N105">
        <v>148496</v>
      </c>
      <c r="O105">
        <f>INDEX(Counselor,MATCH(B105,KidIDs,0))</f>
        <v>0</v>
      </c>
      <c r="P105">
        <f>INDEX(Advisors,MATCH(B105,KidIDs,0))</f>
        <v>0</v>
      </c>
      <c r="Q105">
        <f>INDEX(Cohort,MATCH(B105,KidIDs,0))</f>
        <v>0</v>
      </c>
      <c r="R105">
        <f>INDEX(AllCollegeBarrons,MATCH(N105,AllCollegeNCES,0))</f>
        <v>0</v>
      </c>
      <c r="S105">
        <f>INDEX(KidGPAs,MATCH(B105,KidIDs,0))</f>
        <v>0</v>
      </c>
      <c r="T105">
        <f>INDEX(KidSATs,MATCH(B105,KidIDs,0))</f>
        <v>0</v>
      </c>
      <c r="U105">
        <f>INDEX(Strats,MATCH(B105,KidIDs,0))</f>
        <v>0</v>
      </c>
      <c r="V105">
        <f>INDEX(KidRace,MATCH(B105,KidIDs,0))</f>
        <v>0</v>
      </c>
      <c r="W105">
        <f>IF(OR(V105="M",V105="I"),"H",IF(V105="P","A",V105))</f>
        <v>0</v>
      </c>
      <c r="X105">
        <f>INDEX(StudentTargets,MATCH(B105,KidIDs,0))</f>
        <v>0</v>
      </c>
      <c r="Y105">
        <f>INDEX(ReachStudentTargets,MATCH(B105,KidIDs,0))</f>
        <v>0</v>
      </c>
      <c r="Z105">
        <f>IF(OR(M105="Posse"),1,0)</f>
        <v>0</v>
      </c>
      <c r="AA105">
        <f>IF(ISNUMBER(INDEX(AllCollegeGR, MATCH(N105,AllCollegeNCES,0))),ROUND(INDEX(AllCollegeGR, MATCH(N105,AllCollegeNCES,0))+Z105*IF(INDEX(AllCollegeGR, MATCH(N105,AllCollegeNCES,0))&gt;0.7,(1-INDEX(AllCollegeGR, MATCH(N105,AllCollegeNCES,0)))/2,0.15),2),INDEX(AllCollegeGR, MATCH(N105,AllCollegeNCES,0)))</f>
        <v>0</v>
      </c>
      <c r="AB105">
        <f>IF(ISNUMBER(INDEX(AllCollegeAAHGR, MATCH(N105,AllCollegeNCES,0))),ROUND(INDEX(AllCollegeAAHGR, MATCH(N105,AllCollegeNCES,0))+Z105*IF(INDEX(AllCollegeAAHGR, MATCH(N105,AllCollegeNCES,0))&gt;0.7,(1-INDEX(AllCollegeAAHGR, MATCH(N105,AllCollegeNCES,0)))/2,0.15),2),INDEX(AllCollegeAAHGR, MATCH(N105,AllCollegeNCES,0)))</f>
        <v>0</v>
      </c>
      <c r="AC105">
        <f>IF(OR(W105="H",W105="B"),INDEX(AllCollegeSAT25, MATCH(N105,AllCollegeNCES,0)),INDEX(AllCollegeSAT50, MATCH(N105,AllCollegeNCES,0)))</f>
        <v>0</v>
      </c>
      <c r="AD105">
        <f>INDEX(CustomWeightsGPA,MATCH(W105&amp;":"&amp;N105,CustomWeightsIndex,0))</f>
        <v>0</v>
      </c>
      <c r="AE105">
        <f>INDEX(CustomWeightsSAT,MATCH(W105&amp;":"&amp;N105,CustomWeightsIndex,0))</f>
        <v>0</v>
      </c>
      <c r="AF105">
        <f>INDEX(CustomWeightsIntercept,MATCH(W105&amp;":"&amp;N105,CustomWeightsIndex,0))</f>
        <v>0</v>
      </c>
      <c r="AG105">
        <f>AD105*S105+AE105*T105+AF105</f>
        <v>0</v>
      </c>
      <c r="AH105">
        <f>INDEX(CoefficientsGPA,MATCH(W105&amp;":"&amp;R105,CoefficientsIndex,0))</f>
        <v>0</v>
      </c>
      <c r="AI105">
        <f>INDEX(CoefficientsSAT,MATCH(W105&amp;":"&amp;R105,CoefficientsIndex,0))</f>
        <v>0</v>
      </c>
      <c r="AJ105">
        <f>INDEX(CoefficientsIntercept,MATCH(W105&amp;":"&amp;R105,CoefficientsIndex,0))</f>
        <v>0</v>
      </c>
      <c r="AK105">
        <f>AH105*S105+(T105-AC105)*AI105+AJ105</f>
        <v>0</v>
      </c>
      <c r="AL105">
        <f>IF(ISNUMBER(AG105),AG105,AK105)</f>
        <v>0</v>
      </c>
      <c r="AM105">
        <f>IF(ISNUMBER(AL105),IF(ISNUMBER(AH105),IF(AND(AH105=1,AI105=1,AJ105=1),100,MIN(99,ROUND(100*EXP(AL105)/(1+EXP(AL105)),2))),MIN(99,ROUND(100*EXP(AL105)/(1+EXP(AL105)),2))),IF(ISTEXT(R105),IF(LEFT(R105,1)="2",100,"N/A"),"N/A"))</f>
        <v>0</v>
      </c>
      <c r="AN105">
        <f>IF(ISNUMBER(AM105),IF(AM105&gt;=99,IF(OR(U105=10,U105=11),MatchLabel,SureThingLabel),IF(AM105&gt;=95,SecureLabel,IF(AM105&gt;=80,SafetyLabel,IF(AM105&gt;=50,MatchLabel,IF(AM105&gt;=20,ReachLabel,IF(AM105&gt;=10,LongshotLabel,HailMaryLabel)))))),"Other")</f>
        <v>0</v>
      </c>
      <c r="AO105">
        <f>IF(OR(I105="accepted",I105="cond. accept",I105="summer admit"),IF(J105="yes","CHOICE!","Accepted!"),IF(I105="guar. transfer","Guar. Xfer",IF(I105="denied","Denied",IF(K105=1,"Waitlist",IF(L105=1,"Deferred",IF(G105="pending","Pending",IF(OR(G105="initial materials submitted",G105="mid-year submitted",G105="final submitted"),"Submitted",IF(H105="interest","Interest","?"))))))))</f>
        <v>0</v>
      </c>
      <c r="AP105">
        <f>IF(OR(AN105=ReachLabel,AN105=LongshotLabel,AN105=HailMaryLabel),1,0)</f>
        <v>0</v>
      </c>
      <c r="AQ105">
        <f>IF(OR(AP105=1,AN105=MatchLabel),1,0)</f>
        <v>0</v>
      </c>
      <c r="AR105">
        <f>IF(OR(AN105=MatchLabel,AN105=SafetyLabel,AN105=SecureLabel,AN105=SureThingLabel),1,0)</f>
        <v>0</v>
      </c>
      <c r="AS105">
        <f>IF(OR(W105="H",W105="B",W105="I",W105="M"),IF(ISNUMBER(AB105),ROUND(AB105,2),0),IF(ISNUMBER(AA105),ROUND(AA105,2),0))</f>
        <v>0</v>
      </c>
      <c r="AT105">
        <f>IF(AS105&gt;=X105,1,0)</f>
        <v>0</v>
      </c>
      <c r="AU105">
        <f>IF(AS105&gt;=Y105,1,0)</f>
        <v>0</v>
      </c>
      <c r="AV105">
        <f>IF(AS105&lt;(X105-0.10),1,0)</f>
        <v>0</v>
      </c>
      <c r="AW105">
        <f>1-AM105/100</f>
        <v>0</v>
      </c>
      <c r="AX105">
        <f>IF(AQ105=1,AW105,1)</f>
        <v>0</v>
      </c>
      <c r="AY105">
        <f>IF(AP105=1,AW105,1)</f>
        <v>0</v>
      </c>
      <c r="AZ105">
        <f>IF(AND(AT105=1,ISNUMBER(AW105)),$AW105,1)</f>
        <v>0</v>
      </c>
      <c r="BA105">
        <f>IF(AND(AU105=1,ISNUMBER(AW105)),$AW105,1)</f>
        <v>0</v>
      </c>
      <c r="BB105">
        <f>IF(ISNUMBER(AB105),INDEX(AllCollegeMoney, MATCH(N105,AllCollegeNCES,0)),0)</f>
        <v>0</v>
      </c>
      <c r="BC105">
        <f>IF(AND(AT105=1,ISNUMBER(AW105),BB105=1),$AW105,1)</f>
        <v>0</v>
      </c>
      <c r="BD105">
        <f>IF(AND(AU105=1,ISNUMBER(AW105),BB105=1),$AW105,1)</f>
        <v>0</v>
      </c>
      <c r="BE105">
        <f>IF(ISNUMBER(AB105),INDEX(AllCollegeILPub, MATCH(N105,AllCollegeNCES,0)),0)</f>
        <v>0</v>
      </c>
      <c r="BF105">
        <f>IF(AN105=ReachLabel,AS105,0)</f>
        <v>0</v>
      </c>
      <c r="BG105">
        <f>IF(AN105=MatchLabel,AS105,0)</f>
        <v>0</v>
      </c>
      <c r="BH105">
        <f>IF(AN105=SafetyLabel,AS105,0)</f>
        <v>0</v>
      </c>
      <c r="BI105">
        <f>IF(AN105=SecureLabel,AS105,0)</f>
        <v>0</v>
      </c>
      <c r="BJ105">
        <f>IF(AN105=SureThingLabel,AS105,0)</f>
        <v>0</v>
      </c>
      <c r="BK105">
        <f>MAX(BF105:BJ105)</f>
        <v>0</v>
      </c>
      <c r="BL105">
        <f>MAX(BG105:BJ105)</f>
        <v>0</v>
      </c>
      <c r="BM105">
        <f>MAX(BH105:BJ105)</f>
        <v>0</v>
      </c>
      <c r="BN105">
        <f>IF(AND(AN105=ReachLabel,BB105=1),AS105,0)</f>
        <v>0</v>
      </c>
      <c r="BO105">
        <f>IF(AND(AN105=MatchLabel,BB105=1),AS105,0)</f>
        <v>0</v>
      </c>
      <c r="BP105">
        <f>IF(AND(AN105=SafetyLabel,BB105=1),AS105,0)</f>
        <v>0</v>
      </c>
      <c r="BQ105">
        <f>IF(AND(AN105=SecureLabel,BB105=1),AS105,0)</f>
        <v>0</v>
      </c>
      <c r="BR105">
        <f>IF(AND(AN105=SureThingLabel,BB105=1),AS105,0)</f>
        <v>0</v>
      </c>
      <c r="BS105">
        <f>MAX(BN105:BR105)</f>
        <v>0</v>
      </c>
      <c r="BT105">
        <f>MAX(BO105:BR105)</f>
        <v>0</v>
      </c>
      <c r="BU105">
        <f>MAX(BP105:BR105)</f>
        <v>0</v>
      </c>
      <c r="BV105">
        <f>IF(ISNUMBER(AB105),INDEX(AllCollegeChicago, MATCH(N105,AllCollegeNCES,0))*BB105,0)</f>
        <v>0</v>
      </c>
      <c r="BW105">
        <f>IF(ISNUMBER(AB105),INDEX(AllCollegeMoneyCode, MATCH(N105,AllCollegeNCES,0)),"?")</f>
        <v>0</v>
      </c>
      <c r="BX105">
        <f>IF(OR(BW105="---",BW105="--",BW105="+/--",BW105="+/---"),1,0)</f>
        <v>0</v>
      </c>
      <c r="BY105">
        <f>BB105*AR105*AT105</f>
        <v>0</v>
      </c>
    </row>
    <row r="106" spans="1:77">
      <c r="A106" t="s">
        <v>96</v>
      </c>
      <c r="B106">
        <v>22415099</v>
      </c>
      <c r="C106" t="s">
        <v>297</v>
      </c>
      <c r="D106" t="s">
        <v>298</v>
      </c>
      <c r="E106" t="s">
        <v>446</v>
      </c>
      <c r="F106" t="s">
        <v>478</v>
      </c>
      <c r="G106" t="s">
        <v>448</v>
      </c>
      <c r="H106" t="s">
        <v>449</v>
      </c>
      <c r="I106" t="s">
        <v>450</v>
      </c>
      <c r="J106" t="s">
        <v>450</v>
      </c>
      <c r="K106">
        <v>0</v>
      </c>
      <c r="L106" t="s">
        <v>446</v>
      </c>
      <c r="M106" t="s">
        <v>446</v>
      </c>
      <c r="N106">
        <v>168546</v>
      </c>
      <c r="O106">
        <f>INDEX(Counselor,MATCH(B106,KidIDs,0))</f>
        <v>0</v>
      </c>
      <c r="P106">
        <f>INDEX(Advisors,MATCH(B106,KidIDs,0))</f>
        <v>0</v>
      </c>
      <c r="Q106">
        <f>INDEX(Cohort,MATCH(B106,KidIDs,0))</f>
        <v>0</v>
      </c>
      <c r="R106">
        <f>INDEX(AllCollegeBarrons,MATCH(N106,AllCollegeNCES,0))</f>
        <v>0</v>
      </c>
      <c r="S106">
        <f>INDEX(KidGPAs,MATCH(B106,KidIDs,0))</f>
        <v>0</v>
      </c>
      <c r="T106">
        <f>INDEX(KidSATs,MATCH(B106,KidIDs,0))</f>
        <v>0</v>
      </c>
      <c r="U106">
        <f>INDEX(Strats,MATCH(B106,KidIDs,0))</f>
        <v>0</v>
      </c>
      <c r="V106">
        <f>INDEX(KidRace,MATCH(B106,KidIDs,0))</f>
        <v>0</v>
      </c>
      <c r="W106">
        <f>IF(OR(V106="M",V106="I"),"H",IF(V106="P","A",V106))</f>
        <v>0</v>
      </c>
      <c r="X106">
        <f>INDEX(StudentTargets,MATCH(B106,KidIDs,0))</f>
        <v>0</v>
      </c>
      <c r="Y106">
        <f>INDEX(ReachStudentTargets,MATCH(B106,KidIDs,0))</f>
        <v>0</v>
      </c>
      <c r="Z106">
        <f>IF(OR(M106="Posse"),1,0)</f>
        <v>0</v>
      </c>
      <c r="AA106">
        <f>IF(ISNUMBER(INDEX(AllCollegeGR, MATCH(N106,AllCollegeNCES,0))),ROUND(INDEX(AllCollegeGR, MATCH(N106,AllCollegeNCES,0))+Z106*IF(INDEX(AllCollegeGR, MATCH(N106,AllCollegeNCES,0))&gt;0.7,(1-INDEX(AllCollegeGR, MATCH(N106,AllCollegeNCES,0)))/2,0.15),2),INDEX(AllCollegeGR, MATCH(N106,AllCollegeNCES,0)))</f>
        <v>0</v>
      </c>
      <c r="AB106">
        <f>IF(ISNUMBER(INDEX(AllCollegeAAHGR, MATCH(N106,AllCollegeNCES,0))),ROUND(INDEX(AllCollegeAAHGR, MATCH(N106,AllCollegeNCES,0))+Z106*IF(INDEX(AllCollegeAAHGR, MATCH(N106,AllCollegeNCES,0))&gt;0.7,(1-INDEX(AllCollegeAAHGR, MATCH(N106,AllCollegeNCES,0)))/2,0.15),2),INDEX(AllCollegeAAHGR, MATCH(N106,AllCollegeNCES,0)))</f>
        <v>0</v>
      </c>
      <c r="AC106">
        <f>IF(OR(W106="H",W106="B"),INDEX(AllCollegeSAT25, MATCH(N106,AllCollegeNCES,0)),INDEX(AllCollegeSAT50, MATCH(N106,AllCollegeNCES,0)))</f>
        <v>0</v>
      </c>
      <c r="AD106">
        <f>INDEX(CustomWeightsGPA,MATCH(W106&amp;":"&amp;N106,CustomWeightsIndex,0))</f>
        <v>0</v>
      </c>
      <c r="AE106">
        <f>INDEX(CustomWeightsSAT,MATCH(W106&amp;":"&amp;N106,CustomWeightsIndex,0))</f>
        <v>0</v>
      </c>
      <c r="AF106">
        <f>INDEX(CustomWeightsIntercept,MATCH(W106&amp;":"&amp;N106,CustomWeightsIndex,0))</f>
        <v>0</v>
      </c>
      <c r="AG106">
        <f>AD106*S106+AE106*T106+AF106</f>
        <v>0</v>
      </c>
      <c r="AH106">
        <f>INDEX(CoefficientsGPA,MATCH(W106&amp;":"&amp;R106,CoefficientsIndex,0))</f>
        <v>0</v>
      </c>
      <c r="AI106">
        <f>INDEX(CoefficientsSAT,MATCH(W106&amp;":"&amp;R106,CoefficientsIndex,0))</f>
        <v>0</v>
      </c>
      <c r="AJ106">
        <f>INDEX(CoefficientsIntercept,MATCH(W106&amp;":"&amp;R106,CoefficientsIndex,0))</f>
        <v>0</v>
      </c>
      <c r="AK106">
        <f>AH106*S106+(T106-AC106)*AI106+AJ106</f>
        <v>0</v>
      </c>
      <c r="AL106">
        <f>IF(ISNUMBER(AG106),AG106,AK106)</f>
        <v>0</v>
      </c>
      <c r="AM106">
        <f>IF(ISNUMBER(AL106),IF(ISNUMBER(AH106),IF(AND(AH106=1,AI106=1,AJ106=1),100,MIN(99,ROUND(100*EXP(AL106)/(1+EXP(AL106)),2))),MIN(99,ROUND(100*EXP(AL106)/(1+EXP(AL106)),2))),IF(ISTEXT(R106),IF(LEFT(R106,1)="2",100,"N/A"),"N/A"))</f>
        <v>0</v>
      </c>
      <c r="AN106">
        <f>IF(ISNUMBER(AM106),IF(AM106&gt;=99,IF(OR(U106=10,U106=11),MatchLabel,SureThingLabel),IF(AM106&gt;=95,SecureLabel,IF(AM106&gt;=80,SafetyLabel,IF(AM106&gt;=50,MatchLabel,IF(AM106&gt;=20,ReachLabel,IF(AM106&gt;=10,LongshotLabel,HailMaryLabel)))))),"Other")</f>
        <v>0</v>
      </c>
      <c r="AO106">
        <f>IF(OR(I106="accepted",I106="cond. accept",I106="summer admit"),IF(J106="yes","CHOICE!","Accepted!"),IF(I106="guar. transfer","Guar. Xfer",IF(I106="denied","Denied",IF(K106=1,"Waitlist",IF(L106=1,"Deferred",IF(G106="pending","Pending",IF(OR(G106="initial materials submitted",G106="mid-year submitted",G106="final submitted"),"Submitted",IF(H106="interest","Interest","?"))))))))</f>
        <v>0</v>
      </c>
      <c r="AP106">
        <f>IF(OR(AN106=ReachLabel,AN106=LongshotLabel,AN106=HailMaryLabel),1,0)</f>
        <v>0</v>
      </c>
      <c r="AQ106">
        <f>IF(OR(AP106=1,AN106=MatchLabel),1,0)</f>
        <v>0</v>
      </c>
      <c r="AR106">
        <f>IF(OR(AN106=MatchLabel,AN106=SafetyLabel,AN106=SecureLabel,AN106=SureThingLabel),1,0)</f>
        <v>0</v>
      </c>
      <c r="AS106">
        <f>IF(OR(W106="H",W106="B",W106="I",W106="M"),IF(ISNUMBER(AB106),ROUND(AB106,2),0),IF(ISNUMBER(AA106),ROUND(AA106,2),0))</f>
        <v>0</v>
      </c>
      <c r="AT106">
        <f>IF(AS106&gt;=X106,1,0)</f>
        <v>0</v>
      </c>
      <c r="AU106">
        <f>IF(AS106&gt;=Y106,1,0)</f>
        <v>0</v>
      </c>
      <c r="AV106">
        <f>IF(AS106&lt;(X106-0.10),1,0)</f>
        <v>0</v>
      </c>
      <c r="AW106">
        <f>1-AM106/100</f>
        <v>0</v>
      </c>
      <c r="AX106">
        <f>IF(AQ106=1,AW106,1)</f>
        <v>0</v>
      </c>
      <c r="AY106">
        <f>IF(AP106=1,AW106,1)</f>
        <v>0</v>
      </c>
      <c r="AZ106">
        <f>IF(AND(AT106=1,ISNUMBER(AW106)),$AW106,1)</f>
        <v>0</v>
      </c>
      <c r="BA106">
        <f>IF(AND(AU106=1,ISNUMBER(AW106)),$AW106,1)</f>
        <v>0</v>
      </c>
      <c r="BB106">
        <f>IF(ISNUMBER(AB106),INDEX(AllCollegeMoney, MATCH(N106,AllCollegeNCES,0)),0)</f>
        <v>0</v>
      </c>
      <c r="BC106">
        <f>IF(AND(AT106=1,ISNUMBER(AW106),BB106=1),$AW106,1)</f>
        <v>0</v>
      </c>
      <c r="BD106">
        <f>IF(AND(AU106=1,ISNUMBER(AW106),BB106=1),$AW106,1)</f>
        <v>0</v>
      </c>
      <c r="BE106">
        <f>IF(ISNUMBER(AB106),INDEX(AllCollegeILPub, MATCH(N106,AllCollegeNCES,0)),0)</f>
        <v>0</v>
      </c>
      <c r="BF106">
        <f>IF(AN106=ReachLabel,AS106,0)</f>
        <v>0</v>
      </c>
      <c r="BG106">
        <f>IF(AN106=MatchLabel,AS106,0)</f>
        <v>0</v>
      </c>
      <c r="BH106">
        <f>IF(AN106=SafetyLabel,AS106,0)</f>
        <v>0</v>
      </c>
      <c r="BI106">
        <f>IF(AN106=SecureLabel,AS106,0)</f>
        <v>0</v>
      </c>
      <c r="BJ106">
        <f>IF(AN106=SureThingLabel,AS106,0)</f>
        <v>0</v>
      </c>
      <c r="BK106">
        <f>MAX(BF106:BJ106)</f>
        <v>0</v>
      </c>
      <c r="BL106">
        <f>MAX(BG106:BJ106)</f>
        <v>0</v>
      </c>
      <c r="BM106">
        <f>MAX(BH106:BJ106)</f>
        <v>0</v>
      </c>
      <c r="BN106">
        <f>IF(AND(AN106=ReachLabel,BB106=1),AS106,0)</f>
        <v>0</v>
      </c>
      <c r="BO106">
        <f>IF(AND(AN106=MatchLabel,BB106=1),AS106,0)</f>
        <v>0</v>
      </c>
      <c r="BP106">
        <f>IF(AND(AN106=SafetyLabel,BB106=1),AS106,0)</f>
        <v>0</v>
      </c>
      <c r="BQ106">
        <f>IF(AND(AN106=SecureLabel,BB106=1),AS106,0)</f>
        <v>0</v>
      </c>
      <c r="BR106">
        <f>IF(AND(AN106=SureThingLabel,BB106=1),AS106,0)</f>
        <v>0</v>
      </c>
      <c r="BS106">
        <f>MAX(BN106:BR106)</f>
        <v>0</v>
      </c>
      <c r="BT106">
        <f>MAX(BO106:BR106)</f>
        <v>0</v>
      </c>
      <c r="BU106">
        <f>MAX(BP106:BR106)</f>
        <v>0</v>
      </c>
      <c r="BV106">
        <f>IF(ISNUMBER(AB106),INDEX(AllCollegeChicago, MATCH(N106,AllCollegeNCES,0))*BB106,0)</f>
        <v>0</v>
      </c>
      <c r="BW106">
        <f>IF(ISNUMBER(AB106),INDEX(AllCollegeMoneyCode, MATCH(N106,AllCollegeNCES,0)),"?")</f>
        <v>0</v>
      </c>
      <c r="BX106">
        <f>IF(OR(BW106="---",BW106="--",BW106="+/--",BW106="+/---"),1,0)</f>
        <v>0</v>
      </c>
      <c r="BY106">
        <f>BB106*AR106*AT106</f>
        <v>0</v>
      </c>
    </row>
    <row r="107" spans="1:77">
      <c r="A107" t="s">
        <v>96</v>
      </c>
      <c r="B107">
        <v>22415099</v>
      </c>
      <c r="C107" t="s">
        <v>297</v>
      </c>
      <c r="D107" t="s">
        <v>298</v>
      </c>
      <c r="E107" t="s">
        <v>446</v>
      </c>
      <c r="F107" t="s">
        <v>451</v>
      </c>
      <c r="G107" t="s">
        <v>448</v>
      </c>
      <c r="H107" t="s">
        <v>449</v>
      </c>
      <c r="I107" t="s">
        <v>450</v>
      </c>
      <c r="J107" t="s">
        <v>450</v>
      </c>
      <c r="K107">
        <v>0</v>
      </c>
      <c r="L107" t="s">
        <v>446</v>
      </c>
      <c r="M107" t="s">
        <v>446</v>
      </c>
      <c r="N107">
        <v>144962</v>
      </c>
      <c r="O107">
        <f>INDEX(Counselor,MATCH(B107,KidIDs,0))</f>
        <v>0</v>
      </c>
      <c r="P107">
        <f>INDEX(Advisors,MATCH(B107,KidIDs,0))</f>
        <v>0</v>
      </c>
      <c r="Q107">
        <f>INDEX(Cohort,MATCH(B107,KidIDs,0))</f>
        <v>0</v>
      </c>
      <c r="R107">
        <f>INDEX(AllCollegeBarrons,MATCH(N107,AllCollegeNCES,0))</f>
        <v>0</v>
      </c>
      <c r="S107">
        <f>INDEX(KidGPAs,MATCH(B107,KidIDs,0))</f>
        <v>0</v>
      </c>
      <c r="T107">
        <f>INDEX(KidSATs,MATCH(B107,KidIDs,0))</f>
        <v>0</v>
      </c>
      <c r="U107">
        <f>INDEX(Strats,MATCH(B107,KidIDs,0))</f>
        <v>0</v>
      </c>
      <c r="V107">
        <f>INDEX(KidRace,MATCH(B107,KidIDs,0))</f>
        <v>0</v>
      </c>
      <c r="W107">
        <f>IF(OR(V107="M",V107="I"),"H",IF(V107="P","A",V107))</f>
        <v>0</v>
      </c>
      <c r="X107">
        <f>INDEX(StudentTargets,MATCH(B107,KidIDs,0))</f>
        <v>0</v>
      </c>
      <c r="Y107">
        <f>INDEX(ReachStudentTargets,MATCH(B107,KidIDs,0))</f>
        <v>0</v>
      </c>
      <c r="Z107">
        <f>IF(OR(M107="Posse"),1,0)</f>
        <v>0</v>
      </c>
      <c r="AA107">
        <f>IF(ISNUMBER(INDEX(AllCollegeGR, MATCH(N107,AllCollegeNCES,0))),ROUND(INDEX(AllCollegeGR, MATCH(N107,AllCollegeNCES,0))+Z107*IF(INDEX(AllCollegeGR, MATCH(N107,AllCollegeNCES,0))&gt;0.7,(1-INDEX(AllCollegeGR, MATCH(N107,AllCollegeNCES,0)))/2,0.15),2),INDEX(AllCollegeGR, MATCH(N107,AllCollegeNCES,0)))</f>
        <v>0</v>
      </c>
      <c r="AB107">
        <f>IF(ISNUMBER(INDEX(AllCollegeAAHGR, MATCH(N107,AllCollegeNCES,0))),ROUND(INDEX(AllCollegeAAHGR, MATCH(N107,AllCollegeNCES,0))+Z107*IF(INDEX(AllCollegeAAHGR, MATCH(N107,AllCollegeNCES,0))&gt;0.7,(1-INDEX(AllCollegeAAHGR, MATCH(N107,AllCollegeNCES,0)))/2,0.15),2),INDEX(AllCollegeAAHGR, MATCH(N107,AllCollegeNCES,0)))</f>
        <v>0</v>
      </c>
      <c r="AC107">
        <f>IF(OR(W107="H",W107="B"),INDEX(AllCollegeSAT25, MATCH(N107,AllCollegeNCES,0)),INDEX(AllCollegeSAT50, MATCH(N107,AllCollegeNCES,0)))</f>
        <v>0</v>
      </c>
      <c r="AD107">
        <f>INDEX(CustomWeightsGPA,MATCH(W107&amp;":"&amp;N107,CustomWeightsIndex,0))</f>
        <v>0</v>
      </c>
      <c r="AE107">
        <f>INDEX(CustomWeightsSAT,MATCH(W107&amp;":"&amp;N107,CustomWeightsIndex,0))</f>
        <v>0</v>
      </c>
      <c r="AF107">
        <f>INDEX(CustomWeightsIntercept,MATCH(W107&amp;":"&amp;N107,CustomWeightsIndex,0))</f>
        <v>0</v>
      </c>
      <c r="AG107">
        <f>AD107*S107+AE107*T107+AF107</f>
        <v>0</v>
      </c>
      <c r="AH107">
        <f>INDEX(CoefficientsGPA,MATCH(W107&amp;":"&amp;R107,CoefficientsIndex,0))</f>
        <v>0</v>
      </c>
      <c r="AI107">
        <f>INDEX(CoefficientsSAT,MATCH(W107&amp;":"&amp;R107,CoefficientsIndex,0))</f>
        <v>0</v>
      </c>
      <c r="AJ107">
        <f>INDEX(CoefficientsIntercept,MATCH(W107&amp;":"&amp;R107,CoefficientsIndex,0))</f>
        <v>0</v>
      </c>
      <c r="AK107">
        <f>AH107*S107+(T107-AC107)*AI107+AJ107</f>
        <v>0</v>
      </c>
      <c r="AL107">
        <f>IF(ISNUMBER(AG107),AG107,AK107)</f>
        <v>0</v>
      </c>
      <c r="AM107">
        <f>IF(ISNUMBER(AL107),IF(ISNUMBER(AH107),IF(AND(AH107=1,AI107=1,AJ107=1),100,MIN(99,ROUND(100*EXP(AL107)/(1+EXP(AL107)),2))),MIN(99,ROUND(100*EXP(AL107)/(1+EXP(AL107)),2))),IF(ISTEXT(R107),IF(LEFT(R107,1)="2",100,"N/A"),"N/A"))</f>
        <v>0</v>
      </c>
      <c r="AN107">
        <f>IF(ISNUMBER(AM107),IF(AM107&gt;=99,IF(OR(U107=10,U107=11),MatchLabel,SureThingLabel),IF(AM107&gt;=95,SecureLabel,IF(AM107&gt;=80,SafetyLabel,IF(AM107&gt;=50,MatchLabel,IF(AM107&gt;=20,ReachLabel,IF(AM107&gt;=10,LongshotLabel,HailMaryLabel)))))),"Other")</f>
        <v>0</v>
      </c>
      <c r="AO107">
        <f>IF(OR(I107="accepted",I107="cond. accept",I107="summer admit"),IF(J107="yes","CHOICE!","Accepted!"),IF(I107="guar. transfer","Guar. Xfer",IF(I107="denied","Denied",IF(K107=1,"Waitlist",IF(L107=1,"Deferred",IF(G107="pending","Pending",IF(OR(G107="initial materials submitted",G107="mid-year submitted",G107="final submitted"),"Submitted",IF(H107="interest","Interest","?"))))))))</f>
        <v>0</v>
      </c>
      <c r="AP107">
        <f>IF(OR(AN107=ReachLabel,AN107=LongshotLabel,AN107=HailMaryLabel),1,0)</f>
        <v>0</v>
      </c>
      <c r="AQ107">
        <f>IF(OR(AP107=1,AN107=MatchLabel),1,0)</f>
        <v>0</v>
      </c>
      <c r="AR107">
        <f>IF(OR(AN107=MatchLabel,AN107=SafetyLabel,AN107=SecureLabel,AN107=SureThingLabel),1,0)</f>
        <v>0</v>
      </c>
      <c r="AS107">
        <f>IF(OR(W107="H",W107="B",W107="I",W107="M"),IF(ISNUMBER(AB107),ROUND(AB107,2),0),IF(ISNUMBER(AA107),ROUND(AA107,2),0))</f>
        <v>0</v>
      </c>
      <c r="AT107">
        <f>IF(AS107&gt;=X107,1,0)</f>
        <v>0</v>
      </c>
      <c r="AU107">
        <f>IF(AS107&gt;=Y107,1,0)</f>
        <v>0</v>
      </c>
      <c r="AV107">
        <f>IF(AS107&lt;(X107-0.10),1,0)</f>
        <v>0</v>
      </c>
      <c r="AW107">
        <f>1-AM107/100</f>
        <v>0</v>
      </c>
      <c r="AX107">
        <f>IF(AQ107=1,AW107,1)</f>
        <v>0</v>
      </c>
      <c r="AY107">
        <f>IF(AP107=1,AW107,1)</f>
        <v>0</v>
      </c>
      <c r="AZ107">
        <f>IF(AND(AT107=1,ISNUMBER(AW107)),$AW107,1)</f>
        <v>0</v>
      </c>
      <c r="BA107">
        <f>IF(AND(AU107=1,ISNUMBER(AW107)),$AW107,1)</f>
        <v>0</v>
      </c>
      <c r="BB107">
        <f>IF(ISNUMBER(AB107),INDEX(AllCollegeMoney, MATCH(N107,AllCollegeNCES,0)),0)</f>
        <v>0</v>
      </c>
      <c r="BC107">
        <f>IF(AND(AT107=1,ISNUMBER(AW107),BB107=1),$AW107,1)</f>
        <v>0</v>
      </c>
      <c r="BD107">
        <f>IF(AND(AU107=1,ISNUMBER(AW107),BB107=1),$AW107,1)</f>
        <v>0</v>
      </c>
      <c r="BE107">
        <f>IF(ISNUMBER(AB107),INDEX(AllCollegeILPub, MATCH(N107,AllCollegeNCES,0)),0)</f>
        <v>0</v>
      </c>
      <c r="BF107">
        <f>IF(AN107=ReachLabel,AS107,0)</f>
        <v>0</v>
      </c>
      <c r="BG107">
        <f>IF(AN107=MatchLabel,AS107,0)</f>
        <v>0</v>
      </c>
      <c r="BH107">
        <f>IF(AN107=SafetyLabel,AS107,0)</f>
        <v>0</v>
      </c>
      <c r="BI107">
        <f>IF(AN107=SecureLabel,AS107,0)</f>
        <v>0</v>
      </c>
      <c r="BJ107">
        <f>IF(AN107=SureThingLabel,AS107,0)</f>
        <v>0</v>
      </c>
      <c r="BK107">
        <f>MAX(BF107:BJ107)</f>
        <v>0</v>
      </c>
      <c r="BL107">
        <f>MAX(BG107:BJ107)</f>
        <v>0</v>
      </c>
      <c r="BM107">
        <f>MAX(BH107:BJ107)</f>
        <v>0</v>
      </c>
      <c r="BN107">
        <f>IF(AND(AN107=ReachLabel,BB107=1),AS107,0)</f>
        <v>0</v>
      </c>
      <c r="BO107">
        <f>IF(AND(AN107=MatchLabel,BB107=1),AS107,0)</f>
        <v>0</v>
      </c>
      <c r="BP107">
        <f>IF(AND(AN107=SafetyLabel,BB107=1),AS107,0)</f>
        <v>0</v>
      </c>
      <c r="BQ107">
        <f>IF(AND(AN107=SecureLabel,BB107=1),AS107,0)</f>
        <v>0</v>
      </c>
      <c r="BR107">
        <f>IF(AND(AN107=SureThingLabel,BB107=1),AS107,0)</f>
        <v>0</v>
      </c>
      <c r="BS107">
        <f>MAX(BN107:BR107)</f>
        <v>0</v>
      </c>
      <c r="BT107">
        <f>MAX(BO107:BR107)</f>
        <v>0</v>
      </c>
      <c r="BU107">
        <f>MAX(BP107:BR107)</f>
        <v>0</v>
      </c>
      <c r="BV107">
        <f>IF(ISNUMBER(AB107),INDEX(AllCollegeChicago, MATCH(N107,AllCollegeNCES,0))*BB107,0)</f>
        <v>0</v>
      </c>
      <c r="BW107">
        <f>IF(ISNUMBER(AB107),INDEX(AllCollegeMoneyCode, MATCH(N107,AllCollegeNCES,0)),"?")</f>
        <v>0</v>
      </c>
      <c r="BX107">
        <f>IF(OR(BW107="---",BW107="--",BW107="+/--",BW107="+/---"),1,0)</f>
        <v>0</v>
      </c>
      <c r="BY107">
        <f>BB107*AR107*AT107</f>
        <v>0</v>
      </c>
    </row>
    <row r="108" spans="1:77">
      <c r="A108" t="s">
        <v>96</v>
      </c>
      <c r="B108">
        <v>22415099</v>
      </c>
      <c r="C108" t="s">
        <v>297</v>
      </c>
      <c r="D108" t="s">
        <v>298</v>
      </c>
      <c r="E108" t="s">
        <v>446</v>
      </c>
      <c r="F108" t="s">
        <v>465</v>
      </c>
      <c r="G108" t="s">
        <v>448</v>
      </c>
      <c r="H108" t="s">
        <v>449</v>
      </c>
      <c r="I108" t="s">
        <v>450</v>
      </c>
      <c r="J108" t="s">
        <v>450</v>
      </c>
      <c r="K108">
        <v>0</v>
      </c>
      <c r="L108" t="s">
        <v>446</v>
      </c>
      <c r="M108" t="s">
        <v>446</v>
      </c>
      <c r="N108">
        <v>145600</v>
      </c>
      <c r="O108">
        <f>INDEX(Counselor,MATCH(B108,KidIDs,0))</f>
        <v>0</v>
      </c>
      <c r="P108">
        <f>INDEX(Advisors,MATCH(B108,KidIDs,0))</f>
        <v>0</v>
      </c>
      <c r="Q108">
        <f>INDEX(Cohort,MATCH(B108,KidIDs,0))</f>
        <v>0</v>
      </c>
      <c r="R108">
        <f>INDEX(AllCollegeBarrons,MATCH(N108,AllCollegeNCES,0))</f>
        <v>0</v>
      </c>
      <c r="S108">
        <f>INDEX(KidGPAs,MATCH(B108,KidIDs,0))</f>
        <v>0</v>
      </c>
      <c r="T108">
        <f>INDEX(KidSATs,MATCH(B108,KidIDs,0))</f>
        <v>0</v>
      </c>
      <c r="U108">
        <f>INDEX(Strats,MATCH(B108,KidIDs,0))</f>
        <v>0</v>
      </c>
      <c r="V108">
        <f>INDEX(KidRace,MATCH(B108,KidIDs,0))</f>
        <v>0</v>
      </c>
      <c r="W108">
        <f>IF(OR(V108="M",V108="I"),"H",IF(V108="P","A",V108))</f>
        <v>0</v>
      </c>
      <c r="X108">
        <f>INDEX(StudentTargets,MATCH(B108,KidIDs,0))</f>
        <v>0</v>
      </c>
      <c r="Y108">
        <f>INDEX(ReachStudentTargets,MATCH(B108,KidIDs,0))</f>
        <v>0</v>
      </c>
      <c r="Z108">
        <f>IF(OR(M108="Posse"),1,0)</f>
        <v>0</v>
      </c>
      <c r="AA108">
        <f>IF(ISNUMBER(INDEX(AllCollegeGR, MATCH(N108,AllCollegeNCES,0))),ROUND(INDEX(AllCollegeGR, MATCH(N108,AllCollegeNCES,0))+Z108*IF(INDEX(AllCollegeGR, MATCH(N108,AllCollegeNCES,0))&gt;0.7,(1-INDEX(AllCollegeGR, MATCH(N108,AllCollegeNCES,0)))/2,0.15),2),INDEX(AllCollegeGR, MATCH(N108,AllCollegeNCES,0)))</f>
        <v>0</v>
      </c>
      <c r="AB108">
        <f>IF(ISNUMBER(INDEX(AllCollegeAAHGR, MATCH(N108,AllCollegeNCES,0))),ROUND(INDEX(AllCollegeAAHGR, MATCH(N108,AllCollegeNCES,0))+Z108*IF(INDEX(AllCollegeAAHGR, MATCH(N108,AllCollegeNCES,0))&gt;0.7,(1-INDEX(AllCollegeAAHGR, MATCH(N108,AllCollegeNCES,0)))/2,0.15),2),INDEX(AllCollegeAAHGR, MATCH(N108,AllCollegeNCES,0)))</f>
        <v>0</v>
      </c>
      <c r="AC108">
        <f>IF(OR(W108="H",W108="B"),INDEX(AllCollegeSAT25, MATCH(N108,AllCollegeNCES,0)),INDEX(AllCollegeSAT50, MATCH(N108,AllCollegeNCES,0)))</f>
        <v>0</v>
      </c>
      <c r="AD108">
        <f>INDEX(CustomWeightsGPA,MATCH(W108&amp;":"&amp;N108,CustomWeightsIndex,0))</f>
        <v>0</v>
      </c>
      <c r="AE108">
        <f>INDEX(CustomWeightsSAT,MATCH(W108&amp;":"&amp;N108,CustomWeightsIndex,0))</f>
        <v>0</v>
      </c>
      <c r="AF108">
        <f>INDEX(CustomWeightsIntercept,MATCH(W108&amp;":"&amp;N108,CustomWeightsIndex,0))</f>
        <v>0</v>
      </c>
      <c r="AG108">
        <f>AD108*S108+AE108*T108+AF108</f>
        <v>0</v>
      </c>
      <c r="AH108">
        <f>INDEX(CoefficientsGPA,MATCH(W108&amp;":"&amp;R108,CoefficientsIndex,0))</f>
        <v>0</v>
      </c>
      <c r="AI108">
        <f>INDEX(CoefficientsSAT,MATCH(W108&amp;":"&amp;R108,CoefficientsIndex,0))</f>
        <v>0</v>
      </c>
      <c r="AJ108">
        <f>INDEX(CoefficientsIntercept,MATCH(W108&amp;":"&amp;R108,CoefficientsIndex,0))</f>
        <v>0</v>
      </c>
      <c r="AK108">
        <f>AH108*S108+(T108-AC108)*AI108+AJ108</f>
        <v>0</v>
      </c>
      <c r="AL108">
        <f>IF(ISNUMBER(AG108),AG108,AK108)</f>
        <v>0</v>
      </c>
      <c r="AM108">
        <f>IF(ISNUMBER(AL108),IF(ISNUMBER(AH108),IF(AND(AH108=1,AI108=1,AJ108=1),100,MIN(99,ROUND(100*EXP(AL108)/(1+EXP(AL108)),2))),MIN(99,ROUND(100*EXP(AL108)/(1+EXP(AL108)),2))),IF(ISTEXT(R108),IF(LEFT(R108,1)="2",100,"N/A"),"N/A"))</f>
        <v>0</v>
      </c>
      <c r="AN108">
        <f>IF(ISNUMBER(AM108),IF(AM108&gt;=99,IF(OR(U108=10,U108=11),MatchLabel,SureThingLabel),IF(AM108&gt;=95,SecureLabel,IF(AM108&gt;=80,SafetyLabel,IF(AM108&gt;=50,MatchLabel,IF(AM108&gt;=20,ReachLabel,IF(AM108&gt;=10,LongshotLabel,HailMaryLabel)))))),"Other")</f>
        <v>0</v>
      </c>
      <c r="AO108">
        <f>IF(OR(I108="accepted",I108="cond. accept",I108="summer admit"),IF(J108="yes","CHOICE!","Accepted!"),IF(I108="guar. transfer","Guar. Xfer",IF(I108="denied","Denied",IF(K108=1,"Waitlist",IF(L108=1,"Deferred",IF(G108="pending","Pending",IF(OR(G108="initial materials submitted",G108="mid-year submitted",G108="final submitted"),"Submitted",IF(H108="interest","Interest","?"))))))))</f>
        <v>0</v>
      </c>
      <c r="AP108">
        <f>IF(OR(AN108=ReachLabel,AN108=LongshotLabel,AN108=HailMaryLabel),1,0)</f>
        <v>0</v>
      </c>
      <c r="AQ108">
        <f>IF(OR(AP108=1,AN108=MatchLabel),1,0)</f>
        <v>0</v>
      </c>
      <c r="AR108">
        <f>IF(OR(AN108=MatchLabel,AN108=SafetyLabel,AN108=SecureLabel,AN108=SureThingLabel),1,0)</f>
        <v>0</v>
      </c>
      <c r="AS108">
        <f>IF(OR(W108="H",W108="B",W108="I",W108="M"),IF(ISNUMBER(AB108),ROUND(AB108,2),0),IF(ISNUMBER(AA108),ROUND(AA108,2),0))</f>
        <v>0</v>
      </c>
      <c r="AT108">
        <f>IF(AS108&gt;=X108,1,0)</f>
        <v>0</v>
      </c>
      <c r="AU108">
        <f>IF(AS108&gt;=Y108,1,0)</f>
        <v>0</v>
      </c>
      <c r="AV108">
        <f>IF(AS108&lt;(X108-0.10),1,0)</f>
        <v>0</v>
      </c>
      <c r="AW108">
        <f>1-AM108/100</f>
        <v>0</v>
      </c>
      <c r="AX108">
        <f>IF(AQ108=1,AW108,1)</f>
        <v>0</v>
      </c>
      <c r="AY108">
        <f>IF(AP108=1,AW108,1)</f>
        <v>0</v>
      </c>
      <c r="AZ108">
        <f>IF(AND(AT108=1,ISNUMBER(AW108)),$AW108,1)</f>
        <v>0</v>
      </c>
      <c r="BA108">
        <f>IF(AND(AU108=1,ISNUMBER(AW108)),$AW108,1)</f>
        <v>0</v>
      </c>
      <c r="BB108">
        <f>IF(ISNUMBER(AB108),INDEX(AllCollegeMoney, MATCH(N108,AllCollegeNCES,0)),0)</f>
        <v>0</v>
      </c>
      <c r="BC108">
        <f>IF(AND(AT108=1,ISNUMBER(AW108),BB108=1),$AW108,1)</f>
        <v>0</v>
      </c>
      <c r="BD108">
        <f>IF(AND(AU108=1,ISNUMBER(AW108),BB108=1),$AW108,1)</f>
        <v>0</v>
      </c>
      <c r="BE108">
        <f>IF(ISNUMBER(AB108),INDEX(AllCollegeILPub, MATCH(N108,AllCollegeNCES,0)),0)</f>
        <v>0</v>
      </c>
      <c r="BF108">
        <f>IF(AN108=ReachLabel,AS108,0)</f>
        <v>0</v>
      </c>
      <c r="BG108">
        <f>IF(AN108=MatchLabel,AS108,0)</f>
        <v>0</v>
      </c>
      <c r="BH108">
        <f>IF(AN108=SafetyLabel,AS108,0)</f>
        <v>0</v>
      </c>
      <c r="BI108">
        <f>IF(AN108=SecureLabel,AS108,0)</f>
        <v>0</v>
      </c>
      <c r="BJ108">
        <f>IF(AN108=SureThingLabel,AS108,0)</f>
        <v>0</v>
      </c>
      <c r="BK108">
        <f>MAX(BF108:BJ108)</f>
        <v>0</v>
      </c>
      <c r="BL108">
        <f>MAX(BG108:BJ108)</f>
        <v>0</v>
      </c>
      <c r="BM108">
        <f>MAX(BH108:BJ108)</f>
        <v>0</v>
      </c>
      <c r="BN108">
        <f>IF(AND(AN108=ReachLabel,BB108=1),AS108,0)</f>
        <v>0</v>
      </c>
      <c r="BO108">
        <f>IF(AND(AN108=MatchLabel,BB108=1),AS108,0)</f>
        <v>0</v>
      </c>
      <c r="BP108">
        <f>IF(AND(AN108=SafetyLabel,BB108=1),AS108,0)</f>
        <v>0</v>
      </c>
      <c r="BQ108">
        <f>IF(AND(AN108=SecureLabel,BB108=1),AS108,0)</f>
        <v>0</v>
      </c>
      <c r="BR108">
        <f>IF(AND(AN108=SureThingLabel,BB108=1),AS108,0)</f>
        <v>0</v>
      </c>
      <c r="BS108">
        <f>MAX(BN108:BR108)</f>
        <v>0</v>
      </c>
      <c r="BT108">
        <f>MAX(BO108:BR108)</f>
        <v>0</v>
      </c>
      <c r="BU108">
        <f>MAX(BP108:BR108)</f>
        <v>0</v>
      </c>
      <c r="BV108">
        <f>IF(ISNUMBER(AB108),INDEX(AllCollegeChicago, MATCH(N108,AllCollegeNCES,0))*BB108,0)</f>
        <v>0</v>
      </c>
      <c r="BW108">
        <f>IF(ISNUMBER(AB108),INDEX(AllCollegeMoneyCode, MATCH(N108,AllCollegeNCES,0)),"?")</f>
        <v>0</v>
      </c>
      <c r="BX108">
        <f>IF(OR(BW108="---",BW108="--",BW108="+/--",BW108="+/---"),1,0)</f>
        <v>0</v>
      </c>
      <c r="BY108">
        <f>BB108*AR108*AT108</f>
        <v>0</v>
      </c>
    </row>
    <row r="109" spans="1:77">
      <c r="A109" t="s">
        <v>96</v>
      </c>
      <c r="B109">
        <v>22415099</v>
      </c>
      <c r="C109" t="s">
        <v>297</v>
      </c>
      <c r="D109" t="s">
        <v>298</v>
      </c>
      <c r="E109" t="s">
        <v>446</v>
      </c>
      <c r="F109" t="s">
        <v>506</v>
      </c>
      <c r="G109" t="s">
        <v>448</v>
      </c>
      <c r="H109" t="s">
        <v>449</v>
      </c>
      <c r="I109" t="s">
        <v>450</v>
      </c>
      <c r="J109" t="s">
        <v>450</v>
      </c>
      <c r="K109">
        <v>0</v>
      </c>
      <c r="L109" t="s">
        <v>446</v>
      </c>
      <c r="M109" t="s">
        <v>446</v>
      </c>
      <c r="N109">
        <v>147679</v>
      </c>
      <c r="O109">
        <f>INDEX(Counselor,MATCH(B109,KidIDs,0))</f>
        <v>0</v>
      </c>
      <c r="P109">
        <f>INDEX(Advisors,MATCH(B109,KidIDs,0))</f>
        <v>0</v>
      </c>
      <c r="Q109">
        <f>INDEX(Cohort,MATCH(B109,KidIDs,0))</f>
        <v>0</v>
      </c>
      <c r="R109">
        <f>INDEX(AllCollegeBarrons,MATCH(N109,AllCollegeNCES,0))</f>
        <v>0</v>
      </c>
      <c r="S109">
        <f>INDEX(KidGPAs,MATCH(B109,KidIDs,0))</f>
        <v>0</v>
      </c>
      <c r="T109">
        <f>INDEX(KidSATs,MATCH(B109,KidIDs,0))</f>
        <v>0</v>
      </c>
      <c r="U109">
        <f>INDEX(Strats,MATCH(B109,KidIDs,0))</f>
        <v>0</v>
      </c>
      <c r="V109">
        <f>INDEX(KidRace,MATCH(B109,KidIDs,0))</f>
        <v>0</v>
      </c>
      <c r="W109">
        <f>IF(OR(V109="M",V109="I"),"H",IF(V109="P","A",V109))</f>
        <v>0</v>
      </c>
      <c r="X109">
        <f>INDEX(StudentTargets,MATCH(B109,KidIDs,0))</f>
        <v>0</v>
      </c>
      <c r="Y109">
        <f>INDEX(ReachStudentTargets,MATCH(B109,KidIDs,0))</f>
        <v>0</v>
      </c>
      <c r="Z109">
        <f>IF(OR(M109="Posse"),1,0)</f>
        <v>0</v>
      </c>
      <c r="AA109">
        <f>IF(ISNUMBER(INDEX(AllCollegeGR, MATCH(N109,AllCollegeNCES,0))),ROUND(INDEX(AllCollegeGR, MATCH(N109,AllCollegeNCES,0))+Z109*IF(INDEX(AllCollegeGR, MATCH(N109,AllCollegeNCES,0))&gt;0.7,(1-INDEX(AllCollegeGR, MATCH(N109,AllCollegeNCES,0)))/2,0.15),2),INDEX(AllCollegeGR, MATCH(N109,AllCollegeNCES,0)))</f>
        <v>0</v>
      </c>
      <c r="AB109">
        <f>IF(ISNUMBER(INDEX(AllCollegeAAHGR, MATCH(N109,AllCollegeNCES,0))),ROUND(INDEX(AllCollegeAAHGR, MATCH(N109,AllCollegeNCES,0))+Z109*IF(INDEX(AllCollegeAAHGR, MATCH(N109,AllCollegeNCES,0))&gt;0.7,(1-INDEX(AllCollegeAAHGR, MATCH(N109,AllCollegeNCES,0)))/2,0.15),2),INDEX(AllCollegeAAHGR, MATCH(N109,AllCollegeNCES,0)))</f>
        <v>0</v>
      </c>
      <c r="AC109">
        <f>IF(OR(W109="H",W109="B"),INDEX(AllCollegeSAT25, MATCH(N109,AllCollegeNCES,0)),INDEX(AllCollegeSAT50, MATCH(N109,AllCollegeNCES,0)))</f>
        <v>0</v>
      </c>
      <c r="AD109">
        <f>INDEX(CustomWeightsGPA,MATCH(W109&amp;":"&amp;N109,CustomWeightsIndex,0))</f>
        <v>0</v>
      </c>
      <c r="AE109">
        <f>INDEX(CustomWeightsSAT,MATCH(W109&amp;":"&amp;N109,CustomWeightsIndex,0))</f>
        <v>0</v>
      </c>
      <c r="AF109">
        <f>INDEX(CustomWeightsIntercept,MATCH(W109&amp;":"&amp;N109,CustomWeightsIndex,0))</f>
        <v>0</v>
      </c>
      <c r="AG109">
        <f>AD109*S109+AE109*T109+AF109</f>
        <v>0</v>
      </c>
      <c r="AH109">
        <f>INDEX(CoefficientsGPA,MATCH(W109&amp;":"&amp;R109,CoefficientsIndex,0))</f>
        <v>0</v>
      </c>
      <c r="AI109">
        <f>INDEX(CoefficientsSAT,MATCH(W109&amp;":"&amp;R109,CoefficientsIndex,0))</f>
        <v>0</v>
      </c>
      <c r="AJ109">
        <f>INDEX(CoefficientsIntercept,MATCH(W109&amp;":"&amp;R109,CoefficientsIndex,0))</f>
        <v>0</v>
      </c>
      <c r="AK109">
        <f>AH109*S109+(T109-AC109)*AI109+AJ109</f>
        <v>0</v>
      </c>
      <c r="AL109">
        <f>IF(ISNUMBER(AG109),AG109,AK109)</f>
        <v>0</v>
      </c>
      <c r="AM109">
        <f>IF(ISNUMBER(AL109),IF(ISNUMBER(AH109),IF(AND(AH109=1,AI109=1,AJ109=1),100,MIN(99,ROUND(100*EXP(AL109)/(1+EXP(AL109)),2))),MIN(99,ROUND(100*EXP(AL109)/(1+EXP(AL109)),2))),IF(ISTEXT(R109),IF(LEFT(R109,1)="2",100,"N/A"),"N/A"))</f>
        <v>0</v>
      </c>
      <c r="AN109">
        <f>IF(ISNUMBER(AM109),IF(AM109&gt;=99,IF(OR(U109=10,U109=11),MatchLabel,SureThingLabel),IF(AM109&gt;=95,SecureLabel,IF(AM109&gt;=80,SafetyLabel,IF(AM109&gt;=50,MatchLabel,IF(AM109&gt;=20,ReachLabel,IF(AM109&gt;=10,LongshotLabel,HailMaryLabel)))))),"Other")</f>
        <v>0</v>
      </c>
      <c r="AO109">
        <f>IF(OR(I109="accepted",I109="cond. accept",I109="summer admit"),IF(J109="yes","CHOICE!","Accepted!"),IF(I109="guar. transfer","Guar. Xfer",IF(I109="denied","Denied",IF(K109=1,"Waitlist",IF(L109=1,"Deferred",IF(G109="pending","Pending",IF(OR(G109="initial materials submitted",G109="mid-year submitted",G109="final submitted"),"Submitted",IF(H109="interest","Interest","?"))))))))</f>
        <v>0</v>
      </c>
      <c r="AP109">
        <f>IF(OR(AN109=ReachLabel,AN109=LongshotLabel,AN109=HailMaryLabel),1,0)</f>
        <v>0</v>
      </c>
      <c r="AQ109">
        <f>IF(OR(AP109=1,AN109=MatchLabel),1,0)</f>
        <v>0</v>
      </c>
      <c r="AR109">
        <f>IF(OR(AN109=MatchLabel,AN109=SafetyLabel,AN109=SecureLabel,AN109=SureThingLabel),1,0)</f>
        <v>0</v>
      </c>
      <c r="AS109">
        <f>IF(OR(W109="H",W109="B",W109="I",W109="M"),IF(ISNUMBER(AB109),ROUND(AB109,2),0),IF(ISNUMBER(AA109),ROUND(AA109,2),0))</f>
        <v>0</v>
      </c>
      <c r="AT109">
        <f>IF(AS109&gt;=X109,1,0)</f>
        <v>0</v>
      </c>
      <c r="AU109">
        <f>IF(AS109&gt;=Y109,1,0)</f>
        <v>0</v>
      </c>
      <c r="AV109">
        <f>IF(AS109&lt;(X109-0.10),1,0)</f>
        <v>0</v>
      </c>
      <c r="AW109">
        <f>1-AM109/100</f>
        <v>0</v>
      </c>
      <c r="AX109">
        <f>IF(AQ109=1,AW109,1)</f>
        <v>0</v>
      </c>
      <c r="AY109">
        <f>IF(AP109=1,AW109,1)</f>
        <v>0</v>
      </c>
      <c r="AZ109">
        <f>IF(AND(AT109=1,ISNUMBER(AW109)),$AW109,1)</f>
        <v>0</v>
      </c>
      <c r="BA109">
        <f>IF(AND(AU109=1,ISNUMBER(AW109)),$AW109,1)</f>
        <v>0</v>
      </c>
      <c r="BB109">
        <f>IF(ISNUMBER(AB109),INDEX(AllCollegeMoney, MATCH(N109,AllCollegeNCES,0)),0)</f>
        <v>0</v>
      </c>
      <c r="BC109">
        <f>IF(AND(AT109=1,ISNUMBER(AW109),BB109=1),$AW109,1)</f>
        <v>0</v>
      </c>
      <c r="BD109">
        <f>IF(AND(AU109=1,ISNUMBER(AW109),BB109=1),$AW109,1)</f>
        <v>0</v>
      </c>
      <c r="BE109">
        <f>IF(ISNUMBER(AB109),INDEX(AllCollegeILPub, MATCH(N109,AllCollegeNCES,0)),0)</f>
        <v>0</v>
      </c>
      <c r="BF109">
        <f>IF(AN109=ReachLabel,AS109,0)</f>
        <v>0</v>
      </c>
      <c r="BG109">
        <f>IF(AN109=MatchLabel,AS109,0)</f>
        <v>0</v>
      </c>
      <c r="BH109">
        <f>IF(AN109=SafetyLabel,AS109,0)</f>
        <v>0</v>
      </c>
      <c r="BI109">
        <f>IF(AN109=SecureLabel,AS109,0)</f>
        <v>0</v>
      </c>
      <c r="BJ109">
        <f>IF(AN109=SureThingLabel,AS109,0)</f>
        <v>0</v>
      </c>
      <c r="BK109">
        <f>MAX(BF109:BJ109)</f>
        <v>0</v>
      </c>
      <c r="BL109">
        <f>MAX(BG109:BJ109)</f>
        <v>0</v>
      </c>
      <c r="BM109">
        <f>MAX(BH109:BJ109)</f>
        <v>0</v>
      </c>
      <c r="BN109">
        <f>IF(AND(AN109=ReachLabel,BB109=1),AS109,0)</f>
        <v>0</v>
      </c>
      <c r="BO109">
        <f>IF(AND(AN109=MatchLabel,BB109=1),AS109,0)</f>
        <v>0</v>
      </c>
      <c r="BP109">
        <f>IF(AND(AN109=SafetyLabel,BB109=1),AS109,0)</f>
        <v>0</v>
      </c>
      <c r="BQ109">
        <f>IF(AND(AN109=SecureLabel,BB109=1),AS109,0)</f>
        <v>0</v>
      </c>
      <c r="BR109">
        <f>IF(AND(AN109=SureThingLabel,BB109=1),AS109,0)</f>
        <v>0</v>
      </c>
      <c r="BS109">
        <f>MAX(BN109:BR109)</f>
        <v>0</v>
      </c>
      <c r="BT109">
        <f>MAX(BO109:BR109)</f>
        <v>0</v>
      </c>
      <c r="BU109">
        <f>MAX(BP109:BR109)</f>
        <v>0</v>
      </c>
      <c r="BV109">
        <f>IF(ISNUMBER(AB109),INDEX(AllCollegeChicago, MATCH(N109,AllCollegeNCES,0))*BB109,0)</f>
        <v>0</v>
      </c>
      <c r="BW109">
        <f>IF(ISNUMBER(AB109),INDEX(AllCollegeMoneyCode, MATCH(N109,AllCollegeNCES,0)),"?")</f>
        <v>0</v>
      </c>
      <c r="BX109">
        <f>IF(OR(BW109="---",BW109="--",BW109="+/--",BW109="+/---"),1,0)</f>
        <v>0</v>
      </c>
      <c r="BY109">
        <f>BB109*AR109*AT109</f>
        <v>0</v>
      </c>
    </row>
    <row r="110" spans="1:77">
      <c r="A110" t="s">
        <v>96</v>
      </c>
      <c r="B110">
        <v>22415099</v>
      </c>
      <c r="C110" t="s">
        <v>297</v>
      </c>
      <c r="D110" t="s">
        <v>298</v>
      </c>
      <c r="E110" t="s">
        <v>446</v>
      </c>
      <c r="F110" t="s">
        <v>453</v>
      </c>
      <c r="G110" t="s">
        <v>448</v>
      </c>
      <c r="H110" t="s">
        <v>449</v>
      </c>
      <c r="I110" t="s">
        <v>450</v>
      </c>
      <c r="J110" t="s">
        <v>450</v>
      </c>
      <c r="K110">
        <v>0</v>
      </c>
      <c r="L110" t="s">
        <v>446</v>
      </c>
      <c r="M110" t="s">
        <v>454</v>
      </c>
      <c r="N110">
        <v>150774</v>
      </c>
      <c r="O110">
        <f>INDEX(Counselor,MATCH(B110,KidIDs,0))</f>
        <v>0</v>
      </c>
      <c r="P110">
        <f>INDEX(Advisors,MATCH(B110,KidIDs,0))</f>
        <v>0</v>
      </c>
      <c r="Q110">
        <f>INDEX(Cohort,MATCH(B110,KidIDs,0))</f>
        <v>0</v>
      </c>
      <c r="R110">
        <f>INDEX(AllCollegeBarrons,MATCH(N110,AllCollegeNCES,0))</f>
        <v>0</v>
      </c>
      <c r="S110">
        <f>INDEX(KidGPAs,MATCH(B110,KidIDs,0))</f>
        <v>0</v>
      </c>
      <c r="T110">
        <f>INDEX(KidSATs,MATCH(B110,KidIDs,0))</f>
        <v>0</v>
      </c>
      <c r="U110">
        <f>INDEX(Strats,MATCH(B110,KidIDs,0))</f>
        <v>0</v>
      </c>
      <c r="V110">
        <f>INDEX(KidRace,MATCH(B110,KidIDs,0))</f>
        <v>0</v>
      </c>
      <c r="W110">
        <f>IF(OR(V110="M",V110="I"),"H",IF(V110="P","A",V110))</f>
        <v>0</v>
      </c>
      <c r="X110">
        <f>INDEX(StudentTargets,MATCH(B110,KidIDs,0))</f>
        <v>0</v>
      </c>
      <c r="Y110">
        <f>INDEX(ReachStudentTargets,MATCH(B110,KidIDs,0))</f>
        <v>0</v>
      </c>
      <c r="Z110">
        <f>IF(OR(M110="Posse"),1,0)</f>
        <v>0</v>
      </c>
      <c r="AA110">
        <f>IF(ISNUMBER(INDEX(AllCollegeGR, MATCH(N110,AllCollegeNCES,0))),ROUND(INDEX(AllCollegeGR, MATCH(N110,AllCollegeNCES,0))+Z110*IF(INDEX(AllCollegeGR, MATCH(N110,AllCollegeNCES,0))&gt;0.7,(1-INDEX(AllCollegeGR, MATCH(N110,AllCollegeNCES,0)))/2,0.15),2),INDEX(AllCollegeGR, MATCH(N110,AllCollegeNCES,0)))</f>
        <v>0</v>
      </c>
      <c r="AB110">
        <f>IF(ISNUMBER(INDEX(AllCollegeAAHGR, MATCH(N110,AllCollegeNCES,0))),ROUND(INDEX(AllCollegeAAHGR, MATCH(N110,AllCollegeNCES,0))+Z110*IF(INDEX(AllCollegeAAHGR, MATCH(N110,AllCollegeNCES,0))&gt;0.7,(1-INDEX(AllCollegeAAHGR, MATCH(N110,AllCollegeNCES,0)))/2,0.15),2),INDEX(AllCollegeAAHGR, MATCH(N110,AllCollegeNCES,0)))</f>
        <v>0</v>
      </c>
      <c r="AC110">
        <f>IF(OR(W110="H",W110="B"),INDEX(AllCollegeSAT25, MATCH(N110,AllCollegeNCES,0)),INDEX(AllCollegeSAT50, MATCH(N110,AllCollegeNCES,0)))</f>
        <v>0</v>
      </c>
      <c r="AD110">
        <f>INDEX(CustomWeightsGPA,MATCH(W110&amp;":"&amp;N110,CustomWeightsIndex,0))</f>
        <v>0</v>
      </c>
      <c r="AE110">
        <f>INDEX(CustomWeightsSAT,MATCH(W110&amp;":"&amp;N110,CustomWeightsIndex,0))</f>
        <v>0</v>
      </c>
      <c r="AF110">
        <f>INDEX(CustomWeightsIntercept,MATCH(W110&amp;":"&amp;N110,CustomWeightsIndex,0))</f>
        <v>0</v>
      </c>
      <c r="AG110">
        <f>AD110*S110+AE110*T110+AF110</f>
        <v>0</v>
      </c>
      <c r="AH110">
        <f>INDEX(CoefficientsGPA,MATCH(W110&amp;":"&amp;R110,CoefficientsIndex,0))</f>
        <v>0</v>
      </c>
      <c r="AI110">
        <f>INDEX(CoefficientsSAT,MATCH(W110&amp;":"&amp;R110,CoefficientsIndex,0))</f>
        <v>0</v>
      </c>
      <c r="AJ110">
        <f>INDEX(CoefficientsIntercept,MATCH(W110&amp;":"&amp;R110,CoefficientsIndex,0))</f>
        <v>0</v>
      </c>
      <c r="AK110">
        <f>AH110*S110+(T110-AC110)*AI110+AJ110</f>
        <v>0</v>
      </c>
      <c r="AL110">
        <f>IF(ISNUMBER(AG110),AG110,AK110)</f>
        <v>0</v>
      </c>
      <c r="AM110">
        <f>IF(ISNUMBER(AL110),IF(ISNUMBER(AH110),IF(AND(AH110=1,AI110=1,AJ110=1),100,MIN(99,ROUND(100*EXP(AL110)/(1+EXP(AL110)),2))),MIN(99,ROUND(100*EXP(AL110)/(1+EXP(AL110)),2))),IF(ISTEXT(R110),IF(LEFT(R110,1)="2",100,"N/A"),"N/A"))</f>
        <v>0</v>
      </c>
      <c r="AN110">
        <f>IF(ISNUMBER(AM110),IF(AM110&gt;=99,IF(OR(U110=10,U110=11),MatchLabel,SureThingLabel),IF(AM110&gt;=95,SecureLabel,IF(AM110&gt;=80,SafetyLabel,IF(AM110&gt;=50,MatchLabel,IF(AM110&gt;=20,ReachLabel,IF(AM110&gt;=10,LongshotLabel,HailMaryLabel)))))),"Other")</f>
        <v>0</v>
      </c>
      <c r="AO110">
        <f>IF(OR(I110="accepted",I110="cond. accept",I110="summer admit"),IF(J110="yes","CHOICE!","Accepted!"),IF(I110="guar. transfer","Guar. Xfer",IF(I110="denied","Denied",IF(K110=1,"Waitlist",IF(L110=1,"Deferred",IF(G110="pending","Pending",IF(OR(G110="initial materials submitted",G110="mid-year submitted",G110="final submitted"),"Submitted",IF(H110="interest","Interest","?"))))))))</f>
        <v>0</v>
      </c>
      <c r="AP110">
        <f>IF(OR(AN110=ReachLabel,AN110=LongshotLabel,AN110=HailMaryLabel),1,0)</f>
        <v>0</v>
      </c>
      <c r="AQ110">
        <f>IF(OR(AP110=1,AN110=MatchLabel),1,0)</f>
        <v>0</v>
      </c>
      <c r="AR110">
        <f>IF(OR(AN110=MatchLabel,AN110=SafetyLabel,AN110=SecureLabel,AN110=SureThingLabel),1,0)</f>
        <v>0</v>
      </c>
      <c r="AS110">
        <f>IF(OR(W110="H",W110="B",W110="I",W110="M"),IF(ISNUMBER(AB110),ROUND(AB110,2),0),IF(ISNUMBER(AA110),ROUND(AA110,2),0))</f>
        <v>0</v>
      </c>
      <c r="AT110">
        <f>IF(AS110&gt;=X110,1,0)</f>
        <v>0</v>
      </c>
      <c r="AU110">
        <f>IF(AS110&gt;=Y110,1,0)</f>
        <v>0</v>
      </c>
      <c r="AV110">
        <f>IF(AS110&lt;(X110-0.10),1,0)</f>
        <v>0</v>
      </c>
      <c r="AW110">
        <f>1-AM110/100</f>
        <v>0</v>
      </c>
      <c r="AX110">
        <f>IF(AQ110=1,AW110,1)</f>
        <v>0</v>
      </c>
      <c r="AY110">
        <f>IF(AP110=1,AW110,1)</f>
        <v>0</v>
      </c>
      <c r="AZ110">
        <f>IF(AND(AT110=1,ISNUMBER(AW110)),$AW110,1)</f>
        <v>0</v>
      </c>
      <c r="BA110">
        <f>IF(AND(AU110=1,ISNUMBER(AW110)),$AW110,1)</f>
        <v>0</v>
      </c>
      <c r="BB110">
        <f>IF(ISNUMBER(AB110),INDEX(AllCollegeMoney, MATCH(N110,AllCollegeNCES,0)),0)</f>
        <v>0</v>
      </c>
      <c r="BC110">
        <f>IF(AND(AT110=1,ISNUMBER(AW110),BB110=1),$AW110,1)</f>
        <v>0</v>
      </c>
      <c r="BD110">
        <f>IF(AND(AU110=1,ISNUMBER(AW110),BB110=1),$AW110,1)</f>
        <v>0</v>
      </c>
      <c r="BE110">
        <f>IF(ISNUMBER(AB110),INDEX(AllCollegeILPub, MATCH(N110,AllCollegeNCES,0)),0)</f>
        <v>0</v>
      </c>
      <c r="BF110">
        <f>IF(AN110=ReachLabel,AS110,0)</f>
        <v>0</v>
      </c>
      <c r="BG110">
        <f>IF(AN110=MatchLabel,AS110,0)</f>
        <v>0</v>
      </c>
      <c r="BH110">
        <f>IF(AN110=SafetyLabel,AS110,0)</f>
        <v>0</v>
      </c>
      <c r="BI110">
        <f>IF(AN110=SecureLabel,AS110,0)</f>
        <v>0</v>
      </c>
      <c r="BJ110">
        <f>IF(AN110=SureThingLabel,AS110,0)</f>
        <v>0</v>
      </c>
      <c r="BK110">
        <f>MAX(BF110:BJ110)</f>
        <v>0</v>
      </c>
      <c r="BL110">
        <f>MAX(BG110:BJ110)</f>
        <v>0</v>
      </c>
      <c r="BM110">
        <f>MAX(BH110:BJ110)</f>
        <v>0</v>
      </c>
      <c r="BN110">
        <f>IF(AND(AN110=ReachLabel,BB110=1),AS110,0)</f>
        <v>0</v>
      </c>
      <c r="BO110">
        <f>IF(AND(AN110=MatchLabel,BB110=1),AS110,0)</f>
        <v>0</v>
      </c>
      <c r="BP110">
        <f>IF(AND(AN110=SafetyLabel,BB110=1),AS110,0)</f>
        <v>0</v>
      </c>
      <c r="BQ110">
        <f>IF(AND(AN110=SecureLabel,BB110=1),AS110,0)</f>
        <v>0</v>
      </c>
      <c r="BR110">
        <f>IF(AND(AN110=SureThingLabel,BB110=1),AS110,0)</f>
        <v>0</v>
      </c>
      <c r="BS110">
        <f>MAX(BN110:BR110)</f>
        <v>0</v>
      </c>
      <c r="BT110">
        <f>MAX(BO110:BR110)</f>
        <v>0</v>
      </c>
      <c r="BU110">
        <f>MAX(BP110:BR110)</f>
        <v>0</v>
      </c>
      <c r="BV110">
        <f>IF(ISNUMBER(AB110),INDEX(AllCollegeChicago, MATCH(N110,AllCollegeNCES,0))*BB110,0)</f>
        <v>0</v>
      </c>
      <c r="BW110">
        <f>IF(ISNUMBER(AB110),INDEX(AllCollegeMoneyCode, MATCH(N110,AllCollegeNCES,0)),"?")</f>
        <v>0</v>
      </c>
      <c r="BX110">
        <f>IF(OR(BW110="---",BW110="--",BW110="+/--",BW110="+/---"),1,0)</f>
        <v>0</v>
      </c>
      <c r="BY110">
        <f>BB110*AR110*AT110</f>
        <v>0</v>
      </c>
    </row>
    <row r="111" spans="1:77">
      <c r="A111" t="s">
        <v>96</v>
      </c>
      <c r="B111">
        <v>22415099</v>
      </c>
      <c r="C111" t="s">
        <v>297</v>
      </c>
      <c r="D111" t="s">
        <v>298</v>
      </c>
      <c r="E111" t="s">
        <v>446</v>
      </c>
      <c r="F111" t="s">
        <v>510</v>
      </c>
      <c r="G111" t="s">
        <v>448</v>
      </c>
      <c r="H111" t="s">
        <v>449</v>
      </c>
      <c r="I111" t="s">
        <v>450</v>
      </c>
      <c r="J111" t="s">
        <v>450</v>
      </c>
      <c r="K111">
        <v>0</v>
      </c>
      <c r="L111" t="s">
        <v>446</v>
      </c>
      <c r="M111" t="s">
        <v>446</v>
      </c>
      <c r="N111">
        <v>148654</v>
      </c>
      <c r="O111">
        <f>INDEX(Counselor,MATCH(B111,KidIDs,0))</f>
        <v>0</v>
      </c>
      <c r="P111">
        <f>INDEX(Advisors,MATCH(B111,KidIDs,0))</f>
        <v>0</v>
      </c>
      <c r="Q111">
        <f>INDEX(Cohort,MATCH(B111,KidIDs,0))</f>
        <v>0</v>
      </c>
      <c r="R111">
        <f>INDEX(AllCollegeBarrons,MATCH(N111,AllCollegeNCES,0))</f>
        <v>0</v>
      </c>
      <c r="S111">
        <f>INDEX(KidGPAs,MATCH(B111,KidIDs,0))</f>
        <v>0</v>
      </c>
      <c r="T111">
        <f>INDEX(KidSATs,MATCH(B111,KidIDs,0))</f>
        <v>0</v>
      </c>
      <c r="U111">
        <f>INDEX(Strats,MATCH(B111,KidIDs,0))</f>
        <v>0</v>
      </c>
      <c r="V111">
        <f>INDEX(KidRace,MATCH(B111,KidIDs,0))</f>
        <v>0</v>
      </c>
      <c r="W111">
        <f>IF(OR(V111="M",V111="I"),"H",IF(V111="P","A",V111))</f>
        <v>0</v>
      </c>
      <c r="X111">
        <f>INDEX(StudentTargets,MATCH(B111,KidIDs,0))</f>
        <v>0</v>
      </c>
      <c r="Y111">
        <f>INDEX(ReachStudentTargets,MATCH(B111,KidIDs,0))</f>
        <v>0</v>
      </c>
      <c r="Z111">
        <f>IF(OR(M111="Posse"),1,0)</f>
        <v>0</v>
      </c>
      <c r="AA111">
        <f>IF(ISNUMBER(INDEX(AllCollegeGR, MATCH(N111,AllCollegeNCES,0))),ROUND(INDEX(AllCollegeGR, MATCH(N111,AllCollegeNCES,0))+Z111*IF(INDEX(AllCollegeGR, MATCH(N111,AllCollegeNCES,0))&gt;0.7,(1-INDEX(AllCollegeGR, MATCH(N111,AllCollegeNCES,0)))/2,0.15),2),INDEX(AllCollegeGR, MATCH(N111,AllCollegeNCES,0)))</f>
        <v>0</v>
      </c>
      <c r="AB111">
        <f>IF(ISNUMBER(INDEX(AllCollegeAAHGR, MATCH(N111,AllCollegeNCES,0))),ROUND(INDEX(AllCollegeAAHGR, MATCH(N111,AllCollegeNCES,0))+Z111*IF(INDEX(AllCollegeAAHGR, MATCH(N111,AllCollegeNCES,0))&gt;0.7,(1-INDEX(AllCollegeAAHGR, MATCH(N111,AllCollegeNCES,0)))/2,0.15),2),INDEX(AllCollegeAAHGR, MATCH(N111,AllCollegeNCES,0)))</f>
        <v>0</v>
      </c>
      <c r="AC111">
        <f>IF(OR(W111="H",W111="B"),INDEX(AllCollegeSAT25, MATCH(N111,AllCollegeNCES,0)),INDEX(AllCollegeSAT50, MATCH(N111,AllCollegeNCES,0)))</f>
        <v>0</v>
      </c>
      <c r="AD111">
        <f>INDEX(CustomWeightsGPA,MATCH(W111&amp;":"&amp;N111,CustomWeightsIndex,0))</f>
        <v>0</v>
      </c>
      <c r="AE111">
        <f>INDEX(CustomWeightsSAT,MATCH(W111&amp;":"&amp;N111,CustomWeightsIndex,0))</f>
        <v>0</v>
      </c>
      <c r="AF111">
        <f>INDEX(CustomWeightsIntercept,MATCH(W111&amp;":"&amp;N111,CustomWeightsIndex,0))</f>
        <v>0</v>
      </c>
      <c r="AG111">
        <f>AD111*S111+AE111*T111+AF111</f>
        <v>0</v>
      </c>
      <c r="AH111">
        <f>INDEX(CoefficientsGPA,MATCH(W111&amp;":"&amp;R111,CoefficientsIndex,0))</f>
        <v>0</v>
      </c>
      <c r="AI111">
        <f>INDEX(CoefficientsSAT,MATCH(W111&amp;":"&amp;R111,CoefficientsIndex,0))</f>
        <v>0</v>
      </c>
      <c r="AJ111">
        <f>INDEX(CoefficientsIntercept,MATCH(W111&amp;":"&amp;R111,CoefficientsIndex,0))</f>
        <v>0</v>
      </c>
      <c r="AK111">
        <f>AH111*S111+(T111-AC111)*AI111+AJ111</f>
        <v>0</v>
      </c>
      <c r="AL111">
        <f>IF(ISNUMBER(AG111),AG111,AK111)</f>
        <v>0</v>
      </c>
      <c r="AM111">
        <f>IF(ISNUMBER(AL111),IF(ISNUMBER(AH111),IF(AND(AH111=1,AI111=1,AJ111=1),100,MIN(99,ROUND(100*EXP(AL111)/(1+EXP(AL111)),2))),MIN(99,ROUND(100*EXP(AL111)/(1+EXP(AL111)),2))),IF(ISTEXT(R111),IF(LEFT(R111,1)="2",100,"N/A"),"N/A"))</f>
        <v>0</v>
      </c>
      <c r="AN111">
        <f>IF(ISNUMBER(AM111),IF(AM111&gt;=99,IF(OR(U111=10,U111=11),MatchLabel,SureThingLabel),IF(AM111&gt;=95,SecureLabel,IF(AM111&gt;=80,SafetyLabel,IF(AM111&gt;=50,MatchLabel,IF(AM111&gt;=20,ReachLabel,IF(AM111&gt;=10,LongshotLabel,HailMaryLabel)))))),"Other")</f>
        <v>0</v>
      </c>
      <c r="AO111">
        <f>IF(OR(I111="accepted",I111="cond. accept",I111="summer admit"),IF(J111="yes","CHOICE!","Accepted!"),IF(I111="guar. transfer","Guar. Xfer",IF(I111="denied","Denied",IF(K111=1,"Waitlist",IF(L111=1,"Deferred",IF(G111="pending","Pending",IF(OR(G111="initial materials submitted",G111="mid-year submitted",G111="final submitted"),"Submitted",IF(H111="interest","Interest","?"))))))))</f>
        <v>0</v>
      </c>
      <c r="AP111">
        <f>IF(OR(AN111=ReachLabel,AN111=LongshotLabel,AN111=HailMaryLabel),1,0)</f>
        <v>0</v>
      </c>
      <c r="AQ111">
        <f>IF(OR(AP111=1,AN111=MatchLabel),1,0)</f>
        <v>0</v>
      </c>
      <c r="AR111">
        <f>IF(OR(AN111=MatchLabel,AN111=SafetyLabel,AN111=SecureLabel,AN111=SureThingLabel),1,0)</f>
        <v>0</v>
      </c>
      <c r="AS111">
        <f>IF(OR(W111="H",W111="B",W111="I",W111="M"),IF(ISNUMBER(AB111),ROUND(AB111,2),0),IF(ISNUMBER(AA111),ROUND(AA111,2),0))</f>
        <v>0</v>
      </c>
      <c r="AT111">
        <f>IF(AS111&gt;=X111,1,0)</f>
        <v>0</v>
      </c>
      <c r="AU111">
        <f>IF(AS111&gt;=Y111,1,0)</f>
        <v>0</v>
      </c>
      <c r="AV111">
        <f>IF(AS111&lt;(X111-0.10),1,0)</f>
        <v>0</v>
      </c>
      <c r="AW111">
        <f>1-AM111/100</f>
        <v>0</v>
      </c>
      <c r="AX111">
        <f>IF(AQ111=1,AW111,1)</f>
        <v>0</v>
      </c>
      <c r="AY111">
        <f>IF(AP111=1,AW111,1)</f>
        <v>0</v>
      </c>
      <c r="AZ111">
        <f>IF(AND(AT111=1,ISNUMBER(AW111)),$AW111,1)</f>
        <v>0</v>
      </c>
      <c r="BA111">
        <f>IF(AND(AU111=1,ISNUMBER(AW111)),$AW111,1)</f>
        <v>0</v>
      </c>
      <c r="BB111">
        <f>IF(ISNUMBER(AB111),INDEX(AllCollegeMoney, MATCH(N111,AllCollegeNCES,0)),0)</f>
        <v>0</v>
      </c>
      <c r="BC111">
        <f>IF(AND(AT111=1,ISNUMBER(AW111),BB111=1),$AW111,1)</f>
        <v>0</v>
      </c>
      <c r="BD111">
        <f>IF(AND(AU111=1,ISNUMBER(AW111),BB111=1),$AW111,1)</f>
        <v>0</v>
      </c>
      <c r="BE111">
        <f>IF(ISNUMBER(AB111),INDEX(AllCollegeILPub, MATCH(N111,AllCollegeNCES,0)),0)</f>
        <v>0</v>
      </c>
      <c r="BF111">
        <f>IF(AN111=ReachLabel,AS111,0)</f>
        <v>0</v>
      </c>
      <c r="BG111">
        <f>IF(AN111=MatchLabel,AS111,0)</f>
        <v>0</v>
      </c>
      <c r="BH111">
        <f>IF(AN111=SafetyLabel,AS111,0)</f>
        <v>0</v>
      </c>
      <c r="BI111">
        <f>IF(AN111=SecureLabel,AS111,0)</f>
        <v>0</v>
      </c>
      <c r="BJ111">
        <f>IF(AN111=SureThingLabel,AS111,0)</f>
        <v>0</v>
      </c>
      <c r="BK111">
        <f>MAX(BF111:BJ111)</f>
        <v>0</v>
      </c>
      <c r="BL111">
        <f>MAX(BG111:BJ111)</f>
        <v>0</v>
      </c>
      <c r="BM111">
        <f>MAX(BH111:BJ111)</f>
        <v>0</v>
      </c>
      <c r="BN111">
        <f>IF(AND(AN111=ReachLabel,BB111=1),AS111,0)</f>
        <v>0</v>
      </c>
      <c r="BO111">
        <f>IF(AND(AN111=MatchLabel,BB111=1),AS111,0)</f>
        <v>0</v>
      </c>
      <c r="BP111">
        <f>IF(AND(AN111=SafetyLabel,BB111=1),AS111,0)</f>
        <v>0</v>
      </c>
      <c r="BQ111">
        <f>IF(AND(AN111=SecureLabel,BB111=1),AS111,0)</f>
        <v>0</v>
      </c>
      <c r="BR111">
        <f>IF(AND(AN111=SureThingLabel,BB111=1),AS111,0)</f>
        <v>0</v>
      </c>
      <c r="BS111">
        <f>MAX(BN111:BR111)</f>
        <v>0</v>
      </c>
      <c r="BT111">
        <f>MAX(BO111:BR111)</f>
        <v>0</v>
      </c>
      <c r="BU111">
        <f>MAX(BP111:BR111)</f>
        <v>0</v>
      </c>
      <c r="BV111">
        <f>IF(ISNUMBER(AB111),INDEX(AllCollegeChicago, MATCH(N111,AllCollegeNCES,0))*BB111,0)</f>
        <v>0</v>
      </c>
      <c r="BW111">
        <f>IF(ISNUMBER(AB111),INDEX(AllCollegeMoneyCode, MATCH(N111,AllCollegeNCES,0)),"?")</f>
        <v>0</v>
      </c>
      <c r="BX111">
        <f>IF(OR(BW111="---",BW111="--",BW111="+/--",BW111="+/---"),1,0)</f>
        <v>0</v>
      </c>
      <c r="BY111">
        <f>BB111*AR111*AT111</f>
        <v>0</v>
      </c>
    </row>
    <row r="112" spans="1:77">
      <c r="A112" t="s">
        <v>96</v>
      </c>
      <c r="B112">
        <v>22415099</v>
      </c>
      <c r="C112" t="s">
        <v>297</v>
      </c>
      <c r="D112" t="s">
        <v>298</v>
      </c>
      <c r="E112" t="s">
        <v>446</v>
      </c>
      <c r="F112" t="s">
        <v>456</v>
      </c>
      <c r="G112" t="s">
        <v>448</v>
      </c>
      <c r="H112" t="s">
        <v>449</v>
      </c>
      <c r="I112" t="s">
        <v>450</v>
      </c>
      <c r="J112" t="s">
        <v>450</v>
      </c>
      <c r="K112">
        <v>0</v>
      </c>
      <c r="L112" t="s">
        <v>446</v>
      </c>
      <c r="M112" t="s">
        <v>446</v>
      </c>
      <c r="N112">
        <v>149772</v>
      </c>
      <c r="O112">
        <f>INDEX(Counselor,MATCH(B112,KidIDs,0))</f>
        <v>0</v>
      </c>
      <c r="P112">
        <f>INDEX(Advisors,MATCH(B112,KidIDs,0))</f>
        <v>0</v>
      </c>
      <c r="Q112">
        <f>INDEX(Cohort,MATCH(B112,KidIDs,0))</f>
        <v>0</v>
      </c>
      <c r="R112">
        <f>INDEX(AllCollegeBarrons,MATCH(N112,AllCollegeNCES,0))</f>
        <v>0</v>
      </c>
      <c r="S112">
        <f>INDEX(KidGPAs,MATCH(B112,KidIDs,0))</f>
        <v>0</v>
      </c>
      <c r="T112">
        <f>INDEX(KidSATs,MATCH(B112,KidIDs,0))</f>
        <v>0</v>
      </c>
      <c r="U112">
        <f>INDEX(Strats,MATCH(B112,KidIDs,0))</f>
        <v>0</v>
      </c>
      <c r="V112">
        <f>INDEX(KidRace,MATCH(B112,KidIDs,0))</f>
        <v>0</v>
      </c>
      <c r="W112">
        <f>IF(OR(V112="M",V112="I"),"H",IF(V112="P","A",V112))</f>
        <v>0</v>
      </c>
      <c r="X112">
        <f>INDEX(StudentTargets,MATCH(B112,KidIDs,0))</f>
        <v>0</v>
      </c>
      <c r="Y112">
        <f>INDEX(ReachStudentTargets,MATCH(B112,KidIDs,0))</f>
        <v>0</v>
      </c>
      <c r="Z112">
        <f>IF(OR(M112="Posse"),1,0)</f>
        <v>0</v>
      </c>
      <c r="AA112">
        <f>IF(ISNUMBER(INDEX(AllCollegeGR, MATCH(N112,AllCollegeNCES,0))),ROUND(INDEX(AllCollegeGR, MATCH(N112,AllCollegeNCES,0))+Z112*IF(INDEX(AllCollegeGR, MATCH(N112,AllCollegeNCES,0))&gt;0.7,(1-INDEX(AllCollegeGR, MATCH(N112,AllCollegeNCES,0)))/2,0.15),2),INDEX(AllCollegeGR, MATCH(N112,AllCollegeNCES,0)))</f>
        <v>0</v>
      </c>
      <c r="AB112">
        <f>IF(ISNUMBER(INDEX(AllCollegeAAHGR, MATCH(N112,AllCollegeNCES,0))),ROUND(INDEX(AllCollegeAAHGR, MATCH(N112,AllCollegeNCES,0))+Z112*IF(INDEX(AllCollegeAAHGR, MATCH(N112,AllCollegeNCES,0))&gt;0.7,(1-INDEX(AllCollegeAAHGR, MATCH(N112,AllCollegeNCES,0)))/2,0.15),2),INDEX(AllCollegeAAHGR, MATCH(N112,AllCollegeNCES,0)))</f>
        <v>0</v>
      </c>
      <c r="AC112">
        <f>IF(OR(W112="H",W112="B"),INDEX(AllCollegeSAT25, MATCH(N112,AllCollegeNCES,0)),INDEX(AllCollegeSAT50, MATCH(N112,AllCollegeNCES,0)))</f>
        <v>0</v>
      </c>
      <c r="AD112">
        <f>INDEX(CustomWeightsGPA,MATCH(W112&amp;":"&amp;N112,CustomWeightsIndex,0))</f>
        <v>0</v>
      </c>
      <c r="AE112">
        <f>INDEX(CustomWeightsSAT,MATCH(W112&amp;":"&amp;N112,CustomWeightsIndex,0))</f>
        <v>0</v>
      </c>
      <c r="AF112">
        <f>INDEX(CustomWeightsIntercept,MATCH(W112&amp;":"&amp;N112,CustomWeightsIndex,0))</f>
        <v>0</v>
      </c>
      <c r="AG112">
        <f>AD112*S112+AE112*T112+AF112</f>
        <v>0</v>
      </c>
      <c r="AH112">
        <f>INDEX(CoefficientsGPA,MATCH(W112&amp;":"&amp;R112,CoefficientsIndex,0))</f>
        <v>0</v>
      </c>
      <c r="AI112">
        <f>INDEX(CoefficientsSAT,MATCH(W112&amp;":"&amp;R112,CoefficientsIndex,0))</f>
        <v>0</v>
      </c>
      <c r="AJ112">
        <f>INDEX(CoefficientsIntercept,MATCH(W112&amp;":"&amp;R112,CoefficientsIndex,0))</f>
        <v>0</v>
      </c>
      <c r="AK112">
        <f>AH112*S112+(T112-AC112)*AI112+AJ112</f>
        <v>0</v>
      </c>
      <c r="AL112">
        <f>IF(ISNUMBER(AG112),AG112,AK112)</f>
        <v>0</v>
      </c>
      <c r="AM112">
        <f>IF(ISNUMBER(AL112),IF(ISNUMBER(AH112),IF(AND(AH112=1,AI112=1,AJ112=1),100,MIN(99,ROUND(100*EXP(AL112)/(1+EXP(AL112)),2))),MIN(99,ROUND(100*EXP(AL112)/(1+EXP(AL112)),2))),IF(ISTEXT(R112),IF(LEFT(R112,1)="2",100,"N/A"),"N/A"))</f>
        <v>0</v>
      </c>
      <c r="AN112">
        <f>IF(ISNUMBER(AM112),IF(AM112&gt;=99,IF(OR(U112=10,U112=11),MatchLabel,SureThingLabel),IF(AM112&gt;=95,SecureLabel,IF(AM112&gt;=80,SafetyLabel,IF(AM112&gt;=50,MatchLabel,IF(AM112&gt;=20,ReachLabel,IF(AM112&gt;=10,LongshotLabel,HailMaryLabel)))))),"Other")</f>
        <v>0</v>
      </c>
      <c r="AO112">
        <f>IF(OR(I112="accepted",I112="cond. accept",I112="summer admit"),IF(J112="yes","CHOICE!","Accepted!"),IF(I112="guar. transfer","Guar. Xfer",IF(I112="denied","Denied",IF(K112=1,"Waitlist",IF(L112=1,"Deferred",IF(G112="pending","Pending",IF(OR(G112="initial materials submitted",G112="mid-year submitted",G112="final submitted"),"Submitted",IF(H112="interest","Interest","?"))))))))</f>
        <v>0</v>
      </c>
      <c r="AP112">
        <f>IF(OR(AN112=ReachLabel,AN112=LongshotLabel,AN112=HailMaryLabel),1,0)</f>
        <v>0</v>
      </c>
      <c r="AQ112">
        <f>IF(OR(AP112=1,AN112=MatchLabel),1,0)</f>
        <v>0</v>
      </c>
      <c r="AR112">
        <f>IF(OR(AN112=MatchLabel,AN112=SafetyLabel,AN112=SecureLabel,AN112=SureThingLabel),1,0)</f>
        <v>0</v>
      </c>
      <c r="AS112">
        <f>IF(OR(W112="H",W112="B",W112="I",W112="M"),IF(ISNUMBER(AB112),ROUND(AB112,2),0),IF(ISNUMBER(AA112),ROUND(AA112,2),0))</f>
        <v>0</v>
      </c>
      <c r="AT112">
        <f>IF(AS112&gt;=X112,1,0)</f>
        <v>0</v>
      </c>
      <c r="AU112">
        <f>IF(AS112&gt;=Y112,1,0)</f>
        <v>0</v>
      </c>
      <c r="AV112">
        <f>IF(AS112&lt;(X112-0.10),1,0)</f>
        <v>0</v>
      </c>
      <c r="AW112">
        <f>1-AM112/100</f>
        <v>0</v>
      </c>
      <c r="AX112">
        <f>IF(AQ112=1,AW112,1)</f>
        <v>0</v>
      </c>
      <c r="AY112">
        <f>IF(AP112=1,AW112,1)</f>
        <v>0</v>
      </c>
      <c r="AZ112">
        <f>IF(AND(AT112=1,ISNUMBER(AW112)),$AW112,1)</f>
        <v>0</v>
      </c>
      <c r="BA112">
        <f>IF(AND(AU112=1,ISNUMBER(AW112)),$AW112,1)</f>
        <v>0</v>
      </c>
      <c r="BB112">
        <f>IF(ISNUMBER(AB112),INDEX(AllCollegeMoney, MATCH(N112,AllCollegeNCES,0)),0)</f>
        <v>0</v>
      </c>
      <c r="BC112">
        <f>IF(AND(AT112=1,ISNUMBER(AW112),BB112=1),$AW112,1)</f>
        <v>0</v>
      </c>
      <c r="BD112">
        <f>IF(AND(AU112=1,ISNUMBER(AW112),BB112=1),$AW112,1)</f>
        <v>0</v>
      </c>
      <c r="BE112">
        <f>IF(ISNUMBER(AB112),INDEX(AllCollegeILPub, MATCH(N112,AllCollegeNCES,0)),0)</f>
        <v>0</v>
      </c>
      <c r="BF112">
        <f>IF(AN112=ReachLabel,AS112,0)</f>
        <v>0</v>
      </c>
      <c r="BG112">
        <f>IF(AN112=MatchLabel,AS112,0)</f>
        <v>0</v>
      </c>
      <c r="BH112">
        <f>IF(AN112=SafetyLabel,AS112,0)</f>
        <v>0</v>
      </c>
      <c r="BI112">
        <f>IF(AN112=SecureLabel,AS112,0)</f>
        <v>0</v>
      </c>
      <c r="BJ112">
        <f>IF(AN112=SureThingLabel,AS112,0)</f>
        <v>0</v>
      </c>
      <c r="BK112">
        <f>MAX(BF112:BJ112)</f>
        <v>0</v>
      </c>
      <c r="BL112">
        <f>MAX(BG112:BJ112)</f>
        <v>0</v>
      </c>
      <c r="BM112">
        <f>MAX(BH112:BJ112)</f>
        <v>0</v>
      </c>
      <c r="BN112">
        <f>IF(AND(AN112=ReachLabel,BB112=1),AS112,0)</f>
        <v>0</v>
      </c>
      <c r="BO112">
        <f>IF(AND(AN112=MatchLabel,BB112=1),AS112,0)</f>
        <v>0</v>
      </c>
      <c r="BP112">
        <f>IF(AND(AN112=SafetyLabel,BB112=1),AS112,0)</f>
        <v>0</v>
      </c>
      <c r="BQ112">
        <f>IF(AND(AN112=SecureLabel,BB112=1),AS112,0)</f>
        <v>0</v>
      </c>
      <c r="BR112">
        <f>IF(AND(AN112=SureThingLabel,BB112=1),AS112,0)</f>
        <v>0</v>
      </c>
      <c r="BS112">
        <f>MAX(BN112:BR112)</f>
        <v>0</v>
      </c>
      <c r="BT112">
        <f>MAX(BO112:BR112)</f>
        <v>0</v>
      </c>
      <c r="BU112">
        <f>MAX(BP112:BR112)</f>
        <v>0</v>
      </c>
      <c r="BV112">
        <f>IF(ISNUMBER(AB112),INDEX(AllCollegeChicago, MATCH(N112,AllCollegeNCES,0))*BB112,0)</f>
        <v>0</v>
      </c>
      <c r="BW112">
        <f>IF(ISNUMBER(AB112),INDEX(AllCollegeMoneyCode, MATCH(N112,AllCollegeNCES,0)),"?")</f>
        <v>0</v>
      </c>
      <c r="BX112">
        <f>IF(OR(BW112="---",BW112="--",BW112="+/--",BW112="+/---"),1,0)</f>
        <v>0</v>
      </c>
      <c r="BY112">
        <f>BB112*AR112*AT112</f>
        <v>0</v>
      </c>
    </row>
    <row r="113" spans="1:77">
      <c r="A113" t="s">
        <v>96</v>
      </c>
      <c r="B113">
        <v>22415099</v>
      </c>
      <c r="C113" t="s">
        <v>297</v>
      </c>
      <c r="D113" t="s">
        <v>298</v>
      </c>
      <c r="E113" t="s">
        <v>446</v>
      </c>
      <c r="F113" t="s">
        <v>458</v>
      </c>
      <c r="G113" t="s">
        <v>448</v>
      </c>
      <c r="H113" t="s">
        <v>449</v>
      </c>
      <c r="I113" t="s">
        <v>450</v>
      </c>
      <c r="J113" t="s">
        <v>450</v>
      </c>
      <c r="K113">
        <v>0</v>
      </c>
      <c r="L113" t="s">
        <v>446</v>
      </c>
      <c r="M113" t="s">
        <v>446</v>
      </c>
      <c r="N113">
        <v>144892</v>
      </c>
      <c r="O113">
        <f>INDEX(Counselor,MATCH(B113,KidIDs,0))</f>
        <v>0</v>
      </c>
      <c r="P113">
        <f>INDEX(Advisors,MATCH(B113,KidIDs,0))</f>
        <v>0</v>
      </c>
      <c r="Q113">
        <f>INDEX(Cohort,MATCH(B113,KidIDs,0))</f>
        <v>0</v>
      </c>
      <c r="R113">
        <f>INDEX(AllCollegeBarrons,MATCH(N113,AllCollegeNCES,0))</f>
        <v>0</v>
      </c>
      <c r="S113">
        <f>INDEX(KidGPAs,MATCH(B113,KidIDs,0))</f>
        <v>0</v>
      </c>
      <c r="T113">
        <f>INDEX(KidSATs,MATCH(B113,KidIDs,0))</f>
        <v>0</v>
      </c>
      <c r="U113">
        <f>INDEX(Strats,MATCH(B113,KidIDs,0))</f>
        <v>0</v>
      </c>
      <c r="V113">
        <f>INDEX(KidRace,MATCH(B113,KidIDs,0))</f>
        <v>0</v>
      </c>
      <c r="W113">
        <f>IF(OR(V113="M",V113="I"),"H",IF(V113="P","A",V113))</f>
        <v>0</v>
      </c>
      <c r="X113">
        <f>INDEX(StudentTargets,MATCH(B113,KidIDs,0))</f>
        <v>0</v>
      </c>
      <c r="Y113">
        <f>INDEX(ReachStudentTargets,MATCH(B113,KidIDs,0))</f>
        <v>0</v>
      </c>
      <c r="Z113">
        <f>IF(OR(M113="Posse"),1,0)</f>
        <v>0</v>
      </c>
      <c r="AA113">
        <f>IF(ISNUMBER(INDEX(AllCollegeGR, MATCH(N113,AllCollegeNCES,0))),ROUND(INDEX(AllCollegeGR, MATCH(N113,AllCollegeNCES,0))+Z113*IF(INDEX(AllCollegeGR, MATCH(N113,AllCollegeNCES,0))&gt;0.7,(1-INDEX(AllCollegeGR, MATCH(N113,AllCollegeNCES,0)))/2,0.15),2),INDEX(AllCollegeGR, MATCH(N113,AllCollegeNCES,0)))</f>
        <v>0</v>
      </c>
      <c r="AB113">
        <f>IF(ISNUMBER(INDEX(AllCollegeAAHGR, MATCH(N113,AllCollegeNCES,0))),ROUND(INDEX(AllCollegeAAHGR, MATCH(N113,AllCollegeNCES,0))+Z113*IF(INDEX(AllCollegeAAHGR, MATCH(N113,AllCollegeNCES,0))&gt;0.7,(1-INDEX(AllCollegeAAHGR, MATCH(N113,AllCollegeNCES,0)))/2,0.15),2),INDEX(AllCollegeAAHGR, MATCH(N113,AllCollegeNCES,0)))</f>
        <v>0</v>
      </c>
      <c r="AC113">
        <f>IF(OR(W113="H",W113="B"),INDEX(AllCollegeSAT25, MATCH(N113,AllCollegeNCES,0)),INDEX(AllCollegeSAT50, MATCH(N113,AllCollegeNCES,0)))</f>
        <v>0</v>
      </c>
      <c r="AD113">
        <f>INDEX(CustomWeightsGPA,MATCH(W113&amp;":"&amp;N113,CustomWeightsIndex,0))</f>
        <v>0</v>
      </c>
      <c r="AE113">
        <f>INDEX(CustomWeightsSAT,MATCH(W113&amp;":"&amp;N113,CustomWeightsIndex,0))</f>
        <v>0</v>
      </c>
      <c r="AF113">
        <f>INDEX(CustomWeightsIntercept,MATCH(W113&amp;":"&amp;N113,CustomWeightsIndex,0))</f>
        <v>0</v>
      </c>
      <c r="AG113">
        <f>AD113*S113+AE113*T113+AF113</f>
        <v>0</v>
      </c>
      <c r="AH113">
        <f>INDEX(CoefficientsGPA,MATCH(W113&amp;":"&amp;R113,CoefficientsIndex,0))</f>
        <v>0</v>
      </c>
      <c r="AI113">
        <f>INDEX(CoefficientsSAT,MATCH(W113&amp;":"&amp;R113,CoefficientsIndex,0))</f>
        <v>0</v>
      </c>
      <c r="AJ113">
        <f>INDEX(CoefficientsIntercept,MATCH(W113&amp;":"&amp;R113,CoefficientsIndex,0))</f>
        <v>0</v>
      </c>
      <c r="AK113">
        <f>AH113*S113+(T113-AC113)*AI113+AJ113</f>
        <v>0</v>
      </c>
      <c r="AL113">
        <f>IF(ISNUMBER(AG113),AG113,AK113)</f>
        <v>0</v>
      </c>
      <c r="AM113">
        <f>IF(ISNUMBER(AL113),IF(ISNUMBER(AH113),IF(AND(AH113=1,AI113=1,AJ113=1),100,MIN(99,ROUND(100*EXP(AL113)/(1+EXP(AL113)),2))),MIN(99,ROUND(100*EXP(AL113)/(1+EXP(AL113)),2))),IF(ISTEXT(R113),IF(LEFT(R113,1)="2",100,"N/A"),"N/A"))</f>
        <v>0</v>
      </c>
      <c r="AN113">
        <f>IF(ISNUMBER(AM113),IF(AM113&gt;=99,IF(OR(U113=10,U113=11),MatchLabel,SureThingLabel),IF(AM113&gt;=95,SecureLabel,IF(AM113&gt;=80,SafetyLabel,IF(AM113&gt;=50,MatchLabel,IF(AM113&gt;=20,ReachLabel,IF(AM113&gt;=10,LongshotLabel,HailMaryLabel)))))),"Other")</f>
        <v>0</v>
      </c>
      <c r="AO113">
        <f>IF(OR(I113="accepted",I113="cond. accept",I113="summer admit"),IF(J113="yes","CHOICE!","Accepted!"),IF(I113="guar. transfer","Guar. Xfer",IF(I113="denied","Denied",IF(K113=1,"Waitlist",IF(L113=1,"Deferred",IF(G113="pending","Pending",IF(OR(G113="initial materials submitted",G113="mid-year submitted",G113="final submitted"),"Submitted",IF(H113="interest","Interest","?"))))))))</f>
        <v>0</v>
      </c>
      <c r="AP113">
        <f>IF(OR(AN113=ReachLabel,AN113=LongshotLabel,AN113=HailMaryLabel),1,0)</f>
        <v>0</v>
      </c>
      <c r="AQ113">
        <f>IF(OR(AP113=1,AN113=MatchLabel),1,0)</f>
        <v>0</v>
      </c>
      <c r="AR113">
        <f>IF(OR(AN113=MatchLabel,AN113=SafetyLabel,AN113=SecureLabel,AN113=SureThingLabel),1,0)</f>
        <v>0</v>
      </c>
      <c r="AS113">
        <f>IF(OR(W113="H",W113="B",W113="I",W113="M"),IF(ISNUMBER(AB113),ROUND(AB113,2),0),IF(ISNUMBER(AA113),ROUND(AA113,2),0))</f>
        <v>0</v>
      </c>
      <c r="AT113">
        <f>IF(AS113&gt;=X113,1,0)</f>
        <v>0</v>
      </c>
      <c r="AU113">
        <f>IF(AS113&gt;=Y113,1,0)</f>
        <v>0</v>
      </c>
      <c r="AV113">
        <f>IF(AS113&lt;(X113-0.10),1,0)</f>
        <v>0</v>
      </c>
      <c r="AW113">
        <f>1-AM113/100</f>
        <v>0</v>
      </c>
      <c r="AX113">
        <f>IF(AQ113=1,AW113,1)</f>
        <v>0</v>
      </c>
      <c r="AY113">
        <f>IF(AP113=1,AW113,1)</f>
        <v>0</v>
      </c>
      <c r="AZ113">
        <f>IF(AND(AT113=1,ISNUMBER(AW113)),$AW113,1)</f>
        <v>0</v>
      </c>
      <c r="BA113">
        <f>IF(AND(AU113=1,ISNUMBER(AW113)),$AW113,1)</f>
        <v>0</v>
      </c>
      <c r="BB113">
        <f>IF(ISNUMBER(AB113),INDEX(AllCollegeMoney, MATCH(N113,AllCollegeNCES,0)),0)</f>
        <v>0</v>
      </c>
      <c r="BC113">
        <f>IF(AND(AT113=1,ISNUMBER(AW113),BB113=1),$AW113,1)</f>
        <v>0</v>
      </c>
      <c r="BD113">
        <f>IF(AND(AU113=1,ISNUMBER(AW113),BB113=1),$AW113,1)</f>
        <v>0</v>
      </c>
      <c r="BE113">
        <f>IF(ISNUMBER(AB113),INDEX(AllCollegeILPub, MATCH(N113,AllCollegeNCES,0)),0)</f>
        <v>0</v>
      </c>
      <c r="BF113">
        <f>IF(AN113=ReachLabel,AS113,0)</f>
        <v>0</v>
      </c>
      <c r="BG113">
        <f>IF(AN113=MatchLabel,AS113,0)</f>
        <v>0</v>
      </c>
      <c r="BH113">
        <f>IF(AN113=SafetyLabel,AS113,0)</f>
        <v>0</v>
      </c>
      <c r="BI113">
        <f>IF(AN113=SecureLabel,AS113,0)</f>
        <v>0</v>
      </c>
      <c r="BJ113">
        <f>IF(AN113=SureThingLabel,AS113,0)</f>
        <v>0</v>
      </c>
      <c r="BK113">
        <f>MAX(BF113:BJ113)</f>
        <v>0</v>
      </c>
      <c r="BL113">
        <f>MAX(BG113:BJ113)</f>
        <v>0</v>
      </c>
      <c r="BM113">
        <f>MAX(BH113:BJ113)</f>
        <v>0</v>
      </c>
      <c r="BN113">
        <f>IF(AND(AN113=ReachLabel,BB113=1),AS113,0)</f>
        <v>0</v>
      </c>
      <c r="BO113">
        <f>IF(AND(AN113=MatchLabel,BB113=1),AS113,0)</f>
        <v>0</v>
      </c>
      <c r="BP113">
        <f>IF(AND(AN113=SafetyLabel,BB113=1),AS113,0)</f>
        <v>0</v>
      </c>
      <c r="BQ113">
        <f>IF(AND(AN113=SecureLabel,BB113=1),AS113,0)</f>
        <v>0</v>
      </c>
      <c r="BR113">
        <f>IF(AND(AN113=SureThingLabel,BB113=1),AS113,0)</f>
        <v>0</v>
      </c>
      <c r="BS113">
        <f>MAX(BN113:BR113)</f>
        <v>0</v>
      </c>
      <c r="BT113">
        <f>MAX(BO113:BR113)</f>
        <v>0</v>
      </c>
      <c r="BU113">
        <f>MAX(BP113:BR113)</f>
        <v>0</v>
      </c>
      <c r="BV113">
        <f>IF(ISNUMBER(AB113),INDEX(AllCollegeChicago, MATCH(N113,AllCollegeNCES,0))*BB113,0)</f>
        <v>0</v>
      </c>
      <c r="BW113">
        <f>IF(ISNUMBER(AB113),INDEX(AllCollegeMoneyCode, MATCH(N113,AllCollegeNCES,0)),"?")</f>
        <v>0</v>
      </c>
      <c r="BX113">
        <f>IF(OR(BW113="---",BW113="--",BW113="+/--",BW113="+/---"),1,0)</f>
        <v>0</v>
      </c>
      <c r="BY113">
        <f>BB113*AR113*AT113</f>
        <v>0</v>
      </c>
    </row>
    <row r="114" spans="1:77">
      <c r="A114" t="s">
        <v>96</v>
      </c>
      <c r="B114">
        <v>22415099</v>
      </c>
      <c r="C114" t="s">
        <v>297</v>
      </c>
      <c r="D114" t="s">
        <v>298</v>
      </c>
      <c r="E114" t="s">
        <v>446</v>
      </c>
      <c r="F114" t="s">
        <v>505</v>
      </c>
      <c r="G114" t="s">
        <v>448</v>
      </c>
      <c r="H114" t="s">
        <v>449</v>
      </c>
      <c r="I114" t="s">
        <v>450</v>
      </c>
      <c r="J114" t="s">
        <v>450</v>
      </c>
      <c r="K114">
        <v>0</v>
      </c>
      <c r="L114" t="s">
        <v>446</v>
      </c>
      <c r="M114" t="s">
        <v>446</v>
      </c>
      <c r="N114">
        <v>149231</v>
      </c>
      <c r="O114">
        <f>INDEX(Counselor,MATCH(B114,KidIDs,0))</f>
        <v>0</v>
      </c>
      <c r="P114">
        <f>INDEX(Advisors,MATCH(B114,KidIDs,0))</f>
        <v>0</v>
      </c>
      <c r="Q114">
        <f>INDEX(Cohort,MATCH(B114,KidIDs,0))</f>
        <v>0</v>
      </c>
      <c r="R114">
        <f>INDEX(AllCollegeBarrons,MATCH(N114,AllCollegeNCES,0))</f>
        <v>0</v>
      </c>
      <c r="S114">
        <f>INDEX(KidGPAs,MATCH(B114,KidIDs,0))</f>
        <v>0</v>
      </c>
      <c r="T114">
        <f>INDEX(KidSATs,MATCH(B114,KidIDs,0))</f>
        <v>0</v>
      </c>
      <c r="U114">
        <f>INDEX(Strats,MATCH(B114,KidIDs,0))</f>
        <v>0</v>
      </c>
      <c r="V114">
        <f>INDEX(KidRace,MATCH(B114,KidIDs,0))</f>
        <v>0</v>
      </c>
      <c r="W114">
        <f>IF(OR(V114="M",V114="I"),"H",IF(V114="P","A",V114))</f>
        <v>0</v>
      </c>
      <c r="X114">
        <f>INDEX(StudentTargets,MATCH(B114,KidIDs,0))</f>
        <v>0</v>
      </c>
      <c r="Y114">
        <f>INDEX(ReachStudentTargets,MATCH(B114,KidIDs,0))</f>
        <v>0</v>
      </c>
      <c r="Z114">
        <f>IF(OR(M114="Posse"),1,0)</f>
        <v>0</v>
      </c>
      <c r="AA114">
        <f>IF(ISNUMBER(INDEX(AllCollegeGR, MATCH(N114,AllCollegeNCES,0))),ROUND(INDEX(AllCollegeGR, MATCH(N114,AllCollegeNCES,0))+Z114*IF(INDEX(AllCollegeGR, MATCH(N114,AllCollegeNCES,0))&gt;0.7,(1-INDEX(AllCollegeGR, MATCH(N114,AllCollegeNCES,0)))/2,0.15),2),INDEX(AllCollegeGR, MATCH(N114,AllCollegeNCES,0)))</f>
        <v>0</v>
      </c>
      <c r="AB114">
        <f>IF(ISNUMBER(INDEX(AllCollegeAAHGR, MATCH(N114,AllCollegeNCES,0))),ROUND(INDEX(AllCollegeAAHGR, MATCH(N114,AllCollegeNCES,0))+Z114*IF(INDEX(AllCollegeAAHGR, MATCH(N114,AllCollegeNCES,0))&gt;0.7,(1-INDEX(AllCollegeAAHGR, MATCH(N114,AllCollegeNCES,0)))/2,0.15),2),INDEX(AllCollegeAAHGR, MATCH(N114,AllCollegeNCES,0)))</f>
        <v>0</v>
      </c>
      <c r="AC114">
        <f>IF(OR(W114="H",W114="B"),INDEX(AllCollegeSAT25, MATCH(N114,AllCollegeNCES,0)),INDEX(AllCollegeSAT50, MATCH(N114,AllCollegeNCES,0)))</f>
        <v>0</v>
      </c>
      <c r="AD114">
        <f>INDEX(CustomWeightsGPA,MATCH(W114&amp;":"&amp;N114,CustomWeightsIndex,0))</f>
        <v>0</v>
      </c>
      <c r="AE114">
        <f>INDEX(CustomWeightsSAT,MATCH(W114&amp;":"&amp;N114,CustomWeightsIndex,0))</f>
        <v>0</v>
      </c>
      <c r="AF114">
        <f>INDEX(CustomWeightsIntercept,MATCH(W114&amp;":"&amp;N114,CustomWeightsIndex,0))</f>
        <v>0</v>
      </c>
      <c r="AG114">
        <f>AD114*S114+AE114*T114+AF114</f>
        <v>0</v>
      </c>
      <c r="AH114">
        <f>INDEX(CoefficientsGPA,MATCH(W114&amp;":"&amp;R114,CoefficientsIndex,0))</f>
        <v>0</v>
      </c>
      <c r="AI114">
        <f>INDEX(CoefficientsSAT,MATCH(W114&amp;":"&amp;R114,CoefficientsIndex,0))</f>
        <v>0</v>
      </c>
      <c r="AJ114">
        <f>INDEX(CoefficientsIntercept,MATCH(W114&amp;":"&amp;R114,CoefficientsIndex,0))</f>
        <v>0</v>
      </c>
      <c r="AK114">
        <f>AH114*S114+(T114-AC114)*AI114+AJ114</f>
        <v>0</v>
      </c>
      <c r="AL114">
        <f>IF(ISNUMBER(AG114),AG114,AK114)</f>
        <v>0</v>
      </c>
      <c r="AM114">
        <f>IF(ISNUMBER(AL114),IF(ISNUMBER(AH114),IF(AND(AH114=1,AI114=1,AJ114=1),100,MIN(99,ROUND(100*EXP(AL114)/(1+EXP(AL114)),2))),MIN(99,ROUND(100*EXP(AL114)/(1+EXP(AL114)),2))),IF(ISTEXT(R114),IF(LEFT(R114,1)="2",100,"N/A"),"N/A"))</f>
        <v>0</v>
      </c>
      <c r="AN114">
        <f>IF(ISNUMBER(AM114),IF(AM114&gt;=99,IF(OR(U114=10,U114=11),MatchLabel,SureThingLabel),IF(AM114&gt;=95,SecureLabel,IF(AM114&gt;=80,SafetyLabel,IF(AM114&gt;=50,MatchLabel,IF(AM114&gt;=20,ReachLabel,IF(AM114&gt;=10,LongshotLabel,HailMaryLabel)))))),"Other")</f>
        <v>0</v>
      </c>
      <c r="AO114">
        <f>IF(OR(I114="accepted",I114="cond. accept",I114="summer admit"),IF(J114="yes","CHOICE!","Accepted!"),IF(I114="guar. transfer","Guar. Xfer",IF(I114="denied","Denied",IF(K114=1,"Waitlist",IF(L114=1,"Deferred",IF(G114="pending","Pending",IF(OR(G114="initial materials submitted",G114="mid-year submitted",G114="final submitted"),"Submitted",IF(H114="interest","Interest","?"))))))))</f>
        <v>0</v>
      </c>
      <c r="AP114">
        <f>IF(OR(AN114=ReachLabel,AN114=LongshotLabel,AN114=HailMaryLabel),1,0)</f>
        <v>0</v>
      </c>
      <c r="AQ114">
        <f>IF(OR(AP114=1,AN114=MatchLabel),1,0)</f>
        <v>0</v>
      </c>
      <c r="AR114">
        <f>IF(OR(AN114=MatchLabel,AN114=SafetyLabel,AN114=SecureLabel,AN114=SureThingLabel),1,0)</f>
        <v>0</v>
      </c>
      <c r="AS114">
        <f>IF(OR(W114="H",W114="B",W114="I",W114="M"),IF(ISNUMBER(AB114),ROUND(AB114,2),0),IF(ISNUMBER(AA114),ROUND(AA114,2),0))</f>
        <v>0</v>
      </c>
      <c r="AT114">
        <f>IF(AS114&gt;=X114,1,0)</f>
        <v>0</v>
      </c>
      <c r="AU114">
        <f>IF(AS114&gt;=Y114,1,0)</f>
        <v>0</v>
      </c>
      <c r="AV114">
        <f>IF(AS114&lt;(X114-0.10),1,0)</f>
        <v>0</v>
      </c>
      <c r="AW114">
        <f>1-AM114/100</f>
        <v>0</v>
      </c>
      <c r="AX114">
        <f>IF(AQ114=1,AW114,1)</f>
        <v>0</v>
      </c>
      <c r="AY114">
        <f>IF(AP114=1,AW114,1)</f>
        <v>0</v>
      </c>
      <c r="AZ114">
        <f>IF(AND(AT114=1,ISNUMBER(AW114)),$AW114,1)</f>
        <v>0</v>
      </c>
      <c r="BA114">
        <f>IF(AND(AU114=1,ISNUMBER(AW114)),$AW114,1)</f>
        <v>0</v>
      </c>
      <c r="BB114">
        <f>IF(ISNUMBER(AB114),INDEX(AllCollegeMoney, MATCH(N114,AllCollegeNCES,0)),0)</f>
        <v>0</v>
      </c>
      <c r="BC114">
        <f>IF(AND(AT114=1,ISNUMBER(AW114),BB114=1),$AW114,1)</f>
        <v>0</v>
      </c>
      <c r="BD114">
        <f>IF(AND(AU114=1,ISNUMBER(AW114),BB114=1),$AW114,1)</f>
        <v>0</v>
      </c>
      <c r="BE114">
        <f>IF(ISNUMBER(AB114),INDEX(AllCollegeILPub, MATCH(N114,AllCollegeNCES,0)),0)</f>
        <v>0</v>
      </c>
      <c r="BF114">
        <f>IF(AN114=ReachLabel,AS114,0)</f>
        <v>0</v>
      </c>
      <c r="BG114">
        <f>IF(AN114=MatchLabel,AS114,0)</f>
        <v>0</v>
      </c>
      <c r="BH114">
        <f>IF(AN114=SafetyLabel,AS114,0)</f>
        <v>0</v>
      </c>
      <c r="BI114">
        <f>IF(AN114=SecureLabel,AS114,0)</f>
        <v>0</v>
      </c>
      <c r="BJ114">
        <f>IF(AN114=SureThingLabel,AS114,0)</f>
        <v>0</v>
      </c>
      <c r="BK114">
        <f>MAX(BF114:BJ114)</f>
        <v>0</v>
      </c>
      <c r="BL114">
        <f>MAX(BG114:BJ114)</f>
        <v>0</v>
      </c>
      <c r="BM114">
        <f>MAX(BH114:BJ114)</f>
        <v>0</v>
      </c>
      <c r="BN114">
        <f>IF(AND(AN114=ReachLabel,BB114=1),AS114,0)</f>
        <v>0</v>
      </c>
      <c r="BO114">
        <f>IF(AND(AN114=MatchLabel,BB114=1),AS114,0)</f>
        <v>0</v>
      </c>
      <c r="BP114">
        <f>IF(AND(AN114=SafetyLabel,BB114=1),AS114,0)</f>
        <v>0</v>
      </c>
      <c r="BQ114">
        <f>IF(AND(AN114=SecureLabel,BB114=1),AS114,0)</f>
        <v>0</v>
      </c>
      <c r="BR114">
        <f>IF(AND(AN114=SureThingLabel,BB114=1),AS114,0)</f>
        <v>0</v>
      </c>
      <c r="BS114">
        <f>MAX(BN114:BR114)</f>
        <v>0</v>
      </c>
      <c r="BT114">
        <f>MAX(BO114:BR114)</f>
        <v>0</v>
      </c>
      <c r="BU114">
        <f>MAX(BP114:BR114)</f>
        <v>0</v>
      </c>
      <c r="BV114">
        <f>IF(ISNUMBER(AB114),INDEX(AllCollegeChicago, MATCH(N114,AllCollegeNCES,0))*BB114,0)</f>
        <v>0</v>
      </c>
      <c r="BW114">
        <f>IF(ISNUMBER(AB114),INDEX(AllCollegeMoneyCode, MATCH(N114,AllCollegeNCES,0)),"?")</f>
        <v>0</v>
      </c>
      <c r="BX114">
        <f>IF(OR(BW114="---",BW114="--",BW114="+/--",BW114="+/---"),1,0)</f>
        <v>0</v>
      </c>
      <c r="BY114">
        <f>BB114*AR114*AT114</f>
        <v>0</v>
      </c>
    </row>
    <row r="115" spans="1:77">
      <c r="A115" t="s">
        <v>96</v>
      </c>
      <c r="B115">
        <v>22415099</v>
      </c>
      <c r="C115" t="s">
        <v>297</v>
      </c>
      <c r="D115" t="s">
        <v>298</v>
      </c>
      <c r="E115" t="s">
        <v>446</v>
      </c>
      <c r="F115" t="s">
        <v>461</v>
      </c>
      <c r="G115" t="s">
        <v>448</v>
      </c>
      <c r="H115" t="s">
        <v>449</v>
      </c>
      <c r="I115" t="s">
        <v>450</v>
      </c>
      <c r="J115" t="s">
        <v>450</v>
      </c>
      <c r="K115">
        <v>0</v>
      </c>
      <c r="L115" t="s">
        <v>446</v>
      </c>
      <c r="M115" t="s">
        <v>446</v>
      </c>
      <c r="N115">
        <v>147536</v>
      </c>
      <c r="O115">
        <f>INDEX(Counselor,MATCH(B115,KidIDs,0))</f>
        <v>0</v>
      </c>
      <c r="P115">
        <f>INDEX(Advisors,MATCH(B115,KidIDs,0))</f>
        <v>0</v>
      </c>
      <c r="Q115">
        <f>INDEX(Cohort,MATCH(B115,KidIDs,0))</f>
        <v>0</v>
      </c>
      <c r="R115">
        <f>INDEX(AllCollegeBarrons,MATCH(N115,AllCollegeNCES,0))</f>
        <v>0</v>
      </c>
      <c r="S115">
        <f>INDEX(KidGPAs,MATCH(B115,KidIDs,0))</f>
        <v>0</v>
      </c>
      <c r="T115">
        <f>INDEX(KidSATs,MATCH(B115,KidIDs,0))</f>
        <v>0</v>
      </c>
      <c r="U115">
        <f>INDEX(Strats,MATCH(B115,KidIDs,0))</f>
        <v>0</v>
      </c>
      <c r="V115">
        <f>INDEX(KidRace,MATCH(B115,KidIDs,0))</f>
        <v>0</v>
      </c>
      <c r="W115">
        <f>IF(OR(V115="M",V115="I"),"H",IF(V115="P","A",V115))</f>
        <v>0</v>
      </c>
      <c r="X115">
        <f>INDEX(StudentTargets,MATCH(B115,KidIDs,0))</f>
        <v>0</v>
      </c>
      <c r="Y115">
        <f>INDEX(ReachStudentTargets,MATCH(B115,KidIDs,0))</f>
        <v>0</v>
      </c>
      <c r="Z115">
        <f>IF(OR(M115="Posse"),1,0)</f>
        <v>0</v>
      </c>
      <c r="AA115">
        <f>IF(ISNUMBER(INDEX(AllCollegeGR, MATCH(N115,AllCollegeNCES,0))),ROUND(INDEX(AllCollegeGR, MATCH(N115,AllCollegeNCES,0))+Z115*IF(INDEX(AllCollegeGR, MATCH(N115,AllCollegeNCES,0))&gt;0.7,(1-INDEX(AllCollegeGR, MATCH(N115,AllCollegeNCES,0)))/2,0.15),2),INDEX(AllCollegeGR, MATCH(N115,AllCollegeNCES,0)))</f>
        <v>0</v>
      </c>
      <c r="AB115">
        <f>IF(ISNUMBER(INDEX(AllCollegeAAHGR, MATCH(N115,AllCollegeNCES,0))),ROUND(INDEX(AllCollegeAAHGR, MATCH(N115,AllCollegeNCES,0))+Z115*IF(INDEX(AllCollegeAAHGR, MATCH(N115,AllCollegeNCES,0))&gt;0.7,(1-INDEX(AllCollegeAAHGR, MATCH(N115,AllCollegeNCES,0)))/2,0.15),2),INDEX(AllCollegeAAHGR, MATCH(N115,AllCollegeNCES,0)))</f>
        <v>0</v>
      </c>
      <c r="AC115">
        <f>IF(OR(W115="H",W115="B"),INDEX(AllCollegeSAT25, MATCH(N115,AllCollegeNCES,0)),INDEX(AllCollegeSAT50, MATCH(N115,AllCollegeNCES,0)))</f>
        <v>0</v>
      </c>
      <c r="AD115">
        <f>INDEX(CustomWeightsGPA,MATCH(W115&amp;":"&amp;N115,CustomWeightsIndex,0))</f>
        <v>0</v>
      </c>
      <c r="AE115">
        <f>INDEX(CustomWeightsSAT,MATCH(W115&amp;":"&amp;N115,CustomWeightsIndex,0))</f>
        <v>0</v>
      </c>
      <c r="AF115">
        <f>INDEX(CustomWeightsIntercept,MATCH(W115&amp;":"&amp;N115,CustomWeightsIndex,0))</f>
        <v>0</v>
      </c>
      <c r="AG115">
        <f>AD115*S115+AE115*T115+AF115</f>
        <v>0</v>
      </c>
      <c r="AH115">
        <f>INDEX(CoefficientsGPA,MATCH(W115&amp;":"&amp;R115,CoefficientsIndex,0))</f>
        <v>0</v>
      </c>
      <c r="AI115">
        <f>INDEX(CoefficientsSAT,MATCH(W115&amp;":"&amp;R115,CoefficientsIndex,0))</f>
        <v>0</v>
      </c>
      <c r="AJ115">
        <f>INDEX(CoefficientsIntercept,MATCH(W115&amp;":"&amp;R115,CoefficientsIndex,0))</f>
        <v>0</v>
      </c>
      <c r="AK115">
        <f>AH115*S115+(T115-AC115)*AI115+AJ115</f>
        <v>0</v>
      </c>
      <c r="AL115">
        <f>IF(ISNUMBER(AG115),AG115,AK115)</f>
        <v>0</v>
      </c>
      <c r="AM115">
        <f>IF(ISNUMBER(AL115),IF(ISNUMBER(AH115),IF(AND(AH115=1,AI115=1,AJ115=1),100,MIN(99,ROUND(100*EXP(AL115)/(1+EXP(AL115)),2))),MIN(99,ROUND(100*EXP(AL115)/(1+EXP(AL115)),2))),IF(ISTEXT(R115),IF(LEFT(R115,1)="2",100,"N/A"),"N/A"))</f>
        <v>0</v>
      </c>
      <c r="AN115">
        <f>IF(ISNUMBER(AM115),IF(AM115&gt;=99,IF(OR(U115=10,U115=11),MatchLabel,SureThingLabel),IF(AM115&gt;=95,SecureLabel,IF(AM115&gt;=80,SafetyLabel,IF(AM115&gt;=50,MatchLabel,IF(AM115&gt;=20,ReachLabel,IF(AM115&gt;=10,LongshotLabel,HailMaryLabel)))))),"Other")</f>
        <v>0</v>
      </c>
      <c r="AO115">
        <f>IF(OR(I115="accepted",I115="cond. accept",I115="summer admit"),IF(J115="yes","CHOICE!","Accepted!"),IF(I115="guar. transfer","Guar. Xfer",IF(I115="denied","Denied",IF(K115=1,"Waitlist",IF(L115=1,"Deferred",IF(G115="pending","Pending",IF(OR(G115="initial materials submitted",G115="mid-year submitted",G115="final submitted"),"Submitted",IF(H115="interest","Interest","?"))))))))</f>
        <v>0</v>
      </c>
      <c r="AP115">
        <f>IF(OR(AN115=ReachLabel,AN115=LongshotLabel,AN115=HailMaryLabel),1,0)</f>
        <v>0</v>
      </c>
      <c r="AQ115">
        <f>IF(OR(AP115=1,AN115=MatchLabel),1,0)</f>
        <v>0</v>
      </c>
      <c r="AR115">
        <f>IF(OR(AN115=MatchLabel,AN115=SafetyLabel,AN115=SecureLabel,AN115=SureThingLabel),1,0)</f>
        <v>0</v>
      </c>
      <c r="AS115">
        <f>IF(OR(W115="H",W115="B",W115="I",W115="M"),IF(ISNUMBER(AB115),ROUND(AB115,2),0),IF(ISNUMBER(AA115),ROUND(AA115,2),0))</f>
        <v>0</v>
      </c>
      <c r="AT115">
        <f>IF(AS115&gt;=X115,1,0)</f>
        <v>0</v>
      </c>
      <c r="AU115">
        <f>IF(AS115&gt;=Y115,1,0)</f>
        <v>0</v>
      </c>
      <c r="AV115">
        <f>IF(AS115&lt;(X115-0.10),1,0)</f>
        <v>0</v>
      </c>
      <c r="AW115">
        <f>1-AM115/100</f>
        <v>0</v>
      </c>
      <c r="AX115">
        <f>IF(AQ115=1,AW115,1)</f>
        <v>0</v>
      </c>
      <c r="AY115">
        <f>IF(AP115=1,AW115,1)</f>
        <v>0</v>
      </c>
      <c r="AZ115">
        <f>IF(AND(AT115=1,ISNUMBER(AW115)),$AW115,1)</f>
        <v>0</v>
      </c>
      <c r="BA115">
        <f>IF(AND(AU115=1,ISNUMBER(AW115)),$AW115,1)</f>
        <v>0</v>
      </c>
      <c r="BB115">
        <f>IF(ISNUMBER(AB115),INDEX(AllCollegeMoney, MATCH(N115,AllCollegeNCES,0)),0)</f>
        <v>0</v>
      </c>
      <c r="BC115">
        <f>IF(AND(AT115=1,ISNUMBER(AW115),BB115=1),$AW115,1)</f>
        <v>0</v>
      </c>
      <c r="BD115">
        <f>IF(AND(AU115=1,ISNUMBER(AW115),BB115=1),$AW115,1)</f>
        <v>0</v>
      </c>
      <c r="BE115">
        <f>IF(ISNUMBER(AB115),INDEX(AllCollegeILPub, MATCH(N115,AllCollegeNCES,0)),0)</f>
        <v>0</v>
      </c>
      <c r="BF115">
        <f>IF(AN115=ReachLabel,AS115,0)</f>
        <v>0</v>
      </c>
      <c r="BG115">
        <f>IF(AN115=MatchLabel,AS115,0)</f>
        <v>0</v>
      </c>
      <c r="BH115">
        <f>IF(AN115=SafetyLabel,AS115,0)</f>
        <v>0</v>
      </c>
      <c r="BI115">
        <f>IF(AN115=SecureLabel,AS115,0)</f>
        <v>0</v>
      </c>
      <c r="BJ115">
        <f>IF(AN115=SureThingLabel,AS115,0)</f>
        <v>0</v>
      </c>
      <c r="BK115">
        <f>MAX(BF115:BJ115)</f>
        <v>0</v>
      </c>
      <c r="BL115">
        <f>MAX(BG115:BJ115)</f>
        <v>0</v>
      </c>
      <c r="BM115">
        <f>MAX(BH115:BJ115)</f>
        <v>0</v>
      </c>
      <c r="BN115">
        <f>IF(AND(AN115=ReachLabel,BB115=1),AS115,0)</f>
        <v>0</v>
      </c>
      <c r="BO115">
        <f>IF(AND(AN115=MatchLabel,BB115=1),AS115,0)</f>
        <v>0</v>
      </c>
      <c r="BP115">
        <f>IF(AND(AN115=SafetyLabel,BB115=1),AS115,0)</f>
        <v>0</v>
      </c>
      <c r="BQ115">
        <f>IF(AND(AN115=SecureLabel,BB115=1),AS115,0)</f>
        <v>0</v>
      </c>
      <c r="BR115">
        <f>IF(AND(AN115=SureThingLabel,BB115=1),AS115,0)</f>
        <v>0</v>
      </c>
      <c r="BS115">
        <f>MAX(BN115:BR115)</f>
        <v>0</v>
      </c>
      <c r="BT115">
        <f>MAX(BO115:BR115)</f>
        <v>0</v>
      </c>
      <c r="BU115">
        <f>MAX(BP115:BR115)</f>
        <v>0</v>
      </c>
      <c r="BV115">
        <f>IF(ISNUMBER(AB115),INDEX(AllCollegeChicago, MATCH(N115,AllCollegeNCES,0))*BB115,0)</f>
        <v>0</v>
      </c>
      <c r="BW115">
        <f>IF(ISNUMBER(AB115),INDEX(AllCollegeMoneyCode, MATCH(N115,AllCollegeNCES,0)),"?")</f>
        <v>0</v>
      </c>
      <c r="BX115">
        <f>IF(OR(BW115="---",BW115="--",BW115="+/--",BW115="+/---"),1,0)</f>
        <v>0</v>
      </c>
      <c r="BY115">
        <f>BB115*AR115*AT115</f>
        <v>0</v>
      </c>
    </row>
    <row r="116" spans="1:77">
      <c r="A116" t="s">
        <v>96</v>
      </c>
      <c r="B116">
        <v>22489025</v>
      </c>
      <c r="C116" t="s">
        <v>237</v>
      </c>
      <c r="D116" t="s">
        <v>238</v>
      </c>
      <c r="E116" t="s">
        <v>446</v>
      </c>
      <c r="F116" t="s">
        <v>511</v>
      </c>
      <c r="G116" t="s">
        <v>479</v>
      </c>
      <c r="H116" t="s">
        <v>449</v>
      </c>
      <c r="I116" t="s">
        <v>450</v>
      </c>
      <c r="J116" t="s">
        <v>450</v>
      </c>
      <c r="K116">
        <v>0</v>
      </c>
      <c r="L116" t="s">
        <v>446</v>
      </c>
      <c r="M116" t="s">
        <v>446</v>
      </c>
      <c r="N116">
        <v>216597</v>
      </c>
      <c r="O116">
        <f>INDEX(Counselor,MATCH(B116,KidIDs,0))</f>
        <v>0</v>
      </c>
      <c r="P116">
        <f>INDEX(Advisors,MATCH(B116,KidIDs,0))</f>
        <v>0</v>
      </c>
      <c r="Q116">
        <f>INDEX(Cohort,MATCH(B116,KidIDs,0))</f>
        <v>0</v>
      </c>
      <c r="R116">
        <f>INDEX(AllCollegeBarrons,MATCH(N116,AllCollegeNCES,0))</f>
        <v>0</v>
      </c>
      <c r="S116">
        <f>INDEX(KidGPAs,MATCH(B116,KidIDs,0))</f>
        <v>0</v>
      </c>
      <c r="T116">
        <f>INDEX(KidSATs,MATCH(B116,KidIDs,0))</f>
        <v>0</v>
      </c>
      <c r="U116">
        <f>INDEX(Strats,MATCH(B116,KidIDs,0))</f>
        <v>0</v>
      </c>
      <c r="V116">
        <f>INDEX(KidRace,MATCH(B116,KidIDs,0))</f>
        <v>0</v>
      </c>
      <c r="W116">
        <f>IF(OR(V116="M",V116="I"),"H",IF(V116="P","A",V116))</f>
        <v>0</v>
      </c>
      <c r="X116">
        <f>INDEX(StudentTargets,MATCH(B116,KidIDs,0))</f>
        <v>0</v>
      </c>
      <c r="Y116">
        <f>INDEX(ReachStudentTargets,MATCH(B116,KidIDs,0))</f>
        <v>0</v>
      </c>
      <c r="Z116">
        <f>IF(OR(M116="Posse"),1,0)</f>
        <v>0</v>
      </c>
      <c r="AA116">
        <f>IF(ISNUMBER(INDEX(AllCollegeGR, MATCH(N116,AllCollegeNCES,0))),ROUND(INDEX(AllCollegeGR, MATCH(N116,AllCollegeNCES,0))+Z116*IF(INDEX(AllCollegeGR, MATCH(N116,AllCollegeNCES,0))&gt;0.7,(1-INDEX(AllCollegeGR, MATCH(N116,AllCollegeNCES,0)))/2,0.15),2),INDEX(AllCollegeGR, MATCH(N116,AllCollegeNCES,0)))</f>
        <v>0</v>
      </c>
      <c r="AB116">
        <f>IF(ISNUMBER(INDEX(AllCollegeAAHGR, MATCH(N116,AllCollegeNCES,0))),ROUND(INDEX(AllCollegeAAHGR, MATCH(N116,AllCollegeNCES,0))+Z116*IF(INDEX(AllCollegeAAHGR, MATCH(N116,AllCollegeNCES,0))&gt;0.7,(1-INDEX(AllCollegeAAHGR, MATCH(N116,AllCollegeNCES,0)))/2,0.15),2),INDEX(AllCollegeAAHGR, MATCH(N116,AllCollegeNCES,0)))</f>
        <v>0</v>
      </c>
      <c r="AC116">
        <f>IF(OR(W116="H",W116="B"),INDEX(AllCollegeSAT25, MATCH(N116,AllCollegeNCES,0)),INDEX(AllCollegeSAT50, MATCH(N116,AllCollegeNCES,0)))</f>
        <v>0</v>
      </c>
      <c r="AD116">
        <f>INDEX(CustomWeightsGPA,MATCH(W116&amp;":"&amp;N116,CustomWeightsIndex,0))</f>
        <v>0</v>
      </c>
      <c r="AE116">
        <f>INDEX(CustomWeightsSAT,MATCH(W116&amp;":"&amp;N116,CustomWeightsIndex,0))</f>
        <v>0</v>
      </c>
      <c r="AF116">
        <f>INDEX(CustomWeightsIntercept,MATCH(W116&amp;":"&amp;N116,CustomWeightsIndex,0))</f>
        <v>0</v>
      </c>
      <c r="AG116">
        <f>AD116*S116+AE116*T116+AF116</f>
        <v>0</v>
      </c>
      <c r="AH116">
        <f>INDEX(CoefficientsGPA,MATCH(W116&amp;":"&amp;R116,CoefficientsIndex,0))</f>
        <v>0</v>
      </c>
      <c r="AI116">
        <f>INDEX(CoefficientsSAT,MATCH(W116&amp;":"&amp;R116,CoefficientsIndex,0))</f>
        <v>0</v>
      </c>
      <c r="AJ116">
        <f>INDEX(CoefficientsIntercept,MATCH(W116&amp;":"&amp;R116,CoefficientsIndex,0))</f>
        <v>0</v>
      </c>
      <c r="AK116">
        <f>AH116*S116+(T116-AC116)*AI116+AJ116</f>
        <v>0</v>
      </c>
      <c r="AL116">
        <f>IF(ISNUMBER(AG116),AG116,AK116)</f>
        <v>0</v>
      </c>
      <c r="AM116">
        <f>IF(ISNUMBER(AL116),IF(ISNUMBER(AH116),IF(AND(AH116=1,AI116=1,AJ116=1),100,MIN(99,ROUND(100*EXP(AL116)/(1+EXP(AL116)),2))),MIN(99,ROUND(100*EXP(AL116)/(1+EXP(AL116)),2))),IF(ISTEXT(R116),IF(LEFT(R116,1)="2",100,"N/A"),"N/A"))</f>
        <v>0</v>
      </c>
      <c r="AN116">
        <f>IF(ISNUMBER(AM116),IF(AM116&gt;=99,IF(OR(U116=10,U116=11),MatchLabel,SureThingLabel),IF(AM116&gt;=95,SecureLabel,IF(AM116&gt;=80,SafetyLabel,IF(AM116&gt;=50,MatchLabel,IF(AM116&gt;=20,ReachLabel,IF(AM116&gt;=10,LongshotLabel,HailMaryLabel)))))),"Other")</f>
        <v>0</v>
      </c>
      <c r="AO116">
        <f>IF(OR(I116="accepted",I116="cond. accept",I116="summer admit"),IF(J116="yes","CHOICE!","Accepted!"),IF(I116="guar. transfer","Guar. Xfer",IF(I116="denied","Denied",IF(K116=1,"Waitlist",IF(L116=1,"Deferred",IF(G116="pending","Pending",IF(OR(G116="initial materials submitted",G116="mid-year submitted",G116="final submitted"),"Submitted",IF(H116="interest","Interest","?"))))))))</f>
        <v>0</v>
      </c>
      <c r="AP116">
        <f>IF(OR(AN116=ReachLabel,AN116=LongshotLabel,AN116=HailMaryLabel),1,0)</f>
        <v>0</v>
      </c>
      <c r="AQ116">
        <f>IF(OR(AP116=1,AN116=MatchLabel),1,0)</f>
        <v>0</v>
      </c>
      <c r="AR116">
        <f>IF(OR(AN116=MatchLabel,AN116=SafetyLabel,AN116=SecureLabel,AN116=SureThingLabel),1,0)</f>
        <v>0</v>
      </c>
      <c r="AS116">
        <f>IF(OR(W116="H",W116="B",W116="I",W116="M"),IF(ISNUMBER(AB116),ROUND(AB116,2),0),IF(ISNUMBER(AA116),ROUND(AA116,2),0))</f>
        <v>0</v>
      </c>
      <c r="AT116">
        <f>IF(AS116&gt;=X116,1,0)</f>
        <v>0</v>
      </c>
      <c r="AU116">
        <f>IF(AS116&gt;=Y116,1,0)</f>
        <v>0</v>
      </c>
      <c r="AV116">
        <f>IF(AS116&lt;(X116-0.10),1,0)</f>
        <v>0</v>
      </c>
      <c r="AW116">
        <f>1-AM116/100</f>
        <v>0</v>
      </c>
      <c r="AX116">
        <f>IF(AQ116=1,AW116,1)</f>
        <v>0</v>
      </c>
      <c r="AY116">
        <f>IF(AP116=1,AW116,1)</f>
        <v>0</v>
      </c>
      <c r="AZ116">
        <f>IF(AND(AT116=1,ISNUMBER(AW116)),$AW116,1)</f>
        <v>0</v>
      </c>
      <c r="BA116">
        <f>IF(AND(AU116=1,ISNUMBER(AW116)),$AW116,1)</f>
        <v>0</v>
      </c>
      <c r="BB116">
        <f>IF(ISNUMBER(AB116),INDEX(AllCollegeMoney, MATCH(N116,AllCollegeNCES,0)),0)</f>
        <v>0</v>
      </c>
      <c r="BC116">
        <f>IF(AND(AT116=1,ISNUMBER(AW116),BB116=1),$AW116,1)</f>
        <v>0</v>
      </c>
      <c r="BD116">
        <f>IF(AND(AU116=1,ISNUMBER(AW116),BB116=1),$AW116,1)</f>
        <v>0</v>
      </c>
      <c r="BE116">
        <f>IF(ISNUMBER(AB116),INDEX(AllCollegeILPub, MATCH(N116,AllCollegeNCES,0)),0)</f>
        <v>0</v>
      </c>
      <c r="BF116">
        <f>IF(AN116=ReachLabel,AS116,0)</f>
        <v>0</v>
      </c>
      <c r="BG116">
        <f>IF(AN116=MatchLabel,AS116,0)</f>
        <v>0</v>
      </c>
      <c r="BH116">
        <f>IF(AN116=SafetyLabel,AS116,0)</f>
        <v>0</v>
      </c>
      <c r="BI116">
        <f>IF(AN116=SecureLabel,AS116,0)</f>
        <v>0</v>
      </c>
      <c r="BJ116">
        <f>IF(AN116=SureThingLabel,AS116,0)</f>
        <v>0</v>
      </c>
      <c r="BK116">
        <f>MAX(BF116:BJ116)</f>
        <v>0</v>
      </c>
      <c r="BL116">
        <f>MAX(BG116:BJ116)</f>
        <v>0</v>
      </c>
      <c r="BM116">
        <f>MAX(BH116:BJ116)</f>
        <v>0</v>
      </c>
      <c r="BN116">
        <f>IF(AND(AN116=ReachLabel,BB116=1),AS116,0)</f>
        <v>0</v>
      </c>
      <c r="BO116">
        <f>IF(AND(AN116=MatchLabel,BB116=1),AS116,0)</f>
        <v>0</v>
      </c>
      <c r="BP116">
        <f>IF(AND(AN116=SafetyLabel,BB116=1),AS116,0)</f>
        <v>0</v>
      </c>
      <c r="BQ116">
        <f>IF(AND(AN116=SecureLabel,BB116=1),AS116,0)</f>
        <v>0</v>
      </c>
      <c r="BR116">
        <f>IF(AND(AN116=SureThingLabel,BB116=1),AS116,0)</f>
        <v>0</v>
      </c>
      <c r="BS116">
        <f>MAX(BN116:BR116)</f>
        <v>0</v>
      </c>
      <c r="BT116">
        <f>MAX(BO116:BR116)</f>
        <v>0</v>
      </c>
      <c r="BU116">
        <f>MAX(BP116:BR116)</f>
        <v>0</v>
      </c>
      <c r="BV116">
        <f>IF(ISNUMBER(AB116),INDEX(AllCollegeChicago, MATCH(N116,AllCollegeNCES,0))*BB116,0)</f>
        <v>0</v>
      </c>
      <c r="BW116">
        <f>IF(ISNUMBER(AB116),INDEX(AllCollegeMoneyCode, MATCH(N116,AllCollegeNCES,0)),"?")</f>
        <v>0</v>
      </c>
      <c r="BX116">
        <f>IF(OR(BW116="---",BW116="--",BW116="+/--",BW116="+/---"),1,0)</f>
        <v>0</v>
      </c>
      <c r="BY116">
        <f>BB116*AR116*AT116</f>
        <v>0</v>
      </c>
    </row>
    <row r="117" spans="1:77">
      <c r="A117" t="s">
        <v>96</v>
      </c>
      <c r="B117">
        <v>22489025</v>
      </c>
      <c r="C117" t="s">
        <v>237</v>
      </c>
      <c r="D117" t="s">
        <v>238</v>
      </c>
      <c r="E117" t="s">
        <v>446</v>
      </c>
      <c r="F117" t="s">
        <v>470</v>
      </c>
      <c r="G117" t="s">
        <v>448</v>
      </c>
      <c r="H117" t="s">
        <v>449</v>
      </c>
      <c r="I117" t="s">
        <v>450</v>
      </c>
      <c r="J117" t="s">
        <v>450</v>
      </c>
      <c r="K117">
        <v>0</v>
      </c>
      <c r="L117" t="s">
        <v>446</v>
      </c>
      <c r="M117" t="s">
        <v>446</v>
      </c>
      <c r="N117">
        <v>240444</v>
      </c>
      <c r="O117">
        <f>INDEX(Counselor,MATCH(B117,KidIDs,0))</f>
        <v>0</v>
      </c>
      <c r="P117">
        <f>INDEX(Advisors,MATCH(B117,KidIDs,0))</f>
        <v>0</v>
      </c>
      <c r="Q117">
        <f>INDEX(Cohort,MATCH(B117,KidIDs,0))</f>
        <v>0</v>
      </c>
      <c r="R117">
        <f>INDEX(AllCollegeBarrons,MATCH(N117,AllCollegeNCES,0))</f>
        <v>0</v>
      </c>
      <c r="S117">
        <f>INDEX(KidGPAs,MATCH(B117,KidIDs,0))</f>
        <v>0</v>
      </c>
      <c r="T117">
        <f>INDEX(KidSATs,MATCH(B117,KidIDs,0))</f>
        <v>0</v>
      </c>
      <c r="U117">
        <f>INDEX(Strats,MATCH(B117,KidIDs,0))</f>
        <v>0</v>
      </c>
      <c r="V117">
        <f>INDEX(KidRace,MATCH(B117,KidIDs,0))</f>
        <v>0</v>
      </c>
      <c r="W117">
        <f>IF(OR(V117="M",V117="I"),"H",IF(V117="P","A",V117))</f>
        <v>0</v>
      </c>
      <c r="X117">
        <f>INDEX(StudentTargets,MATCH(B117,KidIDs,0))</f>
        <v>0</v>
      </c>
      <c r="Y117">
        <f>INDEX(ReachStudentTargets,MATCH(B117,KidIDs,0))</f>
        <v>0</v>
      </c>
      <c r="Z117">
        <f>IF(OR(M117="Posse"),1,0)</f>
        <v>0</v>
      </c>
      <c r="AA117">
        <f>IF(ISNUMBER(INDEX(AllCollegeGR, MATCH(N117,AllCollegeNCES,0))),ROUND(INDEX(AllCollegeGR, MATCH(N117,AllCollegeNCES,0))+Z117*IF(INDEX(AllCollegeGR, MATCH(N117,AllCollegeNCES,0))&gt;0.7,(1-INDEX(AllCollegeGR, MATCH(N117,AllCollegeNCES,0)))/2,0.15),2),INDEX(AllCollegeGR, MATCH(N117,AllCollegeNCES,0)))</f>
        <v>0</v>
      </c>
      <c r="AB117">
        <f>IF(ISNUMBER(INDEX(AllCollegeAAHGR, MATCH(N117,AllCollegeNCES,0))),ROUND(INDEX(AllCollegeAAHGR, MATCH(N117,AllCollegeNCES,0))+Z117*IF(INDEX(AllCollegeAAHGR, MATCH(N117,AllCollegeNCES,0))&gt;0.7,(1-INDEX(AllCollegeAAHGR, MATCH(N117,AllCollegeNCES,0)))/2,0.15),2),INDEX(AllCollegeAAHGR, MATCH(N117,AllCollegeNCES,0)))</f>
        <v>0</v>
      </c>
      <c r="AC117">
        <f>IF(OR(W117="H",W117="B"),INDEX(AllCollegeSAT25, MATCH(N117,AllCollegeNCES,0)),INDEX(AllCollegeSAT50, MATCH(N117,AllCollegeNCES,0)))</f>
        <v>0</v>
      </c>
      <c r="AD117">
        <f>INDEX(CustomWeightsGPA,MATCH(W117&amp;":"&amp;N117,CustomWeightsIndex,0))</f>
        <v>0</v>
      </c>
      <c r="AE117">
        <f>INDEX(CustomWeightsSAT,MATCH(W117&amp;":"&amp;N117,CustomWeightsIndex,0))</f>
        <v>0</v>
      </c>
      <c r="AF117">
        <f>INDEX(CustomWeightsIntercept,MATCH(W117&amp;":"&amp;N117,CustomWeightsIndex,0))</f>
        <v>0</v>
      </c>
      <c r="AG117">
        <f>AD117*S117+AE117*T117+AF117</f>
        <v>0</v>
      </c>
      <c r="AH117">
        <f>INDEX(CoefficientsGPA,MATCH(W117&amp;":"&amp;R117,CoefficientsIndex,0))</f>
        <v>0</v>
      </c>
      <c r="AI117">
        <f>INDEX(CoefficientsSAT,MATCH(W117&amp;":"&amp;R117,CoefficientsIndex,0))</f>
        <v>0</v>
      </c>
      <c r="AJ117">
        <f>INDEX(CoefficientsIntercept,MATCH(W117&amp;":"&amp;R117,CoefficientsIndex,0))</f>
        <v>0</v>
      </c>
      <c r="AK117">
        <f>AH117*S117+(T117-AC117)*AI117+AJ117</f>
        <v>0</v>
      </c>
      <c r="AL117">
        <f>IF(ISNUMBER(AG117),AG117,AK117)</f>
        <v>0</v>
      </c>
      <c r="AM117">
        <f>IF(ISNUMBER(AL117),IF(ISNUMBER(AH117),IF(AND(AH117=1,AI117=1,AJ117=1),100,MIN(99,ROUND(100*EXP(AL117)/(1+EXP(AL117)),2))),MIN(99,ROUND(100*EXP(AL117)/(1+EXP(AL117)),2))),IF(ISTEXT(R117),IF(LEFT(R117,1)="2",100,"N/A"),"N/A"))</f>
        <v>0</v>
      </c>
      <c r="AN117">
        <f>IF(ISNUMBER(AM117),IF(AM117&gt;=99,IF(OR(U117=10,U117=11),MatchLabel,SureThingLabel),IF(AM117&gt;=95,SecureLabel,IF(AM117&gt;=80,SafetyLabel,IF(AM117&gt;=50,MatchLabel,IF(AM117&gt;=20,ReachLabel,IF(AM117&gt;=10,LongshotLabel,HailMaryLabel)))))),"Other")</f>
        <v>0</v>
      </c>
      <c r="AO117">
        <f>IF(OR(I117="accepted",I117="cond. accept",I117="summer admit"),IF(J117="yes","CHOICE!","Accepted!"),IF(I117="guar. transfer","Guar. Xfer",IF(I117="denied","Denied",IF(K117=1,"Waitlist",IF(L117=1,"Deferred",IF(G117="pending","Pending",IF(OR(G117="initial materials submitted",G117="mid-year submitted",G117="final submitted"),"Submitted",IF(H117="interest","Interest","?"))))))))</f>
        <v>0</v>
      </c>
      <c r="AP117">
        <f>IF(OR(AN117=ReachLabel,AN117=LongshotLabel,AN117=HailMaryLabel),1,0)</f>
        <v>0</v>
      </c>
      <c r="AQ117">
        <f>IF(OR(AP117=1,AN117=MatchLabel),1,0)</f>
        <v>0</v>
      </c>
      <c r="AR117">
        <f>IF(OR(AN117=MatchLabel,AN117=SafetyLabel,AN117=SecureLabel,AN117=SureThingLabel),1,0)</f>
        <v>0</v>
      </c>
      <c r="AS117">
        <f>IF(OR(W117="H",W117="B",W117="I",W117="M"),IF(ISNUMBER(AB117),ROUND(AB117,2),0),IF(ISNUMBER(AA117),ROUND(AA117,2),0))</f>
        <v>0</v>
      </c>
      <c r="AT117">
        <f>IF(AS117&gt;=X117,1,0)</f>
        <v>0</v>
      </c>
      <c r="AU117">
        <f>IF(AS117&gt;=Y117,1,0)</f>
        <v>0</v>
      </c>
      <c r="AV117">
        <f>IF(AS117&lt;(X117-0.10),1,0)</f>
        <v>0</v>
      </c>
      <c r="AW117">
        <f>1-AM117/100</f>
        <v>0</v>
      </c>
      <c r="AX117">
        <f>IF(AQ117=1,AW117,1)</f>
        <v>0</v>
      </c>
      <c r="AY117">
        <f>IF(AP117=1,AW117,1)</f>
        <v>0</v>
      </c>
      <c r="AZ117">
        <f>IF(AND(AT117=1,ISNUMBER(AW117)),$AW117,1)</f>
        <v>0</v>
      </c>
      <c r="BA117">
        <f>IF(AND(AU117=1,ISNUMBER(AW117)),$AW117,1)</f>
        <v>0</v>
      </c>
      <c r="BB117">
        <f>IF(ISNUMBER(AB117),INDEX(AllCollegeMoney, MATCH(N117,AllCollegeNCES,0)),0)</f>
        <v>0</v>
      </c>
      <c r="BC117">
        <f>IF(AND(AT117=1,ISNUMBER(AW117),BB117=1),$AW117,1)</f>
        <v>0</v>
      </c>
      <c r="BD117">
        <f>IF(AND(AU117=1,ISNUMBER(AW117),BB117=1),$AW117,1)</f>
        <v>0</v>
      </c>
      <c r="BE117">
        <f>IF(ISNUMBER(AB117),INDEX(AllCollegeILPub, MATCH(N117,AllCollegeNCES,0)),0)</f>
        <v>0</v>
      </c>
      <c r="BF117">
        <f>IF(AN117=ReachLabel,AS117,0)</f>
        <v>0</v>
      </c>
      <c r="BG117">
        <f>IF(AN117=MatchLabel,AS117,0)</f>
        <v>0</v>
      </c>
      <c r="BH117">
        <f>IF(AN117=SafetyLabel,AS117,0)</f>
        <v>0</v>
      </c>
      <c r="BI117">
        <f>IF(AN117=SecureLabel,AS117,0)</f>
        <v>0</v>
      </c>
      <c r="BJ117">
        <f>IF(AN117=SureThingLabel,AS117,0)</f>
        <v>0</v>
      </c>
      <c r="BK117">
        <f>MAX(BF117:BJ117)</f>
        <v>0</v>
      </c>
      <c r="BL117">
        <f>MAX(BG117:BJ117)</f>
        <v>0</v>
      </c>
      <c r="BM117">
        <f>MAX(BH117:BJ117)</f>
        <v>0</v>
      </c>
      <c r="BN117">
        <f>IF(AND(AN117=ReachLabel,BB117=1),AS117,0)</f>
        <v>0</v>
      </c>
      <c r="BO117">
        <f>IF(AND(AN117=MatchLabel,BB117=1),AS117,0)</f>
        <v>0</v>
      </c>
      <c r="BP117">
        <f>IF(AND(AN117=SafetyLabel,BB117=1),AS117,0)</f>
        <v>0</v>
      </c>
      <c r="BQ117">
        <f>IF(AND(AN117=SecureLabel,BB117=1),AS117,0)</f>
        <v>0</v>
      </c>
      <c r="BR117">
        <f>IF(AND(AN117=SureThingLabel,BB117=1),AS117,0)</f>
        <v>0</v>
      </c>
      <c r="BS117">
        <f>MAX(BN117:BR117)</f>
        <v>0</v>
      </c>
      <c r="BT117">
        <f>MAX(BO117:BR117)</f>
        <v>0</v>
      </c>
      <c r="BU117">
        <f>MAX(BP117:BR117)</f>
        <v>0</v>
      </c>
      <c r="BV117">
        <f>IF(ISNUMBER(AB117),INDEX(AllCollegeChicago, MATCH(N117,AllCollegeNCES,0))*BB117,0)</f>
        <v>0</v>
      </c>
      <c r="BW117">
        <f>IF(ISNUMBER(AB117),INDEX(AllCollegeMoneyCode, MATCH(N117,AllCollegeNCES,0)),"?")</f>
        <v>0</v>
      </c>
      <c r="BX117">
        <f>IF(OR(BW117="---",BW117="--",BW117="+/--",BW117="+/---"),1,0)</f>
        <v>0</v>
      </c>
      <c r="BY117">
        <f>BB117*AR117*AT117</f>
        <v>0</v>
      </c>
    </row>
    <row r="118" spans="1:77">
      <c r="A118" t="s">
        <v>96</v>
      </c>
      <c r="B118">
        <v>22489025</v>
      </c>
      <c r="C118" t="s">
        <v>237</v>
      </c>
      <c r="D118" t="s">
        <v>238</v>
      </c>
      <c r="E118" t="s">
        <v>446</v>
      </c>
      <c r="F118" t="s">
        <v>512</v>
      </c>
      <c r="G118" t="s">
        <v>448</v>
      </c>
      <c r="H118" t="s">
        <v>449</v>
      </c>
      <c r="I118" t="s">
        <v>450</v>
      </c>
      <c r="J118" t="s">
        <v>450</v>
      </c>
      <c r="K118">
        <v>0</v>
      </c>
      <c r="L118" t="s">
        <v>446</v>
      </c>
      <c r="M118" t="s">
        <v>446</v>
      </c>
      <c r="N118">
        <v>150400</v>
      </c>
      <c r="O118">
        <f>INDEX(Counselor,MATCH(B118,KidIDs,0))</f>
        <v>0</v>
      </c>
      <c r="P118">
        <f>INDEX(Advisors,MATCH(B118,KidIDs,0))</f>
        <v>0</v>
      </c>
      <c r="Q118">
        <f>INDEX(Cohort,MATCH(B118,KidIDs,0))</f>
        <v>0</v>
      </c>
      <c r="R118">
        <f>INDEX(AllCollegeBarrons,MATCH(N118,AllCollegeNCES,0))</f>
        <v>0</v>
      </c>
      <c r="S118">
        <f>INDEX(KidGPAs,MATCH(B118,KidIDs,0))</f>
        <v>0</v>
      </c>
      <c r="T118">
        <f>INDEX(KidSATs,MATCH(B118,KidIDs,0))</f>
        <v>0</v>
      </c>
      <c r="U118">
        <f>INDEX(Strats,MATCH(B118,KidIDs,0))</f>
        <v>0</v>
      </c>
      <c r="V118">
        <f>INDEX(KidRace,MATCH(B118,KidIDs,0))</f>
        <v>0</v>
      </c>
      <c r="W118">
        <f>IF(OR(V118="M",V118="I"),"H",IF(V118="P","A",V118))</f>
        <v>0</v>
      </c>
      <c r="X118">
        <f>INDEX(StudentTargets,MATCH(B118,KidIDs,0))</f>
        <v>0</v>
      </c>
      <c r="Y118">
        <f>INDEX(ReachStudentTargets,MATCH(B118,KidIDs,0))</f>
        <v>0</v>
      </c>
      <c r="Z118">
        <f>IF(OR(M118="Posse"),1,0)</f>
        <v>0</v>
      </c>
      <c r="AA118">
        <f>IF(ISNUMBER(INDEX(AllCollegeGR, MATCH(N118,AllCollegeNCES,0))),ROUND(INDEX(AllCollegeGR, MATCH(N118,AllCollegeNCES,0))+Z118*IF(INDEX(AllCollegeGR, MATCH(N118,AllCollegeNCES,0))&gt;0.7,(1-INDEX(AllCollegeGR, MATCH(N118,AllCollegeNCES,0)))/2,0.15),2),INDEX(AllCollegeGR, MATCH(N118,AllCollegeNCES,0)))</f>
        <v>0</v>
      </c>
      <c r="AB118">
        <f>IF(ISNUMBER(INDEX(AllCollegeAAHGR, MATCH(N118,AllCollegeNCES,0))),ROUND(INDEX(AllCollegeAAHGR, MATCH(N118,AllCollegeNCES,0))+Z118*IF(INDEX(AllCollegeAAHGR, MATCH(N118,AllCollegeNCES,0))&gt;0.7,(1-INDEX(AllCollegeAAHGR, MATCH(N118,AllCollegeNCES,0)))/2,0.15),2),INDEX(AllCollegeAAHGR, MATCH(N118,AllCollegeNCES,0)))</f>
        <v>0</v>
      </c>
      <c r="AC118">
        <f>IF(OR(W118="H",W118="B"),INDEX(AllCollegeSAT25, MATCH(N118,AllCollegeNCES,0)),INDEX(AllCollegeSAT50, MATCH(N118,AllCollegeNCES,0)))</f>
        <v>0</v>
      </c>
      <c r="AD118">
        <f>INDEX(CustomWeightsGPA,MATCH(W118&amp;":"&amp;N118,CustomWeightsIndex,0))</f>
        <v>0</v>
      </c>
      <c r="AE118">
        <f>INDEX(CustomWeightsSAT,MATCH(W118&amp;":"&amp;N118,CustomWeightsIndex,0))</f>
        <v>0</v>
      </c>
      <c r="AF118">
        <f>INDEX(CustomWeightsIntercept,MATCH(W118&amp;":"&amp;N118,CustomWeightsIndex,0))</f>
        <v>0</v>
      </c>
      <c r="AG118">
        <f>AD118*S118+AE118*T118+AF118</f>
        <v>0</v>
      </c>
      <c r="AH118">
        <f>INDEX(CoefficientsGPA,MATCH(W118&amp;":"&amp;R118,CoefficientsIndex,0))</f>
        <v>0</v>
      </c>
      <c r="AI118">
        <f>INDEX(CoefficientsSAT,MATCH(W118&amp;":"&amp;R118,CoefficientsIndex,0))</f>
        <v>0</v>
      </c>
      <c r="AJ118">
        <f>INDEX(CoefficientsIntercept,MATCH(W118&amp;":"&amp;R118,CoefficientsIndex,0))</f>
        <v>0</v>
      </c>
      <c r="AK118">
        <f>AH118*S118+(T118-AC118)*AI118+AJ118</f>
        <v>0</v>
      </c>
      <c r="AL118">
        <f>IF(ISNUMBER(AG118),AG118,AK118)</f>
        <v>0</v>
      </c>
      <c r="AM118">
        <f>IF(ISNUMBER(AL118),IF(ISNUMBER(AH118),IF(AND(AH118=1,AI118=1,AJ118=1),100,MIN(99,ROUND(100*EXP(AL118)/(1+EXP(AL118)),2))),MIN(99,ROUND(100*EXP(AL118)/(1+EXP(AL118)),2))),IF(ISTEXT(R118),IF(LEFT(R118,1)="2",100,"N/A"),"N/A"))</f>
        <v>0</v>
      </c>
      <c r="AN118">
        <f>IF(ISNUMBER(AM118),IF(AM118&gt;=99,IF(OR(U118=10,U118=11),MatchLabel,SureThingLabel),IF(AM118&gt;=95,SecureLabel,IF(AM118&gt;=80,SafetyLabel,IF(AM118&gt;=50,MatchLabel,IF(AM118&gt;=20,ReachLabel,IF(AM118&gt;=10,LongshotLabel,HailMaryLabel)))))),"Other")</f>
        <v>0</v>
      </c>
      <c r="AO118">
        <f>IF(OR(I118="accepted",I118="cond. accept",I118="summer admit"),IF(J118="yes","CHOICE!","Accepted!"),IF(I118="guar. transfer","Guar. Xfer",IF(I118="denied","Denied",IF(K118=1,"Waitlist",IF(L118=1,"Deferred",IF(G118="pending","Pending",IF(OR(G118="initial materials submitted",G118="mid-year submitted",G118="final submitted"),"Submitted",IF(H118="interest","Interest","?"))))))))</f>
        <v>0</v>
      </c>
      <c r="AP118">
        <f>IF(OR(AN118=ReachLabel,AN118=LongshotLabel,AN118=HailMaryLabel),1,0)</f>
        <v>0</v>
      </c>
      <c r="AQ118">
        <f>IF(OR(AP118=1,AN118=MatchLabel),1,0)</f>
        <v>0</v>
      </c>
      <c r="AR118">
        <f>IF(OR(AN118=MatchLabel,AN118=SafetyLabel,AN118=SecureLabel,AN118=SureThingLabel),1,0)</f>
        <v>0</v>
      </c>
      <c r="AS118">
        <f>IF(OR(W118="H",W118="B",W118="I",W118="M"),IF(ISNUMBER(AB118),ROUND(AB118,2),0),IF(ISNUMBER(AA118),ROUND(AA118,2),0))</f>
        <v>0</v>
      </c>
      <c r="AT118">
        <f>IF(AS118&gt;=X118,1,0)</f>
        <v>0</v>
      </c>
      <c r="AU118">
        <f>IF(AS118&gt;=Y118,1,0)</f>
        <v>0</v>
      </c>
      <c r="AV118">
        <f>IF(AS118&lt;(X118-0.10),1,0)</f>
        <v>0</v>
      </c>
      <c r="AW118">
        <f>1-AM118/100</f>
        <v>0</v>
      </c>
      <c r="AX118">
        <f>IF(AQ118=1,AW118,1)</f>
        <v>0</v>
      </c>
      <c r="AY118">
        <f>IF(AP118=1,AW118,1)</f>
        <v>0</v>
      </c>
      <c r="AZ118">
        <f>IF(AND(AT118=1,ISNUMBER(AW118)),$AW118,1)</f>
        <v>0</v>
      </c>
      <c r="BA118">
        <f>IF(AND(AU118=1,ISNUMBER(AW118)),$AW118,1)</f>
        <v>0</v>
      </c>
      <c r="BB118">
        <f>IF(ISNUMBER(AB118),INDEX(AllCollegeMoney, MATCH(N118,AllCollegeNCES,0)),0)</f>
        <v>0</v>
      </c>
      <c r="BC118">
        <f>IF(AND(AT118=1,ISNUMBER(AW118),BB118=1),$AW118,1)</f>
        <v>0</v>
      </c>
      <c r="BD118">
        <f>IF(AND(AU118=1,ISNUMBER(AW118),BB118=1),$AW118,1)</f>
        <v>0</v>
      </c>
      <c r="BE118">
        <f>IF(ISNUMBER(AB118),INDEX(AllCollegeILPub, MATCH(N118,AllCollegeNCES,0)),0)</f>
        <v>0</v>
      </c>
      <c r="BF118">
        <f>IF(AN118=ReachLabel,AS118,0)</f>
        <v>0</v>
      </c>
      <c r="BG118">
        <f>IF(AN118=MatchLabel,AS118,0)</f>
        <v>0</v>
      </c>
      <c r="BH118">
        <f>IF(AN118=SafetyLabel,AS118,0)</f>
        <v>0</v>
      </c>
      <c r="BI118">
        <f>IF(AN118=SecureLabel,AS118,0)</f>
        <v>0</v>
      </c>
      <c r="BJ118">
        <f>IF(AN118=SureThingLabel,AS118,0)</f>
        <v>0</v>
      </c>
      <c r="BK118">
        <f>MAX(BF118:BJ118)</f>
        <v>0</v>
      </c>
      <c r="BL118">
        <f>MAX(BG118:BJ118)</f>
        <v>0</v>
      </c>
      <c r="BM118">
        <f>MAX(BH118:BJ118)</f>
        <v>0</v>
      </c>
      <c r="BN118">
        <f>IF(AND(AN118=ReachLabel,BB118=1),AS118,0)</f>
        <v>0</v>
      </c>
      <c r="BO118">
        <f>IF(AND(AN118=MatchLabel,BB118=1),AS118,0)</f>
        <v>0</v>
      </c>
      <c r="BP118">
        <f>IF(AND(AN118=SafetyLabel,BB118=1),AS118,0)</f>
        <v>0</v>
      </c>
      <c r="BQ118">
        <f>IF(AND(AN118=SecureLabel,BB118=1),AS118,0)</f>
        <v>0</v>
      </c>
      <c r="BR118">
        <f>IF(AND(AN118=SureThingLabel,BB118=1),AS118,0)</f>
        <v>0</v>
      </c>
      <c r="BS118">
        <f>MAX(BN118:BR118)</f>
        <v>0</v>
      </c>
      <c r="BT118">
        <f>MAX(BO118:BR118)</f>
        <v>0</v>
      </c>
      <c r="BU118">
        <f>MAX(BP118:BR118)</f>
        <v>0</v>
      </c>
      <c r="BV118">
        <f>IF(ISNUMBER(AB118),INDEX(AllCollegeChicago, MATCH(N118,AllCollegeNCES,0))*BB118,0)</f>
        <v>0</v>
      </c>
      <c r="BW118">
        <f>IF(ISNUMBER(AB118),INDEX(AllCollegeMoneyCode, MATCH(N118,AllCollegeNCES,0)),"?")</f>
        <v>0</v>
      </c>
      <c r="BX118">
        <f>IF(OR(BW118="---",BW118="--",BW118="+/--",BW118="+/---"),1,0)</f>
        <v>0</v>
      </c>
      <c r="BY118">
        <f>BB118*AR118*AT118</f>
        <v>0</v>
      </c>
    </row>
    <row r="119" spans="1:77">
      <c r="A119" t="s">
        <v>96</v>
      </c>
      <c r="B119">
        <v>22489025</v>
      </c>
      <c r="C119" t="s">
        <v>237</v>
      </c>
      <c r="D119" t="s">
        <v>238</v>
      </c>
      <c r="E119" t="s">
        <v>446</v>
      </c>
      <c r="F119" t="s">
        <v>513</v>
      </c>
      <c r="G119" t="s">
        <v>448</v>
      </c>
      <c r="H119" t="s">
        <v>449</v>
      </c>
      <c r="I119" t="s">
        <v>450</v>
      </c>
      <c r="J119" t="s">
        <v>450</v>
      </c>
      <c r="K119">
        <v>0</v>
      </c>
      <c r="L119" t="s">
        <v>446</v>
      </c>
      <c r="M119" t="s">
        <v>446</v>
      </c>
      <c r="N119">
        <v>195526</v>
      </c>
      <c r="O119">
        <f>INDEX(Counselor,MATCH(B119,KidIDs,0))</f>
        <v>0</v>
      </c>
      <c r="P119">
        <f>INDEX(Advisors,MATCH(B119,KidIDs,0))</f>
        <v>0</v>
      </c>
      <c r="Q119">
        <f>INDEX(Cohort,MATCH(B119,KidIDs,0))</f>
        <v>0</v>
      </c>
      <c r="R119">
        <f>INDEX(AllCollegeBarrons,MATCH(N119,AllCollegeNCES,0))</f>
        <v>0</v>
      </c>
      <c r="S119">
        <f>INDEX(KidGPAs,MATCH(B119,KidIDs,0))</f>
        <v>0</v>
      </c>
      <c r="T119">
        <f>INDEX(KidSATs,MATCH(B119,KidIDs,0))</f>
        <v>0</v>
      </c>
      <c r="U119">
        <f>INDEX(Strats,MATCH(B119,KidIDs,0))</f>
        <v>0</v>
      </c>
      <c r="V119">
        <f>INDEX(KidRace,MATCH(B119,KidIDs,0))</f>
        <v>0</v>
      </c>
      <c r="W119">
        <f>IF(OR(V119="M",V119="I"),"H",IF(V119="P","A",V119))</f>
        <v>0</v>
      </c>
      <c r="X119">
        <f>INDEX(StudentTargets,MATCH(B119,KidIDs,0))</f>
        <v>0</v>
      </c>
      <c r="Y119">
        <f>INDEX(ReachStudentTargets,MATCH(B119,KidIDs,0))</f>
        <v>0</v>
      </c>
      <c r="Z119">
        <f>IF(OR(M119="Posse"),1,0)</f>
        <v>0</v>
      </c>
      <c r="AA119">
        <f>IF(ISNUMBER(INDEX(AllCollegeGR, MATCH(N119,AllCollegeNCES,0))),ROUND(INDEX(AllCollegeGR, MATCH(N119,AllCollegeNCES,0))+Z119*IF(INDEX(AllCollegeGR, MATCH(N119,AllCollegeNCES,0))&gt;0.7,(1-INDEX(AllCollegeGR, MATCH(N119,AllCollegeNCES,0)))/2,0.15),2),INDEX(AllCollegeGR, MATCH(N119,AllCollegeNCES,0)))</f>
        <v>0</v>
      </c>
      <c r="AB119">
        <f>IF(ISNUMBER(INDEX(AllCollegeAAHGR, MATCH(N119,AllCollegeNCES,0))),ROUND(INDEX(AllCollegeAAHGR, MATCH(N119,AllCollegeNCES,0))+Z119*IF(INDEX(AllCollegeAAHGR, MATCH(N119,AllCollegeNCES,0))&gt;0.7,(1-INDEX(AllCollegeAAHGR, MATCH(N119,AllCollegeNCES,0)))/2,0.15),2),INDEX(AllCollegeAAHGR, MATCH(N119,AllCollegeNCES,0)))</f>
        <v>0</v>
      </c>
      <c r="AC119">
        <f>IF(OR(W119="H",W119="B"),INDEX(AllCollegeSAT25, MATCH(N119,AllCollegeNCES,0)),INDEX(AllCollegeSAT50, MATCH(N119,AllCollegeNCES,0)))</f>
        <v>0</v>
      </c>
      <c r="AD119">
        <f>INDEX(CustomWeightsGPA,MATCH(W119&amp;":"&amp;N119,CustomWeightsIndex,0))</f>
        <v>0</v>
      </c>
      <c r="AE119">
        <f>INDEX(CustomWeightsSAT,MATCH(W119&amp;":"&amp;N119,CustomWeightsIndex,0))</f>
        <v>0</v>
      </c>
      <c r="AF119">
        <f>INDEX(CustomWeightsIntercept,MATCH(W119&amp;":"&amp;N119,CustomWeightsIndex,0))</f>
        <v>0</v>
      </c>
      <c r="AG119">
        <f>AD119*S119+AE119*T119+AF119</f>
        <v>0</v>
      </c>
      <c r="AH119">
        <f>INDEX(CoefficientsGPA,MATCH(W119&amp;":"&amp;R119,CoefficientsIndex,0))</f>
        <v>0</v>
      </c>
      <c r="AI119">
        <f>INDEX(CoefficientsSAT,MATCH(W119&amp;":"&amp;R119,CoefficientsIndex,0))</f>
        <v>0</v>
      </c>
      <c r="AJ119">
        <f>INDEX(CoefficientsIntercept,MATCH(W119&amp;":"&amp;R119,CoefficientsIndex,0))</f>
        <v>0</v>
      </c>
      <c r="AK119">
        <f>AH119*S119+(T119-AC119)*AI119+AJ119</f>
        <v>0</v>
      </c>
      <c r="AL119">
        <f>IF(ISNUMBER(AG119),AG119,AK119)</f>
        <v>0</v>
      </c>
      <c r="AM119">
        <f>IF(ISNUMBER(AL119),IF(ISNUMBER(AH119),IF(AND(AH119=1,AI119=1,AJ119=1),100,MIN(99,ROUND(100*EXP(AL119)/(1+EXP(AL119)),2))),MIN(99,ROUND(100*EXP(AL119)/(1+EXP(AL119)),2))),IF(ISTEXT(R119),IF(LEFT(R119,1)="2",100,"N/A"),"N/A"))</f>
        <v>0</v>
      </c>
      <c r="AN119">
        <f>IF(ISNUMBER(AM119),IF(AM119&gt;=99,IF(OR(U119=10,U119=11),MatchLabel,SureThingLabel),IF(AM119&gt;=95,SecureLabel,IF(AM119&gt;=80,SafetyLabel,IF(AM119&gt;=50,MatchLabel,IF(AM119&gt;=20,ReachLabel,IF(AM119&gt;=10,LongshotLabel,HailMaryLabel)))))),"Other")</f>
        <v>0</v>
      </c>
      <c r="AO119">
        <f>IF(OR(I119="accepted",I119="cond. accept",I119="summer admit"),IF(J119="yes","CHOICE!","Accepted!"),IF(I119="guar. transfer","Guar. Xfer",IF(I119="denied","Denied",IF(K119=1,"Waitlist",IF(L119=1,"Deferred",IF(G119="pending","Pending",IF(OR(G119="initial materials submitted",G119="mid-year submitted",G119="final submitted"),"Submitted",IF(H119="interest","Interest","?"))))))))</f>
        <v>0</v>
      </c>
      <c r="AP119">
        <f>IF(OR(AN119=ReachLabel,AN119=LongshotLabel,AN119=HailMaryLabel),1,0)</f>
        <v>0</v>
      </c>
      <c r="AQ119">
        <f>IF(OR(AP119=1,AN119=MatchLabel),1,0)</f>
        <v>0</v>
      </c>
      <c r="AR119">
        <f>IF(OR(AN119=MatchLabel,AN119=SafetyLabel,AN119=SecureLabel,AN119=SureThingLabel),1,0)</f>
        <v>0</v>
      </c>
      <c r="AS119">
        <f>IF(OR(W119="H",W119="B",W119="I",W119="M"),IF(ISNUMBER(AB119),ROUND(AB119,2),0),IF(ISNUMBER(AA119),ROUND(AA119,2),0))</f>
        <v>0</v>
      </c>
      <c r="AT119">
        <f>IF(AS119&gt;=X119,1,0)</f>
        <v>0</v>
      </c>
      <c r="AU119">
        <f>IF(AS119&gt;=Y119,1,0)</f>
        <v>0</v>
      </c>
      <c r="AV119">
        <f>IF(AS119&lt;(X119-0.10),1,0)</f>
        <v>0</v>
      </c>
      <c r="AW119">
        <f>1-AM119/100</f>
        <v>0</v>
      </c>
      <c r="AX119">
        <f>IF(AQ119=1,AW119,1)</f>
        <v>0</v>
      </c>
      <c r="AY119">
        <f>IF(AP119=1,AW119,1)</f>
        <v>0</v>
      </c>
      <c r="AZ119">
        <f>IF(AND(AT119=1,ISNUMBER(AW119)),$AW119,1)</f>
        <v>0</v>
      </c>
      <c r="BA119">
        <f>IF(AND(AU119=1,ISNUMBER(AW119)),$AW119,1)</f>
        <v>0</v>
      </c>
      <c r="BB119">
        <f>IF(ISNUMBER(AB119),INDEX(AllCollegeMoney, MATCH(N119,AllCollegeNCES,0)),0)</f>
        <v>0</v>
      </c>
      <c r="BC119">
        <f>IF(AND(AT119=1,ISNUMBER(AW119),BB119=1),$AW119,1)</f>
        <v>0</v>
      </c>
      <c r="BD119">
        <f>IF(AND(AU119=1,ISNUMBER(AW119),BB119=1),$AW119,1)</f>
        <v>0</v>
      </c>
      <c r="BE119">
        <f>IF(ISNUMBER(AB119),INDEX(AllCollegeILPub, MATCH(N119,AllCollegeNCES,0)),0)</f>
        <v>0</v>
      </c>
      <c r="BF119">
        <f>IF(AN119=ReachLabel,AS119,0)</f>
        <v>0</v>
      </c>
      <c r="BG119">
        <f>IF(AN119=MatchLabel,AS119,0)</f>
        <v>0</v>
      </c>
      <c r="BH119">
        <f>IF(AN119=SafetyLabel,AS119,0)</f>
        <v>0</v>
      </c>
      <c r="BI119">
        <f>IF(AN119=SecureLabel,AS119,0)</f>
        <v>0</v>
      </c>
      <c r="BJ119">
        <f>IF(AN119=SureThingLabel,AS119,0)</f>
        <v>0</v>
      </c>
      <c r="BK119">
        <f>MAX(BF119:BJ119)</f>
        <v>0</v>
      </c>
      <c r="BL119">
        <f>MAX(BG119:BJ119)</f>
        <v>0</v>
      </c>
      <c r="BM119">
        <f>MAX(BH119:BJ119)</f>
        <v>0</v>
      </c>
      <c r="BN119">
        <f>IF(AND(AN119=ReachLabel,BB119=1),AS119,0)</f>
        <v>0</v>
      </c>
      <c r="BO119">
        <f>IF(AND(AN119=MatchLabel,BB119=1),AS119,0)</f>
        <v>0</v>
      </c>
      <c r="BP119">
        <f>IF(AND(AN119=SafetyLabel,BB119=1),AS119,0)</f>
        <v>0</v>
      </c>
      <c r="BQ119">
        <f>IF(AND(AN119=SecureLabel,BB119=1),AS119,0)</f>
        <v>0</v>
      </c>
      <c r="BR119">
        <f>IF(AND(AN119=SureThingLabel,BB119=1),AS119,0)</f>
        <v>0</v>
      </c>
      <c r="BS119">
        <f>MAX(BN119:BR119)</f>
        <v>0</v>
      </c>
      <c r="BT119">
        <f>MAX(BO119:BR119)</f>
        <v>0</v>
      </c>
      <c r="BU119">
        <f>MAX(BP119:BR119)</f>
        <v>0</v>
      </c>
      <c r="BV119">
        <f>IF(ISNUMBER(AB119),INDEX(AllCollegeChicago, MATCH(N119,AllCollegeNCES,0))*BB119,0)</f>
        <v>0</v>
      </c>
      <c r="BW119">
        <f>IF(ISNUMBER(AB119),INDEX(AllCollegeMoneyCode, MATCH(N119,AllCollegeNCES,0)),"?")</f>
        <v>0</v>
      </c>
      <c r="BX119">
        <f>IF(OR(BW119="---",BW119="--",BW119="+/--",BW119="+/---"),1,0)</f>
        <v>0</v>
      </c>
      <c r="BY119">
        <f>BB119*AR119*AT119</f>
        <v>0</v>
      </c>
    </row>
    <row r="120" spans="1:77">
      <c r="A120" t="s">
        <v>96</v>
      </c>
      <c r="B120">
        <v>22489025</v>
      </c>
      <c r="C120" t="s">
        <v>237</v>
      </c>
      <c r="D120" t="s">
        <v>238</v>
      </c>
      <c r="E120" t="s">
        <v>446</v>
      </c>
      <c r="F120" t="s">
        <v>471</v>
      </c>
      <c r="G120" t="s">
        <v>448</v>
      </c>
      <c r="H120" t="s">
        <v>449</v>
      </c>
      <c r="I120" t="s">
        <v>450</v>
      </c>
      <c r="J120" t="s">
        <v>450</v>
      </c>
      <c r="K120">
        <v>0</v>
      </c>
      <c r="L120" t="s">
        <v>446</v>
      </c>
      <c r="M120" t="s">
        <v>446</v>
      </c>
      <c r="N120">
        <v>202523</v>
      </c>
      <c r="O120">
        <f>INDEX(Counselor,MATCH(B120,KidIDs,0))</f>
        <v>0</v>
      </c>
      <c r="P120">
        <f>INDEX(Advisors,MATCH(B120,KidIDs,0))</f>
        <v>0</v>
      </c>
      <c r="Q120">
        <f>INDEX(Cohort,MATCH(B120,KidIDs,0))</f>
        <v>0</v>
      </c>
      <c r="R120">
        <f>INDEX(AllCollegeBarrons,MATCH(N120,AllCollegeNCES,0))</f>
        <v>0</v>
      </c>
      <c r="S120">
        <f>INDEX(KidGPAs,MATCH(B120,KidIDs,0))</f>
        <v>0</v>
      </c>
      <c r="T120">
        <f>INDEX(KidSATs,MATCH(B120,KidIDs,0))</f>
        <v>0</v>
      </c>
      <c r="U120">
        <f>INDEX(Strats,MATCH(B120,KidIDs,0))</f>
        <v>0</v>
      </c>
      <c r="V120">
        <f>INDEX(KidRace,MATCH(B120,KidIDs,0))</f>
        <v>0</v>
      </c>
      <c r="W120">
        <f>IF(OR(V120="M",V120="I"),"H",IF(V120="P","A",V120))</f>
        <v>0</v>
      </c>
      <c r="X120">
        <f>INDEX(StudentTargets,MATCH(B120,KidIDs,0))</f>
        <v>0</v>
      </c>
      <c r="Y120">
        <f>INDEX(ReachStudentTargets,MATCH(B120,KidIDs,0))</f>
        <v>0</v>
      </c>
      <c r="Z120">
        <f>IF(OR(M120="Posse"),1,0)</f>
        <v>0</v>
      </c>
      <c r="AA120">
        <f>IF(ISNUMBER(INDEX(AllCollegeGR, MATCH(N120,AllCollegeNCES,0))),ROUND(INDEX(AllCollegeGR, MATCH(N120,AllCollegeNCES,0))+Z120*IF(INDEX(AllCollegeGR, MATCH(N120,AllCollegeNCES,0))&gt;0.7,(1-INDEX(AllCollegeGR, MATCH(N120,AllCollegeNCES,0)))/2,0.15),2),INDEX(AllCollegeGR, MATCH(N120,AllCollegeNCES,0)))</f>
        <v>0</v>
      </c>
      <c r="AB120">
        <f>IF(ISNUMBER(INDEX(AllCollegeAAHGR, MATCH(N120,AllCollegeNCES,0))),ROUND(INDEX(AllCollegeAAHGR, MATCH(N120,AllCollegeNCES,0))+Z120*IF(INDEX(AllCollegeAAHGR, MATCH(N120,AllCollegeNCES,0))&gt;0.7,(1-INDEX(AllCollegeAAHGR, MATCH(N120,AllCollegeNCES,0)))/2,0.15),2),INDEX(AllCollegeAAHGR, MATCH(N120,AllCollegeNCES,0)))</f>
        <v>0</v>
      </c>
      <c r="AC120">
        <f>IF(OR(W120="H",W120="B"),INDEX(AllCollegeSAT25, MATCH(N120,AllCollegeNCES,0)),INDEX(AllCollegeSAT50, MATCH(N120,AllCollegeNCES,0)))</f>
        <v>0</v>
      </c>
      <c r="AD120">
        <f>INDEX(CustomWeightsGPA,MATCH(W120&amp;":"&amp;N120,CustomWeightsIndex,0))</f>
        <v>0</v>
      </c>
      <c r="AE120">
        <f>INDEX(CustomWeightsSAT,MATCH(W120&amp;":"&amp;N120,CustomWeightsIndex,0))</f>
        <v>0</v>
      </c>
      <c r="AF120">
        <f>INDEX(CustomWeightsIntercept,MATCH(W120&amp;":"&amp;N120,CustomWeightsIndex,0))</f>
        <v>0</v>
      </c>
      <c r="AG120">
        <f>AD120*S120+AE120*T120+AF120</f>
        <v>0</v>
      </c>
      <c r="AH120">
        <f>INDEX(CoefficientsGPA,MATCH(W120&amp;":"&amp;R120,CoefficientsIndex,0))</f>
        <v>0</v>
      </c>
      <c r="AI120">
        <f>INDEX(CoefficientsSAT,MATCH(W120&amp;":"&amp;R120,CoefficientsIndex,0))</f>
        <v>0</v>
      </c>
      <c r="AJ120">
        <f>INDEX(CoefficientsIntercept,MATCH(W120&amp;":"&amp;R120,CoefficientsIndex,0))</f>
        <v>0</v>
      </c>
      <c r="AK120">
        <f>AH120*S120+(T120-AC120)*AI120+AJ120</f>
        <v>0</v>
      </c>
      <c r="AL120">
        <f>IF(ISNUMBER(AG120),AG120,AK120)</f>
        <v>0</v>
      </c>
      <c r="AM120">
        <f>IF(ISNUMBER(AL120),IF(ISNUMBER(AH120),IF(AND(AH120=1,AI120=1,AJ120=1),100,MIN(99,ROUND(100*EXP(AL120)/(1+EXP(AL120)),2))),MIN(99,ROUND(100*EXP(AL120)/(1+EXP(AL120)),2))),IF(ISTEXT(R120),IF(LEFT(R120,1)="2",100,"N/A"),"N/A"))</f>
        <v>0</v>
      </c>
      <c r="AN120">
        <f>IF(ISNUMBER(AM120),IF(AM120&gt;=99,IF(OR(U120=10,U120=11),MatchLabel,SureThingLabel),IF(AM120&gt;=95,SecureLabel,IF(AM120&gt;=80,SafetyLabel,IF(AM120&gt;=50,MatchLabel,IF(AM120&gt;=20,ReachLabel,IF(AM120&gt;=10,LongshotLabel,HailMaryLabel)))))),"Other")</f>
        <v>0</v>
      </c>
      <c r="AO120">
        <f>IF(OR(I120="accepted",I120="cond. accept",I120="summer admit"),IF(J120="yes","CHOICE!","Accepted!"),IF(I120="guar. transfer","Guar. Xfer",IF(I120="denied","Denied",IF(K120=1,"Waitlist",IF(L120=1,"Deferred",IF(G120="pending","Pending",IF(OR(G120="initial materials submitted",G120="mid-year submitted",G120="final submitted"),"Submitted",IF(H120="interest","Interest","?"))))))))</f>
        <v>0</v>
      </c>
      <c r="AP120">
        <f>IF(OR(AN120=ReachLabel,AN120=LongshotLabel,AN120=HailMaryLabel),1,0)</f>
        <v>0</v>
      </c>
      <c r="AQ120">
        <f>IF(OR(AP120=1,AN120=MatchLabel),1,0)</f>
        <v>0</v>
      </c>
      <c r="AR120">
        <f>IF(OR(AN120=MatchLabel,AN120=SafetyLabel,AN120=SecureLabel,AN120=SureThingLabel),1,0)</f>
        <v>0</v>
      </c>
      <c r="AS120">
        <f>IF(OR(W120="H",W120="B",W120="I",W120="M"),IF(ISNUMBER(AB120),ROUND(AB120,2),0),IF(ISNUMBER(AA120),ROUND(AA120,2),0))</f>
        <v>0</v>
      </c>
      <c r="AT120">
        <f>IF(AS120&gt;=X120,1,0)</f>
        <v>0</v>
      </c>
      <c r="AU120">
        <f>IF(AS120&gt;=Y120,1,0)</f>
        <v>0</v>
      </c>
      <c r="AV120">
        <f>IF(AS120&lt;(X120-0.10),1,0)</f>
        <v>0</v>
      </c>
      <c r="AW120">
        <f>1-AM120/100</f>
        <v>0</v>
      </c>
      <c r="AX120">
        <f>IF(AQ120=1,AW120,1)</f>
        <v>0</v>
      </c>
      <c r="AY120">
        <f>IF(AP120=1,AW120,1)</f>
        <v>0</v>
      </c>
      <c r="AZ120">
        <f>IF(AND(AT120=1,ISNUMBER(AW120)),$AW120,1)</f>
        <v>0</v>
      </c>
      <c r="BA120">
        <f>IF(AND(AU120=1,ISNUMBER(AW120)),$AW120,1)</f>
        <v>0</v>
      </c>
      <c r="BB120">
        <f>IF(ISNUMBER(AB120),INDEX(AllCollegeMoney, MATCH(N120,AllCollegeNCES,0)),0)</f>
        <v>0</v>
      </c>
      <c r="BC120">
        <f>IF(AND(AT120=1,ISNUMBER(AW120),BB120=1),$AW120,1)</f>
        <v>0</v>
      </c>
      <c r="BD120">
        <f>IF(AND(AU120=1,ISNUMBER(AW120),BB120=1),$AW120,1)</f>
        <v>0</v>
      </c>
      <c r="BE120">
        <f>IF(ISNUMBER(AB120),INDEX(AllCollegeILPub, MATCH(N120,AllCollegeNCES,0)),0)</f>
        <v>0</v>
      </c>
      <c r="BF120">
        <f>IF(AN120=ReachLabel,AS120,0)</f>
        <v>0</v>
      </c>
      <c r="BG120">
        <f>IF(AN120=MatchLabel,AS120,0)</f>
        <v>0</v>
      </c>
      <c r="BH120">
        <f>IF(AN120=SafetyLabel,AS120,0)</f>
        <v>0</v>
      </c>
      <c r="BI120">
        <f>IF(AN120=SecureLabel,AS120,0)</f>
        <v>0</v>
      </c>
      <c r="BJ120">
        <f>IF(AN120=SureThingLabel,AS120,0)</f>
        <v>0</v>
      </c>
      <c r="BK120">
        <f>MAX(BF120:BJ120)</f>
        <v>0</v>
      </c>
      <c r="BL120">
        <f>MAX(BG120:BJ120)</f>
        <v>0</v>
      </c>
      <c r="BM120">
        <f>MAX(BH120:BJ120)</f>
        <v>0</v>
      </c>
      <c r="BN120">
        <f>IF(AND(AN120=ReachLabel,BB120=1),AS120,0)</f>
        <v>0</v>
      </c>
      <c r="BO120">
        <f>IF(AND(AN120=MatchLabel,BB120=1),AS120,0)</f>
        <v>0</v>
      </c>
      <c r="BP120">
        <f>IF(AND(AN120=SafetyLabel,BB120=1),AS120,0)</f>
        <v>0</v>
      </c>
      <c r="BQ120">
        <f>IF(AND(AN120=SecureLabel,BB120=1),AS120,0)</f>
        <v>0</v>
      </c>
      <c r="BR120">
        <f>IF(AND(AN120=SureThingLabel,BB120=1),AS120,0)</f>
        <v>0</v>
      </c>
      <c r="BS120">
        <f>MAX(BN120:BR120)</f>
        <v>0</v>
      </c>
      <c r="BT120">
        <f>MAX(BO120:BR120)</f>
        <v>0</v>
      </c>
      <c r="BU120">
        <f>MAX(BP120:BR120)</f>
        <v>0</v>
      </c>
      <c r="BV120">
        <f>IF(ISNUMBER(AB120),INDEX(AllCollegeChicago, MATCH(N120,AllCollegeNCES,0))*BB120,0)</f>
        <v>0</v>
      </c>
      <c r="BW120">
        <f>IF(ISNUMBER(AB120),INDEX(AllCollegeMoneyCode, MATCH(N120,AllCollegeNCES,0)),"?")</f>
        <v>0</v>
      </c>
      <c r="BX120">
        <f>IF(OR(BW120="---",BW120="--",BW120="+/--",BW120="+/---"),1,0)</f>
        <v>0</v>
      </c>
      <c r="BY120">
        <f>BB120*AR120*AT120</f>
        <v>0</v>
      </c>
    </row>
    <row r="121" spans="1:77">
      <c r="A121" t="s">
        <v>96</v>
      </c>
      <c r="B121">
        <v>22489025</v>
      </c>
      <c r="C121" t="s">
        <v>237</v>
      </c>
      <c r="D121" t="s">
        <v>238</v>
      </c>
      <c r="E121" t="s">
        <v>446</v>
      </c>
      <c r="F121" t="s">
        <v>486</v>
      </c>
      <c r="G121" t="s">
        <v>448</v>
      </c>
      <c r="H121" t="s">
        <v>449</v>
      </c>
      <c r="I121" t="s">
        <v>450</v>
      </c>
      <c r="J121" t="s">
        <v>450</v>
      </c>
      <c r="K121">
        <v>0</v>
      </c>
      <c r="L121" t="s">
        <v>446</v>
      </c>
      <c r="M121" t="s">
        <v>446</v>
      </c>
      <c r="N121">
        <v>206589</v>
      </c>
      <c r="O121">
        <f>INDEX(Counselor,MATCH(B121,KidIDs,0))</f>
        <v>0</v>
      </c>
      <c r="P121">
        <f>INDEX(Advisors,MATCH(B121,KidIDs,0))</f>
        <v>0</v>
      </c>
      <c r="Q121">
        <f>INDEX(Cohort,MATCH(B121,KidIDs,0))</f>
        <v>0</v>
      </c>
      <c r="R121">
        <f>INDEX(AllCollegeBarrons,MATCH(N121,AllCollegeNCES,0))</f>
        <v>0</v>
      </c>
      <c r="S121">
        <f>INDEX(KidGPAs,MATCH(B121,KidIDs,0))</f>
        <v>0</v>
      </c>
      <c r="T121">
        <f>INDEX(KidSATs,MATCH(B121,KidIDs,0))</f>
        <v>0</v>
      </c>
      <c r="U121">
        <f>INDEX(Strats,MATCH(B121,KidIDs,0))</f>
        <v>0</v>
      </c>
      <c r="V121">
        <f>INDEX(KidRace,MATCH(B121,KidIDs,0))</f>
        <v>0</v>
      </c>
      <c r="W121">
        <f>IF(OR(V121="M",V121="I"),"H",IF(V121="P","A",V121))</f>
        <v>0</v>
      </c>
      <c r="X121">
        <f>INDEX(StudentTargets,MATCH(B121,KidIDs,0))</f>
        <v>0</v>
      </c>
      <c r="Y121">
        <f>INDEX(ReachStudentTargets,MATCH(B121,KidIDs,0))</f>
        <v>0</v>
      </c>
      <c r="Z121">
        <f>IF(OR(M121="Posse"),1,0)</f>
        <v>0</v>
      </c>
      <c r="AA121">
        <f>IF(ISNUMBER(INDEX(AllCollegeGR, MATCH(N121,AllCollegeNCES,0))),ROUND(INDEX(AllCollegeGR, MATCH(N121,AllCollegeNCES,0))+Z121*IF(INDEX(AllCollegeGR, MATCH(N121,AllCollegeNCES,0))&gt;0.7,(1-INDEX(AllCollegeGR, MATCH(N121,AllCollegeNCES,0)))/2,0.15),2),INDEX(AllCollegeGR, MATCH(N121,AllCollegeNCES,0)))</f>
        <v>0</v>
      </c>
      <c r="AB121">
        <f>IF(ISNUMBER(INDEX(AllCollegeAAHGR, MATCH(N121,AllCollegeNCES,0))),ROUND(INDEX(AllCollegeAAHGR, MATCH(N121,AllCollegeNCES,0))+Z121*IF(INDEX(AllCollegeAAHGR, MATCH(N121,AllCollegeNCES,0))&gt;0.7,(1-INDEX(AllCollegeAAHGR, MATCH(N121,AllCollegeNCES,0)))/2,0.15),2),INDEX(AllCollegeAAHGR, MATCH(N121,AllCollegeNCES,0)))</f>
        <v>0</v>
      </c>
      <c r="AC121">
        <f>IF(OR(W121="H",W121="B"),INDEX(AllCollegeSAT25, MATCH(N121,AllCollegeNCES,0)),INDEX(AllCollegeSAT50, MATCH(N121,AllCollegeNCES,0)))</f>
        <v>0</v>
      </c>
      <c r="AD121">
        <f>INDEX(CustomWeightsGPA,MATCH(W121&amp;":"&amp;N121,CustomWeightsIndex,0))</f>
        <v>0</v>
      </c>
      <c r="AE121">
        <f>INDEX(CustomWeightsSAT,MATCH(W121&amp;":"&amp;N121,CustomWeightsIndex,0))</f>
        <v>0</v>
      </c>
      <c r="AF121">
        <f>INDEX(CustomWeightsIntercept,MATCH(W121&amp;":"&amp;N121,CustomWeightsIndex,0))</f>
        <v>0</v>
      </c>
      <c r="AG121">
        <f>AD121*S121+AE121*T121+AF121</f>
        <v>0</v>
      </c>
      <c r="AH121">
        <f>INDEX(CoefficientsGPA,MATCH(W121&amp;":"&amp;R121,CoefficientsIndex,0))</f>
        <v>0</v>
      </c>
      <c r="AI121">
        <f>INDEX(CoefficientsSAT,MATCH(W121&amp;":"&amp;R121,CoefficientsIndex,0))</f>
        <v>0</v>
      </c>
      <c r="AJ121">
        <f>INDEX(CoefficientsIntercept,MATCH(W121&amp;":"&amp;R121,CoefficientsIndex,0))</f>
        <v>0</v>
      </c>
      <c r="AK121">
        <f>AH121*S121+(T121-AC121)*AI121+AJ121</f>
        <v>0</v>
      </c>
      <c r="AL121">
        <f>IF(ISNUMBER(AG121),AG121,AK121)</f>
        <v>0</v>
      </c>
      <c r="AM121">
        <f>IF(ISNUMBER(AL121),IF(ISNUMBER(AH121),IF(AND(AH121=1,AI121=1,AJ121=1),100,MIN(99,ROUND(100*EXP(AL121)/(1+EXP(AL121)),2))),MIN(99,ROUND(100*EXP(AL121)/(1+EXP(AL121)),2))),IF(ISTEXT(R121),IF(LEFT(R121,1)="2",100,"N/A"),"N/A"))</f>
        <v>0</v>
      </c>
      <c r="AN121">
        <f>IF(ISNUMBER(AM121),IF(AM121&gt;=99,IF(OR(U121=10,U121=11),MatchLabel,SureThingLabel),IF(AM121&gt;=95,SecureLabel,IF(AM121&gt;=80,SafetyLabel,IF(AM121&gt;=50,MatchLabel,IF(AM121&gt;=20,ReachLabel,IF(AM121&gt;=10,LongshotLabel,HailMaryLabel)))))),"Other")</f>
        <v>0</v>
      </c>
      <c r="AO121">
        <f>IF(OR(I121="accepted",I121="cond. accept",I121="summer admit"),IF(J121="yes","CHOICE!","Accepted!"),IF(I121="guar. transfer","Guar. Xfer",IF(I121="denied","Denied",IF(K121=1,"Waitlist",IF(L121=1,"Deferred",IF(G121="pending","Pending",IF(OR(G121="initial materials submitted",G121="mid-year submitted",G121="final submitted"),"Submitted",IF(H121="interest","Interest","?"))))))))</f>
        <v>0</v>
      </c>
      <c r="AP121">
        <f>IF(OR(AN121=ReachLabel,AN121=LongshotLabel,AN121=HailMaryLabel),1,0)</f>
        <v>0</v>
      </c>
      <c r="AQ121">
        <f>IF(OR(AP121=1,AN121=MatchLabel),1,0)</f>
        <v>0</v>
      </c>
      <c r="AR121">
        <f>IF(OR(AN121=MatchLabel,AN121=SafetyLabel,AN121=SecureLabel,AN121=SureThingLabel),1,0)</f>
        <v>0</v>
      </c>
      <c r="AS121">
        <f>IF(OR(W121="H",W121="B",W121="I",W121="M"),IF(ISNUMBER(AB121),ROUND(AB121,2),0),IF(ISNUMBER(AA121),ROUND(AA121,2),0))</f>
        <v>0</v>
      </c>
      <c r="AT121">
        <f>IF(AS121&gt;=X121,1,0)</f>
        <v>0</v>
      </c>
      <c r="AU121">
        <f>IF(AS121&gt;=Y121,1,0)</f>
        <v>0</v>
      </c>
      <c r="AV121">
        <f>IF(AS121&lt;(X121-0.10),1,0)</f>
        <v>0</v>
      </c>
      <c r="AW121">
        <f>1-AM121/100</f>
        <v>0</v>
      </c>
      <c r="AX121">
        <f>IF(AQ121=1,AW121,1)</f>
        <v>0</v>
      </c>
      <c r="AY121">
        <f>IF(AP121=1,AW121,1)</f>
        <v>0</v>
      </c>
      <c r="AZ121">
        <f>IF(AND(AT121=1,ISNUMBER(AW121)),$AW121,1)</f>
        <v>0</v>
      </c>
      <c r="BA121">
        <f>IF(AND(AU121=1,ISNUMBER(AW121)),$AW121,1)</f>
        <v>0</v>
      </c>
      <c r="BB121">
        <f>IF(ISNUMBER(AB121),INDEX(AllCollegeMoney, MATCH(N121,AllCollegeNCES,0)),0)</f>
        <v>0</v>
      </c>
      <c r="BC121">
        <f>IF(AND(AT121=1,ISNUMBER(AW121),BB121=1),$AW121,1)</f>
        <v>0</v>
      </c>
      <c r="BD121">
        <f>IF(AND(AU121=1,ISNUMBER(AW121),BB121=1),$AW121,1)</f>
        <v>0</v>
      </c>
      <c r="BE121">
        <f>IF(ISNUMBER(AB121),INDEX(AllCollegeILPub, MATCH(N121,AllCollegeNCES,0)),0)</f>
        <v>0</v>
      </c>
      <c r="BF121">
        <f>IF(AN121=ReachLabel,AS121,0)</f>
        <v>0</v>
      </c>
      <c r="BG121">
        <f>IF(AN121=MatchLabel,AS121,0)</f>
        <v>0</v>
      </c>
      <c r="BH121">
        <f>IF(AN121=SafetyLabel,AS121,0)</f>
        <v>0</v>
      </c>
      <c r="BI121">
        <f>IF(AN121=SecureLabel,AS121,0)</f>
        <v>0</v>
      </c>
      <c r="BJ121">
        <f>IF(AN121=SureThingLabel,AS121,0)</f>
        <v>0</v>
      </c>
      <c r="BK121">
        <f>MAX(BF121:BJ121)</f>
        <v>0</v>
      </c>
      <c r="BL121">
        <f>MAX(BG121:BJ121)</f>
        <v>0</v>
      </c>
      <c r="BM121">
        <f>MAX(BH121:BJ121)</f>
        <v>0</v>
      </c>
      <c r="BN121">
        <f>IF(AND(AN121=ReachLabel,BB121=1),AS121,0)</f>
        <v>0</v>
      </c>
      <c r="BO121">
        <f>IF(AND(AN121=MatchLabel,BB121=1),AS121,0)</f>
        <v>0</v>
      </c>
      <c r="BP121">
        <f>IF(AND(AN121=SafetyLabel,BB121=1),AS121,0)</f>
        <v>0</v>
      </c>
      <c r="BQ121">
        <f>IF(AND(AN121=SecureLabel,BB121=1),AS121,0)</f>
        <v>0</v>
      </c>
      <c r="BR121">
        <f>IF(AND(AN121=SureThingLabel,BB121=1),AS121,0)</f>
        <v>0</v>
      </c>
      <c r="BS121">
        <f>MAX(BN121:BR121)</f>
        <v>0</v>
      </c>
      <c r="BT121">
        <f>MAX(BO121:BR121)</f>
        <v>0</v>
      </c>
      <c r="BU121">
        <f>MAX(BP121:BR121)</f>
        <v>0</v>
      </c>
      <c r="BV121">
        <f>IF(ISNUMBER(AB121),INDEX(AllCollegeChicago, MATCH(N121,AllCollegeNCES,0))*BB121,0)</f>
        <v>0</v>
      </c>
      <c r="BW121">
        <f>IF(ISNUMBER(AB121),INDEX(AllCollegeMoneyCode, MATCH(N121,AllCollegeNCES,0)),"?")</f>
        <v>0</v>
      </c>
      <c r="BX121">
        <f>IF(OR(BW121="---",BW121="--",BW121="+/--",BW121="+/---"),1,0)</f>
        <v>0</v>
      </c>
      <c r="BY121">
        <f>BB121*AR121*AT121</f>
        <v>0</v>
      </c>
    </row>
    <row r="122" spans="1:77">
      <c r="A122" t="s">
        <v>96</v>
      </c>
      <c r="B122">
        <v>22489025</v>
      </c>
      <c r="C122" t="s">
        <v>237</v>
      </c>
      <c r="D122" t="s">
        <v>238</v>
      </c>
      <c r="E122" t="s">
        <v>446</v>
      </c>
      <c r="F122" t="s">
        <v>514</v>
      </c>
      <c r="G122" t="s">
        <v>448</v>
      </c>
      <c r="H122" t="s">
        <v>449</v>
      </c>
      <c r="I122" t="s">
        <v>450</v>
      </c>
      <c r="J122" t="s">
        <v>450</v>
      </c>
      <c r="K122">
        <v>0</v>
      </c>
      <c r="L122" t="s">
        <v>446</v>
      </c>
      <c r="M122" t="s">
        <v>446</v>
      </c>
      <c r="N122">
        <v>131520</v>
      </c>
      <c r="O122">
        <f>INDEX(Counselor,MATCH(B122,KidIDs,0))</f>
        <v>0</v>
      </c>
      <c r="P122">
        <f>INDEX(Advisors,MATCH(B122,KidIDs,0))</f>
        <v>0</v>
      </c>
      <c r="Q122">
        <f>INDEX(Cohort,MATCH(B122,KidIDs,0))</f>
        <v>0</v>
      </c>
      <c r="R122">
        <f>INDEX(AllCollegeBarrons,MATCH(N122,AllCollegeNCES,0))</f>
        <v>0</v>
      </c>
      <c r="S122">
        <f>INDEX(KidGPAs,MATCH(B122,KidIDs,0))</f>
        <v>0</v>
      </c>
      <c r="T122">
        <f>INDEX(KidSATs,MATCH(B122,KidIDs,0))</f>
        <v>0</v>
      </c>
      <c r="U122">
        <f>INDEX(Strats,MATCH(B122,KidIDs,0))</f>
        <v>0</v>
      </c>
      <c r="V122">
        <f>INDEX(KidRace,MATCH(B122,KidIDs,0))</f>
        <v>0</v>
      </c>
      <c r="W122">
        <f>IF(OR(V122="M",V122="I"),"H",IF(V122="P","A",V122))</f>
        <v>0</v>
      </c>
      <c r="X122">
        <f>INDEX(StudentTargets,MATCH(B122,KidIDs,0))</f>
        <v>0</v>
      </c>
      <c r="Y122">
        <f>INDEX(ReachStudentTargets,MATCH(B122,KidIDs,0))</f>
        <v>0</v>
      </c>
      <c r="Z122">
        <f>IF(OR(M122="Posse"),1,0)</f>
        <v>0</v>
      </c>
      <c r="AA122">
        <f>IF(ISNUMBER(INDEX(AllCollegeGR, MATCH(N122,AllCollegeNCES,0))),ROUND(INDEX(AllCollegeGR, MATCH(N122,AllCollegeNCES,0))+Z122*IF(INDEX(AllCollegeGR, MATCH(N122,AllCollegeNCES,0))&gt;0.7,(1-INDEX(AllCollegeGR, MATCH(N122,AllCollegeNCES,0)))/2,0.15),2),INDEX(AllCollegeGR, MATCH(N122,AllCollegeNCES,0)))</f>
        <v>0</v>
      </c>
      <c r="AB122">
        <f>IF(ISNUMBER(INDEX(AllCollegeAAHGR, MATCH(N122,AllCollegeNCES,0))),ROUND(INDEX(AllCollegeAAHGR, MATCH(N122,AllCollegeNCES,0))+Z122*IF(INDEX(AllCollegeAAHGR, MATCH(N122,AllCollegeNCES,0))&gt;0.7,(1-INDEX(AllCollegeAAHGR, MATCH(N122,AllCollegeNCES,0)))/2,0.15),2),INDEX(AllCollegeAAHGR, MATCH(N122,AllCollegeNCES,0)))</f>
        <v>0</v>
      </c>
      <c r="AC122">
        <f>IF(OR(W122="H",W122="B"),INDEX(AllCollegeSAT25, MATCH(N122,AllCollegeNCES,0)),INDEX(AllCollegeSAT50, MATCH(N122,AllCollegeNCES,0)))</f>
        <v>0</v>
      </c>
      <c r="AD122">
        <f>INDEX(CustomWeightsGPA,MATCH(W122&amp;":"&amp;N122,CustomWeightsIndex,0))</f>
        <v>0</v>
      </c>
      <c r="AE122">
        <f>INDEX(CustomWeightsSAT,MATCH(W122&amp;":"&amp;N122,CustomWeightsIndex,0))</f>
        <v>0</v>
      </c>
      <c r="AF122">
        <f>INDEX(CustomWeightsIntercept,MATCH(W122&amp;":"&amp;N122,CustomWeightsIndex,0))</f>
        <v>0</v>
      </c>
      <c r="AG122">
        <f>AD122*S122+AE122*T122+AF122</f>
        <v>0</v>
      </c>
      <c r="AH122">
        <f>INDEX(CoefficientsGPA,MATCH(W122&amp;":"&amp;R122,CoefficientsIndex,0))</f>
        <v>0</v>
      </c>
      <c r="AI122">
        <f>INDEX(CoefficientsSAT,MATCH(W122&amp;":"&amp;R122,CoefficientsIndex,0))</f>
        <v>0</v>
      </c>
      <c r="AJ122">
        <f>INDEX(CoefficientsIntercept,MATCH(W122&amp;":"&amp;R122,CoefficientsIndex,0))</f>
        <v>0</v>
      </c>
      <c r="AK122">
        <f>AH122*S122+(T122-AC122)*AI122+AJ122</f>
        <v>0</v>
      </c>
      <c r="AL122">
        <f>IF(ISNUMBER(AG122),AG122,AK122)</f>
        <v>0</v>
      </c>
      <c r="AM122">
        <f>IF(ISNUMBER(AL122),IF(ISNUMBER(AH122),IF(AND(AH122=1,AI122=1,AJ122=1),100,MIN(99,ROUND(100*EXP(AL122)/(1+EXP(AL122)),2))),MIN(99,ROUND(100*EXP(AL122)/(1+EXP(AL122)),2))),IF(ISTEXT(R122),IF(LEFT(R122,1)="2",100,"N/A"),"N/A"))</f>
        <v>0</v>
      </c>
      <c r="AN122">
        <f>IF(ISNUMBER(AM122),IF(AM122&gt;=99,IF(OR(U122=10,U122=11),MatchLabel,SureThingLabel),IF(AM122&gt;=95,SecureLabel,IF(AM122&gt;=80,SafetyLabel,IF(AM122&gt;=50,MatchLabel,IF(AM122&gt;=20,ReachLabel,IF(AM122&gt;=10,LongshotLabel,HailMaryLabel)))))),"Other")</f>
        <v>0</v>
      </c>
      <c r="AO122">
        <f>IF(OR(I122="accepted",I122="cond. accept",I122="summer admit"),IF(J122="yes","CHOICE!","Accepted!"),IF(I122="guar. transfer","Guar. Xfer",IF(I122="denied","Denied",IF(K122=1,"Waitlist",IF(L122=1,"Deferred",IF(G122="pending","Pending",IF(OR(G122="initial materials submitted",G122="mid-year submitted",G122="final submitted"),"Submitted",IF(H122="interest","Interest","?"))))))))</f>
        <v>0</v>
      </c>
      <c r="AP122">
        <f>IF(OR(AN122=ReachLabel,AN122=LongshotLabel,AN122=HailMaryLabel),1,0)</f>
        <v>0</v>
      </c>
      <c r="AQ122">
        <f>IF(OR(AP122=1,AN122=MatchLabel),1,0)</f>
        <v>0</v>
      </c>
      <c r="AR122">
        <f>IF(OR(AN122=MatchLabel,AN122=SafetyLabel,AN122=SecureLabel,AN122=SureThingLabel),1,0)</f>
        <v>0</v>
      </c>
      <c r="AS122">
        <f>IF(OR(W122="H",W122="B",W122="I",W122="M"),IF(ISNUMBER(AB122),ROUND(AB122,2),0),IF(ISNUMBER(AA122),ROUND(AA122,2),0))</f>
        <v>0</v>
      </c>
      <c r="AT122">
        <f>IF(AS122&gt;=X122,1,0)</f>
        <v>0</v>
      </c>
      <c r="AU122">
        <f>IF(AS122&gt;=Y122,1,0)</f>
        <v>0</v>
      </c>
      <c r="AV122">
        <f>IF(AS122&lt;(X122-0.10),1,0)</f>
        <v>0</v>
      </c>
      <c r="AW122">
        <f>1-AM122/100</f>
        <v>0</v>
      </c>
      <c r="AX122">
        <f>IF(AQ122=1,AW122,1)</f>
        <v>0</v>
      </c>
      <c r="AY122">
        <f>IF(AP122=1,AW122,1)</f>
        <v>0</v>
      </c>
      <c r="AZ122">
        <f>IF(AND(AT122=1,ISNUMBER(AW122)),$AW122,1)</f>
        <v>0</v>
      </c>
      <c r="BA122">
        <f>IF(AND(AU122=1,ISNUMBER(AW122)),$AW122,1)</f>
        <v>0</v>
      </c>
      <c r="BB122">
        <f>IF(ISNUMBER(AB122),INDEX(AllCollegeMoney, MATCH(N122,AllCollegeNCES,0)),0)</f>
        <v>0</v>
      </c>
      <c r="BC122">
        <f>IF(AND(AT122=1,ISNUMBER(AW122),BB122=1),$AW122,1)</f>
        <v>0</v>
      </c>
      <c r="BD122">
        <f>IF(AND(AU122=1,ISNUMBER(AW122),BB122=1),$AW122,1)</f>
        <v>0</v>
      </c>
      <c r="BE122">
        <f>IF(ISNUMBER(AB122),INDEX(AllCollegeILPub, MATCH(N122,AllCollegeNCES,0)),0)</f>
        <v>0</v>
      </c>
      <c r="BF122">
        <f>IF(AN122=ReachLabel,AS122,0)</f>
        <v>0</v>
      </c>
      <c r="BG122">
        <f>IF(AN122=MatchLabel,AS122,0)</f>
        <v>0</v>
      </c>
      <c r="BH122">
        <f>IF(AN122=SafetyLabel,AS122,0)</f>
        <v>0</v>
      </c>
      <c r="BI122">
        <f>IF(AN122=SecureLabel,AS122,0)</f>
        <v>0</v>
      </c>
      <c r="BJ122">
        <f>IF(AN122=SureThingLabel,AS122,0)</f>
        <v>0</v>
      </c>
      <c r="BK122">
        <f>MAX(BF122:BJ122)</f>
        <v>0</v>
      </c>
      <c r="BL122">
        <f>MAX(BG122:BJ122)</f>
        <v>0</v>
      </c>
      <c r="BM122">
        <f>MAX(BH122:BJ122)</f>
        <v>0</v>
      </c>
      <c r="BN122">
        <f>IF(AND(AN122=ReachLabel,BB122=1),AS122,0)</f>
        <v>0</v>
      </c>
      <c r="BO122">
        <f>IF(AND(AN122=MatchLabel,BB122=1),AS122,0)</f>
        <v>0</v>
      </c>
      <c r="BP122">
        <f>IF(AND(AN122=SafetyLabel,BB122=1),AS122,0)</f>
        <v>0</v>
      </c>
      <c r="BQ122">
        <f>IF(AND(AN122=SecureLabel,BB122=1),AS122,0)</f>
        <v>0</v>
      </c>
      <c r="BR122">
        <f>IF(AND(AN122=SureThingLabel,BB122=1),AS122,0)</f>
        <v>0</v>
      </c>
      <c r="BS122">
        <f>MAX(BN122:BR122)</f>
        <v>0</v>
      </c>
      <c r="BT122">
        <f>MAX(BO122:BR122)</f>
        <v>0</v>
      </c>
      <c r="BU122">
        <f>MAX(BP122:BR122)</f>
        <v>0</v>
      </c>
      <c r="BV122">
        <f>IF(ISNUMBER(AB122),INDEX(AllCollegeChicago, MATCH(N122,AllCollegeNCES,0))*BB122,0)</f>
        <v>0</v>
      </c>
      <c r="BW122">
        <f>IF(ISNUMBER(AB122),INDEX(AllCollegeMoneyCode, MATCH(N122,AllCollegeNCES,0)),"?")</f>
        <v>0</v>
      </c>
      <c r="BX122">
        <f>IF(OR(BW122="---",BW122="--",BW122="+/--",BW122="+/---"),1,0)</f>
        <v>0</v>
      </c>
      <c r="BY122">
        <f>BB122*AR122*AT122</f>
        <v>0</v>
      </c>
    </row>
    <row r="123" spans="1:77">
      <c r="A123" t="s">
        <v>96</v>
      </c>
      <c r="B123">
        <v>22489025</v>
      </c>
      <c r="C123" t="s">
        <v>237</v>
      </c>
      <c r="D123" t="s">
        <v>238</v>
      </c>
      <c r="E123" t="s">
        <v>446</v>
      </c>
      <c r="F123" t="s">
        <v>515</v>
      </c>
      <c r="G123" t="s">
        <v>479</v>
      </c>
      <c r="H123" t="s">
        <v>449</v>
      </c>
      <c r="I123" t="s">
        <v>450</v>
      </c>
      <c r="J123" t="s">
        <v>450</v>
      </c>
      <c r="K123">
        <v>0</v>
      </c>
      <c r="L123" t="s">
        <v>446</v>
      </c>
      <c r="M123" t="s">
        <v>446</v>
      </c>
      <c r="N123">
        <v>215293</v>
      </c>
      <c r="O123">
        <f>INDEX(Counselor,MATCH(B123,KidIDs,0))</f>
        <v>0</v>
      </c>
      <c r="P123">
        <f>INDEX(Advisors,MATCH(B123,KidIDs,0))</f>
        <v>0</v>
      </c>
      <c r="Q123">
        <f>INDEX(Cohort,MATCH(B123,KidIDs,0))</f>
        <v>0</v>
      </c>
      <c r="R123">
        <f>INDEX(AllCollegeBarrons,MATCH(N123,AllCollegeNCES,0))</f>
        <v>0</v>
      </c>
      <c r="S123">
        <f>INDEX(KidGPAs,MATCH(B123,KidIDs,0))</f>
        <v>0</v>
      </c>
      <c r="T123">
        <f>INDEX(KidSATs,MATCH(B123,KidIDs,0))</f>
        <v>0</v>
      </c>
      <c r="U123">
        <f>INDEX(Strats,MATCH(B123,KidIDs,0))</f>
        <v>0</v>
      </c>
      <c r="V123">
        <f>INDEX(KidRace,MATCH(B123,KidIDs,0))</f>
        <v>0</v>
      </c>
      <c r="W123">
        <f>IF(OR(V123="M",V123="I"),"H",IF(V123="P","A",V123))</f>
        <v>0</v>
      </c>
      <c r="X123">
        <f>INDEX(StudentTargets,MATCH(B123,KidIDs,0))</f>
        <v>0</v>
      </c>
      <c r="Y123">
        <f>INDEX(ReachStudentTargets,MATCH(B123,KidIDs,0))</f>
        <v>0</v>
      </c>
      <c r="Z123">
        <f>IF(OR(M123="Posse"),1,0)</f>
        <v>0</v>
      </c>
      <c r="AA123">
        <f>IF(ISNUMBER(INDEX(AllCollegeGR, MATCH(N123,AllCollegeNCES,0))),ROUND(INDEX(AllCollegeGR, MATCH(N123,AllCollegeNCES,0))+Z123*IF(INDEX(AllCollegeGR, MATCH(N123,AllCollegeNCES,0))&gt;0.7,(1-INDEX(AllCollegeGR, MATCH(N123,AllCollegeNCES,0)))/2,0.15),2),INDEX(AllCollegeGR, MATCH(N123,AllCollegeNCES,0)))</f>
        <v>0</v>
      </c>
      <c r="AB123">
        <f>IF(ISNUMBER(INDEX(AllCollegeAAHGR, MATCH(N123,AllCollegeNCES,0))),ROUND(INDEX(AllCollegeAAHGR, MATCH(N123,AllCollegeNCES,0))+Z123*IF(INDEX(AllCollegeAAHGR, MATCH(N123,AllCollegeNCES,0))&gt;0.7,(1-INDEX(AllCollegeAAHGR, MATCH(N123,AllCollegeNCES,0)))/2,0.15),2),INDEX(AllCollegeAAHGR, MATCH(N123,AllCollegeNCES,0)))</f>
        <v>0</v>
      </c>
      <c r="AC123">
        <f>IF(OR(W123="H",W123="B"),INDEX(AllCollegeSAT25, MATCH(N123,AllCollegeNCES,0)),INDEX(AllCollegeSAT50, MATCH(N123,AllCollegeNCES,0)))</f>
        <v>0</v>
      </c>
      <c r="AD123">
        <f>INDEX(CustomWeightsGPA,MATCH(W123&amp;":"&amp;N123,CustomWeightsIndex,0))</f>
        <v>0</v>
      </c>
      <c r="AE123">
        <f>INDEX(CustomWeightsSAT,MATCH(W123&amp;":"&amp;N123,CustomWeightsIndex,0))</f>
        <v>0</v>
      </c>
      <c r="AF123">
        <f>INDEX(CustomWeightsIntercept,MATCH(W123&amp;":"&amp;N123,CustomWeightsIndex,0))</f>
        <v>0</v>
      </c>
      <c r="AG123">
        <f>AD123*S123+AE123*T123+AF123</f>
        <v>0</v>
      </c>
      <c r="AH123">
        <f>INDEX(CoefficientsGPA,MATCH(W123&amp;":"&amp;R123,CoefficientsIndex,0))</f>
        <v>0</v>
      </c>
      <c r="AI123">
        <f>INDEX(CoefficientsSAT,MATCH(W123&amp;":"&amp;R123,CoefficientsIndex,0))</f>
        <v>0</v>
      </c>
      <c r="AJ123">
        <f>INDEX(CoefficientsIntercept,MATCH(W123&amp;":"&amp;R123,CoefficientsIndex,0))</f>
        <v>0</v>
      </c>
      <c r="AK123">
        <f>AH123*S123+(T123-AC123)*AI123+AJ123</f>
        <v>0</v>
      </c>
      <c r="AL123">
        <f>IF(ISNUMBER(AG123),AG123,AK123)</f>
        <v>0</v>
      </c>
      <c r="AM123">
        <f>IF(ISNUMBER(AL123),IF(ISNUMBER(AH123),IF(AND(AH123=1,AI123=1,AJ123=1),100,MIN(99,ROUND(100*EXP(AL123)/(1+EXP(AL123)),2))),MIN(99,ROUND(100*EXP(AL123)/(1+EXP(AL123)),2))),IF(ISTEXT(R123),IF(LEFT(R123,1)="2",100,"N/A"),"N/A"))</f>
        <v>0</v>
      </c>
      <c r="AN123">
        <f>IF(ISNUMBER(AM123),IF(AM123&gt;=99,IF(OR(U123=10,U123=11),MatchLabel,SureThingLabel),IF(AM123&gt;=95,SecureLabel,IF(AM123&gt;=80,SafetyLabel,IF(AM123&gt;=50,MatchLabel,IF(AM123&gt;=20,ReachLabel,IF(AM123&gt;=10,LongshotLabel,HailMaryLabel)))))),"Other")</f>
        <v>0</v>
      </c>
      <c r="AO123">
        <f>IF(OR(I123="accepted",I123="cond. accept",I123="summer admit"),IF(J123="yes","CHOICE!","Accepted!"),IF(I123="guar. transfer","Guar. Xfer",IF(I123="denied","Denied",IF(K123=1,"Waitlist",IF(L123=1,"Deferred",IF(G123="pending","Pending",IF(OR(G123="initial materials submitted",G123="mid-year submitted",G123="final submitted"),"Submitted",IF(H123="interest","Interest","?"))))))))</f>
        <v>0</v>
      </c>
      <c r="AP123">
        <f>IF(OR(AN123=ReachLabel,AN123=LongshotLabel,AN123=HailMaryLabel),1,0)</f>
        <v>0</v>
      </c>
      <c r="AQ123">
        <f>IF(OR(AP123=1,AN123=MatchLabel),1,0)</f>
        <v>0</v>
      </c>
      <c r="AR123">
        <f>IF(OR(AN123=MatchLabel,AN123=SafetyLabel,AN123=SecureLabel,AN123=SureThingLabel),1,0)</f>
        <v>0</v>
      </c>
      <c r="AS123">
        <f>IF(OR(W123="H",W123="B",W123="I",W123="M"),IF(ISNUMBER(AB123),ROUND(AB123,2),0),IF(ISNUMBER(AA123),ROUND(AA123,2),0))</f>
        <v>0</v>
      </c>
      <c r="AT123">
        <f>IF(AS123&gt;=X123,1,0)</f>
        <v>0</v>
      </c>
      <c r="AU123">
        <f>IF(AS123&gt;=Y123,1,0)</f>
        <v>0</v>
      </c>
      <c r="AV123">
        <f>IF(AS123&lt;(X123-0.10),1,0)</f>
        <v>0</v>
      </c>
      <c r="AW123">
        <f>1-AM123/100</f>
        <v>0</v>
      </c>
      <c r="AX123">
        <f>IF(AQ123=1,AW123,1)</f>
        <v>0</v>
      </c>
      <c r="AY123">
        <f>IF(AP123=1,AW123,1)</f>
        <v>0</v>
      </c>
      <c r="AZ123">
        <f>IF(AND(AT123=1,ISNUMBER(AW123)),$AW123,1)</f>
        <v>0</v>
      </c>
      <c r="BA123">
        <f>IF(AND(AU123=1,ISNUMBER(AW123)),$AW123,1)</f>
        <v>0</v>
      </c>
      <c r="BB123">
        <f>IF(ISNUMBER(AB123),INDEX(AllCollegeMoney, MATCH(N123,AllCollegeNCES,0)),0)</f>
        <v>0</v>
      </c>
      <c r="BC123">
        <f>IF(AND(AT123=1,ISNUMBER(AW123),BB123=1),$AW123,1)</f>
        <v>0</v>
      </c>
      <c r="BD123">
        <f>IF(AND(AU123=1,ISNUMBER(AW123),BB123=1),$AW123,1)</f>
        <v>0</v>
      </c>
      <c r="BE123">
        <f>IF(ISNUMBER(AB123),INDEX(AllCollegeILPub, MATCH(N123,AllCollegeNCES,0)),0)</f>
        <v>0</v>
      </c>
      <c r="BF123">
        <f>IF(AN123=ReachLabel,AS123,0)</f>
        <v>0</v>
      </c>
      <c r="BG123">
        <f>IF(AN123=MatchLabel,AS123,0)</f>
        <v>0</v>
      </c>
      <c r="BH123">
        <f>IF(AN123=SafetyLabel,AS123,0)</f>
        <v>0</v>
      </c>
      <c r="BI123">
        <f>IF(AN123=SecureLabel,AS123,0)</f>
        <v>0</v>
      </c>
      <c r="BJ123">
        <f>IF(AN123=SureThingLabel,AS123,0)</f>
        <v>0</v>
      </c>
      <c r="BK123">
        <f>MAX(BF123:BJ123)</f>
        <v>0</v>
      </c>
      <c r="BL123">
        <f>MAX(BG123:BJ123)</f>
        <v>0</v>
      </c>
      <c r="BM123">
        <f>MAX(BH123:BJ123)</f>
        <v>0</v>
      </c>
      <c r="BN123">
        <f>IF(AND(AN123=ReachLabel,BB123=1),AS123,0)</f>
        <v>0</v>
      </c>
      <c r="BO123">
        <f>IF(AND(AN123=MatchLabel,BB123=1),AS123,0)</f>
        <v>0</v>
      </c>
      <c r="BP123">
        <f>IF(AND(AN123=SafetyLabel,BB123=1),AS123,0)</f>
        <v>0</v>
      </c>
      <c r="BQ123">
        <f>IF(AND(AN123=SecureLabel,BB123=1),AS123,0)</f>
        <v>0</v>
      </c>
      <c r="BR123">
        <f>IF(AND(AN123=SureThingLabel,BB123=1),AS123,0)</f>
        <v>0</v>
      </c>
      <c r="BS123">
        <f>MAX(BN123:BR123)</f>
        <v>0</v>
      </c>
      <c r="BT123">
        <f>MAX(BO123:BR123)</f>
        <v>0</v>
      </c>
      <c r="BU123">
        <f>MAX(BP123:BR123)</f>
        <v>0</v>
      </c>
      <c r="BV123">
        <f>IF(ISNUMBER(AB123),INDEX(AllCollegeChicago, MATCH(N123,AllCollegeNCES,0))*BB123,0)</f>
        <v>0</v>
      </c>
      <c r="BW123">
        <f>IF(ISNUMBER(AB123),INDEX(AllCollegeMoneyCode, MATCH(N123,AllCollegeNCES,0)),"?")</f>
        <v>0</v>
      </c>
      <c r="BX123">
        <f>IF(OR(BW123="---",BW123="--",BW123="+/--",BW123="+/---"),1,0)</f>
        <v>0</v>
      </c>
      <c r="BY123">
        <f>BB123*AR123*AT123</f>
        <v>0</v>
      </c>
    </row>
    <row r="124" spans="1:77">
      <c r="A124" t="s">
        <v>96</v>
      </c>
      <c r="B124">
        <v>22489025</v>
      </c>
      <c r="C124" t="s">
        <v>237</v>
      </c>
      <c r="D124" t="s">
        <v>238</v>
      </c>
      <c r="E124" t="s">
        <v>446</v>
      </c>
      <c r="F124" t="s">
        <v>487</v>
      </c>
      <c r="G124" t="s">
        <v>448</v>
      </c>
      <c r="H124" t="s">
        <v>449</v>
      </c>
      <c r="I124" t="s">
        <v>450</v>
      </c>
      <c r="J124" t="s">
        <v>450</v>
      </c>
      <c r="K124">
        <v>0</v>
      </c>
      <c r="L124" t="s">
        <v>446</v>
      </c>
      <c r="M124" t="s">
        <v>446</v>
      </c>
      <c r="N124">
        <v>174844</v>
      </c>
      <c r="O124">
        <f>INDEX(Counselor,MATCH(B124,KidIDs,0))</f>
        <v>0</v>
      </c>
      <c r="P124">
        <f>INDEX(Advisors,MATCH(B124,KidIDs,0))</f>
        <v>0</v>
      </c>
      <c r="Q124">
        <f>INDEX(Cohort,MATCH(B124,KidIDs,0))</f>
        <v>0</v>
      </c>
      <c r="R124">
        <f>INDEX(AllCollegeBarrons,MATCH(N124,AllCollegeNCES,0))</f>
        <v>0</v>
      </c>
      <c r="S124">
        <f>INDEX(KidGPAs,MATCH(B124,KidIDs,0))</f>
        <v>0</v>
      </c>
      <c r="T124">
        <f>INDEX(KidSATs,MATCH(B124,KidIDs,0))</f>
        <v>0</v>
      </c>
      <c r="U124">
        <f>INDEX(Strats,MATCH(B124,KidIDs,0))</f>
        <v>0</v>
      </c>
      <c r="V124">
        <f>INDEX(KidRace,MATCH(B124,KidIDs,0))</f>
        <v>0</v>
      </c>
      <c r="W124">
        <f>IF(OR(V124="M",V124="I"),"H",IF(V124="P","A",V124))</f>
        <v>0</v>
      </c>
      <c r="X124">
        <f>INDEX(StudentTargets,MATCH(B124,KidIDs,0))</f>
        <v>0</v>
      </c>
      <c r="Y124">
        <f>INDEX(ReachStudentTargets,MATCH(B124,KidIDs,0))</f>
        <v>0</v>
      </c>
      <c r="Z124">
        <f>IF(OR(M124="Posse"),1,0)</f>
        <v>0</v>
      </c>
      <c r="AA124">
        <f>IF(ISNUMBER(INDEX(AllCollegeGR, MATCH(N124,AllCollegeNCES,0))),ROUND(INDEX(AllCollegeGR, MATCH(N124,AllCollegeNCES,0))+Z124*IF(INDEX(AllCollegeGR, MATCH(N124,AllCollegeNCES,0))&gt;0.7,(1-INDEX(AllCollegeGR, MATCH(N124,AllCollegeNCES,0)))/2,0.15),2),INDEX(AllCollegeGR, MATCH(N124,AllCollegeNCES,0)))</f>
        <v>0</v>
      </c>
      <c r="AB124">
        <f>IF(ISNUMBER(INDEX(AllCollegeAAHGR, MATCH(N124,AllCollegeNCES,0))),ROUND(INDEX(AllCollegeAAHGR, MATCH(N124,AllCollegeNCES,0))+Z124*IF(INDEX(AllCollegeAAHGR, MATCH(N124,AllCollegeNCES,0))&gt;0.7,(1-INDEX(AllCollegeAAHGR, MATCH(N124,AllCollegeNCES,0)))/2,0.15),2),INDEX(AllCollegeAAHGR, MATCH(N124,AllCollegeNCES,0)))</f>
        <v>0</v>
      </c>
      <c r="AC124">
        <f>IF(OR(W124="H",W124="B"),INDEX(AllCollegeSAT25, MATCH(N124,AllCollegeNCES,0)),INDEX(AllCollegeSAT50, MATCH(N124,AllCollegeNCES,0)))</f>
        <v>0</v>
      </c>
      <c r="AD124">
        <f>INDEX(CustomWeightsGPA,MATCH(W124&amp;":"&amp;N124,CustomWeightsIndex,0))</f>
        <v>0</v>
      </c>
      <c r="AE124">
        <f>INDEX(CustomWeightsSAT,MATCH(W124&amp;":"&amp;N124,CustomWeightsIndex,0))</f>
        <v>0</v>
      </c>
      <c r="AF124">
        <f>INDEX(CustomWeightsIntercept,MATCH(W124&amp;":"&amp;N124,CustomWeightsIndex,0))</f>
        <v>0</v>
      </c>
      <c r="AG124">
        <f>AD124*S124+AE124*T124+AF124</f>
        <v>0</v>
      </c>
      <c r="AH124">
        <f>INDEX(CoefficientsGPA,MATCH(W124&amp;":"&amp;R124,CoefficientsIndex,0))</f>
        <v>0</v>
      </c>
      <c r="AI124">
        <f>INDEX(CoefficientsSAT,MATCH(W124&amp;":"&amp;R124,CoefficientsIndex,0))</f>
        <v>0</v>
      </c>
      <c r="AJ124">
        <f>INDEX(CoefficientsIntercept,MATCH(W124&amp;":"&amp;R124,CoefficientsIndex,0))</f>
        <v>0</v>
      </c>
      <c r="AK124">
        <f>AH124*S124+(T124-AC124)*AI124+AJ124</f>
        <v>0</v>
      </c>
      <c r="AL124">
        <f>IF(ISNUMBER(AG124),AG124,AK124)</f>
        <v>0</v>
      </c>
      <c r="AM124">
        <f>IF(ISNUMBER(AL124),IF(ISNUMBER(AH124),IF(AND(AH124=1,AI124=1,AJ124=1),100,MIN(99,ROUND(100*EXP(AL124)/(1+EXP(AL124)),2))),MIN(99,ROUND(100*EXP(AL124)/(1+EXP(AL124)),2))),IF(ISTEXT(R124),IF(LEFT(R124,1)="2",100,"N/A"),"N/A"))</f>
        <v>0</v>
      </c>
      <c r="AN124">
        <f>IF(ISNUMBER(AM124),IF(AM124&gt;=99,IF(OR(U124=10,U124=11),MatchLabel,SureThingLabel),IF(AM124&gt;=95,SecureLabel,IF(AM124&gt;=80,SafetyLabel,IF(AM124&gt;=50,MatchLabel,IF(AM124&gt;=20,ReachLabel,IF(AM124&gt;=10,LongshotLabel,HailMaryLabel)))))),"Other")</f>
        <v>0</v>
      </c>
      <c r="AO124">
        <f>IF(OR(I124="accepted",I124="cond. accept",I124="summer admit"),IF(J124="yes","CHOICE!","Accepted!"),IF(I124="guar. transfer","Guar. Xfer",IF(I124="denied","Denied",IF(K124=1,"Waitlist",IF(L124=1,"Deferred",IF(G124="pending","Pending",IF(OR(G124="initial materials submitted",G124="mid-year submitted",G124="final submitted"),"Submitted",IF(H124="interest","Interest","?"))))))))</f>
        <v>0</v>
      </c>
      <c r="AP124">
        <f>IF(OR(AN124=ReachLabel,AN124=LongshotLabel,AN124=HailMaryLabel),1,0)</f>
        <v>0</v>
      </c>
      <c r="AQ124">
        <f>IF(OR(AP124=1,AN124=MatchLabel),1,0)</f>
        <v>0</v>
      </c>
      <c r="AR124">
        <f>IF(OR(AN124=MatchLabel,AN124=SafetyLabel,AN124=SecureLabel,AN124=SureThingLabel),1,0)</f>
        <v>0</v>
      </c>
      <c r="AS124">
        <f>IF(OR(W124="H",W124="B",W124="I",W124="M"),IF(ISNUMBER(AB124),ROUND(AB124,2),0),IF(ISNUMBER(AA124),ROUND(AA124,2),0))</f>
        <v>0</v>
      </c>
      <c r="AT124">
        <f>IF(AS124&gt;=X124,1,0)</f>
        <v>0</v>
      </c>
      <c r="AU124">
        <f>IF(AS124&gt;=Y124,1,0)</f>
        <v>0</v>
      </c>
      <c r="AV124">
        <f>IF(AS124&lt;(X124-0.10),1,0)</f>
        <v>0</v>
      </c>
      <c r="AW124">
        <f>1-AM124/100</f>
        <v>0</v>
      </c>
      <c r="AX124">
        <f>IF(AQ124=1,AW124,1)</f>
        <v>0</v>
      </c>
      <c r="AY124">
        <f>IF(AP124=1,AW124,1)</f>
        <v>0</v>
      </c>
      <c r="AZ124">
        <f>IF(AND(AT124=1,ISNUMBER(AW124)),$AW124,1)</f>
        <v>0</v>
      </c>
      <c r="BA124">
        <f>IF(AND(AU124=1,ISNUMBER(AW124)),$AW124,1)</f>
        <v>0</v>
      </c>
      <c r="BB124">
        <f>IF(ISNUMBER(AB124),INDEX(AllCollegeMoney, MATCH(N124,AllCollegeNCES,0)),0)</f>
        <v>0</v>
      </c>
      <c r="BC124">
        <f>IF(AND(AT124=1,ISNUMBER(AW124),BB124=1),$AW124,1)</f>
        <v>0</v>
      </c>
      <c r="BD124">
        <f>IF(AND(AU124=1,ISNUMBER(AW124),BB124=1),$AW124,1)</f>
        <v>0</v>
      </c>
      <c r="BE124">
        <f>IF(ISNUMBER(AB124),INDEX(AllCollegeILPub, MATCH(N124,AllCollegeNCES,0)),0)</f>
        <v>0</v>
      </c>
      <c r="BF124">
        <f>IF(AN124=ReachLabel,AS124,0)</f>
        <v>0</v>
      </c>
      <c r="BG124">
        <f>IF(AN124=MatchLabel,AS124,0)</f>
        <v>0</v>
      </c>
      <c r="BH124">
        <f>IF(AN124=SafetyLabel,AS124,0)</f>
        <v>0</v>
      </c>
      <c r="BI124">
        <f>IF(AN124=SecureLabel,AS124,0)</f>
        <v>0</v>
      </c>
      <c r="BJ124">
        <f>IF(AN124=SureThingLabel,AS124,0)</f>
        <v>0</v>
      </c>
      <c r="BK124">
        <f>MAX(BF124:BJ124)</f>
        <v>0</v>
      </c>
      <c r="BL124">
        <f>MAX(BG124:BJ124)</f>
        <v>0</v>
      </c>
      <c r="BM124">
        <f>MAX(BH124:BJ124)</f>
        <v>0</v>
      </c>
      <c r="BN124">
        <f>IF(AND(AN124=ReachLabel,BB124=1),AS124,0)</f>
        <v>0</v>
      </c>
      <c r="BO124">
        <f>IF(AND(AN124=MatchLabel,BB124=1),AS124,0)</f>
        <v>0</v>
      </c>
      <c r="BP124">
        <f>IF(AND(AN124=SafetyLabel,BB124=1),AS124,0)</f>
        <v>0</v>
      </c>
      <c r="BQ124">
        <f>IF(AND(AN124=SecureLabel,BB124=1),AS124,0)</f>
        <v>0</v>
      </c>
      <c r="BR124">
        <f>IF(AND(AN124=SureThingLabel,BB124=1),AS124,0)</f>
        <v>0</v>
      </c>
      <c r="BS124">
        <f>MAX(BN124:BR124)</f>
        <v>0</v>
      </c>
      <c r="BT124">
        <f>MAX(BO124:BR124)</f>
        <v>0</v>
      </c>
      <c r="BU124">
        <f>MAX(BP124:BR124)</f>
        <v>0</v>
      </c>
      <c r="BV124">
        <f>IF(ISNUMBER(AB124),INDEX(AllCollegeChicago, MATCH(N124,AllCollegeNCES,0))*BB124,0)</f>
        <v>0</v>
      </c>
      <c r="BW124">
        <f>IF(ISNUMBER(AB124),INDEX(AllCollegeMoneyCode, MATCH(N124,AllCollegeNCES,0)),"?")</f>
        <v>0</v>
      </c>
      <c r="BX124">
        <f>IF(OR(BW124="---",BW124="--",BW124="+/--",BW124="+/---"),1,0)</f>
        <v>0</v>
      </c>
      <c r="BY124">
        <f>BB124*AR124*AT124</f>
        <v>0</v>
      </c>
    </row>
    <row r="125" spans="1:77">
      <c r="A125" t="s">
        <v>96</v>
      </c>
      <c r="B125">
        <v>22489025</v>
      </c>
      <c r="C125" t="s">
        <v>237</v>
      </c>
      <c r="D125" t="s">
        <v>238</v>
      </c>
      <c r="E125" t="s">
        <v>446</v>
      </c>
      <c r="F125" t="s">
        <v>475</v>
      </c>
      <c r="G125" t="s">
        <v>479</v>
      </c>
      <c r="H125" t="s">
        <v>449</v>
      </c>
      <c r="I125" t="s">
        <v>450</v>
      </c>
      <c r="J125" t="s">
        <v>450</v>
      </c>
      <c r="K125">
        <v>0</v>
      </c>
      <c r="L125" t="s">
        <v>446</v>
      </c>
      <c r="M125" t="s">
        <v>446</v>
      </c>
      <c r="N125">
        <v>145637</v>
      </c>
      <c r="O125">
        <f>INDEX(Counselor,MATCH(B125,KidIDs,0))</f>
        <v>0</v>
      </c>
      <c r="P125">
        <f>INDEX(Advisors,MATCH(B125,KidIDs,0))</f>
        <v>0</v>
      </c>
      <c r="Q125">
        <f>INDEX(Cohort,MATCH(B125,KidIDs,0))</f>
        <v>0</v>
      </c>
      <c r="R125">
        <f>INDEX(AllCollegeBarrons,MATCH(N125,AllCollegeNCES,0))</f>
        <v>0</v>
      </c>
      <c r="S125">
        <f>INDEX(KidGPAs,MATCH(B125,KidIDs,0))</f>
        <v>0</v>
      </c>
      <c r="T125">
        <f>INDEX(KidSATs,MATCH(B125,KidIDs,0))</f>
        <v>0</v>
      </c>
      <c r="U125">
        <f>INDEX(Strats,MATCH(B125,KidIDs,0))</f>
        <v>0</v>
      </c>
      <c r="V125">
        <f>INDEX(KidRace,MATCH(B125,KidIDs,0))</f>
        <v>0</v>
      </c>
      <c r="W125">
        <f>IF(OR(V125="M",V125="I"),"H",IF(V125="P","A",V125))</f>
        <v>0</v>
      </c>
      <c r="X125">
        <f>INDEX(StudentTargets,MATCH(B125,KidIDs,0))</f>
        <v>0</v>
      </c>
      <c r="Y125">
        <f>INDEX(ReachStudentTargets,MATCH(B125,KidIDs,0))</f>
        <v>0</v>
      </c>
      <c r="Z125">
        <f>IF(OR(M125="Posse"),1,0)</f>
        <v>0</v>
      </c>
      <c r="AA125">
        <f>IF(ISNUMBER(INDEX(AllCollegeGR, MATCH(N125,AllCollegeNCES,0))),ROUND(INDEX(AllCollegeGR, MATCH(N125,AllCollegeNCES,0))+Z125*IF(INDEX(AllCollegeGR, MATCH(N125,AllCollegeNCES,0))&gt;0.7,(1-INDEX(AllCollegeGR, MATCH(N125,AllCollegeNCES,0)))/2,0.15),2),INDEX(AllCollegeGR, MATCH(N125,AllCollegeNCES,0)))</f>
        <v>0</v>
      </c>
      <c r="AB125">
        <f>IF(ISNUMBER(INDEX(AllCollegeAAHGR, MATCH(N125,AllCollegeNCES,0))),ROUND(INDEX(AllCollegeAAHGR, MATCH(N125,AllCollegeNCES,0))+Z125*IF(INDEX(AllCollegeAAHGR, MATCH(N125,AllCollegeNCES,0))&gt;0.7,(1-INDEX(AllCollegeAAHGR, MATCH(N125,AllCollegeNCES,0)))/2,0.15),2),INDEX(AllCollegeAAHGR, MATCH(N125,AllCollegeNCES,0)))</f>
        <v>0</v>
      </c>
      <c r="AC125">
        <f>IF(OR(W125="H",W125="B"),INDEX(AllCollegeSAT25, MATCH(N125,AllCollegeNCES,0)),INDEX(AllCollegeSAT50, MATCH(N125,AllCollegeNCES,0)))</f>
        <v>0</v>
      </c>
      <c r="AD125">
        <f>INDEX(CustomWeightsGPA,MATCH(W125&amp;":"&amp;N125,CustomWeightsIndex,0))</f>
        <v>0</v>
      </c>
      <c r="AE125">
        <f>INDEX(CustomWeightsSAT,MATCH(W125&amp;":"&amp;N125,CustomWeightsIndex,0))</f>
        <v>0</v>
      </c>
      <c r="AF125">
        <f>INDEX(CustomWeightsIntercept,MATCH(W125&amp;":"&amp;N125,CustomWeightsIndex,0))</f>
        <v>0</v>
      </c>
      <c r="AG125">
        <f>AD125*S125+AE125*T125+AF125</f>
        <v>0</v>
      </c>
      <c r="AH125">
        <f>INDEX(CoefficientsGPA,MATCH(W125&amp;":"&amp;R125,CoefficientsIndex,0))</f>
        <v>0</v>
      </c>
      <c r="AI125">
        <f>INDEX(CoefficientsSAT,MATCH(W125&amp;":"&amp;R125,CoefficientsIndex,0))</f>
        <v>0</v>
      </c>
      <c r="AJ125">
        <f>INDEX(CoefficientsIntercept,MATCH(W125&amp;":"&amp;R125,CoefficientsIndex,0))</f>
        <v>0</v>
      </c>
      <c r="AK125">
        <f>AH125*S125+(T125-AC125)*AI125+AJ125</f>
        <v>0</v>
      </c>
      <c r="AL125">
        <f>IF(ISNUMBER(AG125),AG125,AK125)</f>
        <v>0</v>
      </c>
      <c r="AM125">
        <f>IF(ISNUMBER(AL125),IF(ISNUMBER(AH125),IF(AND(AH125=1,AI125=1,AJ125=1),100,MIN(99,ROUND(100*EXP(AL125)/(1+EXP(AL125)),2))),MIN(99,ROUND(100*EXP(AL125)/(1+EXP(AL125)),2))),IF(ISTEXT(R125),IF(LEFT(R125,1)="2",100,"N/A"),"N/A"))</f>
        <v>0</v>
      </c>
      <c r="AN125">
        <f>IF(ISNUMBER(AM125),IF(AM125&gt;=99,IF(OR(U125=10,U125=11),MatchLabel,SureThingLabel),IF(AM125&gt;=95,SecureLabel,IF(AM125&gt;=80,SafetyLabel,IF(AM125&gt;=50,MatchLabel,IF(AM125&gt;=20,ReachLabel,IF(AM125&gt;=10,LongshotLabel,HailMaryLabel)))))),"Other")</f>
        <v>0</v>
      </c>
      <c r="AO125">
        <f>IF(OR(I125="accepted",I125="cond. accept",I125="summer admit"),IF(J125="yes","CHOICE!","Accepted!"),IF(I125="guar. transfer","Guar. Xfer",IF(I125="denied","Denied",IF(K125=1,"Waitlist",IF(L125=1,"Deferred",IF(G125="pending","Pending",IF(OR(G125="initial materials submitted",G125="mid-year submitted",G125="final submitted"),"Submitted",IF(H125="interest","Interest","?"))))))))</f>
        <v>0</v>
      </c>
      <c r="AP125">
        <f>IF(OR(AN125=ReachLabel,AN125=LongshotLabel,AN125=HailMaryLabel),1,0)</f>
        <v>0</v>
      </c>
      <c r="AQ125">
        <f>IF(OR(AP125=1,AN125=MatchLabel),1,0)</f>
        <v>0</v>
      </c>
      <c r="AR125">
        <f>IF(OR(AN125=MatchLabel,AN125=SafetyLabel,AN125=SecureLabel,AN125=SureThingLabel),1,0)</f>
        <v>0</v>
      </c>
      <c r="AS125">
        <f>IF(OR(W125="H",W125="B",W125="I",W125="M"),IF(ISNUMBER(AB125),ROUND(AB125,2),0),IF(ISNUMBER(AA125),ROUND(AA125,2),0))</f>
        <v>0</v>
      </c>
      <c r="AT125">
        <f>IF(AS125&gt;=X125,1,0)</f>
        <v>0</v>
      </c>
      <c r="AU125">
        <f>IF(AS125&gt;=Y125,1,0)</f>
        <v>0</v>
      </c>
      <c r="AV125">
        <f>IF(AS125&lt;(X125-0.10),1,0)</f>
        <v>0</v>
      </c>
      <c r="AW125">
        <f>1-AM125/100</f>
        <v>0</v>
      </c>
      <c r="AX125">
        <f>IF(AQ125=1,AW125,1)</f>
        <v>0</v>
      </c>
      <c r="AY125">
        <f>IF(AP125=1,AW125,1)</f>
        <v>0</v>
      </c>
      <c r="AZ125">
        <f>IF(AND(AT125=1,ISNUMBER(AW125)),$AW125,1)</f>
        <v>0</v>
      </c>
      <c r="BA125">
        <f>IF(AND(AU125=1,ISNUMBER(AW125)),$AW125,1)</f>
        <v>0</v>
      </c>
      <c r="BB125">
        <f>IF(ISNUMBER(AB125),INDEX(AllCollegeMoney, MATCH(N125,AllCollegeNCES,0)),0)</f>
        <v>0</v>
      </c>
      <c r="BC125">
        <f>IF(AND(AT125=1,ISNUMBER(AW125),BB125=1),$AW125,1)</f>
        <v>0</v>
      </c>
      <c r="BD125">
        <f>IF(AND(AU125=1,ISNUMBER(AW125),BB125=1),$AW125,1)</f>
        <v>0</v>
      </c>
      <c r="BE125">
        <f>IF(ISNUMBER(AB125),INDEX(AllCollegeILPub, MATCH(N125,AllCollegeNCES,0)),0)</f>
        <v>0</v>
      </c>
      <c r="BF125">
        <f>IF(AN125=ReachLabel,AS125,0)</f>
        <v>0</v>
      </c>
      <c r="BG125">
        <f>IF(AN125=MatchLabel,AS125,0)</f>
        <v>0</v>
      </c>
      <c r="BH125">
        <f>IF(AN125=SafetyLabel,AS125,0)</f>
        <v>0</v>
      </c>
      <c r="BI125">
        <f>IF(AN125=SecureLabel,AS125,0)</f>
        <v>0</v>
      </c>
      <c r="BJ125">
        <f>IF(AN125=SureThingLabel,AS125,0)</f>
        <v>0</v>
      </c>
      <c r="BK125">
        <f>MAX(BF125:BJ125)</f>
        <v>0</v>
      </c>
      <c r="BL125">
        <f>MAX(BG125:BJ125)</f>
        <v>0</v>
      </c>
      <c r="BM125">
        <f>MAX(BH125:BJ125)</f>
        <v>0</v>
      </c>
      <c r="BN125">
        <f>IF(AND(AN125=ReachLabel,BB125=1),AS125,0)</f>
        <v>0</v>
      </c>
      <c r="BO125">
        <f>IF(AND(AN125=MatchLabel,BB125=1),AS125,0)</f>
        <v>0</v>
      </c>
      <c r="BP125">
        <f>IF(AND(AN125=SafetyLabel,BB125=1),AS125,0)</f>
        <v>0</v>
      </c>
      <c r="BQ125">
        <f>IF(AND(AN125=SecureLabel,BB125=1),AS125,0)</f>
        <v>0</v>
      </c>
      <c r="BR125">
        <f>IF(AND(AN125=SureThingLabel,BB125=1),AS125,0)</f>
        <v>0</v>
      </c>
      <c r="BS125">
        <f>MAX(BN125:BR125)</f>
        <v>0</v>
      </c>
      <c r="BT125">
        <f>MAX(BO125:BR125)</f>
        <v>0</v>
      </c>
      <c r="BU125">
        <f>MAX(BP125:BR125)</f>
        <v>0</v>
      </c>
      <c r="BV125">
        <f>IF(ISNUMBER(AB125),INDEX(AllCollegeChicago, MATCH(N125,AllCollegeNCES,0))*BB125,0)</f>
        <v>0</v>
      </c>
      <c r="BW125">
        <f>IF(ISNUMBER(AB125),INDEX(AllCollegeMoneyCode, MATCH(N125,AllCollegeNCES,0)),"?")</f>
        <v>0</v>
      </c>
      <c r="BX125">
        <f>IF(OR(BW125="---",BW125="--",BW125="+/--",BW125="+/---"),1,0)</f>
        <v>0</v>
      </c>
      <c r="BY125">
        <f>BB125*AR125*AT125</f>
        <v>0</v>
      </c>
    </row>
    <row r="126" spans="1:77">
      <c r="A126" t="s">
        <v>96</v>
      </c>
      <c r="B126">
        <v>22489025</v>
      </c>
      <c r="C126" t="s">
        <v>237</v>
      </c>
      <c r="D126" t="s">
        <v>238</v>
      </c>
      <c r="E126" t="s">
        <v>446</v>
      </c>
      <c r="F126" t="s">
        <v>476</v>
      </c>
      <c r="G126" t="s">
        <v>448</v>
      </c>
      <c r="H126" t="s">
        <v>449</v>
      </c>
      <c r="I126" t="s">
        <v>450</v>
      </c>
      <c r="J126" t="s">
        <v>450</v>
      </c>
      <c r="K126">
        <v>0</v>
      </c>
      <c r="L126" t="s">
        <v>446</v>
      </c>
      <c r="M126" t="s">
        <v>446</v>
      </c>
      <c r="N126">
        <v>213668</v>
      </c>
      <c r="O126">
        <f>INDEX(Counselor,MATCH(B126,KidIDs,0))</f>
        <v>0</v>
      </c>
      <c r="P126">
        <f>INDEX(Advisors,MATCH(B126,KidIDs,0))</f>
        <v>0</v>
      </c>
      <c r="Q126">
        <f>INDEX(Cohort,MATCH(B126,KidIDs,0))</f>
        <v>0</v>
      </c>
      <c r="R126">
        <f>INDEX(AllCollegeBarrons,MATCH(N126,AllCollegeNCES,0))</f>
        <v>0</v>
      </c>
      <c r="S126">
        <f>INDEX(KidGPAs,MATCH(B126,KidIDs,0))</f>
        <v>0</v>
      </c>
      <c r="T126">
        <f>INDEX(KidSATs,MATCH(B126,KidIDs,0))</f>
        <v>0</v>
      </c>
      <c r="U126">
        <f>INDEX(Strats,MATCH(B126,KidIDs,0))</f>
        <v>0</v>
      </c>
      <c r="V126">
        <f>INDEX(KidRace,MATCH(B126,KidIDs,0))</f>
        <v>0</v>
      </c>
      <c r="W126">
        <f>IF(OR(V126="M",V126="I"),"H",IF(V126="P","A",V126))</f>
        <v>0</v>
      </c>
      <c r="X126">
        <f>INDEX(StudentTargets,MATCH(B126,KidIDs,0))</f>
        <v>0</v>
      </c>
      <c r="Y126">
        <f>INDEX(ReachStudentTargets,MATCH(B126,KidIDs,0))</f>
        <v>0</v>
      </c>
      <c r="Z126">
        <f>IF(OR(M126="Posse"),1,0)</f>
        <v>0</v>
      </c>
      <c r="AA126">
        <f>IF(ISNUMBER(INDEX(AllCollegeGR, MATCH(N126,AllCollegeNCES,0))),ROUND(INDEX(AllCollegeGR, MATCH(N126,AllCollegeNCES,0))+Z126*IF(INDEX(AllCollegeGR, MATCH(N126,AllCollegeNCES,0))&gt;0.7,(1-INDEX(AllCollegeGR, MATCH(N126,AllCollegeNCES,0)))/2,0.15),2),INDEX(AllCollegeGR, MATCH(N126,AllCollegeNCES,0)))</f>
        <v>0</v>
      </c>
      <c r="AB126">
        <f>IF(ISNUMBER(INDEX(AllCollegeAAHGR, MATCH(N126,AllCollegeNCES,0))),ROUND(INDEX(AllCollegeAAHGR, MATCH(N126,AllCollegeNCES,0))+Z126*IF(INDEX(AllCollegeAAHGR, MATCH(N126,AllCollegeNCES,0))&gt;0.7,(1-INDEX(AllCollegeAAHGR, MATCH(N126,AllCollegeNCES,0)))/2,0.15),2),INDEX(AllCollegeAAHGR, MATCH(N126,AllCollegeNCES,0)))</f>
        <v>0</v>
      </c>
      <c r="AC126">
        <f>IF(OR(W126="H",W126="B"),INDEX(AllCollegeSAT25, MATCH(N126,AllCollegeNCES,0)),INDEX(AllCollegeSAT50, MATCH(N126,AllCollegeNCES,0)))</f>
        <v>0</v>
      </c>
      <c r="AD126">
        <f>INDEX(CustomWeightsGPA,MATCH(W126&amp;":"&amp;N126,CustomWeightsIndex,0))</f>
        <v>0</v>
      </c>
      <c r="AE126">
        <f>INDEX(CustomWeightsSAT,MATCH(W126&amp;":"&amp;N126,CustomWeightsIndex,0))</f>
        <v>0</v>
      </c>
      <c r="AF126">
        <f>INDEX(CustomWeightsIntercept,MATCH(W126&amp;":"&amp;N126,CustomWeightsIndex,0))</f>
        <v>0</v>
      </c>
      <c r="AG126">
        <f>AD126*S126+AE126*T126+AF126</f>
        <v>0</v>
      </c>
      <c r="AH126">
        <f>INDEX(CoefficientsGPA,MATCH(W126&amp;":"&amp;R126,CoefficientsIndex,0))</f>
        <v>0</v>
      </c>
      <c r="AI126">
        <f>INDEX(CoefficientsSAT,MATCH(W126&amp;":"&amp;R126,CoefficientsIndex,0))</f>
        <v>0</v>
      </c>
      <c r="AJ126">
        <f>INDEX(CoefficientsIntercept,MATCH(W126&amp;":"&amp;R126,CoefficientsIndex,0))</f>
        <v>0</v>
      </c>
      <c r="AK126">
        <f>AH126*S126+(T126-AC126)*AI126+AJ126</f>
        <v>0</v>
      </c>
      <c r="AL126">
        <f>IF(ISNUMBER(AG126),AG126,AK126)</f>
        <v>0</v>
      </c>
      <c r="AM126">
        <f>IF(ISNUMBER(AL126),IF(ISNUMBER(AH126),IF(AND(AH126=1,AI126=1,AJ126=1),100,MIN(99,ROUND(100*EXP(AL126)/(1+EXP(AL126)),2))),MIN(99,ROUND(100*EXP(AL126)/(1+EXP(AL126)),2))),IF(ISTEXT(R126),IF(LEFT(R126,1)="2",100,"N/A"),"N/A"))</f>
        <v>0</v>
      </c>
      <c r="AN126">
        <f>IF(ISNUMBER(AM126),IF(AM126&gt;=99,IF(OR(U126=10,U126=11),MatchLabel,SureThingLabel),IF(AM126&gt;=95,SecureLabel,IF(AM126&gt;=80,SafetyLabel,IF(AM126&gt;=50,MatchLabel,IF(AM126&gt;=20,ReachLabel,IF(AM126&gt;=10,LongshotLabel,HailMaryLabel)))))),"Other")</f>
        <v>0</v>
      </c>
      <c r="AO126">
        <f>IF(OR(I126="accepted",I126="cond. accept",I126="summer admit"),IF(J126="yes","CHOICE!","Accepted!"),IF(I126="guar. transfer","Guar. Xfer",IF(I126="denied","Denied",IF(K126=1,"Waitlist",IF(L126=1,"Deferred",IF(G126="pending","Pending",IF(OR(G126="initial materials submitted",G126="mid-year submitted",G126="final submitted"),"Submitted",IF(H126="interest","Interest","?"))))))))</f>
        <v>0</v>
      </c>
      <c r="AP126">
        <f>IF(OR(AN126=ReachLabel,AN126=LongshotLabel,AN126=HailMaryLabel),1,0)</f>
        <v>0</v>
      </c>
      <c r="AQ126">
        <f>IF(OR(AP126=1,AN126=MatchLabel),1,0)</f>
        <v>0</v>
      </c>
      <c r="AR126">
        <f>IF(OR(AN126=MatchLabel,AN126=SafetyLabel,AN126=SecureLabel,AN126=SureThingLabel),1,0)</f>
        <v>0</v>
      </c>
      <c r="AS126">
        <f>IF(OR(W126="H",W126="B",W126="I",W126="M"),IF(ISNUMBER(AB126),ROUND(AB126,2),0),IF(ISNUMBER(AA126),ROUND(AA126,2),0))</f>
        <v>0</v>
      </c>
      <c r="AT126">
        <f>IF(AS126&gt;=X126,1,0)</f>
        <v>0</v>
      </c>
      <c r="AU126">
        <f>IF(AS126&gt;=Y126,1,0)</f>
        <v>0</v>
      </c>
      <c r="AV126">
        <f>IF(AS126&lt;(X126-0.10),1,0)</f>
        <v>0</v>
      </c>
      <c r="AW126">
        <f>1-AM126/100</f>
        <v>0</v>
      </c>
      <c r="AX126">
        <f>IF(AQ126=1,AW126,1)</f>
        <v>0</v>
      </c>
      <c r="AY126">
        <f>IF(AP126=1,AW126,1)</f>
        <v>0</v>
      </c>
      <c r="AZ126">
        <f>IF(AND(AT126=1,ISNUMBER(AW126)),$AW126,1)</f>
        <v>0</v>
      </c>
      <c r="BA126">
        <f>IF(AND(AU126=1,ISNUMBER(AW126)),$AW126,1)</f>
        <v>0</v>
      </c>
      <c r="BB126">
        <f>IF(ISNUMBER(AB126),INDEX(AllCollegeMoney, MATCH(N126,AllCollegeNCES,0)),0)</f>
        <v>0</v>
      </c>
      <c r="BC126">
        <f>IF(AND(AT126=1,ISNUMBER(AW126),BB126=1),$AW126,1)</f>
        <v>0</v>
      </c>
      <c r="BD126">
        <f>IF(AND(AU126=1,ISNUMBER(AW126),BB126=1),$AW126,1)</f>
        <v>0</v>
      </c>
      <c r="BE126">
        <f>IF(ISNUMBER(AB126),INDEX(AllCollegeILPub, MATCH(N126,AllCollegeNCES,0)),0)</f>
        <v>0</v>
      </c>
      <c r="BF126">
        <f>IF(AN126=ReachLabel,AS126,0)</f>
        <v>0</v>
      </c>
      <c r="BG126">
        <f>IF(AN126=MatchLabel,AS126,0)</f>
        <v>0</v>
      </c>
      <c r="BH126">
        <f>IF(AN126=SafetyLabel,AS126,0)</f>
        <v>0</v>
      </c>
      <c r="BI126">
        <f>IF(AN126=SecureLabel,AS126,0)</f>
        <v>0</v>
      </c>
      <c r="BJ126">
        <f>IF(AN126=SureThingLabel,AS126,0)</f>
        <v>0</v>
      </c>
      <c r="BK126">
        <f>MAX(BF126:BJ126)</f>
        <v>0</v>
      </c>
      <c r="BL126">
        <f>MAX(BG126:BJ126)</f>
        <v>0</v>
      </c>
      <c r="BM126">
        <f>MAX(BH126:BJ126)</f>
        <v>0</v>
      </c>
      <c r="BN126">
        <f>IF(AND(AN126=ReachLabel,BB126=1),AS126,0)</f>
        <v>0</v>
      </c>
      <c r="BO126">
        <f>IF(AND(AN126=MatchLabel,BB126=1),AS126,0)</f>
        <v>0</v>
      </c>
      <c r="BP126">
        <f>IF(AND(AN126=SafetyLabel,BB126=1),AS126,0)</f>
        <v>0</v>
      </c>
      <c r="BQ126">
        <f>IF(AND(AN126=SecureLabel,BB126=1),AS126,0)</f>
        <v>0</v>
      </c>
      <c r="BR126">
        <f>IF(AND(AN126=SureThingLabel,BB126=1),AS126,0)</f>
        <v>0</v>
      </c>
      <c r="BS126">
        <f>MAX(BN126:BR126)</f>
        <v>0</v>
      </c>
      <c r="BT126">
        <f>MAX(BO126:BR126)</f>
        <v>0</v>
      </c>
      <c r="BU126">
        <f>MAX(BP126:BR126)</f>
        <v>0</v>
      </c>
      <c r="BV126">
        <f>IF(ISNUMBER(AB126),INDEX(AllCollegeChicago, MATCH(N126,AllCollegeNCES,0))*BB126,0)</f>
        <v>0</v>
      </c>
      <c r="BW126">
        <f>IF(ISNUMBER(AB126),INDEX(AllCollegeMoneyCode, MATCH(N126,AllCollegeNCES,0)),"?")</f>
        <v>0</v>
      </c>
      <c r="BX126">
        <f>IF(OR(BW126="---",BW126="--",BW126="+/--",BW126="+/---"),1,0)</f>
        <v>0</v>
      </c>
      <c r="BY126">
        <f>BB126*AR126*AT126</f>
        <v>0</v>
      </c>
    </row>
    <row r="127" spans="1:77">
      <c r="A127" t="s">
        <v>96</v>
      </c>
      <c r="B127">
        <v>22489025</v>
      </c>
      <c r="C127" t="s">
        <v>237</v>
      </c>
      <c r="D127" t="s">
        <v>238</v>
      </c>
      <c r="E127" t="s">
        <v>446</v>
      </c>
      <c r="F127" t="s">
        <v>489</v>
      </c>
      <c r="G127" t="s">
        <v>448</v>
      </c>
      <c r="H127" t="s">
        <v>449</v>
      </c>
      <c r="I127" t="s">
        <v>450</v>
      </c>
      <c r="J127" t="s">
        <v>450</v>
      </c>
      <c r="K127">
        <v>0</v>
      </c>
      <c r="L127" t="s">
        <v>446</v>
      </c>
      <c r="M127" t="s">
        <v>446</v>
      </c>
      <c r="N127">
        <v>170301</v>
      </c>
      <c r="O127">
        <f>INDEX(Counselor,MATCH(B127,KidIDs,0))</f>
        <v>0</v>
      </c>
      <c r="P127">
        <f>INDEX(Advisors,MATCH(B127,KidIDs,0))</f>
        <v>0</v>
      </c>
      <c r="Q127">
        <f>INDEX(Cohort,MATCH(B127,KidIDs,0))</f>
        <v>0</v>
      </c>
      <c r="R127">
        <f>INDEX(AllCollegeBarrons,MATCH(N127,AllCollegeNCES,0))</f>
        <v>0</v>
      </c>
      <c r="S127">
        <f>INDEX(KidGPAs,MATCH(B127,KidIDs,0))</f>
        <v>0</v>
      </c>
      <c r="T127">
        <f>INDEX(KidSATs,MATCH(B127,KidIDs,0))</f>
        <v>0</v>
      </c>
      <c r="U127">
        <f>INDEX(Strats,MATCH(B127,KidIDs,0))</f>
        <v>0</v>
      </c>
      <c r="V127">
        <f>INDEX(KidRace,MATCH(B127,KidIDs,0))</f>
        <v>0</v>
      </c>
      <c r="W127">
        <f>IF(OR(V127="M",V127="I"),"H",IF(V127="P","A",V127))</f>
        <v>0</v>
      </c>
      <c r="X127">
        <f>INDEX(StudentTargets,MATCH(B127,KidIDs,0))</f>
        <v>0</v>
      </c>
      <c r="Y127">
        <f>INDEX(ReachStudentTargets,MATCH(B127,KidIDs,0))</f>
        <v>0</v>
      </c>
      <c r="Z127">
        <f>IF(OR(M127="Posse"),1,0)</f>
        <v>0</v>
      </c>
      <c r="AA127">
        <f>IF(ISNUMBER(INDEX(AllCollegeGR, MATCH(N127,AllCollegeNCES,0))),ROUND(INDEX(AllCollegeGR, MATCH(N127,AllCollegeNCES,0))+Z127*IF(INDEX(AllCollegeGR, MATCH(N127,AllCollegeNCES,0))&gt;0.7,(1-INDEX(AllCollegeGR, MATCH(N127,AllCollegeNCES,0)))/2,0.15),2),INDEX(AllCollegeGR, MATCH(N127,AllCollegeNCES,0)))</f>
        <v>0</v>
      </c>
      <c r="AB127">
        <f>IF(ISNUMBER(INDEX(AllCollegeAAHGR, MATCH(N127,AllCollegeNCES,0))),ROUND(INDEX(AllCollegeAAHGR, MATCH(N127,AllCollegeNCES,0))+Z127*IF(INDEX(AllCollegeAAHGR, MATCH(N127,AllCollegeNCES,0))&gt;0.7,(1-INDEX(AllCollegeAAHGR, MATCH(N127,AllCollegeNCES,0)))/2,0.15),2),INDEX(AllCollegeAAHGR, MATCH(N127,AllCollegeNCES,0)))</f>
        <v>0</v>
      </c>
      <c r="AC127">
        <f>IF(OR(W127="H",W127="B"),INDEX(AllCollegeSAT25, MATCH(N127,AllCollegeNCES,0)),INDEX(AllCollegeSAT50, MATCH(N127,AllCollegeNCES,0)))</f>
        <v>0</v>
      </c>
      <c r="AD127">
        <f>INDEX(CustomWeightsGPA,MATCH(W127&amp;":"&amp;N127,CustomWeightsIndex,0))</f>
        <v>0</v>
      </c>
      <c r="AE127">
        <f>INDEX(CustomWeightsSAT,MATCH(W127&amp;":"&amp;N127,CustomWeightsIndex,0))</f>
        <v>0</v>
      </c>
      <c r="AF127">
        <f>INDEX(CustomWeightsIntercept,MATCH(W127&amp;":"&amp;N127,CustomWeightsIndex,0))</f>
        <v>0</v>
      </c>
      <c r="AG127">
        <f>AD127*S127+AE127*T127+AF127</f>
        <v>0</v>
      </c>
      <c r="AH127">
        <f>INDEX(CoefficientsGPA,MATCH(W127&amp;":"&amp;R127,CoefficientsIndex,0))</f>
        <v>0</v>
      </c>
      <c r="AI127">
        <f>INDEX(CoefficientsSAT,MATCH(W127&amp;":"&amp;R127,CoefficientsIndex,0))</f>
        <v>0</v>
      </c>
      <c r="AJ127">
        <f>INDEX(CoefficientsIntercept,MATCH(W127&amp;":"&amp;R127,CoefficientsIndex,0))</f>
        <v>0</v>
      </c>
      <c r="AK127">
        <f>AH127*S127+(T127-AC127)*AI127+AJ127</f>
        <v>0</v>
      </c>
      <c r="AL127">
        <f>IF(ISNUMBER(AG127),AG127,AK127)</f>
        <v>0</v>
      </c>
      <c r="AM127">
        <f>IF(ISNUMBER(AL127),IF(ISNUMBER(AH127),IF(AND(AH127=1,AI127=1,AJ127=1),100,MIN(99,ROUND(100*EXP(AL127)/(1+EXP(AL127)),2))),MIN(99,ROUND(100*EXP(AL127)/(1+EXP(AL127)),2))),IF(ISTEXT(R127),IF(LEFT(R127,1)="2",100,"N/A"),"N/A"))</f>
        <v>0</v>
      </c>
      <c r="AN127">
        <f>IF(ISNUMBER(AM127),IF(AM127&gt;=99,IF(OR(U127=10,U127=11),MatchLabel,SureThingLabel),IF(AM127&gt;=95,SecureLabel,IF(AM127&gt;=80,SafetyLabel,IF(AM127&gt;=50,MatchLabel,IF(AM127&gt;=20,ReachLabel,IF(AM127&gt;=10,LongshotLabel,HailMaryLabel)))))),"Other")</f>
        <v>0</v>
      </c>
      <c r="AO127">
        <f>IF(OR(I127="accepted",I127="cond. accept",I127="summer admit"),IF(J127="yes","CHOICE!","Accepted!"),IF(I127="guar. transfer","Guar. Xfer",IF(I127="denied","Denied",IF(K127=1,"Waitlist",IF(L127=1,"Deferred",IF(G127="pending","Pending",IF(OR(G127="initial materials submitted",G127="mid-year submitted",G127="final submitted"),"Submitted",IF(H127="interest","Interest","?"))))))))</f>
        <v>0</v>
      </c>
      <c r="AP127">
        <f>IF(OR(AN127=ReachLabel,AN127=LongshotLabel,AN127=HailMaryLabel),1,0)</f>
        <v>0</v>
      </c>
      <c r="AQ127">
        <f>IF(OR(AP127=1,AN127=MatchLabel),1,0)</f>
        <v>0</v>
      </c>
      <c r="AR127">
        <f>IF(OR(AN127=MatchLabel,AN127=SafetyLabel,AN127=SecureLabel,AN127=SureThingLabel),1,0)</f>
        <v>0</v>
      </c>
      <c r="AS127">
        <f>IF(OR(W127="H",W127="B",W127="I",W127="M"),IF(ISNUMBER(AB127),ROUND(AB127,2),0),IF(ISNUMBER(AA127),ROUND(AA127,2),0))</f>
        <v>0</v>
      </c>
      <c r="AT127">
        <f>IF(AS127&gt;=X127,1,0)</f>
        <v>0</v>
      </c>
      <c r="AU127">
        <f>IF(AS127&gt;=Y127,1,0)</f>
        <v>0</v>
      </c>
      <c r="AV127">
        <f>IF(AS127&lt;(X127-0.10),1,0)</f>
        <v>0</v>
      </c>
      <c r="AW127">
        <f>1-AM127/100</f>
        <v>0</v>
      </c>
      <c r="AX127">
        <f>IF(AQ127=1,AW127,1)</f>
        <v>0</v>
      </c>
      <c r="AY127">
        <f>IF(AP127=1,AW127,1)</f>
        <v>0</v>
      </c>
      <c r="AZ127">
        <f>IF(AND(AT127=1,ISNUMBER(AW127)),$AW127,1)</f>
        <v>0</v>
      </c>
      <c r="BA127">
        <f>IF(AND(AU127=1,ISNUMBER(AW127)),$AW127,1)</f>
        <v>0</v>
      </c>
      <c r="BB127">
        <f>IF(ISNUMBER(AB127),INDEX(AllCollegeMoney, MATCH(N127,AllCollegeNCES,0)),0)</f>
        <v>0</v>
      </c>
      <c r="BC127">
        <f>IF(AND(AT127=1,ISNUMBER(AW127),BB127=1),$AW127,1)</f>
        <v>0</v>
      </c>
      <c r="BD127">
        <f>IF(AND(AU127=1,ISNUMBER(AW127),BB127=1),$AW127,1)</f>
        <v>0</v>
      </c>
      <c r="BE127">
        <f>IF(ISNUMBER(AB127),INDEX(AllCollegeILPub, MATCH(N127,AllCollegeNCES,0)),0)</f>
        <v>0</v>
      </c>
      <c r="BF127">
        <f>IF(AN127=ReachLabel,AS127,0)</f>
        <v>0</v>
      </c>
      <c r="BG127">
        <f>IF(AN127=MatchLabel,AS127,0)</f>
        <v>0</v>
      </c>
      <c r="BH127">
        <f>IF(AN127=SafetyLabel,AS127,0)</f>
        <v>0</v>
      </c>
      <c r="BI127">
        <f>IF(AN127=SecureLabel,AS127,0)</f>
        <v>0</v>
      </c>
      <c r="BJ127">
        <f>IF(AN127=SureThingLabel,AS127,0)</f>
        <v>0</v>
      </c>
      <c r="BK127">
        <f>MAX(BF127:BJ127)</f>
        <v>0</v>
      </c>
      <c r="BL127">
        <f>MAX(BG127:BJ127)</f>
        <v>0</v>
      </c>
      <c r="BM127">
        <f>MAX(BH127:BJ127)</f>
        <v>0</v>
      </c>
      <c r="BN127">
        <f>IF(AND(AN127=ReachLabel,BB127=1),AS127,0)</f>
        <v>0</v>
      </c>
      <c r="BO127">
        <f>IF(AND(AN127=MatchLabel,BB127=1),AS127,0)</f>
        <v>0</v>
      </c>
      <c r="BP127">
        <f>IF(AND(AN127=SafetyLabel,BB127=1),AS127,0)</f>
        <v>0</v>
      </c>
      <c r="BQ127">
        <f>IF(AND(AN127=SecureLabel,BB127=1),AS127,0)</f>
        <v>0</v>
      </c>
      <c r="BR127">
        <f>IF(AND(AN127=SureThingLabel,BB127=1),AS127,0)</f>
        <v>0</v>
      </c>
      <c r="BS127">
        <f>MAX(BN127:BR127)</f>
        <v>0</v>
      </c>
      <c r="BT127">
        <f>MAX(BO127:BR127)</f>
        <v>0</v>
      </c>
      <c r="BU127">
        <f>MAX(BP127:BR127)</f>
        <v>0</v>
      </c>
      <c r="BV127">
        <f>IF(ISNUMBER(AB127),INDEX(AllCollegeChicago, MATCH(N127,AllCollegeNCES,0))*BB127,0)</f>
        <v>0</v>
      </c>
      <c r="BW127">
        <f>IF(ISNUMBER(AB127),INDEX(AllCollegeMoneyCode, MATCH(N127,AllCollegeNCES,0)),"?")</f>
        <v>0</v>
      </c>
      <c r="BX127">
        <f>IF(OR(BW127="---",BW127="--",BW127="+/--",BW127="+/---"),1,0)</f>
        <v>0</v>
      </c>
      <c r="BY127">
        <f>BB127*AR127*AT127</f>
        <v>0</v>
      </c>
    </row>
    <row r="128" spans="1:77">
      <c r="A128" t="s">
        <v>96</v>
      </c>
      <c r="B128">
        <v>22489025</v>
      </c>
      <c r="C128" t="s">
        <v>237</v>
      </c>
      <c r="D128" t="s">
        <v>238</v>
      </c>
      <c r="E128" t="s">
        <v>446</v>
      </c>
      <c r="F128" t="s">
        <v>478</v>
      </c>
      <c r="G128" t="s">
        <v>479</v>
      </c>
      <c r="H128" t="s">
        <v>449</v>
      </c>
      <c r="I128" t="s">
        <v>450</v>
      </c>
      <c r="J128" t="s">
        <v>450</v>
      </c>
      <c r="K128">
        <v>0</v>
      </c>
      <c r="L128" t="s">
        <v>446</v>
      </c>
      <c r="M128" t="s">
        <v>446</v>
      </c>
      <c r="N128">
        <v>168546</v>
      </c>
      <c r="O128">
        <f>INDEX(Counselor,MATCH(B128,KidIDs,0))</f>
        <v>0</v>
      </c>
      <c r="P128">
        <f>INDEX(Advisors,MATCH(B128,KidIDs,0))</f>
        <v>0</v>
      </c>
      <c r="Q128">
        <f>INDEX(Cohort,MATCH(B128,KidIDs,0))</f>
        <v>0</v>
      </c>
      <c r="R128">
        <f>INDEX(AllCollegeBarrons,MATCH(N128,AllCollegeNCES,0))</f>
        <v>0</v>
      </c>
      <c r="S128">
        <f>INDEX(KidGPAs,MATCH(B128,KidIDs,0))</f>
        <v>0</v>
      </c>
      <c r="T128">
        <f>INDEX(KidSATs,MATCH(B128,KidIDs,0))</f>
        <v>0</v>
      </c>
      <c r="U128">
        <f>INDEX(Strats,MATCH(B128,KidIDs,0))</f>
        <v>0</v>
      </c>
      <c r="V128">
        <f>INDEX(KidRace,MATCH(B128,KidIDs,0))</f>
        <v>0</v>
      </c>
      <c r="W128">
        <f>IF(OR(V128="M",V128="I"),"H",IF(V128="P","A",V128))</f>
        <v>0</v>
      </c>
      <c r="X128">
        <f>INDEX(StudentTargets,MATCH(B128,KidIDs,0))</f>
        <v>0</v>
      </c>
      <c r="Y128">
        <f>INDEX(ReachStudentTargets,MATCH(B128,KidIDs,0))</f>
        <v>0</v>
      </c>
      <c r="Z128">
        <f>IF(OR(M128="Posse"),1,0)</f>
        <v>0</v>
      </c>
      <c r="AA128">
        <f>IF(ISNUMBER(INDEX(AllCollegeGR, MATCH(N128,AllCollegeNCES,0))),ROUND(INDEX(AllCollegeGR, MATCH(N128,AllCollegeNCES,0))+Z128*IF(INDEX(AllCollegeGR, MATCH(N128,AllCollegeNCES,0))&gt;0.7,(1-INDEX(AllCollegeGR, MATCH(N128,AllCollegeNCES,0)))/2,0.15),2),INDEX(AllCollegeGR, MATCH(N128,AllCollegeNCES,0)))</f>
        <v>0</v>
      </c>
      <c r="AB128">
        <f>IF(ISNUMBER(INDEX(AllCollegeAAHGR, MATCH(N128,AllCollegeNCES,0))),ROUND(INDEX(AllCollegeAAHGR, MATCH(N128,AllCollegeNCES,0))+Z128*IF(INDEX(AllCollegeAAHGR, MATCH(N128,AllCollegeNCES,0))&gt;0.7,(1-INDEX(AllCollegeAAHGR, MATCH(N128,AllCollegeNCES,0)))/2,0.15),2),INDEX(AllCollegeAAHGR, MATCH(N128,AllCollegeNCES,0)))</f>
        <v>0</v>
      </c>
      <c r="AC128">
        <f>IF(OR(W128="H",W128="B"),INDEX(AllCollegeSAT25, MATCH(N128,AllCollegeNCES,0)),INDEX(AllCollegeSAT50, MATCH(N128,AllCollegeNCES,0)))</f>
        <v>0</v>
      </c>
      <c r="AD128">
        <f>INDEX(CustomWeightsGPA,MATCH(W128&amp;":"&amp;N128,CustomWeightsIndex,0))</f>
        <v>0</v>
      </c>
      <c r="AE128">
        <f>INDEX(CustomWeightsSAT,MATCH(W128&amp;":"&amp;N128,CustomWeightsIndex,0))</f>
        <v>0</v>
      </c>
      <c r="AF128">
        <f>INDEX(CustomWeightsIntercept,MATCH(W128&amp;":"&amp;N128,CustomWeightsIndex,0))</f>
        <v>0</v>
      </c>
      <c r="AG128">
        <f>AD128*S128+AE128*T128+AF128</f>
        <v>0</v>
      </c>
      <c r="AH128">
        <f>INDEX(CoefficientsGPA,MATCH(W128&amp;":"&amp;R128,CoefficientsIndex,0))</f>
        <v>0</v>
      </c>
      <c r="AI128">
        <f>INDEX(CoefficientsSAT,MATCH(W128&amp;":"&amp;R128,CoefficientsIndex,0))</f>
        <v>0</v>
      </c>
      <c r="AJ128">
        <f>INDEX(CoefficientsIntercept,MATCH(W128&amp;":"&amp;R128,CoefficientsIndex,0))</f>
        <v>0</v>
      </c>
      <c r="AK128">
        <f>AH128*S128+(T128-AC128)*AI128+AJ128</f>
        <v>0</v>
      </c>
      <c r="AL128">
        <f>IF(ISNUMBER(AG128),AG128,AK128)</f>
        <v>0</v>
      </c>
      <c r="AM128">
        <f>IF(ISNUMBER(AL128),IF(ISNUMBER(AH128),IF(AND(AH128=1,AI128=1,AJ128=1),100,MIN(99,ROUND(100*EXP(AL128)/(1+EXP(AL128)),2))),MIN(99,ROUND(100*EXP(AL128)/(1+EXP(AL128)),2))),IF(ISTEXT(R128),IF(LEFT(R128,1)="2",100,"N/A"),"N/A"))</f>
        <v>0</v>
      </c>
      <c r="AN128">
        <f>IF(ISNUMBER(AM128),IF(AM128&gt;=99,IF(OR(U128=10,U128=11),MatchLabel,SureThingLabel),IF(AM128&gt;=95,SecureLabel,IF(AM128&gt;=80,SafetyLabel,IF(AM128&gt;=50,MatchLabel,IF(AM128&gt;=20,ReachLabel,IF(AM128&gt;=10,LongshotLabel,HailMaryLabel)))))),"Other")</f>
        <v>0</v>
      </c>
      <c r="AO128">
        <f>IF(OR(I128="accepted",I128="cond. accept",I128="summer admit"),IF(J128="yes","CHOICE!","Accepted!"),IF(I128="guar. transfer","Guar. Xfer",IF(I128="denied","Denied",IF(K128=1,"Waitlist",IF(L128=1,"Deferred",IF(G128="pending","Pending",IF(OR(G128="initial materials submitted",G128="mid-year submitted",G128="final submitted"),"Submitted",IF(H128="interest","Interest","?"))))))))</f>
        <v>0</v>
      </c>
      <c r="AP128">
        <f>IF(OR(AN128=ReachLabel,AN128=LongshotLabel,AN128=HailMaryLabel),1,0)</f>
        <v>0</v>
      </c>
      <c r="AQ128">
        <f>IF(OR(AP128=1,AN128=MatchLabel),1,0)</f>
        <v>0</v>
      </c>
      <c r="AR128">
        <f>IF(OR(AN128=MatchLabel,AN128=SafetyLabel,AN128=SecureLabel,AN128=SureThingLabel),1,0)</f>
        <v>0</v>
      </c>
      <c r="AS128">
        <f>IF(OR(W128="H",W128="B",W128="I",W128="M"),IF(ISNUMBER(AB128),ROUND(AB128,2),0),IF(ISNUMBER(AA128),ROUND(AA128,2),0))</f>
        <v>0</v>
      </c>
      <c r="AT128">
        <f>IF(AS128&gt;=X128,1,0)</f>
        <v>0</v>
      </c>
      <c r="AU128">
        <f>IF(AS128&gt;=Y128,1,0)</f>
        <v>0</v>
      </c>
      <c r="AV128">
        <f>IF(AS128&lt;(X128-0.10),1,0)</f>
        <v>0</v>
      </c>
      <c r="AW128">
        <f>1-AM128/100</f>
        <v>0</v>
      </c>
      <c r="AX128">
        <f>IF(AQ128=1,AW128,1)</f>
        <v>0</v>
      </c>
      <c r="AY128">
        <f>IF(AP128=1,AW128,1)</f>
        <v>0</v>
      </c>
      <c r="AZ128">
        <f>IF(AND(AT128=1,ISNUMBER(AW128)),$AW128,1)</f>
        <v>0</v>
      </c>
      <c r="BA128">
        <f>IF(AND(AU128=1,ISNUMBER(AW128)),$AW128,1)</f>
        <v>0</v>
      </c>
      <c r="BB128">
        <f>IF(ISNUMBER(AB128),INDEX(AllCollegeMoney, MATCH(N128,AllCollegeNCES,0)),0)</f>
        <v>0</v>
      </c>
      <c r="BC128">
        <f>IF(AND(AT128=1,ISNUMBER(AW128),BB128=1),$AW128,1)</f>
        <v>0</v>
      </c>
      <c r="BD128">
        <f>IF(AND(AU128=1,ISNUMBER(AW128),BB128=1),$AW128,1)</f>
        <v>0</v>
      </c>
      <c r="BE128">
        <f>IF(ISNUMBER(AB128),INDEX(AllCollegeILPub, MATCH(N128,AllCollegeNCES,0)),0)</f>
        <v>0</v>
      </c>
      <c r="BF128">
        <f>IF(AN128=ReachLabel,AS128,0)</f>
        <v>0</v>
      </c>
      <c r="BG128">
        <f>IF(AN128=MatchLabel,AS128,0)</f>
        <v>0</v>
      </c>
      <c r="BH128">
        <f>IF(AN128=SafetyLabel,AS128,0)</f>
        <v>0</v>
      </c>
      <c r="BI128">
        <f>IF(AN128=SecureLabel,AS128,0)</f>
        <v>0</v>
      </c>
      <c r="BJ128">
        <f>IF(AN128=SureThingLabel,AS128,0)</f>
        <v>0</v>
      </c>
      <c r="BK128">
        <f>MAX(BF128:BJ128)</f>
        <v>0</v>
      </c>
      <c r="BL128">
        <f>MAX(BG128:BJ128)</f>
        <v>0</v>
      </c>
      <c r="BM128">
        <f>MAX(BH128:BJ128)</f>
        <v>0</v>
      </c>
      <c r="BN128">
        <f>IF(AND(AN128=ReachLabel,BB128=1),AS128,0)</f>
        <v>0</v>
      </c>
      <c r="BO128">
        <f>IF(AND(AN128=MatchLabel,BB128=1),AS128,0)</f>
        <v>0</v>
      </c>
      <c r="BP128">
        <f>IF(AND(AN128=SafetyLabel,BB128=1),AS128,0)</f>
        <v>0</v>
      </c>
      <c r="BQ128">
        <f>IF(AND(AN128=SecureLabel,BB128=1),AS128,0)</f>
        <v>0</v>
      </c>
      <c r="BR128">
        <f>IF(AND(AN128=SureThingLabel,BB128=1),AS128,0)</f>
        <v>0</v>
      </c>
      <c r="BS128">
        <f>MAX(BN128:BR128)</f>
        <v>0</v>
      </c>
      <c r="BT128">
        <f>MAX(BO128:BR128)</f>
        <v>0</v>
      </c>
      <c r="BU128">
        <f>MAX(BP128:BR128)</f>
        <v>0</v>
      </c>
      <c r="BV128">
        <f>IF(ISNUMBER(AB128),INDEX(AllCollegeChicago, MATCH(N128,AllCollegeNCES,0))*BB128,0)</f>
        <v>0</v>
      </c>
      <c r="BW128">
        <f>IF(ISNUMBER(AB128),INDEX(AllCollegeMoneyCode, MATCH(N128,AllCollegeNCES,0)),"?")</f>
        <v>0</v>
      </c>
      <c r="BX128">
        <f>IF(OR(BW128="---",BW128="--",BW128="+/--",BW128="+/---"),1,0)</f>
        <v>0</v>
      </c>
      <c r="BY128">
        <f>BB128*AR128*AT128</f>
        <v>0</v>
      </c>
    </row>
    <row r="129" spans="1:77">
      <c r="A129" t="s">
        <v>96</v>
      </c>
      <c r="B129">
        <v>22489025</v>
      </c>
      <c r="C129" t="s">
        <v>237</v>
      </c>
      <c r="D129" t="s">
        <v>238</v>
      </c>
      <c r="E129" t="s">
        <v>446</v>
      </c>
      <c r="F129" t="s">
        <v>481</v>
      </c>
      <c r="G129" t="s">
        <v>448</v>
      </c>
      <c r="H129" t="s">
        <v>449</v>
      </c>
      <c r="I129" t="s">
        <v>450</v>
      </c>
      <c r="J129" t="s">
        <v>450</v>
      </c>
      <c r="K129">
        <v>0</v>
      </c>
      <c r="L129" t="s">
        <v>446</v>
      </c>
      <c r="M129" t="s">
        <v>446</v>
      </c>
      <c r="N129">
        <v>153834</v>
      </c>
      <c r="O129">
        <f>INDEX(Counselor,MATCH(B129,KidIDs,0))</f>
        <v>0</v>
      </c>
      <c r="P129">
        <f>INDEX(Advisors,MATCH(B129,KidIDs,0))</f>
        <v>0</v>
      </c>
      <c r="Q129">
        <f>INDEX(Cohort,MATCH(B129,KidIDs,0))</f>
        <v>0</v>
      </c>
      <c r="R129">
        <f>INDEX(AllCollegeBarrons,MATCH(N129,AllCollegeNCES,0))</f>
        <v>0</v>
      </c>
      <c r="S129">
        <f>INDEX(KidGPAs,MATCH(B129,KidIDs,0))</f>
        <v>0</v>
      </c>
      <c r="T129">
        <f>INDEX(KidSATs,MATCH(B129,KidIDs,0))</f>
        <v>0</v>
      </c>
      <c r="U129">
        <f>INDEX(Strats,MATCH(B129,KidIDs,0))</f>
        <v>0</v>
      </c>
      <c r="V129">
        <f>INDEX(KidRace,MATCH(B129,KidIDs,0))</f>
        <v>0</v>
      </c>
      <c r="W129">
        <f>IF(OR(V129="M",V129="I"),"H",IF(V129="P","A",V129))</f>
        <v>0</v>
      </c>
      <c r="X129">
        <f>INDEX(StudentTargets,MATCH(B129,KidIDs,0))</f>
        <v>0</v>
      </c>
      <c r="Y129">
        <f>INDEX(ReachStudentTargets,MATCH(B129,KidIDs,0))</f>
        <v>0</v>
      </c>
      <c r="Z129">
        <f>IF(OR(M129="Posse"),1,0)</f>
        <v>0</v>
      </c>
      <c r="AA129">
        <f>IF(ISNUMBER(INDEX(AllCollegeGR, MATCH(N129,AllCollegeNCES,0))),ROUND(INDEX(AllCollegeGR, MATCH(N129,AllCollegeNCES,0))+Z129*IF(INDEX(AllCollegeGR, MATCH(N129,AllCollegeNCES,0))&gt;0.7,(1-INDEX(AllCollegeGR, MATCH(N129,AllCollegeNCES,0)))/2,0.15),2),INDEX(AllCollegeGR, MATCH(N129,AllCollegeNCES,0)))</f>
        <v>0</v>
      </c>
      <c r="AB129">
        <f>IF(ISNUMBER(INDEX(AllCollegeAAHGR, MATCH(N129,AllCollegeNCES,0))),ROUND(INDEX(AllCollegeAAHGR, MATCH(N129,AllCollegeNCES,0))+Z129*IF(INDEX(AllCollegeAAHGR, MATCH(N129,AllCollegeNCES,0))&gt;0.7,(1-INDEX(AllCollegeAAHGR, MATCH(N129,AllCollegeNCES,0)))/2,0.15),2),INDEX(AllCollegeAAHGR, MATCH(N129,AllCollegeNCES,0)))</f>
        <v>0</v>
      </c>
      <c r="AC129">
        <f>IF(OR(W129="H",W129="B"),INDEX(AllCollegeSAT25, MATCH(N129,AllCollegeNCES,0)),INDEX(AllCollegeSAT50, MATCH(N129,AllCollegeNCES,0)))</f>
        <v>0</v>
      </c>
      <c r="AD129">
        <f>INDEX(CustomWeightsGPA,MATCH(W129&amp;":"&amp;N129,CustomWeightsIndex,0))</f>
        <v>0</v>
      </c>
      <c r="AE129">
        <f>INDEX(CustomWeightsSAT,MATCH(W129&amp;":"&amp;N129,CustomWeightsIndex,0))</f>
        <v>0</v>
      </c>
      <c r="AF129">
        <f>INDEX(CustomWeightsIntercept,MATCH(W129&amp;":"&amp;N129,CustomWeightsIndex,0))</f>
        <v>0</v>
      </c>
      <c r="AG129">
        <f>AD129*S129+AE129*T129+AF129</f>
        <v>0</v>
      </c>
      <c r="AH129">
        <f>INDEX(CoefficientsGPA,MATCH(W129&amp;":"&amp;R129,CoefficientsIndex,0))</f>
        <v>0</v>
      </c>
      <c r="AI129">
        <f>INDEX(CoefficientsSAT,MATCH(W129&amp;":"&amp;R129,CoefficientsIndex,0))</f>
        <v>0</v>
      </c>
      <c r="AJ129">
        <f>INDEX(CoefficientsIntercept,MATCH(W129&amp;":"&amp;R129,CoefficientsIndex,0))</f>
        <v>0</v>
      </c>
      <c r="AK129">
        <f>AH129*S129+(T129-AC129)*AI129+AJ129</f>
        <v>0</v>
      </c>
      <c r="AL129">
        <f>IF(ISNUMBER(AG129),AG129,AK129)</f>
        <v>0</v>
      </c>
      <c r="AM129">
        <f>IF(ISNUMBER(AL129),IF(ISNUMBER(AH129),IF(AND(AH129=1,AI129=1,AJ129=1),100,MIN(99,ROUND(100*EXP(AL129)/(1+EXP(AL129)),2))),MIN(99,ROUND(100*EXP(AL129)/(1+EXP(AL129)),2))),IF(ISTEXT(R129),IF(LEFT(R129,1)="2",100,"N/A"),"N/A"))</f>
        <v>0</v>
      </c>
      <c r="AN129">
        <f>IF(ISNUMBER(AM129),IF(AM129&gt;=99,IF(OR(U129=10,U129=11),MatchLabel,SureThingLabel),IF(AM129&gt;=95,SecureLabel,IF(AM129&gt;=80,SafetyLabel,IF(AM129&gt;=50,MatchLabel,IF(AM129&gt;=20,ReachLabel,IF(AM129&gt;=10,LongshotLabel,HailMaryLabel)))))),"Other")</f>
        <v>0</v>
      </c>
      <c r="AO129">
        <f>IF(OR(I129="accepted",I129="cond. accept",I129="summer admit"),IF(J129="yes","CHOICE!","Accepted!"),IF(I129="guar. transfer","Guar. Xfer",IF(I129="denied","Denied",IF(K129=1,"Waitlist",IF(L129=1,"Deferred",IF(G129="pending","Pending",IF(OR(G129="initial materials submitted",G129="mid-year submitted",G129="final submitted"),"Submitted",IF(H129="interest","Interest","?"))))))))</f>
        <v>0</v>
      </c>
      <c r="AP129">
        <f>IF(OR(AN129=ReachLabel,AN129=LongshotLabel,AN129=HailMaryLabel),1,0)</f>
        <v>0</v>
      </c>
      <c r="AQ129">
        <f>IF(OR(AP129=1,AN129=MatchLabel),1,0)</f>
        <v>0</v>
      </c>
      <c r="AR129">
        <f>IF(OR(AN129=MatchLabel,AN129=SafetyLabel,AN129=SecureLabel,AN129=SureThingLabel),1,0)</f>
        <v>0</v>
      </c>
      <c r="AS129">
        <f>IF(OR(W129="H",W129="B",W129="I",W129="M"),IF(ISNUMBER(AB129),ROUND(AB129,2),0),IF(ISNUMBER(AA129),ROUND(AA129,2),0))</f>
        <v>0</v>
      </c>
      <c r="AT129">
        <f>IF(AS129&gt;=X129,1,0)</f>
        <v>0</v>
      </c>
      <c r="AU129">
        <f>IF(AS129&gt;=Y129,1,0)</f>
        <v>0</v>
      </c>
      <c r="AV129">
        <f>IF(AS129&lt;(X129-0.10),1,0)</f>
        <v>0</v>
      </c>
      <c r="AW129">
        <f>1-AM129/100</f>
        <v>0</v>
      </c>
      <c r="AX129">
        <f>IF(AQ129=1,AW129,1)</f>
        <v>0</v>
      </c>
      <c r="AY129">
        <f>IF(AP129=1,AW129,1)</f>
        <v>0</v>
      </c>
      <c r="AZ129">
        <f>IF(AND(AT129=1,ISNUMBER(AW129)),$AW129,1)</f>
        <v>0</v>
      </c>
      <c r="BA129">
        <f>IF(AND(AU129=1,ISNUMBER(AW129)),$AW129,1)</f>
        <v>0</v>
      </c>
      <c r="BB129">
        <f>IF(ISNUMBER(AB129),INDEX(AllCollegeMoney, MATCH(N129,AllCollegeNCES,0)),0)</f>
        <v>0</v>
      </c>
      <c r="BC129">
        <f>IF(AND(AT129=1,ISNUMBER(AW129),BB129=1),$AW129,1)</f>
        <v>0</v>
      </c>
      <c r="BD129">
        <f>IF(AND(AU129=1,ISNUMBER(AW129),BB129=1),$AW129,1)</f>
        <v>0</v>
      </c>
      <c r="BE129">
        <f>IF(ISNUMBER(AB129),INDEX(AllCollegeILPub, MATCH(N129,AllCollegeNCES,0)),0)</f>
        <v>0</v>
      </c>
      <c r="BF129">
        <f>IF(AN129=ReachLabel,AS129,0)</f>
        <v>0</v>
      </c>
      <c r="BG129">
        <f>IF(AN129=MatchLabel,AS129,0)</f>
        <v>0</v>
      </c>
      <c r="BH129">
        <f>IF(AN129=SafetyLabel,AS129,0)</f>
        <v>0</v>
      </c>
      <c r="BI129">
        <f>IF(AN129=SecureLabel,AS129,0)</f>
        <v>0</v>
      </c>
      <c r="BJ129">
        <f>IF(AN129=SureThingLabel,AS129,0)</f>
        <v>0</v>
      </c>
      <c r="BK129">
        <f>MAX(BF129:BJ129)</f>
        <v>0</v>
      </c>
      <c r="BL129">
        <f>MAX(BG129:BJ129)</f>
        <v>0</v>
      </c>
      <c r="BM129">
        <f>MAX(BH129:BJ129)</f>
        <v>0</v>
      </c>
      <c r="BN129">
        <f>IF(AND(AN129=ReachLabel,BB129=1),AS129,0)</f>
        <v>0</v>
      </c>
      <c r="BO129">
        <f>IF(AND(AN129=MatchLabel,BB129=1),AS129,0)</f>
        <v>0</v>
      </c>
      <c r="BP129">
        <f>IF(AND(AN129=SafetyLabel,BB129=1),AS129,0)</f>
        <v>0</v>
      </c>
      <c r="BQ129">
        <f>IF(AND(AN129=SecureLabel,BB129=1),AS129,0)</f>
        <v>0</v>
      </c>
      <c r="BR129">
        <f>IF(AND(AN129=SureThingLabel,BB129=1),AS129,0)</f>
        <v>0</v>
      </c>
      <c r="BS129">
        <f>MAX(BN129:BR129)</f>
        <v>0</v>
      </c>
      <c r="BT129">
        <f>MAX(BO129:BR129)</f>
        <v>0</v>
      </c>
      <c r="BU129">
        <f>MAX(BP129:BR129)</f>
        <v>0</v>
      </c>
      <c r="BV129">
        <f>IF(ISNUMBER(AB129),INDEX(AllCollegeChicago, MATCH(N129,AllCollegeNCES,0))*BB129,0)</f>
        <v>0</v>
      </c>
      <c r="BW129">
        <f>IF(ISNUMBER(AB129),INDEX(AllCollegeMoneyCode, MATCH(N129,AllCollegeNCES,0)),"?")</f>
        <v>0</v>
      </c>
      <c r="BX129">
        <f>IF(OR(BW129="---",BW129="--",BW129="+/--",BW129="+/---"),1,0)</f>
        <v>0</v>
      </c>
      <c r="BY129">
        <f>BB129*AR129*AT129</f>
        <v>0</v>
      </c>
    </row>
    <row r="130" spans="1:77">
      <c r="A130" t="s">
        <v>96</v>
      </c>
      <c r="B130">
        <v>22489025</v>
      </c>
      <c r="C130" t="s">
        <v>237</v>
      </c>
      <c r="D130" t="s">
        <v>238</v>
      </c>
      <c r="E130" t="s">
        <v>446</v>
      </c>
      <c r="F130" t="s">
        <v>453</v>
      </c>
      <c r="G130" t="s">
        <v>479</v>
      </c>
      <c r="H130" t="s">
        <v>449</v>
      </c>
      <c r="I130" t="s">
        <v>450</v>
      </c>
      <c r="J130" t="s">
        <v>450</v>
      </c>
      <c r="K130">
        <v>0</v>
      </c>
      <c r="L130" t="s">
        <v>446</v>
      </c>
      <c r="M130" t="s">
        <v>454</v>
      </c>
      <c r="N130">
        <v>150774</v>
      </c>
      <c r="O130">
        <f>INDEX(Counselor,MATCH(B130,KidIDs,0))</f>
        <v>0</v>
      </c>
      <c r="P130">
        <f>INDEX(Advisors,MATCH(B130,KidIDs,0))</f>
        <v>0</v>
      </c>
      <c r="Q130">
        <f>INDEX(Cohort,MATCH(B130,KidIDs,0))</f>
        <v>0</v>
      </c>
      <c r="R130">
        <f>INDEX(AllCollegeBarrons,MATCH(N130,AllCollegeNCES,0))</f>
        <v>0</v>
      </c>
      <c r="S130">
        <f>INDEX(KidGPAs,MATCH(B130,KidIDs,0))</f>
        <v>0</v>
      </c>
      <c r="T130">
        <f>INDEX(KidSATs,MATCH(B130,KidIDs,0))</f>
        <v>0</v>
      </c>
      <c r="U130">
        <f>INDEX(Strats,MATCH(B130,KidIDs,0))</f>
        <v>0</v>
      </c>
      <c r="V130">
        <f>INDEX(KidRace,MATCH(B130,KidIDs,0))</f>
        <v>0</v>
      </c>
      <c r="W130">
        <f>IF(OR(V130="M",V130="I"),"H",IF(V130="P","A",V130))</f>
        <v>0</v>
      </c>
      <c r="X130">
        <f>INDEX(StudentTargets,MATCH(B130,KidIDs,0))</f>
        <v>0</v>
      </c>
      <c r="Y130">
        <f>INDEX(ReachStudentTargets,MATCH(B130,KidIDs,0))</f>
        <v>0</v>
      </c>
      <c r="Z130">
        <f>IF(OR(M130="Posse"),1,0)</f>
        <v>0</v>
      </c>
      <c r="AA130">
        <f>IF(ISNUMBER(INDEX(AllCollegeGR, MATCH(N130,AllCollegeNCES,0))),ROUND(INDEX(AllCollegeGR, MATCH(N130,AllCollegeNCES,0))+Z130*IF(INDEX(AllCollegeGR, MATCH(N130,AllCollegeNCES,0))&gt;0.7,(1-INDEX(AllCollegeGR, MATCH(N130,AllCollegeNCES,0)))/2,0.15),2),INDEX(AllCollegeGR, MATCH(N130,AllCollegeNCES,0)))</f>
        <v>0</v>
      </c>
      <c r="AB130">
        <f>IF(ISNUMBER(INDEX(AllCollegeAAHGR, MATCH(N130,AllCollegeNCES,0))),ROUND(INDEX(AllCollegeAAHGR, MATCH(N130,AllCollegeNCES,0))+Z130*IF(INDEX(AllCollegeAAHGR, MATCH(N130,AllCollegeNCES,0))&gt;0.7,(1-INDEX(AllCollegeAAHGR, MATCH(N130,AllCollegeNCES,0)))/2,0.15),2),INDEX(AllCollegeAAHGR, MATCH(N130,AllCollegeNCES,0)))</f>
        <v>0</v>
      </c>
      <c r="AC130">
        <f>IF(OR(W130="H",W130="B"),INDEX(AllCollegeSAT25, MATCH(N130,AllCollegeNCES,0)),INDEX(AllCollegeSAT50, MATCH(N130,AllCollegeNCES,0)))</f>
        <v>0</v>
      </c>
      <c r="AD130">
        <f>INDEX(CustomWeightsGPA,MATCH(W130&amp;":"&amp;N130,CustomWeightsIndex,0))</f>
        <v>0</v>
      </c>
      <c r="AE130">
        <f>INDEX(CustomWeightsSAT,MATCH(W130&amp;":"&amp;N130,CustomWeightsIndex,0))</f>
        <v>0</v>
      </c>
      <c r="AF130">
        <f>INDEX(CustomWeightsIntercept,MATCH(W130&amp;":"&amp;N130,CustomWeightsIndex,0))</f>
        <v>0</v>
      </c>
      <c r="AG130">
        <f>AD130*S130+AE130*T130+AF130</f>
        <v>0</v>
      </c>
      <c r="AH130">
        <f>INDEX(CoefficientsGPA,MATCH(W130&amp;":"&amp;R130,CoefficientsIndex,0))</f>
        <v>0</v>
      </c>
      <c r="AI130">
        <f>INDEX(CoefficientsSAT,MATCH(W130&amp;":"&amp;R130,CoefficientsIndex,0))</f>
        <v>0</v>
      </c>
      <c r="AJ130">
        <f>INDEX(CoefficientsIntercept,MATCH(W130&amp;":"&amp;R130,CoefficientsIndex,0))</f>
        <v>0</v>
      </c>
      <c r="AK130">
        <f>AH130*S130+(T130-AC130)*AI130+AJ130</f>
        <v>0</v>
      </c>
      <c r="AL130">
        <f>IF(ISNUMBER(AG130),AG130,AK130)</f>
        <v>0</v>
      </c>
      <c r="AM130">
        <f>IF(ISNUMBER(AL130),IF(ISNUMBER(AH130),IF(AND(AH130=1,AI130=1,AJ130=1),100,MIN(99,ROUND(100*EXP(AL130)/(1+EXP(AL130)),2))),MIN(99,ROUND(100*EXP(AL130)/(1+EXP(AL130)),2))),IF(ISTEXT(R130),IF(LEFT(R130,1)="2",100,"N/A"),"N/A"))</f>
        <v>0</v>
      </c>
      <c r="AN130">
        <f>IF(ISNUMBER(AM130),IF(AM130&gt;=99,IF(OR(U130=10,U130=11),MatchLabel,SureThingLabel),IF(AM130&gt;=95,SecureLabel,IF(AM130&gt;=80,SafetyLabel,IF(AM130&gt;=50,MatchLabel,IF(AM130&gt;=20,ReachLabel,IF(AM130&gt;=10,LongshotLabel,HailMaryLabel)))))),"Other")</f>
        <v>0</v>
      </c>
      <c r="AO130">
        <f>IF(OR(I130="accepted",I130="cond. accept",I130="summer admit"),IF(J130="yes","CHOICE!","Accepted!"),IF(I130="guar. transfer","Guar. Xfer",IF(I130="denied","Denied",IF(K130=1,"Waitlist",IF(L130=1,"Deferred",IF(G130="pending","Pending",IF(OR(G130="initial materials submitted",G130="mid-year submitted",G130="final submitted"),"Submitted",IF(H130="interest","Interest","?"))))))))</f>
        <v>0</v>
      </c>
      <c r="AP130">
        <f>IF(OR(AN130=ReachLabel,AN130=LongshotLabel,AN130=HailMaryLabel),1,0)</f>
        <v>0</v>
      </c>
      <c r="AQ130">
        <f>IF(OR(AP130=1,AN130=MatchLabel),1,0)</f>
        <v>0</v>
      </c>
      <c r="AR130">
        <f>IF(OR(AN130=MatchLabel,AN130=SafetyLabel,AN130=SecureLabel,AN130=SureThingLabel),1,0)</f>
        <v>0</v>
      </c>
      <c r="AS130">
        <f>IF(OR(W130="H",W130="B",W130="I",W130="M"),IF(ISNUMBER(AB130),ROUND(AB130,2),0),IF(ISNUMBER(AA130),ROUND(AA130,2),0))</f>
        <v>0</v>
      </c>
      <c r="AT130">
        <f>IF(AS130&gt;=X130,1,0)</f>
        <v>0</v>
      </c>
      <c r="AU130">
        <f>IF(AS130&gt;=Y130,1,0)</f>
        <v>0</v>
      </c>
      <c r="AV130">
        <f>IF(AS130&lt;(X130-0.10),1,0)</f>
        <v>0</v>
      </c>
      <c r="AW130">
        <f>1-AM130/100</f>
        <v>0</v>
      </c>
      <c r="AX130">
        <f>IF(AQ130=1,AW130,1)</f>
        <v>0</v>
      </c>
      <c r="AY130">
        <f>IF(AP130=1,AW130,1)</f>
        <v>0</v>
      </c>
      <c r="AZ130">
        <f>IF(AND(AT130=1,ISNUMBER(AW130)),$AW130,1)</f>
        <v>0</v>
      </c>
      <c r="BA130">
        <f>IF(AND(AU130=1,ISNUMBER(AW130)),$AW130,1)</f>
        <v>0</v>
      </c>
      <c r="BB130">
        <f>IF(ISNUMBER(AB130),INDEX(AllCollegeMoney, MATCH(N130,AllCollegeNCES,0)),0)</f>
        <v>0</v>
      </c>
      <c r="BC130">
        <f>IF(AND(AT130=1,ISNUMBER(AW130),BB130=1),$AW130,1)</f>
        <v>0</v>
      </c>
      <c r="BD130">
        <f>IF(AND(AU130=1,ISNUMBER(AW130),BB130=1),$AW130,1)</f>
        <v>0</v>
      </c>
      <c r="BE130">
        <f>IF(ISNUMBER(AB130),INDEX(AllCollegeILPub, MATCH(N130,AllCollegeNCES,0)),0)</f>
        <v>0</v>
      </c>
      <c r="BF130">
        <f>IF(AN130=ReachLabel,AS130,0)</f>
        <v>0</v>
      </c>
      <c r="BG130">
        <f>IF(AN130=MatchLabel,AS130,0)</f>
        <v>0</v>
      </c>
      <c r="BH130">
        <f>IF(AN130=SafetyLabel,AS130,0)</f>
        <v>0</v>
      </c>
      <c r="BI130">
        <f>IF(AN130=SecureLabel,AS130,0)</f>
        <v>0</v>
      </c>
      <c r="BJ130">
        <f>IF(AN130=SureThingLabel,AS130,0)</f>
        <v>0</v>
      </c>
      <c r="BK130">
        <f>MAX(BF130:BJ130)</f>
        <v>0</v>
      </c>
      <c r="BL130">
        <f>MAX(BG130:BJ130)</f>
        <v>0</v>
      </c>
      <c r="BM130">
        <f>MAX(BH130:BJ130)</f>
        <v>0</v>
      </c>
      <c r="BN130">
        <f>IF(AND(AN130=ReachLabel,BB130=1),AS130,0)</f>
        <v>0</v>
      </c>
      <c r="BO130">
        <f>IF(AND(AN130=MatchLabel,BB130=1),AS130,0)</f>
        <v>0</v>
      </c>
      <c r="BP130">
        <f>IF(AND(AN130=SafetyLabel,BB130=1),AS130,0)</f>
        <v>0</v>
      </c>
      <c r="BQ130">
        <f>IF(AND(AN130=SecureLabel,BB130=1),AS130,0)</f>
        <v>0</v>
      </c>
      <c r="BR130">
        <f>IF(AND(AN130=SureThingLabel,BB130=1),AS130,0)</f>
        <v>0</v>
      </c>
      <c r="BS130">
        <f>MAX(BN130:BR130)</f>
        <v>0</v>
      </c>
      <c r="BT130">
        <f>MAX(BO130:BR130)</f>
        <v>0</v>
      </c>
      <c r="BU130">
        <f>MAX(BP130:BR130)</f>
        <v>0</v>
      </c>
      <c r="BV130">
        <f>IF(ISNUMBER(AB130),INDEX(AllCollegeChicago, MATCH(N130,AllCollegeNCES,0))*BB130,0)</f>
        <v>0</v>
      </c>
      <c r="BW130">
        <f>IF(ISNUMBER(AB130),INDEX(AllCollegeMoneyCode, MATCH(N130,AllCollegeNCES,0)),"?")</f>
        <v>0</v>
      </c>
      <c r="BX130">
        <f>IF(OR(BW130="---",BW130="--",BW130="+/--",BW130="+/---"),1,0)</f>
        <v>0</v>
      </c>
      <c r="BY130">
        <f>BB130*AR130*AT130</f>
        <v>0</v>
      </c>
    </row>
    <row r="131" spans="1:77">
      <c r="A131" t="s">
        <v>96</v>
      </c>
      <c r="B131">
        <v>22511393</v>
      </c>
      <c r="C131" t="s">
        <v>215</v>
      </c>
      <c r="D131" t="s">
        <v>216</v>
      </c>
      <c r="E131" t="s">
        <v>446</v>
      </c>
      <c r="F131" t="s">
        <v>482</v>
      </c>
      <c r="G131" t="s">
        <v>448</v>
      </c>
      <c r="H131" t="s">
        <v>449</v>
      </c>
      <c r="I131" t="s">
        <v>450</v>
      </c>
      <c r="J131" t="s">
        <v>450</v>
      </c>
      <c r="K131">
        <v>0</v>
      </c>
      <c r="L131" t="s">
        <v>446</v>
      </c>
      <c r="M131" t="s">
        <v>446</v>
      </c>
      <c r="N131">
        <v>170976</v>
      </c>
      <c r="O131">
        <f>INDEX(Counselor,MATCH(B131,KidIDs,0))</f>
        <v>0</v>
      </c>
      <c r="P131">
        <f>INDEX(Advisors,MATCH(B131,KidIDs,0))</f>
        <v>0</v>
      </c>
      <c r="Q131">
        <f>INDEX(Cohort,MATCH(B131,KidIDs,0))</f>
        <v>0</v>
      </c>
      <c r="R131">
        <f>INDEX(AllCollegeBarrons,MATCH(N131,AllCollegeNCES,0))</f>
        <v>0</v>
      </c>
      <c r="S131">
        <f>INDEX(KidGPAs,MATCH(B131,KidIDs,0))</f>
        <v>0</v>
      </c>
      <c r="T131">
        <f>INDEX(KidSATs,MATCH(B131,KidIDs,0))</f>
        <v>0</v>
      </c>
      <c r="U131">
        <f>INDEX(Strats,MATCH(B131,KidIDs,0))</f>
        <v>0</v>
      </c>
      <c r="V131">
        <f>INDEX(KidRace,MATCH(B131,KidIDs,0))</f>
        <v>0</v>
      </c>
      <c r="W131">
        <f>IF(OR(V131="M",V131="I"),"H",IF(V131="P","A",V131))</f>
        <v>0</v>
      </c>
      <c r="X131">
        <f>INDEX(StudentTargets,MATCH(B131,KidIDs,0))</f>
        <v>0</v>
      </c>
      <c r="Y131">
        <f>INDEX(ReachStudentTargets,MATCH(B131,KidIDs,0))</f>
        <v>0</v>
      </c>
      <c r="Z131">
        <f>IF(OR(M131="Posse"),1,0)</f>
        <v>0</v>
      </c>
      <c r="AA131">
        <f>IF(ISNUMBER(INDEX(AllCollegeGR, MATCH(N131,AllCollegeNCES,0))),ROUND(INDEX(AllCollegeGR, MATCH(N131,AllCollegeNCES,0))+Z131*IF(INDEX(AllCollegeGR, MATCH(N131,AllCollegeNCES,0))&gt;0.7,(1-INDEX(AllCollegeGR, MATCH(N131,AllCollegeNCES,0)))/2,0.15),2),INDEX(AllCollegeGR, MATCH(N131,AllCollegeNCES,0)))</f>
        <v>0</v>
      </c>
      <c r="AB131">
        <f>IF(ISNUMBER(INDEX(AllCollegeAAHGR, MATCH(N131,AllCollegeNCES,0))),ROUND(INDEX(AllCollegeAAHGR, MATCH(N131,AllCollegeNCES,0))+Z131*IF(INDEX(AllCollegeAAHGR, MATCH(N131,AllCollegeNCES,0))&gt;0.7,(1-INDEX(AllCollegeAAHGR, MATCH(N131,AllCollegeNCES,0)))/2,0.15),2),INDEX(AllCollegeAAHGR, MATCH(N131,AllCollegeNCES,0)))</f>
        <v>0</v>
      </c>
      <c r="AC131">
        <f>IF(OR(W131="H",W131="B"),INDEX(AllCollegeSAT25, MATCH(N131,AllCollegeNCES,0)),INDEX(AllCollegeSAT50, MATCH(N131,AllCollegeNCES,0)))</f>
        <v>0</v>
      </c>
      <c r="AD131">
        <f>INDEX(CustomWeightsGPA,MATCH(W131&amp;":"&amp;N131,CustomWeightsIndex,0))</f>
        <v>0</v>
      </c>
      <c r="AE131">
        <f>INDEX(CustomWeightsSAT,MATCH(W131&amp;":"&amp;N131,CustomWeightsIndex,0))</f>
        <v>0</v>
      </c>
      <c r="AF131">
        <f>INDEX(CustomWeightsIntercept,MATCH(W131&amp;":"&amp;N131,CustomWeightsIndex,0))</f>
        <v>0</v>
      </c>
      <c r="AG131">
        <f>AD131*S131+AE131*T131+AF131</f>
        <v>0</v>
      </c>
      <c r="AH131">
        <f>INDEX(CoefficientsGPA,MATCH(W131&amp;":"&amp;R131,CoefficientsIndex,0))</f>
        <v>0</v>
      </c>
      <c r="AI131">
        <f>INDEX(CoefficientsSAT,MATCH(W131&amp;":"&amp;R131,CoefficientsIndex,0))</f>
        <v>0</v>
      </c>
      <c r="AJ131">
        <f>INDEX(CoefficientsIntercept,MATCH(W131&amp;":"&amp;R131,CoefficientsIndex,0))</f>
        <v>0</v>
      </c>
      <c r="AK131">
        <f>AH131*S131+(T131-AC131)*AI131+AJ131</f>
        <v>0</v>
      </c>
      <c r="AL131">
        <f>IF(ISNUMBER(AG131),AG131,AK131)</f>
        <v>0</v>
      </c>
      <c r="AM131">
        <f>IF(ISNUMBER(AL131),IF(ISNUMBER(AH131),IF(AND(AH131=1,AI131=1,AJ131=1),100,MIN(99,ROUND(100*EXP(AL131)/(1+EXP(AL131)),2))),MIN(99,ROUND(100*EXP(AL131)/(1+EXP(AL131)),2))),IF(ISTEXT(R131),IF(LEFT(R131,1)="2",100,"N/A"),"N/A"))</f>
        <v>0</v>
      </c>
      <c r="AN131">
        <f>IF(ISNUMBER(AM131),IF(AM131&gt;=99,IF(OR(U131=10,U131=11),MatchLabel,SureThingLabel),IF(AM131&gt;=95,SecureLabel,IF(AM131&gt;=80,SafetyLabel,IF(AM131&gt;=50,MatchLabel,IF(AM131&gt;=20,ReachLabel,IF(AM131&gt;=10,LongshotLabel,HailMaryLabel)))))),"Other")</f>
        <v>0</v>
      </c>
      <c r="AO131">
        <f>IF(OR(I131="accepted",I131="cond. accept",I131="summer admit"),IF(J131="yes","CHOICE!","Accepted!"),IF(I131="guar. transfer","Guar. Xfer",IF(I131="denied","Denied",IF(K131=1,"Waitlist",IF(L131=1,"Deferred",IF(G131="pending","Pending",IF(OR(G131="initial materials submitted",G131="mid-year submitted",G131="final submitted"),"Submitted",IF(H131="interest","Interest","?"))))))))</f>
        <v>0</v>
      </c>
      <c r="AP131">
        <f>IF(OR(AN131=ReachLabel,AN131=LongshotLabel,AN131=HailMaryLabel),1,0)</f>
        <v>0</v>
      </c>
      <c r="AQ131">
        <f>IF(OR(AP131=1,AN131=MatchLabel),1,0)</f>
        <v>0</v>
      </c>
      <c r="AR131">
        <f>IF(OR(AN131=MatchLabel,AN131=SafetyLabel,AN131=SecureLabel,AN131=SureThingLabel),1,0)</f>
        <v>0</v>
      </c>
      <c r="AS131">
        <f>IF(OR(W131="H",W131="B",W131="I",W131="M"),IF(ISNUMBER(AB131),ROUND(AB131,2),0),IF(ISNUMBER(AA131),ROUND(AA131,2),0))</f>
        <v>0</v>
      </c>
      <c r="AT131">
        <f>IF(AS131&gt;=X131,1,0)</f>
        <v>0</v>
      </c>
      <c r="AU131">
        <f>IF(AS131&gt;=Y131,1,0)</f>
        <v>0</v>
      </c>
      <c r="AV131">
        <f>IF(AS131&lt;(X131-0.10),1,0)</f>
        <v>0</v>
      </c>
      <c r="AW131">
        <f>1-AM131/100</f>
        <v>0</v>
      </c>
      <c r="AX131">
        <f>IF(AQ131=1,AW131,1)</f>
        <v>0</v>
      </c>
      <c r="AY131">
        <f>IF(AP131=1,AW131,1)</f>
        <v>0</v>
      </c>
      <c r="AZ131">
        <f>IF(AND(AT131=1,ISNUMBER(AW131)),$AW131,1)</f>
        <v>0</v>
      </c>
      <c r="BA131">
        <f>IF(AND(AU131=1,ISNUMBER(AW131)),$AW131,1)</f>
        <v>0</v>
      </c>
      <c r="BB131">
        <f>IF(ISNUMBER(AB131),INDEX(AllCollegeMoney, MATCH(N131,AllCollegeNCES,0)),0)</f>
        <v>0</v>
      </c>
      <c r="BC131">
        <f>IF(AND(AT131=1,ISNUMBER(AW131),BB131=1),$AW131,1)</f>
        <v>0</v>
      </c>
      <c r="BD131">
        <f>IF(AND(AU131=1,ISNUMBER(AW131),BB131=1),$AW131,1)</f>
        <v>0</v>
      </c>
      <c r="BE131">
        <f>IF(ISNUMBER(AB131),INDEX(AllCollegeILPub, MATCH(N131,AllCollegeNCES,0)),0)</f>
        <v>0</v>
      </c>
      <c r="BF131">
        <f>IF(AN131=ReachLabel,AS131,0)</f>
        <v>0</v>
      </c>
      <c r="BG131">
        <f>IF(AN131=MatchLabel,AS131,0)</f>
        <v>0</v>
      </c>
      <c r="BH131">
        <f>IF(AN131=SafetyLabel,AS131,0)</f>
        <v>0</v>
      </c>
      <c r="BI131">
        <f>IF(AN131=SecureLabel,AS131,0)</f>
        <v>0</v>
      </c>
      <c r="BJ131">
        <f>IF(AN131=SureThingLabel,AS131,0)</f>
        <v>0</v>
      </c>
      <c r="BK131">
        <f>MAX(BF131:BJ131)</f>
        <v>0</v>
      </c>
      <c r="BL131">
        <f>MAX(BG131:BJ131)</f>
        <v>0</v>
      </c>
      <c r="BM131">
        <f>MAX(BH131:BJ131)</f>
        <v>0</v>
      </c>
      <c r="BN131">
        <f>IF(AND(AN131=ReachLabel,BB131=1),AS131,0)</f>
        <v>0</v>
      </c>
      <c r="BO131">
        <f>IF(AND(AN131=MatchLabel,BB131=1),AS131,0)</f>
        <v>0</v>
      </c>
      <c r="BP131">
        <f>IF(AND(AN131=SafetyLabel,BB131=1),AS131,0)</f>
        <v>0</v>
      </c>
      <c r="BQ131">
        <f>IF(AND(AN131=SecureLabel,BB131=1),AS131,0)</f>
        <v>0</v>
      </c>
      <c r="BR131">
        <f>IF(AND(AN131=SureThingLabel,BB131=1),AS131,0)</f>
        <v>0</v>
      </c>
      <c r="BS131">
        <f>MAX(BN131:BR131)</f>
        <v>0</v>
      </c>
      <c r="BT131">
        <f>MAX(BO131:BR131)</f>
        <v>0</v>
      </c>
      <c r="BU131">
        <f>MAX(BP131:BR131)</f>
        <v>0</v>
      </c>
      <c r="BV131">
        <f>IF(ISNUMBER(AB131),INDEX(AllCollegeChicago, MATCH(N131,AllCollegeNCES,0))*BB131,0)</f>
        <v>0</v>
      </c>
      <c r="BW131">
        <f>IF(ISNUMBER(AB131),INDEX(AllCollegeMoneyCode, MATCH(N131,AllCollegeNCES,0)),"?")</f>
        <v>0</v>
      </c>
      <c r="BX131">
        <f>IF(OR(BW131="---",BW131="--",BW131="+/--",BW131="+/---"),1,0)</f>
        <v>0</v>
      </c>
      <c r="BY131">
        <f>BB131*AR131*AT131</f>
        <v>0</v>
      </c>
    </row>
    <row r="132" spans="1:77">
      <c r="A132" t="s">
        <v>96</v>
      </c>
      <c r="B132">
        <v>22511393</v>
      </c>
      <c r="C132" t="s">
        <v>215</v>
      </c>
      <c r="D132" t="s">
        <v>216</v>
      </c>
      <c r="E132" t="s">
        <v>446</v>
      </c>
      <c r="F132" t="s">
        <v>470</v>
      </c>
      <c r="G132" t="s">
        <v>448</v>
      </c>
      <c r="H132" t="s">
        <v>449</v>
      </c>
      <c r="I132" t="s">
        <v>450</v>
      </c>
      <c r="J132" t="s">
        <v>450</v>
      </c>
      <c r="K132">
        <v>0</v>
      </c>
      <c r="L132" t="s">
        <v>446</v>
      </c>
      <c r="M132" t="s">
        <v>446</v>
      </c>
      <c r="N132">
        <v>240444</v>
      </c>
      <c r="O132">
        <f>INDEX(Counselor,MATCH(B132,KidIDs,0))</f>
        <v>0</v>
      </c>
      <c r="P132">
        <f>INDEX(Advisors,MATCH(B132,KidIDs,0))</f>
        <v>0</v>
      </c>
      <c r="Q132">
        <f>INDEX(Cohort,MATCH(B132,KidIDs,0))</f>
        <v>0</v>
      </c>
      <c r="R132">
        <f>INDEX(AllCollegeBarrons,MATCH(N132,AllCollegeNCES,0))</f>
        <v>0</v>
      </c>
      <c r="S132">
        <f>INDEX(KidGPAs,MATCH(B132,KidIDs,0))</f>
        <v>0</v>
      </c>
      <c r="T132">
        <f>INDEX(KidSATs,MATCH(B132,KidIDs,0))</f>
        <v>0</v>
      </c>
      <c r="U132">
        <f>INDEX(Strats,MATCH(B132,KidIDs,0))</f>
        <v>0</v>
      </c>
      <c r="V132">
        <f>INDEX(KidRace,MATCH(B132,KidIDs,0))</f>
        <v>0</v>
      </c>
      <c r="W132">
        <f>IF(OR(V132="M",V132="I"),"H",IF(V132="P","A",V132))</f>
        <v>0</v>
      </c>
      <c r="X132">
        <f>INDEX(StudentTargets,MATCH(B132,KidIDs,0))</f>
        <v>0</v>
      </c>
      <c r="Y132">
        <f>INDEX(ReachStudentTargets,MATCH(B132,KidIDs,0))</f>
        <v>0</v>
      </c>
      <c r="Z132">
        <f>IF(OR(M132="Posse"),1,0)</f>
        <v>0</v>
      </c>
      <c r="AA132">
        <f>IF(ISNUMBER(INDEX(AllCollegeGR, MATCH(N132,AllCollegeNCES,0))),ROUND(INDEX(AllCollegeGR, MATCH(N132,AllCollegeNCES,0))+Z132*IF(INDEX(AllCollegeGR, MATCH(N132,AllCollegeNCES,0))&gt;0.7,(1-INDEX(AllCollegeGR, MATCH(N132,AllCollegeNCES,0)))/2,0.15),2),INDEX(AllCollegeGR, MATCH(N132,AllCollegeNCES,0)))</f>
        <v>0</v>
      </c>
      <c r="AB132">
        <f>IF(ISNUMBER(INDEX(AllCollegeAAHGR, MATCH(N132,AllCollegeNCES,0))),ROUND(INDEX(AllCollegeAAHGR, MATCH(N132,AllCollegeNCES,0))+Z132*IF(INDEX(AllCollegeAAHGR, MATCH(N132,AllCollegeNCES,0))&gt;0.7,(1-INDEX(AllCollegeAAHGR, MATCH(N132,AllCollegeNCES,0)))/2,0.15),2),INDEX(AllCollegeAAHGR, MATCH(N132,AllCollegeNCES,0)))</f>
        <v>0</v>
      </c>
      <c r="AC132">
        <f>IF(OR(W132="H",W132="B"),INDEX(AllCollegeSAT25, MATCH(N132,AllCollegeNCES,0)),INDEX(AllCollegeSAT50, MATCH(N132,AllCollegeNCES,0)))</f>
        <v>0</v>
      </c>
      <c r="AD132">
        <f>INDEX(CustomWeightsGPA,MATCH(W132&amp;":"&amp;N132,CustomWeightsIndex,0))</f>
        <v>0</v>
      </c>
      <c r="AE132">
        <f>INDEX(CustomWeightsSAT,MATCH(W132&amp;":"&amp;N132,CustomWeightsIndex,0))</f>
        <v>0</v>
      </c>
      <c r="AF132">
        <f>INDEX(CustomWeightsIntercept,MATCH(W132&amp;":"&amp;N132,CustomWeightsIndex,0))</f>
        <v>0</v>
      </c>
      <c r="AG132">
        <f>AD132*S132+AE132*T132+AF132</f>
        <v>0</v>
      </c>
      <c r="AH132">
        <f>INDEX(CoefficientsGPA,MATCH(W132&amp;":"&amp;R132,CoefficientsIndex,0))</f>
        <v>0</v>
      </c>
      <c r="AI132">
        <f>INDEX(CoefficientsSAT,MATCH(W132&amp;":"&amp;R132,CoefficientsIndex,0))</f>
        <v>0</v>
      </c>
      <c r="AJ132">
        <f>INDEX(CoefficientsIntercept,MATCH(W132&amp;":"&amp;R132,CoefficientsIndex,0))</f>
        <v>0</v>
      </c>
      <c r="AK132">
        <f>AH132*S132+(T132-AC132)*AI132+AJ132</f>
        <v>0</v>
      </c>
      <c r="AL132">
        <f>IF(ISNUMBER(AG132),AG132,AK132)</f>
        <v>0</v>
      </c>
      <c r="AM132">
        <f>IF(ISNUMBER(AL132),IF(ISNUMBER(AH132),IF(AND(AH132=1,AI132=1,AJ132=1),100,MIN(99,ROUND(100*EXP(AL132)/(1+EXP(AL132)),2))),MIN(99,ROUND(100*EXP(AL132)/(1+EXP(AL132)),2))),IF(ISTEXT(R132),IF(LEFT(R132,1)="2",100,"N/A"),"N/A"))</f>
        <v>0</v>
      </c>
      <c r="AN132">
        <f>IF(ISNUMBER(AM132),IF(AM132&gt;=99,IF(OR(U132=10,U132=11),MatchLabel,SureThingLabel),IF(AM132&gt;=95,SecureLabel,IF(AM132&gt;=80,SafetyLabel,IF(AM132&gt;=50,MatchLabel,IF(AM132&gt;=20,ReachLabel,IF(AM132&gt;=10,LongshotLabel,HailMaryLabel)))))),"Other")</f>
        <v>0</v>
      </c>
      <c r="AO132">
        <f>IF(OR(I132="accepted",I132="cond. accept",I132="summer admit"),IF(J132="yes","CHOICE!","Accepted!"),IF(I132="guar. transfer","Guar. Xfer",IF(I132="denied","Denied",IF(K132=1,"Waitlist",IF(L132=1,"Deferred",IF(G132="pending","Pending",IF(OR(G132="initial materials submitted",G132="mid-year submitted",G132="final submitted"),"Submitted",IF(H132="interest","Interest","?"))))))))</f>
        <v>0</v>
      </c>
      <c r="AP132">
        <f>IF(OR(AN132=ReachLabel,AN132=LongshotLabel,AN132=HailMaryLabel),1,0)</f>
        <v>0</v>
      </c>
      <c r="AQ132">
        <f>IF(OR(AP132=1,AN132=MatchLabel),1,0)</f>
        <v>0</v>
      </c>
      <c r="AR132">
        <f>IF(OR(AN132=MatchLabel,AN132=SafetyLabel,AN132=SecureLabel,AN132=SureThingLabel),1,0)</f>
        <v>0</v>
      </c>
      <c r="AS132">
        <f>IF(OR(W132="H",W132="B",W132="I",W132="M"),IF(ISNUMBER(AB132),ROUND(AB132,2),0),IF(ISNUMBER(AA132),ROUND(AA132,2),0))</f>
        <v>0</v>
      </c>
      <c r="AT132">
        <f>IF(AS132&gt;=X132,1,0)</f>
        <v>0</v>
      </c>
      <c r="AU132">
        <f>IF(AS132&gt;=Y132,1,0)</f>
        <v>0</v>
      </c>
      <c r="AV132">
        <f>IF(AS132&lt;(X132-0.10),1,0)</f>
        <v>0</v>
      </c>
      <c r="AW132">
        <f>1-AM132/100</f>
        <v>0</v>
      </c>
      <c r="AX132">
        <f>IF(AQ132=1,AW132,1)</f>
        <v>0</v>
      </c>
      <c r="AY132">
        <f>IF(AP132=1,AW132,1)</f>
        <v>0</v>
      </c>
      <c r="AZ132">
        <f>IF(AND(AT132=1,ISNUMBER(AW132)),$AW132,1)</f>
        <v>0</v>
      </c>
      <c r="BA132">
        <f>IF(AND(AU132=1,ISNUMBER(AW132)),$AW132,1)</f>
        <v>0</v>
      </c>
      <c r="BB132">
        <f>IF(ISNUMBER(AB132),INDEX(AllCollegeMoney, MATCH(N132,AllCollegeNCES,0)),0)</f>
        <v>0</v>
      </c>
      <c r="BC132">
        <f>IF(AND(AT132=1,ISNUMBER(AW132),BB132=1),$AW132,1)</f>
        <v>0</v>
      </c>
      <c r="BD132">
        <f>IF(AND(AU132=1,ISNUMBER(AW132),BB132=1),$AW132,1)</f>
        <v>0</v>
      </c>
      <c r="BE132">
        <f>IF(ISNUMBER(AB132),INDEX(AllCollegeILPub, MATCH(N132,AllCollegeNCES,0)),0)</f>
        <v>0</v>
      </c>
      <c r="BF132">
        <f>IF(AN132=ReachLabel,AS132,0)</f>
        <v>0</v>
      </c>
      <c r="BG132">
        <f>IF(AN132=MatchLabel,AS132,0)</f>
        <v>0</v>
      </c>
      <c r="BH132">
        <f>IF(AN132=SafetyLabel,AS132,0)</f>
        <v>0</v>
      </c>
      <c r="BI132">
        <f>IF(AN132=SecureLabel,AS132,0)</f>
        <v>0</v>
      </c>
      <c r="BJ132">
        <f>IF(AN132=SureThingLabel,AS132,0)</f>
        <v>0</v>
      </c>
      <c r="BK132">
        <f>MAX(BF132:BJ132)</f>
        <v>0</v>
      </c>
      <c r="BL132">
        <f>MAX(BG132:BJ132)</f>
        <v>0</v>
      </c>
      <c r="BM132">
        <f>MAX(BH132:BJ132)</f>
        <v>0</v>
      </c>
      <c r="BN132">
        <f>IF(AND(AN132=ReachLabel,BB132=1),AS132,0)</f>
        <v>0</v>
      </c>
      <c r="BO132">
        <f>IF(AND(AN132=MatchLabel,BB132=1),AS132,0)</f>
        <v>0</v>
      </c>
      <c r="BP132">
        <f>IF(AND(AN132=SafetyLabel,BB132=1),AS132,0)</f>
        <v>0</v>
      </c>
      <c r="BQ132">
        <f>IF(AND(AN132=SecureLabel,BB132=1),AS132,0)</f>
        <v>0</v>
      </c>
      <c r="BR132">
        <f>IF(AND(AN132=SureThingLabel,BB132=1),AS132,0)</f>
        <v>0</v>
      </c>
      <c r="BS132">
        <f>MAX(BN132:BR132)</f>
        <v>0</v>
      </c>
      <c r="BT132">
        <f>MAX(BO132:BR132)</f>
        <v>0</v>
      </c>
      <c r="BU132">
        <f>MAX(BP132:BR132)</f>
        <v>0</v>
      </c>
      <c r="BV132">
        <f>IF(ISNUMBER(AB132),INDEX(AllCollegeChicago, MATCH(N132,AllCollegeNCES,0))*BB132,0)</f>
        <v>0</v>
      </c>
      <c r="BW132">
        <f>IF(ISNUMBER(AB132),INDEX(AllCollegeMoneyCode, MATCH(N132,AllCollegeNCES,0)),"?")</f>
        <v>0</v>
      </c>
      <c r="BX132">
        <f>IF(OR(BW132="---",BW132="--",BW132="+/--",BW132="+/---"),1,0)</f>
        <v>0</v>
      </c>
      <c r="BY132">
        <f>BB132*AR132*AT132</f>
        <v>0</v>
      </c>
    </row>
    <row r="133" spans="1:77">
      <c r="A133" t="s">
        <v>96</v>
      </c>
      <c r="B133">
        <v>22511393</v>
      </c>
      <c r="C133" t="s">
        <v>215</v>
      </c>
      <c r="D133" t="s">
        <v>216</v>
      </c>
      <c r="E133" t="s">
        <v>446</v>
      </c>
      <c r="F133" t="s">
        <v>471</v>
      </c>
      <c r="G133" t="s">
        <v>479</v>
      </c>
      <c r="H133" t="s">
        <v>449</v>
      </c>
      <c r="I133" t="s">
        <v>450</v>
      </c>
      <c r="J133" t="s">
        <v>450</v>
      </c>
      <c r="K133">
        <v>0</v>
      </c>
      <c r="L133" t="s">
        <v>446</v>
      </c>
      <c r="M133" t="s">
        <v>446</v>
      </c>
      <c r="N133">
        <v>202523</v>
      </c>
      <c r="O133">
        <f>INDEX(Counselor,MATCH(B133,KidIDs,0))</f>
        <v>0</v>
      </c>
      <c r="P133">
        <f>INDEX(Advisors,MATCH(B133,KidIDs,0))</f>
        <v>0</v>
      </c>
      <c r="Q133">
        <f>INDEX(Cohort,MATCH(B133,KidIDs,0))</f>
        <v>0</v>
      </c>
      <c r="R133">
        <f>INDEX(AllCollegeBarrons,MATCH(N133,AllCollegeNCES,0))</f>
        <v>0</v>
      </c>
      <c r="S133">
        <f>INDEX(KidGPAs,MATCH(B133,KidIDs,0))</f>
        <v>0</v>
      </c>
      <c r="T133">
        <f>INDEX(KidSATs,MATCH(B133,KidIDs,0))</f>
        <v>0</v>
      </c>
      <c r="U133">
        <f>INDEX(Strats,MATCH(B133,KidIDs,0))</f>
        <v>0</v>
      </c>
      <c r="V133">
        <f>INDEX(KidRace,MATCH(B133,KidIDs,0))</f>
        <v>0</v>
      </c>
      <c r="W133">
        <f>IF(OR(V133="M",V133="I"),"H",IF(V133="P","A",V133))</f>
        <v>0</v>
      </c>
      <c r="X133">
        <f>INDEX(StudentTargets,MATCH(B133,KidIDs,0))</f>
        <v>0</v>
      </c>
      <c r="Y133">
        <f>INDEX(ReachStudentTargets,MATCH(B133,KidIDs,0))</f>
        <v>0</v>
      </c>
      <c r="Z133">
        <f>IF(OR(M133="Posse"),1,0)</f>
        <v>0</v>
      </c>
      <c r="AA133">
        <f>IF(ISNUMBER(INDEX(AllCollegeGR, MATCH(N133,AllCollegeNCES,0))),ROUND(INDEX(AllCollegeGR, MATCH(N133,AllCollegeNCES,0))+Z133*IF(INDEX(AllCollegeGR, MATCH(N133,AllCollegeNCES,0))&gt;0.7,(1-INDEX(AllCollegeGR, MATCH(N133,AllCollegeNCES,0)))/2,0.15),2),INDEX(AllCollegeGR, MATCH(N133,AllCollegeNCES,0)))</f>
        <v>0</v>
      </c>
      <c r="AB133">
        <f>IF(ISNUMBER(INDEX(AllCollegeAAHGR, MATCH(N133,AllCollegeNCES,0))),ROUND(INDEX(AllCollegeAAHGR, MATCH(N133,AllCollegeNCES,0))+Z133*IF(INDEX(AllCollegeAAHGR, MATCH(N133,AllCollegeNCES,0))&gt;0.7,(1-INDEX(AllCollegeAAHGR, MATCH(N133,AllCollegeNCES,0)))/2,0.15),2),INDEX(AllCollegeAAHGR, MATCH(N133,AllCollegeNCES,0)))</f>
        <v>0</v>
      </c>
      <c r="AC133">
        <f>IF(OR(W133="H",W133="B"),INDEX(AllCollegeSAT25, MATCH(N133,AllCollegeNCES,0)),INDEX(AllCollegeSAT50, MATCH(N133,AllCollegeNCES,0)))</f>
        <v>0</v>
      </c>
      <c r="AD133">
        <f>INDEX(CustomWeightsGPA,MATCH(W133&amp;":"&amp;N133,CustomWeightsIndex,0))</f>
        <v>0</v>
      </c>
      <c r="AE133">
        <f>INDEX(CustomWeightsSAT,MATCH(W133&amp;":"&amp;N133,CustomWeightsIndex,0))</f>
        <v>0</v>
      </c>
      <c r="AF133">
        <f>INDEX(CustomWeightsIntercept,MATCH(W133&amp;":"&amp;N133,CustomWeightsIndex,0))</f>
        <v>0</v>
      </c>
      <c r="AG133">
        <f>AD133*S133+AE133*T133+AF133</f>
        <v>0</v>
      </c>
      <c r="AH133">
        <f>INDEX(CoefficientsGPA,MATCH(W133&amp;":"&amp;R133,CoefficientsIndex,0))</f>
        <v>0</v>
      </c>
      <c r="AI133">
        <f>INDEX(CoefficientsSAT,MATCH(W133&amp;":"&amp;R133,CoefficientsIndex,0))</f>
        <v>0</v>
      </c>
      <c r="AJ133">
        <f>INDEX(CoefficientsIntercept,MATCH(W133&amp;":"&amp;R133,CoefficientsIndex,0))</f>
        <v>0</v>
      </c>
      <c r="AK133">
        <f>AH133*S133+(T133-AC133)*AI133+AJ133</f>
        <v>0</v>
      </c>
      <c r="AL133">
        <f>IF(ISNUMBER(AG133),AG133,AK133)</f>
        <v>0</v>
      </c>
      <c r="AM133">
        <f>IF(ISNUMBER(AL133),IF(ISNUMBER(AH133),IF(AND(AH133=1,AI133=1,AJ133=1),100,MIN(99,ROUND(100*EXP(AL133)/(1+EXP(AL133)),2))),MIN(99,ROUND(100*EXP(AL133)/(1+EXP(AL133)),2))),IF(ISTEXT(R133),IF(LEFT(R133,1)="2",100,"N/A"),"N/A"))</f>
        <v>0</v>
      </c>
      <c r="AN133">
        <f>IF(ISNUMBER(AM133),IF(AM133&gt;=99,IF(OR(U133=10,U133=11),MatchLabel,SureThingLabel),IF(AM133&gt;=95,SecureLabel,IF(AM133&gt;=80,SafetyLabel,IF(AM133&gt;=50,MatchLabel,IF(AM133&gt;=20,ReachLabel,IF(AM133&gt;=10,LongshotLabel,HailMaryLabel)))))),"Other")</f>
        <v>0</v>
      </c>
      <c r="AO133">
        <f>IF(OR(I133="accepted",I133="cond. accept",I133="summer admit"),IF(J133="yes","CHOICE!","Accepted!"),IF(I133="guar. transfer","Guar. Xfer",IF(I133="denied","Denied",IF(K133=1,"Waitlist",IF(L133=1,"Deferred",IF(G133="pending","Pending",IF(OR(G133="initial materials submitted",G133="mid-year submitted",G133="final submitted"),"Submitted",IF(H133="interest","Interest","?"))))))))</f>
        <v>0</v>
      </c>
      <c r="AP133">
        <f>IF(OR(AN133=ReachLabel,AN133=LongshotLabel,AN133=HailMaryLabel),1,0)</f>
        <v>0</v>
      </c>
      <c r="AQ133">
        <f>IF(OR(AP133=1,AN133=MatchLabel),1,0)</f>
        <v>0</v>
      </c>
      <c r="AR133">
        <f>IF(OR(AN133=MatchLabel,AN133=SafetyLabel,AN133=SecureLabel,AN133=SureThingLabel),1,0)</f>
        <v>0</v>
      </c>
      <c r="AS133">
        <f>IF(OR(W133="H",W133="B",W133="I",W133="M"),IF(ISNUMBER(AB133),ROUND(AB133,2),0),IF(ISNUMBER(AA133),ROUND(AA133,2),0))</f>
        <v>0</v>
      </c>
      <c r="AT133">
        <f>IF(AS133&gt;=X133,1,0)</f>
        <v>0</v>
      </c>
      <c r="AU133">
        <f>IF(AS133&gt;=Y133,1,0)</f>
        <v>0</v>
      </c>
      <c r="AV133">
        <f>IF(AS133&lt;(X133-0.10),1,0)</f>
        <v>0</v>
      </c>
      <c r="AW133">
        <f>1-AM133/100</f>
        <v>0</v>
      </c>
      <c r="AX133">
        <f>IF(AQ133=1,AW133,1)</f>
        <v>0</v>
      </c>
      <c r="AY133">
        <f>IF(AP133=1,AW133,1)</f>
        <v>0</v>
      </c>
      <c r="AZ133">
        <f>IF(AND(AT133=1,ISNUMBER(AW133)),$AW133,1)</f>
        <v>0</v>
      </c>
      <c r="BA133">
        <f>IF(AND(AU133=1,ISNUMBER(AW133)),$AW133,1)</f>
        <v>0</v>
      </c>
      <c r="BB133">
        <f>IF(ISNUMBER(AB133),INDEX(AllCollegeMoney, MATCH(N133,AllCollegeNCES,0)),0)</f>
        <v>0</v>
      </c>
      <c r="BC133">
        <f>IF(AND(AT133=1,ISNUMBER(AW133),BB133=1),$AW133,1)</f>
        <v>0</v>
      </c>
      <c r="BD133">
        <f>IF(AND(AU133=1,ISNUMBER(AW133),BB133=1),$AW133,1)</f>
        <v>0</v>
      </c>
      <c r="BE133">
        <f>IF(ISNUMBER(AB133),INDEX(AllCollegeILPub, MATCH(N133,AllCollegeNCES,0)),0)</f>
        <v>0</v>
      </c>
      <c r="BF133">
        <f>IF(AN133=ReachLabel,AS133,0)</f>
        <v>0</v>
      </c>
      <c r="BG133">
        <f>IF(AN133=MatchLabel,AS133,0)</f>
        <v>0</v>
      </c>
      <c r="BH133">
        <f>IF(AN133=SafetyLabel,AS133,0)</f>
        <v>0</v>
      </c>
      <c r="BI133">
        <f>IF(AN133=SecureLabel,AS133,0)</f>
        <v>0</v>
      </c>
      <c r="BJ133">
        <f>IF(AN133=SureThingLabel,AS133,0)</f>
        <v>0</v>
      </c>
      <c r="BK133">
        <f>MAX(BF133:BJ133)</f>
        <v>0</v>
      </c>
      <c r="BL133">
        <f>MAX(BG133:BJ133)</f>
        <v>0</v>
      </c>
      <c r="BM133">
        <f>MAX(BH133:BJ133)</f>
        <v>0</v>
      </c>
      <c r="BN133">
        <f>IF(AND(AN133=ReachLabel,BB133=1),AS133,0)</f>
        <v>0</v>
      </c>
      <c r="BO133">
        <f>IF(AND(AN133=MatchLabel,BB133=1),AS133,0)</f>
        <v>0</v>
      </c>
      <c r="BP133">
        <f>IF(AND(AN133=SafetyLabel,BB133=1),AS133,0)</f>
        <v>0</v>
      </c>
      <c r="BQ133">
        <f>IF(AND(AN133=SecureLabel,BB133=1),AS133,0)</f>
        <v>0</v>
      </c>
      <c r="BR133">
        <f>IF(AND(AN133=SureThingLabel,BB133=1),AS133,0)</f>
        <v>0</v>
      </c>
      <c r="BS133">
        <f>MAX(BN133:BR133)</f>
        <v>0</v>
      </c>
      <c r="BT133">
        <f>MAX(BO133:BR133)</f>
        <v>0</v>
      </c>
      <c r="BU133">
        <f>MAX(BP133:BR133)</f>
        <v>0</v>
      </c>
      <c r="BV133">
        <f>IF(ISNUMBER(AB133),INDEX(AllCollegeChicago, MATCH(N133,AllCollegeNCES,0))*BB133,0)</f>
        <v>0</v>
      </c>
      <c r="BW133">
        <f>IF(ISNUMBER(AB133),INDEX(AllCollegeMoneyCode, MATCH(N133,AllCollegeNCES,0)),"?")</f>
        <v>0</v>
      </c>
      <c r="BX133">
        <f>IF(OR(BW133="---",BW133="--",BW133="+/--",BW133="+/---"),1,0)</f>
        <v>0</v>
      </c>
      <c r="BY133">
        <f>BB133*AR133*AT133</f>
        <v>0</v>
      </c>
    </row>
    <row r="134" spans="1:77">
      <c r="A134" t="s">
        <v>96</v>
      </c>
      <c r="B134">
        <v>22511393</v>
      </c>
      <c r="C134" t="s">
        <v>215</v>
      </c>
      <c r="D134" t="s">
        <v>216</v>
      </c>
      <c r="E134" t="s">
        <v>446</v>
      </c>
      <c r="F134" t="s">
        <v>472</v>
      </c>
      <c r="G134" t="s">
        <v>479</v>
      </c>
      <c r="H134" t="s">
        <v>449</v>
      </c>
      <c r="I134" t="s">
        <v>450</v>
      </c>
      <c r="J134" t="s">
        <v>450</v>
      </c>
      <c r="K134">
        <v>0</v>
      </c>
      <c r="L134" t="s">
        <v>446</v>
      </c>
      <c r="M134" t="s">
        <v>446</v>
      </c>
      <c r="N134">
        <v>212674</v>
      </c>
      <c r="O134">
        <f>INDEX(Counselor,MATCH(B134,KidIDs,0))</f>
        <v>0</v>
      </c>
      <c r="P134">
        <f>INDEX(Advisors,MATCH(B134,KidIDs,0))</f>
        <v>0</v>
      </c>
      <c r="Q134">
        <f>INDEX(Cohort,MATCH(B134,KidIDs,0))</f>
        <v>0</v>
      </c>
      <c r="R134">
        <f>INDEX(AllCollegeBarrons,MATCH(N134,AllCollegeNCES,0))</f>
        <v>0</v>
      </c>
      <c r="S134">
        <f>INDEX(KidGPAs,MATCH(B134,KidIDs,0))</f>
        <v>0</v>
      </c>
      <c r="T134">
        <f>INDEX(KidSATs,MATCH(B134,KidIDs,0))</f>
        <v>0</v>
      </c>
      <c r="U134">
        <f>INDEX(Strats,MATCH(B134,KidIDs,0))</f>
        <v>0</v>
      </c>
      <c r="V134">
        <f>INDEX(KidRace,MATCH(B134,KidIDs,0))</f>
        <v>0</v>
      </c>
      <c r="W134">
        <f>IF(OR(V134="M",V134="I"),"H",IF(V134="P","A",V134))</f>
        <v>0</v>
      </c>
      <c r="X134">
        <f>INDEX(StudentTargets,MATCH(B134,KidIDs,0))</f>
        <v>0</v>
      </c>
      <c r="Y134">
        <f>INDEX(ReachStudentTargets,MATCH(B134,KidIDs,0))</f>
        <v>0</v>
      </c>
      <c r="Z134">
        <f>IF(OR(M134="Posse"),1,0)</f>
        <v>0</v>
      </c>
      <c r="AA134">
        <f>IF(ISNUMBER(INDEX(AllCollegeGR, MATCH(N134,AllCollegeNCES,0))),ROUND(INDEX(AllCollegeGR, MATCH(N134,AllCollegeNCES,0))+Z134*IF(INDEX(AllCollegeGR, MATCH(N134,AllCollegeNCES,0))&gt;0.7,(1-INDEX(AllCollegeGR, MATCH(N134,AllCollegeNCES,0)))/2,0.15),2),INDEX(AllCollegeGR, MATCH(N134,AllCollegeNCES,0)))</f>
        <v>0</v>
      </c>
      <c r="AB134">
        <f>IF(ISNUMBER(INDEX(AllCollegeAAHGR, MATCH(N134,AllCollegeNCES,0))),ROUND(INDEX(AllCollegeAAHGR, MATCH(N134,AllCollegeNCES,0))+Z134*IF(INDEX(AllCollegeAAHGR, MATCH(N134,AllCollegeNCES,0))&gt;0.7,(1-INDEX(AllCollegeAAHGR, MATCH(N134,AllCollegeNCES,0)))/2,0.15),2),INDEX(AllCollegeAAHGR, MATCH(N134,AllCollegeNCES,0)))</f>
        <v>0</v>
      </c>
      <c r="AC134">
        <f>IF(OR(W134="H",W134="B"),INDEX(AllCollegeSAT25, MATCH(N134,AllCollegeNCES,0)),INDEX(AllCollegeSAT50, MATCH(N134,AllCollegeNCES,0)))</f>
        <v>0</v>
      </c>
      <c r="AD134">
        <f>INDEX(CustomWeightsGPA,MATCH(W134&amp;":"&amp;N134,CustomWeightsIndex,0))</f>
        <v>0</v>
      </c>
      <c r="AE134">
        <f>INDEX(CustomWeightsSAT,MATCH(W134&amp;":"&amp;N134,CustomWeightsIndex,0))</f>
        <v>0</v>
      </c>
      <c r="AF134">
        <f>INDEX(CustomWeightsIntercept,MATCH(W134&amp;":"&amp;N134,CustomWeightsIndex,0))</f>
        <v>0</v>
      </c>
      <c r="AG134">
        <f>AD134*S134+AE134*T134+AF134</f>
        <v>0</v>
      </c>
      <c r="AH134">
        <f>INDEX(CoefficientsGPA,MATCH(W134&amp;":"&amp;R134,CoefficientsIndex,0))</f>
        <v>0</v>
      </c>
      <c r="AI134">
        <f>INDEX(CoefficientsSAT,MATCH(W134&amp;":"&amp;R134,CoefficientsIndex,0))</f>
        <v>0</v>
      </c>
      <c r="AJ134">
        <f>INDEX(CoefficientsIntercept,MATCH(W134&amp;":"&amp;R134,CoefficientsIndex,0))</f>
        <v>0</v>
      </c>
      <c r="AK134">
        <f>AH134*S134+(T134-AC134)*AI134+AJ134</f>
        <v>0</v>
      </c>
      <c r="AL134">
        <f>IF(ISNUMBER(AG134),AG134,AK134)</f>
        <v>0</v>
      </c>
      <c r="AM134">
        <f>IF(ISNUMBER(AL134),IF(ISNUMBER(AH134),IF(AND(AH134=1,AI134=1,AJ134=1),100,MIN(99,ROUND(100*EXP(AL134)/(1+EXP(AL134)),2))),MIN(99,ROUND(100*EXP(AL134)/(1+EXP(AL134)),2))),IF(ISTEXT(R134),IF(LEFT(R134,1)="2",100,"N/A"),"N/A"))</f>
        <v>0</v>
      </c>
      <c r="AN134">
        <f>IF(ISNUMBER(AM134),IF(AM134&gt;=99,IF(OR(U134=10,U134=11),MatchLabel,SureThingLabel),IF(AM134&gt;=95,SecureLabel,IF(AM134&gt;=80,SafetyLabel,IF(AM134&gt;=50,MatchLabel,IF(AM134&gt;=20,ReachLabel,IF(AM134&gt;=10,LongshotLabel,HailMaryLabel)))))),"Other")</f>
        <v>0</v>
      </c>
      <c r="AO134">
        <f>IF(OR(I134="accepted",I134="cond. accept",I134="summer admit"),IF(J134="yes","CHOICE!","Accepted!"),IF(I134="guar. transfer","Guar. Xfer",IF(I134="denied","Denied",IF(K134=1,"Waitlist",IF(L134=1,"Deferred",IF(G134="pending","Pending",IF(OR(G134="initial materials submitted",G134="mid-year submitted",G134="final submitted"),"Submitted",IF(H134="interest","Interest","?"))))))))</f>
        <v>0</v>
      </c>
      <c r="AP134">
        <f>IF(OR(AN134=ReachLabel,AN134=LongshotLabel,AN134=HailMaryLabel),1,0)</f>
        <v>0</v>
      </c>
      <c r="AQ134">
        <f>IF(OR(AP134=1,AN134=MatchLabel),1,0)</f>
        <v>0</v>
      </c>
      <c r="AR134">
        <f>IF(OR(AN134=MatchLabel,AN134=SafetyLabel,AN134=SecureLabel,AN134=SureThingLabel),1,0)</f>
        <v>0</v>
      </c>
      <c r="AS134">
        <f>IF(OR(W134="H",W134="B",W134="I",W134="M"),IF(ISNUMBER(AB134),ROUND(AB134,2),0),IF(ISNUMBER(AA134),ROUND(AA134,2),0))</f>
        <v>0</v>
      </c>
      <c r="AT134">
        <f>IF(AS134&gt;=X134,1,0)</f>
        <v>0</v>
      </c>
      <c r="AU134">
        <f>IF(AS134&gt;=Y134,1,0)</f>
        <v>0</v>
      </c>
      <c r="AV134">
        <f>IF(AS134&lt;(X134-0.10),1,0)</f>
        <v>0</v>
      </c>
      <c r="AW134">
        <f>1-AM134/100</f>
        <v>0</v>
      </c>
      <c r="AX134">
        <f>IF(AQ134=1,AW134,1)</f>
        <v>0</v>
      </c>
      <c r="AY134">
        <f>IF(AP134=1,AW134,1)</f>
        <v>0</v>
      </c>
      <c r="AZ134">
        <f>IF(AND(AT134=1,ISNUMBER(AW134)),$AW134,1)</f>
        <v>0</v>
      </c>
      <c r="BA134">
        <f>IF(AND(AU134=1,ISNUMBER(AW134)),$AW134,1)</f>
        <v>0</v>
      </c>
      <c r="BB134">
        <f>IF(ISNUMBER(AB134),INDEX(AllCollegeMoney, MATCH(N134,AllCollegeNCES,0)),0)</f>
        <v>0</v>
      </c>
      <c r="BC134">
        <f>IF(AND(AT134=1,ISNUMBER(AW134),BB134=1),$AW134,1)</f>
        <v>0</v>
      </c>
      <c r="BD134">
        <f>IF(AND(AU134=1,ISNUMBER(AW134),BB134=1),$AW134,1)</f>
        <v>0</v>
      </c>
      <c r="BE134">
        <f>IF(ISNUMBER(AB134),INDEX(AllCollegeILPub, MATCH(N134,AllCollegeNCES,0)),0)</f>
        <v>0</v>
      </c>
      <c r="BF134">
        <f>IF(AN134=ReachLabel,AS134,0)</f>
        <v>0</v>
      </c>
      <c r="BG134">
        <f>IF(AN134=MatchLabel,AS134,0)</f>
        <v>0</v>
      </c>
      <c r="BH134">
        <f>IF(AN134=SafetyLabel,AS134,0)</f>
        <v>0</v>
      </c>
      <c r="BI134">
        <f>IF(AN134=SecureLabel,AS134,0)</f>
        <v>0</v>
      </c>
      <c r="BJ134">
        <f>IF(AN134=SureThingLabel,AS134,0)</f>
        <v>0</v>
      </c>
      <c r="BK134">
        <f>MAX(BF134:BJ134)</f>
        <v>0</v>
      </c>
      <c r="BL134">
        <f>MAX(BG134:BJ134)</f>
        <v>0</v>
      </c>
      <c r="BM134">
        <f>MAX(BH134:BJ134)</f>
        <v>0</v>
      </c>
      <c r="BN134">
        <f>IF(AND(AN134=ReachLabel,BB134=1),AS134,0)</f>
        <v>0</v>
      </c>
      <c r="BO134">
        <f>IF(AND(AN134=MatchLabel,BB134=1),AS134,0)</f>
        <v>0</v>
      </c>
      <c r="BP134">
        <f>IF(AND(AN134=SafetyLabel,BB134=1),AS134,0)</f>
        <v>0</v>
      </c>
      <c r="BQ134">
        <f>IF(AND(AN134=SecureLabel,BB134=1),AS134,0)</f>
        <v>0</v>
      </c>
      <c r="BR134">
        <f>IF(AND(AN134=SureThingLabel,BB134=1),AS134,0)</f>
        <v>0</v>
      </c>
      <c r="BS134">
        <f>MAX(BN134:BR134)</f>
        <v>0</v>
      </c>
      <c r="BT134">
        <f>MAX(BO134:BR134)</f>
        <v>0</v>
      </c>
      <c r="BU134">
        <f>MAX(BP134:BR134)</f>
        <v>0</v>
      </c>
      <c r="BV134">
        <f>IF(ISNUMBER(AB134),INDEX(AllCollegeChicago, MATCH(N134,AllCollegeNCES,0))*BB134,0)</f>
        <v>0</v>
      </c>
      <c r="BW134">
        <f>IF(ISNUMBER(AB134),INDEX(AllCollegeMoneyCode, MATCH(N134,AllCollegeNCES,0)),"?")</f>
        <v>0</v>
      </c>
      <c r="BX134">
        <f>IF(OR(BW134="---",BW134="--",BW134="+/--",BW134="+/---"),1,0)</f>
        <v>0</v>
      </c>
      <c r="BY134">
        <f>BB134*AR134*AT134</f>
        <v>0</v>
      </c>
    </row>
    <row r="135" spans="1:77">
      <c r="A135" t="s">
        <v>96</v>
      </c>
      <c r="B135">
        <v>22511393</v>
      </c>
      <c r="C135" t="s">
        <v>215</v>
      </c>
      <c r="D135" t="s">
        <v>216</v>
      </c>
      <c r="E135" t="s">
        <v>446</v>
      </c>
      <c r="F135" t="s">
        <v>485</v>
      </c>
      <c r="G135" t="s">
        <v>448</v>
      </c>
      <c r="H135" t="s">
        <v>449</v>
      </c>
      <c r="I135" t="s">
        <v>450</v>
      </c>
      <c r="J135" t="s">
        <v>450</v>
      </c>
      <c r="K135">
        <v>0</v>
      </c>
      <c r="L135" t="s">
        <v>446</v>
      </c>
      <c r="M135" t="s">
        <v>446</v>
      </c>
      <c r="N135">
        <v>212009</v>
      </c>
      <c r="O135">
        <f>INDEX(Counselor,MATCH(B135,KidIDs,0))</f>
        <v>0</v>
      </c>
      <c r="P135">
        <f>INDEX(Advisors,MATCH(B135,KidIDs,0))</f>
        <v>0</v>
      </c>
      <c r="Q135">
        <f>INDEX(Cohort,MATCH(B135,KidIDs,0))</f>
        <v>0</v>
      </c>
      <c r="R135">
        <f>INDEX(AllCollegeBarrons,MATCH(N135,AllCollegeNCES,0))</f>
        <v>0</v>
      </c>
      <c r="S135">
        <f>INDEX(KidGPAs,MATCH(B135,KidIDs,0))</f>
        <v>0</v>
      </c>
      <c r="T135">
        <f>INDEX(KidSATs,MATCH(B135,KidIDs,0))</f>
        <v>0</v>
      </c>
      <c r="U135">
        <f>INDEX(Strats,MATCH(B135,KidIDs,0))</f>
        <v>0</v>
      </c>
      <c r="V135">
        <f>INDEX(KidRace,MATCH(B135,KidIDs,0))</f>
        <v>0</v>
      </c>
      <c r="W135">
        <f>IF(OR(V135="M",V135="I"),"H",IF(V135="P","A",V135))</f>
        <v>0</v>
      </c>
      <c r="X135">
        <f>INDEX(StudentTargets,MATCH(B135,KidIDs,0))</f>
        <v>0</v>
      </c>
      <c r="Y135">
        <f>INDEX(ReachStudentTargets,MATCH(B135,KidIDs,0))</f>
        <v>0</v>
      </c>
      <c r="Z135">
        <f>IF(OR(M135="Posse"),1,0)</f>
        <v>0</v>
      </c>
      <c r="AA135">
        <f>IF(ISNUMBER(INDEX(AllCollegeGR, MATCH(N135,AllCollegeNCES,0))),ROUND(INDEX(AllCollegeGR, MATCH(N135,AllCollegeNCES,0))+Z135*IF(INDEX(AllCollegeGR, MATCH(N135,AllCollegeNCES,0))&gt;0.7,(1-INDEX(AllCollegeGR, MATCH(N135,AllCollegeNCES,0)))/2,0.15),2),INDEX(AllCollegeGR, MATCH(N135,AllCollegeNCES,0)))</f>
        <v>0</v>
      </c>
      <c r="AB135">
        <f>IF(ISNUMBER(INDEX(AllCollegeAAHGR, MATCH(N135,AllCollegeNCES,0))),ROUND(INDEX(AllCollegeAAHGR, MATCH(N135,AllCollegeNCES,0))+Z135*IF(INDEX(AllCollegeAAHGR, MATCH(N135,AllCollegeNCES,0))&gt;0.7,(1-INDEX(AllCollegeAAHGR, MATCH(N135,AllCollegeNCES,0)))/2,0.15),2),INDEX(AllCollegeAAHGR, MATCH(N135,AllCollegeNCES,0)))</f>
        <v>0</v>
      </c>
      <c r="AC135">
        <f>IF(OR(W135="H",W135="B"),INDEX(AllCollegeSAT25, MATCH(N135,AllCollegeNCES,0)),INDEX(AllCollegeSAT50, MATCH(N135,AllCollegeNCES,0)))</f>
        <v>0</v>
      </c>
      <c r="AD135">
        <f>INDEX(CustomWeightsGPA,MATCH(W135&amp;":"&amp;N135,CustomWeightsIndex,0))</f>
        <v>0</v>
      </c>
      <c r="AE135">
        <f>INDEX(CustomWeightsSAT,MATCH(W135&amp;":"&amp;N135,CustomWeightsIndex,0))</f>
        <v>0</v>
      </c>
      <c r="AF135">
        <f>INDEX(CustomWeightsIntercept,MATCH(W135&amp;":"&amp;N135,CustomWeightsIndex,0))</f>
        <v>0</v>
      </c>
      <c r="AG135">
        <f>AD135*S135+AE135*T135+AF135</f>
        <v>0</v>
      </c>
      <c r="AH135">
        <f>INDEX(CoefficientsGPA,MATCH(W135&amp;":"&amp;R135,CoefficientsIndex,0))</f>
        <v>0</v>
      </c>
      <c r="AI135">
        <f>INDEX(CoefficientsSAT,MATCH(W135&amp;":"&amp;R135,CoefficientsIndex,0))</f>
        <v>0</v>
      </c>
      <c r="AJ135">
        <f>INDEX(CoefficientsIntercept,MATCH(W135&amp;":"&amp;R135,CoefficientsIndex,0))</f>
        <v>0</v>
      </c>
      <c r="AK135">
        <f>AH135*S135+(T135-AC135)*AI135+AJ135</f>
        <v>0</v>
      </c>
      <c r="AL135">
        <f>IF(ISNUMBER(AG135),AG135,AK135)</f>
        <v>0</v>
      </c>
      <c r="AM135">
        <f>IF(ISNUMBER(AL135),IF(ISNUMBER(AH135),IF(AND(AH135=1,AI135=1,AJ135=1),100,MIN(99,ROUND(100*EXP(AL135)/(1+EXP(AL135)),2))),MIN(99,ROUND(100*EXP(AL135)/(1+EXP(AL135)),2))),IF(ISTEXT(R135),IF(LEFT(R135,1)="2",100,"N/A"),"N/A"))</f>
        <v>0</v>
      </c>
      <c r="AN135">
        <f>IF(ISNUMBER(AM135),IF(AM135&gt;=99,IF(OR(U135=10,U135=11),MatchLabel,SureThingLabel),IF(AM135&gt;=95,SecureLabel,IF(AM135&gt;=80,SafetyLabel,IF(AM135&gt;=50,MatchLabel,IF(AM135&gt;=20,ReachLabel,IF(AM135&gt;=10,LongshotLabel,HailMaryLabel)))))),"Other")</f>
        <v>0</v>
      </c>
      <c r="AO135">
        <f>IF(OR(I135="accepted",I135="cond. accept",I135="summer admit"),IF(J135="yes","CHOICE!","Accepted!"),IF(I135="guar. transfer","Guar. Xfer",IF(I135="denied","Denied",IF(K135=1,"Waitlist",IF(L135=1,"Deferred",IF(G135="pending","Pending",IF(OR(G135="initial materials submitted",G135="mid-year submitted",G135="final submitted"),"Submitted",IF(H135="interest","Interest","?"))))))))</f>
        <v>0</v>
      </c>
      <c r="AP135">
        <f>IF(OR(AN135=ReachLabel,AN135=LongshotLabel,AN135=HailMaryLabel),1,0)</f>
        <v>0</v>
      </c>
      <c r="AQ135">
        <f>IF(OR(AP135=1,AN135=MatchLabel),1,0)</f>
        <v>0</v>
      </c>
      <c r="AR135">
        <f>IF(OR(AN135=MatchLabel,AN135=SafetyLabel,AN135=SecureLabel,AN135=SureThingLabel),1,0)</f>
        <v>0</v>
      </c>
      <c r="AS135">
        <f>IF(OR(W135="H",W135="B",W135="I",W135="M"),IF(ISNUMBER(AB135),ROUND(AB135,2),0),IF(ISNUMBER(AA135),ROUND(AA135,2),0))</f>
        <v>0</v>
      </c>
      <c r="AT135">
        <f>IF(AS135&gt;=X135,1,0)</f>
        <v>0</v>
      </c>
      <c r="AU135">
        <f>IF(AS135&gt;=Y135,1,0)</f>
        <v>0</v>
      </c>
      <c r="AV135">
        <f>IF(AS135&lt;(X135-0.10),1,0)</f>
        <v>0</v>
      </c>
      <c r="AW135">
        <f>1-AM135/100</f>
        <v>0</v>
      </c>
      <c r="AX135">
        <f>IF(AQ135=1,AW135,1)</f>
        <v>0</v>
      </c>
      <c r="AY135">
        <f>IF(AP135=1,AW135,1)</f>
        <v>0</v>
      </c>
      <c r="AZ135">
        <f>IF(AND(AT135=1,ISNUMBER(AW135)),$AW135,1)</f>
        <v>0</v>
      </c>
      <c r="BA135">
        <f>IF(AND(AU135=1,ISNUMBER(AW135)),$AW135,1)</f>
        <v>0</v>
      </c>
      <c r="BB135">
        <f>IF(ISNUMBER(AB135),INDEX(AllCollegeMoney, MATCH(N135,AllCollegeNCES,0)),0)</f>
        <v>0</v>
      </c>
      <c r="BC135">
        <f>IF(AND(AT135=1,ISNUMBER(AW135),BB135=1),$AW135,1)</f>
        <v>0</v>
      </c>
      <c r="BD135">
        <f>IF(AND(AU135=1,ISNUMBER(AW135),BB135=1),$AW135,1)</f>
        <v>0</v>
      </c>
      <c r="BE135">
        <f>IF(ISNUMBER(AB135),INDEX(AllCollegeILPub, MATCH(N135,AllCollegeNCES,0)),0)</f>
        <v>0</v>
      </c>
      <c r="BF135">
        <f>IF(AN135=ReachLabel,AS135,0)</f>
        <v>0</v>
      </c>
      <c r="BG135">
        <f>IF(AN135=MatchLabel,AS135,0)</f>
        <v>0</v>
      </c>
      <c r="BH135">
        <f>IF(AN135=SafetyLabel,AS135,0)</f>
        <v>0</v>
      </c>
      <c r="BI135">
        <f>IF(AN135=SecureLabel,AS135,0)</f>
        <v>0</v>
      </c>
      <c r="BJ135">
        <f>IF(AN135=SureThingLabel,AS135,0)</f>
        <v>0</v>
      </c>
      <c r="BK135">
        <f>MAX(BF135:BJ135)</f>
        <v>0</v>
      </c>
      <c r="BL135">
        <f>MAX(BG135:BJ135)</f>
        <v>0</v>
      </c>
      <c r="BM135">
        <f>MAX(BH135:BJ135)</f>
        <v>0</v>
      </c>
      <c r="BN135">
        <f>IF(AND(AN135=ReachLabel,BB135=1),AS135,0)</f>
        <v>0</v>
      </c>
      <c r="BO135">
        <f>IF(AND(AN135=MatchLabel,BB135=1),AS135,0)</f>
        <v>0</v>
      </c>
      <c r="BP135">
        <f>IF(AND(AN135=SafetyLabel,BB135=1),AS135,0)</f>
        <v>0</v>
      </c>
      <c r="BQ135">
        <f>IF(AND(AN135=SecureLabel,BB135=1),AS135,0)</f>
        <v>0</v>
      </c>
      <c r="BR135">
        <f>IF(AND(AN135=SureThingLabel,BB135=1),AS135,0)</f>
        <v>0</v>
      </c>
      <c r="BS135">
        <f>MAX(BN135:BR135)</f>
        <v>0</v>
      </c>
      <c r="BT135">
        <f>MAX(BO135:BR135)</f>
        <v>0</v>
      </c>
      <c r="BU135">
        <f>MAX(BP135:BR135)</f>
        <v>0</v>
      </c>
      <c r="BV135">
        <f>IF(ISNUMBER(AB135),INDEX(AllCollegeChicago, MATCH(N135,AllCollegeNCES,0))*BB135,0)</f>
        <v>0</v>
      </c>
      <c r="BW135">
        <f>IF(ISNUMBER(AB135),INDEX(AllCollegeMoneyCode, MATCH(N135,AllCollegeNCES,0)),"?")</f>
        <v>0</v>
      </c>
      <c r="BX135">
        <f>IF(OR(BW135="---",BW135="--",BW135="+/--",BW135="+/---"),1,0)</f>
        <v>0</v>
      </c>
      <c r="BY135">
        <f>BB135*AR135*AT135</f>
        <v>0</v>
      </c>
    </row>
    <row r="136" spans="1:77">
      <c r="A136" t="s">
        <v>96</v>
      </c>
      <c r="B136">
        <v>22511393</v>
      </c>
      <c r="C136" t="s">
        <v>215</v>
      </c>
      <c r="D136" t="s">
        <v>216</v>
      </c>
      <c r="E136" t="s">
        <v>446</v>
      </c>
      <c r="F136" t="s">
        <v>486</v>
      </c>
      <c r="G136" t="s">
        <v>448</v>
      </c>
      <c r="H136" t="s">
        <v>449</v>
      </c>
      <c r="I136" t="s">
        <v>450</v>
      </c>
      <c r="J136" t="s">
        <v>450</v>
      </c>
      <c r="K136">
        <v>0</v>
      </c>
      <c r="L136" t="s">
        <v>446</v>
      </c>
      <c r="M136" t="s">
        <v>446</v>
      </c>
      <c r="N136">
        <v>206589</v>
      </c>
      <c r="O136">
        <f>INDEX(Counselor,MATCH(B136,KidIDs,0))</f>
        <v>0</v>
      </c>
      <c r="P136">
        <f>INDEX(Advisors,MATCH(B136,KidIDs,0))</f>
        <v>0</v>
      </c>
      <c r="Q136">
        <f>INDEX(Cohort,MATCH(B136,KidIDs,0))</f>
        <v>0</v>
      </c>
      <c r="R136">
        <f>INDEX(AllCollegeBarrons,MATCH(N136,AllCollegeNCES,0))</f>
        <v>0</v>
      </c>
      <c r="S136">
        <f>INDEX(KidGPAs,MATCH(B136,KidIDs,0))</f>
        <v>0</v>
      </c>
      <c r="T136">
        <f>INDEX(KidSATs,MATCH(B136,KidIDs,0))</f>
        <v>0</v>
      </c>
      <c r="U136">
        <f>INDEX(Strats,MATCH(B136,KidIDs,0))</f>
        <v>0</v>
      </c>
      <c r="V136">
        <f>INDEX(KidRace,MATCH(B136,KidIDs,0))</f>
        <v>0</v>
      </c>
      <c r="W136">
        <f>IF(OR(V136="M",V136="I"),"H",IF(V136="P","A",V136))</f>
        <v>0</v>
      </c>
      <c r="X136">
        <f>INDEX(StudentTargets,MATCH(B136,KidIDs,0))</f>
        <v>0</v>
      </c>
      <c r="Y136">
        <f>INDEX(ReachStudentTargets,MATCH(B136,KidIDs,0))</f>
        <v>0</v>
      </c>
      <c r="Z136">
        <f>IF(OR(M136="Posse"),1,0)</f>
        <v>0</v>
      </c>
      <c r="AA136">
        <f>IF(ISNUMBER(INDEX(AllCollegeGR, MATCH(N136,AllCollegeNCES,0))),ROUND(INDEX(AllCollegeGR, MATCH(N136,AllCollegeNCES,0))+Z136*IF(INDEX(AllCollegeGR, MATCH(N136,AllCollegeNCES,0))&gt;0.7,(1-INDEX(AllCollegeGR, MATCH(N136,AllCollegeNCES,0)))/2,0.15),2),INDEX(AllCollegeGR, MATCH(N136,AllCollegeNCES,0)))</f>
        <v>0</v>
      </c>
      <c r="AB136">
        <f>IF(ISNUMBER(INDEX(AllCollegeAAHGR, MATCH(N136,AllCollegeNCES,0))),ROUND(INDEX(AllCollegeAAHGR, MATCH(N136,AllCollegeNCES,0))+Z136*IF(INDEX(AllCollegeAAHGR, MATCH(N136,AllCollegeNCES,0))&gt;0.7,(1-INDEX(AllCollegeAAHGR, MATCH(N136,AllCollegeNCES,0)))/2,0.15),2),INDEX(AllCollegeAAHGR, MATCH(N136,AllCollegeNCES,0)))</f>
        <v>0</v>
      </c>
      <c r="AC136">
        <f>IF(OR(W136="H",W136="B"),INDEX(AllCollegeSAT25, MATCH(N136,AllCollegeNCES,0)),INDEX(AllCollegeSAT50, MATCH(N136,AllCollegeNCES,0)))</f>
        <v>0</v>
      </c>
      <c r="AD136">
        <f>INDEX(CustomWeightsGPA,MATCH(W136&amp;":"&amp;N136,CustomWeightsIndex,0))</f>
        <v>0</v>
      </c>
      <c r="AE136">
        <f>INDEX(CustomWeightsSAT,MATCH(W136&amp;":"&amp;N136,CustomWeightsIndex,0))</f>
        <v>0</v>
      </c>
      <c r="AF136">
        <f>INDEX(CustomWeightsIntercept,MATCH(W136&amp;":"&amp;N136,CustomWeightsIndex,0))</f>
        <v>0</v>
      </c>
      <c r="AG136">
        <f>AD136*S136+AE136*T136+AF136</f>
        <v>0</v>
      </c>
      <c r="AH136">
        <f>INDEX(CoefficientsGPA,MATCH(W136&amp;":"&amp;R136,CoefficientsIndex,0))</f>
        <v>0</v>
      </c>
      <c r="AI136">
        <f>INDEX(CoefficientsSAT,MATCH(W136&amp;":"&amp;R136,CoefficientsIndex,0))</f>
        <v>0</v>
      </c>
      <c r="AJ136">
        <f>INDEX(CoefficientsIntercept,MATCH(W136&amp;":"&amp;R136,CoefficientsIndex,0))</f>
        <v>0</v>
      </c>
      <c r="AK136">
        <f>AH136*S136+(T136-AC136)*AI136+AJ136</f>
        <v>0</v>
      </c>
      <c r="AL136">
        <f>IF(ISNUMBER(AG136),AG136,AK136)</f>
        <v>0</v>
      </c>
      <c r="AM136">
        <f>IF(ISNUMBER(AL136),IF(ISNUMBER(AH136),IF(AND(AH136=1,AI136=1,AJ136=1),100,MIN(99,ROUND(100*EXP(AL136)/(1+EXP(AL136)),2))),MIN(99,ROUND(100*EXP(AL136)/(1+EXP(AL136)),2))),IF(ISTEXT(R136),IF(LEFT(R136,1)="2",100,"N/A"),"N/A"))</f>
        <v>0</v>
      </c>
      <c r="AN136">
        <f>IF(ISNUMBER(AM136),IF(AM136&gt;=99,IF(OR(U136=10,U136=11),MatchLabel,SureThingLabel),IF(AM136&gt;=95,SecureLabel,IF(AM136&gt;=80,SafetyLabel,IF(AM136&gt;=50,MatchLabel,IF(AM136&gt;=20,ReachLabel,IF(AM136&gt;=10,LongshotLabel,HailMaryLabel)))))),"Other")</f>
        <v>0</v>
      </c>
      <c r="AO136">
        <f>IF(OR(I136="accepted",I136="cond. accept",I136="summer admit"),IF(J136="yes","CHOICE!","Accepted!"),IF(I136="guar. transfer","Guar. Xfer",IF(I136="denied","Denied",IF(K136=1,"Waitlist",IF(L136=1,"Deferred",IF(G136="pending","Pending",IF(OR(G136="initial materials submitted",G136="mid-year submitted",G136="final submitted"),"Submitted",IF(H136="interest","Interest","?"))))))))</f>
        <v>0</v>
      </c>
      <c r="AP136">
        <f>IF(OR(AN136=ReachLabel,AN136=LongshotLabel,AN136=HailMaryLabel),1,0)</f>
        <v>0</v>
      </c>
      <c r="AQ136">
        <f>IF(OR(AP136=1,AN136=MatchLabel),1,0)</f>
        <v>0</v>
      </c>
      <c r="AR136">
        <f>IF(OR(AN136=MatchLabel,AN136=SafetyLabel,AN136=SecureLabel,AN136=SureThingLabel),1,0)</f>
        <v>0</v>
      </c>
      <c r="AS136">
        <f>IF(OR(W136="H",W136="B",W136="I",W136="M"),IF(ISNUMBER(AB136),ROUND(AB136,2),0),IF(ISNUMBER(AA136),ROUND(AA136,2),0))</f>
        <v>0</v>
      </c>
      <c r="AT136">
        <f>IF(AS136&gt;=X136,1,0)</f>
        <v>0</v>
      </c>
      <c r="AU136">
        <f>IF(AS136&gt;=Y136,1,0)</f>
        <v>0</v>
      </c>
      <c r="AV136">
        <f>IF(AS136&lt;(X136-0.10),1,0)</f>
        <v>0</v>
      </c>
      <c r="AW136">
        <f>1-AM136/100</f>
        <v>0</v>
      </c>
      <c r="AX136">
        <f>IF(AQ136=1,AW136,1)</f>
        <v>0</v>
      </c>
      <c r="AY136">
        <f>IF(AP136=1,AW136,1)</f>
        <v>0</v>
      </c>
      <c r="AZ136">
        <f>IF(AND(AT136=1,ISNUMBER(AW136)),$AW136,1)</f>
        <v>0</v>
      </c>
      <c r="BA136">
        <f>IF(AND(AU136=1,ISNUMBER(AW136)),$AW136,1)</f>
        <v>0</v>
      </c>
      <c r="BB136">
        <f>IF(ISNUMBER(AB136),INDEX(AllCollegeMoney, MATCH(N136,AllCollegeNCES,0)),0)</f>
        <v>0</v>
      </c>
      <c r="BC136">
        <f>IF(AND(AT136=1,ISNUMBER(AW136),BB136=1),$AW136,1)</f>
        <v>0</v>
      </c>
      <c r="BD136">
        <f>IF(AND(AU136=1,ISNUMBER(AW136),BB136=1),$AW136,1)</f>
        <v>0</v>
      </c>
      <c r="BE136">
        <f>IF(ISNUMBER(AB136),INDEX(AllCollegeILPub, MATCH(N136,AllCollegeNCES,0)),0)</f>
        <v>0</v>
      </c>
      <c r="BF136">
        <f>IF(AN136=ReachLabel,AS136,0)</f>
        <v>0</v>
      </c>
      <c r="BG136">
        <f>IF(AN136=MatchLabel,AS136,0)</f>
        <v>0</v>
      </c>
      <c r="BH136">
        <f>IF(AN136=SafetyLabel,AS136,0)</f>
        <v>0</v>
      </c>
      <c r="BI136">
        <f>IF(AN136=SecureLabel,AS136,0)</f>
        <v>0</v>
      </c>
      <c r="BJ136">
        <f>IF(AN136=SureThingLabel,AS136,0)</f>
        <v>0</v>
      </c>
      <c r="BK136">
        <f>MAX(BF136:BJ136)</f>
        <v>0</v>
      </c>
      <c r="BL136">
        <f>MAX(BG136:BJ136)</f>
        <v>0</v>
      </c>
      <c r="BM136">
        <f>MAX(BH136:BJ136)</f>
        <v>0</v>
      </c>
      <c r="BN136">
        <f>IF(AND(AN136=ReachLabel,BB136=1),AS136,0)</f>
        <v>0</v>
      </c>
      <c r="BO136">
        <f>IF(AND(AN136=MatchLabel,BB136=1),AS136,0)</f>
        <v>0</v>
      </c>
      <c r="BP136">
        <f>IF(AND(AN136=SafetyLabel,BB136=1),AS136,0)</f>
        <v>0</v>
      </c>
      <c r="BQ136">
        <f>IF(AND(AN136=SecureLabel,BB136=1),AS136,0)</f>
        <v>0</v>
      </c>
      <c r="BR136">
        <f>IF(AND(AN136=SureThingLabel,BB136=1),AS136,0)</f>
        <v>0</v>
      </c>
      <c r="BS136">
        <f>MAX(BN136:BR136)</f>
        <v>0</v>
      </c>
      <c r="BT136">
        <f>MAX(BO136:BR136)</f>
        <v>0</v>
      </c>
      <c r="BU136">
        <f>MAX(BP136:BR136)</f>
        <v>0</v>
      </c>
      <c r="BV136">
        <f>IF(ISNUMBER(AB136),INDEX(AllCollegeChicago, MATCH(N136,AllCollegeNCES,0))*BB136,0)</f>
        <v>0</v>
      </c>
      <c r="BW136">
        <f>IF(ISNUMBER(AB136),INDEX(AllCollegeMoneyCode, MATCH(N136,AllCollegeNCES,0)),"?")</f>
        <v>0</v>
      </c>
      <c r="BX136">
        <f>IF(OR(BW136="---",BW136="--",BW136="+/--",BW136="+/---"),1,0)</f>
        <v>0</v>
      </c>
      <c r="BY136">
        <f>BB136*AR136*AT136</f>
        <v>0</v>
      </c>
    </row>
    <row r="137" spans="1:77">
      <c r="A137" t="s">
        <v>96</v>
      </c>
      <c r="B137">
        <v>22511393</v>
      </c>
      <c r="C137" t="s">
        <v>215</v>
      </c>
      <c r="D137" t="s">
        <v>216</v>
      </c>
      <c r="E137" t="s">
        <v>446</v>
      </c>
      <c r="F137" t="s">
        <v>516</v>
      </c>
      <c r="G137" t="s">
        <v>448</v>
      </c>
      <c r="H137" t="s">
        <v>449</v>
      </c>
      <c r="I137" t="s">
        <v>450</v>
      </c>
      <c r="J137" t="s">
        <v>450</v>
      </c>
      <c r="K137">
        <v>0</v>
      </c>
      <c r="L137" t="s">
        <v>446</v>
      </c>
      <c r="M137" t="s">
        <v>446</v>
      </c>
      <c r="N137">
        <v>117946</v>
      </c>
      <c r="O137">
        <f>INDEX(Counselor,MATCH(B137,KidIDs,0))</f>
        <v>0</v>
      </c>
      <c r="P137">
        <f>INDEX(Advisors,MATCH(B137,KidIDs,0))</f>
        <v>0</v>
      </c>
      <c r="Q137">
        <f>INDEX(Cohort,MATCH(B137,KidIDs,0))</f>
        <v>0</v>
      </c>
      <c r="R137">
        <f>INDEX(AllCollegeBarrons,MATCH(N137,AllCollegeNCES,0))</f>
        <v>0</v>
      </c>
      <c r="S137">
        <f>INDEX(KidGPAs,MATCH(B137,KidIDs,0))</f>
        <v>0</v>
      </c>
      <c r="T137">
        <f>INDEX(KidSATs,MATCH(B137,KidIDs,0))</f>
        <v>0</v>
      </c>
      <c r="U137">
        <f>INDEX(Strats,MATCH(B137,KidIDs,0))</f>
        <v>0</v>
      </c>
      <c r="V137">
        <f>INDEX(KidRace,MATCH(B137,KidIDs,0))</f>
        <v>0</v>
      </c>
      <c r="W137">
        <f>IF(OR(V137="M",V137="I"),"H",IF(V137="P","A",V137))</f>
        <v>0</v>
      </c>
      <c r="X137">
        <f>INDEX(StudentTargets,MATCH(B137,KidIDs,0))</f>
        <v>0</v>
      </c>
      <c r="Y137">
        <f>INDEX(ReachStudentTargets,MATCH(B137,KidIDs,0))</f>
        <v>0</v>
      </c>
      <c r="Z137">
        <f>IF(OR(M137="Posse"),1,0)</f>
        <v>0</v>
      </c>
      <c r="AA137">
        <f>IF(ISNUMBER(INDEX(AllCollegeGR, MATCH(N137,AllCollegeNCES,0))),ROUND(INDEX(AllCollegeGR, MATCH(N137,AllCollegeNCES,0))+Z137*IF(INDEX(AllCollegeGR, MATCH(N137,AllCollegeNCES,0))&gt;0.7,(1-INDEX(AllCollegeGR, MATCH(N137,AllCollegeNCES,0)))/2,0.15),2),INDEX(AllCollegeGR, MATCH(N137,AllCollegeNCES,0)))</f>
        <v>0</v>
      </c>
      <c r="AB137">
        <f>IF(ISNUMBER(INDEX(AllCollegeAAHGR, MATCH(N137,AllCollegeNCES,0))),ROUND(INDEX(AllCollegeAAHGR, MATCH(N137,AllCollegeNCES,0))+Z137*IF(INDEX(AllCollegeAAHGR, MATCH(N137,AllCollegeNCES,0))&gt;0.7,(1-INDEX(AllCollegeAAHGR, MATCH(N137,AllCollegeNCES,0)))/2,0.15),2),INDEX(AllCollegeAAHGR, MATCH(N137,AllCollegeNCES,0)))</f>
        <v>0</v>
      </c>
      <c r="AC137">
        <f>IF(OR(W137="H",W137="B"),INDEX(AllCollegeSAT25, MATCH(N137,AllCollegeNCES,0)),INDEX(AllCollegeSAT50, MATCH(N137,AllCollegeNCES,0)))</f>
        <v>0</v>
      </c>
      <c r="AD137">
        <f>INDEX(CustomWeightsGPA,MATCH(W137&amp;":"&amp;N137,CustomWeightsIndex,0))</f>
        <v>0</v>
      </c>
      <c r="AE137">
        <f>INDEX(CustomWeightsSAT,MATCH(W137&amp;":"&amp;N137,CustomWeightsIndex,0))</f>
        <v>0</v>
      </c>
      <c r="AF137">
        <f>INDEX(CustomWeightsIntercept,MATCH(W137&amp;":"&amp;N137,CustomWeightsIndex,0))</f>
        <v>0</v>
      </c>
      <c r="AG137">
        <f>AD137*S137+AE137*T137+AF137</f>
        <v>0</v>
      </c>
      <c r="AH137">
        <f>INDEX(CoefficientsGPA,MATCH(W137&amp;":"&amp;R137,CoefficientsIndex,0))</f>
        <v>0</v>
      </c>
      <c r="AI137">
        <f>INDEX(CoefficientsSAT,MATCH(W137&amp;":"&amp;R137,CoefficientsIndex,0))</f>
        <v>0</v>
      </c>
      <c r="AJ137">
        <f>INDEX(CoefficientsIntercept,MATCH(W137&amp;":"&amp;R137,CoefficientsIndex,0))</f>
        <v>0</v>
      </c>
      <c r="AK137">
        <f>AH137*S137+(T137-AC137)*AI137+AJ137</f>
        <v>0</v>
      </c>
      <c r="AL137">
        <f>IF(ISNUMBER(AG137),AG137,AK137)</f>
        <v>0</v>
      </c>
      <c r="AM137">
        <f>IF(ISNUMBER(AL137),IF(ISNUMBER(AH137),IF(AND(AH137=1,AI137=1,AJ137=1),100,MIN(99,ROUND(100*EXP(AL137)/(1+EXP(AL137)),2))),MIN(99,ROUND(100*EXP(AL137)/(1+EXP(AL137)),2))),IF(ISTEXT(R137),IF(LEFT(R137,1)="2",100,"N/A"),"N/A"))</f>
        <v>0</v>
      </c>
      <c r="AN137">
        <f>IF(ISNUMBER(AM137),IF(AM137&gt;=99,IF(OR(U137=10,U137=11),MatchLabel,SureThingLabel),IF(AM137&gt;=95,SecureLabel,IF(AM137&gt;=80,SafetyLabel,IF(AM137&gt;=50,MatchLabel,IF(AM137&gt;=20,ReachLabel,IF(AM137&gt;=10,LongshotLabel,HailMaryLabel)))))),"Other")</f>
        <v>0</v>
      </c>
      <c r="AO137">
        <f>IF(OR(I137="accepted",I137="cond. accept",I137="summer admit"),IF(J137="yes","CHOICE!","Accepted!"),IF(I137="guar. transfer","Guar. Xfer",IF(I137="denied","Denied",IF(K137=1,"Waitlist",IF(L137=1,"Deferred",IF(G137="pending","Pending",IF(OR(G137="initial materials submitted",G137="mid-year submitted",G137="final submitted"),"Submitted",IF(H137="interest","Interest","?"))))))))</f>
        <v>0</v>
      </c>
      <c r="AP137">
        <f>IF(OR(AN137=ReachLabel,AN137=LongshotLabel,AN137=HailMaryLabel),1,0)</f>
        <v>0</v>
      </c>
      <c r="AQ137">
        <f>IF(OR(AP137=1,AN137=MatchLabel),1,0)</f>
        <v>0</v>
      </c>
      <c r="AR137">
        <f>IF(OR(AN137=MatchLabel,AN137=SafetyLabel,AN137=SecureLabel,AN137=SureThingLabel),1,0)</f>
        <v>0</v>
      </c>
      <c r="AS137">
        <f>IF(OR(W137="H",W137="B",W137="I",W137="M"),IF(ISNUMBER(AB137),ROUND(AB137,2),0),IF(ISNUMBER(AA137),ROUND(AA137,2),0))</f>
        <v>0</v>
      </c>
      <c r="AT137">
        <f>IF(AS137&gt;=X137,1,0)</f>
        <v>0</v>
      </c>
      <c r="AU137">
        <f>IF(AS137&gt;=Y137,1,0)</f>
        <v>0</v>
      </c>
      <c r="AV137">
        <f>IF(AS137&lt;(X137-0.10),1,0)</f>
        <v>0</v>
      </c>
      <c r="AW137">
        <f>1-AM137/100</f>
        <v>0</v>
      </c>
      <c r="AX137">
        <f>IF(AQ137=1,AW137,1)</f>
        <v>0</v>
      </c>
      <c r="AY137">
        <f>IF(AP137=1,AW137,1)</f>
        <v>0</v>
      </c>
      <c r="AZ137">
        <f>IF(AND(AT137=1,ISNUMBER(AW137)),$AW137,1)</f>
        <v>0</v>
      </c>
      <c r="BA137">
        <f>IF(AND(AU137=1,ISNUMBER(AW137)),$AW137,1)</f>
        <v>0</v>
      </c>
      <c r="BB137">
        <f>IF(ISNUMBER(AB137),INDEX(AllCollegeMoney, MATCH(N137,AllCollegeNCES,0)),0)</f>
        <v>0</v>
      </c>
      <c r="BC137">
        <f>IF(AND(AT137=1,ISNUMBER(AW137),BB137=1),$AW137,1)</f>
        <v>0</v>
      </c>
      <c r="BD137">
        <f>IF(AND(AU137=1,ISNUMBER(AW137),BB137=1),$AW137,1)</f>
        <v>0</v>
      </c>
      <c r="BE137">
        <f>IF(ISNUMBER(AB137),INDEX(AllCollegeILPub, MATCH(N137,AllCollegeNCES,0)),0)</f>
        <v>0</v>
      </c>
      <c r="BF137">
        <f>IF(AN137=ReachLabel,AS137,0)</f>
        <v>0</v>
      </c>
      <c r="BG137">
        <f>IF(AN137=MatchLabel,AS137,0)</f>
        <v>0</v>
      </c>
      <c r="BH137">
        <f>IF(AN137=SafetyLabel,AS137,0)</f>
        <v>0</v>
      </c>
      <c r="BI137">
        <f>IF(AN137=SecureLabel,AS137,0)</f>
        <v>0</v>
      </c>
      <c r="BJ137">
        <f>IF(AN137=SureThingLabel,AS137,0)</f>
        <v>0</v>
      </c>
      <c r="BK137">
        <f>MAX(BF137:BJ137)</f>
        <v>0</v>
      </c>
      <c r="BL137">
        <f>MAX(BG137:BJ137)</f>
        <v>0</v>
      </c>
      <c r="BM137">
        <f>MAX(BH137:BJ137)</f>
        <v>0</v>
      </c>
      <c r="BN137">
        <f>IF(AND(AN137=ReachLabel,BB137=1),AS137,0)</f>
        <v>0</v>
      </c>
      <c r="BO137">
        <f>IF(AND(AN137=MatchLabel,BB137=1),AS137,0)</f>
        <v>0</v>
      </c>
      <c r="BP137">
        <f>IF(AND(AN137=SafetyLabel,BB137=1),AS137,0)</f>
        <v>0</v>
      </c>
      <c r="BQ137">
        <f>IF(AND(AN137=SecureLabel,BB137=1),AS137,0)</f>
        <v>0</v>
      </c>
      <c r="BR137">
        <f>IF(AND(AN137=SureThingLabel,BB137=1),AS137,0)</f>
        <v>0</v>
      </c>
      <c r="BS137">
        <f>MAX(BN137:BR137)</f>
        <v>0</v>
      </c>
      <c r="BT137">
        <f>MAX(BO137:BR137)</f>
        <v>0</v>
      </c>
      <c r="BU137">
        <f>MAX(BP137:BR137)</f>
        <v>0</v>
      </c>
      <c r="BV137">
        <f>IF(ISNUMBER(AB137),INDEX(AllCollegeChicago, MATCH(N137,AllCollegeNCES,0))*BB137,0)</f>
        <v>0</v>
      </c>
      <c r="BW137">
        <f>IF(ISNUMBER(AB137),INDEX(AllCollegeMoneyCode, MATCH(N137,AllCollegeNCES,0)),"?")</f>
        <v>0</v>
      </c>
      <c r="BX137">
        <f>IF(OR(BW137="---",BW137="--",BW137="+/--",BW137="+/---"),1,0)</f>
        <v>0</v>
      </c>
      <c r="BY137">
        <f>BB137*AR137*AT137</f>
        <v>0</v>
      </c>
    </row>
    <row r="138" spans="1:77">
      <c r="A138" t="s">
        <v>96</v>
      </c>
      <c r="B138">
        <v>22511393</v>
      </c>
      <c r="C138" t="s">
        <v>215</v>
      </c>
      <c r="D138" t="s">
        <v>216</v>
      </c>
      <c r="E138" t="s">
        <v>446</v>
      </c>
      <c r="F138" t="s">
        <v>475</v>
      </c>
      <c r="G138" t="s">
        <v>448</v>
      </c>
      <c r="H138" t="s">
        <v>449</v>
      </c>
      <c r="I138" t="s">
        <v>450</v>
      </c>
      <c r="J138" t="s">
        <v>450</v>
      </c>
      <c r="K138">
        <v>0</v>
      </c>
      <c r="L138" t="s">
        <v>446</v>
      </c>
      <c r="M138" t="s">
        <v>446</v>
      </c>
      <c r="N138">
        <v>145637</v>
      </c>
      <c r="O138">
        <f>INDEX(Counselor,MATCH(B138,KidIDs,0))</f>
        <v>0</v>
      </c>
      <c r="P138">
        <f>INDEX(Advisors,MATCH(B138,KidIDs,0))</f>
        <v>0</v>
      </c>
      <c r="Q138">
        <f>INDEX(Cohort,MATCH(B138,KidIDs,0))</f>
        <v>0</v>
      </c>
      <c r="R138">
        <f>INDEX(AllCollegeBarrons,MATCH(N138,AllCollegeNCES,0))</f>
        <v>0</v>
      </c>
      <c r="S138">
        <f>INDEX(KidGPAs,MATCH(B138,KidIDs,0))</f>
        <v>0</v>
      </c>
      <c r="T138">
        <f>INDEX(KidSATs,MATCH(B138,KidIDs,0))</f>
        <v>0</v>
      </c>
      <c r="U138">
        <f>INDEX(Strats,MATCH(B138,KidIDs,0))</f>
        <v>0</v>
      </c>
      <c r="V138">
        <f>INDEX(KidRace,MATCH(B138,KidIDs,0))</f>
        <v>0</v>
      </c>
      <c r="W138">
        <f>IF(OR(V138="M",V138="I"),"H",IF(V138="P","A",V138))</f>
        <v>0</v>
      </c>
      <c r="X138">
        <f>INDEX(StudentTargets,MATCH(B138,KidIDs,0))</f>
        <v>0</v>
      </c>
      <c r="Y138">
        <f>INDEX(ReachStudentTargets,MATCH(B138,KidIDs,0))</f>
        <v>0</v>
      </c>
      <c r="Z138">
        <f>IF(OR(M138="Posse"),1,0)</f>
        <v>0</v>
      </c>
      <c r="AA138">
        <f>IF(ISNUMBER(INDEX(AllCollegeGR, MATCH(N138,AllCollegeNCES,0))),ROUND(INDEX(AllCollegeGR, MATCH(N138,AllCollegeNCES,0))+Z138*IF(INDEX(AllCollegeGR, MATCH(N138,AllCollegeNCES,0))&gt;0.7,(1-INDEX(AllCollegeGR, MATCH(N138,AllCollegeNCES,0)))/2,0.15),2),INDEX(AllCollegeGR, MATCH(N138,AllCollegeNCES,0)))</f>
        <v>0</v>
      </c>
      <c r="AB138">
        <f>IF(ISNUMBER(INDEX(AllCollegeAAHGR, MATCH(N138,AllCollegeNCES,0))),ROUND(INDEX(AllCollegeAAHGR, MATCH(N138,AllCollegeNCES,0))+Z138*IF(INDEX(AllCollegeAAHGR, MATCH(N138,AllCollegeNCES,0))&gt;0.7,(1-INDEX(AllCollegeAAHGR, MATCH(N138,AllCollegeNCES,0)))/2,0.15),2),INDEX(AllCollegeAAHGR, MATCH(N138,AllCollegeNCES,0)))</f>
        <v>0</v>
      </c>
      <c r="AC138">
        <f>IF(OR(W138="H",W138="B"),INDEX(AllCollegeSAT25, MATCH(N138,AllCollegeNCES,0)),INDEX(AllCollegeSAT50, MATCH(N138,AllCollegeNCES,0)))</f>
        <v>0</v>
      </c>
      <c r="AD138">
        <f>INDEX(CustomWeightsGPA,MATCH(W138&amp;":"&amp;N138,CustomWeightsIndex,0))</f>
        <v>0</v>
      </c>
      <c r="AE138">
        <f>INDEX(CustomWeightsSAT,MATCH(W138&amp;":"&amp;N138,CustomWeightsIndex,0))</f>
        <v>0</v>
      </c>
      <c r="AF138">
        <f>INDEX(CustomWeightsIntercept,MATCH(W138&amp;":"&amp;N138,CustomWeightsIndex,0))</f>
        <v>0</v>
      </c>
      <c r="AG138">
        <f>AD138*S138+AE138*T138+AF138</f>
        <v>0</v>
      </c>
      <c r="AH138">
        <f>INDEX(CoefficientsGPA,MATCH(W138&amp;":"&amp;R138,CoefficientsIndex,0))</f>
        <v>0</v>
      </c>
      <c r="AI138">
        <f>INDEX(CoefficientsSAT,MATCH(W138&amp;":"&amp;R138,CoefficientsIndex,0))</f>
        <v>0</v>
      </c>
      <c r="AJ138">
        <f>INDEX(CoefficientsIntercept,MATCH(W138&amp;":"&amp;R138,CoefficientsIndex,0))</f>
        <v>0</v>
      </c>
      <c r="AK138">
        <f>AH138*S138+(T138-AC138)*AI138+AJ138</f>
        <v>0</v>
      </c>
      <c r="AL138">
        <f>IF(ISNUMBER(AG138),AG138,AK138)</f>
        <v>0</v>
      </c>
      <c r="AM138">
        <f>IF(ISNUMBER(AL138),IF(ISNUMBER(AH138),IF(AND(AH138=1,AI138=1,AJ138=1),100,MIN(99,ROUND(100*EXP(AL138)/(1+EXP(AL138)),2))),MIN(99,ROUND(100*EXP(AL138)/(1+EXP(AL138)),2))),IF(ISTEXT(R138),IF(LEFT(R138,1)="2",100,"N/A"),"N/A"))</f>
        <v>0</v>
      </c>
      <c r="AN138">
        <f>IF(ISNUMBER(AM138),IF(AM138&gt;=99,IF(OR(U138=10,U138=11),MatchLabel,SureThingLabel),IF(AM138&gt;=95,SecureLabel,IF(AM138&gt;=80,SafetyLabel,IF(AM138&gt;=50,MatchLabel,IF(AM138&gt;=20,ReachLabel,IF(AM138&gt;=10,LongshotLabel,HailMaryLabel)))))),"Other")</f>
        <v>0</v>
      </c>
      <c r="AO138">
        <f>IF(OR(I138="accepted",I138="cond. accept",I138="summer admit"),IF(J138="yes","CHOICE!","Accepted!"),IF(I138="guar. transfer","Guar. Xfer",IF(I138="denied","Denied",IF(K138=1,"Waitlist",IF(L138=1,"Deferred",IF(G138="pending","Pending",IF(OR(G138="initial materials submitted",G138="mid-year submitted",G138="final submitted"),"Submitted",IF(H138="interest","Interest","?"))))))))</f>
        <v>0</v>
      </c>
      <c r="AP138">
        <f>IF(OR(AN138=ReachLabel,AN138=LongshotLabel,AN138=HailMaryLabel),1,0)</f>
        <v>0</v>
      </c>
      <c r="AQ138">
        <f>IF(OR(AP138=1,AN138=MatchLabel),1,0)</f>
        <v>0</v>
      </c>
      <c r="AR138">
        <f>IF(OR(AN138=MatchLabel,AN138=SafetyLabel,AN138=SecureLabel,AN138=SureThingLabel),1,0)</f>
        <v>0</v>
      </c>
      <c r="AS138">
        <f>IF(OR(W138="H",W138="B",W138="I",W138="M"),IF(ISNUMBER(AB138),ROUND(AB138,2),0),IF(ISNUMBER(AA138),ROUND(AA138,2),0))</f>
        <v>0</v>
      </c>
      <c r="AT138">
        <f>IF(AS138&gt;=X138,1,0)</f>
        <v>0</v>
      </c>
      <c r="AU138">
        <f>IF(AS138&gt;=Y138,1,0)</f>
        <v>0</v>
      </c>
      <c r="AV138">
        <f>IF(AS138&lt;(X138-0.10),1,0)</f>
        <v>0</v>
      </c>
      <c r="AW138">
        <f>1-AM138/100</f>
        <v>0</v>
      </c>
      <c r="AX138">
        <f>IF(AQ138=1,AW138,1)</f>
        <v>0</v>
      </c>
      <c r="AY138">
        <f>IF(AP138=1,AW138,1)</f>
        <v>0</v>
      </c>
      <c r="AZ138">
        <f>IF(AND(AT138=1,ISNUMBER(AW138)),$AW138,1)</f>
        <v>0</v>
      </c>
      <c r="BA138">
        <f>IF(AND(AU138=1,ISNUMBER(AW138)),$AW138,1)</f>
        <v>0</v>
      </c>
      <c r="BB138">
        <f>IF(ISNUMBER(AB138),INDEX(AllCollegeMoney, MATCH(N138,AllCollegeNCES,0)),0)</f>
        <v>0</v>
      </c>
      <c r="BC138">
        <f>IF(AND(AT138=1,ISNUMBER(AW138),BB138=1),$AW138,1)</f>
        <v>0</v>
      </c>
      <c r="BD138">
        <f>IF(AND(AU138=1,ISNUMBER(AW138),BB138=1),$AW138,1)</f>
        <v>0</v>
      </c>
      <c r="BE138">
        <f>IF(ISNUMBER(AB138),INDEX(AllCollegeILPub, MATCH(N138,AllCollegeNCES,0)),0)</f>
        <v>0</v>
      </c>
      <c r="BF138">
        <f>IF(AN138=ReachLabel,AS138,0)</f>
        <v>0</v>
      </c>
      <c r="BG138">
        <f>IF(AN138=MatchLabel,AS138,0)</f>
        <v>0</v>
      </c>
      <c r="BH138">
        <f>IF(AN138=SafetyLabel,AS138,0)</f>
        <v>0</v>
      </c>
      <c r="BI138">
        <f>IF(AN138=SecureLabel,AS138,0)</f>
        <v>0</v>
      </c>
      <c r="BJ138">
        <f>IF(AN138=SureThingLabel,AS138,0)</f>
        <v>0</v>
      </c>
      <c r="BK138">
        <f>MAX(BF138:BJ138)</f>
        <v>0</v>
      </c>
      <c r="BL138">
        <f>MAX(BG138:BJ138)</f>
        <v>0</v>
      </c>
      <c r="BM138">
        <f>MAX(BH138:BJ138)</f>
        <v>0</v>
      </c>
      <c r="BN138">
        <f>IF(AND(AN138=ReachLabel,BB138=1),AS138,0)</f>
        <v>0</v>
      </c>
      <c r="BO138">
        <f>IF(AND(AN138=MatchLabel,BB138=1),AS138,0)</f>
        <v>0</v>
      </c>
      <c r="BP138">
        <f>IF(AND(AN138=SafetyLabel,BB138=1),AS138,0)</f>
        <v>0</v>
      </c>
      <c r="BQ138">
        <f>IF(AND(AN138=SecureLabel,BB138=1),AS138,0)</f>
        <v>0</v>
      </c>
      <c r="BR138">
        <f>IF(AND(AN138=SureThingLabel,BB138=1),AS138,0)</f>
        <v>0</v>
      </c>
      <c r="BS138">
        <f>MAX(BN138:BR138)</f>
        <v>0</v>
      </c>
      <c r="BT138">
        <f>MAX(BO138:BR138)</f>
        <v>0</v>
      </c>
      <c r="BU138">
        <f>MAX(BP138:BR138)</f>
        <v>0</v>
      </c>
      <c r="BV138">
        <f>IF(ISNUMBER(AB138),INDEX(AllCollegeChicago, MATCH(N138,AllCollegeNCES,0))*BB138,0)</f>
        <v>0</v>
      </c>
      <c r="BW138">
        <f>IF(ISNUMBER(AB138),INDEX(AllCollegeMoneyCode, MATCH(N138,AllCollegeNCES,0)),"?")</f>
        <v>0</v>
      </c>
      <c r="BX138">
        <f>IF(OR(BW138="---",BW138="--",BW138="+/--",BW138="+/---"),1,0)</f>
        <v>0</v>
      </c>
      <c r="BY138">
        <f>BB138*AR138*AT138</f>
        <v>0</v>
      </c>
    </row>
    <row r="139" spans="1:77">
      <c r="A139" t="s">
        <v>96</v>
      </c>
      <c r="B139">
        <v>22511393</v>
      </c>
      <c r="C139" t="s">
        <v>215</v>
      </c>
      <c r="D139" t="s">
        <v>216</v>
      </c>
      <c r="E139" t="s">
        <v>446</v>
      </c>
      <c r="F139" t="s">
        <v>477</v>
      </c>
      <c r="G139" t="s">
        <v>448</v>
      </c>
      <c r="H139" t="s">
        <v>449</v>
      </c>
      <c r="I139" t="s">
        <v>450</v>
      </c>
      <c r="J139" t="s">
        <v>450</v>
      </c>
      <c r="K139">
        <v>0</v>
      </c>
      <c r="L139" t="s">
        <v>446</v>
      </c>
      <c r="M139" t="s">
        <v>446</v>
      </c>
      <c r="N139">
        <v>146427</v>
      </c>
      <c r="O139">
        <f>INDEX(Counselor,MATCH(B139,KidIDs,0))</f>
        <v>0</v>
      </c>
      <c r="P139">
        <f>INDEX(Advisors,MATCH(B139,KidIDs,0))</f>
        <v>0</v>
      </c>
      <c r="Q139">
        <f>INDEX(Cohort,MATCH(B139,KidIDs,0))</f>
        <v>0</v>
      </c>
      <c r="R139">
        <f>INDEX(AllCollegeBarrons,MATCH(N139,AllCollegeNCES,0))</f>
        <v>0</v>
      </c>
      <c r="S139">
        <f>INDEX(KidGPAs,MATCH(B139,KidIDs,0))</f>
        <v>0</v>
      </c>
      <c r="T139">
        <f>INDEX(KidSATs,MATCH(B139,KidIDs,0))</f>
        <v>0</v>
      </c>
      <c r="U139">
        <f>INDEX(Strats,MATCH(B139,KidIDs,0))</f>
        <v>0</v>
      </c>
      <c r="V139">
        <f>INDEX(KidRace,MATCH(B139,KidIDs,0))</f>
        <v>0</v>
      </c>
      <c r="W139">
        <f>IF(OR(V139="M",V139="I"),"H",IF(V139="P","A",V139))</f>
        <v>0</v>
      </c>
      <c r="X139">
        <f>INDEX(StudentTargets,MATCH(B139,KidIDs,0))</f>
        <v>0</v>
      </c>
      <c r="Y139">
        <f>INDEX(ReachStudentTargets,MATCH(B139,KidIDs,0))</f>
        <v>0</v>
      </c>
      <c r="Z139">
        <f>IF(OR(M139="Posse"),1,0)</f>
        <v>0</v>
      </c>
      <c r="AA139">
        <f>IF(ISNUMBER(INDEX(AllCollegeGR, MATCH(N139,AllCollegeNCES,0))),ROUND(INDEX(AllCollegeGR, MATCH(N139,AllCollegeNCES,0))+Z139*IF(INDEX(AllCollegeGR, MATCH(N139,AllCollegeNCES,0))&gt;0.7,(1-INDEX(AllCollegeGR, MATCH(N139,AllCollegeNCES,0)))/2,0.15),2),INDEX(AllCollegeGR, MATCH(N139,AllCollegeNCES,0)))</f>
        <v>0</v>
      </c>
      <c r="AB139">
        <f>IF(ISNUMBER(INDEX(AllCollegeAAHGR, MATCH(N139,AllCollegeNCES,0))),ROUND(INDEX(AllCollegeAAHGR, MATCH(N139,AllCollegeNCES,0))+Z139*IF(INDEX(AllCollegeAAHGR, MATCH(N139,AllCollegeNCES,0))&gt;0.7,(1-INDEX(AllCollegeAAHGR, MATCH(N139,AllCollegeNCES,0)))/2,0.15),2),INDEX(AllCollegeAAHGR, MATCH(N139,AllCollegeNCES,0)))</f>
        <v>0</v>
      </c>
      <c r="AC139">
        <f>IF(OR(W139="H",W139="B"),INDEX(AllCollegeSAT25, MATCH(N139,AllCollegeNCES,0)),INDEX(AllCollegeSAT50, MATCH(N139,AllCollegeNCES,0)))</f>
        <v>0</v>
      </c>
      <c r="AD139">
        <f>INDEX(CustomWeightsGPA,MATCH(W139&amp;":"&amp;N139,CustomWeightsIndex,0))</f>
        <v>0</v>
      </c>
      <c r="AE139">
        <f>INDEX(CustomWeightsSAT,MATCH(W139&amp;":"&amp;N139,CustomWeightsIndex,0))</f>
        <v>0</v>
      </c>
      <c r="AF139">
        <f>INDEX(CustomWeightsIntercept,MATCH(W139&amp;":"&amp;N139,CustomWeightsIndex,0))</f>
        <v>0</v>
      </c>
      <c r="AG139">
        <f>AD139*S139+AE139*T139+AF139</f>
        <v>0</v>
      </c>
      <c r="AH139">
        <f>INDEX(CoefficientsGPA,MATCH(W139&amp;":"&amp;R139,CoefficientsIndex,0))</f>
        <v>0</v>
      </c>
      <c r="AI139">
        <f>INDEX(CoefficientsSAT,MATCH(W139&amp;":"&amp;R139,CoefficientsIndex,0))</f>
        <v>0</v>
      </c>
      <c r="AJ139">
        <f>INDEX(CoefficientsIntercept,MATCH(W139&amp;":"&amp;R139,CoefficientsIndex,0))</f>
        <v>0</v>
      </c>
      <c r="AK139">
        <f>AH139*S139+(T139-AC139)*AI139+AJ139</f>
        <v>0</v>
      </c>
      <c r="AL139">
        <f>IF(ISNUMBER(AG139),AG139,AK139)</f>
        <v>0</v>
      </c>
      <c r="AM139">
        <f>IF(ISNUMBER(AL139),IF(ISNUMBER(AH139),IF(AND(AH139=1,AI139=1,AJ139=1),100,MIN(99,ROUND(100*EXP(AL139)/(1+EXP(AL139)),2))),MIN(99,ROUND(100*EXP(AL139)/(1+EXP(AL139)),2))),IF(ISTEXT(R139),IF(LEFT(R139,1)="2",100,"N/A"),"N/A"))</f>
        <v>0</v>
      </c>
      <c r="AN139">
        <f>IF(ISNUMBER(AM139),IF(AM139&gt;=99,IF(OR(U139=10,U139=11),MatchLabel,SureThingLabel),IF(AM139&gt;=95,SecureLabel,IF(AM139&gt;=80,SafetyLabel,IF(AM139&gt;=50,MatchLabel,IF(AM139&gt;=20,ReachLabel,IF(AM139&gt;=10,LongshotLabel,HailMaryLabel)))))),"Other")</f>
        <v>0</v>
      </c>
      <c r="AO139">
        <f>IF(OR(I139="accepted",I139="cond. accept",I139="summer admit"),IF(J139="yes","CHOICE!","Accepted!"),IF(I139="guar. transfer","Guar. Xfer",IF(I139="denied","Denied",IF(K139=1,"Waitlist",IF(L139=1,"Deferred",IF(G139="pending","Pending",IF(OR(G139="initial materials submitted",G139="mid-year submitted",G139="final submitted"),"Submitted",IF(H139="interest","Interest","?"))))))))</f>
        <v>0</v>
      </c>
      <c r="AP139">
        <f>IF(OR(AN139=ReachLabel,AN139=LongshotLabel,AN139=HailMaryLabel),1,0)</f>
        <v>0</v>
      </c>
      <c r="AQ139">
        <f>IF(OR(AP139=1,AN139=MatchLabel),1,0)</f>
        <v>0</v>
      </c>
      <c r="AR139">
        <f>IF(OR(AN139=MatchLabel,AN139=SafetyLabel,AN139=SecureLabel,AN139=SureThingLabel),1,0)</f>
        <v>0</v>
      </c>
      <c r="AS139">
        <f>IF(OR(W139="H",W139="B",W139="I",W139="M"),IF(ISNUMBER(AB139),ROUND(AB139,2),0),IF(ISNUMBER(AA139),ROUND(AA139,2),0))</f>
        <v>0</v>
      </c>
      <c r="AT139">
        <f>IF(AS139&gt;=X139,1,0)</f>
        <v>0</v>
      </c>
      <c r="AU139">
        <f>IF(AS139&gt;=Y139,1,0)</f>
        <v>0</v>
      </c>
      <c r="AV139">
        <f>IF(AS139&lt;(X139-0.10),1,0)</f>
        <v>0</v>
      </c>
      <c r="AW139">
        <f>1-AM139/100</f>
        <v>0</v>
      </c>
      <c r="AX139">
        <f>IF(AQ139=1,AW139,1)</f>
        <v>0</v>
      </c>
      <c r="AY139">
        <f>IF(AP139=1,AW139,1)</f>
        <v>0</v>
      </c>
      <c r="AZ139">
        <f>IF(AND(AT139=1,ISNUMBER(AW139)),$AW139,1)</f>
        <v>0</v>
      </c>
      <c r="BA139">
        <f>IF(AND(AU139=1,ISNUMBER(AW139)),$AW139,1)</f>
        <v>0</v>
      </c>
      <c r="BB139">
        <f>IF(ISNUMBER(AB139),INDEX(AllCollegeMoney, MATCH(N139,AllCollegeNCES,0)),0)</f>
        <v>0</v>
      </c>
      <c r="BC139">
        <f>IF(AND(AT139=1,ISNUMBER(AW139),BB139=1),$AW139,1)</f>
        <v>0</v>
      </c>
      <c r="BD139">
        <f>IF(AND(AU139=1,ISNUMBER(AW139),BB139=1),$AW139,1)</f>
        <v>0</v>
      </c>
      <c r="BE139">
        <f>IF(ISNUMBER(AB139),INDEX(AllCollegeILPub, MATCH(N139,AllCollegeNCES,0)),0)</f>
        <v>0</v>
      </c>
      <c r="BF139">
        <f>IF(AN139=ReachLabel,AS139,0)</f>
        <v>0</v>
      </c>
      <c r="BG139">
        <f>IF(AN139=MatchLabel,AS139,0)</f>
        <v>0</v>
      </c>
      <c r="BH139">
        <f>IF(AN139=SafetyLabel,AS139,0)</f>
        <v>0</v>
      </c>
      <c r="BI139">
        <f>IF(AN139=SecureLabel,AS139,0)</f>
        <v>0</v>
      </c>
      <c r="BJ139">
        <f>IF(AN139=SureThingLabel,AS139,0)</f>
        <v>0</v>
      </c>
      <c r="BK139">
        <f>MAX(BF139:BJ139)</f>
        <v>0</v>
      </c>
      <c r="BL139">
        <f>MAX(BG139:BJ139)</f>
        <v>0</v>
      </c>
      <c r="BM139">
        <f>MAX(BH139:BJ139)</f>
        <v>0</v>
      </c>
      <c r="BN139">
        <f>IF(AND(AN139=ReachLabel,BB139=1),AS139,0)</f>
        <v>0</v>
      </c>
      <c r="BO139">
        <f>IF(AND(AN139=MatchLabel,BB139=1),AS139,0)</f>
        <v>0</v>
      </c>
      <c r="BP139">
        <f>IF(AND(AN139=SafetyLabel,BB139=1),AS139,0)</f>
        <v>0</v>
      </c>
      <c r="BQ139">
        <f>IF(AND(AN139=SecureLabel,BB139=1),AS139,0)</f>
        <v>0</v>
      </c>
      <c r="BR139">
        <f>IF(AND(AN139=SureThingLabel,BB139=1),AS139,0)</f>
        <v>0</v>
      </c>
      <c r="BS139">
        <f>MAX(BN139:BR139)</f>
        <v>0</v>
      </c>
      <c r="BT139">
        <f>MAX(BO139:BR139)</f>
        <v>0</v>
      </c>
      <c r="BU139">
        <f>MAX(BP139:BR139)</f>
        <v>0</v>
      </c>
      <c r="BV139">
        <f>IF(ISNUMBER(AB139),INDEX(AllCollegeChicago, MATCH(N139,AllCollegeNCES,0))*BB139,0)</f>
        <v>0</v>
      </c>
      <c r="BW139">
        <f>IF(ISNUMBER(AB139),INDEX(AllCollegeMoneyCode, MATCH(N139,AllCollegeNCES,0)),"?")</f>
        <v>0</v>
      </c>
      <c r="BX139">
        <f>IF(OR(BW139="---",BW139="--",BW139="+/--",BW139="+/---"),1,0)</f>
        <v>0</v>
      </c>
      <c r="BY139">
        <f>BB139*AR139*AT139</f>
        <v>0</v>
      </c>
    </row>
    <row r="140" spans="1:77">
      <c r="A140" t="s">
        <v>96</v>
      </c>
      <c r="B140">
        <v>22511393</v>
      </c>
      <c r="C140" t="s">
        <v>215</v>
      </c>
      <c r="D140" t="s">
        <v>216</v>
      </c>
      <c r="E140" t="s">
        <v>446</v>
      </c>
      <c r="F140" t="s">
        <v>503</v>
      </c>
      <c r="G140" t="s">
        <v>448</v>
      </c>
      <c r="H140" t="s">
        <v>449</v>
      </c>
      <c r="I140" t="s">
        <v>450</v>
      </c>
      <c r="J140" t="s">
        <v>450</v>
      </c>
      <c r="K140">
        <v>0</v>
      </c>
      <c r="L140" t="s">
        <v>446</v>
      </c>
      <c r="M140" t="s">
        <v>446</v>
      </c>
      <c r="N140">
        <v>238333</v>
      </c>
      <c r="O140">
        <f>INDEX(Counselor,MATCH(B140,KidIDs,0))</f>
        <v>0</v>
      </c>
      <c r="P140">
        <f>INDEX(Advisors,MATCH(B140,KidIDs,0))</f>
        <v>0</v>
      </c>
      <c r="Q140">
        <f>INDEX(Cohort,MATCH(B140,KidIDs,0))</f>
        <v>0</v>
      </c>
      <c r="R140">
        <f>INDEX(AllCollegeBarrons,MATCH(N140,AllCollegeNCES,0))</f>
        <v>0</v>
      </c>
      <c r="S140">
        <f>INDEX(KidGPAs,MATCH(B140,KidIDs,0))</f>
        <v>0</v>
      </c>
      <c r="T140">
        <f>INDEX(KidSATs,MATCH(B140,KidIDs,0))</f>
        <v>0</v>
      </c>
      <c r="U140">
        <f>INDEX(Strats,MATCH(B140,KidIDs,0))</f>
        <v>0</v>
      </c>
      <c r="V140">
        <f>INDEX(KidRace,MATCH(B140,KidIDs,0))</f>
        <v>0</v>
      </c>
      <c r="W140">
        <f>IF(OR(V140="M",V140="I"),"H",IF(V140="P","A",V140))</f>
        <v>0</v>
      </c>
      <c r="X140">
        <f>INDEX(StudentTargets,MATCH(B140,KidIDs,0))</f>
        <v>0</v>
      </c>
      <c r="Y140">
        <f>INDEX(ReachStudentTargets,MATCH(B140,KidIDs,0))</f>
        <v>0</v>
      </c>
      <c r="Z140">
        <f>IF(OR(M140="Posse"),1,0)</f>
        <v>0</v>
      </c>
      <c r="AA140">
        <f>IF(ISNUMBER(INDEX(AllCollegeGR, MATCH(N140,AllCollegeNCES,0))),ROUND(INDEX(AllCollegeGR, MATCH(N140,AllCollegeNCES,0))+Z140*IF(INDEX(AllCollegeGR, MATCH(N140,AllCollegeNCES,0))&gt;0.7,(1-INDEX(AllCollegeGR, MATCH(N140,AllCollegeNCES,0)))/2,0.15),2),INDEX(AllCollegeGR, MATCH(N140,AllCollegeNCES,0)))</f>
        <v>0</v>
      </c>
      <c r="AB140">
        <f>IF(ISNUMBER(INDEX(AllCollegeAAHGR, MATCH(N140,AllCollegeNCES,0))),ROUND(INDEX(AllCollegeAAHGR, MATCH(N140,AllCollegeNCES,0))+Z140*IF(INDEX(AllCollegeAAHGR, MATCH(N140,AllCollegeNCES,0))&gt;0.7,(1-INDEX(AllCollegeAAHGR, MATCH(N140,AllCollegeNCES,0)))/2,0.15),2),INDEX(AllCollegeAAHGR, MATCH(N140,AllCollegeNCES,0)))</f>
        <v>0</v>
      </c>
      <c r="AC140">
        <f>IF(OR(W140="H",W140="B"),INDEX(AllCollegeSAT25, MATCH(N140,AllCollegeNCES,0)),INDEX(AllCollegeSAT50, MATCH(N140,AllCollegeNCES,0)))</f>
        <v>0</v>
      </c>
      <c r="AD140">
        <f>INDEX(CustomWeightsGPA,MATCH(W140&amp;":"&amp;N140,CustomWeightsIndex,0))</f>
        <v>0</v>
      </c>
      <c r="AE140">
        <f>INDEX(CustomWeightsSAT,MATCH(W140&amp;":"&amp;N140,CustomWeightsIndex,0))</f>
        <v>0</v>
      </c>
      <c r="AF140">
        <f>INDEX(CustomWeightsIntercept,MATCH(W140&amp;":"&amp;N140,CustomWeightsIndex,0))</f>
        <v>0</v>
      </c>
      <c r="AG140">
        <f>AD140*S140+AE140*T140+AF140</f>
        <v>0</v>
      </c>
      <c r="AH140">
        <f>INDEX(CoefficientsGPA,MATCH(W140&amp;":"&amp;R140,CoefficientsIndex,0))</f>
        <v>0</v>
      </c>
      <c r="AI140">
        <f>INDEX(CoefficientsSAT,MATCH(W140&amp;":"&amp;R140,CoefficientsIndex,0))</f>
        <v>0</v>
      </c>
      <c r="AJ140">
        <f>INDEX(CoefficientsIntercept,MATCH(W140&amp;":"&amp;R140,CoefficientsIndex,0))</f>
        <v>0</v>
      </c>
      <c r="AK140">
        <f>AH140*S140+(T140-AC140)*AI140+AJ140</f>
        <v>0</v>
      </c>
      <c r="AL140">
        <f>IF(ISNUMBER(AG140),AG140,AK140)</f>
        <v>0</v>
      </c>
      <c r="AM140">
        <f>IF(ISNUMBER(AL140),IF(ISNUMBER(AH140),IF(AND(AH140=1,AI140=1,AJ140=1),100,MIN(99,ROUND(100*EXP(AL140)/(1+EXP(AL140)),2))),MIN(99,ROUND(100*EXP(AL140)/(1+EXP(AL140)),2))),IF(ISTEXT(R140),IF(LEFT(R140,1)="2",100,"N/A"),"N/A"))</f>
        <v>0</v>
      </c>
      <c r="AN140">
        <f>IF(ISNUMBER(AM140),IF(AM140&gt;=99,IF(OR(U140=10,U140=11),MatchLabel,SureThingLabel),IF(AM140&gt;=95,SecureLabel,IF(AM140&gt;=80,SafetyLabel,IF(AM140&gt;=50,MatchLabel,IF(AM140&gt;=20,ReachLabel,IF(AM140&gt;=10,LongshotLabel,HailMaryLabel)))))),"Other")</f>
        <v>0</v>
      </c>
      <c r="AO140">
        <f>IF(OR(I140="accepted",I140="cond. accept",I140="summer admit"),IF(J140="yes","CHOICE!","Accepted!"),IF(I140="guar. transfer","Guar. Xfer",IF(I140="denied","Denied",IF(K140=1,"Waitlist",IF(L140=1,"Deferred",IF(G140="pending","Pending",IF(OR(G140="initial materials submitted",G140="mid-year submitted",G140="final submitted"),"Submitted",IF(H140="interest","Interest","?"))))))))</f>
        <v>0</v>
      </c>
      <c r="AP140">
        <f>IF(OR(AN140=ReachLabel,AN140=LongshotLabel,AN140=HailMaryLabel),1,0)</f>
        <v>0</v>
      </c>
      <c r="AQ140">
        <f>IF(OR(AP140=1,AN140=MatchLabel),1,0)</f>
        <v>0</v>
      </c>
      <c r="AR140">
        <f>IF(OR(AN140=MatchLabel,AN140=SafetyLabel,AN140=SecureLabel,AN140=SureThingLabel),1,0)</f>
        <v>0</v>
      </c>
      <c r="AS140">
        <f>IF(OR(W140="H",W140="B",W140="I",W140="M"),IF(ISNUMBER(AB140),ROUND(AB140,2),0),IF(ISNUMBER(AA140),ROUND(AA140,2),0))</f>
        <v>0</v>
      </c>
      <c r="AT140">
        <f>IF(AS140&gt;=X140,1,0)</f>
        <v>0</v>
      </c>
      <c r="AU140">
        <f>IF(AS140&gt;=Y140,1,0)</f>
        <v>0</v>
      </c>
      <c r="AV140">
        <f>IF(AS140&lt;(X140-0.10),1,0)</f>
        <v>0</v>
      </c>
      <c r="AW140">
        <f>1-AM140/100</f>
        <v>0</v>
      </c>
      <c r="AX140">
        <f>IF(AQ140=1,AW140,1)</f>
        <v>0</v>
      </c>
      <c r="AY140">
        <f>IF(AP140=1,AW140,1)</f>
        <v>0</v>
      </c>
      <c r="AZ140">
        <f>IF(AND(AT140=1,ISNUMBER(AW140)),$AW140,1)</f>
        <v>0</v>
      </c>
      <c r="BA140">
        <f>IF(AND(AU140=1,ISNUMBER(AW140)),$AW140,1)</f>
        <v>0</v>
      </c>
      <c r="BB140">
        <f>IF(ISNUMBER(AB140),INDEX(AllCollegeMoney, MATCH(N140,AllCollegeNCES,0)),0)</f>
        <v>0</v>
      </c>
      <c r="BC140">
        <f>IF(AND(AT140=1,ISNUMBER(AW140),BB140=1),$AW140,1)</f>
        <v>0</v>
      </c>
      <c r="BD140">
        <f>IF(AND(AU140=1,ISNUMBER(AW140),BB140=1),$AW140,1)</f>
        <v>0</v>
      </c>
      <c r="BE140">
        <f>IF(ISNUMBER(AB140),INDEX(AllCollegeILPub, MATCH(N140,AllCollegeNCES,0)),0)</f>
        <v>0</v>
      </c>
      <c r="BF140">
        <f>IF(AN140=ReachLabel,AS140,0)</f>
        <v>0</v>
      </c>
      <c r="BG140">
        <f>IF(AN140=MatchLabel,AS140,0)</f>
        <v>0</v>
      </c>
      <c r="BH140">
        <f>IF(AN140=SafetyLabel,AS140,0)</f>
        <v>0</v>
      </c>
      <c r="BI140">
        <f>IF(AN140=SecureLabel,AS140,0)</f>
        <v>0</v>
      </c>
      <c r="BJ140">
        <f>IF(AN140=SureThingLabel,AS140,0)</f>
        <v>0</v>
      </c>
      <c r="BK140">
        <f>MAX(BF140:BJ140)</f>
        <v>0</v>
      </c>
      <c r="BL140">
        <f>MAX(BG140:BJ140)</f>
        <v>0</v>
      </c>
      <c r="BM140">
        <f>MAX(BH140:BJ140)</f>
        <v>0</v>
      </c>
      <c r="BN140">
        <f>IF(AND(AN140=ReachLabel,BB140=1),AS140,0)</f>
        <v>0</v>
      </c>
      <c r="BO140">
        <f>IF(AND(AN140=MatchLabel,BB140=1),AS140,0)</f>
        <v>0</v>
      </c>
      <c r="BP140">
        <f>IF(AND(AN140=SafetyLabel,BB140=1),AS140,0)</f>
        <v>0</v>
      </c>
      <c r="BQ140">
        <f>IF(AND(AN140=SecureLabel,BB140=1),AS140,0)</f>
        <v>0</v>
      </c>
      <c r="BR140">
        <f>IF(AND(AN140=SureThingLabel,BB140=1),AS140,0)</f>
        <v>0</v>
      </c>
      <c r="BS140">
        <f>MAX(BN140:BR140)</f>
        <v>0</v>
      </c>
      <c r="BT140">
        <f>MAX(BO140:BR140)</f>
        <v>0</v>
      </c>
      <c r="BU140">
        <f>MAX(BP140:BR140)</f>
        <v>0</v>
      </c>
      <c r="BV140">
        <f>IF(ISNUMBER(AB140),INDEX(AllCollegeChicago, MATCH(N140,AllCollegeNCES,0))*BB140,0)</f>
        <v>0</v>
      </c>
      <c r="BW140">
        <f>IF(ISNUMBER(AB140),INDEX(AllCollegeMoneyCode, MATCH(N140,AllCollegeNCES,0)),"?")</f>
        <v>0</v>
      </c>
      <c r="BX140">
        <f>IF(OR(BW140="---",BW140="--",BW140="+/--",BW140="+/---"),1,0)</f>
        <v>0</v>
      </c>
      <c r="BY140">
        <f>BB140*AR140*AT140</f>
        <v>0</v>
      </c>
    </row>
    <row r="141" spans="1:77">
      <c r="A141" t="s">
        <v>96</v>
      </c>
      <c r="B141">
        <v>22511393</v>
      </c>
      <c r="C141" t="s">
        <v>215</v>
      </c>
      <c r="D141" t="s">
        <v>216</v>
      </c>
      <c r="E141" t="s">
        <v>446</v>
      </c>
      <c r="F141" t="s">
        <v>489</v>
      </c>
      <c r="G141" t="s">
        <v>479</v>
      </c>
      <c r="H141" t="s">
        <v>449</v>
      </c>
      <c r="I141" t="s">
        <v>450</v>
      </c>
      <c r="J141" t="s">
        <v>450</v>
      </c>
      <c r="K141">
        <v>0</v>
      </c>
      <c r="L141" t="s">
        <v>446</v>
      </c>
      <c r="M141" t="s">
        <v>446</v>
      </c>
      <c r="N141">
        <v>170301</v>
      </c>
      <c r="O141">
        <f>INDEX(Counselor,MATCH(B141,KidIDs,0))</f>
        <v>0</v>
      </c>
      <c r="P141">
        <f>INDEX(Advisors,MATCH(B141,KidIDs,0))</f>
        <v>0</v>
      </c>
      <c r="Q141">
        <f>INDEX(Cohort,MATCH(B141,KidIDs,0))</f>
        <v>0</v>
      </c>
      <c r="R141">
        <f>INDEX(AllCollegeBarrons,MATCH(N141,AllCollegeNCES,0))</f>
        <v>0</v>
      </c>
      <c r="S141">
        <f>INDEX(KidGPAs,MATCH(B141,KidIDs,0))</f>
        <v>0</v>
      </c>
      <c r="T141">
        <f>INDEX(KidSATs,MATCH(B141,KidIDs,0))</f>
        <v>0</v>
      </c>
      <c r="U141">
        <f>INDEX(Strats,MATCH(B141,KidIDs,0))</f>
        <v>0</v>
      </c>
      <c r="V141">
        <f>INDEX(KidRace,MATCH(B141,KidIDs,0))</f>
        <v>0</v>
      </c>
      <c r="W141">
        <f>IF(OR(V141="M",V141="I"),"H",IF(V141="P","A",V141))</f>
        <v>0</v>
      </c>
      <c r="X141">
        <f>INDEX(StudentTargets,MATCH(B141,KidIDs,0))</f>
        <v>0</v>
      </c>
      <c r="Y141">
        <f>INDEX(ReachStudentTargets,MATCH(B141,KidIDs,0))</f>
        <v>0</v>
      </c>
      <c r="Z141">
        <f>IF(OR(M141="Posse"),1,0)</f>
        <v>0</v>
      </c>
      <c r="AA141">
        <f>IF(ISNUMBER(INDEX(AllCollegeGR, MATCH(N141,AllCollegeNCES,0))),ROUND(INDEX(AllCollegeGR, MATCH(N141,AllCollegeNCES,0))+Z141*IF(INDEX(AllCollegeGR, MATCH(N141,AllCollegeNCES,0))&gt;0.7,(1-INDEX(AllCollegeGR, MATCH(N141,AllCollegeNCES,0)))/2,0.15),2),INDEX(AllCollegeGR, MATCH(N141,AllCollegeNCES,0)))</f>
        <v>0</v>
      </c>
      <c r="AB141">
        <f>IF(ISNUMBER(INDEX(AllCollegeAAHGR, MATCH(N141,AllCollegeNCES,0))),ROUND(INDEX(AllCollegeAAHGR, MATCH(N141,AllCollegeNCES,0))+Z141*IF(INDEX(AllCollegeAAHGR, MATCH(N141,AllCollegeNCES,0))&gt;0.7,(1-INDEX(AllCollegeAAHGR, MATCH(N141,AllCollegeNCES,0)))/2,0.15),2),INDEX(AllCollegeAAHGR, MATCH(N141,AllCollegeNCES,0)))</f>
        <v>0</v>
      </c>
      <c r="AC141">
        <f>IF(OR(W141="H",W141="B"),INDEX(AllCollegeSAT25, MATCH(N141,AllCollegeNCES,0)),INDEX(AllCollegeSAT50, MATCH(N141,AllCollegeNCES,0)))</f>
        <v>0</v>
      </c>
      <c r="AD141">
        <f>INDEX(CustomWeightsGPA,MATCH(W141&amp;":"&amp;N141,CustomWeightsIndex,0))</f>
        <v>0</v>
      </c>
      <c r="AE141">
        <f>INDEX(CustomWeightsSAT,MATCH(W141&amp;":"&amp;N141,CustomWeightsIndex,0))</f>
        <v>0</v>
      </c>
      <c r="AF141">
        <f>INDEX(CustomWeightsIntercept,MATCH(W141&amp;":"&amp;N141,CustomWeightsIndex,0))</f>
        <v>0</v>
      </c>
      <c r="AG141">
        <f>AD141*S141+AE141*T141+AF141</f>
        <v>0</v>
      </c>
      <c r="AH141">
        <f>INDEX(CoefficientsGPA,MATCH(W141&amp;":"&amp;R141,CoefficientsIndex,0))</f>
        <v>0</v>
      </c>
      <c r="AI141">
        <f>INDEX(CoefficientsSAT,MATCH(W141&amp;":"&amp;R141,CoefficientsIndex,0))</f>
        <v>0</v>
      </c>
      <c r="AJ141">
        <f>INDEX(CoefficientsIntercept,MATCH(W141&amp;":"&amp;R141,CoefficientsIndex,0))</f>
        <v>0</v>
      </c>
      <c r="AK141">
        <f>AH141*S141+(T141-AC141)*AI141+AJ141</f>
        <v>0</v>
      </c>
      <c r="AL141">
        <f>IF(ISNUMBER(AG141),AG141,AK141)</f>
        <v>0</v>
      </c>
      <c r="AM141">
        <f>IF(ISNUMBER(AL141),IF(ISNUMBER(AH141),IF(AND(AH141=1,AI141=1,AJ141=1),100,MIN(99,ROUND(100*EXP(AL141)/(1+EXP(AL141)),2))),MIN(99,ROUND(100*EXP(AL141)/(1+EXP(AL141)),2))),IF(ISTEXT(R141),IF(LEFT(R141,1)="2",100,"N/A"),"N/A"))</f>
        <v>0</v>
      </c>
      <c r="AN141">
        <f>IF(ISNUMBER(AM141),IF(AM141&gt;=99,IF(OR(U141=10,U141=11),MatchLabel,SureThingLabel),IF(AM141&gt;=95,SecureLabel,IF(AM141&gt;=80,SafetyLabel,IF(AM141&gt;=50,MatchLabel,IF(AM141&gt;=20,ReachLabel,IF(AM141&gt;=10,LongshotLabel,HailMaryLabel)))))),"Other")</f>
        <v>0</v>
      </c>
      <c r="AO141">
        <f>IF(OR(I141="accepted",I141="cond. accept",I141="summer admit"),IF(J141="yes","CHOICE!","Accepted!"),IF(I141="guar. transfer","Guar. Xfer",IF(I141="denied","Denied",IF(K141=1,"Waitlist",IF(L141=1,"Deferred",IF(G141="pending","Pending",IF(OR(G141="initial materials submitted",G141="mid-year submitted",G141="final submitted"),"Submitted",IF(H141="interest","Interest","?"))))))))</f>
        <v>0</v>
      </c>
      <c r="AP141">
        <f>IF(OR(AN141=ReachLabel,AN141=LongshotLabel,AN141=HailMaryLabel),1,0)</f>
        <v>0</v>
      </c>
      <c r="AQ141">
        <f>IF(OR(AP141=1,AN141=MatchLabel),1,0)</f>
        <v>0</v>
      </c>
      <c r="AR141">
        <f>IF(OR(AN141=MatchLabel,AN141=SafetyLabel,AN141=SecureLabel,AN141=SureThingLabel),1,0)</f>
        <v>0</v>
      </c>
      <c r="AS141">
        <f>IF(OR(W141="H",W141="B",W141="I",W141="M"),IF(ISNUMBER(AB141),ROUND(AB141,2),0),IF(ISNUMBER(AA141),ROUND(AA141,2),0))</f>
        <v>0</v>
      </c>
      <c r="AT141">
        <f>IF(AS141&gt;=X141,1,0)</f>
        <v>0</v>
      </c>
      <c r="AU141">
        <f>IF(AS141&gt;=Y141,1,0)</f>
        <v>0</v>
      </c>
      <c r="AV141">
        <f>IF(AS141&lt;(X141-0.10),1,0)</f>
        <v>0</v>
      </c>
      <c r="AW141">
        <f>1-AM141/100</f>
        <v>0</v>
      </c>
      <c r="AX141">
        <f>IF(AQ141=1,AW141,1)</f>
        <v>0</v>
      </c>
      <c r="AY141">
        <f>IF(AP141=1,AW141,1)</f>
        <v>0</v>
      </c>
      <c r="AZ141">
        <f>IF(AND(AT141=1,ISNUMBER(AW141)),$AW141,1)</f>
        <v>0</v>
      </c>
      <c r="BA141">
        <f>IF(AND(AU141=1,ISNUMBER(AW141)),$AW141,1)</f>
        <v>0</v>
      </c>
      <c r="BB141">
        <f>IF(ISNUMBER(AB141),INDEX(AllCollegeMoney, MATCH(N141,AllCollegeNCES,0)),0)</f>
        <v>0</v>
      </c>
      <c r="BC141">
        <f>IF(AND(AT141=1,ISNUMBER(AW141),BB141=1),$AW141,1)</f>
        <v>0</v>
      </c>
      <c r="BD141">
        <f>IF(AND(AU141=1,ISNUMBER(AW141),BB141=1),$AW141,1)</f>
        <v>0</v>
      </c>
      <c r="BE141">
        <f>IF(ISNUMBER(AB141),INDEX(AllCollegeILPub, MATCH(N141,AllCollegeNCES,0)),0)</f>
        <v>0</v>
      </c>
      <c r="BF141">
        <f>IF(AN141=ReachLabel,AS141,0)</f>
        <v>0</v>
      </c>
      <c r="BG141">
        <f>IF(AN141=MatchLabel,AS141,0)</f>
        <v>0</v>
      </c>
      <c r="BH141">
        <f>IF(AN141=SafetyLabel,AS141,0)</f>
        <v>0</v>
      </c>
      <c r="BI141">
        <f>IF(AN141=SecureLabel,AS141,0)</f>
        <v>0</v>
      </c>
      <c r="BJ141">
        <f>IF(AN141=SureThingLabel,AS141,0)</f>
        <v>0</v>
      </c>
      <c r="BK141">
        <f>MAX(BF141:BJ141)</f>
        <v>0</v>
      </c>
      <c r="BL141">
        <f>MAX(BG141:BJ141)</f>
        <v>0</v>
      </c>
      <c r="BM141">
        <f>MAX(BH141:BJ141)</f>
        <v>0</v>
      </c>
      <c r="BN141">
        <f>IF(AND(AN141=ReachLabel,BB141=1),AS141,0)</f>
        <v>0</v>
      </c>
      <c r="BO141">
        <f>IF(AND(AN141=MatchLabel,BB141=1),AS141,0)</f>
        <v>0</v>
      </c>
      <c r="BP141">
        <f>IF(AND(AN141=SafetyLabel,BB141=1),AS141,0)</f>
        <v>0</v>
      </c>
      <c r="BQ141">
        <f>IF(AND(AN141=SecureLabel,BB141=1),AS141,0)</f>
        <v>0</v>
      </c>
      <c r="BR141">
        <f>IF(AND(AN141=SureThingLabel,BB141=1),AS141,0)</f>
        <v>0</v>
      </c>
      <c r="BS141">
        <f>MAX(BN141:BR141)</f>
        <v>0</v>
      </c>
      <c r="BT141">
        <f>MAX(BO141:BR141)</f>
        <v>0</v>
      </c>
      <c r="BU141">
        <f>MAX(BP141:BR141)</f>
        <v>0</v>
      </c>
      <c r="BV141">
        <f>IF(ISNUMBER(AB141),INDEX(AllCollegeChicago, MATCH(N141,AllCollegeNCES,0))*BB141,0)</f>
        <v>0</v>
      </c>
      <c r="BW141">
        <f>IF(ISNUMBER(AB141),INDEX(AllCollegeMoneyCode, MATCH(N141,AllCollegeNCES,0)),"?")</f>
        <v>0</v>
      </c>
      <c r="BX141">
        <f>IF(OR(BW141="---",BW141="--",BW141="+/--",BW141="+/---"),1,0)</f>
        <v>0</v>
      </c>
      <c r="BY141">
        <f>BB141*AR141*AT141</f>
        <v>0</v>
      </c>
    </row>
    <row r="142" spans="1:77">
      <c r="A142" t="s">
        <v>96</v>
      </c>
      <c r="B142">
        <v>22511393</v>
      </c>
      <c r="C142" t="s">
        <v>215</v>
      </c>
      <c r="D142" t="s">
        <v>216</v>
      </c>
      <c r="E142" t="s">
        <v>446</v>
      </c>
      <c r="F142" t="s">
        <v>517</v>
      </c>
      <c r="G142" t="s">
        <v>448</v>
      </c>
      <c r="H142" t="s">
        <v>449</v>
      </c>
      <c r="I142" t="s">
        <v>450</v>
      </c>
      <c r="J142" t="s">
        <v>450</v>
      </c>
      <c r="K142">
        <v>0</v>
      </c>
      <c r="L142" t="s">
        <v>446</v>
      </c>
      <c r="M142" t="s">
        <v>446</v>
      </c>
      <c r="N142">
        <v>143048</v>
      </c>
      <c r="O142">
        <f>INDEX(Counselor,MATCH(B142,KidIDs,0))</f>
        <v>0</v>
      </c>
      <c r="P142">
        <f>INDEX(Advisors,MATCH(B142,KidIDs,0))</f>
        <v>0</v>
      </c>
      <c r="Q142">
        <f>INDEX(Cohort,MATCH(B142,KidIDs,0))</f>
        <v>0</v>
      </c>
      <c r="R142">
        <f>INDEX(AllCollegeBarrons,MATCH(N142,AllCollegeNCES,0))</f>
        <v>0</v>
      </c>
      <c r="S142">
        <f>INDEX(KidGPAs,MATCH(B142,KidIDs,0))</f>
        <v>0</v>
      </c>
      <c r="T142">
        <f>INDEX(KidSATs,MATCH(B142,KidIDs,0))</f>
        <v>0</v>
      </c>
      <c r="U142">
        <f>INDEX(Strats,MATCH(B142,KidIDs,0))</f>
        <v>0</v>
      </c>
      <c r="V142">
        <f>INDEX(KidRace,MATCH(B142,KidIDs,0))</f>
        <v>0</v>
      </c>
      <c r="W142">
        <f>IF(OR(V142="M",V142="I"),"H",IF(V142="P","A",V142))</f>
        <v>0</v>
      </c>
      <c r="X142">
        <f>INDEX(StudentTargets,MATCH(B142,KidIDs,0))</f>
        <v>0</v>
      </c>
      <c r="Y142">
        <f>INDEX(ReachStudentTargets,MATCH(B142,KidIDs,0))</f>
        <v>0</v>
      </c>
      <c r="Z142">
        <f>IF(OR(M142="Posse"),1,0)</f>
        <v>0</v>
      </c>
      <c r="AA142">
        <f>IF(ISNUMBER(INDEX(AllCollegeGR, MATCH(N142,AllCollegeNCES,0))),ROUND(INDEX(AllCollegeGR, MATCH(N142,AllCollegeNCES,0))+Z142*IF(INDEX(AllCollegeGR, MATCH(N142,AllCollegeNCES,0))&gt;0.7,(1-INDEX(AllCollegeGR, MATCH(N142,AllCollegeNCES,0)))/2,0.15),2),INDEX(AllCollegeGR, MATCH(N142,AllCollegeNCES,0)))</f>
        <v>0</v>
      </c>
      <c r="AB142">
        <f>IF(ISNUMBER(INDEX(AllCollegeAAHGR, MATCH(N142,AllCollegeNCES,0))),ROUND(INDEX(AllCollegeAAHGR, MATCH(N142,AllCollegeNCES,0))+Z142*IF(INDEX(AllCollegeAAHGR, MATCH(N142,AllCollegeNCES,0))&gt;0.7,(1-INDEX(AllCollegeAAHGR, MATCH(N142,AllCollegeNCES,0)))/2,0.15),2),INDEX(AllCollegeAAHGR, MATCH(N142,AllCollegeNCES,0)))</f>
        <v>0</v>
      </c>
      <c r="AC142">
        <f>IF(OR(W142="H",W142="B"),INDEX(AllCollegeSAT25, MATCH(N142,AllCollegeNCES,0)),INDEX(AllCollegeSAT50, MATCH(N142,AllCollegeNCES,0)))</f>
        <v>0</v>
      </c>
      <c r="AD142">
        <f>INDEX(CustomWeightsGPA,MATCH(W142&amp;":"&amp;N142,CustomWeightsIndex,0))</f>
        <v>0</v>
      </c>
      <c r="AE142">
        <f>INDEX(CustomWeightsSAT,MATCH(W142&amp;":"&amp;N142,CustomWeightsIndex,0))</f>
        <v>0</v>
      </c>
      <c r="AF142">
        <f>INDEX(CustomWeightsIntercept,MATCH(W142&amp;":"&amp;N142,CustomWeightsIndex,0))</f>
        <v>0</v>
      </c>
      <c r="AG142">
        <f>AD142*S142+AE142*T142+AF142</f>
        <v>0</v>
      </c>
      <c r="AH142">
        <f>INDEX(CoefficientsGPA,MATCH(W142&amp;":"&amp;R142,CoefficientsIndex,0))</f>
        <v>0</v>
      </c>
      <c r="AI142">
        <f>INDEX(CoefficientsSAT,MATCH(W142&amp;":"&amp;R142,CoefficientsIndex,0))</f>
        <v>0</v>
      </c>
      <c r="AJ142">
        <f>INDEX(CoefficientsIntercept,MATCH(W142&amp;":"&amp;R142,CoefficientsIndex,0))</f>
        <v>0</v>
      </c>
      <c r="AK142">
        <f>AH142*S142+(T142-AC142)*AI142+AJ142</f>
        <v>0</v>
      </c>
      <c r="AL142">
        <f>IF(ISNUMBER(AG142),AG142,AK142)</f>
        <v>0</v>
      </c>
      <c r="AM142">
        <f>IF(ISNUMBER(AL142),IF(ISNUMBER(AH142),IF(AND(AH142=1,AI142=1,AJ142=1),100,MIN(99,ROUND(100*EXP(AL142)/(1+EXP(AL142)),2))),MIN(99,ROUND(100*EXP(AL142)/(1+EXP(AL142)),2))),IF(ISTEXT(R142),IF(LEFT(R142,1)="2",100,"N/A"),"N/A"))</f>
        <v>0</v>
      </c>
      <c r="AN142">
        <f>IF(ISNUMBER(AM142),IF(AM142&gt;=99,IF(OR(U142=10,U142=11),MatchLabel,SureThingLabel),IF(AM142&gt;=95,SecureLabel,IF(AM142&gt;=80,SafetyLabel,IF(AM142&gt;=50,MatchLabel,IF(AM142&gt;=20,ReachLabel,IF(AM142&gt;=10,LongshotLabel,HailMaryLabel)))))),"Other")</f>
        <v>0</v>
      </c>
      <c r="AO142">
        <f>IF(OR(I142="accepted",I142="cond. accept",I142="summer admit"),IF(J142="yes","CHOICE!","Accepted!"),IF(I142="guar. transfer","Guar. Xfer",IF(I142="denied","Denied",IF(K142=1,"Waitlist",IF(L142=1,"Deferred",IF(G142="pending","Pending",IF(OR(G142="initial materials submitted",G142="mid-year submitted",G142="final submitted"),"Submitted",IF(H142="interest","Interest","?"))))))))</f>
        <v>0</v>
      </c>
      <c r="AP142">
        <f>IF(OR(AN142=ReachLabel,AN142=LongshotLabel,AN142=HailMaryLabel),1,0)</f>
        <v>0</v>
      </c>
      <c r="AQ142">
        <f>IF(OR(AP142=1,AN142=MatchLabel),1,0)</f>
        <v>0</v>
      </c>
      <c r="AR142">
        <f>IF(OR(AN142=MatchLabel,AN142=SafetyLabel,AN142=SecureLabel,AN142=SureThingLabel),1,0)</f>
        <v>0</v>
      </c>
      <c r="AS142">
        <f>IF(OR(W142="H",W142="B",W142="I",W142="M"),IF(ISNUMBER(AB142),ROUND(AB142,2),0),IF(ISNUMBER(AA142),ROUND(AA142,2),0))</f>
        <v>0</v>
      </c>
      <c r="AT142">
        <f>IF(AS142&gt;=X142,1,0)</f>
        <v>0</v>
      </c>
      <c r="AU142">
        <f>IF(AS142&gt;=Y142,1,0)</f>
        <v>0</v>
      </c>
      <c r="AV142">
        <f>IF(AS142&lt;(X142-0.10),1,0)</f>
        <v>0</v>
      </c>
      <c r="AW142">
        <f>1-AM142/100</f>
        <v>0</v>
      </c>
      <c r="AX142">
        <f>IF(AQ142=1,AW142,1)</f>
        <v>0</v>
      </c>
      <c r="AY142">
        <f>IF(AP142=1,AW142,1)</f>
        <v>0</v>
      </c>
      <c r="AZ142">
        <f>IF(AND(AT142=1,ISNUMBER(AW142)),$AW142,1)</f>
        <v>0</v>
      </c>
      <c r="BA142">
        <f>IF(AND(AU142=1,ISNUMBER(AW142)),$AW142,1)</f>
        <v>0</v>
      </c>
      <c r="BB142">
        <f>IF(ISNUMBER(AB142),INDEX(AllCollegeMoney, MATCH(N142,AllCollegeNCES,0)),0)</f>
        <v>0</v>
      </c>
      <c r="BC142">
        <f>IF(AND(AT142=1,ISNUMBER(AW142),BB142=1),$AW142,1)</f>
        <v>0</v>
      </c>
      <c r="BD142">
        <f>IF(AND(AU142=1,ISNUMBER(AW142),BB142=1),$AW142,1)</f>
        <v>0</v>
      </c>
      <c r="BE142">
        <f>IF(ISNUMBER(AB142),INDEX(AllCollegeILPub, MATCH(N142,AllCollegeNCES,0)),0)</f>
        <v>0</v>
      </c>
      <c r="BF142">
        <f>IF(AN142=ReachLabel,AS142,0)</f>
        <v>0</v>
      </c>
      <c r="BG142">
        <f>IF(AN142=MatchLabel,AS142,0)</f>
        <v>0</v>
      </c>
      <c r="BH142">
        <f>IF(AN142=SafetyLabel,AS142,0)</f>
        <v>0</v>
      </c>
      <c r="BI142">
        <f>IF(AN142=SecureLabel,AS142,0)</f>
        <v>0</v>
      </c>
      <c r="BJ142">
        <f>IF(AN142=SureThingLabel,AS142,0)</f>
        <v>0</v>
      </c>
      <c r="BK142">
        <f>MAX(BF142:BJ142)</f>
        <v>0</v>
      </c>
      <c r="BL142">
        <f>MAX(BG142:BJ142)</f>
        <v>0</v>
      </c>
      <c r="BM142">
        <f>MAX(BH142:BJ142)</f>
        <v>0</v>
      </c>
      <c r="BN142">
        <f>IF(AND(AN142=ReachLabel,BB142=1),AS142,0)</f>
        <v>0</v>
      </c>
      <c r="BO142">
        <f>IF(AND(AN142=MatchLabel,BB142=1),AS142,0)</f>
        <v>0</v>
      </c>
      <c r="BP142">
        <f>IF(AND(AN142=SafetyLabel,BB142=1),AS142,0)</f>
        <v>0</v>
      </c>
      <c r="BQ142">
        <f>IF(AND(AN142=SecureLabel,BB142=1),AS142,0)</f>
        <v>0</v>
      </c>
      <c r="BR142">
        <f>IF(AND(AN142=SureThingLabel,BB142=1),AS142,0)</f>
        <v>0</v>
      </c>
      <c r="BS142">
        <f>MAX(BN142:BR142)</f>
        <v>0</v>
      </c>
      <c r="BT142">
        <f>MAX(BO142:BR142)</f>
        <v>0</v>
      </c>
      <c r="BU142">
        <f>MAX(BP142:BR142)</f>
        <v>0</v>
      </c>
      <c r="BV142">
        <f>IF(ISNUMBER(AB142),INDEX(AllCollegeChicago, MATCH(N142,AllCollegeNCES,0))*BB142,0)</f>
        <v>0</v>
      </c>
      <c r="BW142">
        <f>IF(ISNUMBER(AB142),INDEX(AllCollegeMoneyCode, MATCH(N142,AllCollegeNCES,0)),"?")</f>
        <v>0</v>
      </c>
      <c r="BX142">
        <f>IF(OR(BW142="---",BW142="--",BW142="+/--",BW142="+/---"),1,0)</f>
        <v>0</v>
      </c>
      <c r="BY142">
        <f>BB142*AR142*AT142</f>
        <v>0</v>
      </c>
    </row>
    <row r="143" spans="1:77">
      <c r="A143" t="s">
        <v>96</v>
      </c>
      <c r="B143">
        <v>22540938</v>
      </c>
      <c r="C143" t="s">
        <v>333</v>
      </c>
      <c r="D143" t="s">
        <v>334</v>
      </c>
      <c r="E143" t="s">
        <v>446</v>
      </c>
      <c r="F143" t="s">
        <v>471</v>
      </c>
      <c r="G143" t="s">
        <v>448</v>
      </c>
      <c r="H143" t="s">
        <v>449</v>
      </c>
      <c r="I143" t="s">
        <v>450</v>
      </c>
      <c r="J143" t="s">
        <v>450</v>
      </c>
      <c r="K143">
        <v>0</v>
      </c>
      <c r="L143" t="s">
        <v>446</v>
      </c>
      <c r="M143" t="s">
        <v>446</v>
      </c>
      <c r="N143">
        <v>202523</v>
      </c>
      <c r="O143">
        <f>INDEX(Counselor,MATCH(B143,KidIDs,0))</f>
        <v>0</v>
      </c>
      <c r="P143">
        <f>INDEX(Advisors,MATCH(B143,KidIDs,0))</f>
        <v>0</v>
      </c>
      <c r="Q143">
        <f>INDEX(Cohort,MATCH(B143,KidIDs,0))</f>
        <v>0</v>
      </c>
      <c r="R143">
        <f>INDEX(AllCollegeBarrons,MATCH(N143,AllCollegeNCES,0))</f>
        <v>0</v>
      </c>
      <c r="S143">
        <f>INDEX(KidGPAs,MATCH(B143,KidIDs,0))</f>
        <v>0</v>
      </c>
      <c r="T143">
        <f>INDEX(KidSATs,MATCH(B143,KidIDs,0))</f>
        <v>0</v>
      </c>
      <c r="U143">
        <f>INDEX(Strats,MATCH(B143,KidIDs,0))</f>
        <v>0</v>
      </c>
      <c r="V143">
        <f>INDEX(KidRace,MATCH(B143,KidIDs,0))</f>
        <v>0</v>
      </c>
      <c r="W143">
        <f>IF(OR(V143="M",V143="I"),"H",IF(V143="P","A",V143))</f>
        <v>0</v>
      </c>
      <c r="X143">
        <f>INDEX(StudentTargets,MATCH(B143,KidIDs,0))</f>
        <v>0</v>
      </c>
      <c r="Y143">
        <f>INDEX(ReachStudentTargets,MATCH(B143,KidIDs,0))</f>
        <v>0</v>
      </c>
      <c r="Z143">
        <f>IF(OR(M143="Posse"),1,0)</f>
        <v>0</v>
      </c>
      <c r="AA143">
        <f>IF(ISNUMBER(INDEX(AllCollegeGR, MATCH(N143,AllCollegeNCES,0))),ROUND(INDEX(AllCollegeGR, MATCH(N143,AllCollegeNCES,0))+Z143*IF(INDEX(AllCollegeGR, MATCH(N143,AllCollegeNCES,0))&gt;0.7,(1-INDEX(AllCollegeGR, MATCH(N143,AllCollegeNCES,0)))/2,0.15),2),INDEX(AllCollegeGR, MATCH(N143,AllCollegeNCES,0)))</f>
        <v>0</v>
      </c>
      <c r="AB143">
        <f>IF(ISNUMBER(INDEX(AllCollegeAAHGR, MATCH(N143,AllCollegeNCES,0))),ROUND(INDEX(AllCollegeAAHGR, MATCH(N143,AllCollegeNCES,0))+Z143*IF(INDEX(AllCollegeAAHGR, MATCH(N143,AllCollegeNCES,0))&gt;0.7,(1-INDEX(AllCollegeAAHGR, MATCH(N143,AllCollegeNCES,0)))/2,0.15),2),INDEX(AllCollegeAAHGR, MATCH(N143,AllCollegeNCES,0)))</f>
        <v>0</v>
      </c>
      <c r="AC143">
        <f>IF(OR(W143="H",W143="B"),INDEX(AllCollegeSAT25, MATCH(N143,AllCollegeNCES,0)),INDEX(AllCollegeSAT50, MATCH(N143,AllCollegeNCES,0)))</f>
        <v>0</v>
      </c>
      <c r="AD143">
        <f>INDEX(CustomWeightsGPA,MATCH(W143&amp;":"&amp;N143,CustomWeightsIndex,0))</f>
        <v>0</v>
      </c>
      <c r="AE143">
        <f>INDEX(CustomWeightsSAT,MATCH(W143&amp;":"&amp;N143,CustomWeightsIndex,0))</f>
        <v>0</v>
      </c>
      <c r="AF143">
        <f>INDEX(CustomWeightsIntercept,MATCH(W143&amp;":"&amp;N143,CustomWeightsIndex,0))</f>
        <v>0</v>
      </c>
      <c r="AG143">
        <f>AD143*S143+AE143*T143+AF143</f>
        <v>0</v>
      </c>
      <c r="AH143">
        <f>INDEX(CoefficientsGPA,MATCH(W143&amp;":"&amp;R143,CoefficientsIndex,0))</f>
        <v>0</v>
      </c>
      <c r="AI143">
        <f>INDEX(CoefficientsSAT,MATCH(W143&amp;":"&amp;R143,CoefficientsIndex,0))</f>
        <v>0</v>
      </c>
      <c r="AJ143">
        <f>INDEX(CoefficientsIntercept,MATCH(W143&amp;":"&amp;R143,CoefficientsIndex,0))</f>
        <v>0</v>
      </c>
      <c r="AK143">
        <f>AH143*S143+(T143-AC143)*AI143+AJ143</f>
        <v>0</v>
      </c>
      <c r="AL143">
        <f>IF(ISNUMBER(AG143),AG143,AK143)</f>
        <v>0</v>
      </c>
      <c r="AM143">
        <f>IF(ISNUMBER(AL143),IF(ISNUMBER(AH143),IF(AND(AH143=1,AI143=1,AJ143=1),100,MIN(99,ROUND(100*EXP(AL143)/(1+EXP(AL143)),2))),MIN(99,ROUND(100*EXP(AL143)/(1+EXP(AL143)),2))),IF(ISTEXT(R143),IF(LEFT(R143,1)="2",100,"N/A"),"N/A"))</f>
        <v>0</v>
      </c>
      <c r="AN143">
        <f>IF(ISNUMBER(AM143),IF(AM143&gt;=99,IF(OR(U143=10,U143=11),MatchLabel,SureThingLabel),IF(AM143&gt;=95,SecureLabel,IF(AM143&gt;=80,SafetyLabel,IF(AM143&gt;=50,MatchLabel,IF(AM143&gt;=20,ReachLabel,IF(AM143&gt;=10,LongshotLabel,HailMaryLabel)))))),"Other")</f>
        <v>0</v>
      </c>
      <c r="AO143">
        <f>IF(OR(I143="accepted",I143="cond. accept",I143="summer admit"),IF(J143="yes","CHOICE!","Accepted!"),IF(I143="guar. transfer","Guar. Xfer",IF(I143="denied","Denied",IF(K143=1,"Waitlist",IF(L143=1,"Deferred",IF(G143="pending","Pending",IF(OR(G143="initial materials submitted",G143="mid-year submitted",G143="final submitted"),"Submitted",IF(H143="interest","Interest","?"))))))))</f>
        <v>0</v>
      </c>
      <c r="AP143">
        <f>IF(OR(AN143=ReachLabel,AN143=LongshotLabel,AN143=HailMaryLabel),1,0)</f>
        <v>0</v>
      </c>
      <c r="AQ143">
        <f>IF(OR(AP143=1,AN143=MatchLabel),1,0)</f>
        <v>0</v>
      </c>
      <c r="AR143">
        <f>IF(OR(AN143=MatchLabel,AN143=SafetyLabel,AN143=SecureLabel,AN143=SureThingLabel),1,0)</f>
        <v>0</v>
      </c>
      <c r="AS143">
        <f>IF(OR(W143="H",W143="B",W143="I",W143="M"),IF(ISNUMBER(AB143),ROUND(AB143,2),0),IF(ISNUMBER(AA143),ROUND(AA143,2),0))</f>
        <v>0</v>
      </c>
      <c r="AT143">
        <f>IF(AS143&gt;=X143,1,0)</f>
        <v>0</v>
      </c>
      <c r="AU143">
        <f>IF(AS143&gt;=Y143,1,0)</f>
        <v>0</v>
      </c>
      <c r="AV143">
        <f>IF(AS143&lt;(X143-0.10),1,0)</f>
        <v>0</v>
      </c>
      <c r="AW143">
        <f>1-AM143/100</f>
        <v>0</v>
      </c>
      <c r="AX143">
        <f>IF(AQ143=1,AW143,1)</f>
        <v>0</v>
      </c>
      <c r="AY143">
        <f>IF(AP143=1,AW143,1)</f>
        <v>0</v>
      </c>
      <c r="AZ143">
        <f>IF(AND(AT143=1,ISNUMBER(AW143)),$AW143,1)</f>
        <v>0</v>
      </c>
      <c r="BA143">
        <f>IF(AND(AU143=1,ISNUMBER(AW143)),$AW143,1)</f>
        <v>0</v>
      </c>
      <c r="BB143">
        <f>IF(ISNUMBER(AB143),INDEX(AllCollegeMoney, MATCH(N143,AllCollegeNCES,0)),0)</f>
        <v>0</v>
      </c>
      <c r="BC143">
        <f>IF(AND(AT143=1,ISNUMBER(AW143),BB143=1),$AW143,1)</f>
        <v>0</v>
      </c>
      <c r="BD143">
        <f>IF(AND(AU143=1,ISNUMBER(AW143),BB143=1),$AW143,1)</f>
        <v>0</v>
      </c>
      <c r="BE143">
        <f>IF(ISNUMBER(AB143),INDEX(AllCollegeILPub, MATCH(N143,AllCollegeNCES,0)),0)</f>
        <v>0</v>
      </c>
      <c r="BF143">
        <f>IF(AN143=ReachLabel,AS143,0)</f>
        <v>0</v>
      </c>
      <c r="BG143">
        <f>IF(AN143=MatchLabel,AS143,0)</f>
        <v>0</v>
      </c>
      <c r="BH143">
        <f>IF(AN143=SafetyLabel,AS143,0)</f>
        <v>0</v>
      </c>
      <c r="BI143">
        <f>IF(AN143=SecureLabel,AS143,0)</f>
        <v>0</v>
      </c>
      <c r="BJ143">
        <f>IF(AN143=SureThingLabel,AS143,0)</f>
        <v>0</v>
      </c>
      <c r="BK143">
        <f>MAX(BF143:BJ143)</f>
        <v>0</v>
      </c>
      <c r="BL143">
        <f>MAX(BG143:BJ143)</f>
        <v>0</v>
      </c>
      <c r="BM143">
        <f>MAX(BH143:BJ143)</f>
        <v>0</v>
      </c>
      <c r="BN143">
        <f>IF(AND(AN143=ReachLabel,BB143=1),AS143,0)</f>
        <v>0</v>
      </c>
      <c r="BO143">
        <f>IF(AND(AN143=MatchLabel,BB143=1),AS143,0)</f>
        <v>0</v>
      </c>
      <c r="BP143">
        <f>IF(AND(AN143=SafetyLabel,BB143=1),AS143,0)</f>
        <v>0</v>
      </c>
      <c r="BQ143">
        <f>IF(AND(AN143=SecureLabel,BB143=1),AS143,0)</f>
        <v>0</v>
      </c>
      <c r="BR143">
        <f>IF(AND(AN143=SureThingLabel,BB143=1),AS143,0)</f>
        <v>0</v>
      </c>
      <c r="BS143">
        <f>MAX(BN143:BR143)</f>
        <v>0</v>
      </c>
      <c r="BT143">
        <f>MAX(BO143:BR143)</f>
        <v>0</v>
      </c>
      <c r="BU143">
        <f>MAX(BP143:BR143)</f>
        <v>0</v>
      </c>
      <c r="BV143">
        <f>IF(ISNUMBER(AB143),INDEX(AllCollegeChicago, MATCH(N143,AllCollegeNCES,0))*BB143,0)</f>
        <v>0</v>
      </c>
      <c r="BW143">
        <f>IF(ISNUMBER(AB143),INDEX(AllCollegeMoneyCode, MATCH(N143,AllCollegeNCES,0)),"?")</f>
        <v>0</v>
      </c>
      <c r="BX143">
        <f>IF(OR(BW143="---",BW143="--",BW143="+/--",BW143="+/---"),1,0)</f>
        <v>0</v>
      </c>
      <c r="BY143">
        <f>BB143*AR143*AT143</f>
        <v>0</v>
      </c>
    </row>
    <row r="144" spans="1:77">
      <c r="A144" t="s">
        <v>96</v>
      </c>
      <c r="B144">
        <v>22540938</v>
      </c>
      <c r="C144" t="s">
        <v>333</v>
      </c>
      <c r="D144" t="s">
        <v>334</v>
      </c>
      <c r="E144" t="s">
        <v>446</v>
      </c>
      <c r="F144" t="s">
        <v>472</v>
      </c>
      <c r="G144" t="s">
        <v>448</v>
      </c>
      <c r="H144" t="s">
        <v>449</v>
      </c>
      <c r="I144" t="s">
        <v>450</v>
      </c>
      <c r="J144" t="s">
        <v>450</v>
      </c>
      <c r="K144">
        <v>0</v>
      </c>
      <c r="L144" t="s">
        <v>446</v>
      </c>
      <c r="M144" t="s">
        <v>446</v>
      </c>
      <c r="N144">
        <v>212674</v>
      </c>
      <c r="O144">
        <f>INDEX(Counselor,MATCH(B144,KidIDs,0))</f>
        <v>0</v>
      </c>
      <c r="P144">
        <f>INDEX(Advisors,MATCH(B144,KidIDs,0))</f>
        <v>0</v>
      </c>
      <c r="Q144">
        <f>INDEX(Cohort,MATCH(B144,KidIDs,0))</f>
        <v>0</v>
      </c>
      <c r="R144">
        <f>INDEX(AllCollegeBarrons,MATCH(N144,AllCollegeNCES,0))</f>
        <v>0</v>
      </c>
      <c r="S144">
        <f>INDEX(KidGPAs,MATCH(B144,KidIDs,0))</f>
        <v>0</v>
      </c>
      <c r="T144">
        <f>INDEX(KidSATs,MATCH(B144,KidIDs,0))</f>
        <v>0</v>
      </c>
      <c r="U144">
        <f>INDEX(Strats,MATCH(B144,KidIDs,0))</f>
        <v>0</v>
      </c>
      <c r="V144">
        <f>INDEX(KidRace,MATCH(B144,KidIDs,0))</f>
        <v>0</v>
      </c>
      <c r="W144">
        <f>IF(OR(V144="M",V144="I"),"H",IF(V144="P","A",V144))</f>
        <v>0</v>
      </c>
      <c r="X144">
        <f>INDEX(StudentTargets,MATCH(B144,KidIDs,0))</f>
        <v>0</v>
      </c>
      <c r="Y144">
        <f>INDEX(ReachStudentTargets,MATCH(B144,KidIDs,0))</f>
        <v>0</v>
      </c>
      <c r="Z144">
        <f>IF(OR(M144="Posse"),1,0)</f>
        <v>0</v>
      </c>
      <c r="AA144">
        <f>IF(ISNUMBER(INDEX(AllCollegeGR, MATCH(N144,AllCollegeNCES,0))),ROUND(INDEX(AllCollegeGR, MATCH(N144,AllCollegeNCES,0))+Z144*IF(INDEX(AllCollegeGR, MATCH(N144,AllCollegeNCES,0))&gt;0.7,(1-INDEX(AllCollegeGR, MATCH(N144,AllCollegeNCES,0)))/2,0.15),2),INDEX(AllCollegeGR, MATCH(N144,AllCollegeNCES,0)))</f>
        <v>0</v>
      </c>
      <c r="AB144">
        <f>IF(ISNUMBER(INDEX(AllCollegeAAHGR, MATCH(N144,AllCollegeNCES,0))),ROUND(INDEX(AllCollegeAAHGR, MATCH(N144,AllCollegeNCES,0))+Z144*IF(INDEX(AllCollegeAAHGR, MATCH(N144,AllCollegeNCES,0))&gt;0.7,(1-INDEX(AllCollegeAAHGR, MATCH(N144,AllCollegeNCES,0)))/2,0.15),2),INDEX(AllCollegeAAHGR, MATCH(N144,AllCollegeNCES,0)))</f>
        <v>0</v>
      </c>
      <c r="AC144">
        <f>IF(OR(W144="H",W144="B"),INDEX(AllCollegeSAT25, MATCH(N144,AllCollegeNCES,0)),INDEX(AllCollegeSAT50, MATCH(N144,AllCollegeNCES,0)))</f>
        <v>0</v>
      </c>
      <c r="AD144">
        <f>INDEX(CustomWeightsGPA,MATCH(W144&amp;":"&amp;N144,CustomWeightsIndex,0))</f>
        <v>0</v>
      </c>
      <c r="AE144">
        <f>INDEX(CustomWeightsSAT,MATCH(W144&amp;":"&amp;N144,CustomWeightsIndex,0))</f>
        <v>0</v>
      </c>
      <c r="AF144">
        <f>INDEX(CustomWeightsIntercept,MATCH(W144&amp;":"&amp;N144,CustomWeightsIndex,0))</f>
        <v>0</v>
      </c>
      <c r="AG144">
        <f>AD144*S144+AE144*T144+AF144</f>
        <v>0</v>
      </c>
      <c r="AH144">
        <f>INDEX(CoefficientsGPA,MATCH(W144&amp;":"&amp;R144,CoefficientsIndex,0))</f>
        <v>0</v>
      </c>
      <c r="AI144">
        <f>INDEX(CoefficientsSAT,MATCH(W144&amp;":"&amp;R144,CoefficientsIndex,0))</f>
        <v>0</v>
      </c>
      <c r="AJ144">
        <f>INDEX(CoefficientsIntercept,MATCH(W144&amp;":"&amp;R144,CoefficientsIndex,0))</f>
        <v>0</v>
      </c>
      <c r="AK144">
        <f>AH144*S144+(T144-AC144)*AI144+AJ144</f>
        <v>0</v>
      </c>
      <c r="AL144">
        <f>IF(ISNUMBER(AG144),AG144,AK144)</f>
        <v>0</v>
      </c>
      <c r="AM144">
        <f>IF(ISNUMBER(AL144),IF(ISNUMBER(AH144),IF(AND(AH144=1,AI144=1,AJ144=1),100,MIN(99,ROUND(100*EXP(AL144)/(1+EXP(AL144)),2))),MIN(99,ROUND(100*EXP(AL144)/(1+EXP(AL144)),2))),IF(ISTEXT(R144),IF(LEFT(R144,1)="2",100,"N/A"),"N/A"))</f>
        <v>0</v>
      </c>
      <c r="AN144">
        <f>IF(ISNUMBER(AM144),IF(AM144&gt;=99,IF(OR(U144=10,U144=11),MatchLabel,SureThingLabel),IF(AM144&gt;=95,SecureLabel,IF(AM144&gt;=80,SafetyLabel,IF(AM144&gt;=50,MatchLabel,IF(AM144&gt;=20,ReachLabel,IF(AM144&gt;=10,LongshotLabel,HailMaryLabel)))))),"Other")</f>
        <v>0</v>
      </c>
      <c r="AO144">
        <f>IF(OR(I144="accepted",I144="cond. accept",I144="summer admit"),IF(J144="yes","CHOICE!","Accepted!"),IF(I144="guar. transfer","Guar. Xfer",IF(I144="denied","Denied",IF(K144=1,"Waitlist",IF(L144=1,"Deferred",IF(G144="pending","Pending",IF(OR(G144="initial materials submitted",G144="mid-year submitted",G144="final submitted"),"Submitted",IF(H144="interest","Interest","?"))))))))</f>
        <v>0</v>
      </c>
      <c r="AP144">
        <f>IF(OR(AN144=ReachLabel,AN144=LongshotLabel,AN144=HailMaryLabel),1,0)</f>
        <v>0</v>
      </c>
      <c r="AQ144">
        <f>IF(OR(AP144=1,AN144=MatchLabel),1,0)</f>
        <v>0</v>
      </c>
      <c r="AR144">
        <f>IF(OR(AN144=MatchLabel,AN144=SafetyLabel,AN144=SecureLabel,AN144=SureThingLabel),1,0)</f>
        <v>0</v>
      </c>
      <c r="AS144">
        <f>IF(OR(W144="H",W144="B",W144="I",W144="M"),IF(ISNUMBER(AB144),ROUND(AB144,2),0),IF(ISNUMBER(AA144),ROUND(AA144,2),0))</f>
        <v>0</v>
      </c>
      <c r="AT144">
        <f>IF(AS144&gt;=X144,1,0)</f>
        <v>0</v>
      </c>
      <c r="AU144">
        <f>IF(AS144&gt;=Y144,1,0)</f>
        <v>0</v>
      </c>
      <c r="AV144">
        <f>IF(AS144&lt;(X144-0.10),1,0)</f>
        <v>0</v>
      </c>
      <c r="AW144">
        <f>1-AM144/100</f>
        <v>0</v>
      </c>
      <c r="AX144">
        <f>IF(AQ144=1,AW144,1)</f>
        <v>0</v>
      </c>
      <c r="AY144">
        <f>IF(AP144=1,AW144,1)</f>
        <v>0</v>
      </c>
      <c r="AZ144">
        <f>IF(AND(AT144=1,ISNUMBER(AW144)),$AW144,1)</f>
        <v>0</v>
      </c>
      <c r="BA144">
        <f>IF(AND(AU144=1,ISNUMBER(AW144)),$AW144,1)</f>
        <v>0</v>
      </c>
      <c r="BB144">
        <f>IF(ISNUMBER(AB144),INDEX(AllCollegeMoney, MATCH(N144,AllCollegeNCES,0)),0)</f>
        <v>0</v>
      </c>
      <c r="BC144">
        <f>IF(AND(AT144=1,ISNUMBER(AW144),BB144=1),$AW144,1)</f>
        <v>0</v>
      </c>
      <c r="BD144">
        <f>IF(AND(AU144=1,ISNUMBER(AW144),BB144=1),$AW144,1)</f>
        <v>0</v>
      </c>
      <c r="BE144">
        <f>IF(ISNUMBER(AB144),INDEX(AllCollegeILPub, MATCH(N144,AllCollegeNCES,0)),0)</f>
        <v>0</v>
      </c>
      <c r="BF144">
        <f>IF(AN144=ReachLabel,AS144,0)</f>
        <v>0</v>
      </c>
      <c r="BG144">
        <f>IF(AN144=MatchLabel,AS144,0)</f>
        <v>0</v>
      </c>
      <c r="BH144">
        <f>IF(AN144=SafetyLabel,AS144,0)</f>
        <v>0</v>
      </c>
      <c r="BI144">
        <f>IF(AN144=SecureLabel,AS144,0)</f>
        <v>0</v>
      </c>
      <c r="BJ144">
        <f>IF(AN144=SureThingLabel,AS144,0)</f>
        <v>0</v>
      </c>
      <c r="BK144">
        <f>MAX(BF144:BJ144)</f>
        <v>0</v>
      </c>
      <c r="BL144">
        <f>MAX(BG144:BJ144)</f>
        <v>0</v>
      </c>
      <c r="BM144">
        <f>MAX(BH144:BJ144)</f>
        <v>0</v>
      </c>
      <c r="BN144">
        <f>IF(AND(AN144=ReachLabel,BB144=1),AS144,0)</f>
        <v>0</v>
      </c>
      <c r="BO144">
        <f>IF(AND(AN144=MatchLabel,BB144=1),AS144,0)</f>
        <v>0</v>
      </c>
      <c r="BP144">
        <f>IF(AND(AN144=SafetyLabel,BB144=1),AS144,0)</f>
        <v>0</v>
      </c>
      <c r="BQ144">
        <f>IF(AND(AN144=SecureLabel,BB144=1),AS144,0)</f>
        <v>0</v>
      </c>
      <c r="BR144">
        <f>IF(AND(AN144=SureThingLabel,BB144=1),AS144,0)</f>
        <v>0</v>
      </c>
      <c r="BS144">
        <f>MAX(BN144:BR144)</f>
        <v>0</v>
      </c>
      <c r="BT144">
        <f>MAX(BO144:BR144)</f>
        <v>0</v>
      </c>
      <c r="BU144">
        <f>MAX(BP144:BR144)</f>
        <v>0</v>
      </c>
      <c r="BV144">
        <f>IF(ISNUMBER(AB144),INDEX(AllCollegeChicago, MATCH(N144,AllCollegeNCES,0))*BB144,0)</f>
        <v>0</v>
      </c>
      <c r="BW144">
        <f>IF(ISNUMBER(AB144),INDEX(AllCollegeMoneyCode, MATCH(N144,AllCollegeNCES,0)),"?")</f>
        <v>0</v>
      </c>
      <c r="BX144">
        <f>IF(OR(BW144="---",BW144="--",BW144="+/--",BW144="+/---"),1,0)</f>
        <v>0</v>
      </c>
      <c r="BY144">
        <f>BB144*AR144*AT144</f>
        <v>0</v>
      </c>
    </row>
    <row r="145" spans="1:77">
      <c r="A145" t="s">
        <v>96</v>
      </c>
      <c r="B145">
        <v>22540938</v>
      </c>
      <c r="C145" t="s">
        <v>333</v>
      </c>
      <c r="D145" t="s">
        <v>334</v>
      </c>
      <c r="E145" t="s">
        <v>446</v>
      </c>
      <c r="F145" t="s">
        <v>486</v>
      </c>
      <c r="G145" t="s">
        <v>448</v>
      </c>
      <c r="H145" t="s">
        <v>449</v>
      </c>
      <c r="I145" t="s">
        <v>450</v>
      </c>
      <c r="J145" t="s">
        <v>450</v>
      </c>
      <c r="K145">
        <v>0</v>
      </c>
      <c r="L145" t="s">
        <v>446</v>
      </c>
      <c r="M145" t="s">
        <v>446</v>
      </c>
      <c r="N145">
        <v>206589</v>
      </c>
      <c r="O145">
        <f>INDEX(Counselor,MATCH(B145,KidIDs,0))</f>
        <v>0</v>
      </c>
      <c r="P145">
        <f>INDEX(Advisors,MATCH(B145,KidIDs,0))</f>
        <v>0</v>
      </c>
      <c r="Q145">
        <f>INDEX(Cohort,MATCH(B145,KidIDs,0))</f>
        <v>0</v>
      </c>
      <c r="R145">
        <f>INDEX(AllCollegeBarrons,MATCH(N145,AllCollegeNCES,0))</f>
        <v>0</v>
      </c>
      <c r="S145">
        <f>INDEX(KidGPAs,MATCH(B145,KidIDs,0))</f>
        <v>0</v>
      </c>
      <c r="T145">
        <f>INDEX(KidSATs,MATCH(B145,KidIDs,0))</f>
        <v>0</v>
      </c>
      <c r="U145">
        <f>INDEX(Strats,MATCH(B145,KidIDs,0))</f>
        <v>0</v>
      </c>
      <c r="V145">
        <f>INDEX(KidRace,MATCH(B145,KidIDs,0))</f>
        <v>0</v>
      </c>
      <c r="W145">
        <f>IF(OR(V145="M",V145="I"),"H",IF(V145="P","A",V145))</f>
        <v>0</v>
      </c>
      <c r="X145">
        <f>INDEX(StudentTargets,MATCH(B145,KidIDs,0))</f>
        <v>0</v>
      </c>
      <c r="Y145">
        <f>INDEX(ReachStudentTargets,MATCH(B145,KidIDs,0))</f>
        <v>0</v>
      </c>
      <c r="Z145">
        <f>IF(OR(M145="Posse"),1,0)</f>
        <v>0</v>
      </c>
      <c r="AA145">
        <f>IF(ISNUMBER(INDEX(AllCollegeGR, MATCH(N145,AllCollegeNCES,0))),ROUND(INDEX(AllCollegeGR, MATCH(N145,AllCollegeNCES,0))+Z145*IF(INDEX(AllCollegeGR, MATCH(N145,AllCollegeNCES,0))&gt;0.7,(1-INDEX(AllCollegeGR, MATCH(N145,AllCollegeNCES,0)))/2,0.15),2),INDEX(AllCollegeGR, MATCH(N145,AllCollegeNCES,0)))</f>
        <v>0</v>
      </c>
      <c r="AB145">
        <f>IF(ISNUMBER(INDEX(AllCollegeAAHGR, MATCH(N145,AllCollegeNCES,0))),ROUND(INDEX(AllCollegeAAHGR, MATCH(N145,AllCollegeNCES,0))+Z145*IF(INDEX(AllCollegeAAHGR, MATCH(N145,AllCollegeNCES,0))&gt;0.7,(1-INDEX(AllCollegeAAHGR, MATCH(N145,AllCollegeNCES,0)))/2,0.15),2),INDEX(AllCollegeAAHGR, MATCH(N145,AllCollegeNCES,0)))</f>
        <v>0</v>
      </c>
      <c r="AC145">
        <f>IF(OR(W145="H",W145="B"),INDEX(AllCollegeSAT25, MATCH(N145,AllCollegeNCES,0)),INDEX(AllCollegeSAT50, MATCH(N145,AllCollegeNCES,0)))</f>
        <v>0</v>
      </c>
      <c r="AD145">
        <f>INDEX(CustomWeightsGPA,MATCH(W145&amp;":"&amp;N145,CustomWeightsIndex,0))</f>
        <v>0</v>
      </c>
      <c r="AE145">
        <f>INDEX(CustomWeightsSAT,MATCH(W145&amp;":"&amp;N145,CustomWeightsIndex,0))</f>
        <v>0</v>
      </c>
      <c r="AF145">
        <f>INDEX(CustomWeightsIntercept,MATCH(W145&amp;":"&amp;N145,CustomWeightsIndex,0))</f>
        <v>0</v>
      </c>
      <c r="AG145">
        <f>AD145*S145+AE145*T145+AF145</f>
        <v>0</v>
      </c>
      <c r="AH145">
        <f>INDEX(CoefficientsGPA,MATCH(W145&amp;":"&amp;R145,CoefficientsIndex,0))</f>
        <v>0</v>
      </c>
      <c r="AI145">
        <f>INDEX(CoefficientsSAT,MATCH(W145&amp;":"&amp;R145,CoefficientsIndex,0))</f>
        <v>0</v>
      </c>
      <c r="AJ145">
        <f>INDEX(CoefficientsIntercept,MATCH(W145&amp;":"&amp;R145,CoefficientsIndex,0))</f>
        <v>0</v>
      </c>
      <c r="AK145">
        <f>AH145*S145+(T145-AC145)*AI145+AJ145</f>
        <v>0</v>
      </c>
      <c r="AL145">
        <f>IF(ISNUMBER(AG145),AG145,AK145)</f>
        <v>0</v>
      </c>
      <c r="AM145">
        <f>IF(ISNUMBER(AL145),IF(ISNUMBER(AH145),IF(AND(AH145=1,AI145=1,AJ145=1),100,MIN(99,ROUND(100*EXP(AL145)/(1+EXP(AL145)),2))),MIN(99,ROUND(100*EXP(AL145)/(1+EXP(AL145)),2))),IF(ISTEXT(R145),IF(LEFT(R145,1)="2",100,"N/A"),"N/A"))</f>
        <v>0</v>
      </c>
      <c r="AN145">
        <f>IF(ISNUMBER(AM145),IF(AM145&gt;=99,IF(OR(U145=10,U145=11),MatchLabel,SureThingLabel),IF(AM145&gt;=95,SecureLabel,IF(AM145&gt;=80,SafetyLabel,IF(AM145&gt;=50,MatchLabel,IF(AM145&gt;=20,ReachLabel,IF(AM145&gt;=10,LongshotLabel,HailMaryLabel)))))),"Other")</f>
        <v>0</v>
      </c>
      <c r="AO145">
        <f>IF(OR(I145="accepted",I145="cond. accept",I145="summer admit"),IF(J145="yes","CHOICE!","Accepted!"),IF(I145="guar. transfer","Guar. Xfer",IF(I145="denied","Denied",IF(K145=1,"Waitlist",IF(L145=1,"Deferred",IF(G145="pending","Pending",IF(OR(G145="initial materials submitted",G145="mid-year submitted",G145="final submitted"),"Submitted",IF(H145="interest","Interest","?"))))))))</f>
        <v>0</v>
      </c>
      <c r="AP145">
        <f>IF(OR(AN145=ReachLabel,AN145=LongshotLabel,AN145=HailMaryLabel),1,0)</f>
        <v>0</v>
      </c>
      <c r="AQ145">
        <f>IF(OR(AP145=1,AN145=MatchLabel),1,0)</f>
        <v>0</v>
      </c>
      <c r="AR145">
        <f>IF(OR(AN145=MatchLabel,AN145=SafetyLabel,AN145=SecureLabel,AN145=SureThingLabel),1,0)</f>
        <v>0</v>
      </c>
      <c r="AS145">
        <f>IF(OR(W145="H",W145="B",W145="I",W145="M"),IF(ISNUMBER(AB145),ROUND(AB145,2),0),IF(ISNUMBER(AA145),ROUND(AA145,2),0))</f>
        <v>0</v>
      </c>
      <c r="AT145">
        <f>IF(AS145&gt;=X145,1,0)</f>
        <v>0</v>
      </c>
      <c r="AU145">
        <f>IF(AS145&gt;=Y145,1,0)</f>
        <v>0</v>
      </c>
      <c r="AV145">
        <f>IF(AS145&lt;(X145-0.10),1,0)</f>
        <v>0</v>
      </c>
      <c r="AW145">
        <f>1-AM145/100</f>
        <v>0</v>
      </c>
      <c r="AX145">
        <f>IF(AQ145=1,AW145,1)</f>
        <v>0</v>
      </c>
      <c r="AY145">
        <f>IF(AP145=1,AW145,1)</f>
        <v>0</v>
      </c>
      <c r="AZ145">
        <f>IF(AND(AT145=1,ISNUMBER(AW145)),$AW145,1)</f>
        <v>0</v>
      </c>
      <c r="BA145">
        <f>IF(AND(AU145=1,ISNUMBER(AW145)),$AW145,1)</f>
        <v>0</v>
      </c>
      <c r="BB145">
        <f>IF(ISNUMBER(AB145),INDEX(AllCollegeMoney, MATCH(N145,AllCollegeNCES,0)),0)</f>
        <v>0</v>
      </c>
      <c r="BC145">
        <f>IF(AND(AT145=1,ISNUMBER(AW145),BB145=1),$AW145,1)</f>
        <v>0</v>
      </c>
      <c r="BD145">
        <f>IF(AND(AU145=1,ISNUMBER(AW145),BB145=1),$AW145,1)</f>
        <v>0</v>
      </c>
      <c r="BE145">
        <f>IF(ISNUMBER(AB145),INDEX(AllCollegeILPub, MATCH(N145,AllCollegeNCES,0)),0)</f>
        <v>0</v>
      </c>
      <c r="BF145">
        <f>IF(AN145=ReachLabel,AS145,0)</f>
        <v>0</v>
      </c>
      <c r="BG145">
        <f>IF(AN145=MatchLabel,AS145,0)</f>
        <v>0</v>
      </c>
      <c r="BH145">
        <f>IF(AN145=SafetyLabel,AS145,0)</f>
        <v>0</v>
      </c>
      <c r="BI145">
        <f>IF(AN145=SecureLabel,AS145,0)</f>
        <v>0</v>
      </c>
      <c r="BJ145">
        <f>IF(AN145=SureThingLabel,AS145,0)</f>
        <v>0</v>
      </c>
      <c r="BK145">
        <f>MAX(BF145:BJ145)</f>
        <v>0</v>
      </c>
      <c r="BL145">
        <f>MAX(BG145:BJ145)</f>
        <v>0</v>
      </c>
      <c r="BM145">
        <f>MAX(BH145:BJ145)</f>
        <v>0</v>
      </c>
      <c r="BN145">
        <f>IF(AND(AN145=ReachLabel,BB145=1),AS145,0)</f>
        <v>0</v>
      </c>
      <c r="BO145">
        <f>IF(AND(AN145=MatchLabel,BB145=1),AS145,0)</f>
        <v>0</v>
      </c>
      <c r="BP145">
        <f>IF(AND(AN145=SafetyLabel,BB145=1),AS145,0)</f>
        <v>0</v>
      </c>
      <c r="BQ145">
        <f>IF(AND(AN145=SecureLabel,BB145=1),AS145,0)</f>
        <v>0</v>
      </c>
      <c r="BR145">
        <f>IF(AND(AN145=SureThingLabel,BB145=1),AS145,0)</f>
        <v>0</v>
      </c>
      <c r="BS145">
        <f>MAX(BN145:BR145)</f>
        <v>0</v>
      </c>
      <c r="BT145">
        <f>MAX(BO145:BR145)</f>
        <v>0</v>
      </c>
      <c r="BU145">
        <f>MAX(BP145:BR145)</f>
        <v>0</v>
      </c>
      <c r="BV145">
        <f>IF(ISNUMBER(AB145),INDEX(AllCollegeChicago, MATCH(N145,AllCollegeNCES,0))*BB145,0)</f>
        <v>0</v>
      </c>
      <c r="BW145">
        <f>IF(ISNUMBER(AB145),INDEX(AllCollegeMoneyCode, MATCH(N145,AllCollegeNCES,0)),"?")</f>
        <v>0</v>
      </c>
      <c r="BX145">
        <f>IF(OR(BW145="---",BW145="--",BW145="+/--",BW145="+/---"),1,0)</f>
        <v>0</v>
      </c>
      <c r="BY145">
        <f>BB145*AR145*AT145</f>
        <v>0</v>
      </c>
    </row>
    <row r="146" spans="1:77">
      <c r="A146" t="s">
        <v>96</v>
      </c>
      <c r="B146">
        <v>22540938</v>
      </c>
      <c r="C146" t="s">
        <v>333</v>
      </c>
      <c r="D146" t="s">
        <v>334</v>
      </c>
      <c r="E146" t="s">
        <v>446</v>
      </c>
      <c r="F146" t="s">
        <v>473</v>
      </c>
      <c r="G146" t="s">
        <v>448</v>
      </c>
      <c r="H146" t="s">
        <v>449</v>
      </c>
      <c r="I146" t="s">
        <v>450</v>
      </c>
      <c r="J146" t="s">
        <v>450</v>
      </c>
      <c r="K146">
        <v>0</v>
      </c>
      <c r="L146" t="s">
        <v>446</v>
      </c>
      <c r="M146" t="s">
        <v>446</v>
      </c>
      <c r="N146">
        <v>221519</v>
      </c>
      <c r="O146">
        <f>INDEX(Counselor,MATCH(B146,KidIDs,0))</f>
        <v>0</v>
      </c>
      <c r="P146">
        <f>INDEX(Advisors,MATCH(B146,KidIDs,0))</f>
        <v>0</v>
      </c>
      <c r="Q146">
        <f>INDEX(Cohort,MATCH(B146,KidIDs,0))</f>
        <v>0</v>
      </c>
      <c r="R146">
        <f>INDEX(AllCollegeBarrons,MATCH(N146,AllCollegeNCES,0))</f>
        <v>0</v>
      </c>
      <c r="S146">
        <f>INDEX(KidGPAs,MATCH(B146,KidIDs,0))</f>
        <v>0</v>
      </c>
      <c r="T146">
        <f>INDEX(KidSATs,MATCH(B146,KidIDs,0))</f>
        <v>0</v>
      </c>
      <c r="U146">
        <f>INDEX(Strats,MATCH(B146,KidIDs,0))</f>
        <v>0</v>
      </c>
      <c r="V146">
        <f>INDEX(KidRace,MATCH(B146,KidIDs,0))</f>
        <v>0</v>
      </c>
      <c r="W146">
        <f>IF(OR(V146="M",V146="I"),"H",IF(V146="P","A",V146))</f>
        <v>0</v>
      </c>
      <c r="X146">
        <f>INDEX(StudentTargets,MATCH(B146,KidIDs,0))</f>
        <v>0</v>
      </c>
      <c r="Y146">
        <f>INDEX(ReachStudentTargets,MATCH(B146,KidIDs,0))</f>
        <v>0</v>
      </c>
      <c r="Z146">
        <f>IF(OR(M146="Posse"),1,0)</f>
        <v>0</v>
      </c>
      <c r="AA146">
        <f>IF(ISNUMBER(INDEX(AllCollegeGR, MATCH(N146,AllCollegeNCES,0))),ROUND(INDEX(AllCollegeGR, MATCH(N146,AllCollegeNCES,0))+Z146*IF(INDEX(AllCollegeGR, MATCH(N146,AllCollegeNCES,0))&gt;0.7,(1-INDEX(AllCollegeGR, MATCH(N146,AllCollegeNCES,0)))/2,0.15),2),INDEX(AllCollegeGR, MATCH(N146,AllCollegeNCES,0)))</f>
        <v>0</v>
      </c>
      <c r="AB146">
        <f>IF(ISNUMBER(INDEX(AllCollegeAAHGR, MATCH(N146,AllCollegeNCES,0))),ROUND(INDEX(AllCollegeAAHGR, MATCH(N146,AllCollegeNCES,0))+Z146*IF(INDEX(AllCollegeAAHGR, MATCH(N146,AllCollegeNCES,0))&gt;0.7,(1-INDEX(AllCollegeAAHGR, MATCH(N146,AllCollegeNCES,0)))/2,0.15),2),INDEX(AllCollegeAAHGR, MATCH(N146,AllCollegeNCES,0)))</f>
        <v>0</v>
      </c>
      <c r="AC146">
        <f>IF(OR(W146="H",W146="B"),INDEX(AllCollegeSAT25, MATCH(N146,AllCollegeNCES,0)),INDEX(AllCollegeSAT50, MATCH(N146,AllCollegeNCES,0)))</f>
        <v>0</v>
      </c>
      <c r="AD146">
        <f>INDEX(CustomWeightsGPA,MATCH(W146&amp;":"&amp;N146,CustomWeightsIndex,0))</f>
        <v>0</v>
      </c>
      <c r="AE146">
        <f>INDEX(CustomWeightsSAT,MATCH(W146&amp;":"&amp;N146,CustomWeightsIndex,0))</f>
        <v>0</v>
      </c>
      <c r="AF146">
        <f>INDEX(CustomWeightsIntercept,MATCH(W146&amp;":"&amp;N146,CustomWeightsIndex,0))</f>
        <v>0</v>
      </c>
      <c r="AG146">
        <f>AD146*S146+AE146*T146+AF146</f>
        <v>0</v>
      </c>
      <c r="AH146">
        <f>INDEX(CoefficientsGPA,MATCH(W146&amp;":"&amp;R146,CoefficientsIndex,0))</f>
        <v>0</v>
      </c>
      <c r="AI146">
        <f>INDEX(CoefficientsSAT,MATCH(W146&amp;":"&amp;R146,CoefficientsIndex,0))</f>
        <v>0</v>
      </c>
      <c r="AJ146">
        <f>INDEX(CoefficientsIntercept,MATCH(W146&amp;":"&amp;R146,CoefficientsIndex,0))</f>
        <v>0</v>
      </c>
      <c r="AK146">
        <f>AH146*S146+(T146-AC146)*AI146+AJ146</f>
        <v>0</v>
      </c>
      <c r="AL146">
        <f>IF(ISNUMBER(AG146),AG146,AK146)</f>
        <v>0</v>
      </c>
      <c r="AM146">
        <f>IF(ISNUMBER(AL146),IF(ISNUMBER(AH146),IF(AND(AH146=1,AI146=1,AJ146=1),100,MIN(99,ROUND(100*EXP(AL146)/(1+EXP(AL146)),2))),MIN(99,ROUND(100*EXP(AL146)/(1+EXP(AL146)),2))),IF(ISTEXT(R146),IF(LEFT(R146,1)="2",100,"N/A"),"N/A"))</f>
        <v>0</v>
      </c>
      <c r="AN146">
        <f>IF(ISNUMBER(AM146),IF(AM146&gt;=99,IF(OR(U146=10,U146=11),MatchLabel,SureThingLabel),IF(AM146&gt;=95,SecureLabel,IF(AM146&gt;=80,SafetyLabel,IF(AM146&gt;=50,MatchLabel,IF(AM146&gt;=20,ReachLabel,IF(AM146&gt;=10,LongshotLabel,HailMaryLabel)))))),"Other")</f>
        <v>0</v>
      </c>
      <c r="AO146">
        <f>IF(OR(I146="accepted",I146="cond. accept",I146="summer admit"),IF(J146="yes","CHOICE!","Accepted!"),IF(I146="guar. transfer","Guar. Xfer",IF(I146="denied","Denied",IF(K146=1,"Waitlist",IF(L146=1,"Deferred",IF(G146="pending","Pending",IF(OR(G146="initial materials submitted",G146="mid-year submitted",G146="final submitted"),"Submitted",IF(H146="interest","Interest","?"))))))))</f>
        <v>0</v>
      </c>
      <c r="AP146">
        <f>IF(OR(AN146=ReachLabel,AN146=LongshotLabel,AN146=HailMaryLabel),1,0)</f>
        <v>0</v>
      </c>
      <c r="AQ146">
        <f>IF(OR(AP146=1,AN146=MatchLabel),1,0)</f>
        <v>0</v>
      </c>
      <c r="AR146">
        <f>IF(OR(AN146=MatchLabel,AN146=SafetyLabel,AN146=SecureLabel,AN146=SureThingLabel),1,0)</f>
        <v>0</v>
      </c>
      <c r="AS146">
        <f>IF(OR(W146="H",W146="B",W146="I",W146="M"),IF(ISNUMBER(AB146),ROUND(AB146,2),0),IF(ISNUMBER(AA146),ROUND(AA146,2),0))</f>
        <v>0</v>
      </c>
      <c r="AT146">
        <f>IF(AS146&gt;=X146,1,0)</f>
        <v>0</v>
      </c>
      <c r="AU146">
        <f>IF(AS146&gt;=Y146,1,0)</f>
        <v>0</v>
      </c>
      <c r="AV146">
        <f>IF(AS146&lt;(X146-0.10),1,0)</f>
        <v>0</v>
      </c>
      <c r="AW146">
        <f>1-AM146/100</f>
        <v>0</v>
      </c>
      <c r="AX146">
        <f>IF(AQ146=1,AW146,1)</f>
        <v>0</v>
      </c>
      <c r="AY146">
        <f>IF(AP146=1,AW146,1)</f>
        <v>0</v>
      </c>
      <c r="AZ146">
        <f>IF(AND(AT146=1,ISNUMBER(AW146)),$AW146,1)</f>
        <v>0</v>
      </c>
      <c r="BA146">
        <f>IF(AND(AU146=1,ISNUMBER(AW146)),$AW146,1)</f>
        <v>0</v>
      </c>
      <c r="BB146">
        <f>IF(ISNUMBER(AB146),INDEX(AllCollegeMoney, MATCH(N146,AllCollegeNCES,0)),0)</f>
        <v>0</v>
      </c>
      <c r="BC146">
        <f>IF(AND(AT146=1,ISNUMBER(AW146),BB146=1),$AW146,1)</f>
        <v>0</v>
      </c>
      <c r="BD146">
        <f>IF(AND(AU146=1,ISNUMBER(AW146),BB146=1),$AW146,1)</f>
        <v>0</v>
      </c>
      <c r="BE146">
        <f>IF(ISNUMBER(AB146),INDEX(AllCollegeILPub, MATCH(N146,AllCollegeNCES,0)),0)</f>
        <v>0</v>
      </c>
      <c r="BF146">
        <f>IF(AN146=ReachLabel,AS146,0)</f>
        <v>0</v>
      </c>
      <c r="BG146">
        <f>IF(AN146=MatchLabel,AS146,0)</f>
        <v>0</v>
      </c>
      <c r="BH146">
        <f>IF(AN146=SafetyLabel,AS146,0)</f>
        <v>0</v>
      </c>
      <c r="BI146">
        <f>IF(AN146=SecureLabel,AS146,0)</f>
        <v>0</v>
      </c>
      <c r="BJ146">
        <f>IF(AN146=SureThingLabel,AS146,0)</f>
        <v>0</v>
      </c>
      <c r="BK146">
        <f>MAX(BF146:BJ146)</f>
        <v>0</v>
      </c>
      <c r="BL146">
        <f>MAX(BG146:BJ146)</f>
        <v>0</v>
      </c>
      <c r="BM146">
        <f>MAX(BH146:BJ146)</f>
        <v>0</v>
      </c>
      <c r="BN146">
        <f>IF(AND(AN146=ReachLabel,BB146=1),AS146,0)</f>
        <v>0</v>
      </c>
      <c r="BO146">
        <f>IF(AND(AN146=MatchLabel,BB146=1),AS146,0)</f>
        <v>0</v>
      </c>
      <c r="BP146">
        <f>IF(AND(AN146=SafetyLabel,BB146=1),AS146,0)</f>
        <v>0</v>
      </c>
      <c r="BQ146">
        <f>IF(AND(AN146=SecureLabel,BB146=1),AS146,0)</f>
        <v>0</v>
      </c>
      <c r="BR146">
        <f>IF(AND(AN146=SureThingLabel,BB146=1),AS146,0)</f>
        <v>0</v>
      </c>
      <c r="BS146">
        <f>MAX(BN146:BR146)</f>
        <v>0</v>
      </c>
      <c r="BT146">
        <f>MAX(BO146:BR146)</f>
        <v>0</v>
      </c>
      <c r="BU146">
        <f>MAX(BP146:BR146)</f>
        <v>0</v>
      </c>
      <c r="BV146">
        <f>IF(ISNUMBER(AB146),INDEX(AllCollegeChicago, MATCH(N146,AllCollegeNCES,0))*BB146,0)</f>
        <v>0</v>
      </c>
      <c r="BW146">
        <f>IF(ISNUMBER(AB146),INDEX(AllCollegeMoneyCode, MATCH(N146,AllCollegeNCES,0)),"?")</f>
        <v>0</v>
      </c>
      <c r="BX146">
        <f>IF(OR(BW146="---",BW146="--",BW146="+/--",BW146="+/---"),1,0)</f>
        <v>0</v>
      </c>
      <c r="BY146">
        <f>BB146*AR146*AT146</f>
        <v>0</v>
      </c>
    </row>
    <row r="147" spans="1:77">
      <c r="A147" t="s">
        <v>96</v>
      </c>
      <c r="B147">
        <v>22540938</v>
      </c>
      <c r="C147" t="s">
        <v>333</v>
      </c>
      <c r="D147" t="s">
        <v>334</v>
      </c>
      <c r="E147" t="s">
        <v>446</v>
      </c>
      <c r="F147" t="s">
        <v>475</v>
      </c>
      <c r="G147" t="s">
        <v>479</v>
      </c>
      <c r="H147" t="s">
        <v>449</v>
      </c>
      <c r="I147" t="s">
        <v>450</v>
      </c>
      <c r="J147" t="s">
        <v>450</v>
      </c>
      <c r="K147">
        <v>0</v>
      </c>
      <c r="L147" t="s">
        <v>446</v>
      </c>
      <c r="M147" t="s">
        <v>446</v>
      </c>
      <c r="N147">
        <v>145637</v>
      </c>
      <c r="O147">
        <f>INDEX(Counselor,MATCH(B147,KidIDs,0))</f>
        <v>0</v>
      </c>
      <c r="P147">
        <f>INDEX(Advisors,MATCH(B147,KidIDs,0))</f>
        <v>0</v>
      </c>
      <c r="Q147">
        <f>INDEX(Cohort,MATCH(B147,KidIDs,0))</f>
        <v>0</v>
      </c>
      <c r="R147">
        <f>INDEX(AllCollegeBarrons,MATCH(N147,AllCollegeNCES,0))</f>
        <v>0</v>
      </c>
      <c r="S147">
        <f>INDEX(KidGPAs,MATCH(B147,KidIDs,0))</f>
        <v>0</v>
      </c>
      <c r="T147">
        <f>INDEX(KidSATs,MATCH(B147,KidIDs,0))</f>
        <v>0</v>
      </c>
      <c r="U147">
        <f>INDEX(Strats,MATCH(B147,KidIDs,0))</f>
        <v>0</v>
      </c>
      <c r="V147">
        <f>INDEX(KidRace,MATCH(B147,KidIDs,0))</f>
        <v>0</v>
      </c>
      <c r="W147">
        <f>IF(OR(V147="M",V147="I"),"H",IF(V147="P","A",V147))</f>
        <v>0</v>
      </c>
      <c r="X147">
        <f>INDEX(StudentTargets,MATCH(B147,KidIDs,0))</f>
        <v>0</v>
      </c>
      <c r="Y147">
        <f>INDEX(ReachStudentTargets,MATCH(B147,KidIDs,0))</f>
        <v>0</v>
      </c>
      <c r="Z147">
        <f>IF(OR(M147="Posse"),1,0)</f>
        <v>0</v>
      </c>
      <c r="AA147">
        <f>IF(ISNUMBER(INDEX(AllCollegeGR, MATCH(N147,AllCollegeNCES,0))),ROUND(INDEX(AllCollegeGR, MATCH(N147,AllCollegeNCES,0))+Z147*IF(INDEX(AllCollegeGR, MATCH(N147,AllCollegeNCES,0))&gt;0.7,(1-INDEX(AllCollegeGR, MATCH(N147,AllCollegeNCES,0)))/2,0.15),2),INDEX(AllCollegeGR, MATCH(N147,AllCollegeNCES,0)))</f>
        <v>0</v>
      </c>
      <c r="AB147">
        <f>IF(ISNUMBER(INDEX(AllCollegeAAHGR, MATCH(N147,AllCollegeNCES,0))),ROUND(INDEX(AllCollegeAAHGR, MATCH(N147,AllCollegeNCES,0))+Z147*IF(INDEX(AllCollegeAAHGR, MATCH(N147,AllCollegeNCES,0))&gt;0.7,(1-INDEX(AllCollegeAAHGR, MATCH(N147,AllCollegeNCES,0)))/2,0.15),2),INDEX(AllCollegeAAHGR, MATCH(N147,AllCollegeNCES,0)))</f>
        <v>0</v>
      </c>
      <c r="AC147">
        <f>IF(OR(W147="H",W147="B"),INDEX(AllCollegeSAT25, MATCH(N147,AllCollegeNCES,0)),INDEX(AllCollegeSAT50, MATCH(N147,AllCollegeNCES,0)))</f>
        <v>0</v>
      </c>
      <c r="AD147">
        <f>INDEX(CustomWeightsGPA,MATCH(W147&amp;":"&amp;N147,CustomWeightsIndex,0))</f>
        <v>0</v>
      </c>
      <c r="AE147">
        <f>INDEX(CustomWeightsSAT,MATCH(W147&amp;":"&amp;N147,CustomWeightsIndex,0))</f>
        <v>0</v>
      </c>
      <c r="AF147">
        <f>INDEX(CustomWeightsIntercept,MATCH(W147&amp;":"&amp;N147,CustomWeightsIndex,0))</f>
        <v>0</v>
      </c>
      <c r="AG147">
        <f>AD147*S147+AE147*T147+AF147</f>
        <v>0</v>
      </c>
      <c r="AH147">
        <f>INDEX(CoefficientsGPA,MATCH(W147&amp;":"&amp;R147,CoefficientsIndex,0))</f>
        <v>0</v>
      </c>
      <c r="AI147">
        <f>INDEX(CoefficientsSAT,MATCH(W147&amp;":"&amp;R147,CoefficientsIndex,0))</f>
        <v>0</v>
      </c>
      <c r="AJ147">
        <f>INDEX(CoefficientsIntercept,MATCH(W147&amp;":"&amp;R147,CoefficientsIndex,0))</f>
        <v>0</v>
      </c>
      <c r="AK147">
        <f>AH147*S147+(T147-AC147)*AI147+AJ147</f>
        <v>0</v>
      </c>
      <c r="AL147">
        <f>IF(ISNUMBER(AG147),AG147,AK147)</f>
        <v>0</v>
      </c>
      <c r="AM147">
        <f>IF(ISNUMBER(AL147),IF(ISNUMBER(AH147),IF(AND(AH147=1,AI147=1,AJ147=1),100,MIN(99,ROUND(100*EXP(AL147)/(1+EXP(AL147)),2))),MIN(99,ROUND(100*EXP(AL147)/(1+EXP(AL147)),2))),IF(ISTEXT(R147),IF(LEFT(R147,1)="2",100,"N/A"),"N/A"))</f>
        <v>0</v>
      </c>
      <c r="AN147">
        <f>IF(ISNUMBER(AM147),IF(AM147&gt;=99,IF(OR(U147=10,U147=11),MatchLabel,SureThingLabel),IF(AM147&gt;=95,SecureLabel,IF(AM147&gt;=80,SafetyLabel,IF(AM147&gt;=50,MatchLabel,IF(AM147&gt;=20,ReachLabel,IF(AM147&gt;=10,LongshotLabel,HailMaryLabel)))))),"Other")</f>
        <v>0</v>
      </c>
      <c r="AO147">
        <f>IF(OR(I147="accepted",I147="cond. accept",I147="summer admit"),IF(J147="yes","CHOICE!","Accepted!"),IF(I147="guar. transfer","Guar. Xfer",IF(I147="denied","Denied",IF(K147=1,"Waitlist",IF(L147=1,"Deferred",IF(G147="pending","Pending",IF(OR(G147="initial materials submitted",G147="mid-year submitted",G147="final submitted"),"Submitted",IF(H147="interest","Interest","?"))))))))</f>
        <v>0</v>
      </c>
      <c r="AP147">
        <f>IF(OR(AN147=ReachLabel,AN147=LongshotLabel,AN147=HailMaryLabel),1,0)</f>
        <v>0</v>
      </c>
      <c r="AQ147">
        <f>IF(OR(AP147=1,AN147=MatchLabel),1,0)</f>
        <v>0</v>
      </c>
      <c r="AR147">
        <f>IF(OR(AN147=MatchLabel,AN147=SafetyLabel,AN147=SecureLabel,AN147=SureThingLabel),1,0)</f>
        <v>0</v>
      </c>
      <c r="AS147">
        <f>IF(OR(W147="H",W147="B",W147="I",W147="M"),IF(ISNUMBER(AB147),ROUND(AB147,2),0),IF(ISNUMBER(AA147),ROUND(AA147,2),0))</f>
        <v>0</v>
      </c>
      <c r="AT147">
        <f>IF(AS147&gt;=X147,1,0)</f>
        <v>0</v>
      </c>
      <c r="AU147">
        <f>IF(AS147&gt;=Y147,1,0)</f>
        <v>0</v>
      </c>
      <c r="AV147">
        <f>IF(AS147&lt;(X147-0.10),1,0)</f>
        <v>0</v>
      </c>
      <c r="AW147">
        <f>1-AM147/100</f>
        <v>0</v>
      </c>
      <c r="AX147">
        <f>IF(AQ147=1,AW147,1)</f>
        <v>0</v>
      </c>
      <c r="AY147">
        <f>IF(AP147=1,AW147,1)</f>
        <v>0</v>
      </c>
      <c r="AZ147">
        <f>IF(AND(AT147=1,ISNUMBER(AW147)),$AW147,1)</f>
        <v>0</v>
      </c>
      <c r="BA147">
        <f>IF(AND(AU147=1,ISNUMBER(AW147)),$AW147,1)</f>
        <v>0</v>
      </c>
      <c r="BB147">
        <f>IF(ISNUMBER(AB147),INDEX(AllCollegeMoney, MATCH(N147,AllCollegeNCES,0)),0)</f>
        <v>0</v>
      </c>
      <c r="BC147">
        <f>IF(AND(AT147=1,ISNUMBER(AW147),BB147=1),$AW147,1)</f>
        <v>0</v>
      </c>
      <c r="BD147">
        <f>IF(AND(AU147=1,ISNUMBER(AW147),BB147=1),$AW147,1)</f>
        <v>0</v>
      </c>
      <c r="BE147">
        <f>IF(ISNUMBER(AB147),INDEX(AllCollegeILPub, MATCH(N147,AllCollegeNCES,0)),0)</f>
        <v>0</v>
      </c>
      <c r="BF147">
        <f>IF(AN147=ReachLabel,AS147,0)</f>
        <v>0</v>
      </c>
      <c r="BG147">
        <f>IF(AN147=MatchLabel,AS147,0)</f>
        <v>0</v>
      </c>
      <c r="BH147">
        <f>IF(AN147=SafetyLabel,AS147,0)</f>
        <v>0</v>
      </c>
      <c r="BI147">
        <f>IF(AN147=SecureLabel,AS147,0)</f>
        <v>0</v>
      </c>
      <c r="BJ147">
        <f>IF(AN147=SureThingLabel,AS147,0)</f>
        <v>0</v>
      </c>
      <c r="BK147">
        <f>MAX(BF147:BJ147)</f>
        <v>0</v>
      </c>
      <c r="BL147">
        <f>MAX(BG147:BJ147)</f>
        <v>0</v>
      </c>
      <c r="BM147">
        <f>MAX(BH147:BJ147)</f>
        <v>0</v>
      </c>
      <c r="BN147">
        <f>IF(AND(AN147=ReachLabel,BB147=1),AS147,0)</f>
        <v>0</v>
      </c>
      <c r="BO147">
        <f>IF(AND(AN147=MatchLabel,BB147=1),AS147,0)</f>
        <v>0</v>
      </c>
      <c r="BP147">
        <f>IF(AND(AN147=SafetyLabel,BB147=1),AS147,0)</f>
        <v>0</v>
      </c>
      <c r="BQ147">
        <f>IF(AND(AN147=SecureLabel,BB147=1),AS147,0)</f>
        <v>0</v>
      </c>
      <c r="BR147">
        <f>IF(AND(AN147=SureThingLabel,BB147=1),AS147,0)</f>
        <v>0</v>
      </c>
      <c r="BS147">
        <f>MAX(BN147:BR147)</f>
        <v>0</v>
      </c>
      <c r="BT147">
        <f>MAX(BO147:BR147)</f>
        <v>0</v>
      </c>
      <c r="BU147">
        <f>MAX(BP147:BR147)</f>
        <v>0</v>
      </c>
      <c r="BV147">
        <f>IF(ISNUMBER(AB147),INDEX(AllCollegeChicago, MATCH(N147,AllCollegeNCES,0))*BB147,0)</f>
        <v>0</v>
      </c>
      <c r="BW147">
        <f>IF(ISNUMBER(AB147),INDEX(AllCollegeMoneyCode, MATCH(N147,AllCollegeNCES,0)),"?")</f>
        <v>0</v>
      </c>
      <c r="BX147">
        <f>IF(OR(BW147="---",BW147="--",BW147="+/--",BW147="+/---"),1,0)</f>
        <v>0</v>
      </c>
      <c r="BY147">
        <f>BB147*AR147*AT147</f>
        <v>0</v>
      </c>
    </row>
    <row r="148" spans="1:77">
      <c r="A148" t="s">
        <v>96</v>
      </c>
      <c r="B148">
        <v>22540938</v>
      </c>
      <c r="C148" t="s">
        <v>333</v>
      </c>
      <c r="D148" t="s">
        <v>334</v>
      </c>
      <c r="E148" t="s">
        <v>446</v>
      </c>
      <c r="F148" t="s">
        <v>447</v>
      </c>
      <c r="G148" t="s">
        <v>479</v>
      </c>
      <c r="H148" t="s">
        <v>449</v>
      </c>
      <c r="I148" t="s">
        <v>450</v>
      </c>
      <c r="J148" t="s">
        <v>450</v>
      </c>
      <c r="K148">
        <v>0</v>
      </c>
      <c r="L148" t="s">
        <v>446</v>
      </c>
      <c r="M148" t="s">
        <v>446</v>
      </c>
      <c r="N148">
        <v>148496</v>
      </c>
      <c r="O148">
        <f>INDEX(Counselor,MATCH(B148,KidIDs,0))</f>
        <v>0</v>
      </c>
      <c r="P148">
        <f>INDEX(Advisors,MATCH(B148,KidIDs,0))</f>
        <v>0</v>
      </c>
      <c r="Q148">
        <f>INDEX(Cohort,MATCH(B148,KidIDs,0))</f>
        <v>0</v>
      </c>
      <c r="R148">
        <f>INDEX(AllCollegeBarrons,MATCH(N148,AllCollegeNCES,0))</f>
        <v>0</v>
      </c>
      <c r="S148">
        <f>INDEX(KidGPAs,MATCH(B148,KidIDs,0))</f>
        <v>0</v>
      </c>
      <c r="T148">
        <f>INDEX(KidSATs,MATCH(B148,KidIDs,0))</f>
        <v>0</v>
      </c>
      <c r="U148">
        <f>INDEX(Strats,MATCH(B148,KidIDs,0))</f>
        <v>0</v>
      </c>
      <c r="V148">
        <f>INDEX(KidRace,MATCH(B148,KidIDs,0))</f>
        <v>0</v>
      </c>
      <c r="W148">
        <f>IF(OR(V148="M",V148="I"),"H",IF(V148="P","A",V148))</f>
        <v>0</v>
      </c>
      <c r="X148">
        <f>INDEX(StudentTargets,MATCH(B148,KidIDs,0))</f>
        <v>0</v>
      </c>
      <c r="Y148">
        <f>INDEX(ReachStudentTargets,MATCH(B148,KidIDs,0))</f>
        <v>0</v>
      </c>
      <c r="Z148">
        <f>IF(OR(M148="Posse"),1,0)</f>
        <v>0</v>
      </c>
      <c r="AA148">
        <f>IF(ISNUMBER(INDEX(AllCollegeGR, MATCH(N148,AllCollegeNCES,0))),ROUND(INDEX(AllCollegeGR, MATCH(N148,AllCollegeNCES,0))+Z148*IF(INDEX(AllCollegeGR, MATCH(N148,AllCollegeNCES,0))&gt;0.7,(1-INDEX(AllCollegeGR, MATCH(N148,AllCollegeNCES,0)))/2,0.15),2),INDEX(AllCollegeGR, MATCH(N148,AllCollegeNCES,0)))</f>
        <v>0</v>
      </c>
      <c r="AB148">
        <f>IF(ISNUMBER(INDEX(AllCollegeAAHGR, MATCH(N148,AllCollegeNCES,0))),ROUND(INDEX(AllCollegeAAHGR, MATCH(N148,AllCollegeNCES,0))+Z148*IF(INDEX(AllCollegeAAHGR, MATCH(N148,AllCollegeNCES,0))&gt;0.7,(1-INDEX(AllCollegeAAHGR, MATCH(N148,AllCollegeNCES,0)))/2,0.15),2),INDEX(AllCollegeAAHGR, MATCH(N148,AllCollegeNCES,0)))</f>
        <v>0</v>
      </c>
      <c r="AC148">
        <f>IF(OR(W148="H",W148="B"),INDEX(AllCollegeSAT25, MATCH(N148,AllCollegeNCES,0)),INDEX(AllCollegeSAT50, MATCH(N148,AllCollegeNCES,0)))</f>
        <v>0</v>
      </c>
      <c r="AD148">
        <f>INDEX(CustomWeightsGPA,MATCH(W148&amp;":"&amp;N148,CustomWeightsIndex,0))</f>
        <v>0</v>
      </c>
      <c r="AE148">
        <f>INDEX(CustomWeightsSAT,MATCH(W148&amp;":"&amp;N148,CustomWeightsIndex,0))</f>
        <v>0</v>
      </c>
      <c r="AF148">
        <f>INDEX(CustomWeightsIntercept,MATCH(W148&amp;":"&amp;N148,CustomWeightsIndex,0))</f>
        <v>0</v>
      </c>
      <c r="AG148">
        <f>AD148*S148+AE148*T148+AF148</f>
        <v>0</v>
      </c>
      <c r="AH148">
        <f>INDEX(CoefficientsGPA,MATCH(W148&amp;":"&amp;R148,CoefficientsIndex,0))</f>
        <v>0</v>
      </c>
      <c r="AI148">
        <f>INDEX(CoefficientsSAT,MATCH(W148&amp;":"&amp;R148,CoefficientsIndex,0))</f>
        <v>0</v>
      </c>
      <c r="AJ148">
        <f>INDEX(CoefficientsIntercept,MATCH(W148&amp;":"&amp;R148,CoefficientsIndex,0))</f>
        <v>0</v>
      </c>
      <c r="AK148">
        <f>AH148*S148+(T148-AC148)*AI148+AJ148</f>
        <v>0</v>
      </c>
      <c r="AL148">
        <f>IF(ISNUMBER(AG148),AG148,AK148)</f>
        <v>0</v>
      </c>
      <c r="AM148">
        <f>IF(ISNUMBER(AL148),IF(ISNUMBER(AH148),IF(AND(AH148=1,AI148=1,AJ148=1),100,MIN(99,ROUND(100*EXP(AL148)/(1+EXP(AL148)),2))),MIN(99,ROUND(100*EXP(AL148)/(1+EXP(AL148)),2))),IF(ISTEXT(R148),IF(LEFT(R148,1)="2",100,"N/A"),"N/A"))</f>
        <v>0</v>
      </c>
      <c r="AN148">
        <f>IF(ISNUMBER(AM148),IF(AM148&gt;=99,IF(OR(U148=10,U148=11),MatchLabel,SureThingLabel),IF(AM148&gt;=95,SecureLabel,IF(AM148&gt;=80,SafetyLabel,IF(AM148&gt;=50,MatchLabel,IF(AM148&gt;=20,ReachLabel,IF(AM148&gt;=10,LongshotLabel,HailMaryLabel)))))),"Other")</f>
        <v>0</v>
      </c>
      <c r="AO148">
        <f>IF(OR(I148="accepted",I148="cond. accept",I148="summer admit"),IF(J148="yes","CHOICE!","Accepted!"),IF(I148="guar. transfer","Guar. Xfer",IF(I148="denied","Denied",IF(K148=1,"Waitlist",IF(L148=1,"Deferred",IF(G148="pending","Pending",IF(OR(G148="initial materials submitted",G148="mid-year submitted",G148="final submitted"),"Submitted",IF(H148="interest","Interest","?"))))))))</f>
        <v>0</v>
      </c>
      <c r="AP148">
        <f>IF(OR(AN148=ReachLabel,AN148=LongshotLabel,AN148=HailMaryLabel),1,0)</f>
        <v>0</v>
      </c>
      <c r="AQ148">
        <f>IF(OR(AP148=1,AN148=MatchLabel),1,0)</f>
        <v>0</v>
      </c>
      <c r="AR148">
        <f>IF(OR(AN148=MatchLabel,AN148=SafetyLabel,AN148=SecureLabel,AN148=SureThingLabel),1,0)</f>
        <v>0</v>
      </c>
      <c r="AS148">
        <f>IF(OR(W148="H",W148="B",W148="I",W148="M"),IF(ISNUMBER(AB148),ROUND(AB148,2),0),IF(ISNUMBER(AA148),ROUND(AA148,2),0))</f>
        <v>0</v>
      </c>
      <c r="AT148">
        <f>IF(AS148&gt;=X148,1,0)</f>
        <v>0</v>
      </c>
      <c r="AU148">
        <f>IF(AS148&gt;=Y148,1,0)</f>
        <v>0</v>
      </c>
      <c r="AV148">
        <f>IF(AS148&lt;(X148-0.10),1,0)</f>
        <v>0</v>
      </c>
      <c r="AW148">
        <f>1-AM148/100</f>
        <v>0</v>
      </c>
      <c r="AX148">
        <f>IF(AQ148=1,AW148,1)</f>
        <v>0</v>
      </c>
      <c r="AY148">
        <f>IF(AP148=1,AW148,1)</f>
        <v>0</v>
      </c>
      <c r="AZ148">
        <f>IF(AND(AT148=1,ISNUMBER(AW148)),$AW148,1)</f>
        <v>0</v>
      </c>
      <c r="BA148">
        <f>IF(AND(AU148=1,ISNUMBER(AW148)),$AW148,1)</f>
        <v>0</v>
      </c>
      <c r="BB148">
        <f>IF(ISNUMBER(AB148),INDEX(AllCollegeMoney, MATCH(N148,AllCollegeNCES,0)),0)</f>
        <v>0</v>
      </c>
      <c r="BC148">
        <f>IF(AND(AT148=1,ISNUMBER(AW148),BB148=1),$AW148,1)</f>
        <v>0</v>
      </c>
      <c r="BD148">
        <f>IF(AND(AU148=1,ISNUMBER(AW148),BB148=1),$AW148,1)</f>
        <v>0</v>
      </c>
      <c r="BE148">
        <f>IF(ISNUMBER(AB148),INDEX(AllCollegeILPub, MATCH(N148,AllCollegeNCES,0)),0)</f>
        <v>0</v>
      </c>
      <c r="BF148">
        <f>IF(AN148=ReachLabel,AS148,0)</f>
        <v>0</v>
      </c>
      <c r="BG148">
        <f>IF(AN148=MatchLabel,AS148,0)</f>
        <v>0</v>
      </c>
      <c r="BH148">
        <f>IF(AN148=SafetyLabel,AS148,0)</f>
        <v>0</v>
      </c>
      <c r="BI148">
        <f>IF(AN148=SecureLabel,AS148,0)</f>
        <v>0</v>
      </c>
      <c r="BJ148">
        <f>IF(AN148=SureThingLabel,AS148,0)</f>
        <v>0</v>
      </c>
      <c r="BK148">
        <f>MAX(BF148:BJ148)</f>
        <v>0</v>
      </c>
      <c r="BL148">
        <f>MAX(BG148:BJ148)</f>
        <v>0</v>
      </c>
      <c r="BM148">
        <f>MAX(BH148:BJ148)</f>
        <v>0</v>
      </c>
      <c r="BN148">
        <f>IF(AND(AN148=ReachLabel,BB148=1),AS148,0)</f>
        <v>0</v>
      </c>
      <c r="BO148">
        <f>IF(AND(AN148=MatchLabel,BB148=1),AS148,0)</f>
        <v>0</v>
      </c>
      <c r="BP148">
        <f>IF(AND(AN148=SafetyLabel,BB148=1),AS148,0)</f>
        <v>0</v>
      </c>
      <c r="BQ148">
        <f>IF(AND(AN148=SecureLabel,BB148=1),AS148,0)</f>
        <v>0</v>
      </c>
      <c r="BR148">
        <f>IF(AND(AN148=SureThingLabel,BB148=1),AS148,0)</f>
        <v>0</v>
      </c>
      <c r="BS148">
        <f>MAX(BN148:BR148)</f>
        <v>0</v>
      </c>
      <c r="BT148">
        <f>MAX(BO148:BR148)</f>
        <v>0</v>
      </c>
      <c r="BU148">
        <f>MAX(BP148:BR148)</f>
        <v>0</v>
      </c>
      <c r="BV148">
        <f>IF(ISNUMBER(AB148),INDEX(AllCollegeChicago, MATCH(N148,AllCollegeNCES,0))*BB148,0)</f>
        <v>0</v>
      </c>
      <c r="BW148">
        <f>IF(ISNUMBER(AB148),INDEX(AllCollegeMoneyCode, MATCH(N148,AllCollegeNCES,0)),"?")</f>
        <v>0</v>
      </c>
      <c r="BX148">
        <f>IF(OR(BW148="---",BW148="--",BW148="+/--",BW148="+/---"),1,0)</f>
        <v>0</v>
      </c>
      <c r="BY148">
        <f>BB148*AR148*AT148</f>
        <v>0</v>
      </c>
    </row>
    <row r="149" spans="1:77">
      <c r="A149" t="s">
        <v>96</v>
      </c>
      <c r="B149">
        <v>22540938</v>
      </c>
      <c r="C149" t="s">
        <v>333</v>
      </c>
      <c r="D149" t="s">
        <v>334</v>
      </c>
      <c r="E149" t="s">
        <v>446</v>
      </c>
      <c r="F149" t="s">
        <v>477</v>
      </c>
      <c r="G149" t="s">
        <v>448</v>
      </c>
      <c r="H149" t="s">
        <v>449</v>
      </c>
      <c r="I149" t="s">
        <v>450</v>
      </c>
      <c r="J149" t="s">
        <v>450</v>
      </c>
      <c r="K149">
        <v>0</v>
      </c>
      <c r="L149" t="s">
        <v>446</v>
      </c>
      <c r="M149" t="s">
        <v>446</v>
      </c>
      <c r="N149">
        <v>146427</v>
      </c>
      <c r="O149">
        <f>INDEX(Counselor,MATCH(B149,KidIDs,0))</f>
        <v>0</v>
      </c>
      <c r="P149">
        <f>INDEX(Advisors,MATCH(B149,KidIDs,0))</f>
        <v>0</v>
      </c>
      <c r="Q149">
        <f>INDEX(Cohort,MATCH(B149,KidIDs,0))</f>
        <v>0</v>
      </c>
      <c r="R149">
        <f>INDEX(AllCollegeBarrons,MATCH(N149,AllCollegeNCES,0))</f>
        <v>0</v>
      </c>
      <c r="S149">
        <f>INDEX(KidGPAs,MATCH(B149,KidIDs,0))</f>
        <v>0</v>
      </c>
      <c r="T149">
        <f>INDEX(KidSATs,MATCH(B149,KidIDs,0))</f>
        <v>0</v>
      </c>
      <c r="U149">
        <f>INDEX(Strats,MATCH(B149,KidIDs,0))</f>
        <v>0</v>
      </c>
      <c r="V149">
        <f>INDEX(KidRace,MATCH(B149,KidIDs,0))</f>
        <v>0</v>
      </c>
      <c r="W149">
        <f>IF(OR(V149="M",V149="I"),"H",IF(V149="P","A",V149))</f>
        <v>0</v>
      </c>
      <c r="X149">
        <f>INDEX(StudentTargets,MATCH(B149,KidIDs,0))</f>
        <v>0</v>
      </c>
      <c r="Y149">
        <f>INDEX(ReachStudentTargets,MATCH(B149,KidIDs,0))</f>
        <v>0</v>
      </c>
      <c r="Z149">
        <f>IF(OR(M149="Posse"),1,0)</f>
        <v>0</v>
      </c>
      <c r="AA149">
        <f>IF(ISNUMBER(INDEX(AllCollegeGR, MATCH(N149,AllCollegeNCES,0))),ROUND(INDEX(AllCollegeGR, MATCH(N149,AllCollegeNCES,0))+Z149*IF(INDEX(AllCollegeGR, MATCH(N149,AllCollegeNCES,0))&gt;0.7,(1-INDEX(AllCollegeGR, MATCH(N149,AllCollegeNCES,0)))/2,0.15),2),INDEX(AllCollegeGR, MATCH(N149,AllCollegeNCES,0)))</f>
        <v>0</v>
      </c>
      <c r="AB149">
        <f>IF(ISNUMBER(INDEX(AllCollegeAAHGR, MATCH(N149,AllCollegeNCES,0))),ROUND(INDEX(AllCollegeAAHGR, MATCH(N149,AllCollegeNCES,0))+Z149*IF(INDEX(AllCollegeAAHGR, MATCH(N149,AllCollegeNCES,0))&gt;0.7,(1-INDEX(AllCollegeAAHGR, MATCH(N149,AllCollegeNCES,0)))/2,0.15),2),INDEX(AllCollegeAAHGR, MATCH(N149,AllCollegeNCES,0)))</f>
        <v>0</v>
      </c>
      <c r="AC149">
        <f>IF(OR(W149="H",W149="B"),INDEX(AllCollegeSAT25, MATCH(N149,AllCollegeNCES,0)),INDEX(AllCollegeSAT50, MATCH(N149,AllCollegeNCES,0)))</f>
        <v>0</v>
      </c>
      <c r="AD149">
        <f>INDEX(CustomWeightsGPA,MATCH(W149&amp;":"&amp;N149,CustomWeightsIndex,0))</f>
        <v>0</v>
      </c>
      <c r="AE149">
        <f>INDEX(CustomWeightsSAT,MATCH(W149&amp;":"&amp;N149,CustomWeightsIndex,0))</f>
        <v>0</v>
      </c>
      <c r="AF149">
        <f>INDEX(CustomWeightsIntercept,MATCH(W149&amp;":"&amp;N149,CustomWeightsIndex,0))</f>
        <v>0</v>
      </c>
      <c r="AG149">
        <f>AD149*S149+AE149*T149+AF149</f>
        <v>0</v>
      </c>
      <c r="AH149">
        <f>INDEX(CoefficientsGPA,MATCH(W149&amp;":"&amp;R149,CoefficientsIndex,0))</f>
        <v>0</v>
      </c>
      <c r="AI149">
        <f>INDEX(CoefficientsSAT,MATCH(W149&amp;":"&amp;R149,CoefficientsIndex,0))</f>
        <v>0</v>
      </c>
      <c r="AJ149">
        <f>INDEX(CoefficientsIntercept,MATCH(W149&amp;":"&amp;R149,CoefficientsIndex,0))</f>
        <v>0</v>
      </c>
      <c r="AK149">
        <f>AH149*S149+(T149-AC149)*AI149+AJ149</f>
        <v>0</v>
      </c>
      <c r="AL149">
        <f>IF(ISNUMBER(AG149),AG149,AK149)</f>
        <v>0</v>
      </c>
      <c r="AM149">
        <f>IF(ISNUMBER(AL149),IF(ISNUMBER(AH149),IF(AND(AH149=1,AI149=1,AJ149=1),100,MIN(99,ROUND(100*EXP(AL149)/(1+EXP(AL149)),2))),MIN(99,ROUND(100*EXP(AL149)/(1+EXP(AL149)),2))),IF(ISTEXT(R149),IF(LEFT(R149,1)="2",100,"N/A"),"N/A"))</f>
        <v>0</v>
      </c>
      <c r="AN149">
        <f>IF(ISNUMBER(AM149),IF(AM149&gt;=99,IF(OR(U149=10,U149=11),MatchLabel,SureThingLabel),IF(AM149&gt;=95,SecureLabel,IF(AM149&gt;=80,SafetyLabel,IF(AM149&gt;=50,MatchLabel,IF(AM149&gt;=20,ReachLabel,IF(AM149&gt;=10,LongshotLabel,HailMaryLabel)))))),"Other")</f>
        <v>0</v>
      </c>
      <c r="AO149">
        <f>IF(OR(I149="accepted",I149="cond. accept",I149="summer admit"),IF(J149="yes","CHOICE!","Accepted!"),IF(I149="guar. transfer","Guar. Xfer",IF(I149="denied","Denied",IF(K149=1,"Waitlist",IF(L149=1,"Deferred",IF(G149="pending","Pending",IF(OR(G149="initial materials submitted",G149="mid-year submitted",G149="final submitted"),"Submitted",IF(H149="interest","Interest","?"))))))))</f>
        <v>0</v>
      </c>
      <c r="AP149">
        <f>IF(OR(AN149=ReachLabel,AN149=LongshotLabel,AN149=HailMaryLabel),1,0)</f>
        <v>0</v>
      </c>
      <c r="AQ149">
        <f>IF(OR(AP149=1,AN149=MatchLabel),1,0)</f>
        <v>0</v>
      </c>
      <c r="AR149">
        <f>IF(OR(AN149=MatchLabel,AN149=SafetyLabel,AN149=SecureLabel,AN149=SureThingLabel),1,0)</f>
        <v>0</v>
      </c>
      <c r="AS149">
        <f>IF(OR(W149="H",W149="B",W149="I",W149="M"),IF(ISNUMBER(AB149),ROUND(AB149,2),0),IF(ISNUMBER(AA149),ROUND(AA149,2),0))</f>
        <v>0</v>
      </c>
      <c r="AT149">
        <f>IF(AS149&gt;=X149,1,0)</f>
        <v>0</v>
      </c>
      <c r="AU149">
        <f>IF(AS149&gt;=Y149,1,0)</f>
        <v>0</v>
      </c>
      <c r="AV149">
        <f>IF(AS149&lt;(X149-0.10),1,0)</f>
        <v>0</v>
      </c>
      <c r="AW149">
        <f>1-AM149/100</f>
        <v>0</v>
      </c>
      <c r="AX149">
        <f>IF(AQ149=1,AW149,1)</f>
        <v>0</v>
      </c>
      <c r="AY149">
        <f>IF(AP149=1,AW149,1)</f>
        <v>0</v>
      </c>
      <c r="AZ149">
        <f>IF(AND(AT149=1,ISNUMBER(AW149)),$AW149,1)</f>
        <v>0</v>
      </c>
      <c r="BA149">
        <f>IF(AND(AU149=1,ISNUMBER(AW149)),$AW149,1)</f>
        <v>0</v>
      </c>
      <c r="BB149">
        <f>IF(ISNUMBER(AB149),INDEX(AllCollegeMoney, MATCH(N149,AllCollegeNCES,0)),0)</f>
        <v>0</v>
      </c>
      <c r="BC149">
        <f>IF(AND(AT149=1,ISNUMBER(AW149),BB149=1),$AW149,1)</f>
        <v>0</v>
      </c>
      <c r="BD149">
        <f>IF(AND(AU149=1,ISNUMBER(AW149),BB149=1),$AW149,1)</f>
        <v>0</v>
      </c>
      <c r="BE149">
        <f>IF(ISNUMBER(AB149),INDEX(AllCollegeILPub, MATCH(N149,AllCollegeNCES,0)),0)</f>
        <v>0</v>
      </c>
      <c r="BF149">
        <f>IF(AN149=ReachLabel,AS149,0)</f>
        <v>0</v>
      </c>
      <c r="BG149">
        <f>IF(AN149=MatchLabel,AS149,0)</f>
        <v>0</v>
      </c>
      <c r="BH149">
        <f>IF(AN149=SafetyLabel,AS149,0)</f>
        <v>0</v>
      </c>
      <c r="BI149">
        <f>IF(AN149=SecureLabel,AS149,0)</f>
        <v>0</v>
      </c>
      <c r="BJ149">
        <f>IF(AN149=SureThingLabel,AS149,0)</f>
        <v>0</v>
      </c>
      <c r="BK149">
        <f>MAX(BF149:BJ149)</f>
        <v>0</v>
      </c>
      <c r="BL149">
        <f>MAX(BG149:BJ149)</f>
        <v>0</v>
      </c>
      <c r="BM149">
        <f>MAX(BH149:BJ149)</f>
        <v>0</v>
      </c>
      <c r="BN149">
        <f>IF(AND(AN149=ReachLabel,BB149=1),AS149,0)</f>
        <v>0</v>
      </c>
      <c r="BO149">
        <f>IF(AND(AN149=MatchLabel,BB149=1),AS149,0)</f>
        <v>0</v>
      </c>
      <c r="BP149">
        <f>IF(AND(AN149=SafetyLabel,BB149=1),AS149,0)</f>
        <v>0</v>
      </c>
      <c r="BQ149">
        <f>IF(AND(AN149=SecureLabel,BB149=1),AS149,0)</f>
        <v>0</v>
      </c>
      <c r="BR149">
        <f>IF(AND(AN149=SureThingLabel,BB149=1),AS149,0)</f>
        <v>0</v>
      </c>
      <c r="BS149">
        <f>MAX(BN149:BR149)</f>
        <v>0</v>
      </c>
      <c r="BT149">
        <f>MAX(BO149:BR149)</f>
        <v>0</v>
      </c>
      <c r="BU149">
        <f>MAX(BP149:BR149)</f>
        <v>0</v>
      </c>
      <c r="BV149">
        <f>IF(ISNUMBER(AB149),INDEX(AllCollegeChicago, MATCH(N149,AllCollegeNCES,0))*BB149,0)</f>
        <v>0</v>
      </c>
      <c r="BW149">
        <f>IF(ISNUMBER(AB149),INDEX(AllCollegeMoneyCode, MATCH(N149,AllCollegeNCES,0)),"?")</f>
        <v>0</v>
      </c>
      <c r="BX149">
        <f>IF(OR(BW149="---",BW149="--",BW149="+/--",BW149="+/---"),1,0)</f>
        <v>0</v>
      </c>
      <c r="BY149">
        <f>BB149*AR149*AT149</f>
        <v>0</v>
      </c>
    </row>
    <row r="150" spans="1:77">
      <c r="A150" t="s">
        <v>96</v>
      </c>
      <c r="B150">
        <v>22540938</v>
      </c>
      <c r="C150" t="s">
        <v>333</v>
      </c>
      <c r="D150" t="s">
        <v>334</v>
      </c>
      <c r="E150" t="s">
        <v>446</v>
      </c>
      <c r="F150" t="s">
        <v>489</v>
      </c>
      <c r="G150" t="s">
        <v>448</v>
      </c>
      <c r="H150" t="s">
        <v>449</v>
      </c>
      <c r="I150" t="s">
        <v>450</v>
      </c>
      <c r="J150" t="s">
        <v>450</v>
      </c>
      <c r="K150">
        <v>0</v>
      </c>
      <c r="L150" t="s">
        <v>446</v>
      </c>
      <c r="M150" t="s">
        <v>446</v>
      </c>
      <c r="N150">
        <v>170301</v>
      </c>
      <c r="O150">
        <f>INDEX(Counselor,MATCH(B150,KidIDs,0))</f>
        <v>0</v>
      </c>
      <c r="P150">
        <f>INDEX(Advisors,MATCH(B150,KidIDs,0))</f>
        <v>0</v>
      </c>
      <c r="Q150">
        <f>INDEX(Cohort,MATCH(B150,KidIDs,0))</f>
        <v>0</v>
      </c>
      <c r="R150">
        <f>INDEX(AllCollegeBarrons,MATCH(N150,AllCollegeNCES,0))</f>
        <v>0</v>
      </c>
      <c r="S150">
        <f>INDEX(KidGPAs,MATCH(B150,KidIDs,0))</f>
        <v>0</v>
      </c>
      <c r="T150">
        <f>INDEX(KidSATs,MATCH(B150,KidIDs,0))</f>
        <v>0</v>
      </c>
      <c r="U150">
        <f>INDEX(Strats,MATCH(B150,KidIDs,0))</f>
        <v>0</v>
      </c>
      <c r="V150">
        <f>INDEX(KidRace,MATCH(B150,KidIDs,0))</f>
        <v>0</v>
      </c>
      <c r="W150">
        <f>IF(OR(V150="M",V150="I"),"H",IF(V150="P","A",V150))</f>
        <v>0</v>
      </c>
      <c r="X150">
        <f>INDEX(StudentTargets,MATCH(B150,KidIDs,0))</f>
        <v>0</v>
      </c>
      <c r="Y150">
        <f>INDEX(ReachStudentTargets,MATCH(B150,KidIDs,0))</f>
        <v>0</v>
      </c>
      <c r="Z150">
        <f>IF(OR(M150="Posse"),1,0)</f>
        <v>0</v>
      </c>
      <c r="AA150">
        <f>IF(ISNUMBER(INDEX(AllCollegeGR, MATCH(N150,AllCollegeNCES,0))),ROUND(INDEX(AllCollegeGR, MATCH(N150,AllCollegeNCES,0))+Z150*IF(INDEX(AllCollegeGR, MATCH(N150,AllCollegeNCES,0))&gt;0.7,(1-INDEX(AllCollegeGR, MATCH(N150,AllCollegeNCES,0)))/2,0.15),2),INDEX(AllCollegeGR, MATCH(N150,AllCollegeNCES,0)))</f>
        <v>0</v>
      </c>
      <c r="AB150">
        <f>IF(ISNUMBER(INDEX(AllCollegeAAHGR, MATCH(N150,AllCollegeNCES,0))),ROUND(INDEX(AllCollegeAAHGR, MATCH(N150,AllCollegeNCES,0))+Z150*IF(INDEX(AllCollegeAAHGR, MATCH(N150,AllCollegeNCES,0))&gt;0.7,(1-INDEX(AllCollegeAAHGR, MATCH(N150,AllCollegeNCES,0)))/2,0.15),2),INDEX(AllCollegeAAHGR, MATCH(N150,AllCollegeNCES,0)))</f>
        <v>0</v>
      </c>
      <c r="AC150">
        <f>IF(OR(W150="H",W150="B"),INDEX(AllCollegeSAT25, MATCH(N150,AllCollegeNCES,0)),INDEX(AllCollegeSAT50, MATCH(N150,AllCollegeNCES,0)))</f>
        <v>0</v>
      </c>
      <c r="AD150">
        <f>INDEX(CustomWeightsGPA,MATCH(W150&amp;":"&amp;N150,CustomWeightsIndex,0))</f>
        <v>0</v>
      </c>
      <c r="AE150">
        <f>INDEX(CustomWeightsSAT,MATCH(W150&amp;":"&amp;N150,CustomWeightsIndex,0))</f>
        <v>0</v>
      </c>
      <c r="AF150">
        <f>INDEX(CustomWeightsIntercept,MATCH(W150&amp;":"&amp;N150,CustomWeightsIndex,0))</f>
        <v>0</v>
      </c>
      <c r="AG150">
        <f>AD150*S150+AE150*T150+AF150</f>
        <v>0</v>
      </c>
      <c r="AH150">
        <f>INDEX(CoefficientsGPA,MATCH(W150&amp;":"&amp;R150,CoefficientsIndex,0))</f>
        <v>0</v>
      </c>
      <c r="AI150">
        <f>INDEX(CoefficientsSAT,MATCH(W150&amp;":"&amp;R150,CoefficientsIndex,0))</f>
        <v>0</v>
      </c>
      <c r="AJ150">
        <f>INDEX(CoefficientsIntercept,MATCH(W150&amp;":"&amp;R150,CoefficientsIndex,0))</f>
        <v>0</v>
      </c>
      <c r="AK150">
        <f>AH150*S150+(T150-AC150)*AI150+AJ150</f>
        <v>0</v>
      </c>
      <c r="AL150">
        <f>IF(ISNUMBER(AG150),AG150,AK150)</f>
        <v>0</v>
      </c>
      <c r="AM150">
        <f>IF(ISNUMBER(AL150),IF(ISNUMBER(AH150),IF(AND(AH150=1,AI150=1,AJ150=1),100,MIN(99,ROUND(100*EXP(AL150)/(1+EXP(AL150)),2))),MIN(99,ROUND(100*EXP(AL150)/(1+EXP(AL150)),2))),IF(ISTEXT(R150),IF(LEFT(R150,1)="2",100,"N/A"),"N/A"))</f>
        <v>0</v>
      </c>
      <c r="AN150">
        <f>IF(ISNUMBER(AM150),IF(AM150&gt;=99,IF(OR(U150=10,U150=11),MatchLabel,SureThingLabel),IF(AM150&gt;=95,SecureLabel,IF(AM150&gt;=80,SafetyLabel,IF(AM150&gt;=50,MatchLabel,IF(AM150&gt;=20,ReachLabel,IF(AM150&gt;=10,LongshotLabel,HailMaryLabel)))))),"Other")</f>
        <v>0</v>
      </c>
      <c r="AO150">
        <f>IF(OR(I150="accepted",I150="cond. accept",I150="summer admit"),IF(J150="yes","CHOICE!","Accepted!"),IF(I150="guar. transfer","Guar. Xfer",IF(I150="denied","Denied",IF(K150=1,"Waitlist",IF(L150=1,"Deferred",IF(G150="pending","Pending",IF(OR(G150="initial materials submitted",G150="mid-year submitted",G150="final submitted"),"Submitted",IF(H150="interest","Interest","?"))))))))</f>
        <v>0</v>
      </c>
      <c r="AP150">
        <f>IF(OR(AN150=ReachLabel,AN150=LongshotLabel,AN150=HailMaryLabel),1,0)</f>
        <v>0</v>
      </c>
      <c r="AQ150">
        <f>IF(OR(AP150=1,AN150=MatchLabel),1,0)</f>
        <v>0</v>
      </c>
      <c r="AR150">
        <f>IF(OR(AN150=MatchLabel,AN150=SafetyLabel,AN150=SecureLabel,AN150=SureThingLabel),1,0)</f>
        <v>0</v>
      </c>
      <c r="AS150">
        <f>IF(OR(W150="H",W150="B",W150="I",W150="M"),IF(ISNUMBER(AB150),ROUND(AB150,2),0),IF(ISNUMBER(AA150),ROUND(AA150,2),0))</f>
        <v>0</v>
      </c>
      <c r="AT150">
        <f>IF(AS150&gt;=X150,1,0)</f>
        <v>0</v>
      </c>
      <c r="AU150">
        <f>IF(AS150&gt;=Y150,1,0)</f>
        <v>0</v>
      </c>
      <c r="AV150">
        <f>IF(AS150&lt;(X150-0.10),1,0)</f>
        <v>0</v>
      </c>
      <c r="AW150">
        <f>1-AM150/100</f>
        <v>0</v>
      </c>
      <c r="AX150">
        <f>IF(AQ150=1,AW150,1)</f>
        <v>0</v>
      </c>
      <c r="AY150">
        <f>IF(AP150=1,AW150,1)</f>
        <v>0</v>
      </c>
      <c r="AZ150">
        <f>IF(AND(AT150=1,ISNUMBER(AW150)),$AW150,1)</f>
        <v>0</v>
      </c>
      <c r="BA150">
        <f>IF(AND(AU150=1,ISNUMBER(AW150)),$AW150,1)</f>
        <v>0</v>
      </c>
      <c r="BB150">
        <f>IF(ISNUMBER(AB150),INDEX(AllCollegeMoney, MATCH(N150,AllCollegeNCES,0)),0)</f>
        <v>0</v>
      </c>
      <c r="BC150">
        <f>IF(AND(AT150=1,ISNUMBER(AW150),BB150=1),$AW150,1)</f>
        <v>0</v>
      </c>
      <c r="BD150">
        <f>IF(AND(AU150=1,ISNUMBER(AW150),BB150=1),$AW150,1)</f>
        <v>0</v>
      </c>
      <c r="BE150">
        <f>IF(ISNUMBER(AB150),INDEX(AllCollegeILPub, MATCH(N150,AllCollegeNCES,0)),0)</f>
        <v>0</v>
      </c>
      <c r="BF150">
        <f>IF(AN150=ReachLabel,AS150,0)</f>
        <v>0</v>
      </c>
      <c r="BG150">
        <f>IF(AN150=MatchLabel,AS150,0)</f>
        <v>0</v>
      </c>
      <c r="BH150">
        <f>IF(AN150=SafetyLabel,AS150,0)</f>
        <v>0</v>
      </c>
      <c r="BI150">
        <f>IF(AN150=SecureLabel,AS150,0)</f>
        <v>0</v>
      </c>
      <c r="BJ150">
        <f>IF(AN150=SureThingLabel,AS150,0)</f>
        <v>0</v>
      </c>
      <c r="BK150">
        <f>MAX(BF150:BJ150)</f>
        <v>0</v>
      </c>
      <c r="BL150">
        <f>MAX(BG150:BJ150)</f>
        <v>0</v>
      </c>
      <c r="BM150">
        <f>MAX(BH150:BJ150)</f>
        <v>0</v>
      </c>
      <c r="BN150">
        <f>IF(AND(AN150=ReachLabel,BB150=1),AS150,0)</f>
        <v>0</v>
      </c>
      <c r="BO150">
        <f>IF(AND(AN150=MatchLabel,BB150=1),AS150,0)</f>
        <v>0</v>
      </c>
      <c r="BP150">
        <f>IF(AND(AN150=SafetyLabel,BB150=1),AS150,0)</f>
        <v>0</v>
      </c>
      <c r="BQ150">
        <f>IF(AND(AN150=SecureLabel,BB150=1),AS150,0)</f>
        <v>0</v>
      </c>
      <c r="BR150">
        <f>IF(AND(AN150=SureThingLabel,BB150=1),AS150,0)</f>
        <v>0</v>
      </c>
      <c r="BS150">
        <f>MAX(BN150:BR150)</f>
        <v>0</v>
      </c>
      <c r="BT150">
        <f>MAX(BO150:BR150)</f>
        <v>0</v>
      </c>
      <c r="BU150">
        <f>MAX(BP150:BR150)</f>
        <v>0</v>
      </c>
      <c r="BV150">
        <f>IF(ISNUMBER(AB150),INDEX(AllCollegeChicago, MATCH(N150,AllCollegeNCES,0))*BB150,0)</f>
        <v>0</v>
      </c>
      <c r="BW150">
        <f>IF(ISNUMBER(AB150),INDEX(AllCollegeMoneyCode, MATCH(N150,AllCollegeNCES,0)),"?")</f>
        <v>0</v>
      </c>
      <c r="BX150">
        <f>IF(OR(BW150="---",BW150="--",BW150="+/--",BW150="+/---"),1,0)</f>
        <v>0</v>
      </c>
      <c r="BY150">
        <f>BB150*AR150*AT150</f>
        <v>0</v>
      </c>
    </row>
    <row r="151" spans="1:77">
      <c r="A151" t="s">
        <v>96</v>
      </c>
      <c r="B151">
        <v>22540938</v>
      </c>
      <c r="C151" t="s">
        <v>333</v>
      </c>
      <c r="D151" t="s">
        <v>334</v>
      </c>
      <c r="E151" t="s">
        <v>446</v>
      </c>
      <c r="F151" t="s">
        <v>478</v>
      </c>
      <c r="G151" t="s">
        <v>448</v>
      </c>
      <c r="H151" t="s">
        <v>449</v>
      </c>
      <c r="I151" t="s">
        <v>450</v>
      </c>
      <c r="J151" t="s">
        <v>450</v>
      </c>
      <c r="K151">
        <v>0</v>
      </c>
      <c r="L151" t="s">
        <v>446</v>
      </c>
      <c r="M151" t="s">
        <v>446</v>
      </c>
      <c r="N151">
        <v>168546</v>
      </c>
      <c r="O151">
        <f>INDEX(Counselor,MATCH(B151,KidIDs,0))</f>
        <v>0</v>
      </c>
      <c r="P151">
        <f>INDEX(Advisors,MATCH(B151,KidIDs,0))</f>
        <v>0</v>
      </c>
      <c r="Q151">
        <f>INDEX(Cohort,MATCH(B151,KidIDs,0))</f>
        <v>0</v>
      </c>
      <c r="R151">
        <f>INDEX(AllCollegeBarrons,MATCH(N151,AllCollegeNCES,0))</f>
        <v>0</v>
      </c>
      <c r="S151">
        <f>INDEX(KidGPAs,MATCH(B151,KidIDs,0))</f>
        <v>0</v>
      </c>
      <c r="T151">
        <f>INDEX(KidSATs,MATCH(B151,KidIDs,0))</f>
        <v>0</v>
      </c>
      <c r="U151">
        <f>INDEX(Strats,MATCH(B151,KidIDs,0))</f>
        <v>0</v>
      </c>
      <c r="V151">
        <f>INDEX(KidRace,MATCH(B151,KidIDs,0))</f>
        <v>0</v>
      </c>
      <c r="W151">
        <f>IF(OR(V151="M",V151="I"),"H",IF(V151="P","A",V151))</f>
        <v>0</v>
      </c>
      <c r="X151">
        <f>INDEX(StudentTargets,MATCH(B151,KidIDs,0))</f>
        <v>0</v>
      </c>
      <c r="Y151">
        <f>INDEX(ReachStudentTargets,MATCH(B151,KidIDs,0))</f>
        <v>0</v>
      </c>
      <c r="Z151">
        <f>IF(OR(M151="Posse"),1,0)</f>
        <v>0</v>
      </c>
      <c r="AA151">
        <f>IF(ISNUMBER(INDEX(AllCollegeGR, MATCH(N151,AllCollegeNCES,0))),ROUND(INDEX(AllCollegeGR, MATCH(N151,AllCollegeNCES,0))+Z151*IF(INDEX(AllCollegeGR, MATCH(N151,AllCollegeNCES,0))&gt;0.7,(1-INDEX(AllCollegeGR, MATCH(N151,AllCollegeNCES,0)))/2,0.15),2),INDEX(AllCollegeGR, MATCH(N151,AllCollegeNCES,0)))</f>
        <v>0</v>
      </c>
      <c r="AB151">
        <f>IF(ISNUMBER(INDEX(AllCollegeAAHGR, MATCH(N151,AllCollegeNCES,0))),ROUND(INDEX(AllCollegeAAHGR, MATCH(N151,AllCollegeNCES,0))+Z151*IF(INDEX(AllCollegeAAHGR, MATCH(N151,AllCollegeNCES,0))&gt;0.7,(1-INDEX(AllCollegeAAHGR, MATCH(N151,AllCollegeNCES,0)))/2,0.15),2),INDEX(AllCollegeAAHGR, MATCH(N151,AllCollegeNCES,0)))</f>
        <v>0</v>
      </c>
      <c r="AC151">
        <f>IF(OR(W151="H",W151="B"),INDEX(AllCollegeSAT25, MATCH(N151,AllCollegeNCES,0)),INDEX(AllCollegeSAT50, MATCH(N151,AllCollegeNCES,0)))</f>
        <v>0</v>
      </c>
      <c r="AD151">
        <f>INDEX(CustomWeightsGPA,MATCH(W151&amp;":"&amp;N151,CustomWeightsIndex,0))</f>
        <v>0</v>
      </c>
      <c r="AE151">
        <f>INDEX(CustomWeightsSAT,MATCH(W151&amp;":"&amp;N151,CustomWeightsIndex,0))</f>
        <v>0</v>
      </c>
      <c r="AF151">
        <f>INDEX(CustomWeightsIntercept,MATCH(W151&amp;":"&amp;N151,CustomWeightsIndex,0))</f>
        <v>0</v>
      </c>
      <c r="AG151">
        <f>AD151*S151+AE151*T151+AF151</f>
        <v>0</v>
      </c>
      <c r="AH151">
        <f>INDEX(CoefficientsGPA,MATCH(W151&amp;":"&amp;R151,CoefficientsIndex,0))</f>
        <v>0</v>
      </c>
      <c r="AI151">
        <f>INDEX(CoefficientsSAT,MATCH(W151&amp;":"&amp;R151,CoefficientsIndex,0))</f>
        <v>0</v>
      </c>
      <c r="AJ151">
        <f>INDEX(CoefficientsIntercept,MATCH(W151&amp;":"&amp;R151,CoefficientsIndex,0))</f>
        <v>0</v>
      </c>
      <c r="AK151">
        <f>AH151*S151+(T151-AC151)*AI151+AJ151</f>
        <v>0</v>
      </c>
      <c r="AL151">
        <f>IF(ISNUMBER(AG151),AG151,AK151)</f>
        <v>0</v>
      </c>
      <c r="AM151">
        <f>IF(ISNUMBER(AL151),IF(ISNUMBER(AH151),IF(AND(AH151=1,AI151=1,AJ151=1),100,MIN(99,ROUND(100*EXP(AL151)/(1+EXP(AL151)),2))),MIN(99,ROUND(100*EXP(AL151)/(1+EXP(AL151)),2))),IF(ISTEXT(R151),IF(LEFT(R151,1)="2",100,"N/A"),"N/A"))</f>
        <v>0</v>
      </c>
      <c r="AN151">
        <f>IF(ISNUMBER(AM151),IF(AM151&gt;=99,IF(OR(U151=10,U151=11),MatchLabel,SureThingLabel),IF(AM151&gt;=95,SecureLabel,IF(AM151&gt;=80,SafetyLabel,IF(AM151&gt;=50,MatchLabel,IF(AM151&gt;=20,ReachLabel,IF(AM151&gt;=10,LongshotLabel,HailMaryLabel)))))),"Other")</f>
        <v>0</v>
      </c>
      <c r="AO151">
        <f>IF(OR(I151="accepted",I151="cond. accept",I151="summer admit"),IF(J151="yes","CHOICE!","Accepted!"),IF(I151="guar. transfer","Guar. Xfer",IF(I151="denied","Denied",IF(K151=1,"Waitlist",IF(L151=1,"Deferred",IF(G151="pending","Pending",IF(OR(G151="initial materials submitted",G151="mid-year submitted",G151="final submitted"),"Submitted",IF(H151="interest","Interest","?"))))))))</f>
        <v>0</v>
      </c>
      <c r="AP151">
        <f>IF(OR(AN151=ReachLabel,AN151=LongshotLabel,AN151=HailMaryLabel),1,0)</f>
        <v>0</v>
      </c>
      <c r="AQ151">
        <f>IF(OR(AP151=1,AN151=MatchLabel),1,0)</f>
        <v>0</v>
      </c>
      <c r="AR151">
        <f>IF(OR(AN151=MatchLabel,AN151=SafetyLabel,AN151=SecureLabel,AN151=SureThingLabel),1,0)</f>
        <v>0</v>
      </c>
      <c r="AS151">
        <f>IF(OR(W151="H",W151="B",W151="I",W151="M"),IF(ISNUMBER(AB151),ROUND(AB151,2),0),IF(ISNUMBER(AA151),ROUND(AA151,2),0))</f>
        <v>0</v>
      </c>
      <c r="AT151">
        <f>IF(AS151&gt;=X151,1,0)</f>
        <v>0</v>
      </c>
      <c r="AU151">
        <f>IF(AS151&gt;=Y151,1,0)</f>
        <v>0</v>
      </c>
      <c r="AV151">
        <f>IF(AS151&lt;(X151-0.10),1,0)</f>
        <v>0</v>
      </c>
      <c r="AW151">
        <f>1-AM151/100</f>
        <v>0</v>
      </c>
      <c r="AX151">
        <f>IF(AQ151=1,AW151,1)</f>
        <v>0</v>
      </c>
      <c r="AY151">
        <f>IF(AP151=1,AW151,1)</f>
        <v>0</v>
      </c>
      <c r="AZ151">
        <f>IF(AND(AT151=1,ISNUMBER(AW151)),$AW151,1)</f>
        <v>0</v>
      </c>
      <c r="BA151">
        <f>IF(AND(AU151=1,ISNUMBER(AW151)),$AW151,1)</f>
        <v>0</v>
      </c>
      <c r="BB151">
        <f>IF(ISNUMBER(AB151),INDEX(AllCollegeMoney, MATCH(N151,AllCollegeNCES,0)),0)</f>
        <v>0</v>
      </c>
      <c r="BC151">
        <f>IF(AND(AT151=1,ISNUMBER(AW151),BB151=1),$AW151,1)</f>
        <v>0</v>
      </c>
      <c r="BD151">
        <f>IF(AND(AU151=1,ISNUMBER(AW151),BB151=1),$AW151,1)</f>
        <v>0</v>
      </c>
      <c r="BE151">
        <f>IF(ISNUMBER(AB151),INDEX(AllCollegeILPub, MATCH(N151,AllCollegeNCES,0)),0)</f>
        <v>0</v>
      </c>
      <c r="BF151">
        <f>IF(AN151=ReachLabel,AS151,0)</f>
        <v>0</v>
      </c>
      <c r="BG151">
        <f>IF(AN151=MatchLabel,AS151,0)</f>
        <v>0</v>
      </c>
      <c r="BH151">
        <f>IF(AN151=SafetyLabel,AS151,0)</f>
        <v>0</v>
      </c>
      <c r="BI151">
        <f>IF(AN151=SecureLabel,AS151,0)</f>
        <v>0</v>
      </c>
      <c r="BJ151">
        <f>IF(AN151=SureThingLabel,AS151,0)</f>
        <v>0</v>
      </c>
      <c r="BK151">
        <f>MAX(BF151:BJ151)</f>
        <v>0</v>
      </c>
      <c r="BL151">
        <f>MAX(BG151:BJ151)</f>
        <v>0</v>
      </c>
      <c r="BM151">
        <f>MAX(BH151:BJ151)</f>
        <v>0</v>
      </c>
      <c r="BN151">
        <f>IF(AND(AN151=ReachLabel,BB151=1),AS151,0)</f>
        <v>0</v>
      </c>
      <c r="BO151">
        <f>IF(AND(AN151=MatchLabel,BB151=1),AS151,0)</f>
        <v>0</v>
      </c>
      <c r="BP151">
        <f>IF(AND(AN151=SafetyLabel,BB151=1),AS151,0)</f>
        <v>0</v>
      </c>
      <c r="BQ151">
        <f>IF(AND(AN151=SecureLabel,BB151=1),AS151,0)</f>
        <v>0</v>
      </c>
      <c r="BR151">
        <f>IF(AND(AN151=SureThingLabel,BB151=1),AS151,0)</f>
        <v>0</v>
      </c>
      <c r="BS151">
        <f>MAX(BN151:BR151)</f>
        <v>0</v>
      </c>
      <c r="BT151">
        <f>MAX(BO151:BR151)</f>
        <v>0</v>
      </c>
      <c r="BU151">
        <f>MAX(BP151:BR151)</f>
        <v>0</v>
      </c>
      <c r="BV151">
        <f>IF(ISNUMBER(AB151),INDEX(AllCollegeChicago, MATCH(N151,AllCollegeNCES,0))*BB151,0)</f>
        <v>0</v>
      </c>
      <c r="BW151">
        <f>IF(ISNUMBER(AB151),INDEX(AllCollegeMoneyCode, MATCH(N151,AllCollegeNCES,0)),"?")</f>
        <v>0</v>
      </c>
      <c r="BX151">
        <f>IF(OR(BW151="---",BW151="--",BW151="+/--",BW151="+/---"),1,0)</f>
        <v>0</v>
      </c>
      <c r="BY151">
        <f>BB151*AR151*AT151</f>
        <v>0</v>
      </c>
    </row>
    <row r="152" spans="1:77">
      <c r="A152" t="s">
        <v>96</v>
      </c>
      <c r="B152">
        <v>22540938</v>
      </c>
      <c r="C152" t="s">
        <v>333</v>
      </c>
      <c r="D152" t="s">
        <v>334</v>
      </c>
      <c r="E152" t="s">
        <v>446</v>
      </c>
      <c r="F152" t="s">
        <v>502</v>
      </c>
      <c r="G152" t="s">
        <v>448</v>
      </c>
      <c r="H152" t="s">
        <v>449</v>
      </c>
      <c r="I152" t="s">
        <v>450</v>
      </c>
      <c r="J152" t="s">
        <v>450</v>
      </c>
      <c r="K152">
        <v>0</v>
      </c>
      <c r="L152" t="s">
        <v>446</v>
      </c>
      <c r="M152" t="s">
        <v>446</v>
      </c>
      <c r="N152">
        <v>170082</v>
      </c>
      <c r="O152">
        <f>INDEX(Counselor,MATCH(B152,KidIDs,0))</f>
        <v>0</v>
      </c>
      <c r="P152">
        <f>INDEX(Advisors,MATCH(B152,KidIDs,0))</f>
        <v>0</v>
      </c>
      <c r="Q152">
        <f>INDEX(Cohort,MATCH(B152,KidIDs,0))</f>
        <v>0</v>
      </c>
      <c r="R152">
        <f>INDEX(AllCollegeBarrons,MATCH(N152,AllCollegeNCES,0))</f>
        <v>0</v>
      </c>
      <c r="S152">
        <f>INDEX(KidGPAs,MATCH(B152,KidIDs,0))</f>
        <v>0</v>
      </c>
      <c r="T152">
        <f>INDEX(KidSATs,MATCH(B152,KidIDs,0))</f>
        <v>0</v>
      </c>
      <c r="U152">
        <f>INDEX(Strats,MATCH(B152,KidIDs,0))</f>
        <v>0</v>
      </c>
      <c r="V152">
        <f>INDEX(KidRace,MATCH(B152,KidIDs,0))</f>
        <v>0</v>
      </c>
      <c r="W152">
        <f>IF(OR(V152="M",V152="I"),"H",IF(V152="P","A",V152))</f>
        <v>0</v>
      </c>
      <c r="X152">
        <f>INDEX(StudentTargets,MATCH(B152,KidIDs,0))</f>
        <v>0</v>
      </c>
      <c r="Y152">
        <f>INDEX(ReachStudentTargets,MATCH(B152,KidIDs,0))</f>
        <v>0</v>
      </c>
      <c r="Z152">
        <f>IF(OR(M152="Posse"),1,0)</f>
        <v>0</v>
      </c>
      <c r="AA152">
        <f>IF(ISNUMBER(INDEX(AllCollegeGR, MATCH(N152,AllCollegeNCES,0))),ROUND(INDEX(AllCollegeGR, MATCH(N152,AllCollegeNCES,0))+Z152*IF(INDEX(AllCollegeGR, MATCH(N152,AllCollegeNCES,0))&gt;0.7,(1-INDEX(AllCollegeGR, MATCH(N152,AllCollegeNCES,0)))/2,0.15),2),INDEX(AllCollegeGR, MATCH(N152,AllCollegeNCES,0)))</f>
        <v>0</v>
      </c>
      <c r="AB152">
        <f>IF(ISNUMBER(INDEX(AllCollegeAAHGR, MATCH(N152,AllCollegeNCES,0))),ROUND(INDEX(AllCollegeAAHGR, MATCH(N152,AllCollegeNCES,0))+Z152*IF(INDEX(AllCollegeAAHGR, MATCH(N152,AllCollegeNCES,0))&gt;0.7,(1-INDEX(AllCollegeAAHGR, MATCH(N152,AllCollegeNCES,0)))/2,0.15),2),INDEX(AllCollegeAAHGR, MATCH(N152,AllCollegeNCES,0)))</f>
        <v>0</v>
      </c>
      <c r="AC152">
        <f>IF(OR(W152="H",W152="B"),INDEX(AllCollegeSAT25, MATCH(N152,AllCollegeNCES,0)),INDEX(AllCollegeSAT50, MATCH(N152,AllCollegeNCES,0)))</f>
        <v>0</v>
      </c>
      <c r="AD152">
        <f>INDEX(CustomWeightsGPA,MATCH(W152&amp;":"&amp;N152,CustomWeightsIndex,0))</f>
        <v>0</v>
      </c>
      <c r="AE152">
        <f>INDEX(CustomWeightsSAT,MATCH(W152&amp;":"&amp;N152,CustomWeightsIndex,0))</f>
        <v>0</v>
      </c>
      <c r="AF152">
        <f>INDEX(CustomWeightsIntercept,MATCH(W152&amp;":"&amp;N152,CustomWeightsIndex,0))</f>
        <v>0</v>
      </c>
      <c r="AG152">
        <f>AD152*S152+AE152*T152+AF152</f>
        <v>0</v>
      </c>
      <c r="AH152">
        <f>INDEX(CoefficientsGPA,MATCH(W152&amp;":"&amp;R152,CoefficientsIndex,0))</f>
        <v>0</v>
      </c>
      <c r="AI152">
        <f>INDEX(CoefficientsSAT,MATCH(W152&amp;":"&amp;R152,CoefficientsIndex,0))</f>
        <v>0</v>
      </c>
      <c r="AJ152">
        <f>INDEX(CoefficientsIntercept,MATCH(W152&amp;":"&amp;R152,CoefficientsIndex,0))</f>
        <v>0</v>
      </c>
      <c r="AK152">
        <f>AH152*S152+(T152-AC152)*AI152+AJ152</f>
        <v>0</v>
      </c>
      <c r="AL152">
        <f>IF(ISNUMBER(AG152),AG152,AK152)</f>
        <v>0</v>
      </c>
      <c r="AM152">
        <f>IF(ISNUMBER(AL152),IF(ISNUMBER(AH152),IF(AND(AH152=1,AI152=1,AJ152=1),100,MIN(99,ROUND(100*EXP(AL152)/(1+EXP(AL152)),2))),MIN(99,ROUND(100*EXP(AL152)/(1+EXP(AL152)),2))),IF(ISTEXT(R152),IF(LEFT(R152,1)="2",100,"N/A"),"N/A"))</f>
        <v>0</v>
      </c>
      <c r="AN152">
        <f>IF(ISNUMBER(AM152),IF(AM152&gt;=99,IF(OR(U152=10,U152=11),MatchLabel,SureThingLabel),IF(AM152&gt;=95,SecureLabel,IF(AM152&gt;=80,SafetyLabel,IF(AM152&gt;=50,MatchLabel,IF(AM152&gt;=20,ReachLabel,IF(AM152&gt;=10,LongshotLabel,HailMaryLabel)))))),"Other")</f>
        <v>0</v>
      </c>
      <c r="AO152">
        <f>IF(OR(I152="accepted",I152="cond. accept",I152="summer admit"),IF(J152="yes","CHOICE!","Accepted!"),IF(I152="guar. transfer","Guar. Xfer",IF(I152="denied","Denied",IF(K152=1,"Waitlist",IF(L152=1,"Deferred",IF(G152="pending","Pending",IF(OR(G152="initial materials submitted",G152="mid-year submitted",G152="final submitted"),"Submitted",IF(H152="interest","Interest","?"))))))))</f>
        <v>0</v>
      </c>
      <c r="AP152">
        <f>IF(OR(AN152=ReachLabel,AN152=LongshotLabel,AN152=HailMaryLabel),1,0)</f>
        <v>0</v>
      </c>
      <c r="AQ152">
        <f>IF(OR(AP152=1,AN152=MatchLabel),1,0)</f>
        <v>0</v>
      </c>
      <c r="AR152">
        <f>IF(OR(AN152=MatchLabel,AN152=SafetyLabel,AN152=SecureLabel,AN152=SureThingLabel),1,0)</f>
        <v>0</v>
      </c>
      <c r="AS152">
        <f>IF(OR(W152="H",W152="B",W152="I",W152="M"),IF(ISNUMBER(AB152),ROUND(AB152,2),0),IF(ISNUMBER(AA152),ROUND(AA152,2),0))</f>
        <v>0</v>
      </c>
      <c r="AT152">
        <f>IF(AS152&gt;=X152,1,0)</f>
        <v>0</v>
      </c>
      <c r="AU152">
        <f>IF(AS152&gt;=Y152,1,0)</f>
        <v>0</v>
      </c>
      <c r="AV152">
        <f>IF(AS152&lt;(X152-0.10),1,0)</f>
        <v>0</v>
      </c>
      <c r="AW152">
        <f>1-AM152/100</f>
        <v>0</v>
      </c>
      <c r="AX152">
        <f>IF(AQ152=1,AW152,1)</f>
        <v>0</v>
      </c>
      <c r="AY152">
        <f>IF(AP152=1,AW152,1)</f>
        <v>0</v>
      </c>
      <c r="AZ152">
        <f>IF(AND(AT152=1,ISNUMBER(AW152)),$AW152,1)</f>
        <v>0</v>
      </c>
      <c r="BA152">
        <f>IF(AND(AU152=1,ISNUMBER(AW152)),$AW152,1)</f>
        <v>0</v>
      </c>
      <c r="BB152">
        <f>IF(ISNUMBER(AB152),INDEX(AllCollegeMoney, MATCH(N152,AllCollegeNCES,0)),0)</f>
        <v>0</v>
      </c>
      <c r="BC152">
        <f>IF(AND(AT152=1,ISNUMBER(AW152),BB152=1),$AW152,1)</f>
        <v>0</v>
      </c>
      <c r="BD152">
        <f>IF(AND(AU152=1,ISNUMBER(AW152),BB152=1),$AW152,1)</f>
        <v>0</v>
      </c>
      <c r="BE152">
        <f>IF(ISNUMBER(AB152),INDEX(AllCollegeILPub, MATCH(N152,AllCollegeNCES,0)),0)</f>
        <v>0</v>
      </c>
      <c r="BF152">
        <f>IF(AN152=ReachLabel,AS152,0)</f>
        <v>0</v>
      </c>
      <c r="BG152">
        <f>IF(AN152=MatchLabel,AS152,0)</f>
        <v>0</v>
      </c>
      <c r="BH152">
        <f>IF(AN152=SafetyLabel,AS152,0)</f>
        <v>0</v>
      </c>
      <c r="BI152">
        <f>IF(AN152=SecureLabel,AS152,0)</f>
        <v>0</v>
      </c>
      <c r="BJ152">
        <f>IF(AN152=SureThingLabel,AS152,0)</f>
        <v>0</v>
      </c>
      <c r="BK152">
        <f>MAX(BF152:BJ152)</f>
        <v>0</v>
      </c>
      <c r="BL152">
        <f>MAX(BG152:BJ152)</f>
        <v>0</v>
      </c>
      <c r="BM152">
        <f>MAX(BH152:BJ152)</f>
        <v>0</v>
      </c>
      <c r="BN152">
        <f>IF(AND(AN152=ReachLabel,BB152=1),AS152,0)</f>
        <v>0</v>
      </c>
      <c r="BO152">
        <f>IF(AND(AN152=MatchLabel,BB152=1),AS152,0)</f>
        <v>0</v>
      </c>
      <c r="BP152">
        <f>IF(AND(AN152=SafetyLabel,BB152=1),AS152,0)</f>
        <v>0</v>
      </c>
      <c r="BQ152">
        <f>IF(AND(AN152=SecureLabel,BB152=1),AS152,0)</f>
        <v>0</v>
      </c>
      <c r="BR152">
        <f>IF(AND(AN152=SureThingLabel,BB152=1),AS152,0)</f>
        <v>0</v>
      </c>
      <c r="BS152">
        <f>MAX(BN152:BR152)</f>
        <v>0</v>
      </c>
      <c r="BT152">
        <f>MAX(BO152:BR152)</f>
        <v>0</v>
      </c>
      <c r="BU152">
        <f>MAX(BP152:BR152)</f>
        <v>0</v>
      </c>
      <c r="BV152">
        <f>IF(ISNUMBER(AB152),INDEX(AllCollegeChicago, MATCH(N152,AllCollegeNCES,0))*BB152,0)</f>
        <v>0</v>
      </c>
      <c r="BW152">
        <f>IF(ISNUMBER(AB152),INDEX(AllCollegeMoneyCode, MATCH(N152,AllCollegeNCES,0)),"?")</f>
        <v>0</v>
      </c>
      <c r="BX152">
        <f>IF(OR(BW152="---",BW152="--",BW152="+/--",BW152="+/---"),1,0)</f>
        <v>0</v>
      </c>
      <c r="BY152">
        <f>BB152*AR152*AT152</f>
        <v>0</v>
      </c>
    </row>
    <row r="153" spans="1:77">
      <c r="A153" t="s">
        <v>96</v>
      </c>
      <c r="B153">
        <v>22540938</v>
      </c>
      <c r="C153" t="s">
        <v>333</v>
      </c>
      <c r="D153" t="s">
        <v>334</v>
      </c>
      <c r="E153" t="s">
        <v>446</v>
      </c>
      <c r="F153" t="s">
        <v>518</v>
      </c>
      <c r="G153" t="s">
        <v>448</v>
      </c>
      <c r="H153" t="s">
        <v>449</v>
      </c>
      <c r="I153" t="s">
        <v>450</v>
      </c>
      <c r="J153" t="s">
        <v>450</v>
      </c>
      <c r="K153">
        <v>0</v>
      </c>
      <c r="L153" t="s">
        <v>446</v>
      </c>
      <c r="M153" t="s">
        <v>446</v>
      </c>
      <c r="N153">
        <v>145725</v>
      </c>
      <c r="O153">
        <f>INDEX(Counselor,MATCH(B153,KidIDs,0))</f>
        <v>0</v>
      </c>
      <c r="P153">
        <f>INDEX(Advisors,MATCH(B153,KidIDs,0))</f>
        <v>0</v>
      </c>
      <c r="Q153">
        <f>INDEX(Cohort,MATCH(B153,KidIDs,0))</f>
        <v>0</v>
      </c>
      <c r="R153">
        <f>INDEX(AllCollegeBarrons,MATCH(N153,AllCollegeNCES,0))</f>
        <v>0</v>
      </c>
      <c r="S153">
        <f>INDEX(KidGPAs,MATCH(B153,KidIDs,0))</f>
        <v>0</v>
      </c>
      <c r="T153">
        <f>INDEX(KidSATs,MATCH(B153,KidIDs,0))</f>
        <v>0</v>
      </c>
      <c r="U153">
        <f>INDEX(Strats,MATCH(B153,KidIDs,0))</f>
        <v>0</v>
      </c>
      <c r="V153">
        <f>INDEX(KidRace,MATCH(B153,KidIDs,0))</f>
        <v>0</v>
      </c>
      <c r="W153">
        <f>IF(OR(V153="M",V153="I"),"H",IF(V153="P","A",V153))</f>
        <v>0</v>
      </c>
      <c r="X153">
        <f>INDEX(StudentTargets,MATCH(B153,KidIDs,0))</f>
        <v>0</v>
      </c>
      <c r="Y153">
        <f>INDEX(ReachStudentTargets,MATCH(B153,KidIDs,0))</f>
        <v>0</v>
      </c>
      <c r="Z153">
        <f>IF(OR(M153="Posse"),1,0)</f>
        <v>0</v>
      </c>
      <c r="AA153">
        <f>IF(ISNUMBER(INDEX(AllCollegeGR, MATCH(N153,AllCollegeNCES,0))),ROUND(INDEX(AllCollegeGR, MATCH(N153,AllCollegeNCES,0))+Z153*IF(INDEX(AllCollegeGR, MATCH(N153,AllCollegeNCES,0))&gt;0.7,(1-INDEX(AllCollegeGR, MATCH(N153,AllCollegeNCES,0)))/2,0.15),2),INDEX(AllCollegeGR, MATCH(N153,AllCollegeNCES,0)))</f>
        <v>0</v>
      </c>
      <c r="AB153">
        <f>IF(ISNUMBER(INDEX(AllCollegeAAHGR, MATCH(N153,AllCollegeNCES,0))),ROUND(INDEX(AllCollegeAAHGR, MATCH(N153,AllCollegeNCES,0))+Z153*IF(INDEX(AllCollegeAAHGR, MATCH(N153,AllCollegeNCES,0))&gt;0.7,(1-INDEX(AllCollegeAAHGR, MATCH(N153,AllCollegeNCES,0)))/2,0.15),2),INDEX(AllCollegeAAHGR, MATCH(N153,AllCollegeNCES,0)))</f>
        <v>0</v>
      </c>
      <c r="AC153">
        <f>IF(OR(W153="H",W153="B"),INDEX(AllCollegeSAT25, MATCH(N153,AllCollegeNCES,0)),INDEX(AllCollegeSAT50, MATCH(N153,AllCollegeNCES,0)))</f>
        <v>0</v>
      </c>
      <c r="AD153">
        <f>INDEX(CustomWeightsGPA,MATCH(W153&amp;":"&amp;N153,CustomWeightsIndex,0))</f>
        <v>0</v>
      </c>
      <c r="AE153">
        <f>INDEX(CustomWeightsSAT,MATCH(W153&amp;":"&amp;N153,CustomWeightsIndex,0))</f>
        <v>0</v>
      </c>
      <c r="AF153">
        <f>INDEX(CustomWeightsIntercept,MATCH(W153&amp;":"&amp;N153,CustomWeightsIndex,0))</f>
        <v>0</v>
      </c>
      <c r="AG153">
        <f>AD153*S153+AE153*T153+AF153</f>
        <v>0</v>
      </c>
      <c r="AH153">
        <f>INDEX(CoefficientsGPA,MATCH(W153&amp;":"&amp;R153,CoefficientsIndex,0))</f>
        <v>0</v>
      </c>
      <c r="AI153">
        <f>INDEX(CoefficientsSAT,MATCH(W153&amp;":"&amp;R153,CoefficientsIndex,0))</f>
        <v>0</v>
      </c>
      <c r="AJ153">
        <f>INDEX(CoefficientsIntercept,MATCH(W153&amp;":"&amp;R153,CoefficientsIndex,0))</f>
        <v>0</v>
      </c>
      <c r="AK153">
        <f>AH153*S153+(T153-AC153)*AI153+AJ153</f>
        <v>0</v>
      </c>
      <c r="AL153">
        <f>IF(ISNUMBER(AG153),AG153,AK153)</f>
        <v>0</v>
      </c>
      <c r="AM153">
        <f>IF(ISNUMBER(AL153),IF(ISNUMBER(AH153),IF(AND(AH153=1,AI153=1,AJ153=1),100,MIN(99,ROUND(100*EXP(AL153)/(1+EXP(AL153)),2))),MIN(99,ROUND(100*EXP(AL153)/(1+EXP(AL153)),2))),IF(ISTEXT(R153),IF(LEFT(R153,1)="2",100,"N/A"),"N/A"))</f>
        <v>0</v>
      </c>
      <c r="AN153">
        <f>IF(ISNUMBER(AM153),IF(AM153&gt;=99,IF(OR(U153=10,U153=11),MatchLabel,SureThingLabel),IF(AM153&gt;=95,SecureLabel,IF(AM153&gt;=80,SafetyLabel,IF(AM153&gt;=50,MatchLabel,IF(AM153&gt;=20,ReachLabel,IF(AM153&gt;=10,LongshotLabel,HailMaryLabel)))))),"Other")</f>
        <v>0</v>
      </c>
      <c r="AO153">
        <f>IF(OR(I153="accepted",I153="cond. accept",I153="summer admit"),IF(J153="yes","CHOICE!","Accepted!"),IF(I153="guar. transfer","Guar. Xfer",IF(I153="denied","Denied",IF(K153=1,"Waitlist",IF(L153=1,"Deferred",IF(G153="pending","Pending",IF(OR(G153="initial materials submitted",G153="mid-year submitted",G153="final submitted"),"Submitted",IF(H153="interest","Interest","?"))))))))</f>
        <v>0</v>
      </c>
      <c r="AP153">
        <f>IF(OR(AN153=ReachLabel,AN153=LongshotLabel,AN153=HailMaryLabel),1,0)</f>
        <v>0</v>
      </c>
      <c r="AQ153">
        <f>IF(OR(AP153=1,AN153=MatchLabel),1,0)</f>
        <v>0</v>
      </c>
      <c r="AR153">
        <f>IF(OR(AN153=MatchLabel,AN153=SafetyLabel,AN153=SecureLabel,AN153=SureThingLabel),1,0)</f>
        <v>0</v>
      </c>
      <c r="AS153">
        <f>IF(OR(W153="H",W153="B",W153="I",W153="M"),IF(ISNUMBER(AB153),ROUND(AB153,2),0),IF(ISNUMBER(AA153),ROUND(AA153,2),0))</f>
        <v>0</v>
      </c>
      <c r="AT153">
        <f>IF(AS153&gt;=X153,1,0)</f>
        <v>0</v>
      </c>
      <c r="AU153">
        <f>IF(AS153&gt;=Y153,1,0)</f>
        <v>0</v>
      </c>
      <c r="AV153">
        <f>IF(AS153&lt;(X153-0.10),1,0)</f>
        <v>0</v>
      </c>
      <c r="AW153">
        <f>1-AM153/100</f>
        <v>0</v>
      </c>
      <c r="AX153">
        <f>IF(AQ153=1,AW153,1)</f>
        <v>0</v>
      </c>
      <c r="AY153">
        <f>IF(AP153=1,AW153,1)</f>
        <v>0</v>
      </c>
      <c r="AZ153">
        <f>IF(AND(AT153=1,ISNUMBER(AW153)),$AW153,1)</f>
        <v>0</v>
      </c>
      <c r="BA153">
        <f>IF(AND(AU153=1,ISNUMBER(AW153)),$AW153,1)</f>
        <v>0</v>
      </c>
      <c r="BB153">
        <f>IF(ISNUMBER(AB153),INDEX(AllCollegeMoney, MATCH(N153,AllCollegeNCES,0)),0)</f>
        <v>0</v>
      </c>
      <c r="BC153">
        <f>IF(AND(AT153=1,ISNUMBER(AW153),BB153=1),$AW153,1)</f>
        <v>0</v>
      </c>
      <c r="BD153">
        <f>IF(AND(AU153=1,ISNUMBER(AW153),BB153=1),$AW153,1)</f>
        <v>0</v>
      </c>
      <c r="BE153">
        <f>IF(ISNUMBER(AB153),INDEX(AllCollegeILPub, MATCH(N153,AllCollegeNCES,0)),0)</f>
        <v>0</v>
      </c>
      <c r="BF153">
        <f>IF(AN153=ReachLabel,AS153,0)</f>
        <v>0</v>
      </c>
      <c r="BG153">
        <f>IF(AN153=MatchLabel,AS153,0)</f>
        <v>0</v>
      </c>
      <c r="BH153">
        <f>IF(AN153=SafetyLabel,AS153,0)</f>
        <v>0</v>
      </c>
      <c r="BI153">
        <f>IF(AN153=SecureLabel,AS153,0)</f>
        <v>0</v>
      </c>
      <c r="BJ153">
        <f>IF(AN153=SureThingLabel,AS153,0)</f>
        <v>0</v>
      </c>
      <c r="BK153">
        <f>MAX(BF153:BJ153)</f>
        <v>0</v>
      </c>
      <c r="BL153">
        <f>MAX(BG153:BJ153)</f>
        <v>0</v>
      </c>
      <c r="BM153">
        <f>MAX(BH153:BJ153)</f>
        <v>0</v>
      </c>
      <c r="BN153">
        <f>IF(AND(AN153=ReachLabel,BB153=1),AS153,0)</f>
        <v>0</v>
      </c>
      <c r="BO153">
        <f>IF(AND(AN153=MatchLabel,BB153=1),AS153,0)</f>
        <v>0</v>
      </c>
      <c r="BP153">
        <f>IF(AND(AN153=SafetyLabel,BB153=1),AS153,0)</f>
        <v>0</v>
      </c>
      <c r="BQ153">
        <f>IF(AND(AN153=SecureLabel,BB153=1),AS153,0)</f>
        <v>0</v>
      </c>
      <c r="BR153">
        <f>IF(AND(AN153=SureThingLabel,BB153=1),AS153,0)</f>
        <v>0</v>
      </c>
      <c r="BS153">
        <f>MAX(BN153:BR153)</f>
        <v>0</v>
      </c>
      <c r="BT153">
        <f>MAX(BO153:BR153)</f>
        <v>0</v>
      </c>
      <c r="BU153">
        <f>MAX(BP153:BR153)</f>
        <v>0</v>
      </c>
      <c r="BV153">
        <f>IF(ISNUMBER(AB153),INDEX(AllCollegeChicago, MATCH(N153,AllCollegeNCES,0))*BB153,0)</f>
        <v>0</v>
      </c>
      <c r="BW153">
        <f>IF(ISNUMBER(AB153),INDEX(AllCollegeMoneyCode, MATCH(N153,AllCollegeNCES,0)),"?")</f>
        <v>0</v>
      </c>
      <c r="BX153">
        <f>IF(OR(BW153="---",BW153="--",BW153="+/--",BW153="+/---"),1,0)</f>
        <v>0</v>
      </c>
      <c r="BY153">
        <f>BB153*AR153*AT153</f>
        <v>0</v>
      </c>
    </row>
    <row r="154" spans="1:77">
      <c r="A154" t="s">
        <v>96</v>
      </c>
      <c r="B154">
        <v>22540938</v>
      </c>
      <c r="C154" t="s">
        <v>333</v>
      </c>
      <c r="D154" t="s">
        <v>334</v>
      </c>
      <c r="E154" t="s">
        <v>446</v>
      </c>
      <c r="F154" t="s">
        <v>519</v>
      </c>
      <c r="G154" t="s">
        <v>448</v>
      </c>
      <c r="H154" t="s">
        <v>449</v>
      </c>
      <c r="I154" t="s">
        <v>450</v>
      </c>
      <c r="J154" t="s">
        <v>450</v>
      </c>
      <c r="K154">
        <v>0</v>
      </c>
      <c r="L154" t="s">
        <v>446</v>
      </c>
      <c r="M154" t="s">
        <v>446</v>
      </c>
      <c r="N154">
        <v>145813</v>
      </c>
      <c r="O154">
        <f>INDEX(Counselor,MATCH(B154,KidIDs,0))</f>
        <v>0</v>
      </c>
      <c r="P154">
        <f>INDEX(Advisors,MATCH(B154,KidIDs,0))</f>
        <v>0</v>
      </c>
      <c r="Q154">
        <f>INDEX(Cohort,MATCH(B154,KidIDs,0))</f>
        <v>0</v>
      </c>
      <c r="R154">
        <f>INDEX(AllCollegeBarrons,MATCH(N154,AllCollegeNCES,0))</f>
        <v>0</v>
      </c>
      <c r="S154">
        <f>INDEX(KidGPAs,MATCH(B154,KidIDs,0))</f>
        <v>0</v>
      </c>
      <c r="T154">
        <f>INDEX(KidSATs,MATCH(B154,KidIDs,0))</f>
        <v>0</v>
      </c>
      <c r="U154">
        <f>INDEX(Strats,MATCH(B154,KidIDs,0))</f>
        <v>0</v>
      </c>
      <c r="V154">
        <f>INDEX(KidRace,MATCH(B154,KidIDs,0))</f>
        <v>0</v>
      </c>
      <c r="W154">
        <f>IF(OR(V154="M",V154="I"),"H",IF(V154="P","A",V154))</f>
        <v>0</v>
      </c>
      <c r="X154">
        <f>INDEX(StudentTargets,MATCH(B154,KidIDs,0))</f>
        <v>0</v>
      </c>
      <c r="Y154">
        <f>INDEX(ReachStudentTargets,MATCH(B154,KidIDs,0))</f>
        <v>0</v>
      </c>
      <c r="Z154">
        <f>IF(OR(M154="Posse"),1,0)</f>
        <v>0</v>
      </c>
      <c r="AA154">
        <f>IF(ISNUMBER(INDEX(AllCollegeGR, MATCH(N154,AllCollegeNCES,0))),ROUND(INDEX(AllCollegeGR, MATCH(N154,AllCollegeNCES,0))+Z154*IF(INDEX(AllCollegeGR, MATCH(N154,AllCollegeNCES,0))&gt;0.7,(1-INDEX(AllCollegeGR, MATCH(N154,AllCollegeNCES,0)))/2,0.15),2),INDEX(AllCollegeGR, MATCH(N154,AllCollegeNCES,0)))</f>
        <v>0</v>
      </c>
      <c r="AB154">
        <f>IF(ISNUMBER(INDEX(AllCollegeAAHGR, MATCH(N154,AllCollegeNCES,0))),ROUND(INDEX(AllCollegeAAHGR, MATCH(N154,AllCollegeNCES,0))+Z154*IF(INDEX(AllCollegeAAHGR, MATCH(N154,AllCollegeNCES,0))&gt;0.7,(1-INDEX(AllCollegeAAHGR, MATCH(N154,AllCollegeNCES,0)))/2,0.15),2),INDEX(AllCollegeAAHGR, MATCH(N154,AllCollegeNCES,0)))</f>
        <v>0</v>
      </c>
      <c r="AC154">
        <f>IF(OR(W154="H",W154="B"),INDEX(AllCollegeSAT25, MATCH(N154,AllCollegeNCES,0)),INDEX(AllCollegeSAT50, MATCH(N154,AllCollegeNCES,0)))</f>
        <v>0</v>
      </c>
      <c r="AD154">
        <f>INDEX(CustomWeightsGPA,MATCH(W154&amp;":"&amp;N154,CustomWeightsIndex,0))</f>
        <v>0</v>
      </c>
      <c r="AE154">
        <f>INDEX(CustomWeightsSAT,MATCH(W154&amp;":"&amp;N154,CustomWeightsIndex,0))</f>
        <v>0</v>
      </c>
      <c r="AF154">
        <f>INDEX(CustomWeightsIntercept,MATCH(W154&amp;":"&amp;N154,CustomWeightsIndex,0))</f>
        <v>0</v>
      </c>
      <c r="AG154">
        <f>AD154*S154+AE154*T154+AF154</f>
        <v>0</v>
      </c>
      <c r="AH154">
        <f>INDEX(CoefficientsGPA,MATCH(W154&amp;":"&amp;R154,CoefficientsIndex,0))</f>
        <v>0</v>
      </c>
      <c r="AI154">
        <f>INDEX(CoefficientsSAT,MATCH(W154&amp;":"&amp;R154,CoefficientsIndex,0))</f>
        <v>0</v>
      </c>
      <c r="AJ154">
        <f>INDEX(CoefficientsIntercept,MATCH(W154&amp;":"&amp;R154,CoefficientsIndex,0))</f>
        <v>0</v>
      </c>
      <c r="AK154">
        <f>AH154*S154+(T154-AC154)*AI154+AJ154</f>
        <v>0</v>
      </c>
      <c r="AL154">
        <f>IF(ISNUMBER(AG154),AG154,AK154)</f>
        <v>0</v>
      </c>
      <c r="AM154">
        <f>IF(ISNUMBER(AL154),IF(ISNUMBER(AH154),IF(AND(AH154=1,AI154=1,AJ154=1),100,MIN(99,ROUND(100*EXP(AL154)/(1+EXP(AL154)),2))),MIN(99,ROUND(100*EXP(AL154)/(1+EXP(AL154)),2))),IF(ISTEXT(R154),IF(LEFT(R154,1)="2",100,"N/A"),"N/A"))</f>
        <v>0</v>
      </c>
      <c r="AN154">
        <f>IF(ISNUMBER(AM154),IF(AM154&gt;=99,IF(OR(U154=10,U154=11),MatchLabel,SureThingLabel),IF(AM154&gt;=95,SecureLabel,IF(AM154&gt;=80,SafetyLabel,IF(AM154&gt;=50,MatchLabel,IF(AM154&gt;=20,ReachLabel,IF(AM154&gt;=10,LongshotLabel,HailMaryLabel)))))),"Other")</f>
        <v>0</v>
      </c>
      <c r="AO154">
        <f>IF(OR(I154="accepted",I154="cond. accept",I154="summer admit"),IF(J154="yes","CHOICE!","Accepted!"),IF(I154="guar. transfer","Guar. Xfer",IF(I154="denied","Denied",IF(K154=1,"Waitlist",IF(L154=1,"Deferred",IF(G154="pending","Pending",IF(OR(G154="initial materials submitted",G154="mid-year submitted",G154="final submitted"),"Submitted",IF(H154="interest","Interest","?"))))))))</f>
        <v>0</v>
      </c>
      <c r="AP154">
        <f>IF(OR(AN154=ReachLabel,AN154=LongshotLabel,AN154=HailMaryLabel),1,0)</f>
        <v>0</v>
      </c>
      <c r="AQ154">
        <f>IF(OR(AP154=1,AN154=MatchLabel),1,0)</f>
        <v>0</v>
      </c>
      <c r="AR154">
        <f>IF(OR(AN154=MatchLabel,AN154=SafetyLabel,AN154=SecureLabel,AN154=SureThingLabel),1,0)</f>
        <v>0</v>
      </c>
      <c r="AS154">
        <f>IF(OR(W154="H",W154="B",W154="I",W154="M"),IF(ISNUMBER(AB154),ROUND(AB154,2),0),IF(ISNUMBER(AA154),ROUND(AA154,2),0))</f>
        <v>0</v>
      </c>
      <c r="AT154">
        <f>IF(AS154&gt;=X154,1,0)</f>
        <v>0</v>
      </c>
      <c r="AU154">
        <f>IF(AS154&gt;=Y154,1,0)</f>
        <v>0</v>
      </c>
      <c r="AV154">
        <f>IF(AS154&lt;(X154-0.10),1,0)</f>
        <v>0</v>
      </c>
      <c r="AW154">
        <f>1-AM154/100</f>
        <v>0</v>
      </c>
      <c r="AX154">
        <f>IF(AQ154=1,AW154,1)</f>
        <v>0</v>
      </c>
      <c r="AY154">
        <f>IF(AP154=1,AW154,1)</f>
        <v>0</v>
      </c>
      <c r="AZ154">
        <f>IF(AND(AT154=1,ISNUMBER(AW154)),$AW154,1)</f>
        <v>0</v>
      </c>
      <c r="BA154">
        <f>IF(AND(AU154=1,ISNUMBER(AW154)),$AW154,1)</f>
        <v>0</v>
      </c>
      <c r="BB154">
        <f>IF(ISNUMBER(AB154),INDEX(AllCollegeMoney, MATCH(N154,AllCollegeNCES,0)),0)</f>
        <v>0</v>
      </c>
      <c r="BC154">
        <f>IF(AND(AT154=1,ISNUMBER(AW154),BB154=1),$AW154,1)</f>
        <v>0</v>
      </c>
      <c r="BD154">
        <f>IF(AND(AU154=1,ISNUMBER(AW154),BB154=1),$AW154,1)</f>
        <v>0</v>
      </c>
      <c r="BE154">
        <f>IF(ISNUMBER(AB154),INDEX(AllCollegeILPub, MATCH(N154,AllCollegeNCES,0)),0)</f>
        <v>0</v>
      </c>
      <c r="BF154">
        <f>IF(AN154=ReachLabel,AS154,0)</f>
        <v>0</v>
      </c>
      <c r="BG154">
        <f>IF(AN154=MatchLabel,AS154,0)</f>
        <v>0</v>
      </c>
      <c r="BH154">
        <f>IF(AN154=SafetyLabel,AS154,0)</f>
        <v>0</v>
      </c>
      <c r="BI154">
        <f>IF(AN154=SecureLabel,AS154,0)</f>
        <v>0</v>
      </c>
      <c r="BJ154">
        <f>IF(AN154=SureThingLabel,AS154,0)</f>
        <v>0</v>
      </c>
      <c r="BK154">
        <f>MAX(BF154:BJ154)</f>
        <v>0</v>
      </c>
      <c r="BL154">
        <f>MAX(BG154:BJ154)</f>
        <v>0</v>
      </c>
      <c r="BM154">
        <f>MAX(BH154:BJ154)</f>
        <v>0</v>
      </c>
      <c r="BN154">
        <f>IF(AND(AN154=ReachLabel,BB154=1),AS154,0)</f>
        <v>0</v>
      </c>
      <c r="BO154">
        <f>IF(AND(AN154=MatchLabel,BB154=1),AS154,0)</f>
        <v>0</v>
      </c>
      <c r="BP154">
        <f>IF(AND(AN154=SafetyLabel,BB154=1),AS154,0)</f>
        <v>0</v>
      </c>
      <c r="BQ154">
        <f>IF(AND(AN154=SecureLabel,BB154=1),AS154,0)</f>
        <v>0</v>
      </c>
      <c r="BR154">
        <f>IF(AND(AN154=SureThingLabel,BB154=1),AS154,0)</f>
        <v>0</v>
      </c>
      <c r="BS154">
        <f>MAX(BN154:BR154)</f>
        <v>0</v>
      </c>
      <c r="BT154">
        <f>MAX(BO154:BR154)</f>
        <v>0</v>
      </c>
      <c r="BU154">
        <f>MAX(BP154:BR154)</f>
        <v>0</v>
      </c>
      <c r="BV154">
        <f>IF(ISNUMBER(AB154),INDEX(AllCollegeChicago, MATCH(N154,AllCollegeNCES,0))*BB154,0)</f>
        <v>0</v>
      </c>
      <c r="BW154">
        <f>IF(ISNUMBER(AB154),INDEX(AllCollegeMoneyCode, MATCH(N154,AllCollegeNCES,0)),"?")</f>
        <v>0</v>
      </c>
      <c r="BX154">
        <f>IF(OR(BW154="---",BW154="--",BW154="+/--",BW154="+/---"),1,0)</f>
        <v>0</v>
      </c>
      <c r="BY154">
        <f>BB154*AR154*AT154</f>
        <v>0</v>
      </c>
    </row>
    <row r="155" spans="1:77">
      <c r="A155" t="s">
        <v>96</v>
      </c>
      <c r="B155">
        <v>22573216</v>
      </c>
      <c r="C155" t="s">
        <v>99</v>
      </c>
      <c r="D155" t="s">
        <v>100</v>
      </c>
      <c r="E155" t="s">
        <v>446</v>
      </c>
      <c r="F155" t="s">
        <v>520</v>
      </c>
      <c r="G155" t="s">
        <v>448</v>
      </c>
      <c r="H155" t="s">
        <v>449</v>
      </c>
      <c r="I155" t="s">
        <v>450</v>
      </c>
      <c r="J155" t="s">
        <v>450</v>
      </c>
      <c r="K155">
        <v>0</v>
      </c>
      <c r="L155" t="s">
        <v>446</v>
      </c>
      <c r="M155" t="s">
        <v>446</v>
      </c>
      <c r="N155">
        <v>121345</v>
      </c>
      <c r="O155">
        <f>INDEX(Counselor,MATCH(B155,KidIDs,0))</f>
        <v>0</v>
      </c>
      <c r="P155">
        <f>INDEX(Advisors,MATCH(B155,KidIDs,0))</f>
        <v>0</v>
      </c>
      <c r="Q155">
        <f>INDEX(Cohort,MATCH(B155,KidIDs,0))</f>
        <v>0</v>
      </c>
      <c r="R155">
        <f>INDEX(AllCollegeBarrons,MATCH(N155,AllCollegeNCES,0))</f>
        <v>0</v>
      </c>
      <c r="S155">
        <f>INDEX(KidGPAs,MATCH(B155,KidIDs,0))</f>
        <v>0</v>
      </c>
      <c r="T155">
        <f>INDEX(KidSATs,MATCH(B155,KidIDs,0))</f>
        <v>0</v>
      </c>
      <c r="U155">
        <f>INDEX(Strats,MATCH(B155,KidIDs,0))</f>
        <v>0</v>
      </c>
      <c r="V155">
        <f>INDEX(KidRace,MATCH(B155,KidIDs,0))</f>
        <v>0</v>
      </c>
      <c r="W155">
        <f>IF(OR(V155="M",V155="I"),"H",IF(V155="P","A",V155))</f>
        <v>0</v>
      </c>
      <c r="X155">
        <f>INDEX(StudentTargets,MATCH(B155,KidIDs,0))</f>
        <v>0</v>
      </c>
      <c r="Y155">
        <f>INDEX(ReachStudentTargets,MATCH(B155,KidIDs,0))</f>
        <v>0</v>
      </c>
      <c r="Z155">
        <f>IF(OR(M155="Posse"),1,0)</f>
        <v>0</v>
      </c>
      <c r="AA155">
        <f>IF(ISNUMBER(INDEX(AllCollegeGR, MATCH(N155,AllCollegeNCES,0))),ROUND(INDEX(AllCollegeGR, MATCH(N155,AllCollegeNCES,0))+Z155*IF(INDEX(AllCollegeGR, MATCH(N155,AllCollegeNCES,0))&gt;0.7,(1-INDEX(AllCollegeGR, MATCH(N155,AllCollegeNCES,0)))/2,0.15),2),INDEX(AllCollegeGR, MATCH(N155,AllCollegeNCES,0)))</f>
        <v>0</v>
      </c>
      <c r="AB155">
        <f>IF(ISNUMBER(INDEX(AllCollegeAAHGR, MATCH(N155,AllCollegeNCES,0))),ROUND(INDEX(AllCollegeAAHGR, MATCH(N155,AllCollegeNCES,0))+Z155*IF(INDEX(AllCollegeAAHGR, MATCH(N155,AllCollegeNCES,0))&gt;0.7,(1-INDEX(AllCollegeAAHGR, MATCH(N155,AllCollegeNCES,0)))/2,0.15),2),INDEX(AllCollegeAAHGR, MATCH(N155,AllCollegeNCES,0)))</f>
        <v>0</v>
      </c>
      <c r="AC155">
        <f>IF(OR(W155="H",W155="B"),INDEX(AllCollegeSAT25, MATCH(N155,AllCollegeNCES,0)),INDEX(AllCollegeSAT50, MATCH(N155,AllCollegeNCES,0)))</f>
        <v>0</v>
      </c>
      <c r="AD155">
        <f>INDEX(CustomWeightsGPA,MATCH(W155&amp;":"&amp;N155,CustomWeightsIndex,0))</f>
        <v>0</v>
      </c>
      <c r="AE155">
        <f>INDEX(CustomWeightsSAT,MATCH(W155&amp;":"&amp;N155,CustomWeightsIndex,0))</f>
        <v>0</v>
      </c>
      <c r="AF155">
        <f>INDEX(CustomWeightsIntercept,MATCH(W155&amp;":"&amp;N155,CustomWeightsIndex,0))</f>
        <v>0</v>
      </c>
      <c r="AG155">
        <f>AD155*S155+AE155*T155+AF155</f>
        <v>0</v>
      </c>
      <c r="AH155">
        <f>INDEX(CoefficientsGPA,MATCH(W155&amp;":"&amp;R155,CoefficientsIndex,0))</f>
        <v>0</v>
      </c>
      <c r="AI155">
        <f>INDEX(CoefficientsSAT,MATCH(W155&amp;":"&amp;R155,CoefficientsIndex,0))</f>
        <v>0</v>
      </c>
      <c r="AJ155">
        <f>INDEX(CoefficientsIntercept,MATCH(W155&amp;":"&amp;R155,CoefficientsIndex,0))</f>
        <v>0</v>
      </c>
      <c r="AK155">
        <f>AH155*S155+(T155-AC155)*AI155+AJ155</f>
        <v>0</v>
      </c>
      <c r="AL155">
        <f>IF(ISNUMBER(AG155),AG155,AK155)</f>
        <v>0</v>
      </c>
      <c r="AM155">
        <f>IF(ISNUMBER(AL155),IF(ISNUMBER(AH155),IF(AND(AH155=1,AI155=1,AJ155=1),100,MIN(99,ROUND(100*EXP(AL155)/(1+EXP(AL155)),2))),MIN(99,ROUND(100*EXP(AL155)/(1+EXP(AL155)),2))),IF(ISTEXT(R155),IF(LEFT(R155,1)="2",100,"N/A"),"N/A"))</f>
        <v>0</v>
      </c>
      <c r="AN155">
        <f>IF(ISNUMBER(AM155),IF(AM155&gt;=99,IF(OR(U155=10,U155=11),MatchLabel,SureThingLabel),IF(AM155&gt;=95,SecureLabel,IF(AM155&gt;=80,SafetyLabel,IF(AM155&gt;=50,MatchLabel,IF(AM155&gt;=20,ReachLabel,IF(AM155&gt;=10,LongshotLabel,HailMaryLabel)))))),"Other")</f>
        <v>0</v>
      </c>
      <c r="AO155">
        <f>IF(OR(I155="accepted",I155="cond. accept",I155="summer admit"),IF(J155="yes","CHOICE!","Accepted!"),IF(I155="guar. transfer","Guar. Xfer",IF(I155="denied","Denied",IF(K155=1,"Waitlist",IF(L155=1,"Deferred",IF(G155="pending","Pending",IF(OR(G155="initial materials submitted",G155="mid-year submitted",G155="final submitted"),"Submitted",IF(H155="interest","Interest","?"))))))))</f>
        <v>0</v>
      </c>
      <c r="AP155">
        <f>IF(OR(AN155=ReachLabel,AN155=LongshotLabel,AN155=HailMaryLabel),1,0)</f>
        <v>0</v>
      </c>
      <c r="AQ155">
        <f>IF(OR(AP155=1,AN155=MatchLabel),1,0)</f>
        <v>0</v>
      </c>
      <c r="AR155">
        <f>IF(OR(AN155=MatchLabel,AN155=SafetyLabel,AN155=SecureLabel,AN155=SureThingLabel),1,0)</f>
        <v>0</v>
      </c>
      <c r="AS155">
        <f>IF(OR(W155="H",W155="B",W155="I",W155="M"),IF(ISNUMBER(AB155),ROUND(AB155,2),0),IF(ISNUMBER(AA155),ROUND(AA155,2),0))</f>
        <v>0</v>
      </c>
      <c r="AT155">
        <f>IF(AS155&gt;=X155,1,0)</f>
        <v>0</v>
      </c>
      <c r="AU155">
        <f>IF(AS155&gt;=Y155,1,0)</f>
        <v>0</v>
      </c>
      <c r="AV155">
        <f>IF(AS155&lt;(X155-0.10),1,0)</f>
        <v>0</v>
      </c>
      <c r="AW155">
        <f>1-AM155/100</f>
        <v>0</v>
      </c>
      <c r="AX155">
        <f>IF(AQ155=1,AW155,1)</f>
        <v>0</v>
      </c>
      <c r="AY155">
        <f>IF(AP155=1,AW155,1)</f>
        <v>0</v>
      </c>
      <c r="AZ155">
        <f>IF(AND(AT155=1,ISNUMBER(AW155)),$AW155,1)</f>
        <v>0</v>
      </c>
      <c r="BA155">
        <f>IF(AND(AU155=1,ISNUMBER(AW155)),$AW155,1)</f>
        <v>0</v>
      </c>
      <c r="BB155">
        <f>IF(ISNUMBER(AB155),INDEX(AllCollegeMoney, MATCH(N155,AllCollegeNCES,0)),0)</f>
        <v>0</v>
      </c>
      <c r="BC155">
        <f>IF(AND(AT155=1,ISNUMBER(AW155),BB155=1),$AW155,1)</f>
        <v>0</v>
      </c>
      <c r="BD155">
        <f>IF(AND(AU155=1,ISNUMBER(AW155),BB155=1),$AW155,1)</f>
        <v>0</v>
      </c>
      <c r="BE155">
        <f>IF(ISNUMBER(AB155),INDEX(AllCollegeILPub, MATCH(N155,AllCollegeNCES,0)),0)</f>
        <v>0</v>
      </c>
      <c r="BF155">
        <f>IF(AN155=ReachLabel,AS155,0)</f>
        <v>0</v>
      </c>
      <c r="BG155">
        <f>IF(AN155=MatchLabel,AS155,0)</f>
        <v>0</v>
      </c>
      <c r="BH155">
        <f>IF(AN155=SafetyLabel,AS155,0)</f>
        <v>0</v>
      </c>
      <c r="BI155">
        <f>IF(AN155=SecureLabel,AS155,0)</f>
        <v>0</v>
      </c>
      <c r="BJ155">
        <f>IF(AN155=SureThingLabel,AS155,0)</f>
        <v>0</v>
      </c>
      <c r="BK155">
        <f>MAX(BF155:BJ155)</f>
        <v>0</v>
      </c>
      <c r="BL155">
        <f>MAX(BG155:BJ155)</f>
        <v>0</v>
      </c>
      <c r="BM155">
        <f>MAX(BH155:BJ155)</f>
        <v>0</v>
      </c>
      <c r="BN155">
        <f>IF(AND(AN155=ReachLabel,BB155=1),AS155,0)</f>
        <v>0</v>
      </c>
      <c r="BO155">
        <f>IF(AND(AN155=MatchLabel,BB155=1),AS155,0)</f>
        <v>0</v>
      </c>
      <c r="BP155">
        <f>IF(AND(AN155=SafetyLabel,BB155=1),AS155,0)</f>
        <v>0</v>
      </c>
      <c r="BQ155">
        <f>IF(AND(AN155=SecureLabel,BB155=1),AS155,0)</f>
        <v>0</v>
      </c>
      <c r="BR155">
        <f>IF(AND(AN155=SureThingLabel,BB155=1),AS155,0)</f>
        <v>0</v>
      </c>
      <c r="BS155">
        <f>MAX(BN155:BR155)</f>
        <v>0</v>
      </c>
      <c r="BT155">
        <f>MAX(BO155:BR155)</f>
        <v>0</v>
      </c>
      <c r="BU155">
        <f>MAX(BP155:BR155)</f>
        <v>0</v>
      </c>
      <c r="BV155">
        <f>IF(ISNUMBER(AB155),INDEX(AllCollegeChicago, MATCH(N155,AllCollegeNCES,0))*BB155,0)</f>
        <v>0</v>
      </c>
      <c r="BW155">
        <f>IF(ISNUMBER(AB155),INDEX(AllCollegeMoneyCode, MATCH(N155,AllCollegeNCES,0)),"?")</f>
        <v>0</v>
      </c>
      <c r="BX155">
        <f>IF(OR(BW155="---",BW155="--",BW155="+/--",BW155="+/---"),1,0)</f>
        <v>0</v>
      </c>
      <c r="BY155">
        <f>BB155*AR155*AT155</f>
        <v>0</v>
      </c>
    </row>
    <row r="156" spans="1:77">
      <c r="A156" t="s">
        <v>96</v>
      </c>
      <c r="B156">
        <v>22573216</v>
      </c>
      <c r="C156" t="s">
        <v>99</v>
      </c>
      <c r="D156" t="s">
        <v>100</v>
      </c>
      <c r="E156" t="s">
        <v>446</v>
      </c>
      <c r="F156" t="s">
        <v>521</v>
      </c>
      <c r="G156" t="s">
        <v>448</v>
      </c>
      <c r="H156" t="s">
        <v>449</v>
      </c>
      <c r="I156" t="s">
        <v>450</v>
      </c>
      <c r="J156" t="s">
        <v>450</v>
      </c>
      <c r="K156">
        <v>0</v>
      </c>
      <c r="L156" t="s">
        <v>446</v>
      </c>
      <c r="M156" t="s">
        <v>446</v>
      </c>
      <c r="N156">
        <v>243744</v>
      </c>
      <c r="O156">
        <f>INDEX(Counselor,MATCH(B156,KidIDs,0))</f>
        <v>0</v>
      </c>
      <c r="P156">
        <f>INDEX(Advisors,MATCH(B156,KidIDs,0))</f>
        <v>0</v>
      </c>
      <c r="Q156">
        <f>INDEX(Cohort,MATCH(B156,KidIDs,0))</f>
        <v>0</v>
      </c>
      <c r="R156">
        <f>INDEX(AllCollegeBarrons,MATCH(N156,AllCollegeNCES,0))</f>
        <v>0</v>
      </c>
      <c r="S156">
        <f>INDEX(KidGPAs,MATCH(B156,KidIDs,0))</f>
        <v>0</v>
      </c>
      <c r="T156">
        <f>INDEX(KidSATs,MATCH(B156,KidIDs,0))</f>
        <v>0</v>
      </c>
      <c r="U156">
        <f>INDEX(Strats,MATCH(B156,KidIDs,0))</f>
        <v>0</v>
      </c>
      <c r="V156">
        <f>INDEX(KidRace,MATCH(B156,KidIDs,0))</f>
        <v>0</v>
      </c>
      <c r="W156">
        <f>IF(OR(V156="M",V156="I"),"H",IF(V156="P","A",V156))</f>
        <v>0</v>
      </c>
      <c r="X156">
        <f>INDEX(StudentTargets,MATCH(B156,KidIDs,0))</f>
        <v>0</v>
      </c>
      <c r="Y156">
        <f>INDEX(ReachStudentTargets,MATCH(B156,KidIDs,0))</f>
        <v>0</v>
      </c>
      <c r="Z156">
        <f>IF(OR(M156="Posse"),1,0)</f>
        <v>0</v>
      </c>
      <c r="AA156">
        <f>IF(ISNUMBER(INDEX(AllCollegeGR, MATCH(N156,AllCollegeNCES,0))),ROUND(INDEX(AllCollegeGR, MATCH(N156,AllCollegeNCES,0))+Z156*IF(INDEX(AllCollegeGR, MATCH(N156,AllCollegeNCES,0))&gt;0.7,(1-INDEX(AllCollegeGR, MATCH(N156,AllCollegeNCES,0)))/2,0.15),2),INDEX(AllCollegeGR, MATCH(N156,AllCollegeNCES,0)))</f>
        <v>0</v>
      </c>
      <c r="AB156">
        <f>IF(ISNUMBER(INDEX(AllCollegeAAHGR, MATCH(N156,AllCollegeNCES,0))),ROUND(INDEX(AllCollegeAAHGR, MATCH(N156,AllCollegeNCES,0))+Z156*IF(INDEX(AllCollegeAAHGR, MATCH(N156,AllCollegeNCES,0))&gt;0.7,(1-INDEX(AllCollegeAAHGR, MATCH(N156,AllCollegeNCES,0)))/2,0.15),2),INDEX(AllCollegeAAHGR, MATCH(N156,AllCollegeNCES,0)))</f>
        <v>0</v>
      </c>
      <c r="AC156">
        <f>IF(OR(W156="H",W156="B"),INDEX(AllCollegeSAT25, MATCH(N156,AllCollegeNCES,0)),INDEX(AllCollegeSAT50, MATCH(N156,AllCollegeNCES,0)))</f>
        <v>0</v>
      </c>
      <c r="AD156">
        <f>INDEX(CustomWeightsGPA,MATCH(W156&amp;":"&amp;N156,CustomWeightsIndex,0))</f>
        <v>0</v>
      </c>
      <c r="AE156">
        <f>INDEX(CustomWeightsSAT,MATCH(W156&amp;":"&amp;N156,CustomWeightsIndex,0))</f>
        <v>0</v>
      </c>
      <c r="AF156">
        <f>INDEX(CustomWeightsIntercept,MATCH(W156&amp;":"&amp;N156,CustomWeightsIndex,0))</f>
        <v>0</v>
      </c>
      <c r="AG156">
        <f>AD156*S156+AE156*T156+AF156</f>
        <v>0</v>
      </c>
      <c r="AH156">
        <f>INDEX(CoefficientsGPA,MATCH(W156&amp;":"&amp;R156,CoefficientsIndex,0))</f>
        <v>0</v>
      </c>
      <c r="AI156">
        <f>INDEX(CoefficientsSAT,MATCH(W156&amp;":"&amp;R156,CoefficientsIndex,0))</f>
        <v>0</v>
      </c>
      <c r="AJ156">
        <f>INDEX(CoefficientsIntercept,MATCH(W156&amp;":"&amp;R156,CoefficientsIndex,0))</f>
        <v>0</v>
      </c>
      <c r="AK156">
        <f>AH156*S156+(T156-AC156)*AI156+AJ156</f>
        <v>0</v>
      </c>
      <c r="AL156">
        <f>IF(ISNUMBER(AG156),AG156,AK156)</f>
        <v>0</v>
      </c>
      <c r="AM156">
        <f>IF(ISNUMBER(AL156),IF(ISNUMBER(AH156),IF(AND(AH156=1,AI156=1,AJ156=1),100,MIN(99,ROUND(100*EXP(AL156)/(1+EXP(AL156)),2))),MIN(99,ROUND(100*EXP(AL156)/(1+EXP(AL156)),2))),IF(ISTEXT(R156),IF(LEFT(R156,1)="2",100,"N/A"),"N/A"))</f>
        <v>0</v>
      </c>
      <c r="AN156">
        <f>IF(ISNUMBER(AM156),IF(AM156&gt;=99,IF(OR(U156=10,U156=11),MatchLabel,SureThingLabel),IF(AM156&gt;=95,SecureLabel,IF(AM156&gt;=80,SafetyLabel,IF(AM156&gt;=50,MatchLabel,IF(AM156&gt;=20,ReachLabel,IF(AM156&gt;=10,LongshotLabel,HailMaryLabel)))))),"Other")</f>
        <v>0</v>
      </c>
      <c r="AO156">
        <f>IF(OR(I156="accepted",I156="cond. accept",I156="summer admit"),IF(J156="yes","CHOICE!","Accepted!"),IF(I156="guar. transfer","Guar. Xfer",IF(I156="denied","Denied",IF(K156=1,"Waitlist",IF(L156=1,"Deferred",IF(G156="pending","Pending",IF(OR(G156="initial materials submitted",G156="mid-year submitted",G156="final submitted"),"Submitted",IF(H156="interest","Interest","?"))))))))</f>
        <v>0</v>
      </c>
      <c r="AP156">
        <f>IF(OR(AN156=ReachLabel,AN156=LongshotLabel,AN156=HailMaryLabel),1,0)</f>
        <v>0</v>
      </c>
      <c r="AQ156">
        <f>IF(OR(AP156=1,AN156=MatchLabel),1,0)</f>
        <v>0</v>
      </c>
      <c r="AR156">
        <f>IF(OR(AN156=MatchLabel,AN156=SafetyLabel,AN156=SecureLabel,AN156=SureThingLabel),1,0)</f>
        <v>0</v>
      </c>
      <c r="AS156">
        <f>IF(OR(W156="H",W156="B",W156="I",W156="M"),IF(ISNUMBER(AB156),ROUND(AB156,2),0),IF(ISNUMBER(AA156),ROUND(AA156,2),0))</f>
        <v>0</v>
      </c>
      <c r="AT156">
        <f>IF(AS156&gt;=X156,1,0)</f>
        <v>0</v>
      </c>
      <c r="AU156">
        <f>IF(AS156&gt;=Y156,1,0)</f>
        <v>0</v>
      </c>
      <c r="AV156">
        <f>IF(AS156&lt;(X156-0.10),1,0)</f>
        <v>0</v>
      </c>
      <c r="AW156">
        <f>1-AM156/100</f>
        <v>0</v>
      </c>
      <c r="AX156">
        <f>IF(AQ156=1,AW156,1)</f>
        <v>0</v>
      </c>
      <c r="AY156">
        <f>IF(AP156=1,AW156,1)</f>
        <v>0</v>
      </c>
      <c r="AZ156">
        <f>IF(AND(AT156=1,ISNUMBER(AW156)),$AW156,1)</f>
        <v>0</v>
      </c>
      <c r="BA156">
        <f>IF(AND(AU156=1,ISNUMBER(AW156)),$AW156,1)</f>
        <v>0</v>
      </c>
      <c r="BB156">
        <f>IF(ISNUMBER(AB156),INDEX(AllCollegeMoney, MATCH(N156,AllCollegeNCES,0)),0)</f>
        <v>0</v>
      </c>
      <c r="BC156">
        <f>IF(AND(AT156=1,ISNUMBER(AW156),BB156=1),$AW156,1)</f>
        <v>0</v>
      </c>
      <c r="BD156">
        <f>IF(AND(AU156=1,ISNUMBER(AW156),BB156=1),$AW156,1)</f>
        <v>0</v>
      </c>
      <c r="BE156">
        <f>IF(ISNUMBER(AB156),INDEX(AllCollegeILPub, MATCH(N156,AllCollegeNCES,0)),0)</f>
        <v>0</v>
      </c>
      <c r="BF156">
        <f>IF(AN156=ReachLabel,AS156,0)</f>
        <v>0</v>
      </c>
      <c r="BG156">
        <f>IF(AN156=MatchLabel,AS156,0)</f>
        <v>0</v>
      </c>
      <c r="BH156">
        <f>IF(AN156=SafetyLabel,AS156,0)</f>
        <v>0</v>
      </c>
      <c r="BI156">
        <f>IF(AN156=SecureLabel,AS156,0)</f>
        <v>0</v>
      </c>
      <c r="BJ156">
        <f>IF(AN156=SureThingLabel,AS156,0)</f>
        <v>0</v>
      </c>
      <c r="BK156">
        <f>MAX(BF156:BJ156)</f>
        <v>0</v>
      </c>
      <c r="BL156">
        <f>MAX(BG156:BJ156)</f>
        <v>0</v>
      </c>
      <c r="BM156">
        <f>MAX(BH156:BJ156)</f>
        <v>0</v>
      </c>
      <c r="BN156">
        <f>IF(AND(AN156=ReachLabel,BB156=1),AS156,0)</f>
        <v>0</v>
      </c>
      <c r="BO156">
        <f>IF(AND(AN156=MatchLabel,BB156=1),AS156,0)</f>
        <v>0</v>
      </c>
      <c r="BP156">
        <f>IF(AND(AN156=SafetyLabel,BB156=1),AS156,0)</f>
        <v>0</v>
      </c>
      <c r="BQ156">
        <f>IF(AND(AN156=SecureLabel,BB156=1),AS156,0)</f>
        <v>0</v>
      </c>
      <c r="BR156">
        <f>IF(AND(AN156=SureThingLabel,BB156=1),AS156,0)</f>
        <v>0</v>
      </c>
      <c r="BS156">
        <f>MAX(BN156:BR156)</f>
        <v>0</v>
      </c>
      <c r="BT156">
        <f>MAX(BO156:BR156)</f>
        <v>0</v>
      </c>
      <c r="BU156">
        <f>MAX(BP156:BR156)</f>
        <v>0</v>
      </c>
      <c r="BV156">
        <f>IF(ISNUMBER(AB156),INDEX(AllCollegeChicago, MATCH(N156,AllCollegeNCES,0))*BB156,0)</f>
        <v>0</v>
      </c>
      <c r="BW156">
        <f>IF(ISNUMBER(AB156),INDEX(AllCollegeMoneyCode, MATCH(N156,AllCollegeNCES,0)),"?")</f>
        <v>0</v>
      </c>
      <c r="BX156">
        <f>IF(OR(BW156="---",BW156="--",BW156="+/--",BW156="+/---"),1,0)</f>
        <v>0</v>
      </c>
      <c r="BY156">
        <f>BB156*AR156*AT156</f>
        <v>0</v>
      </c>
    </row>
    <row r="157" spans="1:77">
      <c r="A157" t="s">
        <v>96</v>
      </c>
      <c r="B157">
        <v>22573216</v>
      </c>
      <c r="C157" t="s">
        <v>99</v>
      </c>
      <c r="D157" t="s">
        <v>100</v>
      </c>
      <c r="E157" t="s">
        <v>446</v>
      </c>
      <c r="F157" t="s">
        <v>493</v>
      </c>
      <c r="G157" t="s">
        <v>448</v>
      </c>
      <c r="H157" t="s">
        <v>449</v>
      </c>
      <c r="I157" t="s">
        <v>450</v>
      </c>
      <c r="J157" t="s">
        <v>450</v>
      </c>
      <c r="K157">
        <v>0</v>
      </c>
      <c r="L157" t="s">
        <v>446</v>
      </c>
      <c r="M157" t="s">
        <v>446</v>
      </c>
      <c r="N157">
        <v>147767</v>
      </c>
      <c r="O157">
        <f>INDEX(Counselor,MATCH(B157,KidIDs,0))</f>
        <v>0</v>
      </c>
      <c r="P157">
        <f>INDEX(Advisors,MATCH(B157,KidIDs,0))</f>
        <v>0</v>
      </c>
      <c r="Q157">
        <f>INDEX(Cohort,MATCH(B157,KidIDs,0))</f>
        <v>0</v>
      </c>
      <c r="R157">
        <f>INDEX(AllCollegeBarrons,MATCH(N157,AllCollegeNCES,0))</f>
        <v>0</v>
      </c>
      <c r="S157">
        <f>INDEX(KidGPAs,MATCH(B157,KidIDs,0))</f>
        <v>0</v>
      </c>
      <c r="T157">
        <f>INDEX(KidSATs,MATCH(B157,KidIDs,0))</f>
        <v>0</v>
      </c>
      <c r="U157">
        <f>INDEX(Strats,MATCH(B157,KidIDs,0))</f>
        <v>0</v>
      </c>
      <c r="V157">
        <f>INDEX(KidRace,MATCH(B157,KidIDs,0))</f>
        <v>0</v>
      </c>
      <c r="W157">
        <f>IF(OR(V157="M",V157="I"),"H",IF(V157="P","A",V157))</f>
        <v>0</v>
      </c>
      <c r="X157">
        <f>INDEX(StudentTargets,MATCH(B157,KidIDs,0))</f>
        <v>0</v>
      </c>
      <c r="Y157">
        <f>INDEX(ReachStudentTargets,MATCH(B157,KidIDs,0))</f>
        <v>0</v>
      </c>
      <c r="Z157">
        <f>IF(OR(M157="Posse"),1,0)</f>
        <v>0</v>
      </c>
      <c r="AA157">
        <f>IF(ISNUMBER(INDEX(AllCollegeGR, MATCH(N157,AllCollegeNCES,0))),ROUND(INDEX(AllCollegeGR, MATCH(N157,AllCollegeNCES,0))+Z157*IF(INDEX(AllCollegeGR, MATCH(N157,AllCollegeNCES,0))&gt;0.7,(1-INDEX(AllCollegeGR, MATCH(N157,AllCollegeNCES,0)))/2,0.15),2),INDEX(AllCollegeGR, MATCH(N157,AllCollegeNCES,0)))</f>
        <v>0</v>
      </c>
      <c r="AB157">
        <f>IF(ISNUMBER(INDEX(AllCollegeAAHGR, MATCH(N157,AllCollegeNCES,0))),ROUND(INDEX(AllCollegeAAHGR, MATCH(N157,AllCollegeNCES,0))+Z157*IF(INDEX(AllCollegeAAHGR, MATCH(N157,AllCollegeNCES,0))&gt;0.7,(1-INDEX(AllCollegeAAHGR, MATCH(N157,AllCollegeNCES,0)))/2,0.15),2),INDEX(AllCollegeAAHGR, MATCH(N157,AllCollegeNCES,0)))</f>
        <v>0</v>
      </c>
      <c r="AC157">
        <f>IF(OR(W157="H",W157="B"),INDEX(AllCollegeSAT25, MATCH(N157,AllCollegeNCES,0)),INDEX(AllCollegeSAT50, MATCH(N157,AllCollegeNCES,0)))</f>
        <v>0</v>
      </c>
      <c r="AD157">
        <f>INDEX(CustomWeightsGPA,MATCH(W157&amp;":"&amp;N157,CustomWeightsIndex,0))</f>
        <v>0</v>
      </c>
      <c r="AE157">
        <f>INDEX(CustomWeightsSAT,MATCH(W157&amp;":"&amp;N157,CustomWeightsIndex,0))</f>
        <v>0</v>
      </c>
      <c r="AF157">
        <f>INDEX(CustomWeightsIntercept,MATCH(W157&amp;":"&amp;N157,CustomWeightsIndex,0))</f>
        <v>0</v>
      </c>
      <c r="AG157">
        <f>AD157*S157+AE157*T157+AF157</f>
        <v>0</v>
      </c>
      <c r="AH157">
        <f>INDEX(CoefficientsGPA,MATCH(W157&amp;":"&amp;R157,CoefficientsIndex,0))</f>
        <v>0</v>
      </c>
      <c r="AI157">
        <f>INDEX(CoefficientsSAT,MATCH(W157&amp;":"&amp;R157,CoefficientsIndex,0))</f>
        <v>0</v>
      </c>
      <c r="AJ157">
        <f>INDEX(CoefficientsIntercept,MATCH(W157&amp;":"&amp;R157,CoefficientsIndex,0))</f>
        <v>0</v>
      </c>
      <c r="AK157">
        <f>AH157*S157+(T157-AC157)*AI157+AJ157</f>
        <v>0</v>
      </c>
      <c r="AL157">
        <f>IF(ISNUMBER(AG157),AG157,AK157)</f>
        <v>0</v>
      </c>
      <c r="AM157">
        <f>IF(ISNUMBER(AL157),IF(ISNUMBER(AH157),IF(AND(AH157=1,AI157=1,AJ157=1),100,MIN(99,ROUND(100*EXP(AL157)/(1+EXP(AL157)),2))),MIN(99,ROUND(100*EXP(AL157)/(1+EXP(AL157)),2))),IF(ISTEXT(R157),IF(LEFT(R157,1)="2",100,"N/A"),"N/A"))</f>
        <v>0</v>
      </c>
      <c r="AN157">
        <f>IF(ISNUMBER(AM157),IF(AM157&gt;=99,IF(OR(U157=10,U157=11),MatchLabel,SureThingLabel),IF(AM157&gt;=95,SecureLabel,IF(AM157&gt;=80,SafetyLabel,IF(AM157&gt;=50,MatchLabel,IF(AM157&gt;=20,ReachLabel,IF(AM157&gt;=10,LongshotLabel,HailMaryLabel)))))),"Other")</f>
        <v>0</v>
      </c>
      <c r="AO157">
        <f>IF(OR(I157="accepted",I157="cond. accept",I157="summer admit"),IF(J157="yes","CHOICE!","Accepted!"),IF(I157="guar. transfer","Guar. Xfer",IF(I157="denied","Denied",IF(K157=1,"Waitlist",IF(L157=1,"Deferred",IF(G157="pending","Pending",IF(OR(G157="initial materials submitted",G157="mid-year submitted",G157="final submitted"),"Submitted",IF(H157="interest","Interest","?"))))))))</f>
        <v>0</v>
      </c>
      <c r="AP157">
        <f>IF(OR(AN157=ReachLabel,AN157=LongshotLabel,AN157=HailMaryLabel),1,0)</f>
        <v>0</v>
      </c>
      <c r="AQ157">
        <f>IF(OR(AP157=1,AN157=MatchLabel),1,0)</f>
        <v>0</v>
      </c>
      <c r="AR157">
        <f>IF(OR(AN157=MatchLabel,AN157=SafetyLabel,AN157=SecureLabel,AN157=SureThingLabel),1,0)</f>
        <v>0</v>
      </c>
      <c r="AS157">
        <f>IF(OR(W157="H",W157="B",W157="I",W157="M"),IF(ISNUMBER(AB157),ROUND(AB157,2),0),IF(ISNUMBER(AA157),ROUND(AA157,2),0))</f>
        <v>0</v>
      </c>
      <c r="AT157">
        <f>IF(AS157&gt;=X157,1,0)</f>
        <v>0</v>
      </c>
      <c r="AU157">
        <f>IF(AS157&gt;=Y157,1,0)</f>
        <v>0</v>
      </c>
      <c r="AV157">
        <f>IF(AS157&lt;(X157-0.10),1,0)</f>
        <v>0</v>
      </c>
      <c r="AW157">
        <f>1-AM157/100</f>
        <v>0</v>
      </c>
      <c r="AX157">
        <f>IF(AQ157=1,AW157,1)</f>
        <v>0</v>
      </c>
      <c r="AY157">
        <f>IF(AP157=1,AW157,1)</f>
        <v>0</v>
      </c>
      <c r="AZ157">
        <f>IF(AND(AT157=1,ISNUMBER(AW157)),$AW157,1)</f>
        <v>0</v>
      </c>
      <c r="BA157">
        <f>IF(AND(AU157=1,ISNUMBER(AW157)),$AW157,1)</f>
        <v>0</v>
      </c>
      <c r="BB157">
        <f>IF(ISNUMBER(AB157),INDEX(AllCollegeMoney, MATCH(N157,AllCollegeNCES,0)),0)</f>
        <v>0</v>
      </c>
      <c r="BC157">
        <f>IF(AND(AT157=1,ISNUMBER(AW157),BB157=1),$AW157,1)</f>
        <v>0</v>
      </c>
      <c r="BD157">
        <f>IF(AND(AU157=1,ISNUMBER(AW157),BB157=1),$AW157,1)</f>
        <v>0</v>
      </c>
      <c r="BE157">
        <f>IF(ISNUMBER(AB157),INDEX(AllCollegeILPub, MATCH(N157,AllCollegeNCES,0)),0)</f>
        <v>0</v>
      </c>
      <c r="BF157">
        <f>IF(AN157=ReachLabel,AS157,0)</f>
        <v>0</v>
      </c>
      <c r="BG157">
        <f>IF(AN157=MatchLabel,AS157,0)</f>
        <v>0</v>
      </c>
      <c r="BH157">
        <f>IF(AN157=SafetyLabel,AS157,0)</f>
        <v>0</v>
      </c>
      <c r="BI157">
        <f>IF(AN157=SecureLabel,AS157,0)</f>
        <v>0</v>
      </c>
      <c r="BJ157">
        <f>IF(AN157=SureThingLabel,AS157,0)</f>
        <v>0</v>
      </c>
      <c r="BK157">
        <f>MAX(BF157:BJ157)</f>
        <v>0</v>
      </c>
      <c r="BL157">
        <f>MAX(BG157:BJ157)</f>
        <v>0</v>
      </c>
      <c r="BM157">
        <f>MAX(BH157:BJ157)</f>
        <v>0</v>
      </c>
      <c r="BN157">
        <f>IF(AND(AN157=ReachLabel,BB157=1),AS157,0)</f>
        <v>0</v>
      </c>
      <c r="BO157">
        <f>IF(AND(AN157=MatchLabel,BB157=1),AS157,0)</f>
        <v>0</v>
      </c>
      <c r="BP157">
        <f>IF(AND(AN157=SafetyLabel,BB157=1),AS157,0)</f>
        <v>0</v>
      </c>
      <c r="BQ157">
        <f>IF(AND(AN157=SecureLabel,BB157=1),AS157,0)</f>
        <v>0</v>
      </c>
      <c r="BR157">
        <f>IF(AND(AN157=SureThingLabel,BB157=1),AS157,0)</f>
        <v>0</v>
      </c>
      <c r="BS157">
        <f>MAX(BN157:BR157)</f>
        <v>0</v>
      </c>
      <c r="BT157">
        <f>MAX(BO157:BR157)</f>
        <v>0</v>
      </c>
      <c r="BU157">
        <f>MAX(BP157:BR157)</f>
        <v>0</v>
      </c>
      <c r="BV157">
        <f>IF(ISNUMBER(AB157),INDEX(AllCollegeChicago, MATCH(N157,AllCollegeNCES,0))*BB157,0)</f>
        <v>0</v>
      </c>
      <c r="BW157">
        <f>IF(ISNUMBER(AB157),INDEX(AllCollegeMoneyCode, MATCH(N157,AllCollegeNCES,0)),"?")</f>
        <v>0</v>
      </c>
      <c r="BX157">
        <f>IF(OR(BW157="---",BW157="--",BW157="+/--",BW157="+/---"),1,0)</f>
        <v>0</v>
      </c>
      <c r="BY157">
        <f>BB157*AR157*AT157</f>
        <v>0</v>
      </c>
    </row>
    <row r="158" spans="1:77">
      <c r="A158" t="s">
        <v>96</v>
      </c>
      <c r="B158">
        <v>22573216</v>
      </c>
      <c r="C158" t="s">
        <v>99</v>
      </c>
      <c r="D158" t="s">
        <v>100</v>
      </c>
      <c r="E158" t="s">
        <v>446</v>
      </c>
      <c r="F158" t="s">
        <v>494</v>
      </c>
      <c r="G158" t="s">
        <v>448</v>
      </c>
      <c r="H158" t="s">
        <v>449</v>
      </c>
      <c r="I158" t="s">
        <v>450</v>
      </c>
      <c r="J158" t="s">
        <v>450</v>
      </c>
      <c r="K158">
        <v>0</v>
      </c>
      <c r="L158" t="s">
        <v>446</v>
      </c>
      <c r="M158" t="s">
        <v>446</v>
      </c>
      <c r="N158">
        <v>144050</v>
      </c>
      <c r="O158">
        <f>INDEX(Counselor,MATCH(B158,KidIDs,0))</f>
        <v>0</v>
      </c>
      <c r="P158">
        <f>INDEX(Advisors,MATCH(B158,KidIDs,0))</f>
        <v>0</v>
      </c>
      <c r="Q158">
        <f>INDEX(Cohort,MATCH(B158,KidIDs,0))</f>
        <v>0</v>
      </c>
      <c r="R158">
        <f>INDEX(AllCollegeBarrons,MATCH(N158,AllCollegeNCES,0))</f>
        <v>0</v>
      </c>
      <c r="S158">
        <f>INDEX(KidGPAs,MATCH(B158,KidIDs,0))</f>
        <v>0</v>
      </c>
      <c r="T158">
        <f>INDEX(KidSATs,MATCH(B158,KidIDs,0))</f>
        <v>0</v>
      </c>
      <c r="U158">
        <f>INDEX(Strats,MATCH(B158,KidIDs,0))</f>
        <v>0</v>
      </c>
      <c r="V158">
        <f>INDEX(KidRace,MATCH(B158,KidIDs,0))</f>
        <v>0</v>
      </c>
      <c r="W158">
        <f>IF(OR(V158="M",V158="I"),"H",IF(V158="P","A",V158))</f>
        <v>0</v>
      </c>
      <c r="X158">
        <f>INDEX(StudentTargets,MATCH(B158,KidIDs,0))</f>
        <v>0</v>
      </c>
      <c r="Y158">
        <f>INDEX(ReachStudentTargets,MATCH(B158,KidIDs,0))</f>
        <v>0</v>
      </c>
      <c r="Z158">
        <f>IF(OR(M158="Posse"),1,0)</f>
        <v>0</v>
      </c>
      <c r="AA158">
        <f>IF(ISNUMBER(INDEX(AllCollegeGR, MATCH(N158,AllCollegeNCES,0))),ROUND(INDEX(AllCollegeGR, MATCH(N158,AllCollegeNCES,0))+Z158*IF(INDEX(AllCollegeGR, MATCH(N158,AllCollegeNCES,0))&gt;0.7,(1-INDEX(AllCollegeGR, MATCH(N158,AllCollegeNCES,0)))/2,0.15),2),INDEX(AllCollegeGR, MATCH(N158,AllCollegeNCES,0)))</f>
        <v>0</v>
      </c>
      <c r="AB158">
        <f>IF(ISNUMBER(INDEX(AllCollegeAAHGR, MATCH(N158,AllCollegeNCES,0))),ROUND(INDEX(AllCollegeAAHGR, MATCH(N158,AllCollegeNCES,0))+Z158*IF(INDEX(AllCollegeAAHGR, MATCH(N158,AllCollegeNCES,0))&gt;0.7,(1-INDEX(AllCollegeAAHGR, MATCH(N158,AllCollegeNCES,0)))/2,0.15),2),INDEX(AllCollegeAAHGR, MATCH(N158,AllCollegeNCES,0)))</f>
        <v>0</v>
      </c>
      <c r="AC158">
        <f>IF(OR(W158="H",W158="B"),INDEX(AllCollegeSAT25, MATCH(N158,AllCollegeNCES,0)),INDEX(AllCollegeSAT50, MATCH(N158,AllCollegeNCES,0)))</f>
        <v>0</v>
      </c>
      <c r="AD158">
        <f>INDEX(CustomWeightsGPA,MATCH(W158&amp;":"&amp;N158,CustomWeightsIndex,0))</f>
        <v>0</v>
      </c>
      <c r="AE158">
        <f>INDEX(CustomWeightsSAT,MATCH(W158&amp;":"&amp;N158,CustomWeightsIndex,0))</f>
        <v>0</v>
      </c>
      <c r="AF158">
        <f>INDEX(CustomWeightsIntercept,MATCH(W158&amp;":"&amp;N158,CustomWeightsIndex,0))</f>
        <v>0</v>
      </c>
      <c r="AG158">
        <f>AD158*S158+AE158*T158+AF158</f>
        <v>0</v>
      </c>
      <c r="AH158">
        <f>INDEX(CoefficientsGPA,MATCH(W158&amp;":"&amp;R158,CoefficientsIndex,0))</f>
        <v>0</v>
      </c>
      <c r="AI158">
        <f>INDEX(CoefficientsSAT,MATCH(W158&amp;":"&amp;R158,CoefficientsIndex,0))</f>
        <v>0</v>
      </c>
      <c r="AJ158">
        <f>INDEX(CoefficientsIntercept,MATCH(W158&amp;":"&amp;R158,CoefficientsIndex,0))</f>
        <v>0</v>
      </c>
      <c r="AK158">
        <f>AH158*S158+(T158-AC158)*AI158+AJ158</f>
        <v>0</v>
      </c>
      <c r="AL158">
        <f>IF(ISNUMBER(AG158),AG158,AK158)</f>
        <v>0</v>
      </c>
      <c r="AM158">
        <f>IF(ISNUMBER(AL158),IF(ISNUMBER(AH158),IF(AND(AH158=1,AI158=1,AJ158=1),100,MIN(99,ROUND(100*EXP(AL158)/(1+EXP(AL158)),2))),MIN(99,ROUND(100*EXP(AL158)/(1+EXP(AL158)),2))),IF(ISTEXT(R158),IF(LEFT(R158,1)="2",100,"N/A"),"N/A"))</f>
        <v>0</v>
      </c>
      <c r="AN158">
        <f>IF(ISNUMBER(AM158),IF(AM158&gt;=99,IF(OR(U158=10,U158=11),MatchLabel,SureThingLabel),IF(AM158&gt;=95,SecureLabel,IF(AM158&gt;=80,SafetyLabel,IF(AM158&gt;=50,MatchLabel,IF(AM158&gt;=20,ReachLabel,IF(AM158&gt;=10,LongshotLabel,HailMaryLabel)))))),"Other")</f>
        <v>0</v>
      </c>
      <c r="AO158">
        <f>IF(OR(I158="accepted",I158="cond. accept",I158="summer admit"),IF(J158="yes","CHOICE!","Accepted!"),IF(I158="guar. transfer","Guar. Xfer",IF(I158="denied","Denied",IF(K158=1,"Waitlist",IF(L158=1,"Deferred",IF(G158="pending","Pending",IF(OR(G158="initial materials submitted",G158="mid-year submitted",G158="final submitted"),"Submitted",IF(H158="interest","Interest","?"))))))))</f>
        <v>0</v>
      </c>
      <c r="AP158">
        <f>IF(OR(AN158=ReachLabel,AN158=LongshotLabel,AN158=HailMaryLabel),1,0)</f>
        <v>0</v>
      </c>
      <c r="AQ158">
        <f>IF(OR(AP158=1,AN158=MatchLabel),1,0)</f>
        <v>0</v>
      </c>
      <c r="AR158">
        <f>IF(OR(AN158=MatchLabel,AN158=SafetyLabel,AN158=SecureLabel,AN158=SureThingLabel),1,0)</f>
        <v>0</v>
      </c>
      <c r="AS158">
        <f>IF(OR(W158="H",W158="B",W158="I",W158="M"),IF(ISNUMBER(AB158),ROUND(AB158,2),0),IF(ISNUMBER(AA158),ROUND(AA158,2),0))</f>
        <v>0</v>
      </c>
      <c r="AT158">
        <f>IF(AS158&gt;=X158,1,0)</f>
        <v>0</v>
      </c>
      <c r="AU158">
        <f>IF(AS158&gt;=Y158,1,0)</f>
        <v>0</v>
      </c>
      <c r="AV158">
        <f>IF(AS158&lt;(X158-0.10),1,0)</f>
        <v>0</v>
      </c>
      <c r="AW158">
        <f>1-AM158/100</f>
        <v>0</v>
      </c>
      <c r="AX158">
        <f>IF(AQ158=1,AW158,1)</f>
        <v>0</v>
      </c>
      <c r="AY158">
        <f>IF(AP158=1,AW158,1)</f>
        <v>0</v>
      </c>
      <c r="AZ158">
        <f>IF(AND(AT158=1,ISNUMBER(AW158)),$AW158,1)</f>
        <v>0</v>
      </c>
      <c r="BA158">
        <f>IF(AND(AU158=1,ISNUMBER(AW158)),$AW158,1)</f>
        <v>0</v>
      </c>
      <c r="BB158">
        <f>IF(ISNUMBER(AB158),INDEX(AllCollegeMoney, MATCH(N158,AllCollegeNCES,0)),0)</f>
        <v>0</v>
      </c>
      <c r="BC158">
        <f>IF(AND(AT158=1,ISNUMBER(AW158),BB158=1),$AW158,1)</f>
        <v>0</v>
      </c>
      <c r="BD158">
        <f>IF(AND(AU158=1,ISNUMBER(AW158),BB158=1),$AW158,1)</f>
        <v>0</v>
      </c>
      <c r="BE158">
        <f>IF(ISNUMBER(AB158),INDEX(AllCollegeILPub, MATCH(N158,AllCollegeNCES,0)),0)</f>
        <v>0</v>
      </c>
      <c r="BF158">
        <f>IF(AN158=ReachLabel,AS158,0)</f>
        <v>0</v>
      </c>
      <c r="BG158">
        <f>IF(AN158=MatchLabel,AS158,0)</f>
        <v>0</v>
      </c>
      <c r="BH158">
        <f>IF(AN158=SafetyLabel,AS158,0)</f>
        <v>0</v>
      </c>
      <c r="BI158">
        <f>IF(AN158=SecureLabel,AS158,0)</f>
        <v>0</v>
      </c>
      <c r="BJ158">
        <f>IF(AN158=SureThingLabel,AS158,0)</f>
        <v>0</v>
      </c>
      <c r="BK158">
        <f>MAX(BF158:BJ158)</f>
        <v>0</v>
      </c>
      <c r="BL158">
        <f>MAX(BG158:BJ158)</f>
        <v>0</v>
      </c>
      <c r="BM158">
        <f>MAX(BH158:BJ158)</f>
        <v>0</v>
      </c>
      <c r="BN158">
        <f>IF(AND(AN158=ReachLabel,BB158=1),AS158,0)</f>
        <v>0</v>
      </c>
      <c r="BO158">
        <f>IF(AND(AN158=MatchLabel,BB158=1),AS158,0)</f>
        <v>0</v>
      </c>
      <c r="BP158">
        <f>IF(AND(AN158=SafetyLabel,BB158=1),AS158,0)</f>
        <v>0</v>
      </c>
      <c r="BQ158">
        <f>IF(AND(AN158=SecureLabel,BB158=1),AS158,0)</f>
        <v>0</v>
      </c>
      <c r="BR158">
        <f>IF(AND(AN158=SureThingLabel,BB158=1),AS158,0)</f>
        <v>0</v>
      </c>
      <c r="BS158">
        <f>MAX(BN158:BR158)</f>
        <v>0</v>
      </c>
      <c r="BT158">
        <f>MAX(BO158:BR158)</f>
        <v>0</v>
      </c>
      <c r="BU158">
        <f>MAX(BP158:BR158)</f>
        <v>0</v>
      </c>
      <c r="BV158">
        <f>IF(ISNUMBER(AB158),INDEX(AllCollegeChicago, MATCH(N158,AllCollegeNCES,0))*BB158,0)</f>
        <v>0</v>
      </c>
      <c r="BW158">
        <f>IF(ISNUMBER(AB158),INDEX(AllCollegeMoneyCode, MATCH(N158,AllCollegeNCES,0)),"?")</f>
        <v>0</v>
      </c>
      <c r="BX158">
        <f>IF(OR(BW158="---",BW158="--",BW158="+/--",BW158="+/---"),1,0)</f>
        <v>0</v>
      </c>
      <c r="BY158">
        <f>BB158*AR158*AT158</f>
        <v>0</v>
      </c>
    </row>
    <row r="159" spans="1:77">
      <c r="A159" t="s">
        <v>96</v>
      </c>
      <c r="B159">
        <v>22573216</v>
      </c>
      <c r="C159" t="s">
        <v>99</v>
      </c>
      <c r="D159" t="s">
        <v>100</v>
      </c>
      <c r="E159" t="s">
        <v>446</v>
      </c>
      <c r="F159" t="s">
        <v>522</v>
      </c>
      <c r="G159" t="s">
        <v>448</v>
      </c>
      <c r="H159" t="s">
        <v>449</v>
      </c>
      <c r="I159" t="s">
        <v>450</v>
      </c>
      <c r="J159" t="s">
        <v>450</v>
      </c>
      <c r="K159">
        <v>0</v>
      </c>
      <c r="L159" t="s">
        <v>446</v>
      </c>
      <c r="M159" t="s">
        <v>446</v>
      </c>
      <c r="N159">
        <v>190415</v>
      </c>
      <c r="O159">
        <f>INDEX(Counselor,MATCH(B159,KidIDs,0))</f>
        <v>0</v>
      </c>
      <c r="P159">
        <f>INDEX(Advisors,MATCH(B159,KidIDs,0))</f>
        <v>0</v>
      </c>
      <c r="Q159">
        <f>INDEX(Cohort,MATCH(B159,KidIDs,0))</f>
        <v>0</v>
      </c>
      <c r="R159">
        <f>INDEX(AllCollegeBarrons,MATCH(N159,AllCollegeNCES,0))</f>
        <v>0</v>
      </c>
      <c r="S159">
        <f>INDEX(KidGPAs,MATCH(B159,KidIDs,0))</f>
        <v>0</v>
      </c>
      <c r="T159">
        <f>INDEX(KidSATs,MATCH(B159,KidIDs,0))</f>
        <v>0</v>
      </c>
      <c r="U159">
        <f>INDEX(Strats,MATCH(B159,KidIDs,0))</f>
        <v>0</v>
      </c>
      <c r="V159">
        <f>INDEX(KidRace,MATCH(B159,KidIDs,0))</f>
        <v>0</v>
      </c>
      <c r="W159">
        <f>IF(OR(V159="M",V159="I"),"H",IF(V159="P","A",V159))</f>
        <v>0</v>
      </c>
      <c r="X159">
        <f>INDEX(StudentTargets,MATCH(B159,KidIDs,0))</f>
        <v>0</v>
      </c>
      <c r="Y159">
        <f>INDEX(ReachStudentTargets,MATCH(B159,KidIDs,0))</f>
        <v>0</v>
      </c>
      <c r="Z159">
        <f>IF(OR(M159="Posse"),1,0)</f>
        <v>0</v>
      </c>
      <c r="AA159">
        <f>IF(ISNUMBER(INDEX(AllCollegeGR, MATCH(N159,AllCollegeNCES,0))),ROUND(INDEX(AllCollegeGR, MATCH(N159,AllCollegeNCES,0))+Z159*IF(INDEX(AllCollegeGR, MATCH(N159,AllCollegeNCES,0))&gt;0.7,(1-INDEX(AllCollegeGR, MATCH(N159,AllCollegeNCES,0)))/2,0.15),2),INDEX(AllCollegeGR, MATCH(N159,AllCollegeNCES,0)))</f>
        <v>0</v>
      </c>
      <c r="AB159">
        <f>IF(ISNUMBER(INDEX(AllCollegeAAHGR, MATCH(N159,AllCollegeNCES,0))),ROUND(INDEX(AllCollegeAAHGR, MATCH(N159,AllCollegeNCES,0))+Z159*IF(INDEX(AllCollegeAAHGR, MATCH(N159,AllCollegeNCES,0))&gt;0.7,(1-INDEX(AllCollegeAAHGR, MATCH(N159,AllCollegeNCES,0)))/2,0.15),2),INDEX(AllCollegeAAHGR, MATCH(N159,AllCollegeNCES,0)))</f>
        <v>0</v>
      </c>
      <c r="AC159">
        <f>IF(OR(W159="H",W159="B"),INDEX(AllCollegeSAT25, MATCH(N159,AllCollegeNCES,0)),INDEX(AllCollegeSAT50, MATCH(N159,AllCollegeNCES,0)))</f>
        <v>0</v>
      </c>
      <c r="AD159">
        <f>INDEX(CustomWeightsGPA,MATCH(W159&amp;":"&amp;N159,CustomWeightsIndex,0))</f>
        <v>0</v>
      </c>
      <c r="AE159">
        <f>INDEX(CustomWeightsSAT,MATCH(W159&amp;":"&amp;N159,CustomWeightsIndex,0))</f>
        <v>0</v>
      </c>
      <c r="AF159">
        <f>INDEX(CustomWeightsIntercept,MATCH(W159&amp;":"&amp;N159,CustomWeightsIndex,0))</f>
        <v>0</v>
      </c>
      <c r="AG159">
        <f>AD159*S159+AE159*T159+AF159</f>
        <v>0</v>
      </c>
      <c r="AH159">
        <f>INDEX(CoefficientsGPA,MATCH(W159&amp;":"&amp;R159,CoefficientsIndex,0))</f>
        <v>0</v>
      </c>
      <c r="AI159">
        <f>INDEX(CoefficientsSAT,MATCH(W159&amp;":"&amp;R159,CoefficientsIndex,0))</f>
        <v>0</v>
      </c>
      <c r="AJ159">
        <f>INDEX(CoefficientsIntercept,MATCH(W159&amp;":"&amp;R159,CoefficientsIndex,0))</f>
        <v>0</v>
      </c>
      <c r="AK159">
        <f>AH159*S159+(T159-AC159)*AI159+AJ159</f>
        <v>0</v>
      </c>
      <c r="AL159">
        <f>IF(ISNUMBER(AG159),AG159,AK159)</f>
        <v>0</v>
      </c>
      <c r="AM159">
        <f>IF(ISNUMBER(AL159),IF(ISNUMBER(AH159),IF(AND(AH159=1,AI159=1,AJ159=1),100,MIN(99,ROUND(100*EXP(AL159)/(1+EXP(AL159)),2))),MIN(99,ROUND(100*EXP(AL159)/(1+EXP(AL159)),2))),IF(ISTEXT(R159),IF(LEFT(R159,1)="2",100,"N/A"),"N/A"))</f>
        <v>0</v>
      </c>
      <c r="AN159">
        <f>IF(ISNUMBER(AM159),IF(AM159&gt;=99,IF(OR(U159=10,U159=11),MatchLabel,SureThingLabel),IF(AM159&gt;=95,SecureLabel,IF(AM159&gt;=80,SafetyLabel,IF(AM159&gt;=50,MatchLabel,IF(AM159&gt;=20,ReachLabel,IF(AM159&gt;=10,LongshotLabel,HailMaryLabel)))))),"Other")</f>
        <v>0</v>
      </c>
      <c r="AO159">
        <f>IF(OR(I159="accepted",I159="cond. accept",I159="summer admit"),IF(J159="yes","CHOICE!","Accepted!"),IF(I159="guar. transfer","Guar. Xfer",IF(I159="denied","Denied",IF(K159=1,"Waitlist",IF(L159=1,"Deferred",IF(G159="pending","Pending",IF(OR(G159="initial materials submitted",G159="mid-year submitted",G159="final submitted"),"Submitted",IF(H159="interest","Interest","?"))))))))</f>
        <v>0</v>
      </c>
      <c r="AP159">
        <f>IF(OR(AN159=ReachLabel,AN159=LongshotLabel,AN159=HailMaryLabel),1,0)</f>
        <v>0</v>
      </c>
      <c r="AQ159">
        <f>IF(OR(AP159=1,AN159=MatchLabel),1,0)</f>
        <v>0</v>
      </c>
      <c r="AR159">
        <f>IF(OR(AN159=MatchLabel,AN159=SafetyLabel,AN159=SecureLabel,AN159=SureThingLabel),1,0)</f>
        <v>0</v>
      </c>
      <c r="AS159">
        <f>IF(OR(W159="H",W159="B",W159="I",W159="M"),IF(ISNUMBER(AB159),ROUND(AB159,2),0),IF(ISNUMBER(AA159),ROUND(AA159,2),0))</f>
        <v>0</v>
      </c>
      <c r="AT159">
        <f>IF(AS159&gt;=X159,1,0)</f>
        <v>0</v>
      </c>
      <c r="AU159">
        <f>IF(AS159&gt;=Y159,1,0)</f>
        <v>0</v>
      </c>
      <c r="AV159">
        <f>IF(AS159&lt;(X159-0.10),1,0)</f>
        <v>0</v>
      </c>
      <c r="AW159">
        <f>1-AM159/100</f>
        <v>0</v>
      </c>
      <c r="AX159">
        <f>IF(AQ159=1,AW159,1)</f>
        <v>0</v>
      </c>
      <c r="AY159">
        <f>IF(AP159=1,AW159,1)</f>
        <v>0</v>
      </c>
      <c r="AZ159">
        <f>IF(AND(AT159=1,ISNUMBER(AW159)),$AW159,1)</f>
        <v>0</v>
      </c>
      <c r="BA159">
        <f>IF(AND(AU159=1,ISNUMBER(AW159)),$AW159,1)</f>
        <v>0</v>
      </c>
      <c r="BB159">
        <f>IF(ISNUMBER(AB159),INDEX(AllCollegeMoney, MATCH(N159,AllCollegeNCES,0)),0)</f>
        <v>0</v>
      </c>
      <c r="BC159">
        <f>IF(AND(AT159=1,ISNUMBER(AW159),BB159=1),$AW159,1)</f>
        <v>0</v>
      </c>
      <c r="BD159">
        <f>IF(AND(AU159=1,ISNUMBER(AW159),BB159=1),$AW159,1)</f>
        <v>0</v>
      </c>
      <c r="BE159">
        <f>IF(ISNUMBER(AB159),INDEX(AllCollegeILPub, MATCH(N159,AllCollegeNCES,0)),0)</f>
        <v>0</v>
      </c>
      <c r="BF159">
        <f>IF(AN159=ReachLabel,AS159,0)</f>
        <v>0</v>
      </c>
      <c r="BG159">
        <f>IF(AN159=MatchLabel,AS159,0)</f>
        <v>0</v>
      </c>
      <c r="BH159">
        <f>IF(AN159=SafetyLabel,AS159,0)</f>
        <v>0</v>
      </c>
      <c r="BI159">
        <f>IF(AN159=SecureLabel,AS159,0)</f>
        <v>0</v>
      </c>
      <c r="BJ159">
        <f>IF(AN159=SureThingLabel,AS159,0)</f>
        <v>0</v>
      </c>
      <c r="BK159">
        <f>MAX(BF159:BJ159)</f>
        <v>0</v>
      </c>
      <c r="BL159">
        <f>MAX(BG159:BJ159)</f>
        <v>0</v>
      </c>
      <c r="BM159">
        <f>MAX(BH159:BJ159)</f>
        <v>0</v>
      </c>
      <c r="BN159">
        <f>IF(AND(AN159=ReachLabel,BB159=1),AS159,0)</f>
        <v>0</v>
      </c>
      <c r="BO159">
        <f>IF(AND(AN159=MatchLabel,BB159=1),AS159,0)</f>
        <v>0</v>
      </c>
      <c r="BP159">
        <f>IF(AND(AN159=SafetyLabel,BB159=1),AS159,0)</f>
        <v>0</v>
      </c>
      <c r="BQ159">
        <f>IF(AND(AN159=SecureLabel,BB159=1),AS159,0)</f>
        <v>0</v>
      </c>
      <c r="BR159">
        <f>IF(AND(AN159=SureThingLabel,BB159=1),AS159,0)</f>
        <v>0</v>
      </c>
      <c r="BS159">
        <f>MAX(BN159:BR159)</f>
        <v>0</v>
      </c>
      <c r="BT159">
        <f>MAX(BO159:BR159)</f>
        <v>0</v>
      </c>
      <c r="BU159">
        <f>MAX(BP159:BR159)</f>
        <v>0</v>
      </c>
      <c r="BV159">
        <f>IF(ISNUMBER(AB159),INDEX(AllCollegeChicago, MATCH(N159,AllCollegeNCES,0))*BB159,0)</f>
        <v>0</v>
      </c>
      <c r="BW159">
        <f>IF(ISNUMBER(AB159),INDEX(AllCollegeMoneyCode, MATCH(N159,AllCollegeNCES,0)),"?")</f>
        <v>0</v>
      </c>
      <c r="BX159">
        <f>IF(OR(BW159="---",BW159="--",BW159="+/--",BW159="+/---"),1,0)</f>
        <v>0</v>
      </c>
      <c r="BY159">
        <f>BB159*AR159*AT159</f>
        <v>0</v>
      </c>
    </row>
    <row r="160" spans="1:77">
      <c r="A160" t="s">
        <v>96</v>
      </c>
      <c r="B160">
        <v>22573216</v>
      </c>
      <c r="C160" t="s">
        <v>99</v>
      </c>
      <c r="D160" t="s">
        <v>100</v>
      </c>
      <c r="E160" t="s">
        <v>446</v>
      </c>
      <c r="F160" t="s">
        <v>482</v>
      </c>
      <c r="G160" t="s">
        <v>479</v>
      </c>
      <c r="H160" t="s">
        <v>449</v>
      </c>
      <c r="I160" t="s">
        <v>450</v>
      </c>
      <c r="J160" t="s">
        <v>450</v>
      </c>
      <c r="K160">
        <v>0</v>
      </c>
      <c r="L160" t="s">
        <v>446</v>
      </c>
      <c r="M160" t="s">
        <v>446</v>
      </c>
      <c r="N160">
        <v>170976</v>
      </c>
      <c r="O160">
        <f>INDEX(Counselor,MATCH(B160,KidIDs,0))</f>
        <v>0</v>
      </c>
      <c r="P160">
        <f>INDEX(Advisors,MATCH(B160,KidIDs,0))</f>
        <v>0</v>
      </c>
      <c r="Q160">
        <f>INDEX(Cohort,MATCH(B160,KidIDs,0))</f>
        <v>0</v>
      </c>
      <c r="R160">
        <f>INDEX(AllCollegeBarrons,MATCH(N160,AllCollegeNCES,0))</f>
        <v>0</v>
      </c>
      <c r="S160">
        <f>INDEX(KidGPAs,MATCH(B160,KidIDs,0))</f>
        <v>0</v>
      </c>
      <c r="T160">
        <f>INDEX(KidSATs,MATCH(B160,KidIDs,0))</f>
        <v>0</v>
      </c>
      <c r="U160">
        <f>INDEX(Strats,MATCH(B160,KidIDs,0))</f>
        <v>0</v>
      </c>
      <c r="V160">
        <f>INDEX(KidRace,MATCH(B160,KidIDs,0))</f>
        <v>0</v>
      </c>
      <c r="W160">
        <f>IF(OR(V160="M",V160="I"),"H",IF(V160="P","A",V160))</f>
        <v>0</v>
      </c>
      <c r="X160">
        <f>INDEX(StudentTargets,MATCH(B160,KidIDs,0))</f>
        <v>0</v>
      </c>
      <c r="Y160">
        <f>INDEX(ReachStudentTargets,MATCH(B160,KidIDs,0))</f>
        <v>0</v>
      </c>
      <c r="Z160">
        <f>IF(OR(M160="Posse"),1,0)</f>
        <v>0</v>
      </c>
      <c r="AA160">
        <f>IF(ISNUMBER(INDEX(AllCollegeGR, MATCH(N160,AllCollegeNCES,0))),ROUND(INDEX(AllCollegeGR, MATCH(N160,AllCollegeNCES,0))+Z160*IF(INDEX(AllCollegeGR, MATCH(N160,AllCollegeNCES,0))&gt;0.7,(1-INDEX(AllCollegeGR, MATCH(N160,AllCollegeNCES,0)))/2,0.15),2),INDEX(AllCollegeGR, MATCH(N160,AllCollegeNCES,0)))</f>
        <v>0</v>
      </c>
      <c r="AB160">
        <f>IF(ISNUMBER(INDEX(AllCollegeAAHGR, MATCH(N160,AllCollegeNCES,0))),ROUND(INDEX(AllCollegeAAHGR, MATCH(N160,AllCollegeNCES,0))+Z160*IF(INDEX(AllCollegeAAHGR, MATCH(N160,AllCollegeNCES,0))&gt;0.7,(1-INDEX(AllCollegeAAHGR, MATCH(N160,AllCollegeNCES,0)))/2,0.15),2),INDEX(AllCollegeAAHGR, MATCH(N160,AllCollegeNCES,0)))</f>
        <v>0</v>
      </c>
      <c r="AC160">
        <f>IF(OR(W160="H",W160="B"),INDEX(AllCollegeSAT25, MATCH(N160,AllCollegeNCES,0)),INDEX(AllCollegeSAT50, MATCH(N160,AllCollegeNCES,0)))</f>
        <v>0</v>
      </c>
      <c r="AD160">
        <f>INDEX(CustomWeightsGPA,MATCH(W160&amp;":"&amp;N160,CustomWeightsIndex,0))</f>
        <v>0</v>
      </c>
      <c r="AE160">
        <f>INDEX(CustomWeightsSAT,MATCH(W160&amp;":"&amp;N160,CustomWeightsIndex,0))</f>
        <v>0</v>
      </c>
      <c r="AF160">
        <f>INDEX(CustomWeightsIntercept,MATCH(W160&amp;":"&amp;N160,CustomWeightsIndex,0))</f>
        <v>0</v>
      </c>
      <c r="AG160">
        <f>AD160*S160+AE160*T160+AF160</f>
        <v>0</v>
      </c>
      <c r="AH160">
        <f>INDEX(CoefficientsGPA,MATCH(W160&amp;":"&amp;R160,CoefficientsIndex,0))</f>
        <v>0</v>
      </c>
      <c r="AI160">
        <f>INDEX(CoefficientsSAT,MATCH(W160&amp;":"&amp;R160,CoefficientsIndex,0))</f>
        <v>0</v>
      </c>
      <c r="AJ160">
        <f>INDEX(CoefficientsIntercept,MATCH(W160&amp;":"&amp;R160,CoefficientsIndex,0))</f>
        <v>0</v>
      </c>
      <c r="AK160">
        <f>AH160*S160+(T160-AC160)*AI160+AJ160</f>
        <v>0</v>
      </c>
      <c r="AL160">
        <f>IF(ISNUMBER(AG160),AG160,AK160)</f>
        <v>0</v>
      </c>
      <c r="AM160">
        <f>IF(ISNUMBER(AL160),IF(ISNUMBER(AH160),IF(AND(AH160=1,AI160=1,AJ160=1),100,MIN(99,ROUND(100*EXP(AL160)/(1+EXP(AL160)),2))),MIN(99,ROUND(100*EXP(AL160)/(1+EXP(AL160)),2))),IF(ISTEXT(R160),IF(LEFT(R160,1)="2",100,"N/A"),"N/A"))</f>
        <v>0</v>
      </c>
      <c r="AN160">
        <f>IF(ISNUMBER(AM160),IF(AM160&gt;=99,IF(OR(U160=10,U160=11),MatchLabel,SureThingLabel),IF(AM160&gt;=95,SecureLabel,IF(AM160&gt;=80,SafetyLabel,IF(AM160&gt;=50,MatchLabel,IF(AM160&gt;=20,ReachLabel,IF(AM160&gt;=10,LongshotLabel,HailMaryLabel)))))),"Other")</f>
        <v>0</v>
      </c>
      <c r="AO160">
        <f>IF(OR(I160="accepted",I160="cond. accept",I160="summer admit"),IF(J160="yes","CHOICE!","Accepted!"),IF(I160="guar. transfer","Guar. Xfer",IF(I160="denied","Denied",IF(K160=1,"Waitlist",IF(L160=1,"Deferred",IF(G160="pending","Pending",IF(OR(G160="initial materials submitted",G160="mid-year submitted",G160="final submitted"),"Submitted",IF(H160="interest","Interest","?"))))))))</f>
        <v>0</v>
      </c>
      <c r="AP160">
        <f>IF(OR(AN160=ReachLabel,AN160=LongshotLabel,AN160=HailMaryLabel),1,0)</f>
        <v>0</v>
      </c>
      <c r="AQ160">
        <f>IF(OR(AP160=1,AN160=MatchLabel),1,0)</f>
        <v>0</v>
      </c>
      <c r="AR160">
        <f>IF(OR(AN160=MatchLabel,AN160=SafetyLabel,AN160=SecureLabel,AN160=SureThingLabel),1,0)</f>
        <v>0</v>
      </c>
      <c r="AS160">
        <f>IF(OR(W160="H",W160="B",W160="I",W160="M"),IF(ISNUMBER(AB160),ROUND(AB160,2),0),IF(ISNUMBER(AA160),ROUND(AA160,2),0))</f>
        <v>0</v>
      </c>
      <c r="AT160">
        <f>IF(AS160&gt;=X160,1,0)</f>
        <v>0</v>
      </c>
      <c r="AU160">
        <f>IF(AS160&gt;=Y160,1,0)</f>
        <v>0</v>
      </c>
      <c r="AV160">
        <f>IF(AS160&lt;(X160-0.10),1,0)</f>
        <v>0</v>
      </c>
      <c r="AW160">
        <f>1-AM160/100</f>
        <v>0</v>
      </c>
      <c r="AX160">
        <f>IF(AQ160=1,AW160,1)</f>
        <v>0</v>
      </c>
      <c r="AY160">
        <f>IF(AP160=1,AW160,1)</f>
        <v>0</v>
      </c>
      <c r="AZ160">
        <f>IF(AND(AT160=1,ISNUMBER(AW160)),$AW160,1)</f>
        <v>0</v>
      </c>
      <c r="BA160">
        <f>IF(AND(AU160=1,ISNUMBER(AW160)),$AW160,1)</f>
        <v>0</v>
      </c>
      <c r="BB160">
        <f>IF(ISNUMBER(AB160),INDEX(AllCollegeMoney, MATCH(N160,AllCollegeNCES,0)),0)</f>
        <v>0</v>
      </c>
      <c r="BC160">
        <f>IF(AND(AT160=1,ISNUMBER(AW160),BB160=1),$AW160,1)</f>
        <v>0</v>
      </c>
      <c r="BD160">
        <f>IF(AND(AU160=1,ISNUMBER(AW160),BB160=1),$AW160,1)</f>
        <v>0</v>
      </c>
      <c r="BE160">
        <f>IF(ISNUMBER(AB160),INDEX(AllCollegeILPub, MATCH(N160,AllCollegeNCES,0)),0)</f>
        <v>0</v>
      </c>
      <c r="BF160">
        <f>IF(AN160=ReachLabel,AS160,0)</f>
        <v>0</v>
      </c>
      <c r="BG160">
        <f>IF(AN160=MatchLabel,AS160,0)</f>
        <v>0</v>
      </c>
      <c r="BH160">
        <f>IF(AN160=SafetyLabel,AS160,0)</f>
        <v>0</v>
      </c>
      <c r="BI160">
        <f>IF(AN160=SecureLabel,AS160,0)</f>
        <v>0</v>
      </c>
      <c r="BJ160">
        <f>IF(AN160=SureThingLabel,AS160,0)</f>
        <v>0</v>
      </c>
      <c r="BK160">
        <f>MAX(BF160:BJ160)</f>
        <v>0</v>
      </c>
      <c r="BL160">
        <f>MAX(BG160:BJ160)</f>
        <v>0</v>
      </c>
      <c r="BM160">
        <f>MAX(BH160:BJ160)</f>
        <v>0</v>
      </c>
      <c r="BN160">
        <f>IF(AND(AN160=ReachLabel,BB160=1),AS160,0)</f>
        <v>0</v>
      </c>
      <c r="BO160">
        <f>IF(AND(AN160=MatchLabel,BB160=1),AS160,0)</f>
        <v>0</v>
      </c>
      <c r="BP160">
        <f>IF(AND(AN160=SafetyLabel,BB160=1),AS160,0)</f>
        <v>0</v>
      </c>
      <c r="BQ160">
        <f>IF(AND(AN160=SecureLabel,BB160=1),AS160,0)</f>
        <v>0</v>
      </c>
      <c r="BR160">
        <f>IF(AND(AN160=SureThingLabel,BB160=1),AS160,0)</f>
        <v>0</v>
      </c>
      <c r="BS160">
        <f>MAX(BN160:BR160)</f>
        <v>0</v>
      </c>
      <c r="BT160">
        <f>MAX(BO160:BR160)</f>
        <v>0</v>
      </c>
      <c r="BU160">
        <f>MAX(BP160:BR160)</f>
        <v>0</v>
      </c>
      <c r="BV160">
        <f>IF(ISNUMBER(AB160),INDEX(AllCollegeChicago, MATCH(N160,AllCollegeNCES,0))*BB160,0)</f>
        <v>0</v>
      </c>
      <c r="BW160">
        <f>IF(ISNUMBER(AB160),INDEX(AllCollegeMoneyCode, MATCH(N160,AllCollegeNCES,0)),"?")</f>
        <v>0</v>
      </c>
      <c r="BX160">
        <f>IF(OR(BW160="---",BW160="--",BW160="+/--",BW160="+/---"),1,0)</f>
        <v>0</v>
      </c>
      <c r="BY160">
        <f>BB160*AR160*AT160</f>
        <v>0</v>
      </c>
    </row>
    <row r="161" spans="1:77">
      <c r="A161" t="s">
        <v>96</v>
      </c>
      <c r="B161">
        <v>22573216</v>
      </c>
      <c r="C161" t="s">
        <v>99</v>
      </c>
      <c r="D161" t="s">
        <v>100</v>
      </c>
      <c r="E161" t="s">
        <v>446</v>
      </c>
      <c r="F161" t="s">
        <v>470</v>
      </c>
      <c r="G161" t="s">
        <v>479</v>
      </c>
      <c r="H161" t="s">
        <v>449</v>
      </c>
      <c r="I161" t="s">
        <v>450</v>
      </c>
      <c r="J161" t="s">
        <v>450</v>
      </c>
      <c r="K161">
        <v>0</v>
      </c>
      <c r="L161" t="s">
        <v>446</v>
      </c>
      <c r="M161" t="s">
        <v>446</v>
      </c>
      <c r="N161">
        <v>240444</v>
      </c>
      <c r="O161">
        <f>INDEX(Counselor,MATCH(B161,KidIDs,0))</f>
        <v>0</v>
      </c>
      <c r="P161">
        <f>INDEX(Advisors,MATCH(B161,KidIDs,0))</f>
        <v>0</v>
      </c>
      <c r="Q161">
        <f>INDEX(Cohort,MATCH(B161,KidIDs,0))</f>
        <v>0</v>
      </c>
      <c r="R161">
        <f>INDEX(AllCollegeBarrons,MATCH(N161,AllCollegeNCES,0))</f>
        <v>0</v>
      </c>
      <c r="S161">
        <f>INDEX(KidGPAs,MATCH(B161,KidIDs,0))</f>
        <v>0</v>
      </c>
      <c r="T161">
        <f>INDEX(KidSATs,MATCH(B161,KidIDs,0))</f>
        <v>0</v>
      </c>
      <c r="U161">
        <f>INDEX(Strats,MATCH(B161,KidIDs,0))</f>
        <v>0</v>
      </c>
      <c r="V161">
        <f>INDEX(KidRace,MATCH(B161,KidIDs,0))</f>
        <v>0</v>
      </c>
      <c r="W161">
        <f>IF(OR(V161="M",V161="I"),"H",IF(V161="P","A",V161))</f>
        <v>0</v>
      </c>
      <c r="X161">
        <f>INDEX(StudentTargets,MATCH(B161,KidIDs,0))</f>
        <v>0</v>
      </c>
      <c r="Y161">
        <f>INDEX(ReachStudentTargets,MATCH(B161,KidIDs,0))</f>
        <v>0</v>
      </c>
      <c r="Z161">
        <f>IF(OR(M161="Posse"),1,0)</f>
        <v>0</v>
      </c>
      <c r="AA161">
        <f>IF(ISNUMBER(INDEX(AllCollegeGR, MATCH(N161,AllCollegeNCES,0))),ROUND(INDEX(AllCollegeGR, MATCH(N161,AllCollegeNCES,0))+Z161*IF(INDEX(AllCollegeGR, MATCH(N161,AllCollegeNCES,0))&gt;0.7,(1-INDEX(AllCollegeGR, MATCH(N161,AllCollegeNCES,0)))/2,0.15),2),INDEX(AllCollegeGR, MATCH(N161,AllCollegeNCES,0)))</f>
        <v>0</v>
      </c>
      <c r="AB161">
        <f>IF(ISNUMBER(INDEX(AllCollegeAAHGR, MATCH(N161,AllCollegeNCES,0))),ROUND(INDEX(AllCollegeAAHGR, MATCH(N161,AllCollegeNCES,0))+Z161*IF(INDEX(AllCollegeAAHGR, MATCH(N161,AllCollegeNCES,0))&gt;0.7,(1-INDEX(AllCollegeAAHGR, MATCH(N161,AllCollegeNCES,0)))/2,0.15),2),INDEX(AllCollegeAAHGR, MATCH(N161,AllCollegeNCES,0)))</f>
        <v>0</v>
      </c>
      <c r="AC161">
        <f>IF(OR(W161="H",W161="B"),INDEX(AllCollegeSAT25, MATCH(N161,AllCollegeNCES,0)),INDEX(AllCollegeSAT50, MATCH(N161,AllCollegeNCES,0)))</f>
        <v>0</v>
      </c>
      <c r="AD161">
        <f>INDEX(CustomWeightsGPA,MATCH(W161&amp;":"&amp;N161,CustomWeightsIndex,0))</f>
        <v>0</v>
      </c>
      <c r="AE161">
        <f>INDEX(CustomWeightsSAT,MATCH(W161&amp;":"&amp;N161,CustomWeightsIndex,0))</f>
        <v>0</v>
      </c>
      <c r="AF161">
        <f>INDEX(CustomWeightsIntercept,MATCH(W161&amp;":"&amp;N161,CustomWeightsIndex,0))</f>
        <v>0</v>
      </c>
      <c r="AG161">
        <f>AD161*S161+AE161*T161+AF161</f>
        <v>0</v>
      </c>
      <c r="AH161">
        <f>INDEX(CoefficientsGPA,MATCH(W161&amp;":"&amp;R161,CoefficientsIndex,0))</f>
        <v>0</v>
      </c>
      <c r="AI161">
        <f>INDEX(CoefficientsSAT,MATCH(W161&amp;":"&amp;R161,CoefficientsIndex,0))</f>
        <v>0</v>
      </c>
      <c r="AJ161">
        <f>INDEX(CoefficientsIntercept,MATCH(W161&amp;":"&amp;R161,CoefficientsIndex,0))</f>
        <v>0</v>
      </c>
      <c r="AK161">
        <f>AH161*S161+(T161-AC161)*AI161+AJ161</f>
        <v>0</v>
      </c>
      <c r="AL161">
        <f>IF(ISNUMBER(AG161),AG161,AK161)</f>
        <v>0</v>
      </c>
      <c r="AM161">
        <f>IF(ISNUMBER(AL161),IF(ISNUMBER(AH161),IF(AND(AH161=1,AI161=1,AJ161=1),100,MIN(99,ROUND(100*EXP(AL161)/(1+EXP(AL161)),2))),MIN(99,ROUND(100*EXP(AL161)/(1+EXP(AL161)),2))),IF(ISTEXT(R161),IF(LEFT(R161,1)="2",100,"N/A"),"N/A"))</f>
        <v>0</v>
      </c>
      <c r="AN161">
        <f>IF(ISNUMBER(AM161),IF(AM161&gt;=99,IF(OR(U161=10,U161=11),MatchLabel,SureThingLabel),IF(AM161&gt;=95,SecureLabel,IF(AM161&gt;=80,SafetyLabel,IF(AM161&gt;=50,MatchLabel,IF(AM161&gt;=20,ReachLabel,IF(AM161&gt;=10,LongshotLabel,HailMaryLabel)))))),"Other")</f>
        <v>0</v>
      </c>
      <c r="AO161">
        <f>IF(OR(I161="accepted",I161="cond. accept",I161="summer admit"),IF(J161="yes","CHOICE!","Accepted!"),IF(I161="guar. transfer","Guar. Xfer",IF(I161="denied","Denied",IF(K161=1,"Waitlist",IF(L161=1,"Deferred",IF(G161="pending","Pending",IF(OR(G161="initial materials submitted",G161="mid-year submitted",G161="final submitted"),"Submitted",IF(H161="interest","Interest","?"))))))))</f>
        <v>0</v>
      </c>
      <c r="AP161">
        <f>IF(OR(AN161=ReachLabel,AN161=LongshotLabel,AN161=HailMaryLabel),1,0)</f>
        <v>0</v>
      </c>
      <c r="AQ161">
        <f>IF(OR(AP161=1,AN161=MatchLabel),1,0)</f>
        <v>0</v>
      </c>
      <c r="AR161">
        <f>IF(OR(AN161=MatchLabel,AN161=SafetyLabel,AN161=SecureLabel,AN161=SureThingLabel),1,0)</f>
        <v>0</v>
      </c>
      <c r="AS161">
        <f>IF(OR(W161="H",W161="B",W161="I",W161="M"),IF(ISNUMBER(AB161),ROUND(AB161,2),0),IF(ISNUMBER(AA161),ROUND(AA161,2),0))</f>
        <v>0</v>
      </c>
      <c r="AT161">
        <f>IF(AS161&gt;=X161,1,0)</f>
        <v>0</v>
      </c>
      <c r="AU161">
        <f>IF(AS161&gt;=Y161,1,0)</f>
        <v>0</v>
      </c>
      <c r="AV161">
        <f>IF(AS161&lt;(X161-0.10),1,0)</f>
        <v>0</v>
      </c>
      <c r="AW161">
        <f>1-AM161/100</f>
        <v>0</v>
      </c>
      <c r="AX161">
        <f>IF(AQ161=1,AW161,1)</f>
        <v>0</v>
      </c>
      <c r="AY161">
        <f>IF(AP161=1,AW161,1)</f>
        <v>0</v>
      </c>
      <c r="AZ161">
        <f>IF(AND(AT161=1,ISNUMBER(AW161)),$AW161,1)</f>
        <v>0</v>
      </c>
      <c r="BA161">
        <f>IF(AND(AU161=1,ISNUMBER(AW161)),$AW161,1)</f>
        <v>0</v>
      </c>
      <c r="BB161">
        <f>IF(ISNUMBER(AB161),INDEX(AllCollegeMoney, MATCH(N161,AllCollegeNCES,0)),0)</f>
        <v>0</v>
      </c>
      <c r="BC161">
        <f>IF(AND(AT161=1,ISNUMBER(AW161),BB161=1),$AW161,1)</f>
        <v>0</v>
      </c>
      <c r="BD161">
        <f>IF(AND(AU161=1,ISNUMBER(AW161),BB161=1),$AW161,1)</f>
        <v>0</v>
      </c>
      <c r="BE161">
        <f>IF(ISNUMBER(AB161),INDEX(AllCollegeILPub, MATCH(N161,AllCollegeNCES,0)),0)</f>
        <v>0</v>
      </c>
      <c r="BF161">
        <f>IF(AN161=ReachLabel,AS161,0)</f>
        <v>0</v>
      </c>
      <c r="BG161">
        <f>IF(AN161=MatchLabel,AS161,0)</f>
        <v>0</v>
      </c>
      <c r="BH161">
        <f>IF(AN161=SafetyLabel,AS161,0)</f>
        <v>0</v>
      </c>
      <c r="BI161">
        <f>IF(AN161=SecureLabel,AS161,0)</f>
        <v>0</v>
      </c>
      <c r="BJ161">
        <f>IF(AN161=SureThingLabel,AS161,0)</f>
        <v>0</v>
      </c>
      <c r="BK161">
        <f>MAX(BF161:BJ161)</f>
        <v>0</v>
      </c>
      <c r="BL161">
        <f>MAX(BG161:BJ161)</f>
        <v>0</v>
      </c>
      <c r="BM161">
        <f>MAX(BH161:BJ161)</f>
        <v>0</v>
      </c>
      <c r="BN161">
        <f>IF(AND(AN161=ReachLabel,BB161=1),AS161,0)</f>
        <v>0</v>
      </c>
      <c r="BO161">
        <f>IF(AND(AN161=MatchLabel,BB161=1),AS161,0)</f>
        <v>0</v>
      </c>
      <c r="BP161">
        <f>IF(AND(AN161=SafetyLabel,BB161=1),AS161,0)</f>
        <v>0</v>
      </c>
      <c r="BQ161">
        <f>IF(AND(AN161=SecureLabel,BB161=1),AS161,0)</f>
        <v>0</v>
      </c>
      <c r="BR161">
        <f>IF(AND(AN161=SureThingLabel,BB161=1),AS161,0)</f>
        <v>0</v>
      </c>
      <c r="BS161">
        <f>MAX(BN161:BR161)</f>
        <v>0</v>
      </c>
      <c r="BT161">
        <f>MAX(BO161:BR161)</f>
        <v>0</v>
      </c>
      <c r="BU161">
        <f>MAX(BP161:BR161)</f>
        <v>0</v>
      </c>
      <c r="BV161">
        <f>IF(ISNUMBER(AB161),INDEX(AllCollegeChicago, MATCH(N161,AllCollegeNCES,0))*BB161,0)</f>
        <v>0</v>
      </c>
      <c r="BW161">
        <f>IF(ISNUMBER(AB161),INDEX(AllCollegeMoneyCode, MATCH(N161,AllCollegeNCES,0)),"?")</f>
        <v>0</v>
      </c>
      <c r="BX161">
        <f>IF(OR(BW161="---",BW161="--",BW161="+/--",BW161="+/---"),1,0)</f>
        <v>0</v>
      </c>
      <c r="BY161">
        <f>BB161*AR161*AT161</f>
        <v>0</v>
      </c>
    </row>
    <row r="162" spans="1:77">
      <c r="A162" t="s">
        <v>96</v>
      </c>
      <c r="B162">
        <v>22573216</v>
      </c>
      <c r="C162" t="s">
        <v>99</v>
      </c>
      <c r="D162" t="s">
        <v>100</v>
      </c>
      <c r="E162" t="s">
        <v>446</v>
      </c>
      <c r="F162" t="s">
        <v>523</v>
      </c>
      <c r="G162" t="s">
        <v>448</v>
      </c>
      <c r="H162" t="s">
        <v>449</v>
      </c>
      <c r="I162" t="s">
        <v>450</v>
      </c>
      <c r="J162" t="s">
        <v>450</v>
      </c>
      <c r="K162">
        <v>0</v>
      </c>
      <c r="L162" t="s">
        <v>446</v>
      </c>
      <c r="M162" t="s">
        <v>446</v>
      </c>
      <c r="N162">
        <v>120254</v>
      </c>
      <c r="O162">
        <f>INDEX(Counselor,MATCH(B162,KidIDs,0))</f>
        <v>0</v>
      </c>
      <c r="P162">
        <f>INDEX(Advisors,MATCH(B162,KidIDs,0))</f>
        <v>0</v>
      </c>
      <c r="Q162">
        <f>INDEX(Cohort,MATCH(B162,KidIDs,0))</f>
        <v>0</v>
      </c>
      <c r="R162">
        <f>INDEX(AllCollegeBarrons,MATCH(N162,AllCollegeNCES,0))</f>
        <v>0</v>
      </c>
      <c r="S162">
        <f>INDEX(KidGPAs,MATCH(B162,KidIDs,0))</f>
        <v>0</v>
      </c>
      <c r="T162">
        <f>INDEX(KidSATs,MATCH(B162,KidIDs,0))</f>
        <v>0</v>
      </c>
      <c r="U162">
        <f>INDEX(Strats,MATCH(B162,KidIDs,0))</f>
        <v>0</v>
      </c>
      <c r="V162">
        <f>INDEX(KidRace,MATCH(B162,KidIDs,0))</f>
        <v>0</v>
      </c>
      <c r="W162">
        <f>IF(OR(V162="M",V162="I"),"H",IF(V162="P","A",V162))</f>
        <v>0</v>
      </c>
      <c r="X162">
        <f>INDEX(StudentTargets,MATCH(B162,KidIDs,0))</f>
        <v>0</v>
      </c>
      <c r="Y162">
        <f>INDEX(ReachStudentTargets,MATCH(B162,KidIDs,0))</f>
        <v>0</v>
      </c>
      <c r="Z162">
        <f>IF(OR(M162="Posse"),1,0)</f>
        <v>0</v>
      </c>
      <c r="AA162">
        <f>IF(ISNUMBER(INDEX(AllCollegeGR, MATCH(N162,AllCollegeNCES,0))),ROUND(INDEX(AllCollegeGR, MATCH(N162,AllCollegeNCES,0))+Z162*IF(INDEX(AllCollegeGR, MATCH(N162,AllCollegeNCES,0))&gt;0.7,(1-INDEX(AllCollegeGR, MATCH(N162,AllCollegeNCES,0)))/2,0.15),2),INDEX(AllCollegeGR, MATCH(N162,AllCollegeNCES,0)))</f>
        <v>0</v>
      </c>
      <c r="AB162">
        <f>IF(ISNUMBER(INDEX(AllCollegeAAHGR, MATCH(N162,AllCollegeNCES,0))),ROUND(INDEX(AllCollegeAAHGR, MATCH(N162,AllCollegeNCES,0))+Z162*IF(INDEX(AllCollegeAAHGR, MATCH(N162,AllCollegeNCES,0))&gt;0.7,(1-INDEX(AllCollegeAAHGR, MATCH(N162,AllCollegeNCES,0)))/2,0.15),2),INDEX(AllCollegeAAHGR, MATCH(N162,AllCollegeNCES,0)))</f>
        <v>0</v>
      </c>
      <c r="AC162">
        <f>IF(OR(W162="H",W162="B"),INDEX(AllCollegeSAT25, MATCH(N162,AllCollegeNCES,0)),INDEX(AllCollegeSAT50, MATCH(N162,AllCollegeNCES,0)))</f>
        <v>0</v>
      </c>
      <c r="AD162">
        <f>INDEX(CustomWeightsGPA,MATCH(W162&amp;":"&amp;N162,CustomWeightsIndex,0))</f>
        <v>0</v>
      </c>
      <c r="AE162">
        <f>INDEX(CustomWeightsSAT,MATCH(W162&amp;":"&amp;N162,CustomWeightsIndex,0))</f>
        <v>0</v>
      </c>
      <c r="AF162">
        <f>INDEX(CustomWeightsIntercept,MATCH(W162&amp;":"&amp;N162,CustomWeightsIndex,0))</f>
        <v>0</v>
      </c>
      <c r="AG162">
        <f>AD162*S162+AE162*T162+AF162</f>
        <v>0</v>
      </c>
      <c r="AH162">
        <f>INDEX(CoefficientsGPA,MATCH(W162&amp;":"&amp;R162,CoefficientsIndex,0))</f>
        <v>0</v>
      </c>
      <c r="AI162">
        <f>INDEX(CoefficientsSAT,MATCH(W162&amp;":"&amp;R162,CoefficientsIndex,0))</f>
        <v>0</v>
      </c>
      <c r="AJ162">
        <f>INDEX(CoefficientsIntercept,MATCH(W162&amp;":"&amp;R162,CoefficientsIndex,0))</f>
        <v>0</v>
      </c>
      <c r="AK162">
        <f>AH162*S162+(T162-AC162)*AI162+AJ162</f>
        <v>0</v>
      </c>
      <c r="AL162">
        <f>IF(ISNUMBER(AG162),AG162,AK162)</f>
        <v>0</v>
      </c>
      <c r="AM162">
        <f>IF(ISNUMBER(AL162),IF(ISNUMBER(AH162),IF(AND(AH162=1,AI162=1,AJ162=1),100,MIN(99,ROUND(100*EXP(AL162)/(1+EXP(AL162)),2))),MIN(99,ROUND(100*EXP(AL162)/(1+EXP(AL162)),2))),IF(ISTEXT(R162),IF(LEFT(R162,1)="2",100,"N/A"),"N/A"))</f>
        <v>0</v>
      </c>
      <c r="AN162">
        <f>IF(ISNUMBER(AM162),IF(AM162&gt;=99,IF(OR(U162=10,U162=11),MatchLabel,SureThingLabel),IF(AM162&gt;=95,SecureLabel,IF(AM162&gt;=80,SafetyLabel,IF(AM162&gt;=50,MatchLabel,IF(AM162&gt;=20,ReachLabel,IF(AM162&gt;=10,LongshotLabel,HailMaryLabel)))))),"Other")</f>
        <v>0</v>
      </c>
      <c r="AO162">
        <f>IF(OR(I162="accepted",I162="cond. accept",I162="summer admit"),IF(J162="yes","CHOICE!","Accepted!"),IF(I162="guar. transfer","Guar. Xfer",IF(I162="denied","Denied",IF(K162=1,"Waitlist",IF(L162=1,"Deferred",IF(G162="pending","Pending",IF(OR(G162="initial materials submitted",G162="mid-year submitted",G162="final submitted"),"Submitted",IF(H162="interest","Interest","?"))))))))</f>
        <v>0</v>
      </c>
      <c r="AP162">
        <f>IF(OR(AN162=ReachLabel,AN162=LongshotLabel,AN162=HailMaryLabel),1,0)</f>
        <v>0</v>
      </c>
      <c r="AQ162">
        <f>IF(OR(AP162=1,AN162=MatchLabel),1,0)</f>
        <v>0</v>
      </c>
      <c r="AR162">
        <f>IF(OR(AN162=MatchLabel,AN162=SafetyLabel,AN162=SecureLabel,AN162=SureThingLabel),1,0)</f>
        <v>0</v>
      </c>
      <c r="AS162">
        <f>IF(OR(W162="H",W162="B",W162="I",W162="M"),IF(ISNUMBER(AB162),ROUND(AB162,2),0),IF(ISNUMBER(AA162),ROUND(AA162,2),0))</f>
        <v>0</v>
      </c>
      <c r="AT162">
        <f>IF(AS162&gt;=X162,1,0)</f>
        <v>0</v>
      </c>
      <c r="AU162">
        <f>IF(AS162&gt;=Y162,1,0)</f>
        <v>0</v>
      </c>
      <c r="AV162">
        <f>IF(AS162&lt;(X162-0.10),1,0)</f>
        <v>0</v>
      </c>
      <c r="AW162">
        <f>1-AM162/100</f>
        <v>0</v>
      </c>
      <c r="AX162">
        <f>IF(AQ162=1,AW162,1)</f>
        <v>0</v>
      </c>
      <c r="AY162">
        <f>IF(AP162=1,AW162,1)</f>
        <v>0</v>
      </c>
      <c r="AZ162">
        <f>IF(AND(AT162=1,ISNUMBER(AW162)),$AW162,1)</f>
        <v>0</v>
      </c>
      <c r="BA162">
        <f>IF(AND(AU162=1,ISNUMBER(AW162)),$AW162,1)</f>
        <v>0</v>
      </c>
      <c r="BB162">
        <f>IF(ISNUMBER(AB162),INDEX(AllCollegeMoney, MATCH(N162,AllCollegeNCES,0)),0)</f>
        <v>0</v>
      </c>
      <c r="BC162">
        <f>IF(AND(AT162=1,ISNUMBER(AW162),BB162=1),$AW162,1)</f>
        <v>0</v>
      </c>
      <c r="BD162">
        <f>IF(AND(AU162=1,ISNUMBER(AW162),BB162=1),$AW162,1)</f>
        <v>0</v>
      </c>
      <c r="BE162">
        <f>IF(ISNUMBER(AB162),INDEX(AllCollegeILPub, MATCH(N162,AllCollegeNCES,0)),0)</f>
        <v>0</v>
      </c>
      <c r="BF162">
        <f>IF(AN162=ReachLabel,AS162,0)</f>
        <v>0</v>
      </c>
      <c r="BG162">
        <f>IF(AN162=MatchLabel,AS162,0)</f>
        <v>0</v>
      </c>
      <c r="BH162">
        <f>IF(AN162=SafetyLabel,AS162,0)</f>
        <v>0</v>
      </c>
      <c r="BI162">
        <f>IF(AN162=SecureLabel,AS162,0)</f>
        <v>0</v>
      </c>
      <c r="BJ162">
        <f>IF(AN162=SureThingLabel,AS162,0)</f>
        <v>0</v>
      </c>
      <c r="BK162">
        <f>MAX(BF162:BJ162)</f>
        <v>0</v>
      </c>
      <c r="BL162">
        <f>MAX(BG162:BJ162)</f>
        <v>0</v>
      </c>
      <c r="BM162">
        <f>MAX(BH162:BJ162)</f>
        <v>0</v>
      </c>
      <c r="BN162">
        <f>IF(AND(AN162=ReachLabel,BB162=1),AS162,0)</f>
        <v>0</v>
      </c>
      <c r="BO162">
        <f>IF(AND(AN162=MatchLabel,BB162=1),AS162,0)</f>
        <v>0</v>
      </c>
      <c r="BP162">
        <f>IF(AND(AN162=SafetyLabel,BB162=1),AS162,0)</f>
        <v>0</v>
      </c>
      <c r="BQ162">
        <f>IF(AND(AN162=SecureLabel,BB162=1),AS162,0)</f>
        <v>0</v>
      </c>
      <c r="BR162">
        <f>IF(AND(AN162=SureThingLabel,BB162=1),AS162,0)</f>
        <v>0</v>
      </c>
      <c r="BS162">
        <f>MAX(BN162:BR162)</f>
        <v>0</v>
      </c>
      <c r="BT162">
        <f>MAX(BO162:BR162)</f>
        <v>0</v>
      </c>
      <c r="BU162">
        <f>MAX(BP162:BR162)</f>
        <v>0</v>
      </c>
      <c r="BV162">
        <f>IF(ISNUMBER(AB162),INDEX(AllCollegeChicago, MATCH(N162,AllCollegeNCES,0))*BB162,0)</f>
        <v>0</v>
      </c>
      <c r="BW162">
        <f>IF(ISNUMBER(AB162),INDEX(AllCollegeMoneyCode, MATCH(N162,AllCollegeNCES,0)),"?")</f>
        <v>0</v>
      </c>
      <c r="BX162">
        <f>IF(OR(BW162="---",BW162="--",BW162="+/--",BW162="+/---"),1,0)</f>
        <v>0</v>
      </c>
      <c r="BY162">
        <f>BB162*AR162*AT162</f>
        <v>0</v>
      </c>
    </row>
    <row r="163" spans="1:77">
      <c r="A163" t="s">
        <v>96</v>
      </c>
      <c r="B163">
        <v>22573216</v>
      </c>
      <c r="C163" t="s">
        <v>99</v>
      </c>
      <c r="D163" t="s">
        <v>100</v>
      </c>
      <c r="E163" t="s">
        <v>446</v>
      </c>
      <c r="F163" t="s">
        <v>471</v>
      </c>
      <c r="G163" t="s">
        <v>479</v>
      </c>
      <c r="H163" t="s">
        <v>449</v>
      </c>
      <c r="I163" t="s">
        <v>450</v>
      </c>
      <c r="J163" t="s">
        <v>450</v>
      </c>
      <c r="K163">
        <v>0</v>
      </c>
      <c r="L163" t="s">
        <v>446</v>
      </c>
      <c r="M163" t="s">
        <v>446</v>
      </c>
      <c r="N163">
        <v>202523</v>
      </c>
      <c r="O163">
        <f>INDEX(Counselor,MATCH(B163,KidIDs,0))</f>
        <v>0</v>
      </c>
      <c r="P163">
        <f>INDEX(Advisors,MATCH(B163,KidIDs,0))</f>
        <v>0</v>
      </c>
      <c r="Q163">
        <f>INDEX(Cohort,MATCH(B163,KidIDs,0))</f>
        <v>0</v>
      </c>
      <c r="R163">
        <f>INDEX(AllCollegeBarrons,MATCH(N163,AllCollegeNCES,0))</f>
        <v>0</v>
      </c>
      <c r="S163">
        <f>INDEX(KidGPAs,MATCH(B163,KidIDs,0))</f>
        <v>0</v>
      </c>
      <c r="T163">
        <f>INDEX(KidSATs,MATCH(B163,KidIDs,0))</f>
        <v>0</v>
      </c>
      <c r="U163">
        <f>INDEX(Strats,MATCH(B163,KidIDs,0))</f>
        <v>0</v>
      </c>
      <c r="V163">
        <f>INDEX(KidRace,MATCH(B163,KidIDs,0))</f>
        <v>0</v>
      </c>
      <c r="W163">
        <f>IF(OR(V163="M",V163="I"),"H",IF(V163="P","A",V163))</f>
        <v>0</v>
      </c>
      <c r="X163">
        <f>INDEX(StudentTargets,MATCH(B163,KidIDs,0))</f>
        <v>0</v>
      </c>
      <c r="Y163">
        <f>INDEX(ReachStudentTargets,MATCH(B163,KidIDs,0))</f>
        <v>0</v>
      </c>
      <c r="Z163">
        <f>IF(OR(M163="Posse"),1,0)</f>
        <v>0</v>
      </c>
      <c r="AA163">
        <f>IF(ISNUMBER(INDEX(AllCollegeGR, MATCH(N163,AllCollegeNCES,0))),ROUND(INDEX(AllCollegeGR, MATCH(N163,AllCollegeNCES,0))+Z163*IF(INDEX(AllCollegeGR, MATCH(N163,AllCollegeNCES,0))&gt;0.7,(1-INDEX(AllCollegeGR, MATCH(N163,AllCollegeNCES,0)))/2,0.15),2),INDEX(AllCollegeGR, MATCH(N163,AllCollegeNCES,0)))</f>
        <v>0</v>
      </c>
      <c r="AB163">
        <f>IF(ISNUMBER(INDEX(AllCollegeAAHGR, MATCH(N163,AllCollegeNCES,0))),ROUND(INDEX(AllCollegeAAHGR, MATCH(N163,AllCollegeNCES,0))+Z163*IF(INDEX(AllCollegeAAHGR, MATCH(N163,AllCollegeNCES,0))&gt;0.7,(1-INDEX(AllCollegeAAHGR, MATCH(N163,AllCollegeNCES,0)))/2,0.15),2),INDEX(AllCollegeAAHGR, MATCH(N163,AllCollegeNCES,0)))</f>
        <v>0</v>
      </c>
      <c r="AC163">
        <f>IF(OR(W163="H",W163="B"),INDEX(AllCollegeSAT25, MATCH(N163,AllCollegeNCES,0)),INDEX(AllCollegeSAT50, MATCH(N163,AllCollegeNCES,0)))</f>
        <v>0</v>
      </c>
      <c r="AD163">
        <f>INDEX(CustomWeightsGPA,MATCH(W163&amp;":"&amp;N163,CustomWeightsIndex,0))</f>
        <v>0</v>
      </c>
      <c r="AE163">
        <f>INDEX(CustomWeightsSAT,MATCH(W163&amp;":"&amp;N163,CustomWeightsIndex,0))</f>
        <v>0</v>
      </c>
      <c r="AF163">
        <f>INDEX(CustomWeightsIntercept,MATCH(W163&amp;":"&amp;N163,CustomWeightsIndex,0))</f>
        <v>0</v>
      </c>
      <c r="AG163">
        <f>AD163*S163+AE163*T163+AF163</f>
        <v>0</v>
      </c>
      <c r="AH163">
        <f>INDEX(CoefficientsGPA,MATCH(W163&amp;":"&amp;R163,CoefficientsIndex,0))</f>
        <v>0</v>
      </c>
      <c r="AI163">
        <f>INDEX(CoefficientsSAT,MATCH(W163&amp;":"&amp;R163,CoefficientsIndex,0))</f>
        <v>0</v>
      </c>
      <c r="AJ163">
        <f>INDEX(CoefficientsIntercept,MATCH(W163&amp;":"&amp;R163,CoefficientsIndex,0))</f>
        <v>0</v>
      </c>
      <c r="AK163">
        <f>AH163*S163+(T163-AC163)*AI163+AJ163</f>
        <v>0</v>
      </c>
      <c r="AL163">
        <f>IF(ISNUMBER(AG163),AG163,AK163)</f>
        <v>0</v>
      </c>
      <c r="AM163">
        <f>IF(ISNUMBER(AL163),IF(ISNUMBER(AH163),IF(AND(AH163=1,AI163=1,AJ163=1),100,MIN(99,ROUND(100*EXP(AL163)/(1+EXP(AL163)),2))),MIN(99,ROUND(100*EXP(AL163)/(1+EXP(AL163)),2))),IF(ISTEXT(R163),IF(LEFT(R163,1)="2",100,"N/A"),"N/A"))</f>
        <v>0</v>
      </c>
      <c r="AN163">
        <f>IF(ISNUMBER(AM163),IF(AM163&gt;=99,IF(OR(U163=10,U163=11),MatchLabel,SureThingLabel),IF(AM163&gt;=95,SecureLabel,IF(AM163&gt;=80,SafetyLabel,IF(AM163&gt;=50,MatchLabel,IF(AM163&gt;=20,ReachLabel,IF(AM163&gt;=10,LongshotLabel,HailMaryLabel)))))),"Other")</f>
        <v>0</v>
      </c>
      <c r="AO163">
        <f>IF(OR(I163="accepted",I163="cond. accept",I163="summer admit"),IF(J163="yes","CHOICE!","Accepted!"),IF(I163="guar. transfer","Guar. Xfer",IF(I163="denied","Denied",IF(K163=1,"Waitlist",IF(L163=1,"Deferred",IF(G163="pending","Pending",IF(OR(G163="initial materials submitted",G163="mid-year submitted",G163="final submitted"),"Submitted",IF(H163="interest","Interest","?"))))))))</f>
        <v>0</v>
      </c>
      <c r="AP163">
        <f>IF(OR(AN163=ReachLabel,AN163=LongshotLabel,AN163=HailMaryLabel),1,0)</f>
        <v>0</v>
      </c>
      <c r="AQ163">
        <f>IF(OR(AP163=1,AN163=MatchLabel),1,0)</f>
        <v>0</v>
      </c>
      <c r="AR163">
        <f>IF(OR(AN163=MatchLabel,AN163=SafetyLabel,AN163=SecureLabel,AN163=SureThingLabel),1,0)</f>
        <v>0</v>
      </c>
      <c r="AS163">
        <f>IF(OR(W163="H",W163="B",W163="I",W163="M"),IF(ISNUMBER(AB163),ROUND(AB163,2),0),IF(ISNUMBER(AA163),ROUND(AA163,2),0))</f>
        <v>0</v>
      </c>
      <c r="AT163">
        <f>IF(AS163&gt;=X163,1,0)</f>
        <v>0</v>
      </c>
      <c r="AU163">
        <f>IF(AS163&gt;=Y163,1,0)</f>
        <v>0</v>
      </c>
      <c r="AV163">
        <f>IF(AS163&lt;(X163-0.10),1,0)</f>
        <v>0</v>
      </c>
      <c r="AW163">
        <f>1-AM163/100</f>
        <v>0</v>
      </c>
      <c r="AX163">
        <f>IF(AQ163=1,AW163,1)</f>
        <v>0</v>
      </c>
      <c r="AY163">
        <f>IF(AP163=1,AW163,1)</f>
        <v>0</v>
      </c>
      <c r="AZ163">
        <f>IF(AND(AT163=1,ISNUMBER(AW163)),$AW163,1)</f>
        <v>0</v>
      </c>
      <c r="BA163">
        <f>IF(AND(AU163=1,ISNUMBER(AW163)),$AW163,1)</f>
        <v>0</v>
      </c>
      <c r="BB163">
        <f>IF(ISNUMBER(AB163),INDEX(AllCollegeMoney, MATCH(N163,AllCollegeNCES,0)),0)</f>
        <v>0</v>
      </c>
      <c r="BC163">
        <f>IF(AND(AT163=1,ISNUMBER(AW163),BB163=1),$AW163,1)</f>
        <v>0</v>
      </c>
      <c r="BD163">
        <f>IF(AND(AU163=1,ISNUMBER(AW163),BB163=1),$AW163,1)</f>
        <v>0</v>
      </c>
      <c r="BE163">
        <f>IF(ISNUMBER(AB163),INDEX(AllCollegeILPub, MATCH(N163,AllCollegeNCES,0)),0)</f>
        <v>0</v>
      </c>
      <c r="BF163">
        <f>IF(AN163=ReachLabel,AS163,0)</f>
        <v>0</v>
      </c>
      <c r="BG163">
        <f>IF(AN163=MatchLabel,AS163,0)</f>
        <v>0</v>
      </c>
      <c r="BH163">
        <f>IF(AN163=SafetyLabel,AS163,0)</f>
        <v>0</v>
      </c>
      <c r="BI163">
        <f>IF(AN163=SecureLabel,AS163,0)</f>
        <v>0</v>
      </c>
      <c r="BJ163">
        <f>IF(AN163=SureThingLabel,AS163,0)</f>
        <v>0</v>
      </c>
      <c r="BK163">
        <f>MAX(BF163:BJ163)</f>
        <v>0</v>
      </c>
      <c r="BL163">
        <f>MAX(BG163:BJ163)</f>
        <v>0</v>
      </c>
      <c r="BM163">
        <f>MAX(BH163:BJ163)</f>
        <v>0</v>
      </c>
      <c r="BN163">
        <f>IF(AND(AN163=ReachLabel,BB163=1),AS163,0)</f>
        <v>0</v>
      </c>
      <c r="BO163">
        <f>IF(AND(AN163=MatchLabel,BB163=1),AS163,0)</f>
        <v>0</v>
      </c>
      <c r="BP163">
        <f>IF(AND(AN163=SafetyLabel,BB163=1),AS163,0)</f>
        <v>0</v>
      </c>
      <c r="BQ163">
        <f>IF(AND(AN163=SecureLabel,BB163=1),AS163,0)</f>
        <v>0</v>
      </c>
      <c r="BR163">
        <f>IF(AND(AN163=SureThingLabel,BB163=1),AS163,0)</f>
        <v>0</v>
      </c>
      <c r="BS163">
        <f>MAX(BN163:BR163)</f>
        <v>0</v>
      </c>
      <c r="BT163">
        <f>MAX(BO163:BR163)</f>
        <v>0</v>
      </c>
      <c r="BU163">
        <f>MAX(BP163:BR163)</f>
        <v>0</v>
      </c>
      <c r="BV163">
        <f>IF(ISNUMBER(AB163),INDEX(AllCollegeChicago, MATCH(N163,AllCollegeNCES,0))*BB163,0)</f>
        <v>0</v>
      </c>
      <c r="BW163">
        <f>IF(ISNUMBER(AB163),INDEX(AllCollegeMoneyCode, MATCH(N163,AllCollegeNCES,0)),"?")</f>
        <v>0</v>
      </c>
      <c r="BX163">
        <f>IF(OR(BW163="---",BW163="--",BW163="+/--",BW163="+/---"),1,0)</f>
        <v>0</v>
      </c>
      <c r="BY163">
        <f>BB163*AR163*AT163</f>
        <v>0</v>
      </c>
    </row>
    <row r="164" spans="1:77">
      <c r="A164" t="s">
        <v>96</v>
      </c>
      <c r="B164">
        <v>22573216</v>
      </c>
      <c r="C164" t="s">
        <v>99</v>
      </c>
      <c r="D164" t="s">
        <v>100</v>
      </c>
      <c r="E164" t="s">
        <v>446</v>
      </c>
      <c r="F164" t="s">
        <v>475</v>
      </c>
      <c r="G164" t="s">
        <v>479</v>
      </c>
      <c r="H164" t="s">
        <v>449</v>
      </c>
      <c r="I164" t="s">
        <v>450</v>
      </c>
      <c r="J164" t="s">
        <v>450</v>
      </c>
      <c r="K164">
        <v>0</v>
      </c>
      <c r="L164" t="s">
        <v>446</v>
      </c>
      <c r="M164" t="s">
        <v>446</v>
      </c>
      <c r="N164">
        <v>145637</v>
      </c>
      <c r="O164">
        <f>INDEX(Counselor,MATCH(B164,KidIDs,0))</f>
        <v>0</v>
      </c>
      <c r="P164">
        <f>INDEX(Advisors,MATCH(B164,KidIDs,0))</f>
        <v>0</v>
      </c>
      <c r="Q164">
        <f>INDEX(Cohort,MATCH(B164,KidIDs,0))</f>
        <v>0</v>
      </c>
      <c r="R164">
        <f>INDEX(AllCollegeBarrons,MATCH(N164,AllCollegeNCES,0))</f>
        <v>0</v>
      </c>
      <c r="S164">
        <f>INDEX(KidGPAs,MATCH(B164,KidIDs,0))</f>
        <v>0</v>
      </c>
      <c r="T164">
        <f>INDEX(KidSATs,MATCH(B164,KidIDs,0))</f>
        <v>0</v>
      </c>
      <c r="U164">
        <f>INDEX(Strats,MATCH(B164,KidIDs,0))</f>
        <v>0</v>
      </c>
      <c r="V164">
        <f>INDEX(KidRace,MATCH(B164,KidIDs,0))</f>
        <v>0</v>
      </c>
      <c r="W164">
        <f>IF(OR(V164="M",V164="I"),"H",IF(V164="P","A",V164))</f>
        <v>0</v>
      </c>
      <c r="X164">
        <f>INDEX(StudentTargets,MATCH(B164,KidIDs,0))</f>
        <v>0</v>
      </c>
      <c r="Y164">
        <f>INDEX(ReachStudentTargets,MATCH(B164,KidIDs,0))</f>
        <v>0</v>
      </c>
      <c r="Z164">
        <f>IF(OR(M164="Posse"),1,0)</f>
        <v>0</v>
      </c>
      <c r="AA164">
        <f>IF(ISNUMBER(INDEX(AllCollegeGR, MATCH(N164,AllCollegeNCES,0))),ROUND(INDEX(AllCollegeGR, MATCH(N164,AllCollegeNCES,0))+Z164*IF(INDEX(AllCollegeGR, MATCH(N164,AllCollegeNCES,0))&gt;0.7,(1-INDEX(AllCollegeGR, MATCH(N164,AllCollegeNCES,0)))/2,0.15),2),INDEX(AllCollegeGR, MATCH(N164,AllCollegeNCES,0)))</f>
        <v>0</v>
      </c>
      <c r="AB164">
        <f>IF(ISNUMBER(INDEX(AllCollegeAAHGR, MATCH(N164,AllCollegeNCES,0))),ROUND(INDEX(AllCollegeAAHGR, MATCH(N164,AllCollegeNCES,0))+Z164*IF(INDEX(AllCollegeAAHGR, MATCH(N164,AllCollegeNCES,0))&gt;0.7,(1-INDEX(AllCollegeAAHGR, MATCH(N164,AllCollegeNCES,0)))/2,0.15),2),INDEX(AllCollegeAAHGR, MATCH(N164,AllCollegeNCES,0)))</f>
        <v>0</v>
      </c>
      <c r="AC164">
        <f>IF(OR(W164="H",W164="B"),INDEX(AllCollegeSAT25, MATCH(N164,AllCollegeNCES,0)),INDEX(AllCollegeSAT50, MATCH(N164,AllCollegeNCES,0)))</f>
        <v>0</v>
      </c>
      <c r="AD164">
        <f>INDEX(CustomWeightsGPA,MATCH(W164&amp;":"&amp;N164,CustomWeightsIndex,0))</f>
        <v>0</v>
      </c>
      <c r="AE164">
        <f>INDEX(CustomWeightsSAT,MATCH(W164&amp;":"&amp;N164,CustomWeightsIndex,0))</f>
        <v>0</v>
      </c>
      <c r="AF164">
        <f>INDEX(CustomWeightsIntercept,MATCH(W164&amp;":"&amp;N164,CustomWeightsIndex,0))</f>
        <v>0</v>
      </c>
      <c r="AG164">
        <f>AD164*S164+AE164*T164+AF164</f>
        <v>0</v>
      </c>
      <c r="AH164">
        <f>INDEX(CoefficientsGPA,MATCH(W164&amp;":"&amp;R164,CoefficientsIndex,0))</f>
        <v>0</v>
      </c>
      <c r="AI164">
        <f>INDEX(CoefficientsSAT,MATCH(W164&amp;":"&amp;R164,CoefficientsIndex,0))</f>
        <v>0</v>
      </c>
      <c r="AJ164">
        <f>INDEX(CoefficientsIntercept,MATCH(W164&amp;":"&amp;R164,CoefficientsIndex,0))</f>
        <v>0</v>
      </c>
      <c r="AK164">
        <f>AH164*S164+(T164-AC164)*AI164+AJ164</f>
        <v>0</v>
      </c>
      <c r="AL164">
        <f>IF(ISNUMBER(AG164),AG164,AK164)</f>
        <v>0</v>
      </c>
      <c r="AM164">
        <f>IF(ISNUMBER(AL164),IF(ISNUMBER(AH164),IF(AND(AH164=1,AI164=1,AJ164=1),100,MIN(99,ROUND(100*EXP(AL164)/(1+EXP(AL164)),2))),MIN(99,ROUND(100*EXP(AL164)/(1+EXP(AL164)),2))),IF(ISTEXT(R164),IF(LEFT(R164,1)="2",100,"N/A"),"N/A"))</f>
        <v>0</v>
      </c>
      <c r="AN164">
        <f>IF(ISNUMBER(AM164),IF(AM164&gt;=99,IF(OR(U164=10,U164=11),MatchLabel,SureThingLabel),IF(AM164&gt;=95,SecureLabel,IF(AM164&gt;=80,SafetyLabel,IF(AM164&gt;=50,MatchLabel,IF(AM164&gt;=20,ReachLabel,IF(AM164&gt;=10,LongshotLabel,HailMaryLabel)))))),"Other")</f>
        <v>0</v>
      </c>
      <c r="AO164">
        <f>IF(OR(I164="accepted",I164="cond. accept",I164="summer admit"),IF(J164="yes","CHOICE!","Accepted!"),IF(I164="guar. transfer","Guar. Xfer",IF(I164="denied","Denied",IF(K164=1,"Waitlist",IF(L164=1,"Deferred",IF(G164="pending","Pending",IF(OR(G164="initial materials submitted",G164="mid-year submitted",G164="final submitted"),"Submitted",IF(H164="interest","Interest","?"))))))))</f>
        <v>0</v>
      </c>
      <c r="AP164">
        <f>IF(OR(AN164=ReachLabel,AN164=LongshotLabel,AN164=HailMaryLabel),1,0)</f>
        <v>0</v>
      </c>
      <c r="AQ164">
        <f>IF(OR(AP164=1,AN164=MatchLabel),1,0)</f>
        <v>0</v>
      </c>
      <c r="AR164">
        <f>IF(OR(AN164=MatchLabel,AN164=SafetyLabel,AN164=SecureLabel,AN164=SureThingLabel),1,0)</f>
        <v>0</v>
      </c>
      <c r="AS164">
        <f>IF(OR(W164="H",W164="B",W164="I",W164="M"),IF(ISNUMBER(AB164),ROUND(AB164,2),0),IF(ISNUMBER(AA164),ROUND(AA164,2),0))</f>
        <v>0</v>
      </c>
      <c r="AT164">
        <f>IF(AS164&gt;=X164,1,0)</f>
        <v>0</v>
      </c>
      <c r="AU164">
        <f>IF(AS164&gt;=Y164,1,0)</f>
        <v>0</v>
      </c>
      <c r="AV164">
        <f>IF(AS164&lt;(X164-0.10),1,0)</f>
        <v>0</v>
      </c>
      <c r="AW164">
        <f>1-AM164/100</f>
        <v>0</v>
      </c>
      <c r="AX164">
        <f>IF(AQ164=1,AW164,1)</f>
        <v>0</v>
      </c>
      <c r="AY164">
        <f>IF(AP164=1,AW164,1)</f>
        <v>0</v>
      </c>
      <c r="AZ164">
        <f>IF(AND(AT164=1,ISNUMBER(AW164)),$AW164,1)</f>
        <v>0</v>
      </c>
      <c r="BA164">
        <f>IF(AND(AU164=1,ISNUMBER(AW164)),$AW164,1)</f>
        <v>0</v>
      </c>
      <c r="BB164">
        <f>IF(ISNUMBER(AB164),INDEX(AllCollegeMoney, MATCH(N164,AllCollegeNCES,0)),0)</f>
        <v>0</v>
      </c>
      <c r="BC164">
        <f>IF(AND(AT164=1,ISNUMBER(AW164),BB164=1),$AW164,1)</f>
        <v>0</v>
      </c>
      <c r="BD164">
        <f>IF(AND(AU164=1,ISNUMBER(AW164),BB164=1),$AW164,1)</f>
        <v>0</v>
      </c>
      <c r="BE164">
        <f>IF(ISNUMBER(AB164),INDEX(AllCollegeILPub, MATCH(N164,AllCollegeNCES,0)),0)</f>
        <v>0</v>
      </c>
      <c r="BF164">
        <f>IF(AN164=ReachLabel,AS164,0)</f>
        <v>0</v>
      </c>
      <c r="BG164">
        <f>IF(AN164=MatchLabel,AS164,0)</f>
        <v>0</v>
      </c>
      <c r="BH164">
        <f>IF(AN164=SafetyLabel,AS164,0)</f>
        <v>0</v>
      </c>
      <c r="BI164">
        <f>IF(AN164=SecureLabel,AS164,0)</f>
        <v>0</v>
      </c>
      <c r="BJ164">
        <f>IF(AN164=SureThingLabel,AS164,0)</f>
        <v>0</v>
      </c>
      <c r="BK164">
        <f>MAX(BF164:BJ164)</f>
        <v>0</v>
      </c>
      <c r="BL164">
        <f>MAX(BG164:BJ164)</f>
        <v>0</v>
      </c>
      <c r="BM164">
        <f>MAX(BH164:BJ164)</f>
        <v>0</v>
      </c>
      <c r="BN164">
        <f>IF(AND(AN164=ReachLabel,BB164=1),AS164,0)</f>
        <v>0</v>
      </c>
      <c r="BO164">
        <f>IF(AND(AN164=MatchLabel,BB164=1),AS164,0)</f>
        <v>0</v>
      </c>
      <c r="BP164">
        <f>IF(AND(AN164=SafetyLabel,BB164=1),AS164,0)</f>
        <v>0</v>
      </c>
      <c r="BQ164">
        <f>IF(AND(AN164=SecureLabel,BB164=1),AS164,0)</f>
        <v>0</v>
      </c>
      <c r="BR164">
        <f>IF(AND(AN164=SureThingLabel,BB164=1),AS164,0)</f>
        <v>0</v>
      </c>
      <c r="BS164">
        <f>MAX(BN164:BR164)</f>
        <v>0</v>
      </c>
      <c r="BT164">
        <f>MAX(BO164:BR164)</f>
        <v>0</v>
      </c>
      <c r="BU164">
        <f>MAX(BP164:BR164)</f>
        <v>0</v>
      </c>
      <c r="BV164">
        <f>IF(ISNUMBER(AB164),INDEX(AllCollegeChicago, MATCH(N164,AllCollegeNCES,0))*BB164,0)</f>
        <v>0</v>
      </c>
      <c r="BW164">
        <f>IF(ISNUMBER(AB164),INDEX(AllCollegeMoneyCode, MATCH(N164,AllCollegeNCES,0)),"?")</f>
        <v>0</v>
      </c>
      <c r="BX164">
        <f>IF(OR(BW164="---",BW164="--",BW164="+/--",BW164="+/---"),1,0)</f>
        <v>0</v>
      </c>
      <c r="BY164">
        <f>BB164*AR164*AT164</f>
        <v>0</v>
      </c>
    </row>
    <row r="165" spans="1:77">
      <c r="A165" t="s">
        <v>96</v>
      </c>
      <c r="B165">
        <v>22573216</v>
      </c>
      <c r="C165" t="s">
        <v>99</v>
      </c>
      <c r="D165" t="s">
        <v>100</v>
      </c>
      <c r="E165" t="s">
        <v>446</v>
      </c>
      <c r="F165" t="s">
        <v>465</v>
      </c>
      <c r="G165" t="s">
        <v>448</v>
      </c>
      <c r="H165" t="s">
        <v>449</v>
      </c>
      <c r="I165" t="s">
        <v>450</v>
      </c>
      <c r="J165" t="s">
        <v>450</v>
      </c>
      <c r="K165">
        <v>0</v>
      </c>
      <c r="L165" t="s">
        <v>446</v>
      </c>
      <c r="M165" t="s">
        <v>446</v>
      </c>
      <c r="N165">
        <v>145600</v>
      </c>
      <c r="O165">
        <f>INDEX(Counselor,MATCH(B165,KidIDs,0))</f>
        <v>0</v>
      </c>
      <c r="P165">
        <f>INDEX(Advisors,MATCH(B165,KidIDs,0))</f>
        <v>0</v>
      </c>
      <c r="Q165">
        <f>INDEX(Cohort,MATCH(B165,KidIDs,0))</f>
        <v>0</v>
      </c>
      <c r="R165">
        <f>INDEX(AllCollegeBarrons,MATCH(N165,AllCollegeNCES,0))</f>
        <v>0</v>
      </c>
      <c r="S165">
        <f>INDEX(KidGPAs,MATCH(B165,KidIDs,0))</f>
        <v>0</v>
      </c>
      <c r="T165">
        <f>INDEX(KidSATs,MATCH(B165,KidIDs,0))</f>
        <v>0</v>
      </c>
      <c r="U165">
        <f>INDEX(Strats,MATCH(B165,KidIDs,0))</f>
        <v>0</v>
      </c>
      <c r="V165">
        <f>INDEX(KidRace,MATCH(B165,KidIDs,0))</f>
        <v>0</v>
      </c>
      <c r="W165">
        <f>IF(OR(V165="M",V165="I"),"H",IF(V165="P","A",V165))</f>
        <v>0</v>
      </c>
      <c r="X165">
        <f>INDEX(StudentTargets,MATCH(B165,KidIDs,0))</f>
        <v>0</v>
      </c>
      <c r="Y165">
        <f>INDEX(ReachStudentTargets,MATCH(B165,KidIDs,0))</f>
        <v>0</v>
      </c>
      <c r="Z165">
        <f>IF(OR(M165="Posse"),1,0)</f>
        <v>0</v>
      </c>
      <c r="AA165">
        <f>IF(ISNUMBER(INDEX(AllCollegeGR, MATCH(N165,AllCollegeNCES,0))),ROUND(INDEX(AllCollegeGR, MATCH(N165,AllCollegeNCES,0))+Z165*IF(INDEX(AllCollegeGR, MATCH(N165,AllCollegeNCES,0))&gt;0.7,(1-INDEX(AllCollegeGR, MATCH(N165,AllCollegeNCES,0)))/2,0.15),2),INDEX(AllCollegeGR, MATCH(N165,AllCollegeNCES,0)))</f>
        <v>0</v>
      </c>
      <c r="AB165">
        <f>IF(ISNUMBER(INDEX(AllCollegeAAHGR, MATCH(N165,AllCollegeNCES,0))),ROUND(INDEX(AllCollegeAAHGR, MATCH(N165,AllCollegeNCES,0))+Z165*IF(INDEX(AllCollegeAAHGR, MATCH(N165,AllCollegeNCES,0))&gt;0.7,(1-INDEX(AllCollegeAAHGR, MATCH(N165,AllCollegeNCES,0)))/2,0.15),2),INDEX(AllCollegeAAHGR, MATCH(N165,AllCollegeNCES,0)))</f>
        <v>0</v>
      </c>
      <c r="AC165">
        <f>IF(OR(W165="H",W165="B"),INDEX(AllCollegeSAT25, MATCH(N165,AllCollegeNCES,0)),INDEX(AllCollegeSAT50, MATCH(N165,AllCollegeNCES,0)))</f>
        <v>0</v>
      </c>
      <c r="AD165">
        <f>INDEX(CustomWeightsGPA,MATCH(W165&amp;":"&amp;N165,CustomWeightsIndex,0))</f>
        <v>0</v>
      </c>
      <c r="AE165">
        <f>INDEX(CustomWeightsSAT,MATCH(W165&amp;":"&amp;N165,CustomWeightsIndex,0))</f>
        <v>0</v>
      </c>
      <c r="AF165">
        <f>INDEX(CustomWeightsIntercept,MATCH(W165&amp;":"&amp;N165,CustomWeightsIndex,0))</f>
        <v>0</v>
      </c>
      <c r="AG165">
        <f>AD165*S165+AE165*T165+AF165</f>
        <v>0</v>
      </c>
      <c r="AH165">
        <f>INDEX(CoefficientsGPA,MATCH(W165&amp;":"&amp;R165,CoefficientsIndex,0))</f>
        <v>0</v>
      </c>
      <c r="AI165">
        <f>INDEX(CoefficientsSAT,MATCH(W165&amp;":"&amp;R165,CoefficientsIndex,0))</f>
        <v>0</v>
      </c>
      <c r="AJ165">
        <f>INDEX(CoefficientsIntercept,MATCH(W165&amp;":"&amp;R165,CoefficientsIndex,0))</f>
        <v>0</v>
      </c>
      <c r="AK165">
        <f>AH165*S165+(T165-AC165)*AI165+AJ165</f>
        <v>0</v>
      </c>
      <c r="AL165">
        <f>IF(ISNUMBER(AG165),AG165,AK165)</f>
        <v>0</v>
      </c>
      <c r="AM165">
        <f>IF(ISNUMBER(AL165),IF(ISNUMBER(AH165),IF(AND(AH165=1,AI165=1,AJ165=1),100,MIN(99,ROUND(100*EXP(AL165)/(1+EXP(AL165)),2))),MIN(99,ROUND(100*EXP(AL165)/(1+EXP(AL165)),2))),IF(ISTEXT(R165),IF(LEFT(R165,1)="2",100,"N/A"),"N/A"))</f>
        <v>0</v>
      </c>
      <c r="AN165">
        <f>IF(ISNUMBER(AM165),IF(AM165&gt;=99,IF(OR(U165=10,U165=11),MatchLabel,SureThingLabel),IF(AM165&gt;=95,SecureLabel,IF(AM165&gt;=80,SafetyLabel,IF(AM165&gt;=50,MatchLabel,IF(AM165&gt;=20,ReachLabel,IF(AM165&gt;=10,LongshotLabel,HailMaryLabel)))))),"Other")</f>
        <v>0</v>
      </c>
      <c r="AO165">
        <f>IF(OR(I165="accepted",I165="cond. accept",I165="summer admit"),IF(J165="yes","CHOICE!","Accepted!"),IF(I165="guar. transfer","Guar. Xfer",IF(I165="denied","Denied",IF(K165=1,"Waitlist",IF(L165=1,"Deferred",IF(G165="pending","Pending",IF(OR(G165="initial materials submitted",G165="mid-year submitted",G165="final submitted"),"Submitted",IF(H165="interest","Interest","?"))))))))</f>
        <v>0</v>
      </c>
      <c r="AP165">
        <f>IF(OR(AN165=ReachLabel,AN165=LongshotLabel,AN165=HailMaryLabel),1,0)</f>
        <v>0</v>
      </c>
      <c r="AQ165">
        <f>IF(OR(AP165=1,AN165=MatchLabel),1,0)</f>
        <v>0</v>
      </c>
      <c r="AR165">
        <f>IF(OR(AN165=MatchLabel,AN165=SafetyLabel,AN165=SecureLabel,AN165=SureThingLabel),1,0)</f>
        <v>0</v>
      </c>
      <c r="AS165">
        <f>IF(OR(W165="H",W165="B",W165="I",W165="M"),IF(ISNUMBER(AB165),ROUND(AB165,2),0),IF(ISNUMBER(AA165),ROUND(AA165,2),0))</f>
        <v>0</v>
      </c>
      <c r="AT165">
        <f>IF(AS165&gt;=X165,1,0)</f>
        <v>0</v>
      </c>
      <c r="AU165">
        <f>IF(AS165&gt;=Y165,1,0)</f>
        <v>0</v>
      </c>
      <c r="AV165">
        <f>IF(AS165&lt;(X165-0.10),1,0)</f>
        <v>0</v>
      </c>
      <c r="AW165">
        <f>1-AM165/100</f>
        <v>0</v>
      </c>
      <c r="AX165">
        <f>IF(AQ165=1,AW165,1)</f>
        <v>0</v>
      </c>
      <c r="AY165">
        <f>IF(AP165=1,AW165,1)</f>
        <v>0</v>
      </c>
      <c r="AZ165">
        <f>IF(AND(AT165=1,ISNUMBER(AW165)),$AW165,1)</f>
        <v>0</v>
      </c>
      <c r="BA165">
        <f>IF(AND(AU165=1,ISNUMBER(AW165)),$AW165,1)</f>
        <v>0</v>
      </c>
      <c r="BB165">
        <f>IF(ISNUMBER(AB165),INDEX(AllCollegeMoney, MATCH(N165,AllCollegeNCES,0)),0)</f>
        <v>0</v>
      </c>
      <c r="BC165">
        <f>IF(AND(AT165=1,ISNUMBER(AW165),BB165=1),$AW165,1)</f>
        <v>0</v>
      </c>
      <c r="BD165">
        <f>IF(AND(AU165=1,ISNUMBER(AW165),BB165=1),$AW165,1)</f>
        <v>0</v>
      </c>
      <c r="BE165">
        <f>IF(ISNUMBER(AB165),INDEX(AllCollegeILPub, MATCH(N165,AllCollegeNCES,0)),0)</f>
        <v>0</v>
      </c>
      <c r="BF165">
        <f>IF(AN165=ReachLabel,AS165,0)</f>
        <v>0</v>
      </c>
      <c r="BG165">
        <f>IF(AN165=MatchLabel,AS165,0)</f>
        <v>0</v>
      </c>
      <c r="BH165">
        <f>IF(AN165=SafetyLabel,AS165,0)</f>
        <v>0</v>
      </c>
      <c r="BI165">
        <f>IF(AN165=SecureLabel,AS165,0)</f>
        <v>0</v>
      </c>
      <c r="BJ165">
        <f>IF(AN165=SureThingLabel,AS165,0)</f>
        <v>0</v>
      </c>
      <c r="BK165">
        <f>MAX(BF165:BJ165)</f>
        <v>0</v>
      </c>
      <c r="BL165">
        <f>MAX(BG165:BJ165)</f>
        <v>0</v>
      </c>
      <c r="BM165">
        <f>MAX(BH165:BJ165)</f>
        <v>0</v>
      </c>
      <c r="BN165">
        <f>IF(AND(AN165=ReachLabel,BB165=1),AS165,0)</f>
        <v>0</v>
      </c>
      <c r="BO165">
        <f>IF(AND(AN165=MatchLabel,BB165=1),AS165,0)</f>
        <v>0</v>
      </c>
      <c r="BP165">
        <f>IF(AND(AN165=SafetyLabel,BB165=1),AS165,0)</f>
        <v>0</v>
      </c>
      <c r="BQ165">
        <f>IF(AND(AN165=SecureLabel,BB165=1),AS165,0)</f>
        <v>0</v>
      </c>
      <c r="BR165">
        <f>IF(AND(AN165=SureThingLabel,BB165=1),AS165,0)</f>
        <v>0</v>
      </c>
      <c r="BS165">
        <f>MAX(BN165:BR165)</f>
        <v>0</v>
      </c>
      <c r="BT165">
        <f>MAX(BO165:BR165)</f>
        <v>0</v>
      </c>
      <c r="BU165">
        <f>MAX(BP165:BR165)</f>
        <v>0</v>
      </c>
      <c r="BV165">
        <f>IF(ISNUMBER(AB165),INDEX(AllCollegeChicago, MATCH(N165,AllCollegeNCES,0))*BB165,0)</f>
        <v>0</v>
      </c>
      <c r="BW165">
        <f>IF(ISNUMBER(AB165),INDEX(AllCollegeMoneyCode, MATCH(N165,AllCollegeNCES,0)),"?")</f>
        <v>0</v>
      </c>
      <c r="BX165">
        <f>IF(OR(BW165="---",BW165="--",BW165="+/--",BW165="+/---"),1,0)</f>
        <v>0</v>
      </c>
      <c r="BY165">
        <f>BB165*AR165*AT165</f>
        <v>0</v>
      </c>
    </row>
    <row r="166" spans="1:77">
      <c r="A166" t="s">
        <v>96</v>
      </c>
      <c r="B166">
        <v>22587209</v>
      </c>
      <c r="C166" t="s">
        <v>273</v>
      </c>
      <c r="D166" t="s">
        <v>274</v>
      </c>
      <c r="E166" t="s">
        <v>446</v>
      </c>
      <c r="F166" t="s">
        <v>477</v>
      </c>
      <c r="G166" t="s">
        <v>448</v>
      </c>
      <c r="H166" t="s">
        <v>449</v>
      </c>
      <c r="I166" t="s">
        <v>450</v>
      </c>
      <c r="J166" t="s">
        <v>450</v>
      </c>
      <c r="K166">
        <v>0</v>
      </c>
      <c r="L166" t="s">
        <v>446</v>
      </c>
      <c r="M166" t="s">
        <v>446</v>
      </c>
      <c r="N166">
        <v>146427</v>
      </c>
      <c r="O166">
        <f>INDEX(Counselor,MATCH(B166,KidIDs,0))</f>
        <v>0</v>
      </c>
      <c r="P166">
        <f>INDEX(Advisors,MATCH(B166,KidIDs,0))</f>
        <v>0</v>
      </c>
      <c r="Q166">
        <f>INDEX(Cohort,MATCH(B166,KidIDs,0))</f>
        <v>0</v>
      </c>
      <c r="R166">
        <f>INDEX(AllCollegeBarrons,MATCH(N166,AllCollegeNCES,0))</f>
        <v>0</v>
      </c>
      <c r="S166">
        <f>INDEX(KidGPAs,MATCH(B166,KidIDs,0))</f>
        <v>0</v>
      </c>
      <c r="T166">
        <f>INDEX(KidSATs,MATCH(B166,KidIDs,0))</f>
        <v>0</v>
      </c>
      <c r="U166">
        <f>INDEX(Strats,MATCH(B166,KidIDs,0))</f>
        <v>0</v>
      </c>
      <c r="V166">
        <f>INDEX(KidRace,MATCH(B166,KidIDs,0))</f>
        <v>0</v>
      </c>
      <c r="W166">
        <f>IF(OR(V166="M",V166="I"),"H",IF(V166="P","A",V166))</f>
        <v>0</v>
      </c>
      <c r="X166">
        <f>INDEX(StudentTargets,MATCH(B166,KidIDs,0))</f>
        <v>0</v>
      </c>
      <c r="Y166">
        <f>INDEX(ReachStudentTargets,MATCH(B166,KidIDs,0))</f>
        <v>0</v>
      </c>
      <c r="Z166">
        <f>IF(OR(M166="Posse"),1,0)</f>
        <v>0</v>
      </c>
      <c r="AA166">
        <f>IF(ISNUMBER(INDEX(AllCollegeGR, MATCH(N166,AllCollegeNCES,0))),ROUND(INDEX(AllCollegeGR, MATCH(N166,AllCollegeNCES,0))+Z166*IF(INDEX(AllCollegeGR, MATCH(N166,AllCollegeNCES,0))&gt;0.7,(1-INDEX(AllCollegeGR, MATCH(N166,AllCollegeNCES,0)))/2,0.15),2),INDEX(AllCollegeGR, MATCH(N166,AllCollegeNCES,0)))</f>
        <v>0</v>
      </c>
      <c r="AB166">
        <f>IF(ISNUMBER(INDEX(AllCollegeAAHGR, MATCH(N166,AllCollegeNCES,0))),ROUND(INDEX(AllCollegeAAHGR, MATCH(N166,AllCollegeNCES,0))+Z166*IF(INDEX(AllCollegeAAHGR, MATCH(N166,AllCollegeNCES,0))&gt;0.7,(1-INDEX(AllCollegeAAHGR, MATCH(N166,AllCollegeNCES,0)))/2,0.15),2),INDEX(AllCollegeAAHGR, MATCH(N166,AllCollegeNCES,0)))</f>
        <v>0</v>
      </c>
      <c r="AC166">
        <f>IF(OR(W166="H",W166="B"),INDEX(AllCollegeSAT25, MATCH(N166,AllCollegeNCES,0)),INDEX(AllCollegeSAT50, MATCH(N166,AllCollegeNCES,0)))</f>
        <v>0</v>
      </c>
      <c r="AD166">
        <f>INDEX(CustomWeightsGPA,MATCH(W166&amp;":"&amp;N166,CustomWeightsIndex,0))</f>
        <v>0</v>
      </c>
      <c r="AE166">
        <f>INDEX(CustomWeightsSAT,MATCH(W166&amp;":"&amp;N166,CustomWeightsIndex,0))</f>
        <v>0</v>
      </c>
      <c r="AF166">
        <f>INDEX(CustomWeightsIntercept,MATCH(W166&amp;":"&amp;N166,CustomWeightsIndex,0))</f>
        <v>0</v>
      </c>
      <c r="AG166">
        <f>AD166*S166+AE166*T166+AF166</f>
        <v>0</v>
      </c>
      <c r="AH166">
        <f>INDEX(CoefficientsGPA,MATCH(W166&amp;":"&amp;R166,CoefficientsIndex,0))</f>
        <v>0</v>
      </c>
      <c r="AI166">
        <f>INDEX(CoefficientsSAT,MATCH(W166&amp;":"&amp;R166,CoefficientsIndex,0))</f>
        <v>0</v>
      </c>
      <c r="AJ166">
        <f>INDEX(CoefficientsIntercept,MATCH(W166&amp;":"&amp;R166,CoefficientsIndex,0))</f>
        <v>0</v>
      </c>
      <c r="AK166">
        <f>AH166*S166+(T166-AC166)*AI166+AJ166</f>
        <v>0</v>
      </c>
      <c r="AL166">
        <f>IF(ISNUMBER(AG166),AG166,AK166)</f>
        <v>0</v>
      </c>
      <c r="AM166">
        <f>IF(ISNUMBER(AL166),IF(ISNUMBER(AH166),IF(AND(AH166=1,AI166=1,AJ166=1),100,MIN(99,ROUND(100*EXP(AL166)/(1+EXP(AL166)),2))),MIN(99,ROUND(100*EXP(AL166)/(1+EXP(AL166)),2))),IF(ISTEXT(R166),IF(LEFT(R166,1)="2",100,"N/A"),"N/A"))</f>
        <v>0</v>
      </c>
      <c r="AN166">
        <f>IF(ISNUMBER(AM166),IF(AM166&gt;=99,IF(OR(U166=10,U166=11),MatchLabel,SureThingLabel),IF(AM166&gt;=95,SecureLabel,IF(AM166&gt;=80,SafetyLabel,IF(AM166&gt;=50,MatchLabel,IF(AM166&gt;=20,ReachLabel,IF(AM166&gt;=10,LongshotLabel,HailMaryLabel)))))),"Other")</f>
        <v>0</v>
      </c>
      <c r="AO166">
        <f>IF(OR(I166="accepted",I166="cond. accept",I166="summer admit"),IF(J166="yes","CHOICE!","Accepted!"),IF(I166="guar. transfer","Guar. Xfer",IF(I166="denied","Denied",IF(K166=1,"Waitlist",IF(L166=1,"Deferred",IF(G166="pending","Pending",IF(OR(G166="initial materials submitted",G166="mid-year submitted",G166="final submitted"),"Submitted",IF(H166="interest","Interest","?"))))))))</f>
        <v>0</v>
      </c>
      <c r="AP166">
        <f>IF(OR(AN166=ReachLabel,AN166=LongshotLabel,AN166=HailMaryLabel),1,0)</f>
        <v>0</v>
      </c>
      <c r="AQ166">
        <f>IF(OR(AP166=1,AN166=MatchLabel),1,0)</f>
        <v>0</v>
      </c>
      <c r="AR166">
        <f>IF(OR(AN166=MatchLabel,AN166=SafetyLabel,AN166=SecureLabel,AN166=SureThingLabel),1,0)</f>
        <v>0</v>
      </c>
      <c r="AS166">
        <f>IF(OR(W166="H",W166="B",W166="I",W166="M"),IF(ISNUMBER(AB166),ROUND(AB166,2),0),IF(ISNUMBER(AA166),ROUND(AA166,2),0))</f>
        <v>0</v>
      </c>
      <c r="AT166">
        <f>IF(AS166&gt;=X166,1,0)</f>
        <v>0</v>
      </c>
      <c r="AU166">
        <f>IF(AS166&gt;=Y166,1,0)</f>
        <v>0</v>
      </c>
      <c r="AV166">
        <f>IF(AS166&lt;(X166-0.10),1,0)</f>
        <v>0</v>
      </c>
      <c r="AW166">
        <f>1-AM166/100</f>
        <v>0</v>
      </c>
      <c r="AX166">
        <f>IF(AQ166=1,AW166,1)</f>
        <v>0</v>
      </c>
      <c r="AY166">
        <f>IF(AP166=1,AW166,1)</f>
        <v>0</v>
      </c>
      <c r="AZ166">
        <f>IF(AND(AT166=1,ISNUMBER(AW166)),$AW166,1)</f>
        <v>0</v>
      </c>
      <c r="BA166">
        <f>IF(AND(AU166=1,ISNUMBER(AW166)),$AW166,1)</f>
        <v>0</v>
      </c>
      <c r="BB166">
        <f>IF(ISNUMBER(AB166),INDEX(AllCollegeMoney, MATCH(N166,AllCollegeNCES,0)),0)</f>
        <v>0</v>
      </c>
      <c r="BC166">
        <f>IF(AND(AT166=1,ISNUMBER(AW166),BB166=1),$AW166,1)</f>
        <v>0</v>
      </c>
      <c r="BD166">
        <f>IF(AND(AU166=1,ISNUMBER(AW166),BB166=1),$AW166,1)</f>
        <v>0</v>
      </c>
      <c r="BE166">
        <f>IF(ISNUMBER(AB166),INDEX(AllCollegeILPub, MATCH(N166,AllCollegeNCES,0)),0)</f>
        <v>0</v>
      </c>
      <c r="BF166">
        <f>IF(AN166=ReachLabel,AS166,0)</f>
        <v>0</v>
      </c>
      <c r="BG166">
        <f>IF(AN166=MatchLabel,AS166,0)</f>
        <v>0</v>
      </c>
      <c r="BH166">
        <f>IF(AN166=SafetyLabel,AS166,0)</f>
        <v>0</v>
      </c>
      <c r="BI166">
        <f>IF(AN166=SecureLabel,AS166,0)</f>
        <v>0</v>
      </c>
      <c r="BJ166">
        <f>IF(AN166=SureThingLabel,AS166,0)</f>
        <v>0</v>
      </c>
      <c r="BK166">
        <f>MAX(BF166:BJ166)</f>
        <v>0</v>
      </c>
      <c r="BL166">
        <f>MAX(BG166:BJ166)</f>
        <v>0</v>
      </c>
      <c r="BM166">
        <f>MAX(BH166:BJ166)</f>
        <v>0</v>
      </c>
      <c r="BN166">
        <f>IF(AND(AN166=ReachLabel,BB166=1),AS166,0)</f>
        <v>0</v>
      </c>
      <c r="BO166">
        <f>IF(AND(AN166=MatchLabel,BB166=1),AS166,0)</f>
        <v>0</v>
      </c>
      <c r="BP166">
        <f>IF(AND(AN166=SafetyLabel,BB166=1),AS166,0)</f>
        <v>0</v>
      </c>
      <c r="BQ166">
        <f>IF(AND(AN166=SecureLabel,BB166=1),AS166,0)</f>
        <v>0</v>
      </c>
      <c r="BR166">
        <f>IF(AND(AN166=SureThingLabel,BB166=1),AS166,0)</f>
        <v>0</v>
      </c>
      <c r="BS166">
        <f>MAX(BN166:BR166)</f>
        <v>0</v>
      </c>
      <c r="BT166">
        <f>MAX(BO166:BR166)</f>
        <v>0</v>
      </c>
      <c r="BU166">
        <f>MAX(BP166:BR166)</f>
        <v>0</v>
      </c>
      <c r="BV166">
        <f>IF(ISNUMBER(AB166),INDEX(AllCollegeChicago, MATCH(N166,AllCollegeNCES,0))*BB166,0)</f>
        <v>0</v>
      </c>
      <c r="BW166">
        <f>IF(ISNUMBER(AB166),INDEX(AllCollegeMoneyCode, MATCH(N166,AllCollegeNCES,0)),"?")</f>
        <v>0</v>
      </c>
      <c r="BX166">
        <f>IF(OR(BW166="---",BW166="--",BW166="+/--",BW166="+/---"),1,0)</f>
        <v>0</v>
      </c>
      <c r="BY166">
        <f>BB166*AR166*AT166</f>
        <v>0</v>
      </c>
    </row>
    <row r="167" spans="1:77">
      <c r="A167" t="s">
        <v>96</v>
      </c>
      <c r="B167">
        <v>22587209</v>
      </c>
      <c r="C167" t="s">
        <v>273</v>
      </c>
      <c r="D167" t="s">
        <v>274</v>
      </c>
      <c r="E167" t="s">
        <v>446</v>
      </c>
      <c r="F167" t="s">
        <v>501</v>
      </c>
      <c r="G167" t="s">
        <v>448</v>
      </c>
      <c r="H167" t="s">
        <v>449</v>
      </c>
      <c r="I167" t="s">
        <v>450</v>
      </c>
      <c r="J167" t="s">
        <v>450</v>
      </c>
      <c r="K167">
        <v>0</v>
      </c>
      <c r="L167" t="s">
        <v>446</v>
      </c>
      <c r="M167" t="s">
        <v>446</v>
      </c>
      <c r="N167">
        <v>144740</v>
      </c>
      <c r="O167">
        <f>INDEX(Counselor,MATCH(B167,KidIDs,0))</f>
        <v>0</v>
      </c>
      <c r="P167">
        <f>INDEX(Advisors,MATCH(B167,KidIDs,0))</f>
        <v>0</v>
      </c>
      <c r="Q167">
        <f>INDEX(Cohort,MATCH(B167,KidIDs,0))</f>
        <v>0</v>
      </c>
      <c r="R167">
        <f>INDEX(AllCollegeBarrons,MATCH(N167,AllCollegeNCES,0))</f>
        <v>0</v>
      </c>
      <c r="S167">
        <f>INDEX(KidGPAs,MATCH(B167,KidIDs,0))</f>
        <v>0</v>
      </c>
      <c r="T167">
        <f>INDEX(KidSATs,MATCH(B167,KidIDs,0))</f>
        <v>0</v>
      </c>
      <c r="U167">
        <f>INDEX(Strats,MATCH(B167,KidIDs,0))</f>
        <v>0</v>
      </c>
      <c r="V167">
        <f>INDEX(KidRace,MATCH(B167,KidIDs,0))</f>
        <v>0</v>
      </c>
      <c r="W167">
        <f>IF(OR(V167="M",V167="I"),"H",IF(V167="P","A",V167))</f>
        <v>0</v>
      </c>
      <c r="X167">
        <f>INDEX(StudentTargets,MATCH(B167,KidIDs,0))</f>
        <v>0</v>
      </c>
      <c r="Y167">
        <f>INDEX(ReachStudentTargets,MATCH(B167,KidIDs,0))</f>
        <v>0</v>
      </c>
      <c r="Z167">
        <f>IF(OR(M167="Posse"),1,0)</f>
        <v>0</v>
      </c>
      <c r="AA167">
        <f>IF(ISNUMBER(INDEX(AllCollegeGR, MATCH(N167,AllCollegeNCES,0))),ROUND(INDEX(AllCollegeGR, MATCH(N167,AllCollegeNCES,0))+Z167*IF(INDEX(AllCollegeGR, MATCH(N167,AllCollegeNCES,0))&gt;0.7,(1-INDEX(AllCollegeGR, MATCH(N167,AllCollegeNCES,0)))/2,0.15),2),INDEX(AllCollegeGR, MATCH(N167,AllCollegeNCES,0)))</f>
        <v>0</v>
      </c>
      <c r="AB167">
        <f>IF(ISNUMBER(INDEX(AllCollegeAAHGR, MATCH(N167,AllCollegeNCES,0))),ROUND(INDEX(AllCollegeAAHGR, MATCH(N167,AllCollegeNCES,0))+Z167*IF(INDEX(AllCollegeAAHGR, MATCH(N167,AllCollegeNCES,0))&gt;0.7,(1-INDEX(AllCollegeAAHGR, MATCH(N167,AllCollegeNCES,0)))/2,0.15),2),INDEX(AllCollegeAAHGR, MATCH(N167,AllCollegeNCES,0)))</f>
        <v>0</v>
      </c>
      <c r="AC167">
        <f>IF(OR(W167="H",W167="B"),INDEX(AllCollegeSAT25, MATCH(N167,AllCollegeNCES,0)),INDEX(AllCollegeSAT50, MATCH(N167,AllCollegeNCES,0)))</f>
        <v>0</v>
      </c>
      <c r="AD167">
        <f>INDEX(CustomWeightsGPA,MATCH(W167&amp;":"&amp;N167,CustomWeightsIndex,0))</f>
        <v>0</v>
      </c>
      <c r="AE167">
        <f>INDEX(CustomWeightsSAT,MATCH(W167&amp;":"&amp;N167,CustomWeightsIndex,0))</f>
        <v>0</v>
      </c>
      <c r="AF167">
        <f>INDEX(CustomWeightsIntercept,MATCH(W167&amp;":"&amp;N167,CustomWeightsIndex,0))</f>
        <v>0</v>
      </c>
      <c r="AG167">
        <f>AD167*S167+AE167*T167+AF167</f>
        <v>0</v>
      </c>
      <c r="AH167">
        <f>INDEX(CoefficientsGPA,MATCH(W167&amp;":"&amp;R167,CoefficientsIndex,0))</f>
        <v>0</v>
      </c>
      <c r="AI167">
        <f>INDEX(CoefficientsSAT,MATCH(W167&amp;":"&amp;R167,CoefficientsIndex,0))</f>
        <v>0</v>
      </c>
      <c r="AJ167">
        <f>INDEX(CoefficientsIntercept,MATCH(W167&amp;":"&amp;R167,CoefficientsIndex,0))</f>
        <v>0</v>
      </c>
      <c r="AK167">
        <f>AH167*S167+(T167-AC167)*AI167+AJ167</f>
        <v>0</v>
      </c>
      <c r="AL167">
        <f>IF(ISNUMBER(AG167),AG167,AK167)</f>
        <v>0</v>
      </c>
      <c r="AM167">
        <f>IF(ISNUMBER(AL167),IF(ISNUMBER(AH167),IF(AND(AH167=1,AI167=1,AJ167=1),100,MIN(99,ROUND(100*EXP(AL167)/(1+EXP(AL167)),2))),MIN(99,ROUND(100*EXP(AL167)/(1+EXP(AL167)),2))),IF(ISTEXT(R167),IF(LEFT(R167,1)="2",100,"N/A"),"N/A"))</f>
        <v>0</v>
      </c>
      <c r="AN167">
        <f>IF(ISNUMBER(AM167),IF(AM167&gt;=99,IF(OR(U167=10,U167=11),MatchLabel,SureThingLabel),IF(AM167&gt;=95,SecureLabel,IF(AM167&gt;=80,SafetyLabel,IF(AM167&gt;=50,MatchLabel,IF(AM167&gt;=20,ReachLabel,IF(AM167&gt;=10,LongshotLabel,HailMaryLabel)))))),"Other")</f>
        <v>0</v>
      </c>
      <c r="AO167">
        <f>IF(OR(I167="accepted",I167="cond. accept",I167="summer admit"),IF(J167="yes","CHOICE!","Accepted!"),IF(I167="guar. transfer","Guar. Xfer",IF(I167="denied","Denied",IF(K167=1,"Waitlist",IF(L167=1,"Deferred",IF(G167="pending","Pending",IF(OR(G167="initial materials submitted",G167="mid-year submitted",G167="final submitted"),"Submitted",IF(H167="interest","Interest","?"))))))))</f>
        <v>0</v>
      </c>
      <c r="AP167">
        <f>IF(OR(AN167=ReachLabel,AN167=LongshotLabel,AN167=HailMaryLabel),1,0)</f>
        <v>0</v>
      </c>
      <c r="AQ167">
        <f>IF(OR(AP167=1,AN167=MatchLabel),1,0)</f>
        <v>0</v>
      </c>
      <c r="AR167">
        <f>IF(OR(AN167=MatchLabel,AN167=SafetyLabel,AN167=SecureLabel,AN167=SureThingLabel),1,0)</f>
        <v>0</v>
      </c>
      <c r="AS167">
        <f>IF(OR(W167="H",W167="B",W167="I",W167="M"),IF(ISNUMBER(AB167),ROUND(AB167,2),0),IF(ISNUMBER(AA167),ROUND(AA167,2),0))</f>
        <v>0</v>
      </c>
      <c r="AT167">
        <f>IF(AS167&gt;=X167,1,0)</f>
        <v>0</v>
      </c>
      <c r="AU167">
        <f>IF(AS167&gt;=Y167,1,0)</f>
        <v>0</v>
      </c>
      <c r="AV167">
        <f>IF(AS167&lt;(X167-0.10),1,0)</f>
        <v>0</v>
      </c>
      <c r="AW167">
        <f>1-AM167/100</f>
        <v>0</v>
      </c>
      <c r="AX167">
        <f>IF(AQ167=1,AW167,1)</f>
        <v>0</v>
      </c>
      <c r="AY167">
        <f>IF(AP167=1,AW167,1)</f>
        <v>0</v>
      </c>
      <c r="AZ167">
        <f>IF(AND(AT167=1,ISNUMBER(AW167)),$AW167,1)</f>
        <v>0</v>
      </c>
      <c r="BA167">
        <f>IF(AND(AU167=1,ISNUMBER(AW167)),$AW167,1)</f>
        <v>0</v>
      </c>
      <c r="BB167">
        <f>IF(ISNUMBER(AB167),INDEX(AllCollegeMoney, MATCH(N167,AllCollegeNCES,0)),0)</f>
        <v>0</v>
      </c>
      <c r="BC167">
        <f>IF(AND(AT167=1,ISNUMBER(AW167),BB167=1),$AW167,1)</f>
        <v>0</v>
      </c>
      <c r="BD167">
        <f>IF(AND(AU167=1,ISNUMBER(AW167),BB167=1),$AW167,1)</f>
        <v>0</v>
      </c>
      <c r="BE167">
        <f>IF(ISNUMBER(AB167),INDEX(AllCollegeILPub, MATCH(N167,AllCollegeNCES,0)),0)</f>
        <v>0</v>
      </c>
      <c r="BF167">
        <f>IF(AN167=ReachLabel,AS167,0)</f>
        <v>0</v>
      </c>
      <c r="BG167">
        <f>IF(AN167=MatchLabel,AS167,0)</f>
        <v>0</v>
      </c>
      <c r="BH167">
        <f>IF(AN167=SafetyLabel,AS167,0)</f>
        <v>0</v>
      </c>
      <c r="BI167">
        <f>IF(AN167=SecureLabel,AS167,0)</f>
        <v>0</v>
      </c>
      <c r="BJ167">
        <f>IF(AN167=SureThingLabel,AS167,0)</f>
        <v>0</v>
      </c>
      <c r="BK167">
        <f>MAX(BF167:BJ167)</f>
        <v>0</v>
      </c>
      <c r="BL167">
        <f>MAX(BG167:BJ167)</f>
        <v>0</v>
      </c>
      <c r="BM167">
        <f>MAX(BH167:BJ167)</f>
        <v>0</v>
      </c>
      <c r="BN167">
        <f>IF(AND(AN167=ReachLabel,BB167=1),AS167,0)</f>
        <v>0</v>
      </c>
      <c r="BO167">
        <f>IF(AND(AN167=MatchLabel,BB167=1),AS167,0)</f>
        <v>0</v>
      </c>
      <c r="BP167">
        <f>IF(AND(AN167=SafetyLabel,BB167=1),AS167,0)</f>
        <v>0</v>
      </c>
      <c r="BQ167">
        <f>IF(AND(AN167=SecureLabel,BB167=1),AS167,0)</f>
        <v>0</v>
      </c>
      <c r="BR167">
        <f>IF(AND(AN167=SureThingLabel,BB167=1),AS167,0)</f>
        <v>0</v>
      </c>
      <c r="BS167">
        <f>MAX(BN167:BR167)</f>
        <v>0</v>
      </c>
      <c r="BT167">
        <f>MAX(BO167:BR167)</f>
        <v>0</v>
      </c>
      <c r="BU167">
        <f>MAX(BP167:BR167)</f>
        <v>0</v>
      </c>
      <c r="BV167">
        <f>IF(ISNUMBER(AB167),INDEX(AllCollegeChicago, MATCH(N167,AllCollegeNCES,0))*BB167,0)</f>
        <v>0</v>
      </c>
      <c r="BW167">
        <f>IF(ISNUMBER(AB167),INDEX(AllCollegeMoneyCode, MATCH(N167,AllCollegeNCES,0)),"?")</f>
        <v>0</v>
      </c>
      <c r="BX167">
        <f>IF(OR(BW167="---",BW167="--",BW167="+/--",BW167="+/---"),1,0)</f>
        <v>0</v>
      </c>
      <c r="BY167">
        <f>BB167*AR167*AT167</f>
        <v>0</v>
      </c>
    </row>
    <row r="168" spans="1:77">
      <c r="A168" t="s">
        <v>96</v>
      </c>
      <c r="B168">
        <v>22587209</v>
      </c>
      <c r="C168" t="s">
        <v>273</v>
      </c>
      <c r="D168" t="s">
        <v>274</v>
      </c>
      <c r="E168" t="s">
        <v>446</v>
      </c>
      <c r="F168" t="s">
        <v>465</v>
      </c>
      <c r="G168" t="s">
        <v>448</v>
      </c>
      <c r="H168" t="s">
        <v>449</v>
      </c>
      <c r="I168" t="s">
        <v>450</v>
      </c>
      <c r="J168" t="s">
        <v>450</v>
      </c>
      <c r="K168">
        <v>0</v>
      </c>
      <c r="L168" t="s">
        <v>446</v>
      </c>
      <c r="M168" t="s">
        <v>446</v>
      </c>
      <c r="N168">
        <v>145600</v>
      </c>
      <c r="O168">
        <f>INDEX(Counselor,MATCH(B168,KidIDs,0))</f>
        <v>0</v>
      </c>
      <c r="P168">
        <f>INDEX(Advisors,MATCH(B168,KidIDs,0))</f>
        <v>0</v>
      </c>
      <c r="Q168">
        <f>INDEX(Cohort,MATCH(B168,KidIDs,0))</f>
        <v>0</v>
      </c>
      <c r="R168">
        <f>INDEX(AllCollegeBarrons,MATCH(N168,AllCollegeNCES,0))</f>
        <v>0</v>
      </c>
      <c r="S168">
        <f>INDEX(KidGPAs,MATCH(B168,KidIDs,0))</f>
        <v>0</v>
      </c>
      <c r="T168">
        <f>INDEX(KidSATs,MATCH(B168,KidIDs,0))</f>
        <v>0</v>
      </c>
      <c r="U168">
        <f>INDEX(Strats,MATCH(B168,KidIDs,0))</f>
        <v>0</v>
      </c>
      <c r="V168">
        <f>INDEX(KidRace,MATCH(B168,KidIDs,0))</f>
        <v>0</v>
      </c>
      <c r="W168">
        <f>IF(OR(V168="M",V168="I"),"H",IF(V168="P","A",V168))</f>
        <v>0</v>
      </c>
      <c r="X168">
        <f>INDEX(StudentTargets,MATCH(B168,KidIDs,0))</f>
        <v>0</v>
      </c>
      <c r="Y168">
        <f>INDEX(ReachStudentTargets,MATCH(B168,KidIDs,0))</f>
        <v>0</v>
      </c>
      <c r="Z168">
        <f>IF(OR(M168="Posse"),1,0)</f>
        <v>0</v>
      </c>
      <c r="AA168">
        <f>IF(ISNUMBER(INDEX(AllCollegeGR, MATCH(N168,AllCollegeNCES,0))),ROUND(INDEX(AllCollegeGR, MATCH(N168,AllCollegeNCES,0))+Z168*IF(INDEX(AllCollegeGR, MATCH(N168,AllCollegeNCES,0))&gt;0.7,(1-INDEX(AllCollegeGR, MATCH(N168,AllCollegeNCES,0)))/2,0.15),2),INDEX(AllCollegeGR, MATCH(N168,AllCollegeNCES,0)))</f>
        <v>0</v>
      </c>
      <c r="AB168">
        <f>IF(ISNUMBER(INDEX(AllCollegeAAHGR, MATCH(N168,AllCollegeNCES,0))),ROUND(INDEX(AllCollegeAAHGR, MATCH(N168,AllCollegeNCES,0))+Z168*IF(INDEX(AllCollegeAAHGR, MATCH(N168,AllCollegeNCES,0))&gt;0.7,(1-INDEX(AllCollegeAAHGR, MATCH(N168,AllCollegeNCES,0)))/2,0.15),2),INDEX(AllCollegeAAHGR, MATCH(N168,AllCollegeNCES,0)))</f>
        <v>0</v>
      </c>
      <c r="AC168">
        <f>IF(OR(W168="H",W168="B"),INDEX(AllCollegeSAT25, MATCH(N168,AllCollegeNCES,0)),INDEX(AllCollegeSAT50, MATCH(N168,AllCollegeNCES,0)))</f>
        <v>0</v>
      </c>
      <c r="AD168">
        <f>INDEX(CustomWeightsGPA,MATCH(W168&amp;":"&amp;N168,CustomWeightsIndex,0))</f>
        <v>0</v>
      </c>
      <c r="AE168">
        <f>INDEX(CustomWeightsSAT,MATCH(W168&amp;":"&amp;N168,CustomWeightsIndex,0))</f>
        <v>0</v>
      </c>
      <c r="AF168">
        <f>INDEX(CustomWeightsIntercept,MATCH(W168&amp;":"&amp;N168,CustomWeightsIndex,0))</f>
        <v>0</v>
      </c>
      <c r="AG168">
        <f>AD168*S168+AE168*T168+AF168</f>
        <v>0</v>
      </c>
      <c r="AH168">
        <f>INDEX(CoefficientsGPA,MATCH(W168&amp;":"&amp;R168,CoefficientsIndex,0))</f>
        <v>0</v>
      </c>
      <c r="AI168">
        <f>INDEX(CoefficientsSAT,MATCH(W168&amp;":"&amp;R168,CoefficientsIndex,0))</f>
        <v>0</v>
      </c>
      <c r="AJ168">
        <f>INDEX(CoefficientsIntercept,MATCH(W168&amp;":"&amp;R168,CoefficientsIndex,0))</f>
        <v>0</v>
      </c>
      <c r="AK168">
        <f>AH168*S168+(T168-AC168)*AI168+AJ168</f>
        <v>0</v>
      </c>
      <c r="AL168">
        <f>IF(ISNUMBER(AG168),AG168,AK168)</f>
        <v>0</v>
      </c>
      <c r="AM168">
        <f>IF(ISNUMBER(AL168),IF(ISNUMBER(AH168),IF(AND(AH168=1,AI168=1,AJ168=1),100,MIN(99,ROUND(100*EXP(AL168)/(1+EXP(AL168)),2))),MIN(99,ROUND(100*EXP(AL168)/(1+EXP(AL168)),2))),IF(ISTEXT(R168),IF(LEFT(R168,1)="2",100,"N/A"),"N/A"))</f>
        <v>0</v>
      </c>
      <c r="AN168">
        <f>IF(ISNUMBER(AM168),IF(AM168&gt;=99,IF(OR(U168=10,U168=11),MatchLabel,SureThingLabel),IF(AM168&gt;=95,SecureLabel,IF(AM168&gt;=80,SafetyLabel,IF(AM168&gt;=50,MatchLabel,IF(AM168&gt;=20,ReachLabel,IF(AM168&gt;=10,LongshotLabel,HailMaryLabel)))))),"Other")</f>
        <v>0</v>
      </c>
      <c r="AO168">
        <f>IF(OR(I168="accepted",I168="cond. accept",I168="summer admit"),IF(J168="yes","CHOICE!","Accepted!"),IF(I168="guar. transfer","Guar. Xfer",IF(I168="denied","Denied",IF(K168=1,"Waitlist",IF(L168=1,"Deferred",IF(G168="pending","Pending",IF(OR(G168="initial materials submitted",G168="mid-year submitted",G168="final submitted"),"Submitted",IF(H168="interest","Interest","?"))))))))</f>
        <v>0</v>
      </c>
      <c r="AP168">
        <f>IF(OR(AN168=ReachLabel,AN168=LongshotLabel,AN168=HailMaryLabel),1,0)</f>
        <v>0</v>
      </c>
      <c r="AQ168">
        <f>IF(OR(AP168=1,AN168=MatchLabel),1,0)</f>
        <v>0</v>
      </c>
      <c r="AR168">
        <f>IF(OR(AN168=MatchLabel,AN168=SafetyLabel,AN168=SecureLabel,AN168=SureThingLabel),1,0)</f>
        <v>0</v>
      </c>
      <c r="AS168">
        <f>IF(OR(W168="H",W168="B",W168="I",W168="M"),IF(ISNUMBER(AB168),ROUND(AB168,2),0),IF(ISNUMBER(AA168),ROUND(AA168,2),0))</f>
        <v>0</v>
      </c>
      <c r="AT168">
        <f>IF(AS168&gt;=X168,1,0)</f>
        <v>0</v>
      </c>
      <c r="AU168">
        <f>IF(AS168&gt;=Y168,1,0)</f>
        <v>0</v>
      </c>
      <c r="AV168">
        <f>IF(AS168&lt;(X168-0.10),1,0)</f>
        <v>0</v>
      </c>
      <c r="AW168">
        <f>1-AM168/100</f>
        <v>0</v>
      </c>
      <c r="AX168">
        <f>IF(AQ168=1,AW168,1)</f>
        <v>0</v>
      </c>
      <c r="AY168">
        <f>IF(AP168=1,AW168,1)</f>
        <v>0</v>
      </c>
      <c r="AZ168">
        <f>IF(AND(AT168=1,ISNUMBER(AW168)),$AW168,1)</f>
        <v>0</v>
      </c>
      <c r="BA168">
        <f>IF(AND(AU168=1,ISNUMBER(AW168)),$AW168,1)</f>
        <v>0</v>
      </c>
      <c r="BB168">
        <f>IF(ISNUMBER(AB168),INDEX(AllCollegeMoney, MATCH(N168,AllCollegeNCES,0)),0)</f>
        <v>0</v>
      </c>
      <c r="BC168">
        <f>IF(AND(AT168=1,ISNUMBER(AW168),BB168=1),$AW168,1)</f>
        <v>0</v>
      </c>
      <c r="BD168">
        <f>IF(AND(AU168=1,ISNUMBER(AW168),BB168=1),$AW168,1)</f>
        <v>0</v>
      </c>
      <c r="BE168">
        <f>IF(ISNUMBER(AB168),INDEX(AllCollegeILPub, MATCH(N168,AllCollegeNCES,0)),0)</f>
        <v>0</v>
      </c>
      <c r="BF168">
        <f>IF(AN168=ReachLabel,AS168,0)</f>
        <v>0</v>
      </c>
      <c r="BG168">
        <f>IF(AN168=MatchLabel,AS168,0)</f>
        <v>0</v>
      </c>
      <c r="BH168">
        <f>IF(AN168=SafetyLabel,AS168,0)</f>
        <v>0</v>
      </c>
      <c r="BI168">
        <f>IF(AN168=SecureLabel,AS168,0)</f>
        <v>0</v>
      </c>
      <c r="BJ168">
        <f>IF(AN168=SureThingLabel,AS168,0)</f>
        <v>0</v>
      </c>
      <c r="BK168">
        <f>MAX(BF168:BJ168)</f>
        <v>0</v>
      </c>
      <c r="BL168">
        <f>MAX(BG168:BJ168)</f>
        <v>0</v>
      </c>
      <c r="BM168">
        <f>MAX(BH168:BJ168)</f>
        <v>0</v>
      </c>
      <c r="BN168">
        <f>IF(AND(AN168=ReachLabel,BB168=1),AS168,0)</f>
        <v>0</v>
      </c>
      <c r="BO168">
        <f>IF(AND(AN168=MatchLabel,BB168=1),AS168,0)</f>
        <v>0</v>
      </c>
      <c r="BP168">
        <f>IF(AND(AN168=SafetyLabel,BB168=1),AS168,0)</f>
        <v>0</v>
      </c>
      <c r="BQ168">
        <f>IF(AND(AN168=SecureLabel,BB168=1),AS168,0)</f>
        <v>0</v>
      </c>
      <c r="BR168">
        <f>IF(AND(AN168=SureThingLabel,BB168=1),AS168,0)</f>
        <v>0</v>
      </c>
      <c r="BS168">
        <f>MAX(BN168:BR168)</f>
        <v>0</v>
      </c>
      <c r="BT168">
        <f>MAX(BO168:BR168)</f>
        <v>0</v>
      </c>
      <c r="BU168">
        <f>MAX(BP168:BR168)</f>
        <v>0</v>
      </c>
      <c r="BV168">
        <f>IF(ISNUMBER(AB168),INDEX(AllCollegeChicago, MATCH(N168,AllCollegeNCES,0))*BB168,0)</f>
        <v>0</v>
      </c>
      <c r="BW168">
        <f>IF(ISNUMBER(AB168),INDEX(AllCollegeMoneyCode, MATCH(N168,AllCollegeNCES,0)),"?")</f>
        <v>0</v>
      </c>
      <c r="BX168">
        <f>IF(OR(BW168="---",BW168="--",BW168="+/--",BW168="+/---"),1,0)</f>
        <v>0</v>
      </c>
      <c r="BY168">
        <f>BB168*AR168*AT168</f>
        <v>0</v>
      </c>
    </row>
    <row r="169" spans="1:77">
      <c r="A169" t="s">
        <v>96</v>
      </c>
      <c r="B169">
        <v>22587209</v>
      </c>
      <c r="C169" t="s">
        <v>273</v>
      </c>
      <c r="D169" t="s">
        <v>274</v>
      </c>
      <c r="E169" t="s">
        <v>446</v>
      </c>
      <c r="F169" t="s">
        <v>506</v>
      </c>
      <c r="G169" t="s">
        <v>448</v>
      </c>
      <c r="H169" t="s">
        <v>449</v>
      </c>
      <c r="I169" t="s">
        <v>450</v>
      </c>
      <c r="J169" t="s">
        <v>450</v>
      </c>
      <c r="K169">
        <v>0</v>
      </c>
      <c r="L169" t="s">
        <v>446</v>
      </c>
      <c r="M169" t="s">
        <v>446</v>
      </c>
      <c r="N169">
        <v>147679</v>
      </c>
      <c r="O169">
        <f>INDEX(Counselor,MATCH(B169,KidIDs,0))</f>
        <v>0</v>
      </c>
      <c r="P169">
        <f>INDEX(Advisors,MATCH(B169,KidIDs,0))</f>
        <v>0</v>
      </c>
      <c r="Q169">
        <f>INDEX(Cohort,MATCH(B169,KidIDs,0))</f>
        <v>0</v>
      </c>
      <c r="R169">
        <f>INDEX(AllCollegeBarrons,MATCH(N169,AllCollegeNCES,0))</f>
        <v>0</v>
      </c>
      <c r="S169">
        <f>INDEX(KidGPAs,MATCH(B169,KidIDs,0))</f>
        <v>0</v>
      </c>
      <c r="T169">
        <f>INDEX(KidSATs,MATCH(B169,KidIDs,0))</f>
        <v>0</v>
      </c>
      <c r="U169">
        <f>INDEX(Strats,MATCH(B169,KidIDs,0))</f>
        <v>0</v>
      </c>
      <c r="V169">
        <f>INDEX(KidRace,MATCH(B169,KidIDs,0))</f>
        <v>0</v>
      </c>
      <c r="W169">
        <f>IF(OR(V169="M",V169="I"),"H",IF(V169="P","A",V169))</f>
        <v>0</v>
      </c>
      <c r="X169">
        <f>INDEX(StudentTargets,MATCH(B169,KidIDs,0))</f>
        <v>0</v>
      </c>
      <c r="Y169">
        <f>INDEX(ReachStudentTargets,MATCH(B169,KidIDs,0))</f>
        <v>0</v>
      </c>
      <c r="Z169">
        <f>IF(OR(M169="Posse"),1,0)</f>
        <v>0</v>
      </c>
      <c r="AA169">
        <f>IF(ISNUMBER(INDEX(AllCollegeGR, MATCH(N169,AllCollegeNCES,0))),ROUND(INDEX(AllCollegeGR, MATCH(N169,AllCollegeNCES,0))+Z169*IF(INDEX(AllCollegeGR, MATCH(N169,AllCollegeNCES,0))&gt;0.7,(1-INDEX(AllCollegeGR, MATCH(N169,AllCollegeNCES,0)))/2,0.15),2),INDEX(AllCollegeGR, MATCH(N169,AllCollegeNCES,0)))</f>
        <v>0</v>
      </c>
      <c r="AB169">
        <f>IF(ISNUMBER(INDEX(AllCollegeAAHGR, MATCH(N169,AllCollegeNCES,0))),ROUND(INDEX(AllCollegeAAHGR, MATCH(N169,AllCollegeNCES,0))+Z169*IF(INDEX(AllCollegeAAHGR, MATCH(N169,AllCollegeNCES,0))&gt;0.7,(1-INDEX(AllCollegeAAHGR, MATCH(N169,AllCollegeNCES,0)))/2,0.15),2),INDEX(AllCollegeAAHGR, MATCH(N169,AllCollegeNCES,0)))</f>
        <v>0</v>
      </c>
      <c r="AC169">
        <f>IF(OR(W169="H",W169="B"),INDEX(AllCollegeSAT25, MATCH(N169,AllCollegeNCES,0)),INDEX(AllCollegeSAT50, MATCH(N169,AllCollegeNCES,0)))</f>
        <v>0</v>
      </c>
      <c r="AD169">
        <f>INDEX(CustomWeightsGPA,MATCH(W169&amp;":"&amp;N169,CustomWeightsIndex,0))</f>
        <v>0</v>
      </c>
      <c r="AE169">
        <f>INDEX(CustomWeightsSAT,MATCH(W169&amp;":"&amp;N169,CustomWeightsIndex,0))</f>
        <v>0</v>
      </c>
      <c r="AF169">
        <f>INDEX(CustomWeightsIntercept,MATCH(W169&amp;":"&amp;N169,CustomWeightsIndex,0))</f>
        <v>0</v>
      </c>
      <c r="AG169">
        <f>AD169*S169+AE169*T169+AF169</f>
        <v>0</v>
      </c>
      <c r="AH169">
        <f>INDEX(CoefficientsGPA,MATCH(W169&amp;":"&amp;R169,CoefficientsIndex,0))</f>
        <v>0</v>
      </c>
      <c r="AI169">
        <f>INDEX(CoefficientsSAT,MATCH(W169&amp;":"&amp;R169,CoefficientsIndex,0))</f>
        <v>0</v>
      </c>
      <c r="AJ169">
        <f>INDEX(CoefficientsIntercept,MATCH(W169&amp;":"&amp;R169,CoefficientsIndex,0))</f>
        <v>0</v>
      </c>
      <c r="AK169">
        <f>AH169*S169+(T169-AC169)*AI169+AJ169</f>
        <v>0</v>
      </c>
      <c r="AL169">
        <f>IF(ISNUMBER(AG169),AG169,AK169)</f>
        <v>0</v>
      </c>
      <c r="AM169">
        <f>IF(ISNUMBER(AL169),IF(ISNUMBER(AH169),IF(AND(AH169=1,AI169=1,AJ169=1),100,MIN(99,ROUND(100*EXP(AL169)/(1+EXP(AL169)),2))),MIN(99,ROUND(100*EXP(AL169)/(1+EXP(AL169)),2))),IF(ISTEXT(R169),IF(LEFT(R169,1)="2",100,"N/A"),"N/A"))</f>
        <v>0</v>
      </c>
      <c r="AN169">
        <f>IF(ISNUMBER(AM169),IF(AM169&gt;=99,IF(OR(U169=10,U169=11),MatchLabel,SureThingLabel),IF(AM169&gt;=95,SecureLabel,IF(AM169&gt;=80,SafetyLabel,IF(AM169&gt;=50,MatchLabel,IF(AM169&gt;=20,ReachLabel,IF(AM169&gt;=10,LongshotLabel,HailMaryLabel)))))),"Other")</f>
        <v>0</v>
      </c>
      <c r="AO169">
        <f>IF(OR(I169="accepted",I169="cond. accept",I169="summer admit"),IF(J169="yes","CHOICE!","Accepted!"),IF(I169="guar. transfer","Guar. Xfer",IF(I169="denied","Denied",IF(K169=1,"Waitlist",IF(L169=1,"Deferred",IF(G169="pending","Pending",IF(OR(G169="initial materials submitted",G169="mid-year submitted",G169="final submitted"),"Submitted",IF(H169="interest","Interest","?"))))))))</f>
        <v>0</v>
      </c>
      <c r="AP169">
        <f>IF(OR(AN169=ReachLabel,AN169=LongshotLabel,AN169=HailMaryLabel),1,0)</f>
        <v>0</v>
      </c>
      <c r="AQ169">
        <f>IF(OR(AP169=1,AN169=MatchLabel),1,0)</f>
        <v>0</v>
      </c>
      <c r="AR169">
        <f>IF(OR(AN169=MatchLabel,AN169=SafetyLabel,AN169=SecureLabel,AN169=SureThingLabel),1,0)</f>
        <v>0</v>
      </c>
      <c r="AS169">
        <f>IF(OR(W169="H",W169="B",W169="I",W169="M"),IF(ISNUMBER(AB169),ROUND(AB169,2),0),IF(ISNUMBER(AA169),ROUND(AA169,2),0))</f>
        <v>0</v>
      </c>
      <c r="AT169">
        <f>IF(AS169&gt;=X169,1,0)</f>
        <v>0</v>
      </c>
      <c r="AU169">
        <f>IF(AS169&gt;=Y169,1,0)</f>
        <v>0</v>
      </c>
      <c r="AV169">
        <f>IF(AS169&lt;(X169-0.10),1,0)</f>
        <v>0</v>
      </c>
      <c r="AW169">
        <f>1-AM169/100</f>
        <v>0</v>
      </c>
      <c r="AX169">
        <f>IF(AQ169=1,AW169,1)</f>
        <v>0</v>
      </c>
      <c r="AY169">
        <f>IF(AP169=1,AW169,1)</f>
        <v>0</v>
      </c>
      <c r="AZ169">
        <f>IF(AND(AT169=1,ISNUMBER(AW169)),$AW169,1)</f>
        <v>0</v>
      </c>
      <c r="BA169">
        <f>IF(AND(AU169=1,ISNUMBER(AW169)),$AW169,1)</f>
        <v>0</v>
      </c>
      <c r="BB169">
        <f>IF(ISNUMBER(AB169),INDEX(AllCollegeMoney, MATCH(N169,AllCollegeNCES,0)),0)</f>
        <v>0</v>
      </c>
      <c r="BC169">
        <f>IF(AND(AT169=1,ISNUMBER(AW169),BB169=1),$AW169,1)</f>
        <v>0</v>
      </c>
      <c r="BD169">
        <f>IF(AND(AU169=1,ISNUMBER(AW169),BB169=1),$AW169,1)</f>
        <v>0</v>
      </c>
      <c r="BE169">
        <f>IF(ISNUMBER(AB169),INDEX(AllCollegeILPub, MATCH(N169,AllCollegeNCES,0)),0)</f>
        <v>0</v>
      </c>
      <c r="BF169">
        <f>IF(AN169=ReachLabel,AS169,0)</f>
        <v>0</v>
      </c>
      <c r="BG169">
        <f>IF(AN169=MatchLabel,AS169,0)</f>
        <v>0</v>
      </c>
      <c r="BH169">
        <f>IF(AN169=SafetyLabel,AS169,0)</f>
        <v>0</v>
      </c>
      <c r="BI169">
        <f>IF(AN169=SecureLabel,AS169,0)</f>
        <v>0</v>
      </c>
      <c r="BJ169">
        <f>IF(AN169=SureThingLabel,AS169,0)</f>
        <v>0</v>
      </c>
      <c r="BK169">
        <f>MAX(BF169:BJ169)</f>
        <v>0</v>
      </c>
      <c r="BL169">
        <f>MAX(BG169:BJ169)</f>
        <v>0</v>
      </c>
      <c r="BM169">
        <f>MAX(BH169:BJ169)</f>
        <v>0</v>
      </c>
      <c r="BN169">
        <f>IF(AND(AN169=ReachLabel,BB169=1),AS169,0)</f>
        <v>0</v>
      </c>
      <c r="BO169">
        <f>IF(AND(AN169=MatchLabel,BB169=1),AS169,0)</f>
        <v>0</v>
      </c>
      <c r="BP169">
        <f>IF(AND(AN169=SafetyLabel,BB169=1),AS169,0)</f>
        <v>0</v>
      </c>
      <c r="BQ169">
        <f>IF(AND(AN169=SecureLabel,BB169=1),AS169,0)</f>
        <v>0</v>
      </c>
      <c r="BR169">
        <f>IF(AND(AN169=SureThingLabel,BB169=1),AS169,0)</f>
        <v>0</v>
      </c>
      <c r="BS169">
        <f>MAX(BN169:BR169)</f>
        <v>0</v>
      </c>
      <c r="BT169">
        <f>MAX(BO169:BR169)</f>
        <v>0</v>
      </c>
      <c r="BU169">
        <f>MAX(BP169:BR169)</f>
        <v>0</v>
      </c>
      <c r="BV169">
        <f>IF(ISNUMBER(AB169),INDEX(AllCollegeChicago, MATCH(N169,AllCollegeNCES,0))*BB169,0)</f>
        <v>0</v>
      </c>
      <c r="BW169">
        <f>IF(ISNUMBER(AB169),INDEX(AllCollegeMoneyCode, MATCH(N169,AllCollegeNCES,0)),"?")</f>
        <v>0</v>
      </c>
      <c r="BX169">
        <f>IF(OR(BW169="---",BW169="--",BW169="+/--",BW169="+/---"),1,0)</f>
        <v>0</v>
      </c>
      <c r="BY169">
        <f>BB169*AR169*AT169</f>
        <v>0</v>
      </c>
    </row>
    <row r="170" spans="1:77">
      <c r="A170" t="s">
        <v>96</v>
      </c>
      <c r="B170">
        <v>22587209</v>
      </c>
      <c r="C170" t="s">
        <v>273</v>
      </c>
      <c r="D170" t="s">
        <v>274</v>
      </c>
      <c r="E170" t="s">
        <v>446</v>
      </c>
      <c r="F170" t="s">
        <v>466</v>
      </c>
      <c r="G170" t="s">
        <v>448</v>
      </c>
      <c r="H170" t="s">
        <v>449</v>
      </c>
      <c r="I170" t="s">
        <v>450</v>
      </c>
      <c r="J170" t="s">
        <v>450</v>
      </c>
      <c r="K170">
        <v>0</v>
      </c>
      <c r="L170" t="s">
        <v>446</v>
      </c>
      <c r="M170" t="s">
        <v>446</v>
      </c>
      <c r="N170">
        <v>100000001</v>
      </c>
      <c r="O170">
        <f>INDEX(Counselor,MATCH(B170,KidIDs,0))</f>
        <v>0</v>
      </c>
      <c r="P170">
        <f>INDEX(Advisors,MATCH(B170,KidIDs,0))</f>
        <v>0</v>
      </c>
      <c r="Q170">
        <f>INDEX(Cohort,MATCH(B170,KidIDs,0))</f>
        <v>0</v>
      </c>
      <c r="R170">
        <f>INDEX(AllCollegeBarrons,MATCH(N170,AllCollegeNCES,0))</f>
        <v>0</v>
      </c>
      <c r="S170">
        <f>INDEX(KidGPAs,MATCH(B170,KidIDs,0))</f>
        <v>0</v>
      </c>
      <c r="T170">
        <f>INDEX(KidSATs,MATCH(B170,KidIDs,0))</f>
        <v>0</v>
      </c>
      <c r="U170">
        <f>INDEX(Strats,MATCH(B170,KidIDs,0))</f>
        <v>0</v>
      </c>
      <c r="V170">
        <f>INDEX(KidRace,MATCH(B170,KidIDs,0))</f>
        <v>0</v>
      </c>
      <c r="W170">
        <f>IF(OR(V170="M",V170="I"),"H",IF(V170="P","A",V170))</f>
        <v>0</v>
      </c>
      <c r="X170">
        <f>INDEX(StudentTargets,MATCH(B170,KidIDs,0))</f>
        <v>0</v>
      </c>
      <c r="Y170">
        <f>INDEX(ReachStudentTargets,MATCH(B170,KidIDs,0))</f>
        <v>0</v>
      </c>
      <c r="Z170">
        <f>IF(OR(M170="Posse"),1,0)</f>
        <v>0</v>
      </c>
      <c r="AA170">
        <f>IF(ISNUMBER(INDEX(AllCollegeGR, MATCH(N170,AllCollegeNCES,0))),ROUND(INDEX(AllCollegeGR, MATCH(N170,AllCollegeNCES,0))+Z170*IF(INDEX(AllCollegeGR, MATCH(N170,AllCollegeNCES,0))&gt;0.7,(1-INDEX(AllCollegeGR, MATCH(N170,AllCollegeNCES,0)))/2,0.15),2),INDEX(AllCollegeGR, MATCH(N170,AllCollegeNCES,0)))</f>
        <v>0</v>
      </c>
      <c r="AB170">
        <f>IF(ISNUMBER(INDEX(AllCollegeAAHGR, MATCH(N170,AllCollegeNCES,0))),ROUND(INDEX(AllCollegeAAHGR, MATCH(N170,AllCollegeNCES,0))+Z170*IF(INDEX(AllCollegeAAHGR, MATCH(N170,AllCollegeNCES,0))&gt;0.7,(1-INDEX(AllCollegeAAHGR, MATCH(N170,AllCollegeNCES,0)))/2,0.15),2),INDEX(AllCollegeAAHGR, MATCH(N170,AllCollegeNCES,0)))</f>
        <v>0</v>
      </c>
      <c r="AC170">
        <f>IF(OR(W170="H",W170="B"),INDEX(AllCollegeSAT25, MATCH(N170,AllCollegeNCES,0)),INDEX(AllCollegeSAT50, MATCH(N170,AllCollegeNCES,0)))</f>
        <v>0</v>
      </c>
      <c r="AD170">
        <f>INDEX(CustomWeightsGPA,MATCH(W170&amp;":"&amp;N170,CustomWeightsIndex,0))</f>
        <v>0</v>
      </c>
      <c r="AE170">
        <f>INDEX(CustomWeightsSAT,MATCH(W170&amp;":"&amp;N170,CustomWeightsIndex,0))</f>
        <v>0</v>
      </c>
      <c r="AF170">
        <f>INDEX(CustomWeightsIntercept,MATCH(W170&amp;":"&amp;N170,CustomWeightsIndex,0))</f>
        <v>0</v>
      </c>
      <c r="AG170">
        <f>AD170*S170+AE170*T170+AF170</f>
        <v>0</v>
      </c>
      <c r="AH170">
        <f>INDEX(CoefficientsGPA,MATCH(W170&amp;":"&amp;R170,CoefficientsIndex,0))</f>
        <v>0</v>
      </c>
      <c r="AI170">
        <f>INDEX(CoefficientsSAT,MATCH(W170&amp;":"&amp;R170,CoefficientsIndex,0))</f>
        <v>0</v>
      </c>
      <c r="AJ170">
        <f>INDEX(CoefficientsIntercept,MATCH(W170&amp;":"&amp;R170,CoefficientsIndex,0))</f>
        <v>0</v>
      </c>
      <c r="AK170">
        <f>AH170*S170+(T170-AC170)*AI170+AJ170</f>
        <v>0</v>
      </c>
      <c r="AL170">
        <f>IF(ISNUMBER(AG170),AG170,AK170)</f>
        <v>0</v>
      </c>
      <c r="AM170">
        <f>IF(ISNUMBER(AL170),IF(ISNUMBER(AH170),IF(AND(AH170=1,AI170=1,AJ170=1),100,MIN(99,ROUND(100*EXP(AL170)/(1+EXP(AL170)),2))),MIN(99,ROUND(100*EXP(AL170)/(1+EXP(AL170)),2))),IF(ISTEXT(R170),IF(LEFT(R170,1)="2",100,"N/A"),"N/A"))</f>
        <v>0</v>
      </c>
      <c r="AN170">
        <f>IF(ISNUMBER(AM170),IF(AM170&gt;=99,IF(OR(U170=10,U170=11),MatchLabel,SureThingLabel),IF(AM170&gt;=95,SecureLabel,IF(AM170&gt;=80,SafetyLabel,IF(AM170&gt;=50,MatchLabel,IF(AM170&gt;=20,ReachLabel,IF(AM170&gt;=10,LongshotLabel,HailMaryLabel)))))),"Other")</f>
        <v>0</v>
      </c>
      <c r="AO170">
        <f>IF(OR(I170="accepted",I170="cond. accept",I170="summer admit"),IF(J170="yes","CHOICE!","Accepted!"),IF(I170="guar. transfer","Guar. Xfer",IF(I170="denied","Denied",IF(K170=1,"Waitlist",IF(L170=1,"Deferred",IF(G170="pending","Pending",IF(OR(G170="initial materials submitted",G170="mid-year submitted",G170="final submitted"),"Submitted",IF(H170="interest","Interest","?"))))))))</f>
        <v>0</v>
      </c>
      <c r="AP170">
        <f>IF(OR(AN170=ReachLabel,AN170=LongshotLabel,AN170=HailMaryLabel),1,0)</f>
        <v>0</v>
      </c>
      <c r="AQ170">
        <f>IF(OR(AP170=1,AN170=MatchLabel),1,0)</f>
        <v>0</v>
      </c>
      <c r="AR170">
        <f>IF(OR(AN170=MatchLabel,AN170=SafetyLabel,AN170=SecureLabel,AN170=SureThingLabel),1,0)</f>
        <v>0</v>
      </c>
      <c r="AS170">
        <f>IF(OR(W170="H",W170="B",W170="I",W170="M"),IF(ISNUMBER(AB170),ROUND(AB170,2),0),IF(ISNUMBER(AA170),ROUND(AA170,2),0))</f>
        <v>0</v>
      </c>
      <c r="AT170">
        <f>IF(AS170&gt;=X170,1,0)</f>
        <v>0</v>
      </c>
      <c r="AU170">
        <f>IF(AS170&gt;=Y170,1,0)</f>
        <v>0</v>
      </c>
      <c r="AV170">
        <f>IF(AS170&lt;(X170-0.10),1,0)</f>
        <v>0</v>
      </c>
      <c r="AW170">
        <f>1-AM170/100</f>
        <v>0</v>
      </c>
      <c r="AX170">
        <f>IF(AQ170=1,AW170,1)</f>
        <v>0</v>
      </c>
      <c r="AY170">
        <f>IF(AP170=1,AW170,1)</f>
        <v>0</v>
      </c>
      <c r="AZ170">
        <f>IF(AND(AT170=1,ISNUMBER(AW170)),$AW170,1)</f>
        <v>0</v>
      </c>
      <c r="BA170">
        <f>IF(AND(AU170=1,ISNUMBER(AW170)),$AW170,1)</f>
        <v>0</v>
      </c>
      <c r="BB170">
        <f>IF(ISNUMBER(AB170),INDEX(AllCollegeMoney, MATCH(N170,AllCollegeNCES,0)),0)</f>
        <v>0</v>
      </c>
      <c r="BC170">
        <f>IF(AND(AT170=1,ISNUMBER(AW170),BB170=1),$AW170,1)</f>
        <v>0</v>
      </c>
      <c r="BD170">
        <f>IF(AND(AU170=1,ISNUMBER(AW170),BB170=1),$AW170,1)</f>
        <v>0</v>
      </c>
      <c r="BE170">
        <f>IF(ISNUMBER(AB170),INDEX(AllCollegeILPub, MATCH(N170,AllCollegeNCES,0)),0)</f>
        <v>0</v>
      </c>
      <c r="BF170">
        <f>IF(AN170=ReachLabel,AS170,0)</f>
        <v>0</v>
      </c>
      <c r="BG170">
        <f>IF(AN170=MatchLabel,AS170,0)</f>
        <v>0</v>
      </c>
      <c r="BH170">
        <f>IF(AN170=SafetyLabel,AS170,0)</f>
        <v>0</v>
      </c>
      <c r="BI170">
        <f>IF(AN170=SecureLabel,AS170,0)</f>
        <v>0</v>
      </c>
      <c r="BJ170">
        <f>IF(AN170=SureThingLabel,AS170,0)</f>
        <v>0</v>
      </c>
      <c r="BK170">
        <f>MAX(BF170:BJ170)</f>
        <v>0</v>
      </c>
      <c r="BL170">
        <f>MAX(BG170:BJ170)</f>
        <v>0</v>
      </c>
      <c r="BM170">
        <f>MAX(BH170:BJ170)</f>
        <v>0</v>
      </c>
      <c r="BN170">
        <f>IF(AND(AN170=ReachLabel,BB170=1),AS170,0)</f>
        <v>0</v>
      </c>
      <c r="BO170">
        <f>IF(AND(AN170=MatchLabel,BB170=1),AS170,0)</f>
        <v>0</v>
      </c>
      <c r="BP170">
        <f>IF(AND(AN170=SafetyLabel,BB170=1),AS170,0)</f>
        <v>0</v>
      </c>
      <c r="BQ170">
        <f>IF(AND(AN170=SecureLabel,BB170=1),AS170,0)</f>
        <v>0</v>
      </c>
      <c r="BR170">
        <f>IF(AND(AN170=SureThingLabel,BB170=1),AS170,0)</f>
        <v>0</v>
      </c>
      <c r="BS170">
        <f>MAX(BN170:BR170)</f>
        <v>0</v>
      </c>
      <c r="BT170">
        <f>MAX(BO170:BR170)</f>
        <v>0</v>
      </c>
      <c r="BU170">
        <f>MAX(BP170:BR170)</f>
        <v>0</v>
      </c>
      <c r="BV170">
        <f>IF(ISNUMBER(AB170),INDEX(AllCollegeChicago, MATCH(N170,AllCollegeNCES,0))*BB170,0)</f>
        <v>0</v>
      </c>
      <c r="BW170">
        <f>IF(ISNUMBER(AB170),INDEX(AllCollegeMoneyCode, MATCH(N170,AllCollegeNCES,0)),"?")</f>
        <v>0</v>
      </c>
      <c r="BX170">
        <f>IF(OR(BW170="---",BW170="--",BW170="+/--",BW170="+/---"),1,0)</f>
        <v>0</v>
      </c>
      <c r="BY170">
        <f>BB170*AR170*AT170</f>
        <v>0</v>
      </c>
    </row>
    <row r="171" spans="1:77">
      <c r="A171" t="s">
        <v>96</v>
      </c>
      <c r="B171">
        <v>22587209</v>
      </c>
      <c r="C171" t="s">
        <v>273</v>
      </c>
      <c r="D171" t="s">
        <v>274</v>
      </c>
      <c r="E171" t="s">
        <v>446</v>
      </c>
      <c r="F171" t="s">
        <v>467</v>
      </c>
      <c r="G171" t="s">
        <v>448</v>
      </c>
      <c r="H171" t="s">
        <v>449</v>
      </c>
      <c r="I171" t="s">
        <v>450</v>
      </c>
      <c r="J171" t="s">
        <v>450</v>
      </c>
      <c r="K171">
        <v>0</v>
      </c>
      <c r="L171" t="s">
        <v>446</v>
      </c>
      <c r="M171" t="s">
        <v>446</v>
      </c>
      <c r="N171">
        <v>147378</v>
      </c>
      <c r="O171">
        <f>INDEX(Counselor,MATCH(B171,KidIDs,0))</f>
        <v>0</v>
      </c>
      <c r="P171">
        <f>INDEX(Advisors,MATCH(B171,KidIDs,0))</f>
        <v>0</v>
      </c>
      <c r="Q171">
        <f>INDEX(Cohort,MATCH(B171,KidIDs,0))</f>
        <v>0</v>
      </c>
      <c r="R171">
        <f>INDEX(AllCollegeBarrons,MATCH(N171,AllCollegeNCES,0))</f>
        <v>0</v>
      </c>
      <c r="S171">
        <f>INDEX(KidGPAs,MATCH(B171,KidIDs,0))</f>
        <v>0</v>
      </c>
      <c r="T171">
        <f>INDEX(KidSATs,MATCH(B171,KidIDs,0))</f>
        <v>0</v>
      </c>
      <c r="U171">
        <f>INDEX(Strats,MATCH(B171,KidIDs,0))</f>
        <v>0</v>
      </c>
      <c r="V171">
        <f>INDEX(KidRace,MATCH(B171,KidIDs,0))</f>
        <v>0</v>
      </c>
      <c r="W171">
        <f>IF(OR(V171="M",V171="I"),"H",IF(V171="P","A",V171))</f>
        <v>0</v>
      </c>
      <c r="X171">
        <f>INDEX(StudentTargets,MATCH(B171,KidIDs,0))</f>
        <v>0</v>
      </c>
      <c r="Y171">
        <f>INDEX(ReachStudentTargets,MATCH(B171,KidIDs,0))</f>
        <v>0</v>
      </c>
      <c r="Z171">
        <f>IF(OR(M171="Posse"),1,0)</f>
        <v>0</v>
      </c>
      <c r="AA171">
        <f>IF(ISNUMBER(INDEX(AllCollegeGR, MATCH(N171,AllCollegeNCES,0))),ROUND(INDEX(AllCollegeGR, MATCH(N171,AllCollegeNCES,0))+Z171*IF(INDEX(AllCollegeGR, MATCH(N171,AllCollegeNCES,0))&gt;0.7,(1-INDEX(AllCollegeGR, MATCH(N171,AllCollegeNCES,0)))/2,0.15),2),INDEX(AllCollegeGR, MATCH(N171,AllCollegeNCES,0)))</f>
        <v>0</v>
      </c>
      <c r="AB171">
        <f>IF(ISNUMBER(INDEX(AllCollegeAAHGR, MATCH(N171,AllCollegeNCES,0))),ROUND(INDEX(AllCollegeAAHGR, MATCH(N171,AllCollegeNCES,0))+Z171*IF(INDEX(AllCollegeAAHGR, MATCH(N171,AllCollegeNCES,0))&gt;0.7,(1-INDEX(AllCollegeAAHGR, MATCH(N171,AllCollegeNCES,0)))/2,0.15),2),INDEX(AllCollegeAAHGR, MATCH(N171,AllCollegeNCES,0)))</f>
        <v>0</v>
      </c>
      <c r="AC171">
        <f>IF(OR(W171="H",W171="B"),INDEX(AllCollegeSAT25, MATCH(N171,AllCollegeNCES,0)),INDEX(AllCollegeSAT50, MATCH(N171,AllCollegeNCES,0)))</f>
        <v>0</v>
      </c>
      <c r="AD171">
        <f>INDEX(CustomWeightsGPA,MATCH(W171&amp;":"&amp;N171,CustomWeightsIndex,0))</f>
        <v>0</v>
      </c>
      <c r="AE171">
        <f>INDEX(CustomWeightsSAT,MATCH(W171&amp;":"&amp;N171,CustomWeightsIndex,0))</f>
        <v>0</v>
      </c>
      <c r="AF171">
        <f>INDEX(CustomWeightsIntercept,MATCH(W171&amp;":"&amp;N171,CustomWeightsIndex,0))</f>
        <v>0</v>
      </c>
      <c r="AG171">
        <f>AD171*S171+AE171*T171+AF171</f>
        <v>0</v>
      </c>
      <c r="AH171">
        <f>INDEX(CoefficientsGPA,MATCH(W171&amp;":"&amp;R171,CoefficientsIndex,0))</f>
        <v>0</v>
      </c>
      <c r="AI171">
        <f>INDEX(CoefficientsSAT,MATCH(W171&amp;":"&amp;R171,CoefficientsIndex,0))</f>
        <v>0</v>
      </c>
      <c r="AJ171">
        <f>INDEX(CoefficientsIntercept,MATCH(W171&amp;":"&amp;R171,CoefficientsIndex,0))</f>
        <v>0</v>
      </c>
      <c r="AK171">
        <f>AH171*S171+(T171-AC171)*AI171+AJ171</f>
        <v>0</v>
      </c>
      <c r="AL171">
        <f>IF(ISNUMBER(AG171),AG171,AK171)</f>
        <v>0</v>
      </c>
      <c r="AM171">
        <f>IF(ISNUMBER(AL171),IF(ISNUMBER(AH171),IF(AND(AH171=1,AI171=1,AJ171=1),100,MIN(99,ROUND(100*EXP(AL171)/(1+EXP(AL171)),2))),MIN(99,ROUND(100*EXP(AL171)/(1+EXP(AL171)),2))),IF(ISTEXT(R171),IF(LEFT(R171,1)="2",100,"N/A"),"N/A"))</f>
        <v>0</v>
      </c>
      <c r="AN171">
        <f>IF(ISNUMBER(AM171),IF(AM171&gt;=99,IF(OR(U171=10,U171=11),MatchLabel,SureThingLabel),IF(AM171&gt;=95,SecureLabel,IF(AM171&gt;=80,SafetyLabel,IF(AM171&gt;=50,MatchLabel,IF(AM171&gt;=20,ReachLabel,IF(AM171&gt;=10,LongshotLabel,HailMaryLabel)))))),"Other")</f>
        <v>0</v>
      </c>
      <c r="AO171">
        <f>IF(OR(I171="accepted",I171="cond. accept",I171="summer admit"),IF(J171="yes","CHOICE!","Accepted!"),IF(I171="guar. transfer","Guar. Xfer",IF(I171="denied","Denied",IF(K171=1,"Waitlist",IF(L171=1,"Deferred",IF(G171="pending","Pending",IF(OR(G171="initial materials submitted",G171="mid-year submitted",G171="final submitted"),"Submitted",IF(H171="interest","Interest","?"))))))))</f>
        <v>0</v>
      </c>
      <c r="AP171">
        <f>IF(OR(AN171=ReachLabel,AN171=LongshotLabel,AN171=HailMaryLabel),1,0)</f>
        <v>0</v>
      </c>
      <c r="AQ171">
        <f>IF(OR(AP171=1,AN171=MatchLabel),1,0)</f>
        <v>0</v>
      </c>
      <c r="AR171">
        <f>IF(OR(AN171=MatchLabel,AN171=SafetyLabel,AN171=SecureLabel,AN171=SureThingLabel),1,0)</f>
        <v>0</v>
      </c>
      <c r="AS171">
        <f>IF(OR(W171="H",W171="B",W171="I",W171="M"),IF(ISNUMBER(AB171),ROUND(AB171,2),0),IF(ISNUMBER(AA171),ROUND(AA171,2),0))</f>
        <v>0</v>
      </c>
      <c r="AT171">
        <f>IF(AS171&gt;=X171,1,0)</f>
        <v>0</v>
      </c>
      <c r="AU171">
        <f>IF(AS171&gt;=Y171,1,0)</f>
        <v>0</v>
      </c>
      <c r="AV171">
        <f>IF(AS171&lt;(X171-0.10),1,0)</f>
        <v>0</v>
      </c>
      <c r="AW171">
        <f>1-AM171/100</f>
        <v>0</v>
      </c>
      <c r="AX171">
        <f>IF(AQ171=1,AW171,1)</f>
        <v>0</v>
      </c>
      <c r="AY171">
        <f>IF(AP171=1,AW171,1)</f>
        <v>0</v>
      </c>
      <c r="AZ171">
        <f>IF(AND(AT171=1,ISNUMBER(AW171)),$AW171,1)</f>
        <v>0</v>
      </c>
      <c r="BA171">
        <f>IF(AND(AU171=1,ISNUMBER(AW171)),$AW171,1)</f>
        <v>0</v>
      </c>
      <c r="BB171">
        <f>IF(ISNUMBER(AB171),INDEX(AllCollegeMoney, MATCH(N171,AllCollegeNCES,0)),0)</f>
        <v>0</v>
      </c>
      <c r="BC171">
        <f>IF(AND(AT171=1,ISNUMBER(AW171),BB171=1),$AW171,1)</f>
        <v>0</v>
      </c>
      <c r="BD171">
        <f>IF(AND(AU171=1,ISNUMBER(AW171),BB171=1),$AW171,1)</f>
        <v>0</v>
      </c>
      <c r="BE171">
        <f>IF(ISNUMBER(AB171),INDEX(AllCollegeILPub, MATCH(N171,AllCollegeNCES,0)),0)</f>
        <v>0</v>
      </c>
      <c r="BF171">
        <f>IF(AN171=ReachLabel,AS171,0)</f>
        <v>0</v>
      </c>
      <c r="BG171">
        <f>IF(AN171=MatchLabel,AS171,0)</f>
        <v>0</v>
      </c>
      <c r="BH171">
        <f>IF(AN171=SafetyLabel,AS171,0)</f>
        <v>0</v>
      </c>
      <c r="BI171">
        <f>IF(AN171=SecureLabel,AS171,0)</f>
        <v>0</v>
      </c>
      <c r="BJ171">
        <f>IF(AN171=SureThingLabel,AS171,0)</f>
        <v>0</v>
      </c>
      <c r="BK171">
        <f>MAX(BF171:BJ171)</f>
        <v>0</v>
      </c>
      <c r="BL171">
        <f>MAX(BG171:BJ171)</f>
        <v>0</v>
      </c>
      <c r="BM171">
        <f>MAX(BH171:BJ171)</f>
        <v>0</v>
      </c>
      <c r="BN171">
        <f>IF(AND(AN171=ReachLabel,BB171=1),AS171,0)</f>
        <v>0</v>
      </c>
      <c r="BO171">
        <f>IF(AND(AN171=MatchLabel,BB171=1),AS171,0)</f>
        <v>0</v>
      </c>
      <c r="BP171">
        <f>IF(AND(AN171=SafetyLabel,BB171=1),AS171,0)</f>
        <v>0</v>
      </c>
      <c r="BQ171">
        <f>IF(AND(AN171=SecureLabel,BB171=1),AS171,0)</f>
        <v>0</v>
      </c>
      <c r="BR171">
        <f>IF(AND(AN171=SureThingLabel,BB171=1),AS171,0)</f>
        <v>0</v>
      </c>
      <c r="BS171">
        <f>MAX(BN171:BR171)</f>
        <v>0</v>
      </c>
      <c r="BT171">
        <f>MAX(BO171:BR171)</f>
        <v>0</v>
      </c>
      <c r="BU171">
        <f>MAX(BP171:BR171)</f>
        <v>0</v>
      </c>
      <c r="BV171">
        <f>IF(ISNUMBER(AB171),INDEX(AllCollegeChicago, MATCH(N171,AllCollegeNCES,0))*BB171,0)</f>
        <v>0</v>
      </c>
      <c r="BW171">
        <f>IF(ISNUMBER(AB171),INDEX(AllCollegeMoneyCode, MATCH(N171,AllCollegeNCES,0)),"?")</f>
        <v>0</v>
      </c>
      <c r="BX171">
        <f>IF(OR(BW171="---",BW171="--",BW171="+/--",BW171="+/---"),1,0)</f>
        <v>0</v>
      </c>
      <c r="BY171">
        <f>BB171*AR171*AT171</f>
        <v>0</v>
      </c>
    </row>
    <row r="172" spans="1:77">
      <c r="A172" t="s">
        <v>96</v>
      </c>
      <c r="B172">
        <v>22587209</v>
      </c>
      <c r="C172" t="s">
        <v>273</v>
      </c>
      <c r="D172" t="s">
        <v>274</v>
      </c>
      <c r="E172" t="s">
        <v>446</v>
      </c>
      <c r="F172" t="s">
        <v>460</v>
      </c>
      <c r="G172" t="s">
        <v>448</v>
      </c>
      <c r="H172" t="s">
        <v>449</v>
      </c>
      <c r="I172" t="s">
        <v>450</v>
      </c>
      <c r="J172" t="s">
        <v>450</v>
      </c>
      <c r="K172">
        <v>0</v>
      </c>
      <c r="L172" t="s">
        <v>446</v>
      </c>
      <c r="M172" t="s">
        <v>446</v>
      </c>
      <c r="N172">
        <v>144209</v>
      </c>
      <c r="O172">
        <f>INDEX(Counselor,MATCH(B172,KidIDs,0))</f>
        <v>0</v>
      </c>
      <c r="P172">
        <f>INDEX(Advisors,MATCH(B172,KidIDs,0))</f>
        <v>0</v>
      </c>
      <c r="Q172">
        <f>INDEX(Cohort,MATCH(B172,KidIDs,0))</f>
        <v>0</v>
      </c>
      <c r="R172">
        <f>INDEX(AllCollegeBarrons,MATCH(N172,AllCollegeNCES,0))</f>
        <v>0</v>
      </c>
      <c r="S172">
        <f>INDEX(KidGPAs,MATCH(B172,KidIDs,0))</f>
        <v>0</v>
      </c>
      <c r="T172">
        <f>INDEX(KidSATs,MATCH(B172,KidIDs,0))</f>
        <v>0</v>
      </c>
      <c r="U172">
        <f>INDEX(Strats,MATCH(B172,KidIDs,0))</f>
        <v>0</v>
      </c>
      <c r="V172">
        <f>INDEX(KidRace,MATCH(B172,KidIDs,0))</f>
        <v>0</v>
      </c>
      <c r="W172">
        <f>IF(OR(V172="M",V172="I"),"H",IF(V172="P","A",V172))</f>
        <v>0</v>
      </c>
      <c r="X172">
        <f>INDEX(StudentTargets,MATCH(B172,KidIDs,0))</f>
        <v>0</v>
      </c>
      <c r="Y172">
        <f>INDEX(ReachStudentTargets,MATCH(B172,KidIDs,0))</f>
        <v>0</v>
      </c>
      <c r="Z172">
        <f>IF(OR(M172="Posse"),1,0)</f>
        <v>0</v>
      </c>
      <c r="AA172">
        <f>IF(ISNUMBER(INDEX(AllCollegeGR, MATCH(N172,AllCollegeNCES,0))),ROUND(INDEX(AllCollegeGR, MATCH(N172,AllCollegeNCES,0))+Z172*IF(INDEX(AllCollegeGR, MATCH(N172,AllCollegeNCES,0))&gt;0.7,(1-INDEX(AllCollegeGR, MATCH(N172,AllCollegeNCES,0)))/2,0.15),2),INDEX(AllCollegeGR, MATCH(N172,AllCollegeNCES,0)))</f>
        <v>0</v>
      </c>
      <c r="AB172">
        <f>IF(ISNUMBER(INDEX(AllCollegeAAHGR, MATCH(N172,AllCollegeNCES,0))),ROUND(INDEX(AllCollegeAAHGR, MATCH(N172,AllCollegeNCES,0))+Z172*IF(INDEX(AllCollegeAAHGR, MATCH(N172,AllCollegeNCES,0))&gt;0.7,(1-INDEX(AllCollegeAAHGR, MATCH(N172,AllCollegeNCES,0)))/2,0.15),2),INDEX(AllCollegeAAHGR, MATCH(N172,AllCollegeNCES,0)))</f>
        <v>0</v>
      </c>
      <c r="AC172">
        <f>IF(OR(W172="H",W172="B"),INDEX(AllCollegeSAT25, MATCH(N172,AllCollegeNCES,0)),INDEX(AllCollegeSAT50, MATCH(N172,AllCollegeNCES,0)))</f>
        <v>0</v>
      </c>
      <c r="AD172">
        <f>INDEX(CustomWeightsGPA,MATCH(W172&amp;":"&amp;N172,CustomWeightsIndex,0))</f>
        <v>0</v>
      </c>
      <c r="AE172">
        <f>INDEX(CustomWeightsSAT,MATCH(W172&amp;":"&amp;N172,CustomWeightsIndex,0))</f>
        <v>0</v>
      </c>
      <c r="AF172">
        <f>INDEX(CustomWeightsIntercept,MATCH(W172&amp;":"&amp;N172,CustomWeightsIndex,0))</f>
        <v>0</v>
      </c>
      <c r="AG172">
        <f>AD172*S172+AE172*T172+AF172</f>
        <v>0</v>
      </c>
      <c r="AH172">
        <f>INDEX(CoefficientsGPA,MATCH(W172&amp;":"&amp;R172,CoefficientsIndex,0))</f>
        <v>0</v>
      </c>
      <c r="AI172">
        <f>INDEX(CoefficientsSAT,MATCH(W172&amp;":"&amp;R172,CoefficientsIndex,0))</f>
        <v>0</v>
      </c>
      <c r="AJ172">
        <f>INDEX(CoefficientsIntercept,MATCH(W172&amp;":"&amp;R172,CoefficientsIndex,0))</f>
        <v>0</v>
      </c>
      <c r="AK172">
        <f>AH172*S172+(T172-AC172)*AI172+AJ172</f>
        <v>0</v>
      </c>
      <c r="AL172">
        <f>IF(ISNUMBER(AG172),AG172,AK172)</f>
        <v>0</v>
      </c>
      <c r="AM172">
        <f>IF(ISNUMBER(AL172),IF(ISNUMBER(AH172),IF(AND(AH172=1,AI172=1,AJ172=1),100,MIN(99,ROUND(100*EXP(AL172)/(1+EXP(AL172)),2))),MIN(99,ROUND(100*EXP(AL172)/(1+EXP(AL172)),2))),IF(ISTEXT(R172),IF(LEFT(R172,1)="2",100,"N/A"),"N/A"))</f>
        <v>0</v>
      </c>
      <c r="AN172">
        <f>IF(ISNUMBER(AM172),IF(AM172&gt;=99,IF(OR(U172=10,U172=11),MatchLabel,SureThingLabel),IF(AM172&gt;=95,SecureLabel,IF(AM172&gt;=80,SafetyLabel,IF(AM172&gt;=50,MatchLabel,IF(AM172&gt;=20,ReachLabel,IF(AM172&gt;=10,LongshotLabel,HailMaryLabel)))))),"Other")</f>
        <v>0</v>
      </c>
      <c r="AO172">
        <f>IF(OR(I172="accepted",I172="cond. accept",I172="summer admit"),IF(J172="yes","CHOICE!","Accepted!"),IF(I172="guar. transfer","Guar. Xfer",IF(I172="denied","Denied",IF(K172=1,"Waitlist",IF(L172=1,"Deferred",IF(G172="pending","Pending",IF(OR(G172="initial materials submitted",G172="mid-year submitted",G172="final submitted"),"Submitted",IF(H172="interest","Interest","?"))))))))</f>
        <v>0</v>
      </c>
      <c r="AP172">
        <f>IF(OR(AN172=ReachLabel,AN172=LongshotLabel,AN172=HailMaryLabel),1,0)</f>
        <v>0</v>
      </c>
      <c r="AQ172">
        <f>IF(OR(AP172=1,AN172=MatchLabel),1,0)</f>
        <v>0</v>
      </c>
      <c r="AR172">
        <f>IF(OR(AN172=MatchLabel,AN172=SafetyLabel,AN172=SecureLabel,AN172=SureThingLabel),1,0)</f>
        <v>0</v>
      </c>
      <c r="AS172">
        <f>IF(OR(W172="H",W172="B",W172="I",W172="M"),IF(ISNUMBER(AB172),ROUND(AB172,2),0),IF(ISNUMBER(AA172),ROUND(AA172,2),0))</f>
        <v>0</v>
      </c>
      <c r="AT172">
        <f>IF(AS172&gt;=X172,1,0)</f>
        <v>0</v>
      </c>
      <c r="AU172">
        <f>IF(AS172&gt;=Y172,1,0)</f>
        <v>0</v>
      </c>
      <c r="AV172">
        <f>IF(AS172&lt;(X172-0.10),1,0)</f>
        <v>0</v>
      </c>
      <c r="AW172">
        <f>1-AM172/100</f>
        <v>0</v>
      </c>
      <c r="AX172">
        <f>IF(AQ172=1,AW172,1)</f>
        <v>0</v>
      </c>
      <c r="AY172">
        <f>IF(AP172=1,AW172,1)</f>
        <v>0</v>
      </c>
      <c r="AZ172">
        <f>IF(AND(AT172=1,ISNUMBER(AW172)),$AW172,1)</f>
        <v>0</v>
      </c>
      <c r="BA172">
        <f>IF(AND(AU172=1,ISNUMBER(AW172)),$AW172,1)</f>
        <v>0</v>
      </c>
      <c r="BB172">
        <f>IF(ISNUMBER(AB172),INDEX(AllCollegeMoney, MATCH(N172,AllCollegeNCES,0)),0)</f>
        <v>0</v>
      </c>
      <c r="BC172">
        <f>IF(AND(AT172=1,ISNUMBER(AW172),BB172=1),$AW172,1)</f>
        <v>0</v>
      </c>
      <c r="BD172">
        <f>IF(AND(AU172=1,ISNUMBER(AW172),BB172=1),$AW172,1)</f>
        <v>0</v>
      </c>
      <c r="BE172">
        <f>IF(ISNUMBER(AB172),INDEX(AllCollegeILPub, MATCH(N172,AllCollegeNCES,0)),0)</f>
        <v>0</v>
      </c>
      <c r="BF172">
        <f>IF(AN172=ReachLabel,AS172,0)</f>
        <v>0</v>
      </c>
      <c r="BG172">
        <f>IF(AN172=MatchLabel,AS172,0)</f>
        <v>0</v>
      </c>
      <c r="BH172">
        <f>IF(AN172=SafetyLabel,AS172,0)</f>
        <v>0</v>
      </c>
      <c r="BI172">
        <f>IF(AN172=SecureLabel,AS172,0)</f>
        <v>0</v>
      </c>
      <c r="BJ172">
        <f>IF(AN172=SureThingLabel,AS172,0)</f>
        <v>0</v>
      </c>
      <c r="BK172">
        <f>MAX(BF172:BJ172)</f>
        <v>0</v>
      </c>
      <c r="BL172">
        <f>MAX(BG172:BJ172)</f>
        <v>0</v>
      </c>
      <c r="BM172">
        <f>MAX(BH172:BJ172)</f>
        <v>0</v>
      </c>
      <c r="BN172">
        <f>IF(AND(AN172=ReachLabel,BB172=1),AS172,0)</f>
        <v>0</v>
      </c>
      <c r="BO172">
        <f>IF(AND(AN172=MatchLabel,BB172=1),AS172,0)</f>
        <v>0</v>
      </c>
      <c r="BP172">
        <f>IF(AND(AN172=SafetyLabel,BB172=1),AS172,0)</f>
        <v>0</v>
      </c>
      <c r="BQ172">
        <f>IF(AND(AN172=SecureLabel,BB172=1),AS172,0)</f>
        <v>0</v>
      </c>
      <c r="BR172">
        <f>IF(AND(AN172=SureThingLabel,BB172=1),AS172,0)</f>
        <v>0</v>
      </c>
      <c r="BS172">
        <f>MAX(BN172:BR172)</f>
        <v>0</v>
      </c>
      <c r="BT172">
        <f>MAX(BO172:BR172)</f>
        <v>0</v>
      </c>
      <c r="BU172">
        <f>MAX(BP172:BR172)</f>
        <v>0</v>
      </c>
      <c r="BV172">
        <f>IF(ISNUMBER(AB172),INDEX(AllCollegeChicago, MATCH(N172,AllCollegeNCES,0))*BB172,0)</f>
        <v>0</v>
      </c>
      <c r="BW172">
        <f>IF(ISNUMBER(AB172),INDEX(AllCollegeMoneyCode, MATCH(N172,AllCollegeNCES,0)),"?")</f>
        <v>0</v>
      </c>
      <c r="BX172">
        <f>IF(OR(BW172="---",BW172="--",BW172="+/--",BW172="+/---"),1,0)</f>
        <v>0</v>
      </c>
      <c r="BY172">
        <f>BB172*AR172*AT172</f>
        <v>0</v>
      </c>
    </row>
    <row r="173" spans="1:77">
      <c r="A173" t="s">
        <v>96</v>
      </c>
      <c r="B173">
        <v>22587209</v>
      </c>
      <c r="C173" t="s">
        <v>273</v>
      </c>
      <c r="D173" t="s">
        <v>274</v>
      </c>
      <c r="E173" t="s">
        <v>446</v>
      </c>
      <c r="F173" t="s">
        <v>461</v>
      </c>
      <c r="G173" t="s">
        <v>448</v>
      </c>
      <c r="H173" t="s">
        <v>449</v>
      </c>
      <c r="I173" t="s">
        <v>450</v>
      </c>
      <c r="J173" t="s">
        <v>450</v>
      </c>
      <c r="K173">
        <v>0</v>
      </c>
      <c r="L173" t="s">
        <v>446</v>
      </c>
      <c r="M173" t="s">
        <v>446</v>
      </c>
      <c r="N173">
        <v>147536</v>
      </c>
      <c r="O173">
        <f>INDEX(Counselor,MATCH(B173,KidIDs,0))</f>
        <v>0</v>
      </c>
      <c r="P173">
        <f>INDEX(Advisors,MATCH(B173,KidIDs,0))</f>
        <v>0</v>
      </c>
      <c r="Q173">
        <f>INDEX(Cohort,MATCH(B173,KidIDs,0))</f>
        <v>0</v>
      </c>
      <c r="R173">
        <f>INDEX(AllCollegeBarrons,MATCH(N173,AllCollegeNCES,0))</f>
        <v>0</v>
      </c>
      <c r="S173">
        <f>INDEX(KidGPAs,MATCH(B173,KidIDs,0))</f>
        <v>0</v>
      </c>
      <c r="T173">
        <f>INDEX(KidSATs,MATCH(B173,KidIDs,0))</f>
        <v>0</v>
      </c>
      <c r="U173">
        <f>INDEX(Strats,MATCH(B173,KidIDs,0))</f>
        <v>0</v>
      </c>
      <c r="V173">
        <f>INDEX(KidRace,MATCH(B173,KidIDs,0))</f>
        <v>0</v>
      </c>
      <c r="W173">
        <f>IF(OR(V173="M",V173="I"),"H",IF(V173="P","A",V173))</f>
        <v>0</v>
      </c>
      <c r="X173">
        <f>INDEX(StudentTargets,MATCH(B173,KidIDs,0))</f>
        <v>0</v>
      </c>
      <c r="Y173">
        <f>INDEX(ReachStudentTargets,MATCH(B173,KidIDs,0))</f>
        <v>0</v>
      </c>
      <c r="Z173">
        <f>IF(OR(M173="Posse"),1,0)</f>
        <v>0</v>
      </c>
      <c r="AA173">
        <f>IF(ISNUMBER(INDEX(AllCollegeGR, MATCH(N173,AllCollegeNCES,0))),ROUND(INDEX(AllCollegeGR, MATCH(N173,AllCollegeNCES,0))+Z173*IF(INDEX(AllCollegeGR, MATCH(N173,AllCollegeNCES,0))&gt;0.7,(1-INDEX(AllCollegeGR, MATCH(N173,AllCollegeNCES,0)))/2,0.15),2),INDEX(AllCollegeGR, MATCH(N173,AllCollegeNCES,0)))</f>
        <v>0</v>
      </c>
      <c r="AB173">
        <f>IF(ISNUMBER(INDEX(AllCollegeAAHGR, MATCH(N173,AllCollegeNCES,0))),ROUND(INDEX(AllCollegeAAHGR, MATCH(N173,AllCollegeNCES,0))+Z173*IF(INDEX(AllCollegeAAHGR, MATCH(N173,AllCollegeNCES,0))&gt;0.7,(1-INDEX(AllCollegeAAHGR, MATCH(N173,AllCollegeNCES,0)))/2,0.15),2),INDEX(AllCollegeAAHGR, MATCH(N173,AllCollegeNCES,0)))</f>
        <v>0</v>
      </c>
      <c r="AC173">
        <f>IF(OR(W173="H",W173="B"),INDEX(AllCollegeSAT25, MATCH(N173,AllCollegeNCES,0)),INDEX(AllCollegeSAT50, MATCH(N173,AllCollegeNCES,0)))</f>
        <v>0</v>
      </c>
      <c r="AD173">
        <f>INDEX(CustomWeightsGPA,MATCH(W173&amp;":"&amp;N173,CustomWeightsIndex,0))</f>
        <v>0</v>
      </c>
      <c r="AE173">
        <f>INDEX(CustomWeightsSAT,MATCH(W173&amp;":"&amp;N173,CustomWeightsIndex,0))</f>
        <v>0</v>
      </c>
      <c r="AF173">
        <f>INDEX(CustomWeightsIntercept,MATCH(W173&amp;":"&amp;N173,CustomWeightsIndex,0))</f>
        <v>0</v>
      </c>
      <c r="AG173">
        <f>AD173*S173+AE173*T173+AF173</f>
        <v>0</v>
      </c>
      <c r="AH173">
        <f>INDEX(CoefficientsGPA,MATCH(W173&amp;":"&amp;R173,CoefficientsIndex,0))</f>
        <v>0</v>
      </c>
      <c r="AI173">
        <f>INDEX(CoefficientsSAT,MATCH(W173&amp;":"&amp;R173,CoefficientsIndex,0))</f>
        <v>0</v>
      </c>
      <c r="AJ173">
        <f>INDEX(CoefficientsIntercept,MATCH(W173&amp;":"&amp;R173,CoefficientsIndex,0))</f>
        <v>0</v>
      </c>
      <c r="AK173">
        <f>AH173*S173+(T173-AC173)*AI173+AJ173</f>
        <v>0</v>
      </c>
      <c r="AL173">
        <f>IF(ISNUMBER(AG173),AG173,AK173)</f>
        <v>0</v>
      </c>
      <c r="AM173">
        <f>IF(ISNUMBER(AL173),IF(ISNUMBER(AH173),IF(AND(AH173=1,AI173=1,AJ173=1),100,MIN(99,ROUND(100*EXP(AL173)/(1+EXP(AL173)),2))),MIN(99,ROUND(100*EXP(AL173)/(1+EXP(AL173)),2))),IF(ISTEXT(R173),IF(LEFT(R173,1)="2",100,"N/A"),"N/A"))</f>
        <v>0</v>
      </c>
      <c r="AN173">
        <f>IF(ISNUMBER(AM173),IF(AM173&gt;=99,IF(OR(U173=10,U173=11),MatchLabel,SureThingLabel),IF(AM173&gt;=95,SecureLabel,IF(AM173&gt;=80,SafetyLabel,IF(AM173&gt;=50,MatchLabel,IF(AM173&gt;=20,ReachLabel,IF(AM173&gt;=10,LongshotLabel,HailMaryLabel)))))),"Other")</f>
        <v>0</v>
      </c>
      <c r="AO173">
        <f>IF(OR(I173="accepted",I173="cond. accept",I173="summer admit"),IF(J173="yes","CHOICE!","Accepted!"),IF(I173="guar. transfer","Guar. Xfer",IF(I173="denied","Denied",IF(K173=1,"Waitlist",IF(L173=1,"Deferred",IF(G173="pending","Pending",IF(OR(G173="initial materials submitted",G173="mid-year submitted",G173="final submitted"),"Submitted",IF(H173="interest","Interest","?"))))))))</f>
        <v>0</v>
      </c>
      <c r="AP173">
        <f>IF(OR(AN173=ReachLabel,AN173=LongshotLabel,AN173=HailMaryLabel),1,0)</f>
        <v>0</v>
      </c>
      <c r="AQ173">
        <f>IF(OR(AP173=1,AN173=MatchLabel),1,0)</f>
        <v>0</v>
      </c>
      <c r="AR173">
        <f>IF(OR(AN173=MatchLabel,AN173=SafetyLabel,AN173=SecureLabel,AN173=SureThingLabel),1,0)</f>
        <v>0</v>
      </c>
      <c r="AS173">
        <f>IF(OR(W173="H",W173="B",W173="I",W173="M"),IF(ISNUMBER(AB173),ROUND(AB173,2),0),IF(ISNUMBER(AA173),ROUND(AA173,2),0))</f>
        <v>0</v>
      </c>
      <c r="AT173">
        <f>IF(AS173&gt;=X173,1,0)</f>
        <v>0</v>
      </c>
      <c r="AU173">
        <f>IF(AS173&gt;=Y173,1,0)</f>
        <v>0</v>
      </c>
      <c r="AV173">
        <f>IF(AS173&lt;(X173-0.10),1,0)</f>
        <v>0</v>
      </c>
      <c r="AW173">
        <f>1-AM173/100</f>
        <v>0</v>
      </c>
      <c r="AX173">
        <f>IF(AQ173=1,AW173,1)</f>
        <v>0</v>
      </c>
      <c r="AY173">
        <f>IF(AP173=1,AW173,1)</f>
        <v>0</v>
      </c>
      <c r="AZ173">
        <f>IF(AND(AT173=1,ISNUMBER(AW173)),$AW173,1)</f>
        <v>0</v>
      </c>
      <c r="BA173">
        <f>IF(AND(AU173=1,ISNUMBER(AW173)),$AW173,1)</f>
        <v>0</v>
      </c>
      <c r="BB173">
        <f>IF(ISNUMBER(AB173),INDEX(AllCollegeMoney, MATCH(N173,AllCollegeNCES,0)),0)</f>
        <v>0</v>
      </c>
      <c r="BC173">
        <f>IF(AND(AT173=1,ISNUMBER(AW173),BB173=1),$AW173,1)</f>
        <v>0</v>
      </c>
      <c r="BD173">
        <f>IF(AND(AU173=1,ISNUMBER(AW173),BB173=1),$AW173,1)</f>
        <v>0</v>
      </c>
      <c r="BE173">
        <f>IF(ISNUMBER(AB173),INDEX(AllCollegeILPub, MATCH(N173,AllCollegeNCES,0)),0)</f>
        <v>0</v>
      </c>
      <c r="BF173">
        <f>IF(AN173=ReachLabel,AS173,0)</f>
        <v>0</v>
      </c>
      <c r="BG173">
        <f>IF(AN173=MatchLabel,AS173,0)</f>
        <v>0</v>
      </c>
      <c r="BH173">
        <f>IF(AN173=SafetyLabel,AS173,0)</f>
        <v>0</v>
      </c>
      <c r="BI173">
        <f>IF(AN173=SecureLabel,AS173,0)</f>
        <v>0</v>
      </c>
      <c r="BJ173">
        <f>IF(AN173=SureThingLabel,AS173,0)</f>
        <v>0</v>
      </c>
      <c r="BK173">
        <f>MAX(BF173:BJ173)</f>
        <v>0</v>
      </c>
      <c r="BL173">
        <f>MAX(BG173:BJ173)</f>
        <v>0</v>
      </c>
      <c r="BM173">
        <f>MAX(BH173:BJ173)</f>
        <v>0</v>
      </c>
      <c r="BN173">
        <f>IF(AND(AN173=ReachLabel,BB173=1),AS173,0)</f>
        <v>0</v>
      </c>
      <c r="BO173">
        <f>IF(AND(AN173=MatchLabel,BB173=1),AS173,0)</f>
        <v>0</v>
      </c>
      <c r="BP173">
        <f>IF(AND(AN173=SafetyLabel,BB173=1),AS173,0)</f>
        <v>0</v>
      </c>
      <c r="BQ173">
        <f>IF(AND(AN173=SecureLabel,BB173=1),AS173,0)</f>
        <v>0</v>
      </c>
      <c r="BR173">
        <f>IF(AND(AN173=SureThingLabel,BB173=1),AS173,0)</f>
        <v>0</v>
      </c>
      <c r="BS173">
        <f>MAX(BN173:BR173)</f>
        <v>0</v>
      </c>
      <c r="BT173">
        <f>MAX(BO173:BR173)</f>
        <v>0</v>
      </c>
      <c r="BU173">
        <f>MAX(BP173:BR173)</f>
        <v>0</v>
      </c>
      <c r="BV173">
        <f>IF(ISNUMBER(AB173),INDEX(AllCollegeChicago, MATCH(N173,AllCollegeNCES,0))*BB173,0)</f>
        <v>0</v>
      </c>
      <c r="BW173">
        <f>IF(ISNUMBER(AB173),INDEX(AllCollegeMoneyCode, MATCH(N173,AllCollegeNCES,0)),"?")</f>
        <v>0</v>
      </c>
      <c r="BX173">
        <f>IF(OR(BW173="---",BW173="--",BW173="+/--",BW173="+/---"),1,0)</f>
        <v>0</v>
      </c>
      <c r="BY173">
        <f>BB173*AR173*AT173</f>
        <v>0</v>
      </c>
    </row>
    <row r="174" spans="1:77">
      <c r="A174" t="s">
        <v>96</v>
      </c>
      <c r="B174">
        <v>22587209</v>
      </c>
      <c r="C174" t="s">
        <v>273</v>
      </c>
      <c r="D174" t="s">
        <v>274</v>
      </c>
      <c r="E174" t="s">
        <v>446</v>
      </c>
      <c r="F174" t="s">
        <v>463</v>
      </c>
      <c r="G174" t="s">
        <v>448</v>
      </c>
      <c r="H174" t="s">
        <v>449</v>
      </c>
      <c r="I174" t="s">
        <v>450</v>
      </c>
      <c r="J174" t="s">
        <v>450</v>
      </c>
      <c r="K174">
        <v>0</v>
      </c>
      <c r="L174" t="s">
        <v>446</v>
      </c>
      <c r="M174" t="s">
        <v>446</v>
      </c>
      <c r="N174">
        <v>147776</v>
      </c>
      <c r="O174">
        <f>INDEX(Counselor,MATCH(B174,KidIDs,0))</f>
        <v>0</v>
      </c>
      <c r="P174">
        <f>INDEX(Advisors,MATCH(B174,KidIDs,0))</f>
        <v>0</v>
      </c>
      <c r="Q174">
        <f>INDEX(Cohort,MATCH(B174,KidIDs,0))</f>
        <v>0</v>
      </c>
      <c r="R174">
        <f>INDEX(AllCollegeBarrons,MATCH(N174,AllCollegeNCES,0))</f>
        <v>0</v>
      </c>
      <c r="S174">
        <f>INDEX(KidGPAs,MATCH(B174,KidIDs,0))</f>
        <v>0</v>
      </c>
      <c r="T174">
        <f>INDEX(KidSATs,MATCH(B174,KidIDs,0))</f>
        <v>0</v>
      </c>
      <c r="U174">
        <f>INDEX(Strats,MATCH(B174,KidIDs,0))</f>
        <v>0</v>
      </c>
      <c r="V174">
        <f>INDEX(KidRace,MATCH(B174,KidIDs,0))</f>
        <v>0</v>
      </c>
      <c r="W174">
        <f>IF(OR(V174="M",V174="I"),"H",IF(V174="P","A",V174))</f>
        <v>0</v>
      </c>
      <c r="X174">
        <f>INDEX(StudentTargets,MATCH(B174,KidIDs,0))</f>
        <v>0</v>
      </c>
      <c r="Y174">
        <f>INDEX(ReachStudentTargets,MATCH(B174,KidIDs,0))</f>
        <v>0</v>
      </c>
      <c r="Z174">
        <f>IF(OR(M174="Posse"),1,0)</f>
        <v>0</v>
      </c>
      <c r="AA174">
        <f>IF(ISNUMBER(INDEX(AllCollegeGR, MATCH(N174,AllCollegeNCES,0))),ROUND(INDEX(AllCollegeGR, MATCH(N174,AllCollegeNCES,0))+Z174*IF(INDEX(AllCollegeGR, MATCH(N174,AllCollegeNCES,0))&gt;0.7,(1-INDEX(AllCollegeGR, MATCH(N174,AllCollegeNCES,0)))/2,0.15),2),INDEX(AllCollegeGR, MATCH(N174,AllCollegeNCES,0)))</f>
        <v>0</v>
      </c>
      <c r="AB174">
        <f>IF(ISNUMBER(INDEX(AllCollegeAAHGR, MATCH(N174,AllCollegeNCES,0))),ROUND(INDEX(AllCollegeAAHGR, MATCH(N174,AllCollegeNCES,0))+Z174*IF(INDEX(AllCollegeAAHGR, MATCH(N174,AllCollegeNCES,0))&gt;0.7,(1-INDEX(AllCollegeAAHGR, MATCH(N174,AllCollegeNCES,0)))/2,0.15),2),INDEX(AllCollegeAAHGR, MATCH(N174,AllCollegeNCES,0)))</f>
        <v>0</v>
      </c>
      <c r="AC174">
        <f>IF(OR(W174="H",W174="B"),INDEX(AllCollegeSAT25, MATCH(N174,AllCollegeNCES,0)),INDEX(AllCollegeSAT50, MATCH(N174,AllCollegeNCES,0)))</f>
        <v>0</v>
      </c>
      <c r="AD174">
        <f>INDEX(CustomWeightsGPA,MATCH(W174&amp;":"&amp;N174,CustomWeightsIndex,0))</f>
        <v>0</v>
      </c>
      <c r="AE174">
        <f>INDEX(CustomWeightsSAT,MATCH(W174&amp;":"&amp;N174,CustomWeightsIndex,0))</f>
        <v>0</v>
      </c>
      <c r="AF174">
        <f>INDEX(CustomWeightsIntercept,MATCH(W174&amp;":"&amp;N174,CustomWeightsIndex,0))</f>
        <v>0</v>
      </c>
      <c r="AG174">
        <f>AD174*S174+AE174*T174+AF174</f>
        <v>0</v>
      </c>
      <c r="AH174">
        <f>INDEX(CoefficientsGPA,MATCH(W174&amp;":"&amp;R174,CoefficientsIndex,0))</f>
        <v>0</v>
      </c>
      <c r="AI174">
        <f>INDEX(CoefficientsSAT,MATCH(W174&amp;":"&amp;R174,CoefficientsIndex,0))</f>
        <v>0</v>
      </c>
      <c r="AJ174">
        <f>INDEX(CoefficientsIntercept,MATCH(W174&amp;":"&amp;R174,CoefficientsIndex,0))</f>
        <v>0</v>
      </c>
      <c r="AK174">
        <f>AH174*S174+(T174-AC174)*AI174+AJ174</f>
        <v>0</v>
      </c>
      <c r="AL174">
        <f>IF(ISNUMBER(AG174),AG174,AK174)</f>
        <v>0</v>
      </c>
      <c r="AM174">
        <f>IF(ISNUMBER(AL174),IF(ISNUMBER(AH174),IF(AND(AH174=1,AI174=1,AJ174=1),100,MIN(99,ROUND(100*EXP(AL174)/(1+EXP(AL174)),2))),MIN(99,ROUND(100*EXP(AL174)/(1+EXP(AL174)),2))),IF(ISTEXT(R174),IF(LEFT(R174,1)="2",100,"N/A"),"N/A"))</f>
        <v>0</v>
      </c>
      <c r="AN174">
        <f>IF(ISNUMBER(AM174),IF(AM174&gt;=99,IF(OR(U174=10,U174=11),MatchLabel,SureThingLabel),IF(AM174&gt;=95,SecureLabel,IF(AM174&gt;=80,SafetyLabel,IF(AM174&gt;=50,MatchLabel,IF(AM174&gt;=20,ReachLabel,IF(AM174&gt;=10,LongshotLabel,HailMaryLabel)))))),"Other")</f>
        <v>0</v>
      </c>
      <c r="AO174">
        <f>IF(OR(I174="accepted",I174="cond. accept",I174="summer admit"),IF(J174="yes","CHOICE!","Accepted!"),IF(I174="guar. transfer","Guar. Xfer",IF(I174="denied","Denied",IF(K174=1,"Waitlist",IF(L174=1,"Deferred",IF(G174="pending","Pending",IF(OR(G174="initial materials submitted",G174="mid-year submitted",G174="final submitted"),"Submitted",IF(H174="interest","Interest","?"))))))))</f>
        <v>0</v>
      </c>
      <c r="AP174">
        <f>IF(OR(AN174=ReachLabel,AN174=LongshotLabel,AN174=HailMaryLabel),1,0)</f>
        <v>0</v>
      </c>
      <c r="AQ174">
        <f>IF(OR(AP174=1,AN174=MatchLabel),1,0)</f>
        <v>0</v>
      </c>
      <c r="AR174">
        <f>IF(OR(AN174=MatchLabel,AN174=SafetyLabel,AN174=SecureLabel,AN174=SureThingLabel),1,0)</f>
        <v>0</v>
      </c>
      <c r="AS174">
        <f>IF(OR(W174="H",W174="B",W174="I",W174="M"),IF(ISNUMBER(AB174),ROUND(AB174,2),0),IF(ISNUMBER(AA174),ROUND(AA174,2),0))</f>
        <v>0</v>
      </c>
      <c r="AT174">
        <f>IF(AS174&gt;=X174,1,0)</f>
        <v>0</v>
      </c>
      <c r="AU174">
        <f>IF(AS174&gt;=Y174,1,0)</f>
        <v>0</v>
      </c>
      <c r="AV174">
        <f>IF(AS174&lt;(X174-0.10),1,0)</f>
        <v>0</v>
      </c>
      <c r="AW174">
        <f>1-AM174/100</f>
        <v>0</v>
      </c>
      <c r="AX174">
        <f>IF(AQ174=1,AW174,1)</f>
        <v>0</v>
      </c>
      <c r="AY174">
        <f>IF(AP174=1,AW174,1)</f>
        <v>0</v>
      </c>
      <c r="AZ174">
        <f>IF(AND(AT174=1,ISNUMBER(AW174)),$AW174,1)</f>
        <v>0</v>
      </c>
      <c r="BA174">
        <f>IF(AND(AU174=1,ISNUMBER(AW174)),$AW174,1)</f>
        <v>0</v>
      </c>
      <c r="BB174">
        <f>IF(ISNUMBER(AB174),INDEX(AllCollegeMoney, MATCH(N174,AllCollegeNCES,0)),0)</f>
        <v>0</v>
      </c>
      <c r="BC174">
        <f>IF(AND(AT174=1,ISNUMBER(AW174),BB174=1),$AW174,1)</f>
        <v>0</v>
      </c>
      <c r="BD174">
        <f>IF(AND(AU174=1,ISNUMBER(AW174),BB174=1),$AW174,1)</f>
        <v>0</v>
      </c>
      <c r="BE174">
        <f>IF(ISNUMBER(AB174),INDEX(AllCollegeILPub, MATCH(N174,AllCollegeNCES,0)),0)</f>
        <v>0</v>
      </c>
      <c r="BF174">
        <f>IF(AN174=ReachLabel,AS174,0)</f>
        <v>0</v>
      </c>
      <c r="BG174">
        <f>IF(AN174=MatchLabel,AS174,0)</f>
        <v>0</v>
      </c>
      <c r="BH174">
        <f>IF(AN174=SafetyLabel,AS174,0)</f>
        <v>0</v>
      </c>
      <c r="BI174">
        <f>IF(AN174=SecureLabel,AS174,0)</f>
        <v>0</v>
      </c>
      <c r="BJ174">
        <f>IF(AN174=SureThingLabel,AS174,0)</f>
        <v>0</v>
      </c>
      <c r="BK174">
        <f>MAX(BF174:BJ174)</f>
        <v>0</v>
      </c>
      <c r="BL174">
        <f>MAX(BG174:BJ174)</f>
        <v>0</v>
      </c>
      <c r="BM174">
        <f>MAX(BH174:BJ174)</f>
        <v>0</v>
      </c>
      <c r="BN174">
        <f>IF(AND(AN174=ReachLabel,BB174=1),AS174,0)</f>
        <v>0</v>
      </c>
      <c r="BO174">
        <f>IF(AND(AN174=MatchLabel,BB174=1),AS174,0)</f>
        <v>0</v>
      </c>
      <c r="BP174">
        <f>IF(AND(AN174=SafetyLabel,BB174=1),AS174,0)</f>
        <v>0</v>
      </c>
      <c r="BQ174">
        <f>IF(AND(AN174=SecureLabel,BB174=1),AS174,0)</f>
        <v>0</v>
      </c>
      <c r="BR174">
        <f>IF(AND(AN174=SureThingLabel,BB174=1),AS174,0)</f>
        <v>0</v>
      </c>
      <c r="BS174">
        <f>MAX(BN174:BR174)</f>
        <v>0</v>
      </c>
      <c r="BT174">
        <f>MAX(BO174:BR174)</f>
        <v>0</v>
      </c>
      <c r="BU174">
        <f>MAX(BP174:BR174)</f>
        <v>0</v>
      </c>
      <c r="BV174">
        <f>IF(ISNUMBER(AB174),INDEX(AllCollegeChicago, MATCH(N174,AllCollegeNCES,0))*BB174,0)</f>
        <v>0</v>
      </c>
      <c r="BW174">
        <f>IF(ISNUMBER(AB174),INDEX(AllCollegeMoneyCode, MATCH(N174,AllCollegeNCES,0)),"?")</f>
        <v>0</v>
      </c>
      <c r="BX174">
        <f>IF(OR(BW174="---",BW174="--",BW174="+/--",BW174="+/---"),1,0)</f>
        <v>0</v>
      </c>
      <c r="BY174">
        <f>BB174*AR174*AT174</f>
        <v>0</v>
      </c>
    </row>
    <row r="175" spans="1:77">
      <c r="A175" t="s">
        <v>96</v>
      </c>
      <c r="B175">
        <v>22587209</v>
      </c>
      <c r="C175" t="s">
        <v>273</v>
      </c>
      <c r="D175" t="s">
        <v>274</v>
      </c>
      <c r="E175" t="s">
        <v>446</v>
      </c>
      <c r="F175" t="s">
        <v>468</v>
      </c>
      <c r="G175" t="s">
        <v>448</v>
      </c>
      <c r="H175" t="s">
        <v>449</v>
      </c>
      <c r="I175" t="s">
        <v>450</v>
      </c>
      <c r="J175" t="s">
        <v>450</v>
      </c>
      <c r="K175">
        <v>0</v>
      </c>
      <c r="L175" t="s">
        <v>446</v>
      </c>
      <c r="M175" t="s">
        <v>454</v>
      </c>
      <c r="N175">
        <v>154493</v>
      </c>
      <c r="O175">
        <f>INDEX(Counselor,MATCH(B175,KidIDs,0))</f>
        <v>0</v>
      </c>
      <c r="P175">
        <f>INDEX(Advisors,MATCH(B175,KidIDs,0))</f>
        <v>0</v>
      </c>
      <c r="Q175">
        <f>INDEX(Cohort,MATCH(B175,KidIDs,0))</f>
        <v>0</v>
      </c>
      <c r="R175">
        <f>INDEX(AllCollegeBarrons,MATCH(N175,AllCollegeNCES,0))</f>
        <v>0</v>
      </c>
      <c r="S175">
        <f>INDEX(KidGPAs,MATCH(B175,KidIDs,0))</f>
        <v>0</v>
      </c>
      <c r="T175">
        <f>INDEX(KidSATs,MATCH(B175,KidIDs,0))</f>
        <v>0</v>
      </c>
      <c r="U175">
        <f>INDEX(Strats,MATCH(B175,KidIDs,0))</f>
        <v>0</v>
      </c>
      <c r="V175">
        <f>INDEX(KidRace,MATCH(B175,KidIDs,0))</f>
        <v>0</v>
      </c>
      <c r="W175">
        <f>IF(OR(V175="M",V175="I"),"H",IF(V175="P","A",V175))</f>
        <v>0</v>
      </c>
      <c r="X175">
        <f>INDEX(StudentTargets,MATCH(B175,KidIDs,0))</f>
        <v>0</v>
      </c>
      <c r="Y175">
        <f>INDEX(ReachStudentTargets,MATCH(B175,KidIDs,0))</f>
        <v>0</v>
      </c>
      <c r="Z175">
        <f>IF(OR(M175="Posse"),1,0)</f>
        <v>0</v>
      </c>
      <c r="AA175">
        <f>IF(ISNUMBER(INDEX(AllCollegeGR, MATCH(N175,AllCollegeNCES,0))),ROUND(INDEX(AllCollegeGR, MATCH(N175,AllCollegeNCES,0))+Z175*IF(INDEX(AllCollegeGR, MATCH(N175,AllCollegeNCES,0))&gt;0.7,(1-INDEX(AllCollegeGR, MATCH(N175,AllCollegeNCES,0)))/2,0.15),2),INDEX(AllCollegeGR, MATCH(N175,AllCollegeNCES,0)))</f>
        <v>0</v>
      </c>
      <c r="AB175">
        <f>IF(ISNUMBER(INDEX(AllCollegeAAHGR, MATCH(N175,AllCollegeNCES,0))),ROUND(INDEX(AllCollegeAAHGR, MATCH(N175,AllCollegeNCES,0))+Z175*IF(INDEX(AllCollegeAAHGR, MATCH(N175,AllCollegeNCES,0))&gt;0.7,(1-INDEX(AllCollegeAAHGR, MATCH(N175,AllCollegeNCES,0)))/2,0.15),2),INDEX(AllCollegeAAHGR, MATCH(N175,AllCollegeNCES,0)))</f>
        <v>0</v>
      </c>
      <c r="AC175">
        <f>IF(OR(W175="H",W175="B"),INDEX(AllCollegeSAT25, MATCH(N175,AllCollegeNCES,0)),INDEX(AllCollegeSAT50, MATCH(N175,AllCollegeNCES,0)))</f>
        <v>0</v>
      </c>
      <c r="AD175">
        <f>INDEX(CustomWeightsGPA,MATCH(W175&amp;":"&amp;N175,CustomWeightsIndex,0))</f>
        <v>0</v>
      </c>
      <c r="AE175">
        <f>INDEX(CustomWeightsSAT,MATCH(W175&amp;":"&amp;N175,CustomWeightsIndex,0))</f>
        <v>0</v>
      </c>
      <c r="AF175">
        <f>INDEX(CustomWeightsIntercept,MATCH(W175&amp;":"&amp;N175,CustomWeightsIndex,0))</f>
        <v>0</v>
      </c>
      <c r="AG175">
        <f>AD175*S175+AE175*T175+AF175</f>
        <v>0</v>
      </c>
      <c r="AH175">
        <f>INDEX(CoefficientsGPA,MATCH(W175&amp;":"&amp;R175,CoefficientsIndex,0))</f>
        <v>0</v>
      </c>
      <c r="AI175">
        <f>INDEX(CoefficientsSAT,MATCH(W175&amp;":"&amp;R175,CoefficientsIndex,0))</f>
        <v>0</v>
      </c>
      <c r="AJ175">
        <f>INDEX(CoefficientsIntercept,MATCH(W175&amp;":"&amp;R175,CoefficientsIndex,0))</f>
        <v>0</v>
      </c>
      <c r="AK175">
        <f>AH175*S175+(T175-AC175)*AI175+AJ175</f>
        <v>0</v>
      </c>
      <c r="AL175">
        <f>IF(ISNUMBER(AG175),AG175,AK175)</f>
        <v>0</v>
      </c>
      <c r="AM175">
        <f>IF(ISNUMBER(AL175),IF(ISNUMBER(AH175),IF(AND(AH175=1,AI175=1,AJ175=1),100,MIN(99,ROUND(100*EXP(AL175)/(1+EXP(AL175)),2))),MIN(99,ROUND(100*EXP(AL175)/(1+EXP(AL175)),2))),IF(ISTEXT(R175),IF(LEFT(R175,1)="2",100,"N/A"),"N/A"))</f>
        <v>0</v>
      </c>
      <c r="AN175">
        <f>IF(ISNUMBER(AM175),IF(AM175&gt;=99,IF(OR(U175=10,U175=11),MatchLabel,SureThingLabel),IF(AM175&gt;=95,SecureLabel,IF(AM175&gt;=80,SafetyLabel,IF(AM175&gt;=50,MatchLabel,IF(AM175&gt;=20,ReachLabel,IF(AM175&gt;=10,LongshotLabel,HailMaryLabel)))))),"Other")</f>
        <v>0</v>
      </c>
      <c r="AO175">
        <f>IF(OR(I175="accepted",I175="cond. accept",I175="summer admit"),IF(J175="yes","CHOICE!","Accepted!"),IF(I175="guar. transfer","Guar. Xfer",IF(I175="denied","Denied",IF(K175=1,"Waitlist",IF(L175=1,"Deferred",IF(G175="pending","Pending",IF(OR(G175="initial materials submitted",G175="mid-year submitted",G175="final submitted"),"Submitted",IF(H175="interest","Interest","?"))))))))</f>
        <v>0</v>
      </c>
      <c r="AP175">
        <f>IF(OR(AN175=ReachLabel,AN175=LongshotLabel,AN175=HailMaryLabel),1,0)</f>
        <v>0</v>
      </c>
      <c r="AQ175">
        <f>IF(OR(AP175=1,AN175=MatchLabel),1,0)</f>
        <v>0</v>
      </c>
      <c r="AR175">
        <f>IF(OR(AN175=MatchLabel,AN175=SafetyLabel,AN175=SecureLabel,AN175=SureThingLabel),1,0)</f>
        <v>0</v>
      </c>
      <c r="AS175">
        <f>IF(OR(W175="H",W175="B",W175="I",W175="M"),IF(ISNUMBER(AB175),ROUND(AB175,2),0),IF(ISNUMBER(AA175),ROUND(AA175,2),0))</f>
        <v>0</v>
      </c>
      <c r="AT175">
        <f>IF(AS175&gt;=X175,1,0)</f>
        <v>0</v>
      </c>
      <c r="AU175">
        <f>IF(AS175&gt;=Y175,1,0)</f>
        <v>0</v>
      </c>
      <c r="AV175">
        <f>IF(AS175&lt;(X175-0.10),1,0)</f>
        <v>0</v>
      </c>
      <c r="AW175">
        <f>1-AM175/100</f>
        <v>0</v>
      </c>
      <c r="AX175">
        <f>IF(AQ175=1,AW175,1)</f>
        <v>0</v>
      </c>
      <c r="AY175">
        <f>IF(AP175=1,AW175,1)</f>
        <v>0</v>
      </c>
      <c r="AZ175">
        <f>IF(AND(AT175=1,ISNUMBER(AW175)),$AW175,1)</f>
        <v>0</v>
      </c>
      <c r="BA175">
        <f>IF(AND(AU175=1,ISNUMBER(AW175)),$AW175,1)</f>
        <v>0</v>
      </c>
      <c r="BB175">
        <f>IF(ISNUMBER(AB175),INDEX(AllCollegeMoney, MATCH(N175,AllCollegeNCES,0)),0)</f>
        <v>0</v>
      </c>
      <c r="BC175">
        <f>IF(AND(AT175=1,ISNUMBER(AW175),BB175=1),$AW175,1)</f>
        <v>0</v>
      </c>
      <c r="BD175">
        <f>IF(AND(AU175=1,ISNUMBER(AW175),BB175=1),$AW175,1)</f>
        <v>0</v>
      </c>
      <c r="BE175">
        <f>IF(ISNUMBER(AB175),INDEX(AllCollegeILPub, MATCH(N175,AllCollegeNCES,0)),0)</f>
        <v>0</v>
      </c>
      <c r="BF175">
        <f>IF(AN175=ReachLabel,AS175,0)</f>
        <v>0</v>
      </c>
      <c r="BG175">
        <f>IF(AN175=MatchLabel,AS175,0)</f>
        <v>0</v>
      </c>
      <c r="BH175">
        <f>IF(AN175=SafetyLabel,AS175,0)</f>
        <v>0</v>
      </c>
      <c r="BI175">
        <f>IF(AN175=SecureLabel,AS175,0)</f>
        <v>0</v>
      </c>
      <c r="BJ175">
        <f>IF(AN175=SureThingLabel,AS175,0)</f>
        <v>0</v>
      </c>
      <c r="BK175">
        <f>MAX(BF175:BJ175)</f>
        <v>0</v>
      </c>
      <c r="BL175">
        <f>MAX(BG175:BJ175)</f>
        <v>0</v>
      </c>
      <c r="BM175">
        <f>MAX(BH175:BJ175)</f>
        <v>0</v>
      </c>
      <c r="BN175">
        <f>IF(AND(AN175=ReachLabel,BB175=1),AS175,0)</f>
        <v>0</v>
      </c>
      <c r="BO175">
        <f>IF(AND(AN175=MatchLabel,BB175=1),AS175,0)</f>
        <v>0</v>
      </c>
      <c r="BP175">
        <f>IF(AND(AN175=SafetyLabel,BB175=1),AS175,0)</f>
        <v>0</v>
      </c>
      <c r="BQ175">
        <f>IF(AND(AN175=SecureLabel,BB175=1),AS175,0)</f>
        <v>0</v>
      </c>
      <c r="BR175">
        <f>IF(AND(AN175=SureThingLabel,BB175=1),AS175,0)</f>
        <v>0</v>
      </c>
      <c r="BS175">
        <f>MAX(BN175:BR175)</f>
        <v>0</v>
      </c>
      <c r="BT175">
        <f>MAX(BO175:BR175)</f>
        <v>0</v>
      </c>
      <c r="BU175">
        <f>MAX(BP175:BR175)</f>
        <v>0</v>
      </c>
      <c r="BV175">
        <f>IF(ISNUMBER(AB175),INDEX(AllCollegeChicago, MATCH(N175,AllCollegeNCES,0))*BB175,0)</f>
        <v>0</v>
      </c>
      <c r="BW175">
        <f>IF(ISNUMBER(AB175),INDEX(AllCollegeMoneyCode, MATCH(N175,AllCollegeNCES,0)),"?")</f>
        <v>0</v>
      </c>
      <c r="BX175">
        <f>IF(OR(BW175="---",BW175="--",BW175="+/--",BW175="+/---"),1,0)</f>
        <v>0</v>
      </c>
      <c r="BY175">
        <f>BB175*AR175*AT175</f>
        <v>0</v>
      </c>
    </row>
    <row r="176" spans="1:77">
      <c r="A176" t="s">
        <v>96</v>
      </c>
      <c r="B176">
        <v>22853391</v>
      </c>
      <c r="C176" t="s">
        <v>246</v>
      </c>
      <c r="D176" t="s">
        <v>247</v>
      </c>
      <c r="E176" t="s">
        <v>446</v>
      </c>
      <c r="F176" t="s">
        <v>447</v>
      </c>
      <c r="G176" t="s">
        <v>448</v>
      </c>
      <c r="H176" t="s">
        <v>449</v>
      </c>
      <c r="I176" t="s">
        <v>450</v>
      </c>
      <c r="J176" t="s">
        <v>450</v>
      </c>
      <c r="K176">
        <v>0</v>
      </c>
      <c r="L176" t="s">
        <v>446</v>
      </c>
      <c r="M176" t="s">
        <v>446</v>
      </c>
      <c r="N176">
        <v>148496</v>
      </c>
      <c r="O176">
        <f>INDEX(Counselor,MATCH(B176,KidIDs,0))</f>
        <v>0</v>
      </c>
      <c r="P176">
        <f>INDEX(Advisors,MATCH(B176,KidIDs,0))</f>
        <v>0</v>
      </c>
      <c r="Q176">
        <f>INDEX(Cohort,MATCH(B176,KidIDs,0))</f>
        <v>0</v>
      </c>
      <c r="R176">
        <f>INDEX(AllCollegeBarrons,MATCH(N176,AllCollegeNCES,0))</f>
        <v>0</v>
      </c>
      <c r="S176">
        <f>INDEX(KidGPAs,MATCH(B176,KidIDs,0))</f>
        <v>0</v>
      </c>
      <c r="T176">
        <f>INDEX(KidSATs,MATCH(B176,KidIDs,0))</f>
        <v>0</v>
      </c>
      <c r="U176">
        <f>INDEX(Strats,MATCH(B176,KidIDs,0))</f>
        <v>0</v>
      </c>
      <c r="V176">
        <f>INDEX(KidRace,MATCH(B176,KidIDs,0))</f>
        <v>0</v>
      </c>
      <c r="W176">
        <f>IF(OR(V176="M",V176="I"),"H",IF(V176="P","A",V176))</f>
        <v>0</v>
      </c>
      <c r="X176">
        <f>INDEX(StudentTargets,MATCH(B176,KidIDs,0))</f>
        <v>0</v>
      </c>
      <c r="Y176">
        <f>INDEX(ReachStudentTargets,MATCH(B176,KidIDs,0))</f>
        <v>0</v>
      </c>
      <c r="Z176">
        <f>IF(OR(M176="Posse"),1,0)</f>
        <v>0</v>
      </c>
      <c r="AA176">
        <f>IF(ISNUMBER(INDEX(AllCollegeGR, MATCH(N176,AllCollegeNCES,0))),ROUND(INDEX(AllCollegeGR, MATCH(N176,AllCollegeNCES,0))+Z176*IF(INDEX(AllCollegeGR, MATCH(N176,AllCollegeNCES,0))&gt;0.7,(1-INDEX(AllCollegeGR, MATCH(N176,AllCollegeNCES,0)))/2,0.15),2),INDEX(AllCollegeGR, MATCH(N176,AllCollegeNCES,0)))</f>
        <v>0</v>
      </c>
      <c r="AB176">
        <f>IF(ISNUMBER(INDEX(AllCollegeAAHGR, MATCH(N176,AllCollegeNCES,0))),ROUND(INDEX(AllCollegeAAHGR, MATCH(N176,AllCollegeNCES,0))+Z176*IF(INDEX(AllCollegeAAHGR, MATCH(N176,AllCollegeNCES,0))&gt;0.7,(1-INDEX(AllCollegeAAHGR, MATCH(N176,AllCollegeNCES,0)))/2,0.15),2),INDEX(AllCollegeAAHGR, MATCH(N176,AllCollegeNCES,0)))</f>
        <v>0</v>
      </c>
      <c r="AC176">
        <f>IF(OR(W176="H",W176="B"),INDEX(AllCollegeSAT25, MATCH(N176,AllCollegeNCES,0)),INDEX(AllCollegeSAT50, MATCH(N176,AllCollegeNCES,0)))</f>
        <v>0</v>
      </c>
      <c r="AD176">
        <f>INDEX(CustomWeightsGPA,MATCH(W176&amp;":"&amp;N176,CustomWeightsIndex,0))</f>
        <v>0</v>
      </c>
      <c r="AE176">
        <f>INDEX(CustomWeightsSAT,MATCH(W176&amp;":"&amp;N176,CustomWeightsIndex,0))</f>
        <v>0</v>
      </c>
      <c r="AF176">
        <f>INDEX(CustomWeightsIntercept,MATCH(W176&amp;":"&amp;N176,CustomWeightsIndex,0))</f>
        <v>0</v>
      </c>
      <c r="AG176">
        <f>AD176*S176+AE176*T176+AF176</f>
        <v>0</v>
      </c>
      <c r="AH176">
        <f>INDEX(CoefficientsGPA,MATCH(W176&amp;":"&amp;R176,CoefficientsIndex,0))</f>
        <v>0</v>
      </c>
      <c r="AI176">
        <f>INDEX(CoefficientsSAT,MATCH(W176&amp;":"&amp;R176,CoefficientsIndex,0))</f>
        <v>0</v>
      </c>
      <c r="AJ176">
        <f>INDEX(CoefficientsIntercept,MATCH(W176&amp;":"&amp;R176,CoefficientsIndex,0))</f>
        <v>0</v>
      </c>
      <c r="AK176">
        <f>AH176*S176+(T176-AC176)*AI176+AJ176</f>
        <v>0</v>
      </c>
      <c r="AL176">
        <f>IF(ISNUMBER(AG176),AG176,AK176)</f>
        <v>0</v>
      </c>
      <c r="AM176">
        <f>IF(ISNUMBER(AL176),IF(ISNUMBER(AH176),IF(AND(AH176=1,AI176=1,AJ176=1),100,MIN(99,ROUND(100*EXP(AL176)/(1+EXP(AL176)),2))),MIN(99,ROUND(100*EXP(AL176)/(1+EXP(AL176)),2))),IF(ISTEXT(R176),IF(LEFT(R176,1)="2",100,"N/A"),"N/A"))</f>
        <v>0</v>
      </c>
      <c r="AN176">
        <f>IF(ISNUMBER(AM176),IF(AM176&gt;=99,IF(OR(U176=10,U176=11),MatchLabel,SureThingLabel),IF(AM176&gt;=95,SecureLabel,IF(AM176&gt;=80,SafetyLabel,IF(AM176&gt;=50,MatchLabel,IF(AM176&gt;=20,ReachLabel,IF(AM176&gt;=10,LongshotLabel,HailMaryLabel)))))),"Other")</f>
        <v>0</v>
      </c>
      <c r="AO176">
        <f>IF(OR(I176="accepted",I176="cond. accept",I176="summer admit"),IF(J176="yes","CHOICE!","Accepted!"),IF(I176="guar. transfer","Guar. Xfer",IF(I176="denied","Denied",IF(K176=1,"Waitlist",IF(L176=1,"Deferred",IF(G176="pending","Pending",IF(OR(G176="initial materials submitted",G176="mid-year submitted",G176="final submitted"),"Submitted",IF(H176="interest","Interest","?"))))))))</f>
        <v>0</v>
      </c>
      <c r="AP176">
        <f>IF(OR(AN176=ReachLabel,AN176=LongshotLabel,AN176=HailMaryLabel),1,0)</f>
        <v>0</v>
      </c>
      <c r="AQ176">
        <f>IF(OR(AP176=1,AN176=MatchLabel),1,0)</f>
        <v>0</v>
      </c>
      <c r="AR176">
        <f>IF(OR(AN176=MatchLabel,AN176=SafetyLabel,AN176=SecureLabel,AN176=SureThingLabel),1,0)</f>
        <v>0</v>
      </c>
      <c r="AS176">
        <f>IF(OR(W176="H",W176="B",W176="I",W176="M"),IF(ISNUMBER(AB176),ROUND(AB176,2),0),IF(ISNUMBER(AA176),ROUND(AA176,2),0))</f>
        <v>0</v>
      </c>
      <c r="AT176">
        <f>IF(AS176&gt;=X176,1,0)</f>
        <v>0</v>
      </c>
      <c r="AU176">
        <f>IF(AS176&gt;=Y176,1,0)</f>
        <v>0</v>
      </c>
      <c r="AV176">
        <f>IF(AS176&lt;(X176-0.10),1,0)</f>
        <v>0</v>
      </c>
      <c r="AW176">
        <f>1-AM176/100</f>
        <v>0</v>
      </c>
      <c r="AX176">
        <f>IF(AQ176=1,AW176,1)</f>
        <v>0</v>
      </c>
      <c r="AY176">
        <f>IF(AP176=1,AW176,1)</f>
        <v>0</v>
      </c>
      <c r="AZ176">
        <f>IF(AND(AT176=1,ISNUMBER(AW176)),$AW176,1)</f>
        <v>0</v>
      </c>
      <c r="BA176">
        <f>IF(AND(AU176=1,ISNUMBER(AW176)),$AW176,1)</f>
        <v>0</v>
      </c>
      <c r="BB176">
        <f>IF(ISNUMBER(AB176),INDEX(AllCollegeMoney, MATCH(N176,AllCollegeNCES,0)),0)</f>
        <v>0</v>
      </c>
      <c r="BC176">
        <f>IF(AND(AT176=1,ISNUMBER(AW176),BB176=1),$AW176,1)</f>
        <v>0</v>
      </c>
      <c r="BD176">
        <f>IF(AND(AU176=1,ISNUMBER(AW176),BB176=1),$AW176,1)</f>
        <v>0</v>
      </c>
      <c r="BE176">
        <f>IF(ISNUMBER(AB176),INDEX(AllCollegeILPub, MATCH(N176,AllCollegeNCES,0)),0)</f>
        <v>0</v>
      </c>
      <c r="BF176">
        <f>IF(AN176=ReachLabel,AS176,0)</f>
        <v>0</v>
      </c>
      <c r="BG176">
        <f>IF(AN176=MatchLabel,AS176,0)</f>
        <v>0</v>
      </c>
      <c r="BH176">
        <f>IF(AN176=SafetyLabel,AS176,0)</f>
        <v>0</v>
      </c>
      <c r="BI176">
        <f>IF(AN176=SecureLabel,AS176,0)</f>
        <v>0</v>
      </c>
      <c r="BJ176">
        <f>IF(AN176=SureThingLabel,AS176,0)</f>
        <v>0</v>
      </c>
      <c r="BK176">
        <f>MAX(BF176:BJ176)</f>
        <v>0</v>
      </c>
      <c r="BL176">
        <f>MAX(BG176:BJ176)</f>
        <v>0</v>
      </c>
      <c r="BM176">
        <f>MAX(BH176:BJ176)</f>
        <v>0</v>
      </c>
      <c r="BN176">
        <f>IF(AND(AN176=ReachLabel,BB176=1),AS176,0)</f>
        <v>0</v>
      </c>
      <c r="BO176">
        <f>IF(AND(AN176=MatchLabel,BB176=1),AS176,0)</f>
        <v>0</v>
      </c>
      <c r="BP176">
        <f>IF(AND(AN176=SafetyLabel,BB176=1),AS176,0)</f>
        <v>0</v>
      </c>
      <c r="BQ176">
        <f>IF(AND(AN176=SecureLabel,BB176=1),AS176,0)</f>
        <v>0</v>
      </c>
      <c r="BR176">
        <f>IF(AND(AN176=SureThingLabel,BB176=1),AS176,0)</f>
        <v>0</v>
      </c>
      <c r="BS176">
        <f>MAX(BN176:BR176)</f>
        <v>0</v>
      </c>
      <c r="BT176">
        <f>MAX(BO176:BR176)</f>
        <v>0</v>
      </c>
      <c r="BU176">
        <f>MAX(BP176:BR176)</f>
        <v>0</v>
      </c>
      <c r="BV176">
        <f>IF(ISNUMBER(AB176),INDEX(AllCollegeChicago, MATCH(N176,AllCollegeNCES,0))*BB176,0)</f>
        <v>0</v>
      </c>
      <c r="BW176">
        <f>IF(ISNUMBER(AB176),INDEX(AllCollegeMoneyCode, MATCH(N176,AllCollegeNCES,0)),"?")</f>
        <v>0</v>
      </c>
      <c r="BX176">
        <f>IF(OR(BW176="---",BW176="--",BW176="+/--",BW176="+/---"),1,0)</f>
        <v>0</v>
      </c>
      <c r="BY176">
        <f>BB176*AR176*AT176</f>
        <v>0</v>
      </c>
    </row>
    <row r="177" spans="1:77">
      <c r="A177" t="s">
        <v>96</v>
      </c>
      <c r="B177">
        <v>22853391</v>
      </c>
      <c r="C177" t="s">
        <v>246</v>
      </c>
      <c r="D177" t="s">
        <v>247</v>
      </c>
      <c r="E177" t="s">
        <v>446</v>
      </c>
      <c r="F177" t="s">
        <v>476</v>
      </c>
      <c r="G177" t="s">
        <v>448</v>
      </c>
      <c r="H177" t="s">
        <v>449</v>
      </c>
      <c r="I177" t="s">
        <v>450</v>
      </c>
      <c r="J177" t="s">
        <v>450</v>
      </c>
      <c r="K177">
        <v>0</v>
      </c>
      <c r="L177" t="s">
        <v>446</v>
      </c>
      <c r="M177" t="s">
        <v>446</v>
      </c>
      <c r="N177">
        <v>213668</v>
      </c>
      <c r="O177">
        <f>INDEX(Counselor,MATCH(B177,KidIDs,0))</f>
        <v>0</v>
      </c>
      <c r="P177">
        <f>INDEX(Advisors,MATCH(B177,KidIDs,0))</f>
        <v>0</v>
      </c>
      <c r="Q177">
        <f>INDEX(Cohort,MATCH(B177,KidIDs,0))</f>
        <v>0</v>
      </c>
      <c r="R177">
        <f>INDEX(AllCollegeBarrons,MATCH(N177,AllCollegeNCES,0))</f>
        <v>0</v>
      </c>
      <c r="S177">
        <f>INDEX(KidGPAs,MATCH(B177,KidIDs,0))</f>
        <v>0</v>
      </c>
      <c r="T177">
        <f>INDEX(KidSATs,MATCH(B177,KidIDs,0))</f>
        <v>0</v>
      </c>
      <c r="U177">
        <f>INDEX(Strats,MATCH(B177,KidIDs,0))</f>
        <v>0</v>
      </c>
      <c r="V177">
        <f>INDEX(KidRace,MATCH(B177,KidIDs,0))</f>
        <v>0</v>
      </c>
      <c r="W177">
        <f>IF(OR(V177="M",V177="I"),"H",IF(V177="P","A",V177))</f>
        <v>0</v>
      </c>
      <c r="X177">
        <f>INDEX(StudentTargets,MATCH(B177,KidIDs,0))</f>
        <v>0</v>
      </c>
      <c r="Y177">
        <f>INDEX(ReachStudentTargets,MATCH(B177,KidIDs,0))</f>
        <v>0</v>
      </c>
      <c r="Z177">
        <f>IF(OR(M177="Posse"),1,0)</f>
        <v>0</v>
      </c>
      <c r="AA177">
        <f>IF(ISNUMBER(INDEX(AllCollegeGR, MATCH(N177,AllCollegeNCES,0))),ROUND(INDEX(AllCollegeGR, MATCH(N177,AllCollegeNCES,0))+Z177*IF(INDEX(AllCollegeGR, MATCH(N177,AllCollegeNCES,0))&gt;0.7,(1-INDEX(AllCollegeGR, MATCH(N177,AllCollegeNCES,0)))/2,0.15),2),INDEX(AllCollegeGR, MATCH(N177,AllCollegeNCES,0)))</f>
        <v>0</v>
      </c>
      <c r="AB177">
        <f>IF(ISNUMBER(INDEX(AllCollegeAAHGR, MATCH(N177,AllCollegeNCES,0))),ROUND(INDEX(AllCollegeAAHGR, MATCH(N177,AllCollegeNCES,0))+Z177*IF(INDEX(AllCollegeAAHGR, MATCH(N177,AllCollegeNCES,0))&gt;0.7,(1-INDEX(AllCollegeAAHGR, MATCH(N177,AllCollegeNCES,0)))/2,0.15),2),INDEX(AllCollegeAAHGR, MATCH(N177,AllCollegeNCES,0)))</f>
        <v>0</v>
      </c>
      <c r="AC177">
        <f>IF(OR(W177="H",W177="B"),INDEX(AllCollegeSAT25, MATCH(N177,AllCollegeNCES,0)),INDEX(AllCollegeSAT50, MATCH(N177,AllCollegeNCES,0)))</f>
        <v>0</v>
      </c>
      <c r="AD177">
        <f>INDEX(CustomWeightsGPA,MATCH(W177&amp;":"&amp;N177,CustomWeightsIndex,0))</f>
        <v>0</v>
      </c>
      <c r="AE177">
        <f>INDEX(CustomWeightsSAT,MATCH(W177&amp;":"&amp;N177,CustomWeightsIndex,0))</f>
        <v>0</v>
      </c>
      <c r="AF177">
        <f>INDEX(CustomWeightsIntercept,MATCH(W177&amp;":"&amp;N177,CustomWeightsIndex,0))</f>
        <v>0</v>
      </c>
      <c r="AG177">
        <f>AD177*S177+AE177*T177+AF177</f>
        <v>0</v>
      </c>
      <c r="AH177">
        <f>INDEX(CoefficientsGPA,MATCH(W177&amp;":"&amp;R177,CoefficientsIndex,0))</f>
        <v>0</v>
      </c>
      <c r="AI177">
        <f>INDEX(CoefficientsSAT,MATCH(W177&amp;":"&amp;R177,CoefficientsIndex,0))</f>
        <v>0</v>
      </c>
      <c r="AJ177">
        <f>INDEX(CoefficientsIntercept,MATCH(W177&amp;":"&amp;R177,CoefficientsIndex,0))</f>
        <v>0</v>
      </c>
      <c r="AK177">
        <f>AH177*S177+(T177-AC177)*AI177+AJ177</f>
        <v>0</v>
      </c>
      <c r="AL177">
        <f>IF(ISNUMBER(AG177),AG177,AK177)</f>
        <v>0</v>
      </c>
      <c r="AM177">
        <f>IF(ISNUMBER(AL177),IF(ISNUMBER(AH177),IF(AND(AH177=1,AI177=1,AJ177=1),100,MIN(99,ROUND(100*EXP(AL177)/(1+EXP(AL177)),2))),MIN(99,ROUND(100*EXP(AL177)/(1+EXP(AL177)),2))),IF(ISTEXT(R177),IF(LEFT(R177,1)="2",100,"N/A"),"N/A"))</f>
        <v>0</v>
      </c>
      <c r="AN177">
        <f>IF(ISNUMBER(AM177),IF(AM177&gt;=99,IF(OR(U177=10,U177=11),MatchLabel,SureThingLabel),IF(AM177&gt;=95,SecureLabel,IF(AM177&gt;=80,SafetyLabel,IF(AM177&gt;=50,MatchLabel,IF(AM177&gt;=20,ReachLabel,IF(AM177&gt;=10,LongshotLabel,HailMaryLabel)))))),"Other")</f>
        <v>0</v>
      </c>
      <c r="AO177">
        <f>IF(OR(I177="accepted",I177="cond. accept",I177="summer admit"),IF(J177="yes","CHOICE!","Accepted!"),IF(I177="guar. transfer","Guar. Xfer",IF(I177="denied","Denied",IF(K177=1,"Waitlist",IF(L177=1,"Deferred",IF(G177="pending","Pending",IF(OR(G177="initial materials submitted",G177="mid-year submitted",G177="final submitted"),"Submitted",IF(H177="interest","Interest","?"))))))))</f>
        <v>0</v>
      </c>
      <c r="AP177">
        <f>IF(OR(AN177=ReachLabel,AN177=LongshotLabel,AN177=HailMaryLabel),1,0)</f>
        <v>0</v>
      </c>
      <c r="AQ177">
        <f>IF(OR(AP177=1,AN177=MatchLabel),1,0)</f>
        <v>0</v>
      </c>
      <c r="AR177">
        <f>IF(OR(AN177=MatchLabel,AN177=SafetyLabel,AN177=SecureLabel,AN177=SureThingLabel),1,0)</f>
        <v>0</v>
      </c>
      <c r="AS177">
        <f>IF(OR(W177="H",W177="B",W177="I",W177="M"),IF(ISNUMBER(AB177),ROUND(AB177,2),0),IF(ISNUMBER(AA177),ROUND(AA177,2),0))</f>
        <v>0</v>
      </c>
      <c r="AT177">
        <f>IF(AS177&gt;=X177,1,0)</f>
        <v>0</v>
      </c>
      <c r="AU177">
        <f>IF(AS177&gt;=Y177,1,0)</f>
        <v>0</v>
      </c>
      <c r="AV177">
        <f>IF(AS177&lt;(X177-0.10),1,0)</f>
        <v>0</v>
      </c>
      <c r="AW177">
        <f>1-AM177/100</f>
        <v>0</v>
      </c>
      <c r="AX177">
        <f>IF(AQ177=1,AW177,1)</f>
        <v>0</v>
      </c>
      <c r="AY177">
        <f>IF(AP177=1,AW177,1)</f>
        <v>0</v>
      </c>
      <c r="AZ177">
        <f>IF(AND(AT177=1,ISNUMBER(AW177)),$AW177,1)</f>
        <v>0</v>
      </c>
      <c r="BA177">
        <f>IF(AND(AU177=1,ISNUMBER(AW177)),$AW177,1)</f>
        <v>0</v>
      </c>
      <c r="BB177">
        <f>IF(ISNUMBER(AB177),INDEX(AllCollegeMoney, MATCH(N177,AllCollegeNCES,0)),0)</f>
        <v>0</v>
      </c>
      <c r="BC177">
        <f>IF(AND(AT177=1,ISNUMBER(AW177),BB177=1),$AW177,1)</f>
        <v>0</v>
      </c>
      <c r="BD177">
        <f>IF(AND(AU177=1,ISNUMBER(AW177),BB177=1),$AW177,1)</f>
        <v>0</v>
      </c>
      <c r="BE177">
        <f>IF(ISNUMBER(AB177),INDEX(AllCollegeILPub, MATCH(N177,AllCollegeNCES,0)),0)</f>
        <v>0</v>
      </c>
      <c r="BF177">
        <f>IF(AN177=ReachLabel,AS177,0)</f>
        <v>0</v>
      </c>
      <c r="BG177">
        <f>IF(AN177=MatchLabel,AS177,0)</f>
        <v>0</v>
      </c>
      <c r="BH177">
        <f>IF(AN177=SafetyLabel,AS177,0)</f>
        <v>0</v>
      </c>
      <c r="BI177">
        <f>IF(AN177=SecureLabel,AS177,0)</f>
        <v>0</v>
      </c>
      <c r="BJ177">
        <f>IF(AN177=SureThingLabel,AS177,0)</f>
        <v>0</v>
      </c>
      <c r="BK177">
        <f>MAX(BF177:BJ177)</f>
        <v>0</v>
      </c>
      <c r="BL177">
        <f>MAX(BG177:BJ177)</f>
        <v>0</v>
      </c>
      <c r="BM177">
        <f>MAX(BH177:BJ177)</f>
        <v>0</v>
      </c>
      <c r="BN177">
        <f>IF(AND(AN177=ReachLabel,BB177=1),AS177,0)</f>
        <v>0</v>
      </c>
      <c r="BO177">
        <f>IF(AND(AN177=MatchLabel,BB177=1),AS177,0)</f>
        <v>0</v>
      </c>
      <c r="BP177">
        <f>IF(AND(AN177=SafetyLabel,BB177=1),AS177,0)</f>
        <v>0</v>
      </c>
      <c r="BQ177">
        <f>IF(AND(AN177=SecureLabel,BB177=1),AS177,0)</f>
        <v>0</v>
      </c>
      <c r="BR177">
        <f>IF(AND(AN177=SureThingLabel,BB177=1),AS177,0)</f>
        <v>0</v>
      </c>
      <c r="BS177">
        <f>MAX(BN177:BR177)</f>
        <v>0</v>
      </c>
      <c r="BT177">
        <f>MAX(BO177:BR177)</f>
        <v>0</v>
      </c>
      <c r="BU177">
        <f>MAX(BP177:BR177)</f>
        <v>0</v>
      </c>
      <c r="BV177">
        <f>IF(ISNUMBER(AB177),INDEX(AllCollegeChicago, MATCH(N177,AllCollegeNCES,0))*BB177,0)</f>
        <v>0</v>
      </c>
      <c r="BW177">
        <f>IF(ISNUMBER(AB177),INDEX(AllCollegeMoneyCode, MATCH(N177,AllCollegeNCES,0)),"?")</f>
        <v>0</v>
      </c>
      <c r="BX177">
        <f>IF(OR(BW177="---",BW177="--",BW177="+/--",BW177="+/---"),1,0)</f>
        <v>0</v>
      </c>
      <c r="BY177">
        <f>BB177*AR177*AT177</f>
        <v>0</v>
      </c>
    </row>
    <row r="178" spans="1:77">
      <c r="A178" t="s">
        <v>96</v>
      </c>
      <c r="B178">
        <v>22853391</v>
      </c>
      <c r="C178" t="s">
        <v>246</v>
      </c>
      <c r="D178" t="s">
        <v>247</v>
      </c>
      <c r="E178" t="s">
        <v>446</v>
      </c>
      <c r="F178" t="s">
        <v>501</v>
      </c>
      <c r="G178" t="s">
        <v>448</v>
      </c>
      <c r="H178" t="s">
        <v>449</v>
      </c>
      <c r="I178" t="s">
        <v>450</v>
      </c>
      <c r="J178" t="s">
        <v>450</v>
      </c>
      <c r="K178">
        <v>0</v>
      </c>
      <c r="L178" t="s">
        <v>446</v>
      </c>
      <c r="M178" t="s">
        <v>446</v>
      </c>
      <c r="N178">
        <v>144740</v>
      </c>
      <c r="O178">
        <f>INDEX(Counselor,MATCH(B178,KidIDs,0))</f>
        <v>0</v>
      </c>
      <c r="P178">
        <f>INDEX(Advisors,MATCH(B178,KidIDs,0))</f>
        <v>0</v>
      </c>
      <c r="Q178">
        <f>INDEX(Cohort,MATCH(B178,KidIDs,0))</f>
        <v>0</v>
      </c>
      <c r="R178">
        <f>INDEX(AllCollegeBarrons,MATCH(N178,AllCollegeNCES,0))</f>
        <v>0</v>
      </c>
      <c r="S178">
        <f>INDEX(KidGPAs,MATCH(B178,KidIDs,0))</f>
        <v>0</v>
      </c>
      <c r="T178">
        <f>INDEX(KidSATs,MATCH(B178,KidIDs,0))</f>
        <v>0</v>
      </c>
      <c r="U178">
        <f>INDEX(Strats,MATCH(B178,KidIDs,0))</f>
        <v>0</v>
      </c>
      <c r="V178">
        <f>INDEX(KidRace,MATCH(B178,KidIDs,0))</f>
        <v>0</v>
      </c>
      <c r="W178">
        <f>IF(OR(V178="M",V178="I"),"H",IF(V178="P","A",V178))</f>
        <v>0</v>
      </c>
      <c r="X178">
        <f>INDEX(StudentTargets,MATCH(B178,KidIDs,0))</f>
        <v>0</v>
      </c>
      <c r="Y178">
        <f>INDEX(ReachStudentTargets,MATCH(B178,KidIDs,0))</f>
        <v>0</v>
      </c>
      <c r="Z178">
        <f>IF(OR(M178="Posse"),1,0)</f>
        <v>0</v>
      </c>
      <c r="AA178">
        <f>IF(ISNUMBER(INDEX(AllCollegeGR, MATCH(N178,AllCollegeNCES,0))),ROUND(INDEX(AllCollegeGR, MATCH(N178,AllCollegeNCES,0))+Z178*IF(INDEX(AllCollegeGR, MATCH(N178,AllCollegeNCES,0))&gt;0.7,(1-INDEX(AllCollegeGR, MATCH(N178,AllCollegeNCES,0)))/2,0.15),2),INDEX(AllCollegeGR, MATCH(N178,AllCollegeNCES,0)))</f>
        <v>0</v>
      </c>
      <c r="AB178">
        <f>IF(ISNUMBER(INDEX(AllCollegeAAHGR, MATCH(N178,AllCollegeNCES,0))),ROUND(INDEX(AllCollegeAAHGR, MATCH(N178,AllCollegeNCES,0))+Z178*IF(INDEX(AllCollegeAAHGR, MATCH(N178,AllCollegeNCES,0))&gt;0.7,(1-INDEX(AllCollegeAAHGR, MATCH(N178,AllCollegeNCES,0)))/2,0.15),2),INDEX(AllCollegeAAHGR, MATCH(N178,AllCollegeNCES,0)))</f>
        <v>0</v>
      </c>
      <c r="AC178">
        <f>IF(OR(W178="H",W178="B"),INDEX(AllCollegeSAT25, MATCH(N178,AllCollegeNCES,0)),INDEX(AllCollegeSAT50, MATCH(N178,AllCollegeNCES,0)))</f>
        <v>0</v>
      </c>
      <c r="AD178">
        <f>INDEX(CustomWeightsGPA,MATCH(W178&amp;":"&amp;N178,CustomWeightsIndex,0))</f>
        <v>0</v>
      </c>
      <c r="AE178">
        <f>INDEX(CustomWeightsSAT,MATCH(W178&amp;":"&amp;N178,CustomWeightsIndex,0))</f>
        <v>0</v>
      </c>
      <c r="AF178">
        <f>INDEX(CustomWeightsIntercept,MATCH(W178&amp;":"&amp;N178,CustomWeightsIndex,0))</f>
        <v>0</v>
      </c>
      <c r="AG178">
        <f>AD178*S178+AE178*T178+AF178</f>
        <v>0</v>
      </c>
      <c r="AH178">
        <f>INDEX(CoefficientsGPA,MATCH(W178&amp;":"&amp;R178,CoefficientsIndex,0))</f>
        <v>0</v>
      </c>
      <c r="AI178">
        <f>INDEX(CoefficientsSAT,MATCH(W178&amp;":"&amp;R178,CoefficientsIndex,0))</f>
        <v>0</v>
      </c>
      <c r="AJ178">
        <f>INDEX(CoefficientsIntercept,MATCH(W178&amp;":"&amp;R178,CoefficientsIndex,0))</f>
        <v>0</v>
      </c>
      <c r="AK178">
        <f>AH178*S178+(T178-AC178)*AI178+AJ178</f>
        <v>0</v>
      </c>
      <c r="AL178">
        <f>IF(ISNUMBER(AG178),AG178,AK178)</f>
        <v>0</v>
      </c>
      <c r="AM178">
        <f>IF(ISNUMBER(AL178),IF(ISNUMBER(AH178),IF(AND(AH178=1,AI178=1,AJ178=1),100,MIN(99,ROUND(100*EXP(AL178)/(1+EXP(AL178)),2))),MIN(99,ROUND(100*EXP(AL178)/(1+EXP(AL178)),2))),IF(ISTEXT(R178),IF(LEFT(R178,1)="2",100,"N/A"),"N/A"))</f>
        <v>0</v>
      </c>
      <c r="AN178">
        <f>IF(ISNUMBER(AM178),IF(AM178&gt;=99,IF(OR(U178=10,U178=11),MatchLabel,SureThingLabel),IF(AM178&gt;=95,SecureLabel,IF(AM178&gt;=80,SafetyLabel,IF(AM178&gt;=50,MatchLabel,IF(AM178&gt;=20,ReachLabel,IF(AM178&gt;=10,LongshotLabel,HailMaryLabel)))))),"Other")</f>
        <v>0</v>
      </c>
      <c r="AO178">
        <f>IF(OR(I178="accepted",I178="cond. accept",I178="summer admit"),IF(J178="yes","CHOICE!","Accepted!"),IF(I178="guar. transfer","Guar. Xfer",IF(I178="denied","Denied",IF(K178=1,"Waitlist",IF(L178=1,"Deferred",IF(G178="pending","Pending",IF(OR(G178="initial materials submitted",G178="mid-year submitted",G178="final submitted"),"Submitted",IF(H178="interest","Interest","?"))))))))</f>
        <v>0</v>
      </c>
      <c r="AP178">
        <f>IF(OR(AN178=ReachLabel,AN178=LongshotLabel,AN178=HailMaryLabel),1,0)</f>
        <v>0</v>
      </c>
      <c r="AQ178">
        <f>IF(OR(AP178=1,AN178=MatchLabel),1,0)</f>
        <v>0</v>
      </c>
      <c r="AR178">
        <f>IF(OR(AN178=MatchLabel,AN178=SafetyLabel,AN178=SecureLabel,AN178=SureThingLabel),1,0)</f>
        <v>0</v>
      </c>
      <c r="AS178">
        <f>IF(OR(W178="H",W178="B",W178="I",W178="M"),IF(ISNUMBER(AB178),ROUND(AB178,2),0),IF(ISNUMBER(AA178),ROUND(AA178,2),0))</f>
        <v>0</v>
      </c>
      <c r="AT178">
        <f>IF(AS178&gt;=X178,1,0)</f>
        <v>0</v>
      </c>
      <c r="AU178">
        <f>IF(AS178&gt;=Y178,1,0)</f>
        <v>0</v>
      </c>
      <c r="AV178">
        <f>IF(AS178&lt;(X178-0.10),1,0)</f>
        <v>0</v>
      </c>
      <c r="AW178">
        <f>1-AM178/100</f>
        <v>0</v>
      </c>
      <c r="AX178">
        <f>IF(AQ178=1,AW178,1)</f>
        <v>0</v>
      </c>
      <c r="AY178">
        <f>IF(AP178=1,AW178,1)</f>
        <v>0</v>
      </c>
      <c r="AZ178">
        <f>IF(AND(AT178=1,ISNUMBER(AW178)),$AW178,1)</f>
        <v>0</v>
      </c>
      <c r="BA178">
        <f>IF(AND(AU178=1,ISNUMBER(AW178)),$AW178,1)</f>
        <v>0</v>
      </c>
      <c r="BB178">
        <f>IF(ISNUMBER(AB178),INDEX(AllCollegeMoney, MATCH(N178,AllCollegeNCES,0)),0)</f>
        <v>0</v>
      </c>
      <c r="BC178">
        <f>IF(AND(AT178=1,ISNUMBER(AW178),BB178=1),$AW178,1)</f>
        <v>0</v>
      </c>
      <c r="BD178">
        <f>IF(AND(AU178=1,ISNUMBER(AW178),BB178=1),$AW178,1)</f>
        <v>0</v>
      </c>
      <c r="BE178">
        <f>IF(ISNUMBER(AB178),INDEX(AllCollegeILPub, MATCH(N178,AllCollegeNCES,0)),0)</f>
        <v>0</v>
      </c>
      <c r="BF178">
        <f>IF(AN178=ReachLabel,AS178,0)</f>
        <v>0</v>
      </c>
      <c r="BG178">
        <f>IF(AN178=MatchLabel,AS178,0)</f>
        <v>0</v>
      </c>
      <c r="BH178">
        <f>IF(AN178=SafetyLabel,AS178,0)</f>
        <v>0</v>
      </c>
      <c r="BI178">
        <f>IF(AN178=SecureLabel,AS178,0)</f>
        <v>0</v>
      </c>
      <c r="BJ178">
        <f>IF(AN178=SureThingLabel,AS178,0)</f>
        <v>0</v>
      </c>
      <c r="BK178">
        <f>MAX(BF178:BJ178)</f>
        <v>0</v>
      </c>
      <c r="BL178">
        <f>MAX(BG178:BJ178)</f>
        <v>0</v>
      </c>
      <c r="BM178">
        <f>MAX(BH178:BJ178)</f>
        <v>0</v>
      </c>
      <c r="BN178">
        <f>IF(AND(AN178=ReachLabel,BB178=1),AS178,0)</f>
        <v>0</v>
      </c>
      <c r="BO178">
        <f>IF(AND(AN178=MatchLabel,BB178=1),AS178,0)</f>
        <v>0</v>
      </c>
      <c r="BP178">
        <f>IF(AND(AN178=SafetyLabel,BB178=1),AS178,0)</f>
        <v>0</v>
      </c>
      <c r="BQ178">
        <f>IF(AND(AN178=SecureLabel,BB178=1),AS178,0)</f>
        <v>0</v>
      </c>
      <c r="BR178">
        <f>IF(AND(AN178=SureThingLabel,BB178=1),AS178,0)</f>
        <v>0</v>
      </c>
      <c r="BS178">
        <f>MAX(BN178:BR178)</f>
        <v>0</v>
      </c>
      <c r="BT178">
        <f>MAX(BO178:BR178)</f>
        <v>0</v>
      </c>
      <c r="BU178">
        <f>MAX(BP178:BR178)</f>
        <v>0</v>
      </c>
      <c r="BV178">
        <f>IF(ISNUMBER(AB178),INDEX(AllCollegeChicago, MATCH(N178,AllCollegeNCES,0))*BB178,0)</f>
        <v>0</v>
      </c>
      <c r="BW178">
        <f>IF(ISNUMBER(AB178),INDEX(AllCollegeMoneyCode, MATCH(N178,AllCollegeNCES,0)),"?")</f>
        <v>0</v>
      </c>
      <c r="BX178">
        <f>IF(OR(BW178="---",BW178="--",BW178="+/--",BW178="+/---"),1,0)</f>
        <v>0</v>
      </c>
      <c r="BY178">
        <f>BB178*AR178*AT178</f>
        <v>0</v>
      </c>
    </row>
    <row r="179" spans="1:77">
      <c r="A179" t="s">
        <v>96</v>
      </c>
      <c r="B179">
        <v>22853391</v>
      </c>
      <c r="C179" t="s">
        <v>246</v>
      </c>
      <c r="D179" t="s">
        <v>247</v>
      </c>
      <c r="E179" t="s">
        <v>446</v>
      </c>
      <c r="F179" t="s">
        <v>478</v>
      </c>
      <c r="G179" t="s">
        <v>448</v>
      </c>
      <c r="H179" t="s">
        <v>449</v>
      </c>
      <c r="I179" t="s">
        <v>450</v>
      </c>
      <c r="J179" t="s">
        <v>450</v>
      </c>
      <c r="K179">
        <v>0</v>
      </c>
      <c r="L179" t="s">
        <v>446</v>
      </c>
      <c r="M179" t="s">
        <v>446</v>
      </c>
      <c r="N179">
        <v>168546</v>
      </c>
      <c r="O179">
        <f>INDEX(Counselor,MATCH(B179,KidIDs,0))</f>
        <v>0</v>
      </c>
      <c r="P179">
        <f>INDEX(Advisors,MATCH(B179,KidIDs,0))</f>
        <v>0</v>
      </c>
      <c r="Q179">
        <f>INDEX(Cohort,MATCH(B179,KidIDs,0))</f>
        <v>0</v>
      </c>
      <c r="R179">
        <f>INDEX(AllCollegeBarrons,MATCH(N179,AllCollegeNCES,0))</f>
        <v>0</v>
      </c>
      <c r="S179">
        <f>INDEX(KidGPAs,MATCH(B179,KidIDs,0))</f>
        <v>0</v>
      </c>
      <c r="T179">
        <f>INDEX(KidSATs,MATCH(B179,KidIDs,0))</f>
        <v>0</v>
      </c>
      <c r="U179">
        <f>INDEX(Strats,MATCH(B179,KidIDs,0))</f>
        <v>0</v>
      </c>
      <c r="V179">
        <f>INDEX(KidRace,MATCH(B179,KidIDs,0))</f>
        <v>0</v>
      </c>
      <c r="W179">
        <f>IF(OR(V179="M",V179="I"),"H",IF(V179="P","A",V179))</f>
        <v>0</v>
      </c>
      <c r="X179">
        <f>INDEX(StudentTargets,MATCH(B179,KidIDs,0))</f>
        <v>0</v>
      </c>
      <c r="Y179">
        <f>INDEX(ReachStudentTargets,MATCH(B179,KidIDs,0))</f>
        <v>0</v>
      </c>
      <c r="Z179">
        <f>IF(OR(M179="Posse"),1,0)</f>
        <v>0</v>
      </c>
      <c r="AA179">
        <f>IF(ISNUMBER(INDEX(AllCollegeGR, MATCH(N179,AllCollegeNCES,0))),ROUND(INDEX(AllCollegeGR, MATCH(N179,AllCollegeNCES,0))+Z179*IF(INDEX(AllCollegeGR, MATCH(N179,AllCollegeNCES,0))&gt;0.7,(1-INDEX(AllCollegeGR, MATCH(N179,AllCollegeNCES,0)))/2,0.15),2),INDEX(AllCollegeGR, MATCH(N179,AllCollegeNCES,0)))</f>
        <v>0</v>
      </c>
      <c r="AB179">
        <f>IF(ISNUMBER(INDEX(AllCollegeAAHGR, MATCH(N179,AllCollegeNCES,0))),ROUND(INDEX(AllCollegeAAHGR, MATCH(N179,AllCollegeNCES,0))+Z179*IF(INDEX(AllCollegeAAHGR, MATCH(N179,AllCollegeNCES,0))&gt;0.7,(1-INDEX(AllCollegeAAHGR, MATCH(N179,AllCollegeNCES,0)))/2,0.15),2),INDEX(AllCollegeAAHGR, MATCH(N179,AllCollegeNCES,0)))</f>
        <v>0</v>
      </c>
      <c r="AC179">
        <f>IF(OR(W179="H",W179="B"),INDEX(AllCollegeSAT25, MATCH(N179,AllCollegeNCES,0)),INDEX(AllCollegeSAT50, MATCH(N179,AllCollegeNCES,0)))</f>
        <v>0</v>
      </c>
      <c r="AD179">
        <f>INDEX(CustomWeightsGPA,MATCH(W179&amp;":"&amp;N179,CustomWeightsIndex,0))</f>
        <v>0</v>
      </c>
      <c r="AE179">
        <f>INDEX(CustomWeightsSAT,MATCH(W179&amp;":"&amp;N179,CustomWeightsIndex,0))</f>
        <v>0</v>
      </c>
      <c r="AF179">
        <f>INDEX(CustomWeightsIntercept,MATCH(W179&amp;":"&amp;N179,CustomWeightsIndex,0))</f>
        <v>0</v>
      </c>
      <c r="AG179">
        <f>AD179*S179+AE179*T179+AF179</f>
        <v>0</v>
      </c>
      <c r="AH179">
        <f>INDEX(CoefficientsGPA,MATCH(W179&amp;":"&amp;R179,CoefficientsIndex,0))</f>
        <v>0</v>
      </c>
      <c r="AI179">
        <f>INDEX(CoefficientsSAT,MATCH(W179&amp;":"&amp;R179,CoefficientsIndex,0))</f>
        <v>0</v>
      </c>
      <c r="AJ179">
        <f>INDEX(CoefficientsIntercept,MATCH(W179&amp;":"&amp;R179,CoefficientsIndex,0))</f>
        <v>0</v>
      </c>
      <c r="AK179">
        <f>AH179*S179+(T179-AC179)*AI179+AJ179</f>
        <v>0</v>
      </c>
      <c r="AL179">
        <f>IF(ISNUMBER(AG179),AG179,AK179)</f>
        <v>0</v>
      </c>
      <c r="AM179">
        <f>IF(ISNUMBER(AL179),IF(ISNUMBER(AH179),IF(AND(AH179=1,AI179=1,AJ179=1),100,MIN(99,ROUND(100*EXP(AL179)/(1+EXP(AL179)),2))),MIN(99,ROUND(100*EXP(AL179)/(1+EXP(AL179)),2))),IF(ISTEXT(R179),IF(LEFT(R179,1)="2",100,"N/A"),"N/A"))</f>
        <v>0</v>
      </c>
      <c r="AN179">
        <f>IF(ISNUMBER(AM179),IF(AM179&gt;=99,IF(OR(U179=10,U179=11),MatchLabel,SureThingLabel),IF(AM179&gt;=95,SecureLabel,IF(AM179&gt;=80,SafetyLabel,IF(AM179&gt;=50,MatchLabel,IF(AM179&gt;=20,ReachLabel,IF(AM179&gt;=10,LongshotLabel,HailMaryLabel)))))),"Other")</f>
        <v>0</v>
      </c>
      <c r="AO179">
        <f>IF(OR(I179="accepted",I179="cond. accept",I179="summer admit"),IF(J179="yes","CHOICE!","Accepted!"),IF(I179="guar. transfer","Guar. Xfer",IF(I179="denied","Denied",IF(K179=1,"Waitlist",IF(L179=1,"Deferred",IF(G179="pending","Pending",IF(OR(G179="initial materials submitted",G179="mid-year submitted",G179="final submitted"),"Submitted",IF(H179="interest","Interest","?"))))))))</f>
        <v>0</v>
      </c>
      <c r="AP179">
        <f>IF(OR(AN179=ReachLabel,AN179=LongshotLabel,AN179=HailMaryLabel),1,0)</f>
        <v>0</v>
      </c>
      <c r="AQ179">
        <f>IF(OR(AP179=1,AN179=MatchLabel),1,0)</f>
        <v>0</v>
      </c>
      <c r="AR179">
        <f>IF(OR(AN179=MatchLabel,AN179=SafetyLabel,AN179=SecureLabel,AN179=SureThingLabel),1,0)</f>
        <v>0</v>
      </c>
      <c r="AS179">
        <f>IF(OR(W179="H",W179="B",W179="I",W179="M"),IF(ISNUMBER(AB179),ROUND(AB179,2),0),IF(ISNUMBER(AA179),ROUND(AA179,2),0))</f>
        <v>0</v>
      </c>
      <c r="AT179">
        <f>IF(AS179&gt;=X179,1,0)</f>
        <v>0</v>
      </c>
      <c r="AU179">
        <f>IF(AS179&gt;=Y179,1,0)</f>
        <v>0</v>
      </c>
      <c r="AV179">
        <f>IF(AS179&lt;(X179-0.10),1,0)</f>
        <v>0</v>
      </c>
      <c r="AW179">
        <f>1-AM179/100</f>
        <v>0</v>
      </c>
      <c r="AX179">
        <f>IF(AQ179=1,AW179,1)</f>
        <v>0</v>
      </c>
      <c r="AY179">
        <f>IF(AP179=1,AW179,1)</f>
        <v>0</v>
      </c>
      <c r="AZ179">
        <f>IF(AND(AT179=1,ISNUMBER(AW179)),$AW179,1)</f>
        <v>0</v>
      </c>
      <c r="BA179">
        <f>IF(AND(AU179=1,ISNUMBER(AW179)),$AW179,1)</f>
        <v>0</v>
      </c>
      <c r="BB179">
        <f>IF(ISNUMBER(AB179),INDEX(AllCollegeMoney, MATCH(N179,AllCollegeNCES,0)),0)</f>
        <v>0</v>
      </c>
      <c r="BC179">
        <f>IF(AND(AT179=1,ISNUMBER(AW179),BB179=1),$AW179,1)</f>
        <v>0</v>
      </c>
      <c r="BD179">
        <f>IF(AND(AU179=1,ISNUMBER(AW179),BB179=1),$AW179,1)</f>
        <v>0</v>
      </c>
      <c r="BE179">
        <f>IF(ISNUMBER(AB179),INDEX(AllCollegeILPub, MATCH(N179,AllCollegeNCES,0)),0)</f>
        <v>0</v>
      </c>
      <c r="BF179">
        <f>IF(AN179=ReachLabel,AS179,0)</f>
        <v>0</v>
      </c>
      <c r="BG179">
        <f>IF(AN179=MatchLabel,AS179,0)</f>
        <v>0</v>
      </c>
      <c r="BH179">
        <f>IF(AN179=SafetyLabel,AS179,0)</f>
        <v>0</v>
      </c>
      <c r="BI179">
        <f>IF(AN179=SecureLabel,AS179,0)</f>
        <v>0</v>
      </c>
      <c r="BJ179">
        <f>IF(AN179=SureThingLabel,AS179,0)</f>
        <v>0</v>
      </c>
      <c r="BK179">
        <f>MAX(BF179:BJ179)</f>
        <v>0</v>
      </c>
      <c r="BL179">
        <f>MAX(BG179:BJ179)</f>
        <v>0</v>
      </c>
      <c r="BM179">
        <f>MAX(BH179:BJ179)</f>
        <v>0</v>
      </c>
      <c r="BN179">
        <f>IF(AND(AN179=ReachLabel,BB179=1),AS179,0)</f>
        <v>0</v>
      </c>
      <c r="BO179">
        <f>IF(AND(AN179=MatchLabel,BB179=1),AS179,0)</f>
        <v>0</v>
      </c>
      <c r="BP179">
        <f>IF(AND(AN179=SafetyLabel,BB179=1),AS179,0)</f>
        <v>0</v>
      </c>
      <c r="BQ179">
        <f>IF(AND(AN179=SecureLabel,BB179=1),AS179,0)</f>
        <v>0</v>
      </c>
      <c r="BR179">
        <f>IF(AND(AN179=SureThingLabel,BB179=1),AS179,0)</f>
        <v>0</v>
      </c>
      <c r="BS179">
        <f>MAX(BN179:BR179)</f>
        <v>0</v>
      </c>
      <c r="BT179">
        <f>MAX(BO179:BR179)</f>
        <v>0</v>
      </c>
      <c r="BU179">
        <f>MAX(BP179:BR179)</f>
        <v>0</v>
      </c>
      <c r="BV179">
        <f>IF(ISNUMBER(AB179),INDEX(AllCollegeChicago, MATCH(N179,AllCollegeNCES,0))*BB179,0)</f>
        <v>0</v>
      </c>
      <c r="BW179">
        <f>IF(ISNUMBER(AB179),INDEX(AllCollegeMoneyCode, MATCH(N179,AllCollegeNCES,0)),"?")</f>
        <v>0</v>
      </c>
      <c r="BX179">
        <f>IF(OR(BW179="---",BW179="--",BW179="+/--",BW179="+/---"),1,0)</f>
        <v>0</v>
      </c>
      <c r="BY179">
        <f>BB179*AR179*AT179</f>
        <v>0</v>
      </c>
    </row>
    <row r="180" spans="1:77">
      <c r="A180" t="s">
        <v>96</v>
      </c>
      <c r="B180">
        <v>22853391</v>
      </c>
      <c r="C180" t="s">
        <v>246</v>
      </c>
      <c r="D180" t="s">
        <v>247</v>
      </c>
      <c r="E180" t="s">
        <v>446</v>
      </c>
      <c r="F180" t="s">
        <v>465</v>
      </c>
      <c r="G180" t="s">
        <v>448</v>
      </c>
      <c r="H180" t="s">
        <v>449</v>
      </c>
      <c r="I180" t="s">
        <v>450</v>
      </c>
      <c r="J180" t="s">
        <v>450</v>
      </c>
      <c r="K180">
        <v>0</v>
      </c>
      <c r="L180" t="s">
        <v>446</v>
      </c>
      <c r="M180" t="s">
        <v>446</v>
      </c>
      <c r="N180">
        <v>145600</v>
      </c>
      <c r="O180">
        <f>INDEX(Counselor,MATCH(B180,KidIDs,0))</f>
        <v>0</v>
      </c>
      <c r="P180">
        <f>INDEX(Advisors,MATCH(B180,KidIDs,0))</f>
        <v>0</v>
      </c>
      <c r="Q180">
        <f>INDEX(Cohort,MATCH(B180,KidIDs,0))</f>
        <v>0</v>
      </c>
      <c r="R180">
        <f>INDEX(AllCollegeBarrons,MATCH(N180,AllCollegeNCES,0))</f>
        <v>0</v>
      </c>
      <c r="S180">
        <f>INDEX(KidGPAs,MATCH(B180,KidIDs,0))</f>
        <v>0</v>
      </c>
      <c r="T180">
        <f>INDEX(KidSATs,MATCH(B180,KidIDs,0))</f>
        <v>0</v>
      </c>
      <c r="U180">
        <f>INDEX(Strats,MATCH(B180,KidIDs,0))</f>
        <v>0</v>
      </c>
      <c r="V180">
        <f>INDEX(KidRace,MATCH(B180,KidIDs,0))</f>
        <v>0</v>
      </c>
      <c r="W180">
        <f>IF(OR(V180="M",V180="I"),"H",IF(V180="P","A",V180))</f>
        <v>0</v>
      </c>
      <c r="X180">
        <f>INDEX(StudentTargets,MATCH(B180,KidIDs,0))</f>
        <v>0</v>
      </c>
      <c r="Y180">
        <f>INDEX(ReachStudentTargets,MATCH(B180,KidIDs,0))</f>
        <v>0</v>
      </c>
      <c r="Z180">
        <f>IF(OR(M180="Posse"),1,0)</f>
        <v>0</v>
      </c>
      <c r="AA180">
        <f>IF(ISNUMBER(INDEX(AllCollegeGR, MATCH(N180,AllCollegeNCES,0))),ROUND(INDEX(AllCollegeGR, MATCH(N180,AllCollegeNCES,0))+Z180*IF(INDEX(AllCollegeGR, MATCH(N180,AllCollegeNCES,0))&gt;0.7,(1-INDEX(AllCollegeGR, MATCH(N180,AllCollegeNCES,0)))/2,0.15),2),INDEX(AllCollegeGR, MATCH(N180,AllCollegeNCES,0)))</f>
        <v>0</v>
      </c>
      <c r="AB180">
        <f>IF(ISNUMBER(INDEX(AllCollegeAAHGR, MATCH(N180,AllCollegeNCES,0))),ROUND(INDEX(AllCollegeAAHGR, MATCH(N180,AllCollegeNCES,0))+Z180*IF(INDEX(AllCollegeAAHGR, MATCH(N180,AllCollegeNCES,0))&gt;0.7,(1-INDEX(AllCollegeAAHGR, MATCH(N180,AllCollegeNCES,0)))/2,0.15),2),INDEX(AllCollegeAAHGR, MATCH(N180,AllCollegeNCES,0)))</f>
        <v>0</v>
      </c>
      <c r="AC180">
        <f>IF(OR(W180="H",W180="B"),INDEX(AllCollegeSAT25, MATCH(N180,AllCollegeNCES,0)),INDEX(AllCollegeSAT50, MATCH(N180,AllCollegeNCES,0)))</f>
        <v>0</v>
      </c>
      <c r="AD180">
        <f>INDEX(CustomWeightsGPA,MATCH(W180&amp;":"&amp;N180,CustomWeightsIndex,0))</f>
        <v>0</v>
      </c>
      <c r="AE180">
        <f>INDEX(CustomWeightsSAT,MATCH(W180&amp;":"&amp;N180,CustomWeightsIndex,0))</f>
        <v>0</v>
      </c>
      <c r="AF180">
        <f>INDEX(CustomWeightsIntercept,MATCH(W180&amp;":"&amp;N180,CustomWeightsIndex,0))</f>
        <v>0</v>
      </c>
      <c r="AG180">
        <f>AD180*S180+AE180*T180+AF180</f>
        <v>0</v>
      </c>
      <c r="AH180">
        <f>INDEX(CoefficientsGPA,MATCH(W180&amp;":"&amp;R180,CoefficientsIndex,0))</f>
        <v>0</v>
      </c>
      <c r="AI180">
        <f>INDEX(CoefficientsSAT,MATCH(W180&amp;":"&amp;R180,CoefficientsIndex,0))</f>
        <v>0</v>
      </c>
      <c r="AJ180">
        <f>INDEX(CoefficientsIntercept,MATCH(W180&amp;":"&amp;R180,CoefficientsIndex,0))</f>
        <v>0</v>
      </c>
      <c r="AK180">
        <f>AH180*S180+(T180-AC180)*AI180+AJ180</f>
        <v>0</v>
      </c>
      <c r="AL180">
        <f>IF(ISNUMBER(AG180),AG180,AK180)</f>
        <v>0</v>
      </c>
      <c r="AM180">
        <f>IF(ISNUMBER(AL180),IF(ISNUMBER(AH180),IF(AND(AH180=1,AI180=1,AJ180=1),100,MIN(99,ROUND(100*EXP(AL180)/(1+EXP(AL180)),2))),MIN(99,ROUND(100*EXP(AL180)/(1+EXP(AL180)),2))),IF(ISTEXT(R180),IF(LEFT(R180,1)="2",100,"N/A"),"N/A"))</f>
        <v>0</v>
      </c>
      <c r="AN180">
        <f>IF(ISNUMBER(AM180),IF(AM180&gt;=99,IF(OR(U180=10,U180=11),MatchLabel,SureThingLabel),IF(AM180&gt;=95,SecureLabel,IF(AM180&gt;=80,SafetyLabel,IF(AM180&gt;=50,MatchLabel,IF(AM180&gt;=20,ReachLabel,IF(AM180&gt;=10,LongshotLabel,HailMaryLabel)))))),"Other")</f>
        <v>0</v>
      </c>
      <c r="AO180">
        <f>IF(OR(I180="accepted",I180="cond. accept",I180="summer admit"),IF(J180="yes","CHOICE!","Accepted!"),IF(I180="guar. transfer","Guar. Xfer",IF(I180="denied","Denied",IF(K180=1,"Waitlist",IF(L180=1,"Deferred",IF(G180="pending","Pending",IF(OR(G180="initial materials submitted",G180="mid-year submitted",G180="final submitted"),"Submitted",IF(H180="interest","Interest","?"))))))))</f>
        <v>0</v>
      </c>
      <c r="AP180">
        <f>IF(OR(AN180=ReachLabel,AN180=LongshotLabel,AN180=HailMaryLabel),1,0)</f>
        <v>0</v>
      </c>
      <c r="AQ180">
        <f>IF(OR(AP180=1,AN180=MatchLabel),1,0)</f>
        <v>0</v>
      </c>
      <c r="AR180">
        <f>IF(OR(AN180=MatchLabel,AN180=SafetyLabel,AN180=SecureLabel,AN180=SureThingLabel),1,0)</f>
        <v>0</v>
      </c>
      <c r="AS180">
        <f>IF(OR(W180="H",W180="B",W180="I",W180="M"),IF(ISNUMBER(AB180),ROUND(AB180,2),0),IF(ISNUMBER(AA180),ROUND(AA180,2),0))</f>
        <v>0</v>
      </c>
      <c r="AT180">
        <f>IF(AS180&gt;=X180,1,0)</f>
        <v>0</v>
      </c>
      <c r="AU180">
        <f>IF(AS180&gt;=Y180,1,0)</f>
        <v>0</v>
      </c>
      <c r="AV180">
        <f>IF(AS180&lt;(X180-0.10),1,0)</f>
        <v>0</v>
      </c>
      <c r="AW180">
        <f>1-AM180/100</f>
        <v>0</v>
      </c>
      <c r="AX180">
        <f>IF(AQ180=1,AW180,1)</f>
        <v>0</v>
      </c>
      <c r="AY180">
        <f>IF(AP180=1,AW180,1)</f>
        <v>0</v>
      </c>
      <c r="AZ180">
        <f>IF(AND(AT180=1,ISNUMBER(AW180)),$AW180,1)</f>
        <v>0</v>
      </c>
      <c r="BA180">
        <f>IF(AND(AU180=1,ISNUMBER(AW180)),$AW180,1)</f>
        <v>0</v>
      </c>
      <c r="BB180">
        <f>IF(ISNUMBER(AB180),INDEX(AllCollegeMoney, MATCH(N180,AllCollegeNCES,0)),0)</f>
        <v>0</v>
      </c>
      <c r="BC180">
        <f>IF(AND(AT180=1,ISNUMBER(AW180),BB180=1),$AW180,1)</f>
        <v>0</v>
      </c>
      <c r="BD180">
        <f>IF(AND(AU180=1,ISNUMBER(AW180),BB180=1),$AW180,1)</f>
        <v>0</v>
      </c>
      <c r="BE180">
        <f>IF(ISNUMBER(AB180),INDEX(AllCollegeILPub, MATCH(N180,AllCollegeNCES,0)),0)</f>
        <v>0</v>
      </c>
      <c r="BF180">
        <f>IF(AN180=ReachLabel,AS180,0)</f>
        <v>0</v>
      </c>
      <c r="BG180">
        <f>IF(AN180=MatchLabel,AS180,0)</f>
        <v>0</v>
      </c>
      <c r="BH180">
        <f>IF(AN180=SafetyLabel,AS180,0)</f>
        <v>0</v>
      </c>
      <c r="BI180">
        <f>IF(AN180=SecureLabel,AS180,0)</f>
        <v>0</v>
      </c>
      <c r="BJ180">
        <f>IF(AN180=SureThingLabel,AS180,0)</f>
        <v>0</v>
      </c>
      <c r="BK180">
        <f>MAX(BF180:BJ180)</f>
        <v>0</v>
      </c>
      <c r="BL180">
        <f>MAX(BG180:BJ180)</f>
        <v>0</v>
      </c>
      <c r="BM180">
        <f>MAX(BH180:BJ180)</f>
        <v>0</v>
      </c>
      <c r="BN180">
        <f>IF(AND(AN180=ReachLabel,BB180=1),AS180,0)</f>
        <v>0</v>
      </c>
      <c r="BO180">
        <f>IF(AND(AN180=MatchLabel,BB180=1),AS180,0)</f>
        <v>0</v>
      </c>
      <c r="BP180">
        <f>IF(AND(AN180=SafetyLabel,BB180=1),AS180,0)</f>
        <v>0</v>
      </c>
      <c r="BQ180">
        <f>IF(AND(AN180=SecureLabel,BB180=1),AS180,0)</f>
        <v>0</v>
      </c>
      <c r="BR180">
        <f>IF(AND(AN180=SureThingLabel,BB180=1),AS180,0)</f>
        <v>0</v>
      </c>
      <c r="BS180">
        <f>MAX(BN180:BR180)</f>
        <v>0</v>
      </c>
      <c r="BT180">
        <f>MAX(BO180:BR180)</f>
        <v>0</v>
      </c>
      <c r="BU180">
        <f>MAX(BP180:BR180)</f>
        <v>0</v>
      </c>
      <c r="BV180">
        <f>IF(ISNUMBER(AB180),INDEX(AllCollegeChicago, MATCH(N180,AllCollegeNCES,0))*BB180,0)</f>
        <v>0</v>
      </c>
      <c r="BW180">
        <f>IF(ISNUMBER(AB180),INDEX(AllCollegeMoneyCode, MATCH(N180,AllCollegeNCES,0)),"?")</f>
        <v>0</v>
      </c>
      <c r="BX180">
        <f>IF(OR(BW180="---",BW180="--",BW180="+/--",BW180="+/---"),1,0)</f>
        <v>0</v>
      </c>
      <c r="BY180">
        <f>BB180*AR180*AT180</f>
        <v>0</v>
      </c>
    </row>
    <row r="181" spans="1:77">
      <c r="A181" t="s">
        <v>96</v>
      </c>
      <c r="B181">
        <v>22853391</v>
      </c>
      <c r="C181" t="s">
        <v>246</v>
      </c>
      <c r="D181" t="s">
        <v>247</v>
      </c>
      <c r="E181" t="s">
        <v>446</v>
      </c>
      <c r="F181" t="s">
        <v>480</v>
      </c>
      <c r="G181" t="s">
        <v>448</v>
      </c>
      <c r="H181" t="s">
        <v>449</v>
      </c>
      <c r="I181" t="s">
        <v>450</v>
      </c>
      <c r="J181" t="s">
        <v>450</v>
      </c>
      <c r="K181">
        <v>0</v>
      </c>
      <c r="L181" t="s">
        <v>446</v>
      </c>
      <c r="M181" t="s">
        <v>446</v>
      </c>
      <c r="N181">
        <v>169248</v>
      </c>
      <c r="O181">
        <f>INDEX(Counselor,MATCH(B181,KidIDs,0))</f>
        <v>0</v>
      </c>
      <c r="P181">
        <f>INDEX(Advisors,MATCH(B181,KidIDs,0))</f>
        <v>0</v>
      </c>
      <c r="Q181">
        <f>INDEX(Cohort,MATCH(B181,KidIDs,0))</f>
        <v>0</v>
      </c>
      <c r="R181">
        <f>INDEX(AllCollegeBarrons,MATCH(N181,AllCollegeNCES,0))</f>
        <v>0</v>
      </c>
      <c r="S181">
        <f>INDEX(KidGPAs,MATCH(B181,KidIDs,0))</f>
        <v>0</v>
      </c>
      <c r="T181">
        <f>INDEX(KidSATs,MATCH(B181,KidIDs,0))</f>
        <v>0</v>
      </c>
      <c r="U181">
        <f>INDEX(Strats,MATCH(B181,KidIDs,0))</f>
        <v>0</v>
      </c>
      <c r="V181">
        <f>INDEX(KidRace,MATCH(B181,KidIDs,0))</f>
        <v>0</v>
      </c>
      <c r="W181">
        <f>IF(OR(V181="M",V181="I"),"H",IF(V181="P","A",V181))</f>
        <v>0</v>
      </c>
      <c r="X181">
        <f>INDEX(StudentTargets,MATCH(B181,KidIDs,0))</f>
        <v>0</v>
      </c>
      <c r="Y181">
        <f>INDEX(ReachStudentTargets,MATCH(B181,KidIDs,0))</f>
        <v>0</v>
      </c>
      <c r="Z181">
        <f>IF(OR(M181="Posse"),1,0)</f>
        <v>0</v>
      </c>
      <c r="AA181">
        <f>IF(ISNUMBER(INDEX(AllCollegeGR, MATCH(N181,AllCollegeNCES,0))),ROUND(INDEX(AllCollegeGR, MATCH(N181,AllCollegeNCES,0))+Z181*IF(INDEX(AllCollegeGR, MATCH(N181,AllCollegeNCES,0))&gt;0.7,(1-INDEX(AllCollegeGR, MATCH(N181,AllCollegeNCES,0)))/2,0.15),2),INDEX(AllCollegeGR, MATCH(N181,AllCollegeNCES,0)))</f>
        <v>0</v>
      </c>
      <c r="AB181">
        <f>IF(ISNUMBER(INDEX(AllCollegeAAHGR, MATCH(N181,AllCollegeNCES,0))),ROUND(INDEX(AllCollegeAAHGR, MATCH(N181,AllCollegeNCES,0))+Z181*IF(INDEX(AllCollegeAAHGR, MATCH(N181,AllCollegeNCES,0))&gt;0.7,(1-INDEX(AllCollegeAAHGR, MATCH(N181,AllCollegeNCES,0)))/2,0.15),2),INDEX(AllCollegeAAHGR, MATCH(N181,AllCollegeNCES,0)))</f>
        <v>0</v>
      </c>
      <c r="AC181">
        <f>IF(OR(W181="H",W181="B"),INDEX(AllCollegeSAT25, MATCH(N181,AllCollegeNCES,0)),INDEX(AllCollegeSAT50, MATCH(N181,AllCollegeNCES,0)))</f>
        <v>0</v>
      </c>
      <c r="AD181">
        <f>INDEX(CustomWeightsGPA,MATCH(W181&amp;":"&amp;N181,CustomWeightsIndex,0))</f>
        <v>0</v>
      </c>
      <c r="AE181">
        <f>INDEX(CustomWeightsSAT,MATCH(W181&amp;":"&amp;N181,CustomWeightsIndex,0))</f>
        <v>0</v>
      </c>
      <c r="AF181">
        <f>INDEX(CustomWeightsIntercept,MATCH(W181&amp;":"&amp;N181,CustomWeightsIndex,0))</f>
        <v>0</v>
      </c>
      <c r="AG181">
        <f>AD181*S181+AE181*T181+AF181</f>
        <v>0</v>
      </c>
      <c r="AH181">
        <f>INDEX(CoefficientsGPA,MATCH(W181&amp;":"&amp;R181,CoefficientsIndex,0))</f>
        <v>0</v>
      </c>
      <c r="AI181">
        <f>INDEX(CoefficientsSAT,MATCH(W181&amp;":"&amp;R181,CoefficientsIndex,0))</f>
        <v>0</v>
      </c>
      <c r="AJ181">
        <f>INDEX(CoefficientsIntercept,MATCH(W181&amp;":"&amp;R181,CoefficientsIndex,0))</f>
        <v>0</v>
      </c>
      <c r="AK181">
        <f>AH181*S181+(T181-AC181)*AI181+AJ181</f>
        <v>0</v>
      </c>
      <c r="AL181">
        <f>IF(ISNUMBER(AG181),AG181,AK181)</f>
        <v>0</v>
      </c>
      <c r="AM181">
        <f>IF(ISNUMBER(AL181),IF(ISNUMBER(AH181),IF(AND(AH181=1,AI181=1,AJ181=1),100,MIN(99,ROUND(100*EXP(AL181)/(1+EXP(AL181)),2))),MIN(99,ROUND(100*EXP(AL181)/(1+EXP(AL181)),2))),IF(ISTEXT(R181),IF(LEFT(R181,1)="2",100,"N/A"),"N/A"))</f>
        <v>0</v>
      </c>
      <c r="AN181">
        <f>IF(ISNUMBER(AM181),IF(AM181&gt;=99,IF(OR(U181=10,U181=11),MatchLabel,SureThingLabel),IF(AM181&gt;=95,SecureLabel,IF(AM181&gt;=80,SafetyLabel,IF(AM181&gt;=50,MatchLabel,IF(AM181&gt;=20,ReachLabel,IF(AM181&gt;=10,LongshotLabel,HailMaryLabel)))))),"Other")</f>
        <v>0</v>
      </c>
      <c r="AO181">
        <f>IF(OR(I181="accepted",I181="cond. accept",I181="summer admit"),IF(J181="yes","CHOICE!","Accepted!"),IF(I181="guar. transfer","Guar. Xfer",IF(I181="denied","Denied",IF(K181=1,"Waitlist",IF(L181=1,"Deferred",IF(G181="pending","Pending",IF(OR(G181="initial materials submitted",G181="mid-year submitted",G181="final submitted"),"Submitted",IF(H181="interest","Interest","?"))))))))</f>
        <v>0</v>
      </c>
      <c r="AP181">
        <f>IF(OR(AN181=ReachLabel,AN181=LongshotLabel,AN181=HailMaryLabel),1,0)</f>
        <v>0</v>
      </c>
      <c r="AQ181">
        <f>IF(OR(AP181=1,AN181=MatchLabel),1,0)</f>
        <v>0</v>
      </c>
      <c r="AR181">
        <f>IF(OR(AN181=MatchLabel,AN181=SafetyLabel,AN181=SecureLabel,AN181=SureThingLabel),1,0)</f>
        <v>0</v>
      </c>
      <c r="AS181">
        <f>IF(OR(W181="H",W181="B",W181="I",W181="M"),IF(ISNUMBER(AB181),ROUND(AB181,2),0),IF(ISNUMBER(AA181),ROUND(AA181,2),0))</f>
        <v>0</v>
      </c>
      <c r="AT181">
        <f>IF(AS181&gt;=X181,1,0)</f>
        <v>0</v>
      </c>
      <c r="AU181">
        <f>IF(AS181&gt;=Y181,1,0)</f>
        <v>0</v>
      </c>
      <c r="AV181">
        <f>IF(AS181&lt;(X181-0.10),1,0)</f>
        <v>0</v>
      </c>
      <c r="AW181">
        <f>1-AM181/100</f>
        <v>0</v>
      </c>
      <c r="AX181">
        <f>IF(AQ181=1,AW181,1)</f>
        <v>0</v>
      </c>
      <c r="AY181">
        <f>IF(AP181=1,AW181,1)</f>
        <v>0</v>
      </c>
      <c r="AZ181">
        <f>IF(AND(AT181=1,ISNUMBER(AW181)),$AW181,1)</f>
        <v>0</v>
      </c>
      <c r="BA181">
        <f>IF(AND(AU181=1,ISNUMBER(AW181)),$AW181,1)</f>
        <v>0</v>
      </c>
      <c r="BB181">
        <f>IF(ISNUMBER(AB181),INDEX(AllCollegeMoney, MATCH(N181,AllCollegeNCES,0)),0)</f>
        <v>0</v>
      </c>
      <c r="BC181">
        <f>IF(AND(AT181=1,ISNUMBER(AW181),BB181=1),$AW181,1)</f>
        <v>0</v>
      </c>
      <c r="BD181">
        <f>IF(AND(AU181=1,ISNUMBER(AW181),BB181=1),$AW181,1)</f>
        <v>0</v>
      </c>
      <c r="BE181">
        <f>IF(ISNUMBER(AB181),INDEX(AllCollegeILPub, MATCH(N181,AllCollegeNCES,0)),0)</f>
        <v>0</v>
      </c>
      <c r="BF181">
        <f>IF(AN181=ReachLabel,AS181,0)</f>
        <v>0</v>
      </c>
      <c r="BG181">
        <f>IF(AN181=MatchLabel,AS181,0)</f>
        <v>0</v>
      </c>
      <c r="BH181">
        <f>IF(AN181=SafetyLabel,AS181,0)</f>
        <v>0</v>
      </c>
      <c r="BI181">
        <f>IF(AN181=SecureLabel,AS181,0)</f>
        <v>0</v>
      </c>
      <c r="BJ181">
        <f>IF(AN181=SureThingLabel,AS181,0)</f>
        <v>0</v>
      </c>
      <c r="BK181">
        <f>MAX(BF181:BJ181)</f>
        <v>0</v>
      </c>
      <c r="BL181">
        <f>MAX(BG181:BJ181)</f>
        <v>0</v>
      </c>
      <c r="BM181">
        <f>MAX(BH181:BJ181)</f>
        <v>0</v>
      </c>
      <c r="BN181">
        <f>IF(AND(AN181=ReachLabel,BB181=1),AS181,0)</f>
        <v>0</v>
      </c>
      <c r="BO181">
        <f>IF(AND(AN181=MatchLabel,BB181=1),AS181,0)</f>
        <v>0</v>
      </c>
      <c r="BP181">
        <f>IF(AND(AN181=SafetyLabel,BB181=1),AS181,0)</f>
        <v>0</v>
      </c>
      <c r="BQ181">
        <f>IF(AND(AN181=SecureLabel,BB181=1),AS181,0)</f>
        <v>0</v>
      </c>
      <c r="BR181">
        <f>IF(AND(AN181=SureThingLabel,BB181=1),AS181,0)</f>
        <v>0</v>
      </c>
      <c r="BS181">
        <f>MAX(BN181:BR181)</f>
        <v>0</v>
      </c>
      <c r="BT181">
        <f>MAX(BO181:BR181)</f>
        <v>0</v>
      </c>
      <c r="BU181">
        <f>MAX(BP181:BR181)</f>
        <v>0</v>
      </c>
      <c r="BV181">
        <f>IF(ISNUMBER(AB181),INDEX(AllCollegeChicago, MATCH(N181,AllCollegeNCES,0))*BB181,0)</f>
        <v>0</v>
      </c>
      <c r="BW181">
        <f>IF(ISNUMBER(AB181),INDEX(AllCollegeMoneyCode, MATCH(N181,AllCollegeNCES,0)),"?")</f>
        <v>0</v>
      </c>
      <c r="BX181">
        <f>IF(OR(BW181="---",BW181="--",BW181="+/--",BW181="+/---"),1,0)</f>
        <v>0</v>
      </c>
      <c r="BY181">
        <f>BB181*AR181*AT181</f>
        <v>0</v>
      </c>
    </row>
    <row r="182" spans="1:77">
      <c r="A182" t="s">
        <v>96</v>
      </c>
      <c r="B182">
        <v>22853391</v>
      </c>
      <c r="C182" t="s">
        <v>246</v>
      </c>
      <c r="D182" t="s">
        <v>247</v>
      </c>
      <c r="E182" t="s">
        <v>446</v>
      </c>
      <c r="F182" t="s">
        <v>519</v>
      </c>
      <c r="G182" t="s">
        <v>448</v>
      </c>
      <c r="H182" t="s">
        <v>449</v>
      </c>
      <c r="I182" t="s">
        <v>450</v>
      </c>
      <c r="J182" t="s">
        <v>450</v>
      </c>
      <c r="K182">
        <v>0</v>
      </c>
      <c r="L182" t="s">
        <v>446</v>
      </c>
      <c r="M182" t="s">
        <v>446</v>
      </c>
      <c r="N182">
        <v>145813</v>
      </c>
      <c r="O182">
        <f>INDEX(Counselor,MATCH(B182,KidIDs,0))</f>
        <v>0</v>
      </c>
      <c r="P182">
        <f>INDEX(Advisors,MATCH(B182,KidIDs,0))</f>
        <v>0</v>
      </c>
      <c r="Q182">
        <f>INDEX(Cohort,MATCH(B182,KidIDs,0))</f>
        <v>0</v>
      </c>
      <c r="R182">
        <f>INDEX(AllCollegeBarrons,MATCH(N182,AllCollegeNCES,0))</f>
        <v>0</v>
      </c>
      <c r="S182">
        <f>INDEX(KidGPAs,MATCH(B182,KidIDs,0))</f>
        <v>0</v>
      </c>
      <c r="T182">
        <f>INDEX(KidSATs,MATCH(B182,KidIDs,0))</f>
        <v>0</v>
      </c>
      <c r="U182">
        <f>INDEX(Strats,MATCH(B182,KidIDs,0))</f>
        <v>0</v>
      </c>
      <c r="V182">
        <f>INDEX(KidRace,MATCH(B182,KidIDs,0))</f>
        <v>0</v>
      </c>
      <c r="W182">
        <f>IF(OR(V182="M",V182="I"),"H",IF(V182="P","A",V182))</f>
        <v>0</v>
      </c>
      <c r="X182">
        <f>INDEX(StudentTargets,MATCH(B182,KidIDs,0))</f>
        <v>0</v>
      </c>
      <c r="Y182">
        <f>INDEX(ReachStudentTargets,MATCH(B182,KidIDs,0))</f>
        <v>0</v>
      </c>
      <c r="Z182">
        <f>IF(OR(M182="Posse"),1,0)</f>
        <v>0</v>
      </c>
      <c r="AA182">
        <f>IF(ISNUMBER(INDEX(AllCollegeGR, MATCH(N182,AllCollegeNCES,0))),ROUND(INDEX(AllCollegeGR, MATCH(N182,AllCollegeNCES,0))+Z182*IF(INDEX(AllCollegeGR, MATCH(N182,AllCollegeNCES,0))&gt;0.7,(1-INDEX(AllCollegeGR, MATCH(N182,AllCollegeNCES,0)))/2,0.15),2),INDEX(AllCollegeGR, MATCH(N182,AllCollegeNCES,0)))</f>
        <v>0</v>
      </c>
      <c r="AB182">
        <f>IF(ISNUMBER(INDEX(AllCollegeAAHGR, MATCH(N182,AllCollegeNCES,0))),ROUND(INDEX(AllCollegeAAHGR, MATCH(N182,AllCollegeNCES,0))+Z182*IF(INDEX(AllCollegeAAHGR, MATCH(N182,AllCollegeNCES,0))&gt;0.7,(1-INDEX(AllCollegeAAHGR, MATCH(N182,AllCollegeNCES,0)))/2,0.15),2),INDEX(AllCollegeAAHGR, MATCH(N182,AllCollegeNCES,0)))</f>
        <v>0</v>
      </c>
      <c r="AC182">
        <f>IF(OR(W182="H",W182="B"),INDEX(AllCollegeSAT25, MATCH(N182,AllCollegeNCES,0)),INDEX(AllCollegeSAT50, MATCH(N182,AllCollegeNCES,0)))</f>
        <v>0</v>
      </c>
      <c r="AD182">
        <f>INDEX(CustomWeightsGPA,MATCH(W182&amp;":"&amp;N182,CustomWeightsIndex,0))</f>
        <v>0</v>
      </c>
      <c r="AE182">
        <f>INDEX(CustomWeightsSAT,MATCH(W182&amp;":"&amp;N182,CustomWeightsIndex,0))</f>
        <v>0</v>
      </c>
      <c r="AF182">
        <f>INDEX(CustomWeightsIntercept,MATCH(W182&amp;":"&amp;N182,CustomWeightsIndex,0))</f>
        <v>0</v>
      </c>
      <c r="AG182">
        <f>AD182*S182+AE182*T182+AF182</f>
        <v>0</v>
      </c>
      <c r="AH182">
        <f>INDEX(CoefficientsGPA,MATCH(W182&amp;":"&amp;R182,CoefficientsIndex,0))</f>
        <v>0</v>
      </c>
      <c r="AI182">
        <f>INDEX(CoefficientsSAT,MATCH(W182&amp;":"&amp;R182,CoefficientsIndex,0))</f>
        <v>0</v>
      </c>
      <c r="AJ182">
        <f>INDEX(CoefficientsIntercept,MATCH(W182&amp;":"&amp;R182,CoefficientsIndex,0))</f>
        <v>0</v>
      </c>
      <c r="AK182">
        <f>AH182*S182+(T182-AC182)*AI182+AJ182</f>
        <v>0</v>
      </c>
      <c r="AL182">
        <f>IF(ISNUMBER(AG182),AG182,AK182)</f>
        <v>0</v>
      </c>
      <c r="AM182">
        <f>IF(ISNUMBER(AL182),IF(ISNUMBER(AH182),IF(AND(AH182=1,AI182=1,AJ182=1),100,MIN(99,ROUND(100*EXP(AL182)/(1+EXP(AL182)),2))),MIN(99,ROUND(100*EXP(AL182)/(1+EXP(AL182)),2))),IF(ISTEXT(R182),IF(LEFT(R182,1)="2",100,"N/A"),"N/A"))</f>
        <v>0</v>
      </c>
      <c r="AN182">
        <f>IF(ISNUMBER(AM182),IF(AM182&gt;=99,IF(OR(U182=10,U182=11),MatchLabel,SureThingLabel),IF(AM182&gt;=95,SecureLabel,IF(AM182&gt;=80,SafetyLabel,IF(AM182&gt;=50,MatchLabel,IF(AM182&gt;=20,ReachLabel,IF(AM182&gt;=10,LongshotLabel,HailMaryLabel)))))),"Other")</f>
        <v>0</v>
      </c>
      <c r="AO182">
        <f>IF(OR(I182="accepted",I182="cond. accept",I182="summer admit"),IF(J182="yes","CHOICE!","Accepted!"),IF(I182="guar. transfer","Guar. Xfer",IF(I182="denied","Denied",IF(K182=1,"Waitlist",IF(L182=1,"Deferred",IF(G182="pending","Pending",IF(OR(G182="initial materials submitted",G182="mid-year submitted",G182="final submitted"),"Submitted",IF(H182="interest","Interest","?"))))))))</f>
        <v>0</v>
      </c>
      <c r="AP182">
        <f>IF(OR(AN182=ReachLabel,AN182=LongshotLabel,AN182=HailMaryLabel),1,0)</f>
        <v>0</v>
      </c>
      <c r="AQ182">
        <f>IF(OR(AP182=1,AN182=MatchLabel),1,0)</f>
        <v>0</v>
      </c>
      <c r="AR182">
        <f>IF(OR(AN182=MatchLabel,AN182=SafetyLabel,AN182=SecureLabel,AN182=SureThingLabel),1,0)</f>
        <v>0</v>
      </c>
      <c r="AS182">
        <f>IF(OR(W182="H",W182="B",W182="I",W182="M"),IF(ISNUMBER(AB182),ROUND(AB182,2),0),IF(ISNUMBER(AA182),ROUND(AA182,2),0))</f>
        <v>0</v>
      </c>
      <c r="AT182">
        <f>IF(AS182&gt;=X182,1,0)</f>
        <v>0</v>
      </c>
      <c r="AU182">
        <f>IF(AS182&gt;=Y182,1,0)</f>
        <v>0</v>
      </c>
      <c r="AV182">
        <f>IF(AS182&lt;(X182-0.10),1,0)</f>
        <v>0</v>
      </c>
      <c r="AW182">
        <f>1-AM182/100</f>
        <v>0</v>
      </c>
      <c r="AX182">
        <f>IF(AQ182=1,AW182,1)</f>
        <v>0</v>
      </c>
      <c r="AY182">
        <f>IF(AP182=1,AW182,1)</f>
        <v>0</v>
      </c>
      <c r="AZ182">
        <f>IF(AND(AT182=1,ISNUMBER(AW182)),$AW182,1)</f>
        <v>0</v>
      </c>
      <c r="BA182">
        <f>IF(AND(AU182=1,ISNUMBER(AW182)),$AW182,1)</f>
        <v>0</v>
      </c>
      <c r="BB182">
        <f>IF(ISNUMBER(AB182),INDEX(AllCollegeMoney, MATCH(N182,AllCollegeNCES,0)),0)</f>
        <v>0</v>
      </c>
      <c r="BC182">
        <f>IF(AND(AT182=1,ISNUMBER(AW182),BB182=1),$AW182,1)</f>
        <v>0</v>
      </c>
      <c r="BD182">
        <f>IF(AND(AU182=1,ISNUMBER(AW182),BB182=1),$AW182,1)</f>
        <v>0</v>
      </c>
      <c r="BE182">
        <f>IF(ISNUMBER(AB182),INDEX(AllCollegeILPub, MATCH(N182,AllCollegeNCES,0)),0)</f>
        <v>0</v>
      </c>
      <c r="BF182">
        <f>IF(AN182=ReachLabel,AS182,0)</f>
        <v>0</v>
      </c>
      <c r="BG182">
        <f>IF(AN182=MatchLabel,AS182,0)</f>
        <v>0</v>
      </c>
      <c r="BH182">
        <f>IF(AN182=SafetyLabel,AS182,0)</f>
        <v>0</v>
      </c>
      <c r="BI182">
        <f>IF(AN182=SecureLabel,AS182,0)</f>
        <v>0</v>
      </c>
      <c r="BJ182">
        <f>IF(AN182=SureThingLabel,AS182,0)</f>
        <v>0</v>
      </c>
      <c r="BK182">
        <f>MAX(BF182:BJ182)</f>
        <v>0</v>
      </c>
      <c r="BL182">
        <f>MAX(BG182:BJ182)</f>
        <v>0</v>
      </c>
      <c r="BM182">
        <f>MAX(BH182:BJ182)</f>
        <v>0</v>
      </c>
      <c r="BN182">
        <f>IF(AND(AN182=ReachLabel,BB182=1),AS182,0)</f>
        <v>0</v>
      </c>
      <c r="BO182">
        <f>IF(AND(AN182=MatchLabel,BB182=1),AS182,0)</f>
        <v>0</v>
      </c>
      <c r="BP182">
        <f>IF(AND(AN182=SafetyLabel,BB182=1),AS182,0)</f>
        <v>0</v>
      </c>
      <c r="BQ182">
        <f>IF(AND(AN182=SecureLabel,BB182=1),AS182,0)</f>
        <v>0</v>
      </c>
      <c r="BR182">
        <f>IF(AND(AN182=SureThingLabel,BB182=1),AS182,0)</f>
        <v>0</v>
      </c>
      <c r="BS182">
        <f>MAX(BN182:BR182)</f>
        <v>0</v>
      </c>
      <c r="BT182">
        <f>MAX(BO182:BR182)</f>
        <v>0</v>
      </c>
      <c r="BU182">
        <f>MAX(BP182:BR182)</f>
        <v>0</v>
      </c>
      <c r="BV182">
        <f>IF(ISNUMBER(AB182),INDEX(AllCollegeChicago, MATCH(N182,AllCollegeNCES,0))*BB182,0)</f>
        <v>0</v>
      </c>
      <c r="BW182">
        <f>IF(ISNUMBER(AB182),INDEX(AllCollegeMoneyCode, MATCH(N182,AllCollegeNCES,0)),"?")</f>
        <v>0</v>
      </c>
      <c r="BX182">
        <f>IF(OR(BW182="---",BW182="--",BW182="+/--",BW182="+/---"),1,0)</f>
        <v>0</v>
      </c>
      <c r="BY182">
        <f>BB182*AR182*AT182</f>
        <v>0</v>
      </c>
    </row>
    <row r="183" spans="1:77">
      <c r="A183" t="s">
        <v>96</v>
      </c>
      <c r="B183">
        <v>22853391</v>
      </c>
      <c r="C183" t="s">
        <v>246</v>
      </c>
      <c r="D183" t="s">
        <v>247</v>
      </c>
      <c r="E183" t="s">
        <v>446</v>
      </c>
      <c r="F183" t="s">
        <v>481</v>
      </c>
      <c r="G183" t="s">
        <v>448</v>
      </c>
      <c r="H183" t="s">
        <v>449</v>
      </c>
      <c r="I183" t="s">
        <v>450</v>
      </c>
      <c r="J183" t="s">
        <v>450</v>
      </c>
      <c r="K183">
        <v>0</v>
      </c>
      <c r="L183" t="s">
        <v>446</v>
      </c>
      <c r="M183" t="s">
        <v>446</v>
      </c>
      <c r="N183">
        <v>153834</v>
      </c>
      <c r="O183">
        <f>INDEX(Counselor,MATCH(B183,KidIDs,0))</f>
        <v>0</v>
      </c>
      <c r="P183">
        <f>INDEX(Advisors,MATCH(B183,KidIDs,0))</f>
        <v>0</v>
      </c>
      <c r="Q183">
        <f>INDEX(Cohort,MATCH(B183,KidIDs,0))</f>
        <v>0</v>
      </c>
      <c r="R183">
        <f>INDEX(AllCollegeBarrons,MATCH(N183,AllCollegeNCES,0))</f>
        <v>0</v>
      </c>
      <c r="S183">
        <f>INDEX(KidGPAs,MATCH(B183,KidIDs,0))</f>
        <v>0</v>
      </c>
      <c r="T183">
        <f>INDEX(KidSATs,MATCH(B183,KidIDs,0))</f>
        <v>0</v>
      </c>
      <c r="U183">
        <f>INDEX(Strats,MATCH(B183,KidIDs,0))</f>
        <v>0</v>
      </c>
      <c r="V183">
        <f>INDEX(KidRace,MATCH(B183,KidIDs,0))</f>
        <v>0</v>
      </c>
      <c r="W183">
        <f>IF(OR(V183="M",V183="I"),"H",IF(V183="P","A",V183))</f>
        <v>0</v>
      </c>
      <c r="X183">
        <f>INDEX(StudentTargets,MATCH(B183,KidIDs,0))</f>
        <v>0</v>
      </c>
      <c r="Y183">
        <f>INDEX(ReachStudentTargets,MATCH(B183,KidIDs,0))</f>
        <v>0</v>
      </c>
      <c r="Z183">
        <f>IF(OR(M183="Posse"),1,0)</f>
        <v>0</v>
      </c>
      <c r="AA183">
        <f>IF(ISNUMBER(INDEX(AllCollegeGR, MATCH(N183,AllCollegeNCES,0))),ROUND(INDEX(AllCollegeGR, MATCH(N183,AllCollegeNCES,0))+Z183*IF(INDEX(AllCollegeGR, MATCH(N183,AllCollegeNCES,0))&gt;0.7,(1-INDEX(AllCollegeGR, MATCH(N183,AllCollegeNCES,0)))/2,0.15),2),INDEX(AllCollegeGR, MATCH(N183,AllCollegeNCES,0)))</f>
        <v>0</v>
      </c>
      <c r="AB183">
        <f>IF(ISNUMBER(INDEX(AllCollegeAAHGR, MATCH(N183,AllCollegeNCES,0))),ROUND(INDEX(AllCollegeAAHGR, MATCH(N183,AllCollegeNCES,0))+Z183*IF(INDEX(AllCollegeAAHGR, MATCH(N183,AllCollegeNCES,0))&gt;0.7,(1-INDEX(AllCollegeAAHGR, MATCH(N183,AllCollegeNCES,0)))/2,0.15),2),INDEX(AllCollegeAAHGR, MATCH(N183,AllCollegeNCES,0)))</f>
        <v>0</v>
      </c>
      <c r="AC183">
        <f>IF(OR(W183="H",W183="B"),INDEX(AllCollegeSAT25, MATCH(N183,AllCollegeNCES,0)),INDEX(AllCollegeSAT50, MATCH(N183,AllCollegeNCES,0)))</f>
        <v>0</v>
      </c>
      <c r="AD183">
        <f>INDEX(CustomWeightsGPA,MATCH(W183&amp;":"&amp;N183,CustomWeightsIndex,0))</f>
        <v>0</v>
      </c>
      <c r="AE183">
        <f>INDEX(CustomWeightsSAT,MATCH(W183&amp;":"&amp;N183,CustomWeightsIndex,0))</f>
        <v>0</v>
      </c>
      <c r="AF183">
        <f>INDEX(CustomWeightsIntercept,MATCH(W183&amp;":"&amp;N183,CustomWeightsIndex,0))</f>
        <v>0</v>
      </c>
      <c r="AG183">
        <f>AD183*S183+AE183*T183+AF183</f>
        <v>0</v>
      </c>
      <c r="AH183">
        <f>INDEX(CoefficientsGPA,MATCH(W183&amp;":"&amp;R183,CoefficientsIndex,0))</f>
        <v>0</v>
      </c>
      <c r="AI183">
        <f>INDEX(CoefficientsSAT,MATCH(W183&amp;":"&amp;R183,CoefficientsIndex,0))</f>
        <v>0</v>
      </c>
      <c r="AJ183">
        <f>INDEX(CoefficientsIntercept,MATCH(W183&amp;":"&amp;R183,CoefficientsIndex,0))</f>
        <v>0</v>
      </c>
      <c r="AK183">
        <f>AH183*S183+(T183-AC183)*AI183+AJ183</f>
        <v>0</v>
      </c>
      <c r="AL183">
        <f>IF(ISNUMBER(AG183),AG183,AK183)</f>
        <v>0</v>
      </c>
      <c r="AM183">
        <f>IF(ISNUMBER(AL183),IF(ISNUMBER(AH183),IF(AND(AH183=1,AI183=1,AJ183=1),100,MIN(99,ROUND(100*EXP(AL183)/(1+EXP(AL183)),2))),MIN(99,ROUND(100*EXP(AL183)/(1+EXP(AL183)),2))),IF(ISTEXT(R183),IF(LEFT(R183,1)="2",100,"N/A"),"N/A"))</f>
        <v>0</v>
      </c>
      <c r="AN183">
        <f>IF(ISNUMBER(AM183),IF(AM183&gt;=99,IF(OR(U183=10,U183=11),MatchLabel,SureThingLabel),IF(AM183&gt;=95,SecureLabel,IF(AM183&gt;=80,SafetyLabel,IF(AM183&gt;=50,MatchLabel,IF(AM183&gt;=20,ReachLabel,IF(AM183&gt;=10,LongshotLabel,HailMaryLabel)))))),"Other")</f>
        <v>0</v>
      </c>
      <c r="AO183">
        <f>IF(OR(I183="accepted",I183="cond. accept",I183="summer admit"),IF(J183="yes","CHOICE!","Accepted!"),IF(I183="guar. transfer","Guar. Xfer",IF(I183="denied","Denied",IF(K183=1,"Waitlist",IF(L183=1,"Deferred",IF(G183="pending","Pending",IF(OR(G183="initial materials submitted",G183="mid-year submitted",G183="final submitted"),"Submitted",IF(H183="interest","Interest","?"))))))))</f>
        <v>0</v>
      </c>
      <c r="AP183">
        <f>IF(OR(AN183=ReachLabel,AN183=LongshotLabel,AN183=HailMaryLabel),1,0)</f>
        <v>0</v>
      </c>
      <c r="AQ183">
        <f>IF(OR(AP183=1,AN183=MatchLabel),1,0)</f>
        <v>0</v>
      </c>
      <c r="AR183">
        <f>IF(OR(AN183=MatchLabel,AN183=SafetyLabel,AN183=SecureLabel,AN183=SureThingLabel),1,0)</f>
        <v>0</v>
      </c>
      <c r="AS183">
        <f>IF(OR(W183="H",W183="B",W183="I",W183="M"),IF(ISNUMBER(AB183),ROUND(AB183,2),0),IF(ISNUMBER(AA183),ROUND(AA183,2),0))</f>
        <v>0</v>
      </c>
      <c r="AT183">
        <f>IF(AS183&gt;=X183,1,0)</f>
        <v>0</v>
      </c>
      <c r="AU183">
        <f>IF(AS183&gt;=Y183,1,0)</f>
        <v>0</v>
      </c>
      <c r="AV183">
        <f>IF(AS183&lt;(X183-0.10),1,0)</f>
        <v>0</v>
      </c>
      <c r="AW183">
        <f>1-AM183/100</f>
        <v>0</v>
      </c>
      <c r="AX183">
        <f>IF(AQ183=1,AW183,1)</f>
        <v>0</v>
      </c>
      <c r="AY183">
        <f>IF(AP183=1,AW183,1)</f>
        <v>0</v>
      </c>
      <c r="AZ183">
        <f>IF(AND(AT183=1,ISNUMBER(AW183)),$AW183,1)</f>
        <v>0</v>
      </c>
      <c r="BA183">
        <f>IF(AND(AU183=1,ISNUMBER(AW183)),$AW183,1)</f>
        <v>0</v>
      </c>
      <c r="BB183">
        <f>IF(ISNUMBER(AB183),INDEX(AllCollegeMoney, MATCH(N183,AllCollegeNCES,0)),0)</f>
        <v>0</v>
      </c>
      <c r="BC183">
        <f>IF(AND(AT183=1,ISNUMBER(AW183),BB183=1),$AW183,1)</f>
        <v>0</v>
      </c>
      <c r="BD183">
        <f>IF(AND(AU183=1,ISNUMBER(AW183),BB183=1),$AW183,1)</f>
        <v>0</v>
      </c>
      <c r="BE183">
        <f>IF(ISNUMBER(AB183),INDEX(AllCollegeILPub, MATCH(N183,AllCollegeNCES,0)),0)</f>
        <v>0</v>
      </c>
      <c r="BF183">
        <f>IF(AN183=ReachLabel,AS183,0)</f>
        <v>0</v>
      </c>
      <c r="BG183">
        <f>IF(AN183=MatchLabel,AS183,0)</f>
        <v>0</v>
      </c>
      <c r="BH183">
        <f>IF(AN183=SafetyLabel,AS183,0)</f>
        <v>0</v>
      </c>
      <c r="BI183">
        <f>IF(AN183=SecureLabel,AS183,0)</f>
        <v>0</v>
      </c>
      <c r="BJ183">
        <f>IF(AN183=SureThingLabel,AS183,0)</f>
        <v>0</v>
      </c>
      <c r="BK183">
        <f>MAX(BF183:BJ183)</f>
        <v>0</v>
      </c>
      <c r="BL183">
        <f>MAX(BG183:BJ183)</f>
        <v>0</v>
      </c>
      <c r="BM183">
        <f>MAX(BH183:BJ183)</f>
        <v>0</v>
      </c>
      <c r="BN183">
        <f>IF(AND(AN183=ReachLabel,BB183=1),AS183,0)</f>
        <v>0</v>
      </c>
      <c r="BO183">
        <f>IF(AND(AN183=MatchLabel,BB183=1),AS183,0)</f>
        <v>0</v>
      </c>
      <c r="BP183">
        <f>IF(AND(AN183=SafetyLabel,BB183=1),AS183,0)</f>
        <v>0</v>
      </c>
      <c r="BQ183">
        <f>IF(AND(AN183=SecureLabel,BB183=1),AS183,0)</f>
        <v>0</v>
      </c>
      <c r="BR183">
        <f>IF(AND(AN183=SureThingLabel,BB183=1),AS183,0)</f>
        <v>0</v>
      </c>
      <c r="BS183">
        <f>MAX(BN183:BR183)</f>
        <v>0</v>
      </c>
      <c r="BT183">
        <f>MAX(BO183:BR183)</f>
        <v>0</v>
      </c>
      <c r="BU183">
        <f>MAX(BP183:BR183)</f>
        <v>0</v>
      </c>
      <c r="BV183">
        <f>IF(ISNUMBER(AB183),INDEX(AllCollegeChicago, MATCH(N183,AllCollegeNCES,0))*BB183,0)</f>
        <v>0</v>
      </c>
      <c r="BW183">
        <f>IF(ISNUMBER(AB183),INDEX(AllCollegeMoneyCode, MATCH(N183,AllCollegeNCES,0)),"?")</f>
        <v>0</v>
      </c>
      <c r="BX183">
        <f>IF(OR(BW183="---",BW183="--",BW183="+/--",BW183="+/---"),1,0)</f>
        <v>0</v>
      </c>
      <c r="BY183">
        <f>BB183*AR183*AT183</f>
        <v>0</v>
      </c>
    </row>
    <row r="184" spans="1:77">
      <c r="A184" t="s">
        <v>96</v>
      </c>
      <c r="B184">
        <v>22853391</v>
      </c>
      <c r="C184" t="s">
        <v>246</v>
      </c>
      <c r="D184" t="s">
        <v>247</v>
      </c>
      <c r="E184" t="s">
        <v>446</v>
      </c>
      <c r="F184" t="s">
        <v>506</v>
      </c>
      <c r="G184" t="s">
        <v>448</v>
      </c>
      <c r="H184" t="s">
        <v>449</v>
      </c>
      <c r="I184" t="s">
        <v>450</v>
      </c>
      <c r="J184" t="s">
        <v>450</v>
      </c>
      <c r="K184">
        <v>0</v>
      </c>
      <c r="L184" t="s">
        <v>446</v>
      </c>
      <c r="M184" t="s">
        <v>446</v>
      </c>
      <c r="N184">
        <v>147679</v>
      </c>
      <c r="O184">
        <f>INDEX(Counselor,MATCH(B184,KidIDs,0))</f>
        <v>0</v>
      </c>
      <c r="P184">
        <f>INDEX(Advisors,MATCH(B184,KidIDs,0))</f>
        <v>0</v>
      </c>
      <c r="Q184">
        <f>INDEX(Cohort,MATCH(B184,KidIDs,0))</f>
        <v>0</v>
      </c>
      <c r="R184">
        <f>INDEX(AllCollegeBarrons,MATCH(N184,AllCollegeNCES,0))</f>
        <v>0</v>
      </c>
      <c r="S184">
        <f>INDEX(KidGPAs,MATCH(B184,KidIDs,0))</f>
        <v>0</v>
      </c>
      <c r="T184">
        <f>INDEX(KidSATs,MATCH(B184,KidIDs,0))</f>
        <v>0</v>
      </c>
      <c r="U184">
        <f>INDEX(Strats,MATCH(B184,KidIDs,0))</f>
        <v>0</v>
      </c>
      <c r="V184">
        <f>INDEX(KidRace,MATCH(B184,KidIDs,0))</f>
        <v>0</v>
      </c>
      <c r="W184">
        <f>IF(OR(V184="M",V184="I"),"H",IF(V184="P","A",V184))</f>
        <v>0</v>
      </c>
      <c r="X184">
        <f>INDEX(StudentTargets,MATCH(B184,KidIDs,0))</f>
        <v>0</v>
      </c>
      <c r="Y184">
        <f>INDEX(ReachStudentTargets,MATCH(B184,KidIDs,0))</f>
        <v>0</v>
      </c>
      <c r="Z184">
        <f>IF(OR(M184="Posse"),1,0)</f>
        <v>0</v>
      </c>
      <c r="AA184">
        <f>IF(ISNUMBER(INDEX(AllCollegeGR, MATCH(N184,AllCollegeNCES,0))),ROUND(INDEX(AllCollegeGR, MATCH(N184,AllCollegeNCES,0))+Z184*IF(INDEX(AllCollegeGR, MATCH(N184,AllCollegeNCES,0))&gt;0.7,(1-INDEX(AllCollegeGR, MATCH(N184,AllCollegeNCES,0)))/2,0.15),2),INDEX(AllCollegeGR, MATCH(N184,AllCollegeNCES,0)))</f>
        <v>0</v>
      </c>
      <c r="AB184">
        <f>IF(ISNUMBER(INDEX(AllCollegeAAHGR, MATCH(N184,AllCollegeNCES,0))),ROUND(INDEX(AllCollegeAAHGR, MATCH(N184,AllCollegeNCES,0))+Z184*IF(INDEX(AllCollegeAAHGR, MATCH(N184,AllCollegeNCES,0))&gt;0.7,(1-INDEX(AllCollegeAAHGR, MATCH(N184,AllCollegeNCES,0)))/2,0.15),2),INDEX(AllCollegeAAHGR, MATCH(N184,AllCollegeNCES,0)))</f>
        <v>0</v>
      </c>
      <c r="AC184">
        <f>IF(OR(W184="H",W184="B"),INDEX(AllCollegeSAT25, MATCH(N184,AllCollegeNCES,0)),INDEX(AllCollegeSAT50, MATCH(N184,AllCollegeNCES,0)))</f>
        <v>0</v>
      </c>
      <c r="AD184">
        <f>INDEX(CustomWeightsGPA,MATCH(W184&amp;":"&amp;N184,CustomWeightsIndex,0))</f>
        <v>0</v>
      </c>
      <c r="AE184">
        <f>INDEX(CustomWeightsSAT,MATCH(W184&amp;":"&amp;N184,CustomWeightsIndex,0))</f>
        <v>0</v>
      </c>
      <c r="AF184">
        <f>INDEX(CustomWeightsIntercept,MATCH(W184&amp;":"&amp;N184,CustomWeightsIndex,0))</f>
        <v>0</v>
      </c>
      <c r="AG184">
        <f>AD184*S184+AE184*T184+AF184</f>
        <v>0</v>
      </c>
      <c r="AH184">
        <f>INDEX(CoefficientsGPA,MATCH(W184&amp;":"&amp;R184,CoefficientsIndex,0))</f>
        <v>0</v>
      </c>
      <c r="AI184">
        <f>INDEX(CoefficientsSAT,MATCH(W184&amp;":"&amp;R184,CoefficientsIndex,0))</f>
        <v>0</v>
      </c>
      <c r="AJ184">
        <f>INDEX(CoefficientsIntercept,MATCH(W184&amp;":"&amp;R184,CoefficientsIndex,0))</f>
        <v>0</v>
      </c>
      <c r="AK184">
        <f>AH184*S184+(T184-AC184)*AI184+AJ184</f>
        <v>0</v>
      </c>
      <c r="AL184">
        <f>IF(ISNUMBER(AG184),AG184,AK184)</f>
        <v>0</v>
      </c>
      <c r="AM184">
        <f>IF(ISNUMBER(AL184),IF(ISNUMBER(AH184),IF(AND(AH184=1,AI184=1,AJ184=1),100,MIN(99,ROUND(100*EXP(AL184)/(1+EXP(AL184)),2))),MIN(99,ROUND(100*EXP(AL184)/(1+EXP(AL184)),2))),IF(ISTEXT(R184),IF(LEFT(R184,1)="2",100,"N/A"),"N/A"))</f>
        <v>0</v>
      </c>
      <c r="AN184">
        <f>IF(ISNUMBER(AM184),IF(AM184&gt;=99,IF(OR(U184=10,U184=11),MatchLabel,SureThingLabel),IF(AM184&gt;=95,SecureLabel,IF(AM184&gt;=80,SafetyLabel,IF(AM184&gt;=50,MatchLabel,IF(AM184&gt;=20,ReachLabel,IF(AM184&gt;=10,LongshotLabel,HailMaryLabel)))))),"Other")</f>
        <v>0</v>
      </c>
      <c r="AO184">
        <f>IF(OR(I184="accepted",I184="cond. accept",I184="summer admit"),IF(J184="yes","CHOICE!","Accepted!"),IF(I184="guar. transfer","Guar. Xfer",IF(I184="denied","Denied",IF(K184=1,"Waitlist",IF(L184=1,"Deferred",IF(G184="pending","Pending",IF(OR(G184="initial materials submitted",G184="mid-year submitted",G184="final submitted"),"Submitted",IF(H184="interest","Interest","?"))))))))</f>
        <v>0</v>
      </c>
      <c r="AP184">
        <f>IF(OR(AN184=ReachLabel,AN184=LongshotLabel,AN184=HailMaryLabel),1,0)</f>
        <v>0</v>
      </c>
      <c r="AQ184">
        <f>IF(OR(AP184=1,AN184=MatchLabel),1,0)</f>
        <v>0</v>
      </c>
      <c r="AR184">
        <f>IF(OR(AN184=MatchLabel,AN184=SafetyLabel,AN184=SecureLabel,AN184=SureThingLabel),1,0)</f>
        <v>0</v>
      </c>
      <c r="AS184">
        <f>IF(OR(W184="H",W184="B",W184="I",W184="M"),IF(ISNUMBER(AB184),ROUND(AB184,2),0),IF(ISNUMBER(AA184),ROUND(AA184,2),0))</f>
        <v>0</v>
      </c>
      <c r="AT184">
        <f>IF(AS184&gt;=X184,1,0)</f>
        <v>0</v>
      </c>
      <c r="AU184">
        <f>IF(AS184&gt;=Y184,1,0)</f>
        <v>0</v>
      </c>
      <c r="AV184">
        <f>IF(AS184&lt;(X184-0.10),1,0)</f>
        <v>0</v>
      </c>
      <c r="AW184">
        <f>1-AM184/100</f>
        <v>0</v>
      </c>
      <c r="AX184">
        <f>IF(AQ184=1,AW184,1)</f>
        <v>0</v>
      </c>
      <c r="AY184">
        <f>IF(AP184=1,AW184,1)</f>
        <v>0</v>
      </c>
      <c r="AZ184">
        <f>IF(AND(AT184=1,ISNUMBER(AW184)),$AW184,1)</f>
        <v>0</v>
      </c>
      <c r="BA184">
        <f>IF(AND(AU184=1,ISNUMBER(AW184)),$AW184,1)</f>
        <v>0</v>
      </c>
      <c r="BB184">
        <f>IF(ISNUMBER(AB184),INDEX(AllCollegeMoney, MATCH(N184,AllCollegeNCES,0)),0)</f>
        <v>0</v>
      </c>
      <c r="BC184">
        <f>IF(AND(AT184=1,ISNUMBER(AW184),BB184=1),$AW184,1)</f>
        <v>0</v>
      </c>
      <c r="BD184">
        <f>IF(AND(AU184=1,ISNUMBER(AW184),BB184=1),$AW184,1)</f>
        <v>0</v>
      </c>
      <c r="BE184">
        <f>IF(ISNUMBER(AB184),INDEX(AllCollegeILPub, MATCH(N184,AllCollegeNCES,0)),0)</f>
        <v>0</v>
      </c>
      <c r="BF184">
        <f>IF(AN184=ReachLabel,AS184,0)</f>
        <v>0</v>
      </c>
      <c r="BG184">
        <f>IF(AN184=MatchLabel,AS184,0)</f>
        <v>0</v>
      </c>
      <c r="BH184">
        <f>IF(AN184=SafetyLabel,AS184,0)</f>
        <v>0</v>
      </c>
      <c r="BI184">
        <f>IF(AN184=SecureLabel,AS184,0)</f>
        <v>0</v>
      </c>
      <c r="BJ184">
        <f>IF(AN184=SureThingLabel,AS184,0)</f>
        <v>0</v>
      </c>
      <c r="BK184">
        <f>MAX(BF184:BJ184)</f>
        <v>0</v>
      </c>
      <c r="BL184">
        <f>MAX(BG184:BJ184)</f>
        <v>0</v>
      </c>
      <c r="BM184">
        <f>MAX(BH184:BJ184)</f>
        <v>0</v>
      </c>
      <c r="BN184">
        <f>IF(AND(AN184=ReachLabel,BB184=1),AS184,0)</f>
        <v>0</v>
      </c>
      <c r="BO184">
        <f>IF(AND(AN184=MatchLabel,BB184=1),AS184,0)</f>
        <v>0</v>
      </c>
      <c r="BP184">
        <f>IF(AND(AN184=SafetyLabel,BB184=1),AS184,0)</f>
        <v>0</v>
      </c>
      <c r="BQ184">
        <f>IF(AND(AN184=SecureLabel,BB184=1),AS184,0)</f>
        <v>0</v>
      </c>
      <c r="BR184">
        <f>IF(AND(AN184=SureThingLabel,BB184=1),AS184,0)</f>
        <v>0</v>
      </c>
      <c r="BS184">
        <f>MAX(BN184:BR184)</f>
        <v>0</v>
      </c>
      <c r="BT184">
        <f>MAX(BO184:BR184)</f>
        <v>0</v>
      </c>
      <c r="BU184">
        <f>MAX(BP184:BR184)</f>
        <v>0</v>
      </c>
      <c r="BV184">
        <f>IF(ISNUMBER(AB184),INDEX(AllCollegeChicago, MATCH(N184,AllCollegeNCES,0))*BB184,0)</f>
        <v>0</v>
      </c>
      <c r="BW184">
        <f>IF(ISNUMBER(AB184),INDEX(AllCollegeMoneyCode, MATCH(N184,AllCollegeNCES,0)),"?")</f>
        <v>0</v>
      </c>
      <c r="BX184">
        <f>IF(OR(BW184="---",BW184="--",BW184="+/--",BW184="+/---"),1,0)</f>
        <v>0</v>
      </c>
      <c r="BY184">
        <f>BB184*AR184*AT184</f>
        <v>0</v>
      </c>
    </row>
    <row r="185" spans="1:77">
      <c r="A185" t="s">
        <v>96</v>
      </c>
      <c r="B185">
        <v>22853391</v>
      </c>
      <c r="C185" t="s">
        <v>246</v>
      </c>
      <c r="D185" t="s">
        <v>247</v>
      </c>
      <c r="E185" t="s">
        <v>446</v>
      </c>
      <c r="F185" t="s">
        <v>453</v>
      </c>
      <c r="G185" t="s">
        <v>448</v>
      </c>
      <c r="H185" t="s">
        <v>449</v>
      </c>
      <c r="I185" t="s">
        <v>450</v>
      </c>
      <c r="J185" t="s">
        <v>450</v>
      </c>
      <c r="K185">
        <v>0</v>
      </c>
      <c r="L185" t="s">
        <v>446</v>
      </c>
      <c r="M185" t="s">
        <v>454</v>
      </c>
      <c r="N185">
        <v>150774</v>
      </c>
      <c r="O185">
        <f>INDEX(Counselor,MATCH(B185,KidIDs,0))</f>
        <v>0</v>
      </c>
      <c r="P185">
        <f>INDEX(Advisors,MATCH(B185,KidIDs,0))</f>
        <v>0</v>
      </c>
      <c r="Q185">
        <f>INDEX(Cohort,MATCH(B185,KidIDs,0))</f>
        <v>0</v>
      </c>
      <c r="R185">
        <f>INDEX(AllCollegeBarrons,MATCH(N185,AllCollegeNCES,0))</f>
        <v>0</v>
      </c>
      <c r="S185">
        <f>INDEX(KidGPAs,MATCH(B185,KidIDs,0))</f>
        <v>0</v>
      </c>
      <c r="T185">
        <f>INDEX(KidSATs,MATCH(B185,KidIDs,0))</f>
        <v>0</v>
      </c>
      <c r="U185">
        <f>INDEX(Strats,MATCH(B185,KidIDs,0))</f>
        <v>0</v>
      </c>
      <c r="V185">
        <f>INDEX(KidRace,MATCH(B185,KidIDs,0))</f>
        <v>0</v>
      </c>
      <c r="W185">
        <f>IF(OR(V185="M",V185="I"),"H",IF(V185="P","A",V185))</f>
        <v>0</v>
      </c>
      <c r="X185">
        <f>INDEX(StudentTargets,MATCH(B185,KidIDs,0))</f>
        <v>0</v>
      </c>
      <c r="Y185">
        <f>INDEX(ReachStudentTargets,MATCH(B185,KidIDs,0))</f>
        <v>0</v>
      </c>
      <c r="Z185">
        <f>IF(OR(M185="Posse"),1,0)</f>
        <v>0</v>
      </c>
      <c r="AA185">
        <f>IF(ISNUMBER(INDEX(AllCollegeGR, MATCH(N185,AllCollegeNCES,0))),ROUND(INDEX(AllCollegeGR, MATCH(N185,AllCollegeNCES,0))+Z185*IF(INDEX(AllCollegeGR, MATCH(N185,AllCollegeNCES,0))&gt;0.7,(1-INDEX(AllCollegeGR, MATCH(N185,AllCollegeNCES,0)))/2,0.15),2),INDEX(AllCollegeGR, MATCH(N185,AllCollegeNCES,0)))</f>
        <v>0</v>
      </c>
      <c r="AB185">
        <f>IF(ISNUMBER(INDEX(AllCollegeAAHGR, MATCH(N185,AllCollegeNCES,0))),ROUND(INDEX(AllCollegeAAHGR, MATCH(N185,AllCollegeNCES,0))+Z185*IF(INDEX(AllCollegeAAHGR, MATCH(N185,AllCollegeNCES,0))&gt;0.7,(1-INDEX(AllCollegeAAHGR, MATCH(N185,AllCollegeNCES,0)))/2,0.15),2),INDEX(AllCollegeAAHGR, MATCH(N185,AllCollegeNCES,0)))</f>
        <v>0</v>
      </c>
      <c r="AC185">
        <f>IF(OR(W185="H",W185="B"),INDEX(AllCollegeSAT25, MATCH(N185,AllCollegeNCES,0)),INDEX(AllCollegeSAT50, MATCH(N185,AllCollegeNCES,0)))</f>
        <v>0</v>
      </c>
      <c r="AD185">
        <f>INDEX(CustomWeightsGPA,MATCH(W185&amp;":"&amp;N185,CustomWeightsIndex,0))</f>
        <v>0</v>
      </c>
      <c r="AE185">
        <f>INDEX(CustomWeightsSAT,MATCH(W185&amp;":"&amp;N185,CustomWeightsIndex,0))</f>
        <v>0</v>
      </c>
      <c r="AF185">
        <f>INDEX(CustomWeightsIntercept,MATCH(W185&amp;":"&amp;N185,CustomWeightsIndex,0))</f>
        <v>0</v>
      </c>
      <c r="AG185">
        <f>AD185*S185+AE185*T185+AF185</f>
        <v>0</v>
      </c>
      <c r="AH185">
        <f>INDEX(CoefficientsGPA,MATCH(W185&amp;":"&amp;R185,CoefficientsIndex,0))</f>
        <v>0</v>
      </c>
      <c r="AI185">
        <f>INDEX(CoefficientsSAT,MATCH(W185&amp;":"&amp;R185,CoefficientsIndex,0))</f>
        <v>0</v>
      </c>
      <c r="AJ185">
        <f>INDEX(CoefficientsIntercept,MATCH(W185&amp;":"&amp;R185,CoefficientsIndex,0))</f>
        <v>0</v>
      </c>
      <c r="AK185">
        <f>AH185*S185+(T185-AC185)*AI185+AJ185</f>
        <v>0</v>
      </c>
      <c r="AL185">
        <f>IF(ISNUMBER(AG185),AG185,AK185)</f>
        <v>0</v>
      </c>
      <c r="AM185">
        <f>IF(ISNUMBER(AL185),IF(ISNUMBER(AH185),IF(AND(AH185=1,AI185=1,AJ185=1),100,MIN(99,ROUND(100*EXP(AL185)/(1+EXP(AL185)),2))),MIN(99,ROUND(100*EXP(AL185)/(1+EXP(AL185)),2))),IF(ISTEXT(R185),IF(LEFT(R185,1)="2",100,"N/A"),"N/A"))</f>
        <v>0</v>
      </c>
      <c r="AN185">
        <f>IF(ISNUMBER(AM185),IF(AM185&gt;=99,IF(OR(U185=10,U185=11),MatchLabel,SureThingLabel),IF(AM185&gt;=95,SecureLabel,IF(AM185&gt;=80,SafetyLabel,IF(AM185&gt;=50,MatchLabel,IF(AM185&gt;=20,ReachLabel,IF(AM185&gt;=10,LongshotLabel,HailMaryLabel)))))),"Other")</f>
        <v>0</v>
      </c>
      <c r="AO185">
        <f>IF(OR(I185="accepted",I185="cond. accept",I185="summer admit"),IF(J185="yes","CHOICE!","Accepted!"),IF(I185="guar. transfer","Guar. Xfer",IF(I185="denied","Denied",IF(K185=1,"Waitlist",IF(L185=1,"Deferred",IF(G185="pending","Pending",IF(OR(G185="initial materials submitted",G185="mid-year submitted",G185="final submitted"),"Submitted",IF(H185="interest","Interest","?"))))))))</f>
        <v>0</v>
      </c>
      <c r="AP185">
        <f>IF(OR(AN185=ReachLabel,AN185=LongshotLabel,AN185=HailMaryLabel),1,0)</f>
        <v>0</v>
      </c>
      <c r="AQ185">
        <f>IF(OR(AP185=1,AN185=MatchLabel),1,0)</f>
        <v>0</v>
      </c>
      <c r="AR185">
        <f>IF(OR(AN185=MatchLabel,AN185=SafetyLabel,AN185=SecureLabel,AN185=SureThingLabel),1,0)</f>
        <v>0</v>
      </c>
      <c r="AS185">
        <f>IF(OR(W185="H",W185="B",W185="I",W185="M"),IF(ISNUMBER(AB185),ROUND(AB185,2),0),IF(ISNUMBER(AA185),ROUND(AA185,2),0))</f>
        <v>0</v>
      </c>
      <c r="AT185">
        <f>IF(AS185&gt;=X185,1,0)</f>
        <v>0</v>
      </c>
      <c r="AU185">
        <f>IF(AS185&gt;=Y185,1,0)</f>
        <v>0</v>
      </c>
      <c r="AV185">
        <f>IF(AS185&lt;(X185-0.10),1,0)</f>
        <v>0</v>
      </c>
      <c r="AW185">
        <f>1-AM185/100</f>
        <v>0</v>
      </c>
      <c r="AX185">
        <f>IF(AQ185=1,AW185,1)</f>
        <v>0</v>
      </c>
      <c r="AY185">
        <f>IF(AP185=1,AW185,1)</f>
        <v>0</v>
      </c>
      <c r="AZ185">
        <f>IF(AND(AT185=1,ISNUMBER(AW185)),$AW185,1)</f>
        <v>0</v>
      </c>
      <c r="BA185">
        <f>IF(AND(AU185=1,ISNUMBER(AW185)),$AW185,1)</f>
        <v>0</v>
      </c>
      <c r="BB185">
        <f>IF(ISNUMBER(AB185),INDEX(AllCollegeMoney, MATCH(N185,AllCollegeNCES,0)),0)</f>
        <v>0</v>
      </c>
      <c r="BC185">
        <f>IF(AND(AT185=1,ISNUMBER(AW185),BB185=1),$AW185,1)</f>
        <v>0</v>
      </c>
      <c r="BD185">
        <f>IF(AND(AU185=1,ISNUMBER(AW185),BB185=1),$AW185,1)</f>
        <v>0</v>
      </c>
      <c r="BE185">
        <f>IF(ISNUMBER(AB185),INDEX(AllCollegeILPub, MATCH(N185,AllCollegeNCES,0)),0)</f>
        <v>0</v>
      </c>
      <c r="BF185">
        <f>IF(AN185=ReachLabel,AS185,0)</f>
        <v>0</v>
      </c>
      <c r="BG185">
        <f>IF(AN185=MatchLabel,AS185,0)</f>
        <v>0</v>
      </c>
      <c r="BH185">
        <f>IF(AN185=SafetyLabel,AS185,0)</f>
        <v>0</v>
      </c>
      <c r="BI185">
        <f>IF(AN185=SecureLabel,AS185,0)</f>
        <v>0</v>
      </c>
      <c r="BJ185">
        <f>IF(AN185=SureThingLabel,AS185,0)</f>
        <v>0</v>
      </c>
      <c r="BK185">
        <f>MAX(BF185:BJ185)</f>
        <v>0</v>
      </c>
      <c r="BL185">
        <f>MAX(BG185:BJ185)</f>
        <v>0</v>
      </c>
      <c r="BM185">
        <f>MAX(BH185:BJ185)</f>
        <v>0</v>
      </c>
      <c r="BN185">
        <f>IF(AND(AN185=ReachLabel,BB185=1),AS185,0)</f>
        <v>0</v>
      </c>
      <c r="BO185">
        <f>IF(AND(AN185=MatchLabel,BB185=1),AS185,0)</f>
        <v>0</v>
      </c>
      <c r="BP185">
        <f>IF(AND(AN185=SafetyLabel,BB185=1),AS185,0)</f>
        <v>0</v>
      </c>
      <c r="BQ185">
        <f>IF(AND(AN185=SecureLabel,BB185=1),AS185,0)</f>
        <v>0</v>
      </c>
      <c r="BR185">
        <f>IF(AND(AN185=SureThingLabel,BB185=1),AS185,0)</f>
        <v>0</v>
      </c>
      <c r="BS185">
        <f>MAX(BN185:BR185)</f>
        <v>0</v>
      </c>
      <c r="BT185">
        <f>MAX(BO185:BR185)</f>
        <v>0</v>
      </c>
      <c r="BU185">
        <f>MAX(BP185:BR185)</f>
        <v>0</v>
      </c>
      <c r="BV185">
        <f>IF(ISNUMBER(AB185),INDEX(AllCollegeChicago, MATCH(N185,AllCollegeNCES,0))*BB185,0)</f>
        <v>0</v>
      </c>
      <c r="BW185">
        <f>IF(ISNUMBER(AB185),INDEX(AllCollegeMoneyCode, MATCH(N185,AllCollegeNCES,0)),"?")</f>
        <v>0</v>
      </c>
      <c r="BX185">
        <f>IF(OR(BW185="---",BW185="--",BW185="+/--",BW185="+/---"),1,0)</f>
        <v>0</v>
      </c>
      <c r="BY185">
        <f>BB185*AR185*AT185</f>
        <v>0</v>
      </c>
    </row>
    <row r="186" spans="1:77">
      <c r="A186" t="s">
        <v>96</v>
      </c>
      <c r="B186">
        <v>22853391</v>
      </c>
      <c r="C186" t="s">
        <v>246</v>
      </c>
      <c r="D186" t="s">
        <v>247</v>
      </c>
      <c r="E186" t="s">
        <v>446</v>
      </c>
      <c r="F186" t="s">
        <v>456</v>
      </c>
      <c r="G186" t="s">
        <v>448</v>
      </c>
      <c r="H186" t="s">
        <v>449</v>
      </c>
      <c r="I186" t="s">
        <v>450</v>
      </c>
      <c r="J186" t="s">
        <v>450</v>
      </c>
      <c r="K186">
        <v>0</v>
      </c>
      <c r="L186" t="s">
        <v>446</v>
      </c>
      <c r="M186" t="s">
        <v>446</v>
      </c>
      <c r="N186">
        <v>149772</v>
      </c>
      <c r="O186">
        <f>INDEX(Counselor,MATCH(B186,KidIDs,0))</f>
        <v>0</v>
      </c>
      <c r="P186">
        <f>INDEX(Advisors,MATCH(B186,KidIDs,0))</f>
        <v>0</v>
      </c>
      <c r="Q186">
        <f>INDEX(Cohort,MATCH(B186,KidIDs,0))</f>
        <v>0</v>
      </c>
      <c r="R186">
        <f>INDEX(AllCollegeBarrons,MATCH(N186,AllCollegeNCES,0))</f>
        <v>0</v>
      </c>
      <c r="S186">
        <f>INDEX(KidGPAs,MATCH(B186,KidIDs,0))</f>
        <v>0</v>
      </c>
      <c r="T186">
        <f>INDEX(KidSATs,MATCH(B186,KidIDs,0))</f>
        <v>0</v>
      </c>
      <c r="U186">
        <f>INDEX(Strats,MATCH(B186,KidIDs,0))</f>
        <v>0</v>
      </c>
      <c r="V186">
        <f>INDEX(KidRace,MATCH(B186,KidIDs,0))</f>
        <v>0</v>
      </c>
      <c r="W186">
        <f>IF(OR(V186="M",V186="I"),"H",IF(V186="P","A",V186))</f>
        <v>0</v>
      </c>
      <c r="X186">
        <f>INDEX(StudentTargets,MATCH(B186,KidIDs,0))</f>
        <v>0</v>
      </c>
      <c r="Y186">
        <f>INDEX(ReachStudentTargets,MATCH(B186,KidIDs,0))</f>
        <v>0</v>
      </c>
      <c r="Z186">
        <f>IF(OR(M186="Posse"),1,0)</f>
        <v>0</v>
      </c>
      <c r="AA186">
        <f>IF(ISNUMBER(INDEX(AllCollegeGR, MATCH(N186,AllCollegeNCES,0))),ROUND(INDEX(AllCollegeGR, MATCH(N186,AllCollegeNCES,0))+Z186*IF(INDEX(AllCollegeGR, MATCH(N186,AllCollegeNCES,0))&gt;0.7,(1-INDEX(AllCollegeGR, MATCH(N186,AllCollegeNCES,0)))/2,0.15),2),INDEX(AllCollegeGR, MATCH(N186,AllCollegeNCES,0)))</f>
        <v>0</v>
      </c>
      <c r="AB186">
        <f>IF(ISNUMBER(INDEX(AllCollegeAAHGR, MATCH(N186,AllCollegeNCES,0))),ROUND(INDEX(AllCollegeAAHGR, MATCH(N186,AllCollegeNCES,0))+Z186*IF(INDEX(AllCollegeAAHGR, MATCH(N186,AllCollegeNCES,0))&gt;0.7,(1-INDEX(AllCollegeAAHGR, MATCH(N186,AllCollegeNCES,0)))/2,0.15),2),INDEX(AllCollegeAAHGR, MATCH(N186,AllCollegeNCES,0)))</f>
        <v>0</v>
      </c>
      <c r="AC186">
        <f>IF(OR(W186="H",W186="B"),INDEX(AllCollegeSAT25, MATCH(N186,AllCollegeNCES,0)),INDEX(AllCollegeSAT50, MATCH(N186,AllCollegeNCES,0)))</f>
        <v>0</v>
      </c>
      <c r="AD186">
        <f>INDEX(CustomWeightsGPA,MATCH(W186&amp;":"&amp;N186,CustomWeightsIndex,0))</f>
        <v>0</v>
      </c>
      <c r="AE186">
        <f>INDEX(CustomWeightsSAT,MATCH(W186&amp;":"&amp;N186,CustomWeightsIndex,0))</f>
        <v>0</v>
      </c>
      <c r="AF186">
        <f>INDEX(CustomWeightsIntercept,MATCH(W186&amp;":"&amp;N186,CustomWeightsIndex,0))</f>
        <v>0</v>
      </c>
      <c r="AG186">
        <f>AD186*S186+AE186*T186+AF186</f>
        <v>0</v>
      </c>
      <c r="AH186">
        <f>INDEX(CoefficientsGPA,MATCH(W186&amp;":"&amp;R186,CoefficientsIndex,0))</f>
        <v>0</v>
      </c>
      <c r="AI186">
        <f>INDEX(CoefficientsSAT,MATCH(W186&amp;":"&amp;R186,CoefficientsIndex,0))</f>
        <v>0</v>
      </c>
      <c r="AJ186">
        <f>INDEX(CoefficientsIntercept,MATCH(W186&amp;":"&amp;R186,CoefficientsIndex,0))</f>
        <v>0</v>
      </c>
      <c r="AK186">
        <f>AH186*S186+(T186-AC186)*AI186+AJ186</f>
        <v>0</v>
      </c>
      <c r="AL186">
        <f>IF(ISNUMBER(AG186),AG186,AK186)</f>
        <v>0</v>
      </c>
      <c r="AM186">
        <f>IF(ISNUMBER(AL186),IF(ISNUMBER(AH186),IF(AND(AH186=1,AI186=1,AJ186=1),100,MIN(99,ROUND(100*EXP(AL186)/(1+EXP(AL186)),2))),MIN(99,ROUND(100*EXP(AL186)/(1+EXP(AL186)),2))),IF(ISTEXT(R186),IF(LEFT(R186,1)="2",100,"N/A"),"N/A"))</f>
        <v>0</v>
      </c>
      <c r="AN186">
        <f>IF(ISNUMBER(AM186),IF(AM186&gt;=99,IF(OR(U186=10,U186=11),MatchLabel,SureThingLabel),IF(AM186&gt;=95,SecureLabel,IF(AM186&gt;=80,SafetyLabel,IF(AM186&gt;=50,MatchLabel,IF(AM186&gt;=20,ReachLabel,IF(AM186&gt;=10,LongshotLabel,HailMaryLabel)))))),"Other")</f>
        <v>0</v>
      </c>
      <c r="AO186">
        <f>IF(OR(I186="accepted",I186="cond. accept",I186="summer admit"),IF(J186="yes","CHOICE!","Accepted!"),IF(I186="guar. transfer","Guar. Xfer",IF(I186="denied","Denied",IF(K186=1,"Waitlist",IF(L186=1,"Deferred",IF(G186="pending","Pending",IF(OR(G186="initial materials submitted",G186="mid-year submitted",G186="final submitted"),"Submitted",IF(H186="interest","Interest","?"))))))))</f>
        <v>0</v>
      </c>
      <c r="AP186">
        <f>IF(OR(AN186=ReachLabel,AN186=LongshotLabel,AN186=HailMaryLabel),1,0)</f>
        <v>0</v>
      </c>
      <c r="AQ186">
        <f>IF(OR(AP186=1,AN186=MatchLabel),1,0)</f>
        <v>0</v>
      </c>
      <c r="AR186">
        <f>IF(OR(AN186=MatchLabel,AN186=SafetyLabel,AN186=SecureLabel,AN186=SureThingLabel),1,0)</f>
        <v>0</v>
      </c>
      <c r="AS186">
        <f>IF(OR(W186="H",W186="B",W186="I",W186="M"),IF(ISNUMBER(AB186),ROUND(AB186,2),0),IF(ISNUMBER(AA186),ROUND(AA186,2),0))</f>
        <v>0</v>
      </c>
      <c r="AT186">
        <f>IF(AS186&gt;=X186,1,0)</f>
        <v>0</v>
      </c>
      <c r="AU186">
        <f>IF(AS186&gt;=Y186,1,0)</f>
        <v>0</v>
      </c>
      <c r="AV186">
        <f>IF(AS186&lt;(X186-0.10),1,0)</f>
        <v>0</v>
      </c>
      <c r="AW186">
        <f>1-AM186/100</f>
        <v>0</v>
      </c>
      <c r="AX186">
        <f>IF(AQ186=1,AW186,1)</f>
        <v>0</v>
      </c>
      <c r="AY186">
        <f>IF(AP186=1,AW186,1)</f>
        <v>0</v>
      </c>
      <c r="AZ186">
        <f>IF(AND(AT186=1,ISNUMBER(AW186)),$AW186,1)</f>
        <v>0</v>
      </c>
      <c r="BA186">
        <f>IF(AND(AU186=1,ISNUMBER(AW186)),$AW186,1)</f>
        <v>0</v>
      </c>
      <c r="BB186">
        <f>IF(ISNUMBER(AB186),INDEX(AllCollegeMoney, MATCH(N186,AllCollegeNCES,0)),0)</f>
        <v>0</v>
      </c>
      <c r="BC186">
        <f>IF(AND(AT186=1,ISNUMBER(AW186),BB186=1),$AW186,1)</f>
        <v>0</v>
      </c>
      <c r="BD186">
        <f>IF(AND(AU186=1,ISNUMBER(AW186),BB186=1),$AW186,1)</f>
        <v>0</v>
      </c>
      <c r="BE186">
        <f>IF(ISNUMBER(AB186),INDEX(AllCollegeILPub, MATCH(N186,AllCollegeNCES,0)),0)</f>
        <v>0</v>
      </c>
      <c r="BF186">
        <f>IF(AN186=ReachLabel,AS186,0)</f>
        <v>0</v>
      </c>
      <c r="BG186">
        <f>IF(AN186=MatchLabel,AS186,0)</f>
        <v>0</v>
      </c>
      <c r="BH186">
        <f>IF(AN186=SafetyLabel,AS186,0)</f>
        <v>0</v>
      </c>
      <c r="BI186">
        <f>IF(AN186=SecureLabel,AS186,0)</f>
        <v>0</v>
      </c>
      <c r="BJ186">
        <f>IF(AN186=SureThingLabel,AS186,0)</f>
        <v>0</v>
      </c>
      <c r="BK186">
        <f>MAX(BF186:BJ186)</f>
        <v>0</v>
      </c>
      <c r="BL186">
        <f>MAX(BG186:BJ186)</f>
        <v>0</v>
      </c>
      <c r="BM186">
        <f>MAX(BH186:BJ186)</f>
        <v>0</v>
      </c>
      <c r="BN186">
        <f>IF(AND(AN186=ReachLabel,BB186=1),AS186,0)</f>
        <v>0</v>
      </c>
      <c r="BO186">
        <f>IF(AND(AN186=MatchLabel,BB186=1),AS186,0)</f>
        <v>0</v>
      </c>
      <c r="BP186">
        <f>IF(AND(AN186=SafetyLabel,BB186=1),AS186,0)</f>
        <v>0</v>
      </c>
      <c r="BQ186">
        <f>IF(AND(AN186=SecureLabel,BB186=1),AS186,0)</f>
        <v>0</v>
      </c>
      <c r="BR186">
        <f>IF(AND(AN186=SureThingLabel,BB186=1),AS186,0)</f>
        <v>0</v>
      </c>
      <c r="BS186">
        <f>MAX(BN186:BR186)</f>
        <v>0</v>
      </c>
      <c r="BT186">
        <f>MAX(BO186:BR186)</f>
        <v>0</v>
      </c>
      <c r="BU186">
        <f>MAX(BP186:BR186)</f>
        <v>0</v>
      </c>
      <c r="BV186">
        <f>IF(ISNUMBER(AB186),INDEX(AllCollegeChicago, MATCH(N186,AllCollegeNCES,0))*BB186,0)</f>
        <v>0</v>
      </c>
      <c r="BW186">
        <f>IF(ISNUMBER(AB186),INDEX(AllCollegeMoneyCode, MATCH(N186,AllCollegeNCES,0)),"?")</f>
        <v>0</v>
      </c>
      <c r="BX186">
        <f>IF(OR(BW186="---",BW186="--",BW186="+/--",BW186="+/---"),1,0)</f>
        <v>0</v>
      </c>
      <c r="BY186">
        <f>BB186*AR186*AT186</f>
        <v>0</v>
      </c>
    </row>
    <row r="187" spans="1:77">
      <c r="A187" t="s">
        <v>96</v>
      </c>
      <c r="B187">
        <v>22939229</v>
      </c>
      <c r="C187" t="s">
        <v>336</v>
      </c>
      <c r="D187" t="s">
        <v>337</v>
      </c>
      <c r="E187" t="s">
        <v>446</v>
      </c>
      <c r="F187" t="s">
        <v>470</v>
      </c>
      <c r="G187" t="s">
        <v>448</v>
      </c>
      <c r="H187" t="s">
        <v>449</v>
      </c>
      <c r="I187" t="s">
        <v>450</v>
      </c>
      <c r="J187" t="s">
        <v>450</v>
      </c>
      <c r="K187">
        <v>0</v>
      </c>
      <c r="L187" t="s">
        <v>446</v>
      </c>
      <c r="M187" t="s">
        <v>446</v>
      </c>
      <c r="N187">
        <v>240444</v>
      </c>
      <c r="O187">
        <f>INDEX(Counselor,MATCH(B187,KidIDs,0))</f>
        <v>0</v>
      </c>
      <c r="P187">
        <f>INDEX(Advisors,MATCH(B187,KidIDs,0))</f>
        <v>0</v>
      </c>
      <c r="Q187">
        <f>INDEX(Cohort,MATCH(B187,KidIDs,0))</f>
        <v>0</v>
      </c>
      <c r="R187">
        <f>INDEX(AllCollegeBarrons,MATCH(N187,AllCollegeNCES,0))</f>
        <v>0</v>
      </c>
      <c r="S187">
        <f>INDEX(KidGPAs,MATCH(B187,KidIDs,0))</f>
        <v>0</v>
      </c>
      <c r="T187">
        <f>INDEX(KidSATs,MATCH(B187,KidIDs,0))</f>
        <v>0</v>
      </c>
      <c r="U187">
        <f>INDEX(Strats,MATCH(B187,KidIDs,0))</f>
        <v>0</v>
      </c>
      <c r="V187">
        <f>INDEX(KidRace,MATCH(B187,KidIDs,0))</f>
        <v>0</v>
      </c>
      <c r="W187">
        <f>IF(OR(V187="M",V187="I"),"H",IF(V187="P","A",V187))</f>
        <v>0</v>
      </c>
      <c r="X187">
        <f>INDEX(StudentTargets,MATCH(B187,KidIDs,0))</f>
        <v>0</v>
      </c>
      <c r="Y187">
        <f>INDEX(ReachStudentTargets,MATCH(B187,KidIDs,0))</f>
        <v>0</v>
      </c>
      <c r="Z187">
        <f>IF(OR(M187="Posse"),1,0)</f>
        <v>0</v>
      </c>
      <c r="AA187">
        <f>IF(ISNUMBER(INDEX(AllCollegeGR, MATCH(N187,AllCollegeNCES,0))),ROUND(INDEX(AllCollegeGR, MATCH(N187,AllCollegeNCES,0))+Z187*IF(INDEX(AllCollegeGR, MATCH(N187,AllCollegeNCES,0))&gt;0.7,(1-INDEX(AllCollegeGR, MATCH(N187,AllCollegeNCES,0)))/2,0.15),2),INDEX(AllCollegeGR, MATCH(N187,AllCollegeNCES,0)))</f>
        <v>0</v>
      </c>
      <c r="AB187">
        <f>IF(ISNUMBER(INDEX(AllCollegeAAHGR, MATCH(N187,AllCollegeNCES,0))),ROUND(INDEX(AllCollegeAAHGR, MATCH(N187,AllCollegeNCES,0))+Z187*IF(INDEX(AllCollegeAAHGR, MATCH(N187,AllCollegeNCES,0))&gt;0.7,(1-INDEX(AllCollegeAAHGR, MATCH(N187,AllCollegeNCES,0)))/2,0.15),2),INDEX(AllCollegeAAHGR, MATCH(N187,AllCollegeNCES,0)))</f>
        <v>0</v>
      </c>
      <c r="AC187">
        <f>IF(OR(W187="H",W187="B"),INDEX(AllCollegeSAT25, MATCH(N187,AllCollegeNCES,0)),INDEX(AllCollegeSAT50, MATCH(N187,AllCollegeNCES,0)))</f>
        <v>0</v>
      </c>
      <c r="AD187">
        <f>INDEX(CustomWeightsGPA,MATCH(W187&amp;":"&amp;N187,CustomWeightsIndex,0))</f>
        <v>0</v>
      </c>
      <c r="AE187">
        <f>INDEX(CustomWeightsSAT,MATCH(W187&amp;":"&amp;N187,CustomWeightsIndex,0))</f>
        <v>0</v>
      </c>
      <c r="AF187">
        <f>INDEX(CustomWeightsIntercept,MATCH(W187&amp;":"&amp;N187,CustomWeightsIndex,0))</f>
        <v>0</v>
      </c>
      <c r="AG187">
        <f>AD187*S187+AE187*T187+AF187</f>
        <v>0</v>
      </c>
      <c r="AH187">
        <f>INDEX(CoefficientsGPA,MATCH(W187&amp;":"&amp;R187,CoefficientsIndex,0))</f>
        <v>0</v>
      </c>
      <c r="AI187">
        <f>INDEX(CoefficientsSAT,MATCH(W187&amp;":"&amp;R187,CoefficientsIndex,0))</f>
        <v>0</v>
      </c>
      <c r="AJ187">
        <f>INDEX(CoefficientsIntercept,MATCH(W187&amp;":"&amp;R187,CoefficientsIndex,0))</f>
        <v>0</v>
      </c>
      <c r="AK187">
        <f>AH187*S187+(T187-AC187)*AI187+AJ187</f>
        <v>0</v>
      </c>
      <c r="AL187">
        <f>IF(ISNUMBER(AG187),AG187,AK187)</f>
        <v>0</v>
      </c>
      <c r="AM187">
        <f>IF(ISNUMBER(AL187),IF(ISNUMBER(AH187),IF(AND(AH187=1,AI187=1,AJ187=1),100,MIN(99,ROUND(100*EXP(AL187)/(1+EXP(AL187)),2))),MIN(99,ROUND(100*EXP(AL187)/(1+EXP(AL187)),2))),IF(ISTEXT(R187),IF(LEFT(R187,1)="2",100,"N/A"),"N/A"))</f>
        <v>0</v>
      </c>
      <c r="AN187">
        <f>IF(ISNUMBER(AM187),IF(AM187&gt;=99,IF(OR(U187=10,U187=11),MatchLabel,SureThingLabel),IF(AM187&gt;=95,SecureLabel,IF(AM187&gt;=80,SafetyLabel,IF(AM187&gt;=50,MatchLabel,IF(AM187&gt;=20,ReachLabel,IF(AM187&gt;=10,LongshotLabel,HailMaryLabel)))))),"Other")</f>
        <v>0</v>
      </c>
      <c r="AO187">
        <f>IF(OR(I187="accepted",I187="cond. accept",I187="summer admit"),IF(J187="yes","CHOICE!","Accepted!"),IF(I187="guar. transfer","Guar. Xfer",IF(I187="denied","Denied",IF(K187=1,"Waitlist",IF(L187=1,"Deferred",IF(G187="pending","Pending",IF(OR(G187="initial materials submitted",G187="mid-year submitted",G187="final submitted"),"Submitted",IF(H187="interest","Interest","?"))))))))</f>
        <v>0</v>
      </c>
      <c r="AP187">
        <f>IF(OR(AN187=ReachLabel,AN187=LongshotLabel,AN187=HailMaryLabel),1,0)</f>
        <v>0</v>
      </c>
      <c r="AQ187">
        <f>IF(OR(AP187=1,AN187=MatchLabel),1,0)</f>
        <v>0</v>
      </c>
      <c r="AR187">
        <f>IF(OR(AN187=MatchLabel,AN187=SafetyLabel,AN187=SecureLabel,AN187=SureThingLabel),1,0)</f>
        <v>0</v>
      </c>
      <c r="AS187">
        <f>IF(OR(W187="H",W187="B",W187="I",W187="M"),IF(ISNUMBER(AB187),ROUND(AB187,2),0),IF(ISNUMBER(AA187),ROUND(AA187,2),0))</f>
        <v>0</v>
      </c>
      <c r="AT187">
        <f>IF(AS187&gt;=X187,1,0)</f>
        <v>0</v>
      </c>
      <c r="AU187">
        <f>IF(AS187&gt;=Y187,1,0)</f>
        <v>0</v>
      </c>
      <c r="AV187">
        <f>IF(AS187&lt;(X187-0.10),1,0)</f>
        <v>0</v>
      </c>
      <c r="AW187">
        <f>1-AM187/100</f>
        <v>0</v>
      </c>
      <c r="AX187">
        <f>IF(AQ187=1,AW187,1)</f>
        <v>0</v>
      </c>
      <c r="AY187">
        <f>IF(AP187=1,AW187,1)</f>
        <v>0</v>
      </c>
      <c r="AZ187">
        <f>IF(AND(AT187=1,ISNUMBER(AW187)),$AW187,1)</f>
        <v>0</v>
      </c>
      <c r="BA187">
        <f>IF(AND(AU187=1,ISNUMBER(AW187)),$AW187,1)</f>
        <v>0</v>
      </c>
      <c r="BB187">
        <f>IF(ISNUMBER(AB187),INDEX(AllCollegeMoney, MATCH(N187,AllCollegeNCES,0)),0)</f>
        <v>0</v>
      </c>
      <c r="BC187">
        <f>IF(AND(AT187=1,ISNUMBER(AW187),BB187=1),$AW187,1)</f>
        <v>0</v>
      </c>
      <c r="BD187">
        <f>IF(AND(AU187=1,ISNUMBER(AW187),BB187=1),$AW187,1)</f>
        <v>0</v>
      </c>
      <c r="BE187">
        <f>IF(ISNUMBER(AB187),INDEX(AllCollegeILPub, MATCH(N187,AllCollegeNCES,0)),0)</f>
        <v>0</v>
      </c>
      <c r="BF187">
        <f>IF(AN187=ReachLabel,AS187,0)</f>
        <v>0</v>
      </c>
      <c r="BG187">
        <f>IF(AN187=MatchLabel,AS187,0)</f>
        <v>0</v>
      </c>
      <c r="BH187">
        <f>IF(AN187=SafetyLabel,AS187,0)</f>
        <v>0</v>
      </c>
      <c r="BI187">
        <f>IF(AN187=SecureLabel,AS187,0)</f>
        <v>0</v>
      </c>
      <c r="BJ187">
        <f>IF(AN187=SureThingLabel,AS187,0)</f>
        <v>0</v>
      </c>
      <c r="BK187">
        <f>MAX(BF187:BJ187)</f>
        <v>0</v>
      </c>
      <c r="BL187">
        <f>MAX(BG187:BJ187)</f>
        <v>0</v>
      </c>
      <c r="BM187">
        <f>MAX(BH187:BJ187)</f>
        <v>0</v>
      </c>
      <c r="BN187">
        <f>IF(AND(AN187=ReachLabel,BB187=1),AS187,0)</f>
        <v>0</v>
      </c>
      <c r="BO187">
        <f>IF(AND(AN187=MatchLabel,BB187=1),AS187,0)</f>
        <v>0</v>
      </c>
      <c r="BP187">
        <f>IF(AND(AN187=SafetyLabel,BB187=1),AS187,0)</f>
        <v>0</v>
      </c>
      <c r="BQ187">
        <f>IF(AND(AN187=SecureLabel,BB187=1),AS187,0)</f>
        <v>0</v>
      </c>
      <c r="BR187">
        <f>IF(AND(AN187=SureThingLabel,BB187=1),AS187,0)</f>
        <v>0</v>
      </c>
      <c r="BS187">
        <f>MAX(BN187:BR187)</f>
        <v>0</v>
      </c>
      <c r="BT187">
        <f>MAX(BO187:BR187)</f>
        <v>0</v>
      </c>
      <c r="BU187">
        <f>MAX(BP187:BR187)</f>
        <v>0</v>
      </c>
      <c r="BV187">
        <f>IF(ISNUMBER(AB187),INDEX(AllCollegeChicago, MATCH(N187,AllCollegeNCES,0))*BB187,0)</f>
        <v>0</v>
      </c>
      <c r="BW187">
        <f>IF(ISNUMBER(AB187),INDEX(AllCollegeMoneyCode, MATCH(N187,AllCollegeNCES,0)),"?")</f>
        <v>0</v>
      </c>
      <c r="BX187">
        <f>IF(OR(BW187="---",BW187="--",BW187="+/--",BW187="+/---"),1,0)</f>
        <v>0</v>
      </c>
      <c r="BY187">
        <f>BB187*AR187*AT187</f>
        <v>0</v>
      </c>
    </row>
    <row r="188" spans="1:77">
      <c r="A188" t="s">
        <v>96</v>
      </c>
      <c r="B188">
        <v>22939229</v>
      </c>
      <c r="C188" t="s">
        <v>336</v>
      </c>
      <c r="D188" t="s">
        <v>337</v>
      </c>
      <c r="E188" t="s">
        <v>446</v>
      </c>
      <c r="F188" t="s">
        <v>486</v>
      </c>
      <c r="G188" t="s">
        <v>448</v>
      </c>
      <c r="H188" t="s">
        <v>449</v>
      </c>
      <c r="I188" t="s">
        <v>450</v>
      </c>
      <c r="J188" t="s">
        <v>450</v>
      </c>
      <c r="K188">
        <v>0</v>
      </c>
      <c r="L188" t="s">
        <v>446</v>
      </c>
      <c r="M188" t="s">
        <v>446</v>
      </c>
      <c r="N188">
        <v>206589</v>
      </c>
      <c r="O188">
        <f>INDEX(Counselor,MATCH(B188,KidIDs,0))</f>
        <v>0</v>
      </c>
      <c r="P188">
        <f>INDEX(Advisors,MATCH(B188,KidIDs,0))</f>
        <v>0</v>
      </c>
      <c r="Q188">
        <f>INDEX(Cohort,MATCH(B188,KidIDs,0))</f>
        <v>0</v>
      </c>
      <c r="R188">
        <f>INDEX(AllCollegeBarrons,MATCH(N188,AllCollegeNCES,0))</f>
        <v>0</v>
      </c>
      <c r="S188">
        <f>INDEX(KidGPAs,MATCH(B188,KidIDs,0))</f>
        <v>0</v>
      </c>
      <c r="T188">
        <f>INDEX(KidSATs,MATCH(B188,KidIDs,0))</f>
        <v>0</v>
      </c>
      <c r="U188">
        <f>INDEX(Strats,MATCH(B188,KidIDs,0))</f>
        <v>0</v>
      </c>
      <c r="V188">
        <f>INDEX(KidRace,MATCH(B188,KidIDs,0))</f>
        <v>0</v>
      </c>
      <c r="W188">
        <f>IF(OR(V188="M",V188="I"),"H",IF(V188="P","A",V188))</f>
        <v>0</v>
      </c>
      <c r="X188">
        <f>INDEX(StudentTargets,MATCH(B188,KidIDs,0))</f>
        <v>0</v>
      </c>
      <c r="Y188">
        <f>INDEX(ReachStudentTargets,MATCH(B188,KidIDs,0))</f>
        <v>0</v>
      </c>
      <c r="Z188">
        <f>IF(OR(M188="Posse"),1,0)</f>
        <v>0</v>
      </c>
      <c r="AA188">
        <f>IF(ISNUMBER(INDEX(AllCollegeGR, MATCH(N188,AllCollegeNCES,0))),ROUND(INDEX(AllCollegeGR, MATCH(N188,AllCollegeNCES,0))+Z188*IF(INDEX(AllCollegeGR, MATCH(N188,AllCollegeNCES,0))&gt;0.7,(1-INDEX(AllCollegeGR, MATCH(N188,AllCollegeNCES,0)))/2,0.15),2),INDEX(AllCollegeGR, MATCH(N188,AllCollegeNCES,0)))</f>
        <v>0</v>
      </c>
      <c r="AB188">
        <f>IF(ISNUMBER(INDEX(AllCollegeAAHGR, MATCH(N188,AllCollegeNCES,0))),ROUND(INDEX(AllCollegeAAHGR, MATCH(N188,AllCollegeNCES,0))+Z188*IF(INDEX(AllCollegeAAHGR, MATCH(N188,AllCollegeNCES,0))&gt;0.7,(1-INDEX(AllCollegeAAHGR, MATCH(N188,AllCollegeNCES,0)))/2,0.15),2),INDEX(AllCollegeAAHGR, MATCH(N188,AllCollegeNCES,0)))</f>
        <v>0</v>
      </c>
      <c r="AC188">
        <f>IF(OR(W188="H",W188="B"),INDEX(AllCollegeSAT25, MATCH(N188,AllCollegeNCES,0)),INDEX(AllCollegeSAT50, MATCH(N188,AllCollegeNCES,0)))</f>
        <v>0</v>
      </c>
      <c r="AD188">
        <f>INDEX(CustomWeightsGPA,MATCH(W188&amp;":"&amp;N188,CustomWeightsIndex,0))</f>
        <v>0</v>
      </c>
      <c r="AE188">
        <f>INDEX(CustomWeightsSAT,MATCH(W188&amp;":"&amp;N188,CustomWeightsIndex,0))</f>
        <v>0</v>
      </c>
      <c r="AF188">
        <f>INDEX(CustomWeightsIntercept,MATCH(W188&amp;":"&amp;N188,CustomWeightsIndex,0))</f>
        <v>0</v>
      </c>
      <c r="AG188">
        <f>AD188*S188+AE188*T188+AF188</f>
        <v>0</v>
      </c>
      <c r="AH188">
        <f>INDEX(CoefficientsGPA,MATCH(W188&amp;":"&amp;R188,CoefficientsIndex,0))</f>
        <v>0</v>
      </c>
      <c r="AI188">
        <f>INDEX(CoefficientsSAT,MATCH(W188&amp;":"&amp;R188,CoefficientsIndex,0))</f>
        <v>0</v>
      </c>
      <c r="AJ188">
        <f>INDEX(CoefficientsIntercept,MATCH(W188&amp;":"&amp;R188,CoefficientsIndex,0))</f>
        <v>0</v>
      </c>
      <c r="AK188">
        <f>AH188*S188+(T188-AC188)*AI188+AJ188</f>
        <v>0</v>
      </c>
      <c r="AL188">
        <f>IF(ISNUMBER(AG188),AG188,AK188)</f>
        <v>0</v>
      </c>
      <c r="AM188">
        <f>IF(ISNUMBER(AL188),IF(ISNUMBER(AH188),IF(AND(AH188=1,AI188=1,AJ188=1),100,MIN(99,ROUND(100*EXP(AL188)/(1+EXP(AL188)),2))),MIN(99,ROUND(100*EXP(AL188)/(1+EXP(AL188)),2))),IF(ISTEXT(R188),IF(LEFT(R188,1)="2",100,"N/A"),"N/A"))</f>
        <v>0</v>
      </c>
      <c r="AN188">
        <f>IF(ISNUMBER(AM188),IF(AM188&gt;=99,IF(OR(U188=10,U188=11),MatchLabel,SureThingLabel),IF(AM188&gt;=95,SecureLabel,IF(AM188&gt;=80,SafetyLabel,IF(AM188&gt;=50,MatchLabel,IF(AM188&gt;=20,ReachLabel,IF(AM188&gt;=10,LongshotLabel,HailMaryLabel)))))),"Other")</f>
        <v>0</v>
      </c>
      <c r="AO188">
        <f>IF(OR(I188="accepted",I188="cond. accept",I188="summer admit"),IF(J188="yes","CHOICE!","Accepted!"),IF(I188="guar. transfer","Guar. Xfer",IF(I188="denied","Denied",IF(K188=1,"Waitlist",IF(L188=1,"Deferred",IF(G188="pending","Pending",IF(OR(G188="initial materials submitted",G188="mid-year submitted",G188="final submitted"),"Submitted",IF(H188="interest","Interest","?"))))))))</f>
        <v>0</v>
      </c>
      <c r="AP188">
        <f>IF(OR(AN188=ReachLabel,AN188=LongshotLabel,AN188=HailMaryLabel),1,0)</f>
        <v>0</v>
      </c>
      <c r="AQ188">
        <f>IF(OR(AP188=1,AN188=MatchLabel),1,0)</f>
        <v>0</v>
      </c>
      <c r="AR188">
        <f>IF(OR(AN188=MatchLabel,AN188=SafetyLabel,AN188=SecureLabel,AN188=SureThingLabel),1,0)</f>
        <v>0</v>
      </c>
      <c r="AS188">
        <f>IF(OR(W188="H",W188="B",W188="I",W188="M"),IF(ISNUMBER(AB188),ROUND(AB188,2),0),IF(ISNUMBER(AA188),ROUND(AA188,2),0))</f>
        <v>0</v>
      </c>
      <c r="AT188">
        <f>IF(AS188&gt;=X188,1,0)</f>
        <v>0</v>
      </c>
      <c r="AU188">
        <f>IF(AS188&gt;=Y188,1,0)</f>
        <v>0</v>
      </c>
      <c r="AV188">
        <f>IF(AS188&lt;(X188-0.10),1,0)</f>
        <v>0</v>
      </c>
      <c r="AW188">
        <f>1-AM188/100</f>
        <v>0</v>
      </c>
      <c r="AX188">
        <f>IF(AQ188=1,AW188,1)</f>
        <v>0</v>
      </c>
      <c r="AY188">
        <f>IF(AP188=1,AW188,1)</f>
        <v>0</v>
      </c>
      <c r="AZ188">
        <f>IF(AND(AT188=1,ISNUMBER(AW188)),$AW188,1)</f>
        <v>0</v>
      </c>
      <c r="BA188">
        <f>IF(AND(AU188=1,ISNUMBER(AW188)),$AW188,1)</f>
        <v>0</v>
      </c>
      <c r="BB188">
        <f>IF(ISNUMBER(AB188),INDEX(AllCollegeMoney, MATCH(N188,AllCollegeNCES,0)),0)</f>
        <v>0</v>
      </c>
      <c r="BC188">
        <f>IF(AND(AT188=1,ISNUMBER(AW188),BB188=1),$AW188,1)</f>
        <v>0</v>
      </c>
      <c r="BD188">
        <f>IF(AND(AU188=1,ISNUMBER(AW188),BB188=1),$AW188,1)</f>
        <v>0</v>
      </c>
      <c r="BE188">
        <f>IF(ISNUMBER(AB188),INDEX(AllCollegeILPub, MATCH(N188,AllCollegeNCES,0)),0)</f>
        <v>0</v>
      </c>
      <c r="BF188">
        <f>IF(AN188=ReachLabel,AS188,0)</f>
        <v>0</v>
      </c>
      <c r="BG188">
        <f>IF(AN188=MatchLabel,AS188,0)</f>
        <v>0</v>
      </c>
      <c r="BH188">
        <f>IF(AN188=SafetyLabel,AS188,0)</f>
        <v>0</v>
      </c>
      <c r="BI188">
        <f>IF(AN188=SecureLabel,AS188,0)</f>
        <v>0</v>
      </c>
      <c r="BJ188">
        <f>IF(AN188=SureThingLabel,AS188,0)</f>
        <v>0</v>
      </c>
      <c r="BK188">
        <f>MAX(BF188:BJ188)</f>
        <v>0</v>
      </c>
      <c r="BL188">
        <f>MAX(BG188:BJ188)</f>
        <v>0</v>
      </c>
      <c r="BM188">
        <f>MAX(BH188:BJ188)</f>
        <v>0</v>
      </c>
      <c r="BN188">
        <f>IF(AND(AN188=ReachLabel,BB188=1),AS188,0)</f>
        <v>0</v>
      </c>
      <c r="BO188">
        <f>IF(AND(AN188=MatchLabel,BB188=1),AS188,0)</f>
        <v>0</v>
      </c>
      <c r="BP188">
        <f>IF(AND(AN188=SafetyLabel,BB188=1),AS188,0)</f>
        <v>0</v>
      </c>
      <c r="BQ188">
        <f>IF(AND(AN188=SecureLabel,BB188=1),AS188,0)</f>
        <v>0</v>
      </c>
      <c r="BR188">
        <f>IF(AND(AN188=SureThingLabel,BB188=1),AS188,0)</f>
        <v>0</v>
      </c>
      <c r="BS188">
        <f>MAX(BN188:BR188)</f>
        <v>0</v>
      </c>
      <c r="BT188">
        <f>MAX(BO188:BR188)</f>
        <v>0</v>
      </c>
      <c r="BU188">
        <f>MAX(BP188:BR188)</f>
        <v>0</v>
      </c>
      <c r="BV188">
        <f>IF(ISNUMBER(AB188),INDEX(AllCollegeChicago, MATCH(N188,AllCollegeNCES,0))*BB188,0)</f>
        <v>0</v>
      </c>
      <c r="BW188">
        <f>IF(ISNUMBER(AB188),INDEX(AllCollegeMoneyCode, MATCH(N188,AllCollegeNCES,0)),"?")</f>
        <v>0</v>
      </c>
      <c r="BX188">
        <f>IF(OR(BW188="---",BW188="--",BW188="+/--",BW188="+/---"),1,0)</f>
        <v>0</v>
      </c>
      <c r="BY188">
        <f>BB188*AR188*AT188</f>
        <v>0</v>
      </c>
    </row>
    <row r="189" spans="1:77">
      <c r="A189" t="s">
        <v>96</v>
      </c>
      <c r="B189">
        <v>22939229</v>
      </c>
      <c r="C189" t="s">
        <v>336</v>
      </c>
      <c r="D189" t="s">
        <v>337</v>
      </c>
      <c r="E189" t="s">
        <v>446</v>
      </c>
      <c r="F189" t="s">
        <v>473</v>
      </c>
      <c r="G189" t="s">
        <v>448</v>
      </c>
      <c r="H189" t="s">
        <v>449</v>
      </c>
      <c r="I189" t="s">
        <v>450</v>
      </c>
      <c r="J189" t="s">
        <v>450</v>
      </c>
      <c r="K189">
        <v>0</v>
      </c>
      <c r="L189" t="s">
        <v>446</v>
      </c>
      <c r="M189" t="s">
        <v>446</v>
      </c>
      <c r="N189">
        <v>221519</v>
      </c>
      <c r="O189">
        <f>INDEX(Counselor,MATCH(B189,KidIDs,0))</f>
        <v>0</v>
      </c>
      <c r="P189">
        <f>INDEX(Advisors,MATCH(B189,KidIDs,0))</f>
        <v>0</v>
      </c>
      <c r="Q189">
        <f>INDEX(Cohort,MATCH(B189,KidIDs,0))</f>
        <v>0</v>
      </c>
      <c r="R189">
        <f>INDEX(AllCollegeBarrons,MATCH(N189,AllCollegeNCES,0))</f>
        <v>0</v>
      </c>
      <c r="S189">
        <f>INDEX(KidGPAs,MATCH(B189,KidIDs,0))</f>
        <v>0</v>
      </c>
      <c r="T189">
        <f>INDEX(KidSATs,MATCH(B189,KidIDs,0))</f>
        <v>0</v>
      </c>
      <c r="U189">
        <f>INDEX(Strats,MATCH(B189,KidIDs,0))</f>
        <v>0</v>
      </c>
      <c r="V189">
        <f>INDEX(KidRace,MATCH(B189,KidIDs,0))</f>
        <v>0</v>
      </c>
      <c r="W189">
        <f>IF(OR(V189="M",V189="I"),"H",IF(V189="P","A",V189))</f>
        <v>0</v>
      </c>
      <c r="X189">
        <f>INDEX(StudentTargets,MATCH(B189,KidIDs,0))</f>
        <v>0</v>
      </c>
      <c r="Y189">
        <f>INDEX(ReachStudentTargets,MATCH(B189,KidIDs,0))</f>
        <v>0</v>
      </c>
      <c r="Z189">
        <f>IF(OR(M189="Posse"),1,0)</f>
        <v>0</v>
      </c>
      <c r="AA189">
        <f>IF(ISNUMBER(INDEX(AllCollegeGR, MATCH(N189,AllCollegeNCES,0))),ROUND(INDEX(AllCollegeGR, MATCH(N189,AllCollegeNCES,0))+Z189*IF(INDEX(AllCollegeGR, MATCH(N189,AllCollegeNCES,0))&gt;0.7,(1-INDEX(AllCollegeGR, MATCH(N189,AllCollegeNCES,0)))/2,0.15),2),INDEX(AllCollegeGR, MATCH(N189,AllCollegeNCES,0)))</f>
        <v>0</v>
      </c>
      <c r="AB189">
        <f>IF(ISNUMBER(INDEX(AllCollegeAAHGR, MATCH(N189,AllCollegeNCES,0))),ROUND(INDEX(AllCollegeAAHGR, MATCH(N189,AllCollegeNCES,0))+Z189*IF(INDEX(AllCollegeAAHGR, MATCH(N189,AllCollegeNCES,0))&gt;0.7,(1-INDEX(AllCollegeAAHGR, MATCH(N189,AllCollegeNCES,0)))/2,0.15),2),INDEX(AllCollegeAAHGR, MATCH(N189,AllCollegeNCES,0)))</f>
        <v>0</v>
      </c>
      <c r="AC189">
        <f>IF(OR(W189="H",W189="B"),INDEX(AllCollegeSAT25, MATCH(N189,AllCollegeNCES,0)),INDEX(AllCollegeSAT50, MATCH(N189,AllCollegeNCES,0)))</f>
        <v>0</v>
      </c>
      <c r="AD189">
        <f>INDEX(CustomWeightsGPA,MATCH(W189&amp;":"&amp;N189,CustomWeightsIndex,0))</f>
        <v>0</v>
      </c>
      <c r="AE189">
        <f>INDEX(CustomWeightsSAT,MATCH(W189&amp;":"&amp;N189,CustomWeightsIndex,0))</f>
        <v>0</v>
      </c>
      <c r="AF189">
        <f>INDEX(CustomWeightsIntercept,MATCH(W189&amp;":"&amp;N189,CustomWeightsIndex,0))</f>
        <v>0</v>
      </c>
      <c r="AG189">
        <f>AD189*S189+AE189*T189+AF189</f>
        <v>0</v>
      </c>
      <c r="AH189">
        <f>INDEX(CoefficientsGPA,MATCH(W189&amp;":"&amp;R189,CoefficientsIndex,0))</f>
        <v>0</v>
      </c>
      <c r="AI189">
        <f>INDEX(CoefficientsSAT,MATCH(W189&amp;":"&amp;R189,CoefficientsIndex,0))</f>
        <v>0</v>
      </c>
      <c r="AJ189">
        <f>INDEX(CoefficientsIntercept,MATCH(W189&amp;":"&amp;R189,CoefficientsIndex,0))</f>
        <v>0</v>
      </c>
      <c r="AK189">
        <f>AH189*S189+(T189-AC189)*AI189+AJ189</f>
        <v>0</v>
      </c>
      <c r="AL189">
        <f>IF(ISNUMBER(AG189),AG189,AK189)</f>
        <v>0</v>
      </c>
      <c r="AM189">
        <f>IF(ISNUMBER(AL189),IF(ISNUMBER(AH189),IF(AND(AH189=1,AI189=1,AJ189=1),100,MIN(99,ROUND(100*EXP(AL189)/(1+EXP(AL189)),2))),MIN(99,ROUND(100*EXP(AL189)/(1+EXP(AL189)),2))),IF(ISTEXT(R189),IF(LEFT(R189,1)="2",100,"N/A"),"N/A"))</f>
        <v>0</v>
      </c>
      <c r="AN189">
        <f>IF(ISNUMBER(AM189),IF(AM189&gt;=99,IF(OR(U189=10,U189=11),MatchLabel,SureThingLabel),IF(AM189&gt;=95,SecureLabel,IF(AM189&gt;=80,SafetyLabel,IF(AM189&gt;=50,MatchLabel,IF(AM189&gt;=20,ReachLabel,IF(AM189&gt;=10,LongshotLabel,HailMaryLabel)))))),"Other")</f>
        <v>0</v>
      </c>
      <c r="AO189">
        <f>IF(OR(I189="accepted",I189="cond. accept",I189="summer admit"),IF(J189="yes","CHOICE!","Accepted!"),IF(I189="guar. transfer","Guar. Xfer",IF(I189="denied","Denied",IF(K189=1,"Waitlist",IF(L189=1,"Deferred",IF(G189="pending","Pending",IF(OR(G189="initial materials submitted",G189="mid-year submitted",G189="final submitted"),"Submitted",IF(H189="interest","Interest","?"))))))))</f>
        <v>0</v>
      </c>
      <c r="AP189">
        <f>IF(OR(AN189=ReachLabel,AN189=LongshotLabel,AN189=HailMaryLabel),1,0)</f>
        <v>0</v>
      </c>
      <c r="AQ189">
        <f>IF(OR(AP189=1,AN189=MatchLabel),1,0)</f>
        <v>0</v>
      </c>
      <c r="AR189">
        <f>IF(OR(AN189=MatchLabel,AN189=SafetyLabel,AN189=SecureLabel,AN189=SureThingLabel),1,0)</f>
        <v>0</v>
      </c>
      <c r="AS189">
        <f>IF(OR(W189="H",W189="B",W189="I",W189="M"),IF(ISNUMBER(AB189),ROUND(AB189,2),0),IF(ISNUMBER(AA189),ROUND(AA189,2),0))</f>
        <v>0</v>
      </c>
      <c r="AT189">
        <f>IF(AS189&gt;=X189,1,0)</f>
        <v>0</v>
      </c>
      <c r="AU189">
        <f>IF(AS189&gt;=Y189,1,0)</f>
        <v>0</v>
      </c>
      <c r="AV189">
        <f>IF(AS189&lt;(X189-0.10),1,0)</f>
        <v>0</v>
      </c>
      <c r="AW189">
        <f>1-AM189/100</f>
        <v>0</v>
      </c>
      <c r="AX189">
        <f>IF(AQ189=1,AW189,1)</f>
        <v>0</v>
      </c>
      <c r="AY189">
        <f>IF(AP189=1,AW189,1)</f>
        <v>0</v>
      </c>
      <c r="AZ189">
        <f>IF(AND(AT189=1,ISNUMBER(AW189)),$AW189,1)</f>
        <v>0</v>
      </c>
      <c r="BA189">
        <f>IF(AND(AU189=1,ISNUMBER(AW189)),$AW189,1)</f>
        <v>0</v>
      </c>
      <c r="BB189">
        <f>IF(ISNUMBER(AB189),INDEX(AllCollegeMoney, MATCH(N189,AllCollegeNCES,0)),0)</f>
        <v>0</v>
      </c>
      <c r="BC189">
        <f>IF(AND(AT189=1,ISNUMBER(AW189),BB189=1),$AW189,1)</f>
        <v>0</v>
      </c>
      <c r="BD189">
        <f>IF(AND(AU189=1,ISNUMBER(AW189),BB189=1),$AW189,1)</f>
        <v>0</v>
      </c>
      <c r="BE189">
        <f>IF(ISNUMBER(AB189),INDEX(AllCollegeILPub, MATCH(N189,AllCollegeNCES,0)),0)</f>
        <v>0</v>
      </c>
      <c r="BF189">
        <f>IF(AN189=ReachLabel,AS189,0)</f>
        <v>0</v>
      </c>
      <c r="BG189">
        <f>IF(AN189=MatchLabel,AS189,0)</f>
        <v>0</v>
      </c>
      <c r="BH189">
        <f>IF(AN189=SafetyLabel,AS189,0)</f>
        <v>0</v>
      </c>
      <c r="BI189">
        <f>IF(AN189=SecureLabel,AS189,0)</f>
        <v>0</v>
      </c>
      <c r="BJ189">
        <f>IF(AN189=SureThingLabel,AS189,0)</f>
        <v>0</v>
      </c>
      <c r="BK189">
        <f>MAX(BF189:BJ189)</f>
        <v>0</v>
      </c>
      <c r="BL189">
        <f>MAX(BG189:BJ189)</f>
        <v>0</v>
      </c>
      <c r="BM189">
        <f>MAX(BH189:BJ189)</f>
        <v>0</v>
      </c>
      <c r="BN189">
        <f>IF(AND(AN189=ReachLabel,BB189=1),AS189,0)</f>
        <v>0</v>
      </c>
      <c r="BO189">
        <f>IF(AND(AN189=MatchLabel,BB189=1),AS189,0)</f>
        <v>0</v>
      </c>
      <c r="BP189">
        <f>IF(AND(AN189=SafetyLabel,BB189=1),AS189,0)</f>
        <v>0</v>
      </c>
      <c r="BQ189">
        <f>IF(AND(AN189=SecureLabel,BB189=1),AS189,0)</f>
        <v>0</v>
      </c>
      <c r="BR189">
        <f>IF(AND(AN189=SureThingLabel,BB189=1),AS189,0)</f>
        <v>0</v>
      </c>
      <c r="BS189">
        <f>MAX(BN189:BR189)</f>
        <v>0</v>
      </c>
      <c r="BT189">
        <f>MAX(BO189:BR189)</f>
        <v>0</v>
      </c>
      <c r="BU189">
        <f>MAX(BP189:BR189)</f>
        <v>0</v>
      </c>
      <c r="BV189">
        <f>IF(ISNUMBER(AB189),INDEX(AllCollegeChicago, MATCH(N189,AllCollegeNCES,0))*BB189,0)</f>
        <v>0</v>
      </c>
      <c r="BW189">
        <f>IF(ISNUMBER(AB189),INDEX(AllCollegeMoneyCode, MATCH(N189,AllCollegeNCES,0)),"?")</f>
        <v>0</v>
      </c>
      <c r="BX189">
        <f>IF(OR(BW189="---",BW189="--",BW189="+/--",BW189="+/---"),1,0)</f>
        <v>0</v>
      </c>
      <c r="BY189">
        <f>BB189*AR189*AT189</f>
        <v>0</v>
      </c>
    </row>
    <row r="190" spans="1:77">
      <c r="A190" t="s">
        <v>96</v>
      </c>
      <c r="B190">
        <v>22939229</v>
      </c>
      <c r="C190" t="s">
        <v>336</v>
      </c>
      <c r="D190" t="s">
        <v>337</v>
      </c>
      <c r="E190" t="s">
        <v>446</v>
      </c>
      <c r="F190" t="s">
        <v>475</v>
      </c>
      <c r="G190" t="s">
        <v>448</v>
      </c>
      <c r="H190" t="s">
        <v>449</v>
      </c>
      <c r="I190" t="s">
        <v>450</v>
      </c>
      <c r="J190" t="s">
        <v>450</v>
      </c>
      <c r="K190">
        <v>0</v>
      </c>
      <c r="L190" t="s">
        <v>446</v>
      </c>
      <c r="M190" t="s">
        <v>446</v>
      </c>
      <c r="N190">
        <v>145637</v>
      </c>
      <c r="O190">
        <f>INDEX(Counselor,MATCH(B190,KidIDs,0))</f>
        <v>0</v>
      </c>
      <c r="P190">
        <f>INDEX(Advisors,MATCH(B190,KidIDs,0))</f>
        <v>0</v>
      </c>
      <c r="Q190">
        <f>INDEX(Cohort,MATCH(B190,KidIDs,0))</f>
        <v>0</v>
      </c>
      <c r="R190">
        <f>INDEX(AllCollegeBarrons,MATCH(N190,AllCollegeNCES,0))</f>
        <v>0</v>
      </c>
      <c r="S190">
        <f>INDEX(KidGPAs,MATCH(B190,KidIDs,0))</f>
        <v>0</v>
      </c>
      <c r="T190">
        <f>INDEX(KidSATs,MATCH(B190,KidIDs,0))</f>
        <v>0</v>
      </c>
      <c r="U190">
        <f>INDEX(Strats,MATCH(B190,KidIDs,0))</f>
        <v>0</v>
      </c>
      <c r="V190">
        <f>INDEX(KidRace,MATCH(B190,KidIDs,0))</f>
        <v>0</v>
      </c>
      <c r="W190">
        <f>IF(OR(V190="M",V190="I"),"H",IF(V190="P","A",V190))</f>
        <v>0</v>
      </c>
      <c r="X190">
        <f>INDEX(StudentTargets,MATCH(B190,KidIDs,0))</f>
        <v>0</v>
      </c>
      <c r="Y190">
        <f>INDEX(ReachStudentTargets,MATCH(B190,KidIDs,0))</f>
        <v>0</v>
      </c>
      <c r="Z190">
        <f>IF(OR(M190="Posse"),1,0)</f>
        <v>0</v>
      </c>
      <c r="AA190">
        <f>IF(ISNUMBER(INDEX(AllCollegeGR, MATCH(N190,AllCollegeNCES,0))),ROUND(INDEX(AllCollegeGR, MATCH(N190,AllCollegeNCES,0))+Z190*IF(INDEX(AllCollegeGR, MATCH(N190,AllCollegeNCES,0))&gt;0.7,(1-INDEX(AllCollegeGR, MATCH(N190,AllCollegeNCES,0)))/2,0.15),2),INDEX(AllCollegeGR, MATCH(N190,AllCollegeNCES,0)))</f>
        <v>0</v>
      </c>
      <c r="AB190">
        <f>IF(ISNUMBER(INDEX(AllCollegeAAHGR, MATCH(N190,AllCollegeNCES,0))),ROUND(INDEX(AllCollegeAAHGR, MATCH(N190,AllCollegeNCES,0))+Z190*IF(INDEX(AllCollegeAAHGR, MATCH(N190,AllCollegeNCES,0))&gt;0.7,(1-INDEX(AllCollegeAAHGR, MATCH(N190,AllCollegeNCES,0)))/2,0.15),2),INDEX(AllCollegeAAHGR, MATCH(N190,AllCollegeNCES,0)))</f>
        <v>0</v>
      </c>
      <c r="AC190">
        <f>IF(OR(W190="H",W190="B"),INDEX(AllCollegeSAT25, MATCH(N190,AllCollegeNCES,0)),INDEX(AllCollegeSAT50, MATCH(N190,AllCollegeNCES,0)))</f>
        <v>0</v>
      </c>
      <c r="AD190">
        <f>INDEX(CustomWeightsGPA,MATCH(W190&amp;":"&amp;N190,CustomWeightsIndex,0))</f>
        <v>0</v>
      </c>
      <c r="AE190">
        <f>INDEX(CustomWeightsSAT,MATCH(W190&amp;":"&amp;N190,CustomWeightsIndex,0))</f>
        <v>0</v>
      </c>
      <c r="AF190">
        <f>INDEX(CustomWeightsIntercept,MATCH(W190&amp;":"&amp;N190,CustomWeightsIndex,0))</f>
        <v>0</v>
      </c>
      <c r="AG190">
        <f>AD190*S190+AE190*T190+AF190</f>
        <v>0</v>
      </c>
      <c r="AH190">
        <f>INDEX(CoefficientsGPA,MATCH(W190&amp;":"&amp;R190,CoefficientsIndex,0))</f>
        <v>0</v>
      </c>
      <c r="AI190">
        <f>INDEX(CoefficientsSAT,MATCH(W190&amp;":"&amp;R190,CoefficientsIndex,0))</f>
        <v>0</v>
      </c>
      <c r="AJ190">
        <f>INDEX(CoefficientsIntercept,MATCH(W190&amp;":"&amp;R190,CoefficientsIndex,0))</f>
        <v>0</v>
      </c>
      <c r="AK190">
        <f>AH190*S190+(T190-AC190)*AI190+AJ190</f>
        <v>0</v>
      </c>
      <c r="AL190">
        <f>IF(ISNUMBER(AG190),AG190,AK190)</f>
        <v>0</v>
      </c>
      <c r="AM190">
        <f>IF(ISNUMBER(AL190),IF(ISNUMBER(AH190),IF(AND(AH190=1,AI190=1,AJ190=1),100,MIN(99,ROUND(100*EXP(AL190)/(1+EXP(AL190)),2))),MIN(99,ROUND(100*EXP(AL190)/(1+EXP(AL190)),2))),IF(ISTEXT(R190),IF(LEFT(R190,1)="2",100,"N/A"),"N/A"))</f>
        <v>0</v>
      </c>
      <c r="AN190">
        <f>IF(ISNUMBER(AM190),IF(AM190&gt;=99,IF(OR(U190=10,U190=11),MatchLabel,SureThingLabel),IF(AM190&gt;=95,SecureLabel,IF(AM190&gt;=80,SafetyLabel,IF(AM190&gt;=50,MatchLabel,IF(AM190&gt;=20,ReachLabel,IF(AM190&gt;=10,LongshotLabel,HailMaryLabel)))))),"Other")</f>
        <v>0</v>
      </c>
      <c r="AO190">
        <f>IF(OR(I190="accepted",I190="cond. accept",I190="summer admit"),IF(J190="yes","CHOICE!","Accepted!"),IF(I190="guar. transfer","Guar. Xfer",IF(I190="denied","Denied",IF(K190=1,"Waitlist",IF(L190=1,"Deferred",IF(G190="pending","Pending",IF(OR(G190="initial materials submitted",G190="mid-year submitted",G190="final submitted"),"Submitted",IF(H190="interest","Interest","?"))))))))</f>
        <v>0</v>
      </c>
      <c r="AP190">
        <f>IF(OR(AN190=ReachLabel,AN190=LongshotLabel,AN190=HailMaryLabel),1,0)</f>
        <v>0</v>
      </c>
      <c r="AQ190">
        <f>IF(OR(AP190=1,AN190=MatchLabel),1,0)</f>
        <v>0</v>
      </c>
      <c r="AR190">
        <f>IF(OR(AN190=MatchLabel,AN190=SafetyLabel,AN190=SecureLabel,AN190=SureThingLabel),1,0)</f>
        <v>0</v>
      </c>
      <c r="AS190">
        <f>IF(OR(W190="H",W190="B",W190="I",W190="M"),IF(ISNUMBER(AB190),ROUND(AB190,2),0),IF(ISNUMBER(AA190),ROUND(AA190,2),0))</f>
        <v>0</v>
      </c>
      <c r="AT190">
        <f>IF(AS190&gt;=X190,1,0)</f>
        <v>0</v>
      </c>
      <c r="AU190">
        <f>IF(AS190&gt;=Y190,1,0)</f>
        <v>0</v>
      </c>
      <c r="AV190">
        <f>IF(AS190&lt;(X190-0.10),1,0)</f>
        <v>0</v>
      </c>
      <c r="AW190">
        <f>1-AM190/100</f>
        <v>0</v>
      </c>
      <c r="AX190">
        <f>IF(AQ190=1,AW190,1)</f>
        <v>0</v>
      </c>
      <c r="AY190">
        <f>IF(AP190=1,AW190,1)</f>
        <v>0</v>
      </c>
      <c r="AZ190">
        <f>IF(AND(AT190=1,ISNUMBER(AW190)),$AW190,1)</f>
        <v>0</v>
      </c>
      <c r="BA190">
        <f>IF(AND(AU190=1,ISNUMBER(AW190)),$AW190,1)</f>
        <v>0</v>
      </c>
      <c r="BB190">
        <f>IF(ISNUMBER(AB190),INDEX(AllCollegeMoney, MATCH(N190,AllCollegeNCES,0)),0)</f>
        <v>0</v>
      </c>
      <c r="BC190">
        <f>IF(AND(AT190=1,ISNUMBER(AW190),BB190=1),$AW190,1)</f>
        <v>0</v>
      </c>
      <c r="BD190">
        <f>IF(AND(AU190=1,ISNUMBER(AW190),BB190=1),$AW190,1)</f>
        <v>0</v>
      </c>
      <c r="BE190">
        <f>IF(ISNUMBER(AB190),INDEX(AllCollegeILPub, MATCH(N190,AllCollegeNCES,0)),0)</f>
        <v>0</v>
      </c>
      <c r="BF190">
        <f>IF(AN190=ReachLabel,AS190,0)</f>
        <v>0</v>
      </c>
      <c r="BG190">
        <f>IF(AN190=MatchLabel,AS190,0)</f>
        <v>0</v>
      </c>
      <c r="BH190">
        <f>IF(AN190=SafetyLabel,AS190,0)</f>
        <v>0</v>
      </c>
      <c r="BI190">
        <f>IF(AN190=SecureLabel,AS190,0)</f>
        <v>0</v>
      </c>
      <c r="BJ190">
        <f>IF(AN190=SureThingLabel,AS190,0)</f>
        <v>0</v>
      </c>
      <c r="BK190">
        <f>MAX(BF190:BJ190)</f>
        <v>0</v>
      </c>
      <c r="BL190">
        <f>MAX(BG190:BJ190)</f>
        <v>0</v>
      </c>
      <c r="BM190">
        <f>MAX(BH190:BJ190)</f>
        <v>0</v>
      </c>
      <c r="BN190">
        <f>IF(AND(AN190=ReachLabel,BB190=1),AS190,0)</f>
        <v>0</v>
      </c>
      <c r="BO190">
        <f>IF(AND(AN190=MatchLabel,BB190=1),AS190,0)</f>
        <v>0</v>
      </c>
      <c r="BP190">
        <f>IF(AND(AN190=SafetyLabel,BB190=1),AS190,0)</f>
        <v>0</v>
      </c>
      <c r="BQ190">
        <f>IF(AND(AN190=SecureLabel,BB190=1),AS190,0)</f>
        <v>0</v>
      </c>
      <c r="BR190">
        <f>IF(AND(AN190=SureThingLabel,BB190=1),AS190,0)</f>
        <v>0</v>
      </c>
      <c r="BS190">
        <f>MAX(BN190:BR190)</f>
        <v>0</v>
      </c>
      <c r="BT190">
        <f>MAX(BO190:BR190)</f>
        <v>0</v>
      </c>
      <c r="BU190">
        <f>MAX(BP190:BR190)</f>
        <v>0</v>
      </c>
      <c r="BV190">
        <f>IF(ISNUMBER(AB190),INDEX(AllCollegeChicago, MATCH(N190,AllCollegeNCES,0))*BB190,0)</f>
        <v>0</v>
      </c>
      <c r="BW190">
        <f>IF(ISNUMBER(AB190),INDEX(AllCollegeMoneyCode, MATCH(N190,AllCollegeNCES,0)),"?")</f>
        <v>0</v>
      </c>
      <c r="BX190">
        <f>IF(OR(BW190="---",BW190="--",BW190="+/--",BW190="+/---"),1,0)</f>
        <v>0</v>
      </c>
      <c r="BY190">
        <f>BB190*AR190*AT190</f>
        <v>0</v>
      </c>
    </row>
    <row r="191" spans="1:77">
      <c r="A191" t="s">
        <v>96</v>
      </c>
      <c r="B191">
        <v>22939229</v>
      </c>
      <c r="C191" t="s">
        <v>336</v>
      </c>
      <c r="D191" t="s">
        <v>337</v>
      </c>
      <c r="E191" t="s">
        <v>446</v>
      </c>
      <c r="F191" t="s">
        <v>524</v>
      </c>
      <c r="G191" t="s">
        <v>479</v>
      </c>
      <c r="H191" t="s">
        <v>449</v>
      </c>
      <c r="I191" t="s">
        <v>450</v>
      </c>
      <c r="J191" t="s">
        <v>450</v>
      </c>
      <c r="K191">
        <v>0</v>
      </c>
      <c r="L191" t="s">
        <v>446</v>
      </c>
      <c r="M191" t="s">
        <v>446</v>
      </c>
      <c r="N191">
        <v>236595</v>
      </c>
      <c r="O191">
        <f>INDEX(Counselor,MATCH(B191,KidIDs,0))</f>
        <v>0</v>
      </c>
      <c r="P191">
        <f>INDEX(Advisors,MATCH(B191,KidIDs,0))</f>
        <v>0</v>
      </c>
      <c r="Q191">
        <f>INDEX(Cohort,MATCH(B191,KidIDs,0))</f>
        <v>0</v>
      </c>
      <c r="R191">
        <f>INDEX(AllCollegeBarrons,MATCH(N191,AllCollegeNCES,0))</f>
        <v>0</v>
      </c>
      <c r="S191">
        <f>INDEX(KidGPAs,MATCH(B191,KidIDs,0))</f>
        <v>0</v>
      </c>
      <c r="T191">
        <f>INDEX(KidSATs,MATCH(B191,KidIDs,0))</f>
        <v>0</v>
      </c>
      <c r="U191">
        <f>INDEX(Strats,MATCH(B191,KidIDs,0))</f>
        <v>0</v>
      </c>
      <c r="V191">
        <f>INDEX(KidRace,MATCH(B191,KidIDs,0))</f>
        <v>0</v>
      </c>
      <c r="W191">
        <f>IF(OR(V191="M",V191="I"),"H",IF(V191="P","A",V191))</f>
        <v>0</v>
      </c>
      <c r="X191">
        <f>INDEX(StudentTargets,MATCH(B191,KidIDs,0))</f>
        <v>0</v>
      </c>
      <c r="Y191">
        <f>INDEX(ReachStudentTargets,MATCH(B191,KidIDs,0))</f>
        <v>0</v>
      </c>
      <c r="Z191">
        <f>IF(OR(M191="Posse"),1,0)</f>
        <v>0</v>
      </c>
      <c r="AA191">
        <f>IF(ISNUMBER(INDEX(AllCollegeGR, MATCH(N191,AllCollegeNCES,0))),ROUND(INDEX(AllCollegeGR, MATCH(N191,AllCollegeNCES,0))+Z191*IF(INDEX(AllCollegeGR, MATCH(N191,AllCollegeNCES,0))&gt;0.7,(1-INDEX(AllCollegeGR, MATCH(N191,AllCollegeNCES,0)))/2,0.15),2),INDEX(AllCollegeGR, MATCH(N191,AllCollegeNCES,0)))</f>
        <v>0</v>
      </c>
      <c r="AB191">
        <f>IF(ISNUMBER(INDEX(AllCollegeAAHGR, MATCH(N191,AllCollegeNCES,0))),ROUND(INDEX(AllCollegeAAHGR, MATCH(N191,AllCollegeNCES,0))+Z191*IF(INDEX(AllCollegeAAHGR, MATCH(N191,AllCollegeNCES,0))&gt;0.7,(1-INDEX(AllCollegeAAHGR, MATCH(N191,AllCollegeNCES,0)))/2,0.15),2),INDEX(AllCollegeAAHGR, MATCH(N191,AllCollegeNCES,0)))</f>
        <v>0</v>
      </c>
      <c r="AC191">
        <f>IF(OR(W191="H",W191="B"),INDEX(AllCollegeSAT25, MATCH(N191,AllCollegeNCES,0)),INDEX(AllCollegeSAT50, MATCH(N191,AllCollegeNCES,0)))</f>
        <v>0</v>
      </c>
      <c r="AD191">
        <f>INDEX(CustomWeightsGPA,MATCH(W191&amp;":"&amp;N191,CustomWeightsIndex,0))</f>
        <v>0</v>
      </c>
      <c r="AE191">
        <f>INDEX(CustomWeightsSAT,MATCH(W191&amp;":"&amp;N191,CustomWeightsIndex,0))</f>
        <v>0</v>
      </c>
      <c r="AF191">
        <f>INDEX(CustomWeightsIntercept,MATCH(W191&amp;":"&amp;N191,CustomWeightsIndex,0))</f>
        <v>0</v>
      </c>
      <c r="AG191">
        <f>AD191*S191+AE191*T191+AF191</f>
        <v>0</v>
      </c>
      <c r="AH191">
        <f>INDEX(CoefficientsGPA,MATCH(W191&amp;":"&amp;R191,CoefficientsIndex,0))</f>
        <v>0</v>
      </c>
      <c r="AI191">
        <f>INDEX(CoefficientsSAT,MATCH(W191&amp;":"&amp;R191,CoefficientsIndex,0))</f>
        <v>0</v>
      </c>
      <c r="AJ191">
        <f>INDEX(CoefficientsIntercept,MATCH(W191&amp;":"&amp;R191,CoefficientsIndex,0))</f>
        <v>0</v>
      </c>
      <c r="AK191">
        <f>AH191*S191+(T191-AC191)*AI191+AJ191</f>
        <v>0</v>
      </c>
      <c r="AL191">
        <f>IF(ISNUMBER(AG191),AG191,AK191)</f>
        <v>0</v>
      </c>
      <c r="AM191">
        <f>IF(ISNUMBER(AL191),IF(ISNUMBER(AH191),IF(AND(AH191=1,AI191=1,AJ191=1),100,MIN(99,ROUND(100*EXP(AL191)/(1+EXP(AL191)),2))),MIN(99,ROUND(100*EXP(AL191)/(1+EXP(AL191)),2))),IF(ISTEXT(R191),IF(LEFT(R191,1)="2",100,"N/A"),"N/A"))</f>
        <v>0</v>
      </c>
      <c r="AN191">
        <f>IF(ISNUMBER(AM191),IF(AM191&gt;=99,IF(OR(U191=10,U191=11),MatchLabel,SureThingLabel),IF(AM191&gt;=95,SecureLabel,IF(AM191&gt;=80,SafetyLabel,IF(AM191&gt;=50,MatchLabel,IF(AM191&gt;=20,ReachLabel,IF(AM191&gt;=10,LongshotLabel,HailMaryLabel)))))),"Other")</f>
        <v>0</v>
      </c>
      <c r="AO191">
        <f>IF(OR(I191="accepted",I191="cond. accept",I191="summer admit"),IF(J191="yes","CHOICE!","Accepted!"),IF(I191="guar. transfer","Guar. Xfer",IF(I191="denied","Denied",IF(K191=1,"Waitlist",IF(L191=1,"Deferred",IF(G191="pending","Pending",IF(OR(G191="initial materials submitted",G191="mid-year submitted",G191="final submitted"),"Submitted",IF(H191="interest","Interest","?"))))))))</f>
        <v>0</v>
      </c>
      <c r="AP191">
        <f>IF(OR(AN191=ReachLabel,AN191=LongshotLabel,AN191=HailMaryLabel),1,0)</f>
        <v>0</v>
      </c>
      <c r="AQ191">
        <f>IF(OR(AP191=1,AN191=MatchLabel),1,0)</f>
        <v>0</v>
      </c>
      <c r="AR191">
        <f>IF(OR(AN191=MatchLabel,AN191=SafetyLabel,AN191=SecureLabel,AN191=SureThingLabel),1,0)</f>
        <v>0</v>
      </c>
      <c r="AS191">
        <f>IF(OR(W191="H",W191="B",W191="I",W191="M"),IF(ISNUMBER(AB191),ROUND(AB191,2),0),IF(ISNUMBER(AA191),ROUND(AA191,2),0))</f>
        <v>0</v>
      </c>
      <c r="AT191">
        <f>IF(AS191&gt;=X191,1,0)</f>
        <v>0</v>
      </c>
      <c r="AU191">
        <f>IF(AS191&gt;=Y191,1,0)</f>
        <v>0</v>
      </c>
      <c r="AV191">
        <f>IF(AS191&lt;(X191-0.10),1,0)</f>
        <v>0</v>
      </c>
      <c r="AW191">
        <f>1-AM191/100</f>
        <v>0</v>
      </c>
      <c r="AX191">
        <f>IF(AQ191=1,AW191,1)</f>
        <v>0</v>
      </c>
      <c r="AY191">
        <f>IF(AP191=1,AW191,1)</f>
        <v>0</v>
      </c>
      <c r="AZ191">
        <f>IF(AND(AT191=1,ISNUMBER(AW191)),$AW191,1)</f>
        <v>0</v>
      </c>
      <c r="BA191">
        <f>IF(AND(AU191=1,ISNUMBER(AW191)),$AW191,1)</f>
        <v>0</v>
      </c>
      <c r="BB191">
        <f>IF(ISNUMBER(AB191),INDEX(AllCollegeMoney, MATCH(N191,AllCollegeNCES,0)),0)</f>
        <v>0</v>
      </c>
      <c r="BC191">
        <f>IF(AND(AT191=1,ISNUMBER(AW191),BB191=1),$AW191,1)</f>
        <v>0</v>
      </c>
      <c r="BD191">
        <f>IF(AND(AU191=1,ISNUMBER(AW191),BB191=1),$AW191,1)</f>
        <v>0</v>
      </c>
      <c r="BE191">
        <f>IF(ISNUMBER(AB191),INDEX(AllCollegeILPub, MATCH(N191,AllCollegeNCES,0)),0)</f>
        <v>0</v>
      </c>
      <c r="BF191">
        <f>IF(AN191=ReachLabel,AS191,0)</f>
        <v>0</v>
      </c>
      <c r="BG191">
        <f>IF(AN191=MatchLabel,AS191,0)</f>
        <v>0</v>
      </c>
      <c r="BH191">
        <f>IF(AN191=SafetyLabel,AS191,0)</f>
        <v>0</v>
      </c>
      <c r="BI191">
        <f>IF(AN191=SecureLabel,AS191,0)</f>
        <v>0</v>
      </c>
      <c r="BJ191">
        <f>IF(AN191=SureThingLabel,AS191,0)</f>
        <v>0</v>
      </c>
      <c r="BK191">
        <f>MAX(BF191:BJ191)</f>
        <v>0</v>
      </c>
      <c r="BL191">
        <f>MAX(BG191:BJ191)</f>
        <v>0</v>
      </c>
      <c r="BM191">
        <f>MAX(BH191:BJ191)</f>
        <v>0</v>
      </c>
      <c r="BN191">
        <f>IF(AND(AN191=ReachLabel,BB191=1),AS191,0)</f>
        <v>0</v>
      </c>
      <c r="BO191">
        <f>IF(AND(AN191=MatchLabel,BB191=1),AS191,0)</f>
        <v>0</v>
      </c>
      <c r="BP191">
        <f>IF(AND(AN191=SafetyLabel,BB191=1),AS191,0)</f>
        <v>0</v>
      </c>
      <c r="BQ191">
        <f>IF(AND(AN191=SecureLabel,BB191=1),AS191,0)</f>
        <v>0</v>
      </c>
      <c r="BR191">
        <f>IF(AND(AN191=SureThingLabel,BB191=1),AS191,0)</f>
        <v>0</v>
      </c>
      <c r="BS191">
        <f>MAX(BN191:BR191)</f>
        <v>0</v>
      </c>
      <c r="BT191">
        <f>MAX(BO191:BR191)</f>
        <v>0</v>
      </c>
      <c r="BU191">
        <f>MAX(BP191:BR191)</f>
        <v>0</v>
      </c>
      <c r="BV191">
        <f>IF(ISNUMBER(AB191),INDEX(AllCollegeChicago, MATCH(N191,AllCollegeNCES,0))*BB191,0)</f>
        <v>0</v>
      </c>
      <c r="BW191">
        <f>IF(ISNUMBER(AB191),INDEX(AllCollegeMoneyCode, MATCH(N191,AllCollegeNCES,0)),"?")</f>
        <v>0</v>
      </c>
      <c r="BX191">
        <f>IF(OR(BW191="---",BW191="--",BW191="+/--",BW191="+/---"),1,0)</f>
        <v>0</v>
      </c>
      <c r="BY191">
        <f>BB191*AR191*AT191</f>
        <v>0</v>
      </c>
    </row>
    <row r="192" spans="1:77">
      <c r="A192" t="s">
        <v>96</v>
      </c>
      <c r="B192">
        <v>22939229</v>
      </c>
      <c r="C192" t="s">
        <v>336</v>
      </c>
      <c r="D192" t="s">
        <v>337</v>
      </c>
      <c r="E192" t="s">
        <v>446</v>
      </c>
      <c r="F192" t="s">
        <v>447</v>
      </c>
      <c r="G192" t="s">
        <v>448</v>
      </c>
      <c r="H192" t="s">
        <v>449</v>
      </c>
      <c r="I192" t="s">
        <v>450</v>
      </c>
      <c r="J192" t="s">
        <v>450</v>
      </c>
      <c r="K192">
        <v>0</v>
      </c>
      <c r="L192" t="s">
        <v>446</v>
      </c>
      <c r="M192" t="s">
        <v>446</v>
      </c>
      <c r="N192">
        <v>148496</v>
      </c>
      <c r="O192">
        <f>INDEX(Counselor,MATCH(B192,KidIDs,0))</f>
        <v>0</v>
      </c>
      <c r="P192">
        <f>INDEX(Advisors,MATCH(B192,KidIDs,0))</f>
        <v>0</v>
      </c>
      <c r="Q192">
        <f>INDEX(Cohort,MATCH(B192,KidIDs,0))</f>
        <v>0</v>
      </c>
      <c r="R192">
        <f>INDEX(AllCollegeBarrons,MATCH(N192,AllCollegeNCES,0))</f>
        <v>0</v>
      </c>
      <c r="S192">
        <f>INDEX(KidGPAs,MATCH(B192,KidIDs,0))</f>
        <v>0</v>
      </c>
      <c r="T192">
        <f>INDEX(KidSATs,MATCH(B192,KidIDs,0))</f>
        <v>0</v>
      </c>
      <c r="U192">
        <f>INDEX(Strats,MATCH(B192,KidIDs,0))</f>
        <v>0</v>
      </c>
      <c r="V192">
        <f>INDEX(KidRace,MATCH(B192,KidIDs,0))</f>
        <v>0</v>
      </c>
      <c r="W192">
        <f>IF(OR(V192="M",V192="I"),"H",IF(V192="P","A",V192))</f>
        <v>0</v>
      </c>
      <c r="X192">
        <f>INDEX(StudentTargets,MATCH(B192,KidIDs,0))</f>
        <v>0</v>
      </c>
      <c r="Y192">
        <f>INDEX(ReachStudentTargets,MATCH(B192,KidIDs,0))</f>
        <v>0</v>
      </c>
      <c r="Z192">
        <f>IF(OR(M192="Posse"),1,0)</f>
        <v>0</v>
      </c>
      <c r="AA192">
        <f>IF(ISNUMBER(INDEX(AllCollegeGR, MATCH(N192,AllCollegeNCES,0))),ROUND(INDEX(AllCollegeGR, MATCH(N192,AllCollegeNCES,0))+Z192*IF(INDEX(AllCollegeGR, MATCH(N192,AllCollegeNCES,0))&gt;0.7,(1-INDEX(AllCollegeGR, MATCH(N192,AllCollegeNCES,0)))/2,0.15),2),INDEX(AllCollegeGR, MATCH(N192,AllCollegeNCES,0)))</f>
        <v>0</v>
      </c>
      <c r="AB192">
        <f>IF(ISNUMBER(INDEX(AllCollegeAAHGR, MATCH(N192,AllCollegeNCES,0))),ROUND(INDEX(AllCollegeAAHGR, MATCH(N192,AllCollegeNCES,0))+Z192*IF(INDEX(AllCollegeAAHGR, MATCH(N192,AllCollegeNCES,0))&gt;0.7,(1-INDEX(AllCollegeAAHGR, MATCH(N192,AllCollegeNCES,0)))/2,0.15),2),INDEX(AllCollegeAAHGR, MATCH(N192,AllCollegeNCES,0)))</f>
        <v>0</v>
      </c>
      <c r="AC192">
        <f>IF(OR(W192="H",W192="B"),INDEX(AllCollegeSAT25, MATCH(N192,AllCollegeNCES,0)),INDEX(AllCollegeSAT50, MATCH(N192,AllCollegeNCES,0)))</f>
        <v>0</v>
      </c>
      <c r="AD192">
        <f>INDEX(CustomWeightsGPA,MATCH(W192&amp;":"&amp;N192,CustomWeightsIndex,0))</f>
        <v>0</v>
      </c>
      <c r="AE192">
        <f>INDEX(CustomWeightsSAT,MATCH(W192&amp;":"&amp;N192,CustomWeightsIndex,0))</f>
        <v>0</v>
      </c>
      <c r="AF192">
        <f>INDEX(CustomWeightsIntercept,MATCH(W192&amp;":"&amp;N192,CustomWeightsIndex,0))</f>
        <v>0</v>
      </c>
      <c r="AG192">
        <f>AD192*S192+AE192*T192+AF192</f>
        <v>0</v>
      </c>
      <c r="AH192">
        <f>INDEX(CoefficientsGPA,MATCH(W192&amp;":"&amp;R192,CoefficientsIndex,0))</f>
        <v>0</v>
      </c>
      <c r="AI192">
        <f>INDEX(CoefficientsSAT,MATCH(W192&amp;":"&amp;R192,CoefficientsIndex,0))</f>
        <v>0</v>
      </c>
      <c r="AJ192">
        <f>INDEX(CoefficientsIntercept,MATCH(W192&amp;":"&amp;R192,CoefficientsIndex,0))</f>
        <v>0</v>
      </c>
      <c r="AK192">
        <f>AH192*S192+(T192-AC192)*AI192+AJ192</f>
        <v>0</v>
      </c>
      <c r="AL192">
        <f>IF(ISNUMBER(AG192),AG192,AK192)</f>
        <v>0</v>
      </c>
      <c r="AM192">
        <f>IF(ISNUMBER(AL192),IF(ISNUMBER(AH192),IF(AND(AH192=1,AI192=1,AJ192=1),100,MIN(99,ROUND(100*EXP(AL192)/(1+EXP(AL192)),2))),MIN(99,ROUND(100*EXP(AL192)/(1+EXP(AL192)),2))),IF(ISTEXT(R192),IF(LEFT(R192,1)="2",100,"N/A"),"N/A"))</f>
        <v>0</v>
      </c>
      <c r="AN192">
        <f>IF(ISNUMBER(AM192),IF(AM192&gt;=99,IF(OR(U192=10,U192=11),MatchLabel,SureThingLabel),IF(AM192&gt;=95,SecureLabel,IF(AM192&gt;=80,SafetyLabel,IF(AM192&gt;=50,MatchLabel,IF(AM192&gt;=20,ReachLabel,IF(AM192&gt;=10,LongshotLabel,HailMaryLabel)))))),"Other")</f>
        <v>0</v>
      </c>
      <c r="AO192">
        <f>IF(OR(I192="accepted",I192="cond. accept",I192="summer admit"),IF(J192="yes","CHOICE!","Accepted!"),IF(I192="guar. transfer","Guar. Xfer",IF(I192="denied","Denied",IF(K192=1,"Waitlist",IF(L192=1,"Deferred",IF(G192="pending","Pending",IF(OR(G192="initial materials submitted",G192="mid-year submitted",G192="final submitted"),"Submitted",IF(H192="interest","Interest","?"))))))))</f>
        <v>0</v>
      </c>
      <c r="AP192">
        <f>IF(OR(AN192=ReachLabel,AN192=LongshotLabel,AN192=HailMaryLabel),1,0)</f>
        <v>0</v>
      </c>
      <c r="AQ192">
        <f>IF(OR(AP192=1,AN192=MatchLabel),1,0)</f>
        <v>0</v>
      </c>
      <c r="AR192">
        <f>IF(OR(AN192=MatchLabel,AN192=SafetyLabel,AN192=SecureLabel,AN192=SureThingLabel),1,0)</f>
        <v>0</v>
      </c>
      <c r="AS192">
        <f>IF(OR(W192="H",W192="B",W192="I",W192="M"),IF(ISNUMBER(AB192),ROUND(AB192,2),0),IF(ISNUMBER(AA192),ROUND(AA192,2),0))</f>
        <v>0</v>
      </c>
      <c r="AT192">
        <f>IF(AS192&gt;=X192,1,0)</f>
        <v>0</v>
      </c>
      <c r="AU192">
        <f>IF(AS192&gt;=Y192,1,0)</f>
        <v>0</v>
      </c>
      <c r="AV192">
        <f>IF(AS192&lt;(X192-0.10),1,0)</f>
        <v>0</v>
      </c>
      <c r="AW192">
        <f>1-AM192/100</f>
        <v>0</v>
      </c>
      <c r="AX192">
        <f>IF(AQ192=1,AW192,1)</f>
        <v>0</v>
      </c>
      <c r="AY192">
        <f>IF(AP192=1,AW192,1)</f>
        <v>0</v>
      </c>
      <c r="AZ192">
        <f>IF(AND(AT192=1,ISNUMBER(AW192)),$AW192,1)</f>
        <v>0</v>
      </c>
      <c r="BA192">
        <f>IF(AND(AU192=1,ISNUMBER(AW192)),$AW192,1)</f>
        <v>0</v>
      </c>
      <c r="BB192">
        <f>IF(ISNUMBER(AB192),INDEX(AllCollegeMoney, MATCH(N192,AllCollegeNCES,0)),0)</f>
        <v>0</v>
      </c>
      <c r="BC192">
        <f>IF(AND(AT192=1,ISNUMBER(AW192),BB192=1),$AW192,1)</f>
        <v>0</v>
      </c>
      <c r="BD192">
        <f>IF(AND(AU192=1,ISNUMBER(AW192),BB192=1),$AW192,1)</f>
        <v>0</v>
      </c>
      <c r="BE192">
        <f>IF(ISNUMBER(AB192),INDEX(AllCollegeILPub, MATCH(N192,AllCollegeNCES,0)),0)</f>
        <v>0</v>
      </c>
      <c r="BF192">
        <f>IF(AN192=ReachLabel,AS192,0)</f>
        <v>0</v>
      </c>
      <c r="BG192">
        <f>IF(AN192=MatchLabel,AS192,0)</f>
        <v>0</v>
      </c>
      <c r="BH192">
        <f>IF(AN192=SafetyLabel,AS192,0)</f>
        <v>0</v>
      </c>
      <c r="BI192">
        <f>IF(AN192=SecureLabel,AS192,0)</f>
        <v>0</v>
      </c>
      <c r="BJ192">
        <f>IF(AN192=SureThingLabel,AS192,0)</f>
        <v>0</v>
      </c>
      <c r="BK192">
        <f>MAX(BF192:BJ192)</f>
        <v>0</v>
      </c>
      <c r="BL192">
        <f>MAX(BG192:BJ192)</f>
        <v>0</v>
      </c>
      <c r="BM192">
        <f>MAX(BH192:BJ192)</f>
        <v>0</v>
      </c>
      <c r="BN192">
        <f>IF(AND(AN192=ReachLabel,BB192=1),AS192,0)</f>
        <v>0</v>
      </c>
      <c r="BO192">
        <f>IF(AND(AN192=MatchLabel,BB192=1),AS192,0)</f>
        <v>0</v>
      </c>
      <c r="BP192">
        <f>IF(AND(AN192=SafetyLabel,BB192=1),AS192,0)</f>
        <v>0</v>
      </c>
      <c r="BQ192">
        <f>IF(AND(AN192=SecureLabel,BB192=1),AS192,0)</f>
        <v>0</v>
      </c>
      <c r="BR192">
        <f>IF(AND(AN192=SureThingLabel,BB192=1),AS192,0)</f>
        <v>0</v>
      </c>
      <c r="BS192">
        <f>MAX(BN192:BR192)</f>
        <v>0</v>
      </c>
      <c r="BT192">
        <f>MAX(BO192:BR192)</f>
        <v>0</v>
      </c>
      <c r="BU192">
        <f>MAX(BP192:BR192)</f>
        <v>0</v>
      </c>
      <c r="BV192">
        <f>IF(ISNUMBER(AB192),INDEX(AllCollegeChicago, MATCH(N192,AllCollegeNCES,0))*BB192,0)</f>
        <v>0</v>
      </c>
      <c r="BW192">
        <f>IF(ISNUMBER(AB192),INDEX(AllCollegeMoneyCode, MATCH(N192,AllCollegeNCES,0)),"?")</f>
        <v>0</v>
      </c>
      <c r="BX192">
        <f>IF(OR(BW192="---",BW192="--",BW192="+/--",BW192="+/---"),1,0)</f>
        <v>0</v>
      </c>
      <c r="BY192">
        <f>BB192*AR192*AT192</f>
        <v>0</v>
      </c>
    </row>
    <row r="193" spans="1:77">
      <c r="A193" t="s">
        <v>96</v>
      </c>
      <c r="B193">
        <v>22939229</v>
      </c>
      <c r="C193" t="s">
        <v>336</v>
      </c>
      <c r="D193" t="s">
        <v>337</v>
      </c>
      <c r="E193" t="s">
        <v>446</v>
      </c>
      <c r="F193" t="s">
        <v>525</v>
      </c>
      <c r="G193" t="s">
        <v>448</v>
      </c>
      <c r="H193" t="s">
        <v>449</v>
      </c>
      <c r="I193" t="s">
        <v>450</v>
      </c>
      <c r="J193" t="s">
        <v>450</v>
      </c>
      <c r="K193">
        <v>0</v>
      </c>
      <c r="L193" t="s">
        <v>446</v>
      </c>
      <c r="M193" t="s">
        <v>446</v>
      </c>
      <c r="N193">
        <v>209056</v>
      </c>
      <c r="O193">
        <f>INDEX(Counselor,MATCH(B193,KidIDs,0))</f>
        <v>0</v>
      </c>
      <c r="P193">
        <f>INDEX(Advisors,MATCH(B193,KidIDs,0))</f>
        <v>0</v>
      </c>
      <c r="Q193">
        <f>INDEX(Cohort,MATCH(B193,KidIDs,0))</f>
        <v>0</v>
      </c>
      <c r="R193">
        <f>INDEX(AllCollegeBarrons,MATCH(N193,AllCollegeNCES,0))</f>
        <v>0</v>
      </c>
      <c r="S193">
        <f>INDEX(KidGPAs,MATCH(B193,KidIDs,0))</f>
        <v>0</v>
      </c>
      <c r="T193">
        <f>INDEX(KidSATs,MATCH(B193,KidIDs,0))</f>
        <v>0</v>
      </c>
      <c r="U193">
        <f>INDEX(Strats,MATCH(B193,KidIDs,0))</f>
        <v>0</v>
      </c>
      <c r="V193">
        <f>INDEX(KidRace,MATCH(B193,KidIDs,0))</f>
        <v>0</v>
      </c>
      <c r="W193">
        <f>IF(OR(V193="M",V193="I"),"H",IF(V193="P","A",V193))</f>
        <v>0</v>
      </c>
      <c r="X193">
        <f>INDEX(StudentTargets,MATCH(B193,KidIDs,0))</f>
        <v>0</v>
      </c>
      <c r="Y193">
        <f>INDEX(ReachStudentTargets,MATCH(B193,KidIDs,0))</f>
        <v>0</v>
      </c>
      <c r="Z193">
        <f>IF(OR(M193="Posse"),1,0)</f>
        <v>0</v>
      </c>
      <c r="AA193">
        <f>IF(ISNUMBER(INDEX(AllCollegeGR, MATCH(N193,AllCollegeNCES,0))),ROUND(INDEX(AllCollegeGR, MATCH(N193,AllCollegeNCES,0))+Z193*IF(INDEX(AllCollegeGR, MATCH(N193,AllCollegeNCES,0))&gt;0.7,(1-INDEX(AllCollegeGR, MATCH(N193,AllCollegeNCES,0)))/2,0.15),2),INDEX(AllCollegeGR, MATCH(N193,AllCollegeNCES,0)))</f>
        <v>0</v>
      </c>
      <c r="AB193">
        <f>IF(ISNUMBER(INDEX(AllCollegeAAHGR, MATCH(N193,AllCollegeNCES,0))),ROUND(INDEX(AllCollegeAAHGR, MATCH(N193,AllCollegeNCES,0))+Z193*IF(INDEX(AllCollegeAAHGR, MATCH(N193,AllCollegeNCES,0))&gt;0.7,(1-INDEX(AllCollegeAAHGR, MATCH(N193,AllCollegeNCES,0)))/2,0.15),2),INDEX(AllCollegeAAHGR, MATCH(N193,AllCollegeNCES,0)))</f>
        <v>0</v>
      </c>
      <c r="AC193">
        <f>IF(OR(W193="H",W193="B"),INDEX(AllCollegeSAT25, MATCH(N193,AllCollegeNCES,0)),INDEX(AllCollegeSAT50, MATCH(N193,AllCollegeNCES,0)))</f>
        <v>0</v>
      </c>
      <c r="AD193">
        <f>INDEX(CustomWeightsGPA,MATCH(W193&amp;":"&amp;N193,CustomWeightsIndex,0))</f>
        <v>0</v>
      </c>
      <c r="AE193">
        <f>INDEX(CustomWeightsSAT,MATCH(W193&amp;":"&amp;N193,CustomWeightsIndex,0))</f>
        <v>0</v>
      </c>
      <c r="AF193">
        <f>INDEX(CustomWeightsIntercept,MATCH(W193&amp;":"&amp;N193,CustomWeightsIndex,0))</f>
        <v>0</v>
      </c>
      <c r="AG193">
        <f>AD193*S193+AE193*T193+AF193</f>
        <v>0</v>
      </c>
      <c r="AH193">
        <f>INDEX(CoefficientsGPA,MATCH(W193&amp;":"&amp;R193,CoefficientsIndex,0))</f>
        <v>0</v>
      </c>
      <c r="AI193">
        <f>INDEX(CoefficientsSAT,MATCH(W193&amp;":"&amp;R193,CoefficientsIndex,0))</f>
        <v>0</v>
      </c>
      <c r="AJ193">
        <f>INDEX(CoefficientsIntercept,MATCH(W193&amp;":"&amp;R193,CoefficientsIndex,0))</f>
        <v>0</v>
      </c>
      <c r="AK193">
        <f>AH193*S193+(T193-AC193)*AI193+AJ193</f>
        <v>0</v>
      </c>
      <c r="AL193">
        <f>IF(ISNUMBER(AG193),AG193,AK193)</f>
        <v>0</v>
      </c>
      <c r="AM193">
        <f>IF(ISNUMBER(AL193),IF(ISNUMBER(AH193),IF(AND(AH193=1,AI193=1,AJ193=1),100,MIN(99,ROUND(100*EXP(AL193)/(1+EXP(AL193)),2))),MIN(99,ROUND(100*EXP(AL193)/(1+EXP(AL193)),2))),IF(ISTEXT(R193),IF(LEFT(R193,1)="2",100,"N/A"),"N/A"))</f>
        <v>0</v>
      </c>
      <c r="AN193">
        <f>IF(ISNUMBER(AM193),IF(AM193&gt;=99,IF(OR(U193=10,U193=11),MatchLabel,SureThingLabel),IF(AM193&gt;=95,SecureLabel,IF(AM193&gt;=80,SafetyLabel,IF(AM193&gt;=50,MatchLabel,IF(AM193&gt;=20,ReachLabel,IF(AM193&gt;=10,LongshotLabel,HailMaryLabel)))))),"Other")</f>
        <v>0</v>
      </c>
      <c r="AO193">
        <f>IF(OR(I193="accepted",I193="cond. accept",I193="summer admit"),IF(J193="yes","CHOICE!","Accepted!"),IF(I193="guar. transfer","Guar. Xfer",IF(I193="denied","Denied",IF(K193=1,"Waitlist",IF(L193=1,"Deferred",IF(G193="pending","Pending",IF(OR(G193="initial materials submitted",G193="mid-year submitted",G193="final submitted"),"Submitted",IF(H193="interest","Interest","?"))))))))</f>
        <v>0</v>
      </c>
      <c r="AP193">
        <f>IF(OR(AN193=ReachLabel,AN193=LongshotLabel,AN193=HailMaryLabel),1,0)</f>
        <v>0</v>
      </c>
      <c r="AQ193">
        <f>IF(OR(AP193=1,AN193=MatchLabel),1,0)</f>
        <v>0</v>
      </c>
      <c r="AR193">
        <f>IF(OR(AN193=MatchLabel,AN193=SafetyLabel,AN193=SecureLabel,AN193=SureThingLabel),1,0)</f>
        <v>0</v>
      </c>
      <c r="AS193">
        <f>IF(OR(W193="H",W193="B",W193="I",W193="M"),IF(ISNUMBER(AB193),ROUND(AB193,2),0),IF(ISNUMBER(AA193),ROUND(AA193,2),0))</f>
        <v>0</v>
      </c>
      <c r="AT193">
        <f>IF(AS193&gt;=X193,1,0)</f>
        <v>0</v>
      </c>
      <c r="AU193">
        <f>IF(AS193&gt;=Y193,1,0)</f>
        <v>0</v>
      </c>
      <c r="AV193">
        <f>IF(AS193&lt;(X193-0.10),1,0)</f>
        <v>0</v>
      </c>
      <c r="AW193">
        <f>1-AM193/100</f>
        <v>0</v>
      </c>
      <c r="AX193">
        <f>IF(AQ193=1,AW193,1)</f>
        <v>0</v>
      </c>
      <c r="AY193">
        <f>IF(AP193=1,AW193,1)</f>
        <v>0</v>
      </c>
      <c r="AZ193">
        <f>IF(AND(AT193=1,ISNUMBER(AW193)),$AW193,1)</f>
        <v>0</v>
      </c>
      <c r="BA193">
        <f>IF(AND(AU193=1,ISNUMBER(AW193)),$AW193,1)</f>
        <v>0</v>
      </c>
      <c r="BB193">
        <f>IF(ISNUMBER(AB193),INDEX(AllCollegeMoney, MATCH(N193,AllCollegeNCES,0)),0)</f>
        <v>0</v>
      </c>
      <c r="BC193">
        <f>IF(AND(AT193=1,ISNUMBER(AW193),BB193=1),$AW193,1)</f>
        <v>0</v>
      </c>
      <c r="BD193">
        <f>IF(AND(AU193=1,ISNUMBER(AW193),BB193=1),$AW193,1)</f>
        <v>0</v>
      </c>
      <c r="BE193">
        <f>IF(ISNUMBER(AB193),INDEX(AllCollegeILPub, MATCH(N193,AllCollegeNCES,0)),0)</f>
        <v>0</v>
      </c>
      <c r="BF193">
        <f>IF(AN193=ReachLabel,AS193,0)</f>
        <v>0</v>
      </c>
      <c r="BG193">
        <f>IF(AN193=MatchLabel,AS193,0)</f>
        <v>0</v>
      </c>
      <c r="BH193">
        <f>IF(AN193=SafetyLabel,AS193,0)</f>
        <v>0</v>
      </c>
      <c r="BI193">
        <f>IF(AN193=SecureLabel,AS193,0)</f>
        <v>0</v>
      </c>
      <c r="BJ193">
        <f>IF(AN193=SureThingLabel,AS193,0)</f>
        <v>0</v>
      </c>
      <c r="BK193">
        <f>MAX(BF193:BJ193)</f>
        <v>0</v>
      </c>
      <c r="BL193">
        <f>MAX(BG193:BJ193)</f>
        <v>0</v>
      </c>
      <c r="BM193">
        <f>MAX(BH193:BJ193)</f>
        <v>0</v>
      </c>
      <c r="BN193">
        <f>IF(AND(AN193=ReachLabel,BB193=1),AS193,0)</f>
        <v>0</v>
      </c>
      <c r="BO193">
        <f>IF(AND(AN193=MatchLabel,BB193=1),AS193,0)</f>
        <v>0</v>
      </c>
      <c r="BP193">
        <f>IF(AND(AN193=SafetyLabel,BB193=1),AS193,0)</f>
        <v>0</v>
      </c>
      <c r="BQ193">
        <f>IF(AND(AN193=SecureLabel,BB193=1),AS193,0)</f>
        <v>0</v>
      </c>
      <c r="BR193">
        <f>IF(AND(AN193=SureThingLabel,BB193=1),AS193,0)</f>
        <v>0</v>
      </c>
      <c r="BS193">
        <f>MAX(BN193:BR193)</f>
        <v>0</v>
      </c>
      <c r="BT193">
        <f>MAX(BO193:BR193)</f>
        <v>0</v>
      </c>
      <c r="BU193">
        <f>MAX(BP193:BR193)</f>
        <v>0</v>
      </c>
      <c r="BV193">
        <f>IF(ISNUMBER(AB193),INDEX(AllCollegeChicago, MATCH(N193,AllCollegeNCES,0))*BB193,0)</f>
        <v>0</v>
      </c>
      <c r="BW193">
        <f>IF(ISNUMBER(AB193),INDEX(AllCollegeMoneyCode, MATCH(N193,AllCollegeNCES,0)),"?")</f>
        <v>0</v>
      </c>
      <c r="BX193">
        <f>IF(OR(BW193="---",BW193="--",BW193="+/--",BW193="+/---"),1,0)</f>
        <v>0</v>
      </c>
      <c r="BY193">
        <f>BB193*AR193*AT193</f>
        <v>0</v>
      </c>
    </row>
    <row r="194" spans="1:77">
      <c r="A194" t="s">
        <v>96</v>
      </c>
      <c r="B194">
        <v>22939229</v>
      </c>
      <c r="C194" t="s">
        <v>336</v>
      </c>
      <c r="D194" t="s">
        <v>337</v>
      </c>
      <c r="E194" t="s">
        <v>446</v>
      </c>
      <c r="F194" t="s">
        <v>477</v>
      </c>
      <c r="G194" t="s">
        <v>448</v>
      </c>
      <c r="H194" t="s">
        <v>449</v>
      </c>
      <c r="I194" t="s">
        <v>450</v>
      </c>
      <c r="J194" t="s">
        <v>450</v>
      </c>
      <c r="K194">
        <v>0</v>
      </c>
      <c r="L194" t="s">
        <v>446</v>
      </c>
      <c r="M194" t="s">
        <v>446</v>
      </c>
      <c r="N194">
        <v>146427</v>
      </c>
      <c r="O194">
        <f>INDEX(Counselor,MATCH(B194,KidIDs,0))</f>
        <v>0</v>
      </c>
      <c r="P194">
        <f>INDEX(Advisors,MATCH(B194,KidIDs,0))</f>
        <v>0</v>
      </c>
      <c r="Q194">
        <f>INDEX(Cohort,MATCH(B194,KidIDs,0))</f>
        <v>0</v>
      </c>
      <c r="R194">
        <f>INDEX(AllCollegeBarrons,MATCH(N194,AllCollegeNCES,0))</f>
        <v>0</v>
      </c>
      <c r="S194">
        <f>INDEX(KidGPAs,MATCH(B194,KidIDs,0))</f>
        <v>0</v>
      </c>
      <c r="T194">
        <f>INDEX(KidSATs,MATCH(B194,KidIDs,0))</f>
        <v>0</v>
      </c>
      <c r="U194">
        <f>INDEX(Strats,MATCH(B194,KidIDs,0))</f>
        <v>0</v>
      </c>
      <c r="V194">
        <f>INDEX(KidRace,MATCH(B194,KidIDs,0))</f>
        <v>0</v>
      </c>
      <c r="W194">
        <f>IF(OR(V194="M",V194="I"),"H",IF(V194="P","A",V194))</f>
        <v>0</v>
      </c>
      <c r="X194">
        <f>INDEX(StudentTargets,MATCH(B194,KidIDs,0))</f>
        <v>0</v>
      </c>
      <c r="Y194">
        <f>INDEX(ReachStudentTargets,MATCH(B194,KidIDs,0))</f>
        <v>0</v>
      </c>
      <c r="Z194">
        <f>IF(OR(M194="Posse"),1,0)</f>
        <v>0</v>
      </c>
      <c r="AA194">
        <f>IF(ISNUMBER(INDEX(AllCollegeGR, MATCH(N194,AllCollegeNCES,0))),ROUND(INDEX(AllCollegeGR, MATCH(N194,AllCollegeNCES,0))+Z194*IF(INDEX(AllCollegeGR, MATCH(N194,AllCollegeNCES,0))&gt;0.7,(1-INDEX(AllCollegeGR, MATCH(N194,AllCollegeNCES,0)))/2,0.15),2),INDEX(AllCollegeGR, MATCH(N194,AllCollegeNCES,0)))</f>
        <v>0</v>
      </c>
      <c r="AB194">
        <f>IF(ISNUMBER(INDEX(AllCollegeAAHGR, MATCH(N194,AllCollegeNCES,0))),ROUND(INDEX(AllCollegeAAHGR, MATCH(N194,AllCollegeNCES,0))+Z194*IF(INDEX(AllCollegeAAHGR, MATCH(N194,AllCollegeNCES,0))&gt;0.7,(1-INDEX(AllCollegeAAHGR, MATCH(N194,AllCollegeNCES,0)))/2,0.15),2),INDEX(AllCollegeAAHGR, MATCH(N194,AllCollegeNCES,0)))</f>
        <v>0</v>
      </c>
      <c r="AC194">
        <f>IF(OR(W194="H",W194="B"),INDEX(AllCollegeSAT25, MATCH(N194,AllCollegeNCES,0)),INDEX(AllCollegeSAT50, MATCH(N194,AllCollegeNCES,0)))</f>
        <v>0</v>
      </c>
      <c r="AD194">
        <f>INDEX(CustomWeightsGPA,MATCH(W194&amp;":"&amp;N194,CustomWeightsIndex,0))</f>
        <v>0</v>
      </c>
      <c r="AE194">
        <f>INDEX(CustomWeightsSAT,MATCH(W194&amp;":"&amp;N194,CustomWeightsIndex,0))</f>
        <v>0</v>
      </c>
      <c r="AF194">
        <f>INDEX(CustomWeightsIntercept,MATCH(W194&amp;":"&amp;N194,CustomWeightsIndex,0))</f>
        <v>0</v>
      </c>
      <c r="AG194">
        <f>AD194*S194+AE194*T194+AF194</f>
        <v>0</v>
      </c>
      <c r="AH194">
        <f>INDEX(CoefficientsGPA,MATCH(W194&amp;":"&amp;R194,CoefficientsIndex,0))</f>
        <v>0</v>
      </c>
      <c r="AI194">
        <f>INDEX(CoefficientsSAT,MATCH(W194&amp;":"&amp;R194,CoefficientsIndex,0))</f>
        <v>0</v>
      </c>
      <c r="AJ194">
        <f>INDEX(CoefficientsIntercept,MATCH(W194&amp;":"&amp;R194,CoefficientsIndex,0))</f>
        <v>0</v>
      </c>
      <c r="AK194">
        <f>AH194*S194+(T194-AC194)*AI194+AJ194</f>
        <v>0</v>
      </c>
      <c r="AL194">
        <f>IF(ISNUMBER(AG194),AG194,AK194)</f>
        <v>0</v>
      </c>
      <c r="AM194">
        <f>IF(ISNUMBER(AL194),IF(ISNUMBER(AH194),IF(AND(AH194=1,AI194=1,AJ194=1),100,MIN(99,ROUND(100*EXP(AL194)/(1+EXP(AL194)),2))),MIN(99,ROUND(100*EXP(AL194)/(1+EXP(AL194)),2))),IF(ISTEXT(R194),IF(LEFT(R194,1)="2",100,"N/A"),"N/A"))</f>
        <v>0</v>
      </c>
      <c r="AN194">
        <f>IF(ISNUMBER(AM194),IF(AM194&gt;=99,IF(OR(U194=10,U194=11),MatchLabel,SureThingLabel),IF(AM194&gt;=95,SecureLabel,IF(AM194&gt;=80,SafetyLabel,IF(AM194&gt;=50,MatchLabel,IF(AM194&gt;=20,ReachLabel,IF(AM194&gt;=10,LongshotLabel,HailMaryLabel)))))),"Other")</f>
        <v>0</v>
      </c>
      <c r="AO194">
        <f>IF(OR(I194="accepted",I194="cond. accept",I194="summer admit"),IF(J194="yes","CHOICE!","Accepted!"),IF(I194="guar. transfer","Guar. Xfer",IF(I194="denied","Denied",IF(K194=1,"Waitlist",IF(L194=1,"Deferred",IF(G194="pending","Pending",IF(OR(G194="initial materials submitted",G194="mid-year submitted",G194="final submitted"),"Submitted",IF(H194="interest","Interest","?"))))))))</f>
        <v>0</v>
      </c>
      <c r="AP194">
        <f>IF(OR(AN194=ReachLabel,AN194=LongshotLabel,AN194=HailMaryLabel),1,0)</f>
        <v>0</v>
      </c>
      <c r="AQ194">
        <f>IF(OR(AP194=1,AN194=MatchLabel),1,0)</f>
        <v>0</v>
      </c>
      <c r="AR194">
        <f>IF(OR(AN194=MatchLabel,AN194=SafetyLabel,AN194=SecureLabel,AN194=SureThingLabel),1,0)</f>
        <v>0</v>
      </c>
      <c r="AS194">
        <f>IF(OR(W194="H",W194="B",W194="I",W194="M"),IF(ISNUMBER(AB194),ROUND(AB194,2),0),IF(ISNUMBER(AA194),ROUND(AA194,2),0))</f>
        <v>0</v>
      </c>
      <c r="AT194">
        <f>IF(AS194&gt;=X194,1,0)</f>
        <v>0</v>
      </c>
      <c r="AU194">
        <f>IF(AS194&gt;=Y194,1,0)</f>
        <v>0</v>
      </c>
      <c r="AV194">
        <f>IF(AS194&lt;(X194-0.10),1,0)</f>
        <v>0</v>
      </c>
      <c r="AW194">
        <f>1-AM194/100</f>
        <v>0</v>
      </c>
      <c r="AX194">
        <f>IF(AQ194=1,AW194,1)</f>
        <v>0</v>
      </c>
      <c r="AY194">
        <f>IF(AP194=1,AW194,1)</f>
        <v>0</v>
      </c>
      <c r="AZ194">
        <f>IF(AND(AT194=1,ISNUMBER(AW194)),$AW194,1)</f>
        <v>0</v>
      </c>
      <c r="BA194">
        <f>IF(AND(AU194=1,ISNUMBER(AW194)),$AW194,1)</f>
        <v>0</v>
      </c>
      <c r="BB194">
        <f>IF(ISNUMBER(AB194),INDEX(AllCollegeMoney, MATCH(N194,AllCollegeNCES,0)),0)</f>
        <v>0</v>
      </c>
      <c r="BC194">
        <f>IF(AND(AT194=1,ISNUMBER(AW194),BB194=1),$AW194,1)</f>
        <v>0</v>
      </c>
      <c r="BD194">
        <f>IF(AND(AU194=1,ISNUMBER(AW194),BB194=1),$AW194,1)</f>
        <v>0</v>
      </c>
      <c r="BE194">
        <f>IF(ISNUMBER(AB194),INDEX(AllCollegeILPub, MATCH(N194,AllCollegeNCES,0)),0)</f>
        <v>0</v>
      </c>
      <c r="BF194">
        <f>IF(AN194=ReachLabel,AS194,0)</f>
        <v>0</v>
      </c>
      <c r="BG194">
        <f>IF(AN194=MatchLabel,AS194,0)</f>
        <v>0</v>
      </c>
      <c r="BH194">
        <f>IF(AN194=SafetyLabel,AS194,0)</f>
        <v>0</v>
      </c>
      <c r="BI194">
        <f>IF(AN194=SecureLabel,AS194,0)</f>
        <v>0</v>
      </c>
      <c r="BJ194">
        <f>IF(AN194=SureThingLabel,AS194,0)</f>
        <v>0</v>
      </c>
      <c r="BK194">
        <f>MAX(BF194:BJ194)</f>
        <v>0</v>
      </c>
      <c r="BL194">
        <f>MAX(BG194:BJ194)</f>
        <v>0</v>
      </c>
      <c r="BM194">
        <f>MAX(BH194:BJ194)</f>
        <v>0</v>
      </c>
      <c r="BN194">
        <f>IF(AND(AN194=ReachLabel,BB194=1),AS194,0)</f>
        <v>0</v>
      </c>
      <c r="BO194">
        <f>IF(AND(AN194=MatchLabel,BB194=1),AS194,0)</f>
        <v>0</v>
      </c>
      <c r="BP194">
        <f>IF(AND(AN194=SafetyLabel,BB194=1),AS194,0)</f>
        <v>0</v>
      </c>
      <c r="BQ194">
        <f>IF(AND(AN194=SecureLabel,BB194=1),AS194,0)</f>
        <v>0</v>
      </c>
      <c r="BR194">
        <f>IF(AND(AN194=SureThingLabel,BB194=1),AS194,0)</f>
        <v>0</v>
      </c>
      <c r="BS194">
        <f>MAX(BN194:BR194)</f>
        <v>0</v>
      </c>
      <c r="BT194">
        <f>MAX(BO194:BR194)</f>
        <v>0</v>
      </c>
      <c r="BU194">
        <f>MAX(BP194:BR194)</f>
        <v>0</v>
      </c>
      <c r="BV194">
        <f>IF(ISNUMBER(AB194),INDEX(AllCollegeChicago, MATCH(N194,AllCollegeNCES,0))*BB194,0)</f>
        <v>0</v>
      </c>
      <c r="BW194">
        <f>IF(ISNUMBER(AB194),INDEX(AllCollegeMoneyCode, MATCH(N194,AllCollegeNCES,0)),"?")</f>
        <v>0</v>
      </c>
      <c r="BX194">
        <f>IF(OR(BW194="---",BW194="--",BW194="+/--",BW194="+/---"),1,0)</f>
        <v>0</v>
      </c>
      <c r="BY194">
        <f>BB194*AR194*AT194</f>
        <v>0</v>
      </c>
    </row>
    <row r="195" spans="1:77">
      <c r="A195" t="s">
        <v>96</v>
      </c>
      <c r="B195">
        <v>22939229</v>
      </c>
      <c r="C195" t="s">
        <v>336</v>
      </c>
      <c r="D195" t="s">
        <v>337</v>
      </c>
      <c r="E195" t="s">
        <v>446</v>
      </c>
      <c r="F195" t="s">
        <v>478</v>
      </c>
      <c r="G195" t="s">
        <v>448</v>
      </c>
      <c r="H195" t="s">
        <v>449</v>
      </c>
      <c r="I195" t="s">
        <v>450</v>
      </c>
      <c r="J195" t="s">
        <v>450</v>
      </c>
      <c r="K195">
        <v>0</v>
      </c>
      <c r="L195" t="s">
        <v>446</v>
      </c>
      <c r="M195" t="s">
        <v>446</v>
      </c>
      <c r="N195">
        <v>168546</v>
      </c>
      <c r="O195">
        <f>INDEX(Counselor,MATCH(B195,KidIDs,0))</f>
        <v>0</v>
      </c>
      <c r="P195">
        <f>INDEX(Advisors,MATCH(B195,KidIDs,0))</f>
        <v>0</v>
      </c>
      <c r="Q195">
        <f>INDEX(Cohort,MATCH(B195,KidIDs,0))</f>
        <v>0</v>
      </c>
      <c r="R195">
        <f>INDEX(AllCollegeBarrons,MATCH(N195,AllCollegeNCES,0))</f>
        <v>0</v>
      </c>
      <c r="S195">
        <f>INDEX(KidGPAs,MATCH(B195,KidIDs,0))</f>
        <v>0</v>
      </c>
      <c r="T195">
        <f>INDEX(KidSATs,MATCH(B195,KidIDs,0))</f>
        <v>0</v>
      </c>
      <c r="U195">
        <f>INDEX(Strats,MATCH(B195,KidIDs,0))</f>
        <v>0</v>
      </c>
      <c r="V195">
        <f>INDEX(KidRace,MATCH(B195,KidIDs,0))</f>
        <v>0</v>
      </c>
      <c r="W195">
        <f>IF(OR(V195="M",V195="I"),"H",IF(V195="P","A",V195))</f>
        <v>0</v>
      </c>
      <c r="X195">
        <f>INDEX(StudentTargets,MATCH(B195,KidIDs,0))</f>
        <v>0</v>
      </c>
      <c r="Y195">
        <f>INDEX(ReachStudentTargets,MATCH(B195,KidIDs,0))</f>
        <v>0</v>
      </c>
      <c r="Z195">
        <f>IF(OR(M195="Posse"),1,0)</f>
        <v>0</v>
      </c>
      <c r="AA195">
        <f>IF(ISNUMBER(INDEX(AllCollegeGR, MATCH(N195,AllCollegeNCES,0))),ROUND(INDEX(AllCollegeGR, MATCH(N195,AllCollegeNCES,0))+Z195*IF(INDEX(AllCollegeGR, MATCH(N195,AllCollegeNCES,0))&gt;0.7,(1-INDEX(AllCollegeGR, MATCH(N195,AllCollegeNCES,0)))/2,0.15),2),INDEX(AllCollegeGR, MATCH(N195,AllCollegeNCES,0)))</f>
        <v>0</v>
      </c>
      <c r="AB195">
        <f>IF(ISNUMBER(INDEX(AllCollegeAAHGR, MATCH(N195,AllCollegeNCES,0))),ROUND(INDEX(AllCollegeAAHGR, MATCH(N195,AllCollegeNCES,0))+Z195*IF(INDEX(AllCollegeAAHGR, MATCH(N195,AllCollegeNCES,0))&gt;0.7,(1-INDEX(AllCollegeAAHGR, MATCH(N195,AllCollegeNCES,0)))/2,0.15),2),INDEX(AllCollegeAAHGR, MATCH(N195,AllCollegeNCES,0)))</f>
        <v>0</v>
      </c>
      <c r="AC195">
        <f>IF(OR(W195="H",W195="B"),INDEX(AllCollegeSAT25, MATCH(N195,AllCollegeNCES,0)),INDEX(AllCollegeSAT50, MATCH(N195,AllCollegeNCES,0)))</f>
        <v>0</v>
      </c>
      <c r="AD195">
        <f>INDEX(CustomWeightsGPA,MATCH(W195&amp;":"&amp;N195,CustomWeightsIndex,0))</f>
        <v>0</v>
      </c>
      <c r="AE195">
        <f>INDEX(CustomWeightsSAT,MATCH(W195&amp;":"&amp;N195,CustomWeightsIndex,0))</f>
        <v>0</v>
      </c>
      <c r="AF195">
        <f>INDEX(CustomWeightsIntercept,MATCH(W195&amp;":"&amp;N195,CustomWeightsIndex,0))</f>
        <v>0</v>
      </c>
      <c r="AG195">
        <f>AD195*S195+AE195*T195+AF195</f>
        <v>0</v>
      </c>
      <c r="AH195">
        <f>INDEX(CoefficientsGPA,MATCH(W195&amp;":"&amp;R195,CoefficientsIndex,0))</f>
        <v>0</v>
      </c>
      <c r="AI195">
        <f>INDEX(CoefficientsSAT,MATCH(W195&amp;":"&amp;R195,CoefficientsIndex,0))</f>
        <v>0</v>
      </c>
      <c r="AJ195">
        <f>INDEX(CoefficientsIntercept,MATCH(W195&amp;":"&amp;R195,CoefficientsIndex,0))</f>
        <v>0</v>
      </c>
      <c r="AK195">
        <f>AH195*S195+(T195-AC195)*AI195+AJ195</f>
        <v>0</v>
      </c>
      <c r="AL195">
        <f>IF(ISNUMBER(AG195),AG195,AK195)</f>
        <v>0</v>
      </c>
      <c r="AM195">
        <f>IF(ISNUMBER(AL195),IF(ISNUMBER(AH195),IF(AND(AH195=1,AI195=1,AJ195=1),100,MIN(99,ROUND(100*EXP(AL195)/(1+EXP(AL195)),2))),MIN(99,ROUND(100*EXP(AL195)/(1+EXP(AL195)),2))),IF(ISTEXT(R195),IF(LEFT(R195,1)="2",100,"N/A"),"N/A"))</f>
        <v>0</v>
      </c>
      <c r="AN195">
        <f>IF(ISNUMBER(AM195),IF(AM195&gt;=99,IF(OR(U195=10,U195=11),MatchLabel,SureThingLabel),IF(AM195&gt;=95,SecureLabel,IF(AM195&gt;=80,SafetyLabel,IF(AM195&gt;=50,MatchLabel,IF(AM195&gt;=20,ReachLabel,IF(AM195&gt;=10,LongshotLabel,HailMaryLabel)))))),"Other")</f>
        <v>0</v>
      </c>
      <c r="AO195">
        <f>IF(OR(I195="accepted",I195="cond. accept",I195="summer admit"),IF(J195="yes","CHOICE!","Accepted!"),IF(I195="guar. transfer","Guar. Xfer",IF(I195="denied","Denied",IF(K195=1,"Waitlist",IF(L195=1,"Deferred",IF(G195="pending","Pending",IF(OR(G195="initial materials submitted",G195="mid-year submitted",G195="final submitted"),"Submitted",IF(H195="interest","Interest","?"))))))))</f>
        <v>0</v>
      </c>
      <c r="AP195">
        <f>IF(OR(AN195=ReachLabel,AN195=LongshotLabel,AN195=HailMaryLabel),1,0)</f>
        <v>0</v>
      </c>
      <c r="AQ195">
        <f>IF(OR(AP195=1,AN195=MatchLabel),1,0)</f>
        <v>0</v>
      </c>
      <c r="AR195">
        <f>IF(OR(AN195=MatchLabel,AN195=SafetyLabel,AN195=SecureLabel,AN195=SureThingLabel),1,0)</f>
        <v>0</v>
      </c>
      <c r="AS195">
        <f>IF(OR(W195="H",W195="B",W195="I",W195="M"),IF(ISNUMBER(AB195),ROUND(AB195,2),0),IF(ISNUMBER(AA195),ROUND(AA195,2),0))</f>
        <v>0</v>
      </c>
      <c r="AT195">
        <f>IF(AS195&gt;=X195,1,0)</f>
        <v>0</v>
      </c>
      <c r="AU195">
        <f>IF(AS195&gt;=Y195,1,0)</f>
        <v>0</v>
      </c>
      <c r="AV195">
        <f>IF(AS195&lt;(X195-0.10),1,0)</f>
        <v>0</v>
      </c>
      <c r="AW195">
        <f>1-AM195/100</f>
        <v>0</v>
      </c>
      <c r="AX195">
        <f>IF(AQ195=1,AW195,1)</f>
        <v>0</v>
      </c>
      <c r="AY195">
        <f>IF(AP195=1,AW195,1)</f>
        <v>0</v>
      </c>
      <c r="AZ195">
        <f>IF(AND(AT195=1,ISNUMBER(AW195)),$AW195,1)</f>
        <v>0</v>
      </c>
      <c r="BA195">
        <f>IF(AND(AU195=1,ISNUMBER(AW195)),$AW195,1)</f>
        <v>0</v>
      </c>
      <c r="BB195">
        <f>IF(ISNUMBER(AB195),INDEX(AllCollegeMoney, MATCH(N195,AllCollegeNCES,0)),0)</f>
        <v>0</v>
      </c>
      <c r="BC195">
        <f>IF(AND(AT195=1,ISNUMBER(AW195),BB195=1),$AW195,1)</f>
        <v>0</v>
      </c>
      <c r="BD195">
        <f>IF(AND(AU195=1,ISNUMBER(AW195),BB195=1),$AW195,1)</f>
        <v>0</v>
      </c>
      <c r="BE195">
        <f>IF(ISNUMBER(AB195),INDEX(AllCollegeILPub, MATCH(N195,AllCollegeNCES,0)),0)</f>
        <v>0</v>
      </c>
      <c r="BF195">
        <f>IF(AN195=ReachLabel,AS195,0)</f>
        <v>0</v>
      </c>
      <c r="BG195">
        <f>IF(AN195=MatchLabel,AS195,0)</f>
        <v>0</v>
      </c>
      <c r="BH195">
        <f>IF(AN195=SafetyLabel,AS195,0)</f>
        <v>0</v>
      </c>
      <c r="BI195">
        <f>IF(AN195=SecureLabel,AS195,0)</f>
        <v>0</v>
      </c>
      <c r="BJ195">
        <f>IF(AN195=SureThingLabel,AS195,0)</f>
        <v>0</v>
      </c>
      <c r="BK195">
        <f>MAX(BF195:BJ195)</f>
        <v>0</v>
      </c>
      <c r="BL195">
        <f>MAX(BG195:BJ195)</f>
        <v>0</v>
      </c>
      <c r="BM195">
        <f>MAX(BH195:BJ195)</f>
        <v>0</v>
      </c>
      <c r="BN195">
        <f>IF(AND(AN195=ReachLabel,BB195=1),AS195,0)</f>
        <v>0</v>
      </c>
      <c r="BO195">
        <f>IF(AND(AN195=MatchLabel,BB195=1),AS195,0)</f>
        <v>0</v>
      </c>
      <c r="BP195">
        <f>IF(AND(AN195=SafetyLabel,BB195=1),AS195,0)</f>
        <v>0</v>
      </c>
      <c r="BQ195">
        <f>IF(AND(AN195=SecureLabel,BB195=1),AS195,0)</f>
        <v>0</v>
      </c>
      <c r="BR195">
        <f>IF(AND(AN195=SureThingLabel,BB195=1),AS195,0)</f>
        <v>0</v>
      </c>
      <c r="BS195">
        <f>MAX(BN195:BR195)</f>
        <v>0</v>
      </c>
      <c r="BT195">
        <f>MAX(BO195:BR195)</f>
        <v>0</v>
      </c>
      <c r="BU195">
        <f>MAX(BP195:BR195)</f>
        <v>0</v>
      </c>
      <c r="BV195">
        <f>IF(ISNUMBER(AB195),INDEX(AllCollegeChicago, MATCH(N195,AllCollegeNCES,0))*BB195,0)</f>
        <v>0</v>
      </c>
      <c r="BW195">
        <f>IF(ISNUMBER(AB195),INDEX(AllCollegeMoneyCode, MATCH(N195,AllCollegeNCES,0)),"?")</f>
        <v>0</v>
      </c>
      <c r="BX195">
        <f>IF(OR(BW195="---",BW195="--",BW195="+/--",BW195="+/---"),1,0)</f>
        <v>0</v>
      </c>
      <c r="BY195">
        <f>BB195*AR195*AT195</f>
        <v>0</v>
      </c>
    </row>
    <row r="196" spans="1:77">
      <c r="A196" t="s">
        <v>96</v>
      </c>
      <c r="B196">
        <v>22939229</v>
      </c>
      <c r="C196" t="s">
        <v>336</v>
      </c>
      <c r="D196" t="s">
        <v>337</v>
      </c>
      <c r="E196" t="s">
        <v>446</v>
      </c>
      <c r="F196" t="s">
        <v>517</v>
      </c>
      <c r="G196" t="s">
        <v>448</v>
      </c>
      <c r="H196" t="s">
        <v>449</v>
      </c>
      <c r="I196" t="s">
        <v>450</v>
      </c>
      <c r="J196" t="s">
        <v>450</v>
      </c>
      <c r="K196">
        <v>0</v>
      </c>
      <c r="L196" t="s">
        <v>446</v>
      </c>
      <c r="M196" t="s">
        <v>446</v>
      </c>
      <c r="N196">
        <v>143048</v>
      </c>
      <c r="O196">
        <f>INDEX(Counselor,MATCH(B196,KidIDs,0))</f>
        <v>0</v>
      </c>
      <c r="P196">
        <f>INDEX(Advisors,MATCH(B196,KidIDs,0))</f>
        <v>0</v>
      </c>
      <c r="Q196">
        <f>INDEX(Cohort,MATCH(B196,KidIDs,0))</f>
        <v>0</v>
      </c>
      <c r="R196">
        <f>INDEX(AllCollegeBarrons,MATCH(N196,AllCollegeNCES,0))</f>
        <v>0</v>
      </c>
      <c r="S196">
        <f>INDEX(KidGPAs,MATCH(B196,KidIDs,0))</f>
        <v>0</v>
      </c>
      <c r="T196">
        <f>INDEX(KidSATs,MATCH(B196,KidIDs,0))</f>
        <v>0</v>
      </c>
      <c r="U196">
        <f>INDEX(Strats,MATCH(B196,KidIDs,0))</f>
        <v>0</v>
      </c>
      <c r="V196">
        <f>INDEX(KidRace,MATCH(B196,KidIDs,0))</f>
        <v>0</v>
      </c>
      <c r="W196">
        <f>IF(OR(V196="M",V196="I"),"H",IF(V196="P","A",V196))</f>
        <v>0</v>
      </c>
      <c r="X196">
        <f>INDEX(StudentTargets,MATCH(B196,KidIDs,0))</f>
        <v>0</v>
      </c>
      <c r="Y196">
        <f>INDEX(ReachStudentTargets,MATCH(B196,KidIDs,0))</f>
        <v>0</v>
      </c>
      <c r="Z196">
        <f>IF(OR(M196="Posse"),1,0)</f>
        <v>0</v>
      </c>
      <c r="AA196">
        <f>IF(ISNUMBER(INDEX(AllCollegeGR, MATCH(N196,AllCollegeNCES,0))),ROUND(INDEX(AllCollegeGR, MATCH(N196,AllCollegeNCES,0))+Z196*IF(INDEX(AllCollegeGR, MATCH(N196,AllCollegeNCES,0))&gt;0.7,(1-INDEX(AllCollegeGR, MATCH(N196,AllCollegeNCES,0)))/2,0.15),2),INDEX(AllCollegeGR, MATCH(N196,AllCollegeNCES,0)))</f>
        <v>0</v>
      </c>
      <c r="AB196">
        <f>IF(ISNUMBER(INDEX(AllCollegeAAHGR, MATCH(N196,AllCollegeNCES,0))),ROUND(INDEX(AllCollegeAAHGR, MATCH(N196,AllCollegeNCES,0))+Z196*IF(INDEX(AllCollegeAAHGR, MATCH(N196,AllCollegeNCES,0))&gt;0.7,(1-INDEX(AllCollegeAAHGR, MATCH(N196,AllCollegeNCES,0)))/2,0.15),2),INDEX(AllCollegeAAHGR, MATCH(N196,AllCollegeNCES,0)))</f>
        <v>0</v>
      </c>
      <c r="AC196">
        <f>IF(OR(W196="H",W196="B"),INDEX(AllCollegeSAT25, MATCH(N196,AllCollegeNCES,0)),INDEX(AllCollegeSAT50, MATCH(N196,AllCollegeNCES,0)))</f>
        <v>0</v>
      </c>
      <c r="AD196">
        <f>INDEX(CustomWeightsGPA,MATCH(W196&amp;":"&amp;N196,CustomWeightsIndex,0))</f>
        <v>0</v>
      </c>
      <c r="AE196">
        <f>INDEX(CustomWeightsSAT,MATCH(W196&amp;":"&amp;N196,CustomWeightsIndex,0))</f>
        <v>0</v>
      </c>
      <c r="AF196">
        <f>INDEX(CustomWeightsIntercept,MATCH(W196&amp;":"&amp;N196,CustomWeightsIndex,0))</f>
        <v>0</v>
      </c>
      <c r="AG196">
        <f>AD196*S196+AE196*T196+AF196</f>
        <v>0</v>
      </c>
      <c r="AH196">
        <f>INDEX(CoefficientsGPA,MATCH(W196&amp;":"&amp;R196,CoefficientsIndex,0))</f>
        <v>0</v>
      </c>
      <c r="AI196">
        <f>INDEX(CoefficientsSAT,MATCH(W196&amp;":"&amp;R196,CoefficientsIndex,0))</f>
        <v>0</v>
      </c>
      <c r="AJ196">
        <f>INDEX(CoefficientsIntercept,MATCH(W196&amp;":"&amp;R196,CoefficientsIndex,0))</f>
        <v>0</v>
      </c>
      <c r="AK196">
        <f>AH196*S196+(T196-AC196)*AI196+AJ196</f>
        <v>0</v>
      </c>
      <c r="AL196">
        <f>IF(ISNUMBER(AG196),AG196,AK196)</f>
        <v>0</v>
      </c>
      <c r="AM196">
        <f>IF(ISNUMBER(AL196),IF(ISNUMBER(AH196),IF(AND(AH196=1,AI196=1,AJ196=1),100,MIN(99,ROUND(100*EXP(AL196)/(1+EXP(AL196)),2))),MIN(99,ROUND(100*EXP(AL196)/(1+EXP(AL196)),2))),IF(ISTEXT(R196),IF(LEFT(R196,1)="2",100,"N/A"),"N/A"))</f>
        <v>0</v>
      </c>
      <c r="AN196">
        <f>IF(ISNUMBER(AM196),IF(AM196&gt;=99,IF(OR(U196=10,U196=11),MatchLabel,SureThingLabel),IF(AM196&gt;=95,SecureLabel,IF(AM196&gt;=80,SafetyLabel,IF(AM196&gt;=50,MatchLabel,IF(AM196&gt;=20,ReachLabel,IF(AM196&gt;=10,LongshotLabel,HailMaryLabel)))))),"Other")</f>
        <v>0</v>
      </c>
      <c r="AO196">
        <f>IF(OR(I196="accepted",I196="cond. accept",I196="summer admit"),IF(J196="yes","CHOICE!","Accepted!"),IF(I196="guar. transfer","Guar. Xfer",IF(I196="denied","Denied",IF(K196=1,"Waitlist",IF(L196=1,"Deferred",IF(G196="pending","Pending",IF(OR(G196="initial materials submitted",G196="mid-year submitted",G196="final submitted"),"Submitted",IF(H196="interest","Interest","?"))))))))</f>
        <v>0</v>
      </c>
      <c r="AP196">
        <f>IF(OR(AN196=ReachLabel,AN196=LongshotLabel,AN196=HailMaryLabel),1,0)</f>
        <v>0</v>
      </c>
      <c r="AQ196">
        <f>IF(OR(AP196=1,AN196=MatchLabel),1,0)</f>
        <v>0</v>
      </c>
      <c r="AR196">
        <f>IF(OR(AN196=MatchLabel,AN196=SafetyLabel,AN196=SecureLabel,AN196=SureThingLabel),1,0)</f>
        <v>0</v>
      </c>
      <c r="AS196">
        <f>IF(OR(W196="H",W196="B",W196="I",W196="M"),IF(ISNUMBER(AB196),ROUND(AB196,2),0),IF(ISNUMBER(AA196),ROUND(AA196,2),0))</f>
        <v>0</v>
      </c>
      <c r="AT196">
        <f>IF(AS196&gt;=X196,1,0)</f>
        <v>0</v>
      </c>
      <c r="AU196">
        <f>IF(AS196&gt;=Y196,1,0)</f>
        <v>0</v>
      </c>
      <c r="AV196">
        <f>IF(AS196&lt;(X196-0.10),1,0)</f>
        <v>0</v>
      </c>
      <c r="AW196">
        <f>1-AM196/100</f>
        <v>0</v>
      </c>
      <c r="AX196">
        <f>IF(AQ196=1,AW196,1)</f>
        <v>0</v>
      </c>
      <c r="AY196">
        <f>IF(AP196=1,AW196,1)</f>
        <v>0</v>
      </c>
      <c r="AZ196">
        <f>IF(AND(AT196=1,ISNUMBER(AW196)),$AW196,1)</f>
        <v>0</v>
      </c>
      <c r="BA196">
        <f>IF(AND(AU196=1,ISNUMBER(AW196)),$AW196,1)</f>
        <v>0</v>
      </c>
      <c r="BB196">
        <f>IF(ISNUMBER(AB196),INDEX(AllCollegeMoney, MATCH(N196,AllCollegeNCES,0)),0)</f>
        <v>0</v>
      </c>
      <c r="BC196">
        <f>IF(AND(AT196=1,ISNUMBER(AW196),BB196=1),$AW196,1)</f>
        <v>0</v>
      </c>
      <c r="BD196">
        <f>IF(AND(AU196=1,ISNUMBER(AW196),BB196=1),$AW196,1)</f>
        <v>0</v>
      </c>
      <c r="BE196">
        <f>IF(ISNUMBER(AB196),INDEX(AllCollegeILPub, MATCH(N196,AllCollegeNCES,0)),0)</f>
        <v>0</v>
      </c>
      <c r="BF196">
        <f>IF(AN196=ReachLabel,AS196,0)</f>
        <v>0</v>
      </c>
      <c r="BG196">
        <f>IF(AN196=MatchLabel,AS196,0)</f>
        <v>0</v>
      </c>
      <c r="BH196">
        <f>IF(AN196=SafetyLabel,AS196,0)</f>
        <v>0</v>
      </c>
      <c r="BI196">
        <f>IF(AN196=SecureLabel,AS196,0)</f>
        <v>0</v>
      </c>
      <c r="BJ196">
        <f>IF(AN196=SureThingLabel,AS196,0)</f>
        <v>0</v>
      </c>
      <c r="BK196">
        <f>MAX(BF196:BJ196)</f>
        <v>0</v>
      </c>
      <c r="BL196">
        <f>MAX(BG196:BJ196)</f>
        <v>0</v>
      </c>
      <c r="BM196">
        <f>MAX(BH196:BJ196)</f>
        <v>0</v>
      </c>
      <c r="BN196">
        <f>IF(AND(AN196=ReachLabel,BB196=1),AS196,0)</f>
        <v>0</v>
      </c>
      <c r="BO196">
        <f>IF(AND(AN196=MatchLabel,BB196=1),AS196,0)</f>
        <v>0</v>
      </c>
      <c r="BP196">
        <f>IF(AND(AN196=SafetyLabel,BB196=1),AS196,0)</f>
        <v>0</v>
      </c>
      <c r="BQ196">
        <f>IF(AND(AN196=SecureLabel,BB196=1),AS196,0)</f>
        <v>0</v>
      </c>
      <c r="BR196">
        <f>IF(AND(AN196=SureThingLabel,BB196=1),AS196,0)</f>
        <v>0</v>
      </c>
      <c r="BS196">
        <f>MAX(BN196:BR196)</f>
        <v>0</v>
      </c>
      <c r="BT196">
        <f>MAX(BO196:BR196)</f>
        <v>0</v>
      </c>
      <c r="BU196">
        <f>MAX(BP196:BR196)</f>
        <v>0</v>
      </c>
      <c r="BV196">
        <f>IF(ISNUMBER(AB196),INDEX(AllCollegeChicago, MATCH(N196,AllCollegeNCES,0))*BB196,0)</f>
        <v>0</v>
      </c>
      <c r="BW196">
        <f>IF(ISNUMBER(AB196),INDEX(AllCollegeMoneyCode, MATCH(N196,AllCollegeNCES,0)),"?")</f>
        <v>0</v>
      </c>
      <c r="BX196">
        <f>IF(OR(BW196="---",BW196="--",BW196="+/--",BW196="+/---"),1,0)</f>
        <v>0</v>
      </c>
      <c r="BY196">
        <f>BB196*AR196*AT196</f>
        <v>0</v>
      </c>
    </row>
    <row r="197" spans="1:77">
      <c r="A197" t="s">
        <v>96</v>
      </c>
      <c r="B197">
        <v>22942005</v>
      </c>
      <c r="C197" t="s">
        <v>165</v>
      </c>
      <c r="D197" t="s">
        <v>166</v>
      </c>
      <c r="E197" t="s">
        <v>446</v>
      </c>
      <c r="F197" t="s">
        <v>476</v>
      </c>
      <c r="G197" t="s">
        <v>448</v>
      </c>
      <c r="H197" t="s">
        <v>449</v>
      </c>
      <c r="I197" t="s">
        <v>450</v>
      </c>
      <c r="J197" t="s">
        <v>450</v>
      </c>
      <c r="K197">
        <v>0</v>
      </c>
      <c r="L197" t="s">
        <v>446</v>
      </c>
      <c r="M197" t="s">
        <v>446</v>
      </c>
      <c r="N197">
        <v>213668</v>
      </c>
      <c r="O197">
        <f>INDEX(Counselor,MATCH(B197,KidIDs,0))</f>
        <v>0</v>
      </c>
      <c r="P197">
        <f>INDEX(Advisors,MATCH(B197,KidIDs,0))</f>
        <v>0</v>
      </c>
      <c r="Q197">
        <f>INDEX(Cohort,MATCH(B197,KidIDs,0))</f>
        <v>0</v>
      </c>
      <c r="R197">
        <f>INDEX(AllCollegeBarrons,MATCH(N197,AllCollegeNCES,0))</f>
        <v>0</v>
      </c>
      <c r="S197">
        <f>INDEX(KidGPAs,MATCH(B197,KidIDs,0))</f>
        <v>0</v>
      </c>
      <c r="T197">
        <f>INDEX(KidSATs,MATCH(B197,KidIDs,0))</f>
        <v>0</v>
      </c>
      <c r="U197">
        <f>INDEX(Strats,MATCH(B197,KidIDs,0))</f>
        <v>0</v>
      </c>
      <c r="V197">
        <f>INDEX(KidRace,MATCH(B197,KidIDs,0))</f>
        <v>0</v>
      </c>
      <c r="W197">
        <f>IF(OR(V197="M",V197="I"),"H",IF(V197="P","A",V197))</f>
        <v>0</v>
      </c>
      <c r="X197">
        <f>INDEX(StudentTargets,MATCH(B197,KidIDs,0))</f>
        <v>0</v>
      </c>
      <c r="Y197">
        <f>INDEX(ReachStudentTargets,MATCH(B197,KidIDs,0))</f>
        <v>0</v>
      </c>
      <c r="Z197">
        <f>IF(OR(M197="Posse"),1,0)</f>
        <v>0</v>
      </c>
      <c r="AA197">
        <f>IF(ISNUMBER(INDEX(AllCollegeGR, MATCH(N197,AllCollegeNCES,0))),ROUND(INDEX(AllCollegeGR, MATCH(N197,AllCollegeNCES,0))+Z197*IF(INDEX(AllCollegeGR, MATCH(N197,AllCollegeNCES,0))&gt;0.7,(1-INDEX(AllCollegeGR, MATCH(N197,AllCollegeNCES,0)))/2,0.15),2),INDEX(AllCollegeGR, MATCH(N197,AllCollegeNCES,0)))</f>
        <v>0</v>
      </c>
      <c r="AB197">
        <f>IF(ISNUMBER(INDEX(AllCollegeAAHGR, MATCH(N197,AllCollegeNCES,0))),ROUND(INDEX(AllCollegeAAHGR, MATCH(N197,AllCollegeNCES,0))+Z197*IF(INDEX(AllCollegeAAHGR, MATCH(N197,AllCollegeNCES,0))&gt;0.7,(1-INDEX(AllCollegeAAHGR, MATCH(N197,AllCollegeNCES,0)))/2,0.15),2),INDEX(AllCollegeAAHGR, MATCH(N197,AllCollegeNCES,0)))</f>
        <v>0</v>
      </c>
      <c r="AC197">
        <f>IF(OR(W197="H",W197="B"),INDEX(AllCollegeSAT25, MATCH(N197,AllCollegeNCES,0)),INDEX(AllCollegeSAT50, MATCH(N197,AllCollegeNCES,0)))</f>
        <v>0</v>
      </c>
      <c r="AD197">
        <f>INDEX(CustomWeightsGPA,MATCH(W197&amp;":"&amp;N197,CustomWeightsIndex,0))</f>
        <v>0</v>
      </c>
      <c r="AE197">
        <f>INDEX(CustomWeightsSAT,MATCH(W197&amp;":"&amp;N197,CustomWeightsIndex,0))</f>
        <v>0</v>
      </c>
      <c r="AF197">
        <f>INDEX(CustomWeightsIntercept,MATCH(W197&amp;":"&amp;N197,CustomWeightsIndex,0))</f>
        <v>0</v>
      </c>
      <c r="AG197">
        <f>AD197*S197+AE197*T197+AF197</f>
        <v>0</v>
      </c>
      <c r="AH197">
        <f>INDEX(CoefficientsGPA,MATCH(W197&amp;":"&amp;R197,CoefficientsIndex,0))</f>
        <v>0</v>
      </c>
      <c r="AI197">
        <f>INDEX(CoefficientsSAT,MATCH(W197&amp;":"&amp;R197,CoefficientsIndex,0))</f>
        <v>0</v>
      </c>
      <c r="AJ197">
        <f>INDEX(CoefficientsIntercept,MATCH(W197&amp;":"&amp;R197,CoefficientsIndex,0))</f>
        <v>0</v>
      </c>
      <c r="AK197">
        <f>AH197*S197+(T197-AC197)*AI197+AJ197</f>
        <v>0</v>
      </c>
      <c r="AL197">
        <f>IF(ISNUMBER(AG197),AG197,AK197)</f>
        <v>0</v>
      </c>
      <c r="AM197">
        <f>IF(ISNUMBER(AL197),IF(ISNUMBER(AH197),IF(AND(AH197=1,AI197=1,AJ197=1),100,MIN(99,ROUND(100*EXP(AL197)/(1+EXP(AL197)),2))),MIN(99,ROUND(100*EXP(AL197)/(1+EXP(AL197)),2))),IF(ISTEXT(R197),IF(LEFT(R197,1)="2",100,"N/A"),"N/A"))</f>
        <v>0</v>
      </c>
      <c r="AN197">
        <f>IF(ISNUMBER(AM197),IF(AM197&gt;=99,IF(OR(U197=10,U197=11),MatchLabel,SureThingLabel),IF(AM197&gt;=95,SecureLabel,IF(AM197&gt;=80,SafetyLabel,IF(AM197&gt;=50,MatchLabel,IF(AM197&gt;=20,ReachLabel,IF(AM197&gt;=10,LongshotLabel,HailMaryLabel)))))),"Other")</f>
        <v>0</v>
      </c>
      <c r="AO197">
        <f>IF(OR(I197="accepted",I197="cond. accept",I197="summer admit"),IF(J197="yes","CHOICE!","Accepted!"),IF(I197="guar. transfer","Guar. Xfer",IF(I197="denied","Denied",IF(K197=1,"Waitlist",IF(L197=1,"Deferred",IF(G197="pending","Pending",IF(OR(G197="initial materials submitted",G197="mid-year submitted",G197="final submitted"),"Submitted",IF(H197="interest","Interest","?"))))))))</f>
        <v>0</v>
      </c>
      <c r="AP197">
        <f>IF(OR(AN197=ReachLabel,AN197=LongshotLabel,AN197=HailMaryLabel),1,0)</f>
        <v>0</v>
      </c>
      <c r="AQ197">
        <f>IF(OR(AP197=1,AN197=MatchLabel),1,0)</f>
        <v>0</v>
      </c>
      <c r="AR197">
        <f>IF(OR(AN197=MatchLabel,AN197=SafetyLabel,AN197=SecureLabel,AN197=SureThingLabel),1,0)</f>
        <v>0</v>
      </c>
      <c r="AS197">
        <f>IF(OR(W197="H",W197="B",W197="I",W197="M"),IF(ISNUMBER(AB197),ROUND(AB197,2),0),IF(ISNUMBER(AA197),ROUND(AA197,2),0))</f>
        <v>0</v>
      </c>
      <c r="AT197">
        <f>IF(AS197&gt;=X197,1,0)</f>
        <v>0</v>
      </c>
      <c r="AU197">
        <f>IF(AS197&gt;=Y197,1,0)</f>
        <v>0</v>
      </c>
      <c r="AV197">
        <f>IF(AS197&lt;(X197-0.10),1,0)</f>
        <v>0</v>
      </c>
      <c r="AW197">
        <f>1-AM197/100</f>
        <v>0</v>
      </c>
      <c r="AX197">
        <f>IF(AQ197=1,AW197,1)</f>
        <v>0</v>
      </c>
      <c r="AY197">
        <f>IF(AP197=1,AW197,1)</f>
        <v>0</v>
      </c>
      <c r="AZ197">
        <f>IF(AND(AT197=1,ISNUMBER(AW197)),$AW197,1)</f>
        <v>0</v>
      </c>
      <c r="BA197">
        <f>IF(AND(AU197=1,ISNUMBER(AW197)),$AW197,1)</f>
        <v>0</v>
      </c>
      <c r="BB197">
        <f>IF(ISNUMBER(AB197),INDEX(AllCollegeMoney, MATCH(N197,AllCollegeNCES,0)),0)</f>
        <v>0</v>
      </c>
      <c r="BC197">
        <f>IF(AND(AT197=1,ISNUMBER(AW197),BB197=1),$AW197,1)</f>
        <v>0</v>
      </c>
      <c r="BD197">
        <f>IF(AND(AU197=1,ISNUMBER(AW197),BB197=1),$AW197,1)</f>
        <v>0</v>
      </c>
      <c r="BE197">
        <f>IF(ISNUMBER(AB197),INDEX(AllCollegeILPub, MATCH(N197,AllCollegeNCES,0)),0)</f>
        <v>0</v>
      </c>
      <c r="BF197">
        <f>IF(AN197=ReachLabel,AS197,0)</f>
        <v>0</v>
      </c>
      <c r="BG197">
        <f>IF(AN197=MatchLabel,AS197,0)</f>
        <v>0</v>
      </c>
      <c r="BH197">
        <f>IF(AN197=SafetyLabel,AS197,0)</f>
        <v>0</v>
      </c>
      <c r="BI197">
        <f>IF(AN197=SecureLabel,AS197,0)</f>
        <v>0</v>
      </c>
      <c r="BJ197">
        <f>IF(AN197=SureThingLabel,AS197,0)</f>
        <v>0</v>
      </c>
      <c r="BK197">
        <f>MAX(BF197:BJ197)</f>
        <v>0</v>
      </c>
      <c r="BL197">
        <f>MAX(BG197:BJ197)</f>
        <v>0</v>
      </c>
      <c r="BM197">
        <f>MAX(BH197:BJ197)</f>
        <v>0</v>
      </c>
      <c r="BN197">
        <f>IF(AND(AN197=ReachLabel,BB197=1),AS197,0)</f>
        <v>0</v>
      </c>
      <c r="BO197">
        <f>IF(AND(AN197=MatchLabel,BB197=1),AS197,0)</f>
        <v>0</v>
      </c>
      <c r="BP197">
        <f>IF(AND(AN197=SafetyLabel,BB197=1),AS197,0)</f>
        <v>0</v>
      </c>
      <c r="BQ197">
        <f>IF(AND(AN197=SecureLabel,BB197=1),AS197,0)</f>
        <v>0</v>
      </c>
      <c r="BR197">
        <f>IF(AND(AN197=SureThingLabel,BB197=1),AS197,0)</f>
        <v>0</v>
      </c>
      <c r="BS197">
        <f>MAX(BN197:BR197)</f>
        <v>0</v>
      </c>
      <c r="BT197">
        <f>MAX(BO197:BR197)</f>
        <v>0</v>
      </c>
      <c r="BU197">
        <f>MAX(BP197:BR197)</f>
        <v>0</v>
      </c>
      <c r="BV197">
        <f>IF(ISNUMBER(AB197),INDEX(AllCollegeChicago, MATCH(N197,AllCollegeNCES,0))*BB197,0)</f>
        <v>0</v>
      </c>
      <c r="BW197">
        <f>IF(ISNUMBER(AB197),INDEX(AllCollegeMoneyCode, MATCH(N197,AllCollegeNCES,0)),"?")</f>
        <v>0</v>
      </c>
      <c r="BX197">
        <f>IF(OR(BW197="---",BW197="--",BW197="+/--",BW197="+/---"),1,0)</f>
        <v>0</v>
      </c>
      <c r="BY197">
        <f>BB197*AR197*AT197</f>
        <v>0</v>
      </c>
    </row>
    <row r="198" spans="1:77">
      <c r="A198" t="s">
        <v>96</v>
      </c>
      <c r="B198">
        <v>22942005</v>
      </c>
      <c r="C198" t="s">
        <v>165</v>
      </c>
      <c r="D198" t="s">
        <v>166</v>
      </c>
      <c r="E198" t="s">
        <v>446</v>
      </c>
      <c r="F198" t="s">
        <v>477</v>
      </c>
      <c r="G198" t="s">
        <v>448</v>
      </c>
      <c r="H198" t="s">
        <v>449</v>
      </c>
      <c r="I198" t="s">
        <v>450</v>
      </c>
      <c r="J198" t="s">
        <v>450</v>
      </c>
      <c r="K198">
        <v>0</v>
      </c>
      <c r="L198" t="s">
        <v>446</v>
      </c>
      <c r="M198" t="s">
        <v>446</v>
      </c>
      <c r="N198">
        <v>146427</v>
      </c>
      <c r="O198">
        <f>INDEX(Counselor,MATCH(B198,KidIDs,0))</f>
        <v>0</v>
      </c>
      <c r="P198">
        <f>INDEX(Advisors,MATCH(B198,KidIDs,0))</f>
        <v>0</v>
      </c>
      <c r="Q198">
        <f>INDEX(Cohort,MATCH(B198,KidIDs,0))</f>
        <v>0</v>
      </c>
      <c r="R198">
        <f>INDEX(AllCollegeBarrons,MATCH(N198,AllCollegeNCES,0))</f>
        <v>0</v>
      </c>
      <c r="S198">
        <f>INDEX(KidGPAs,MATCH(B198,KidIDs,0))</f>
        <v>0</v>
      </c>
      <c r="T198">
        <f>INDEX(KidSATs,MATCH(B198,KidIDs,0))</f>
        <v>0</v>
      </c>
      <c r="U198">
        <f>INDEX(Strats,MATCH(B198,KidIDs,0))</f>
        <v>0</v>
      </c>
      <c r="V198">
        <f>INDEX(KidRace,MATCH(B198,KidIDs,0))</f>
        <v>0</v>
      </c>
      <c r="W198">
        <f>IF(OR(V198="M",V198="I"),"H",IF(V198="P","A",V198))</f>
        <v>0</v>
      </c>
      <c r="X198">
        <f>INDEX(StudentTargets,MATCH(B198,KidIDs,0))</f>
        <v>0</v>
      </c>
      <c r="Y198">
        <f>INDEX(ReachStudentTargets,MATCH(B198,KidIDs,0))</f>
        <v>0</v>
      </c>
      <c r="Z198">
        <f>IF(OR(M198="Posse"),1,0)</f>
        <v>0</v>
      </c>
      <c r="AA198">
        <f>IF(ISNUMBER(INDEX(AllCollegeGR, MATCH(N198,AllCollegeNCES,0))),ROUND(INDEX(AllCollegeGR, MATCH(N198,AllCollegeNCES,0))+Z198*IF(INDEX(AllCollegeGR, MATCH(N198,AllCollegeNCES,0))&gt;0.7,(1-INDEX(AllCollegeGR, MATCH(N198,AllCollegeNCES,0)))/2,0.15),2),INDEX(AllCollegeGR, MATCH(N198,AllCollegeNCES,0)))</f>
        <v>0</v>
      </c>
      <c r="AB198">
        <f>IF(ISNUMBER(INDEX(AllCollegeAAHGR, MATCH(N198,AllCollegeNCES,0))),ROUND(INDEX(AllCollegeAAHGR, MATCH(N198,AllCollegeNCES,0))+Z198*IF(INDEX(AllCollegeAAHGR, MATCH(N198,AllCollegeNCES,0))&gt;0.7,(1-INDEX(AllCollegeAAHGR, MATCH(N198,AllCollegeNCES,0)))/2,0.15),2),INDEX(AllCollegeAAHGR, MATCH(N198,AllCollegeNCES,0)))</f>
        <v>0</v>
      </c>
      <c r="AC198">
        <f>IF(OR(W198="H",W198="B"),INDEX(AllCollegeSAT25, MATCH(N198,AllCollegeNCES,0)),INDEX(AllCollegeSAT50, MATCH(N198,AllCollegeNCES,0)))</f>
        <v>0</v>
      </c>
      <c r="AD198">
        <f>INDEX(CustomWeightsGPA,MATCH(W198&amp;":"&amp;N198,CustomWeightsIndex,0))</f>
        <v>0</v>
      </c>
      <c r="AE198">
        <f>INDEX(CustomWeightsSAT,MATCH(W198&amp;":"&amp;N198,CustomWeightsIndex,0))</f>
        <v>0</v>
      </c>
      <c r="AF198">
        <f>INDEX(CustomWeightsIntercept,MATCH(W198&amp;":"&amp;N198,CustomWeightsIndex,0))</f>
        <v>0</v>
      </c>
      <c r="AG198">
        <f>AD198*S198+AE198*T198+AF198</f>
        <v>0</v>
      </c>
      <c r="AH198">
        <f>INDEX(CoefficientsGPA,MATCH(W198&amp;":"&amp;R198,CoefficientsIndex,0))</f>
        <v>0</v>
      </c>
      <c r="AI198">
        <f>INDEX(CoefficientsSAT,MATCH(W198&amp;":"&amp;R198,CoefficientsIndex,0))</f>
        <v>0</v>
      </c>
      <c r="AJ198">
        <f>INDEX(CoefficientsIntercept,MATCH(W198&amp;":"&amp;R198,CoefficientsIndex,0))</f>
        <v>0</v>
      </c>
      <c r="AK198">
        <f>AH198*S198+(T198-AC198)*AI198+AJ198</f>
        <v>0</v>
      </c>
      <c r="AL198">
        <f>IF(ISNUMBER(AG198),AG198,AK198)</f>
        <v>0</v>
      </c>
      <c r="AM198">
        <f>IF(ISNUMBER(AL198),IF(ISNUMBER(AH198),IF(AND(AH198=1,AI198=1,AJ198=1),100,MIN(99,ROUND(100*EXP(AL198)/(1+EXP(AL198)),2))),MIN(99,ROUND(100*EXP(AL198)/(1+EXP(AL198)),2))),IF(ISTEXT(R198),IF(LEFT(R198,1)="2",100,"N/A"),"N/A"))</f>
        <v>0</v>
      </c>
      <c r="AN198">
        <f>IF(ISNUMBER(AM198),IF(AM198&gt;=99,IF(OR(U198=10,U198=11),MatchLabel,SureThingLabel),IF(AM198&gt;=95,SecureLabel,IF(AM198&gt;=80,SafetyLabel,IF(AM198&gt;=50,MatchLabel,IF(AM198&gt;=20,ReachLabel,IF(AM198&gt;=10,LongshotLabel,HailMaryLabel)))))),"Other")</f>
        <v>0</v>
      </c>
      <c r="AO198">
        <f>IF(OR(I198="accepted",I198="cond. accept",I198="summer admit"),IF(J198="yes","CHOICE!","Accepted!"),IF(I198="guar. transfer","Guar. Xfer",IF(I198="denied","Denied",IF(K198=1,"Waitlist",IF(L198=1,"Deferred",IF(G198="pending","Pending",IF(OR(G198="initial materials submitted",G198="mid-year submitted",G198="final submitted"),"Submitted",IF(H198="interest","Interest","?"))))))))</f>
        <v>0</v>
      </c>
      <c r="AP198">
        <f>IF(OR(AN198=ReachLabel,AN198=LongshotLabel,AN198=HailMaryLabel),1,0)</f>
        <v>0</v>
      </c>
      <c r="AQ198">
        <f>IF(OR(AP198=1,AN198=MatchLabel),1,0)</f>
        <v>0</v>
      </c>
      <c r="AR198">
        <f>IF(OR(AN198=MatchLabel,AN198=SafetyLabel,AN198=SecureLabel,AN198=SureThingLabel),1,0)</f>
        <v>0</v>
      </c>
      <c r="AS198">
        <f>IF(OR(W198="H",W198="B",W198="I",W198="M"),IF(ISNUMBER(AB198),ROUND(AB198,2),0),IF(ISNUMBER(AA198),ROUND(AA198,2),0))</f>
        <v>0</v>
      </c>
      <c r="AT198">
        <f>IF(AS198&gt;=X198,1,0)</f>
        <v>0</v>
      </c>
      <c r="AU198">
        <f>IF(AS198&gt;=Y198,1,0)</f>
        <v>0</v>
      </c>
      <c r="AV198">
        <f>IF(AS198&lt;(X198-0.10),1,0)</f>
        <v>0</v>
      </c>
      <c r="AW198">
        <f>1-AM198/100</f>
        <v>0</v>
      </c>
      <c r="AX198">
        <f>IF(AQ198=1,AW198,1)</f>
        <v>0</v>
      </c>
      <c r="AY198">
        <f>IF(AP198=1,AW198,1)</f>
        <v>0</v>
      </c>
      <c r="AZ198">
        <f>IF(AND(AT198=1,ISNUMBER(AW198)),$AW198,1)</f>
        <v>0</v>
      </c>
      <c r="BA198">
        <f>IF(AND(AU198=1,ISNUMBER(AW198)),$AW198,1)</f>
        <v>0</v>
      </c>
      <c r="BB198">
        <f>IF(ISNUMBER(AB198),INDEX(AllCollegeMoney, MATCH(N198,AllCollegeNCES,0)),0)</f>
        <v>0</v>
      </c>
      <c r="BC198">
        <f>IF(AND(AT198=1,ISNUMBER(AW198),BB198=1),$AW198,1)</f>
        <v>0</v>
      </c>
      <c r="BD198">
        <f>IF(AND(AU198=1,ISNUMBER(AW198),BB198=1),$AW198,1)</f>
        <v>0</v>
      </c>
      <c r="BE198">
        <f>IF(ISNUMBER(AB198),INDEX(AllCollegeILPub, MATCH(N198,AllCollegeNCES,0)),0)</f>
        <v>0</v>
      </c>
      <c r="BF198">
        <f>IF(AN198=ReachLabel,AS198,0)</f>
        <v>0</v>
      </c>
      <c r="BG198">
        <f>IF(AN198=MatchLabel,AS198,0)</f>
        <v>0</v>
      </c>
      <c r="BH198">
        <f>IF(AN198=SafetyLabel,AS198,0)</f>
        <v>0</v>
      </c>
      <c r="BI198">
        <f>IF(AN198=SecureLabel,AS198,0)</f>
        <v>0</v>
      </c>
      <c r="BJ198">
        <f>IF(AN198=SureThingLabel,AS198,0)</f>
        <v>0</v>
      </c>
      <c r="BK198">
        <f>MAX(BF198:BJ198)</f>
        <v>0</v>
      </c>
      <c r="BL198">
        <f>MAX(BG198:BJ198)</f>
        <v>0</v>
      </c>
      <c r="BM198">
        <f>MAX(BH198:BJ198)</f>
        <v>0</v>
      </c>
      <c r="BN198">
        <f>IF(AND(AN198=ReachLabel,BB198=1),AS198,0)</f>
        <v>0</v>
      </c>
      <c r="BO198">
        <f>IF(AND(AN198=MatchLabel,BB198=1),AS198,0)</f>
        <v>0</v>
      </c>
      <c r="BP198">
        <f>IF(AND(AN198=SafetyLabel,BB198=1),AS198,0)</f>
        <v>0</v>
      </c>
      <c r="BQ198">
        <f>IF(AND(AN198=SecureLabel,BB198=1),AS198,0)</f>
        <v>0</v>
      </c>
      <c r="BR198">
        <f>IF(AND(AN198=SureThingLabel,BB198=1),AS198,0)</f>
        <v>0</v>
      </c>
      <c r="BS198">
        <f>MAX(BN198:BR198)</f>
        <v>0</v>
      </c>
      <c r="BT198">
        <f>MAX(BO198:BR198)</f>
        <v>0</v>
      </c>
      <c r="BU198">
        <f>MAX(BP198:BR198)</f>
        <v>0</v>
      </c>
      <c r="BV198">
        <f>IF(ISNUMBER(AB198),INDEX(AllCollegeChicago, MATCH(N198,AllCollegeNCES,0))*BB198,0)</f>
        <v>0</v>
      </c>
      <c r="BW198">
        <f>IF(ISNUMBER(AB198),INDEX(AllCollegeMoneyCode, MATCH(N198,AllCollegeNCES,0)),"?")</f>
        <v>0</v>
      </c>
      <c r="BX198">
        <f>IF(OR(BW198="---",BW198="--",BW198="+/--",BW198="+/---"),1,0)</f>
        <v>0</v>
      </c>
      <c r="BY198">
        <f>BB198*AR198*AT198</f>
        <v>0</v>
      </c>
    </row>
    <row r="199" spans="1:77">
      <c r="A199" t="s">
        <v>96</v>
      </c>
      <c r="B199">
        <v>22942005</v>
      </c>
      <c r="C199" t="s">
        <v>165</v>
      </c>
      <c r="D199" t="s">
        <v>166</v>
      </c>
      <c r="E199" t="s">
        <v>446</v>
      </c>
      <c r="F199" t="s">
        <v>501</v>
      </c>
      <c r="G199" t="s">
        <v>448</v>
      </c>
      <c r="H199" t="s">
        <v>449</v>
      </c>
      <c r="I199" t="s">
        <v>450</v>
      </c>
      <c r="J199" t="s">
        <v>450</v>
      </c>
      <c r="K199">
        <v>0</v>
      </c>
      <c r="L199" t="s">
        <v>446</v>
      </c>
      <c r="M199" t="s">
        <v>446</v>
      </c>
      <c r="N199">
        <v>144740</v>
      </c>
      <c r="O199">
        <f>INDEX(Counselor,MATCH(B199,KidIDs,0))</f>
        <v>0</v>
      </c>
      <c r="P199">
        <f>INDEX(Advisors,MATCH(B199,KidIDs,0))</f>
        <v>0</v>
      </c>
      <c r="Q199">
        <f>INDEX(Cohort,MATCH(B199,KidIDs,0))</f>
        <v>0</v>
      </c>
      <c r="R199">
        <f>INDEX(AllCollegeBarrons,MATCH(N199,AllCollegeNCES,0))</f>
        <v>0</v>
      </c>
      <c r="S199">
        <f>INDEX(KidGPAs,MATCH(B199,KidIDs,0))</f>
        <v>0</v>
      </c>
      <c r="T199">
        <f>INDEX(KidSATs,MATCH(B199,KidIDs,0))</f>
        <v>0</v>
      </c>
      <c r="U199">
        <f>INDEX(Strats,MATCH(B199,KidIDs,0))</f>
        <v>0</v>
      </c>
      <c r="V199">
        <f>INDEX(KidRace,MATCH(B199,KidIDs,0))</f>
        <v>0</v>
      </c>
      <c r="W199">
        <f>IF(OR(V199="M",V199="I"),"H",IF(V199="P","A",V199))</f>
        <v>0</v>
      </c>
      <c r="X199">
        <f>INDEX(StudentTargets,MATCH(B199,KidIDs,0))</f>
        <v>0</v>
      </c>
      <c r="Y199">
        <f>INDEX(ReachStudentTargets,MATCH(B199,KidIDs,0))</f>
        <v>0</v>
      </c>
      <c r="Z199">
        <f>IF(OR(M199="Posse"),1,0)</f>
        <v>0</v>
      </c>
      <c r="AA199">
        <f>IF(ISNUMBER(INDEX(AllCollegeGR, MATCH(N199,AllCollegeNCES,0))),ROUND(INDEX(AllCollegeGR, MATCH(N199,AllCollegeNCES,0))+Z199*IF(INDEX(AllCollegeGR, MATCH(N199,AllCollegeNCES,0))&gt;0.7,(1-INDEX(AllCollegeGR, MATCH(N199,AllCollegeNCES,0)))/2,0.15),2),INDEX(AllCollegeGR, MATCH(N199,AllCollegeNCES,0)))</f>
        <v>0</v>
      </c>
      <c r="AB199">
        <f>IF(ISNUMBER(INDEX(AllCollegeAAHGR, MATCH(N199,AllCollegeNCES,0))),ROUND(INDEX(AllCollegeAAHGR, MATCH(N199,AllCollegeNCES,0))+Z199*IF(INDEX(AllCollegeAAHGR, MATCH(N199,AllCollegeNCES,0))&gt;0.7,(1-INDEX(AllCollegeAAHGR, MATCH(N199,AllCollegeNCES,0)))/2,0.15),2),INDEX(AllCollegeAAHGR, MATCH(N199,AllCollegeNCES,0)))</f>
        <v>0</v>
      </c>
      <c r="AC199">
        <f>IF(OR(W199="H",W199="B"),INDEX(AllCollegeSAT25, MATCH(N199,AllCollegeNCES,0)),INDEX(AllCollegeSAT50, MATCH(N199,AllCollegeNCES,0)))</f>
        <v>0</v>
      </c>
      <c r="AD199">
        <f>INDEX(CustomWeightsGPA,MATCH(W199&amp;":"&amp;N199,CustomWeightsIndex,0))</f>
        <v>0</v>
      </c>
      <c r="AE199">
        <f>INDEX(CustomWeightsSAT,MATCH(W199&amp;":"&amp;N199,CustomWeightsIndex,0))</f>
        <v>0</v>
      </c>
      <c r="AF199">
        <f>INDEX(CustomWeightsIntercept,MATCH(W199&amp;":"&amp;N199,CustomWeightsIndex,0))</f>
        <v>0</v>
      </c>
      <c r="AG199">
        <f>AD199*S199+AE199*T199+AF199</f>
        <v>0</v>
      </c>
      <c r="AH199">
        <f>INDEX(CoefficientsGPA,MATCH(W199&amp;":"&amp;R199,CoefficientsIndex,0))</f>
        <v>0</v>
      </c>
      <c r="AI199">
        <f>INDEX(CoefficientsSAT,MATCH(W199&amp;":"&amp;R199,CoefficientsIndex,0))</f>
        <v>0</v>
      </c>
      <c r="AJ199">
        <f>INDEX(CoefficientsIntercept,MATCH(W199&amp;":"&amp;R199,CoefficientsIndex,0))</f>
        <v>0</v>
      </c>
      <c r="AK199">
        <f>AH199*S199+(T199-AC199)*AI199+AJ199</f>
        <v>0</v>
      </c>
      <c r="AL199">
        <f>IF(ISNUMBER(AG199),AG199,AK199)</f>
        <v>0</v>
      </c>
      <c r="AM199">
        <f>IF(ISNUMBER(AL199),IF(ISNUMBER(AH199),IF(AND(AH199=1,AI199=1,AJ199=1),100,MIN(99,ROUND(100*EXP(AL199)/(1+EXP(AL199)),2))),MIN(99,ROUND(100*EXP(AL199)/(1+EXP(AL199)),2))),IF(ISTEXT(R199),IF(LEFT(R199,1)="2",100,"N/A"),"N/A"))</f>
        <v>0</v>
      </c>
      <c r="AN199">
        <f>IF(ISNUMBER(AM199),IF(AM199&gt;=99,IF(OR(U199=10,U199=11),MatchLabel,SureThingLabel),IF(AM199&gt;=95,SecureLabel,IF(AM199&gt;=80,SafetyLabel,IF(AM199&gt;=50,MatchLabel,IF(AM199&gt;=20,ReachLabel,IF(AM199&gt;=10,LongshotLabel,HailMaryLabel)))))),"Other")</f>
        <v>0</v>
      </c>
      <c r="AO199">
        <f>IF(OR(I199="accepted",I199="cond. accept",I199="summer admit"),IF(J199="yes","CHOICE!","Accepted!"),IF(I199="guar. transfer","Guar. Xfer",IF(I199="denied","Denied",IF(K199=1,"Waitlist",IF(L199=1,"Deferred",IF(G199="pending","Pending",IF(OR(G199="initial materials submitted",G199="mid-year submitted",G199="final submitted"),"Submitted",IF(H199="interest","Interest","?"))))))))</f>
        <v>0</v>
      </c>
      <c r="AP199">
        <f>IF(OR(AN199=ReachLabel,AN199=LongshotLabel,AN199=HailMaryLabel),1,0)</f>
        <v>0</v>
      </c>
      <c r="AQ199">
        <f>IF(OR(AP199=1,AN199=MatchLabel),1,0)</f>
        <v>0</v>
      </c>
      <c r="AR199">
        <f>IF(OR(AN199=MatchLabel,AN199=SafetyLabel,AN199=SecureLabel,AN199=SureThingLabel),1,0)</f>
        <v>0</v>
      </c>
      <c r="AS199">
        <f>IF(OR(W199="H",W199="B",W199="I",W199="M"),IF(ISNUMBER(AB199),ROUND(AB199,2),0),IF(ISNUMBER(AA199),ROUND(AA199,2),0))</f>
        <v>0</v>
      </c>
      <c r="AT199">
        <f>IF(AS199&gt;=X199,1,0)</f>
        <v>0</v>
      </c>
      <c r="AU199">
        <f>IF(AS199&gt;=Y199,1,0)</f>
        <v>0</v>
      </c>
      <c r="AV199">
        <f>IF(AS199&lt;(X199-0.10),1,0)</f>
        <v>0</v>
      </c>
      <c r="AW199">
        <f>1-AM199/100</f>
        <v>0</v>
      </c>
      <c r="AX199">
        <f>IF(AQ199=1,AW199,1)</f>
        <v>0</v>
      </c>
      <c r="AY199">
        <f>IF(AP199=1,AW199,1)</f>
        <v>0</v>
      </c>
      <c r="AZ199">
        <f>IF(AND(AT199=1,ISNUMBER(AW199)),$AW199,1)</f>
        <v>0</v>
      </c>
      <c r="BA199">
        <f>IF(AND(AU199=1,ISNUMBER(AW199)),$AW199,1)</f>
        <v>0</v>
      </c>
      <c r="BB199">
        <f>IF(ISNUMBER(AB199),INDEX(AllCollegeMoney, MATCH(N199,AllCollegeNCES,0)),0)</f>
        <v>0</v>
      </c>
      <c r="BC199">
        <f>IF(AND(AT199=1,ISNUMBER(AW199),BB199=1),$AW199,1)</f>
        <v>0</v>
      </c>
      <c r="BD199">
        <f>IF(AND(AU199=1,ISNUMBER(AW199),BB199=1),$AW199,1)</f>
        <v>0</v>
      </c>
      <c r="BE199">
        <f>IF(ISNUMBER(AB199),INDEX(AllCollegeILPub, MATCH(N199,AllCollegeNCES,0)),0)</f>
        <v>0</v>
      </c>
      <c r="BF199">
        <f>IF(AN199=ReachLabel,AS199,0)</f>
        <v>0</v>
      </c>
      <c r="BG199">
        <f>IF(AN199=MatchLabel,AS199,0)</f>
        <v>0</v>
      </c>
      <c r="BH199">
        <f>IF(AN199=SafetyLabel,AS199,0)</f>
        <v>0</v>
      </c>
      <c r="BI199">
        <f>IF(AN199=SecureLabel,AS199,0)</f>
        <v>0</v>
      </c>
      <c r="BJ199">
        <f>IF(AN199=SureThingLabel,AS199,0)</f>
        <v>0</v>
      </c>
      <c r="BK199">
        <f>MAX(BF199:BJ199)</f>
        <v>0</v>
      </c>
      <c r="BL199">
        <f>MAX(BG199:BJ199)</f>
        <v>0</v>
      </c>
      <c r="BM199">
        <f>MAX(BH199:BJ199)</f>
        <v>0</v>
      </c>
      <c r="BN199">
        <f>IF(AND(AN199=ReachLabel,BB199=1),AS199,0)</f>
        <v>0</v>
      </c>
      <c r="BO199">
        <f>IF(AND(AN199=MatchLabel,BB199=1),AS199,0)</f>
        <v>0</v>
      </c>
      <c r="BP199">
        <f>IF(AND(AN199=SafetyLabel,BB199=1),AS199,0)</f>
        <v>0</v>
      </c>
      <c r="BQ199">
        <f>IF(AND(AN199=SecureLabel,BB199=1),AS199,0)</f>
        <v>0</v>
      </c>
      <c r="BR199">
        <f>IF(AND(AN199=SureThingLabel,BB199=1),AS199,0)</f>
        <v>0</v>
      </c>
      <c r="BS199">
        <f>MAX(BN199:BR199)</f>
        <v>0</v>
      </c>
      <c r="BT199">
        <f>MAX(BO199:BR199)</f>
        <v>0</v>
      </c>
      <c r="BU199">
        <f>MAX(BP199:BR199)</f>
        <v>0</v>
      </c>
      <c r="BV199">
        <f>IF(ISNUMBER(AB199),INDEX(AllCollegeChicago, MATCH(N199,AllCollegeNCES,0))*BB199,0)</f>
        <v>0</v>
      </c>
      <c r="BW199">
        <f>IF(ISNUMBER(AB199),INDEX(AllCollegeMoneyCode, MATCH(N199,AllCollegeNCES,0)),"?")</f>
        <v>0</v>
      </c>
      <c r="BX199">
        <f>IF(OR(BW199="---",BW199="--",BW199="+/--",BW199="+/---"),1,0)</f>
        <v>0</v>
      </c>
      <c r="BY199">
        <f>BB199*AR199*AT199</f>
        <v>0</v>
      </c>
    </row>
    <row r="200" spans="1:77">
      <c r="A200" t="s">
        <v>96</v>
      </c>
      <c r="B200">
        <v>22942005</v>
      </c>
      <c r="C200" t="s">
        <v>165</v>
      </c>
      <c r="D200" t="s">
        <v>166</v>
      </c>
      <c r="E200" t="s">
        <v>446</v>
      </c>
      <c r="F200" t="s">
        <v>478</v>
      </c>
      <c r="G200" t="s">
        <v>448</v>
      </c>
      <c r="H200" t="s">
        <v>449</v>
      </c>
      <c r="I200" t="s">
        <v>450</v>
      </c>
      <c r="J200" t="s">
        <v>450</v>
      </c>
      <c r="K200">
        <v>0</v>
      </c>
      <c r="L200" t="s">
        <v>446</v>
      </c>
      <c r="M200" t="s">
        <v>446</v>
      </c>
      <c r="N200">
        <v>168546</v>
      </c>
      <c r="O200">
        <f>INDEX(Counselor,MATCH(B200,KidIDs,0))</f>
        <v>0</v>
      </c>
      <c r="P200">
        <f>INDEX(Advisors,MATCH(B200,KidIDs,0))</f>
        <v>0</v>
      </c>
      <c r="Q200">
        <f>INDEX(Cohort,MATCH(B200,KidIDs,0))</f>
        <v>0</v>
      </c>
      <c r="R200">
        <f>INDEX(AllCollegeBarrons,MATCH(N200,AllCollegeNCES,0))</f>
        <v>0</v>
      </c>
      <c r="S200">
        <f>INDEX(KidGPAs,MATCH(B200,KidIDs,0))</f>
        <v>0</v>
      </c>
      <c r="T200">
        <f>INDEX(KidSATs,MATCH(B200,KidIDs,0))</f>
        <v>0</v>
      </c>
      <c r="U200">
        <f>INDEX(Strats,MATCH(B200,KidIDs,0))</f>
        <v>0</v>
      </c>
      <c r="V200">
        <f>INDEX(KidRace,MATCH(B200,KidIDs,0))</f>
        <v>0</v>
      </c>
      <c r="W200">
        <f>IF(OR(V200="M",V200="I"),"H",IF(V200="P","A",V200))</f>
        <v>0</v>
      </c>
      <c r="X200">
        <f>INDEX(StudentTargets,MATCH(B200,KidIDs,0))</f>
        <v>0</v>
      </c>
      <c r="Y200">
        <f>INDEX(ReachStudentTargets,MATCH(B200,KidIDs,0))</f>
        <v>0</v>
      </c>
      <c r="Z200">
        <f>IF(OR(M200="Posse"),1,0)</f>
        <v>0</v>
      </c>
      <c r="AA200">
        <f>IF(ISNUMBER(INDEX(AllCollegeGR, MATCH(N200,AllCollegeNCES,0))),ROUND(INDEX(AllCollegeGR, MATCH(N200,AllCollegeNCES,0))+Z200*IF(INDEX(AllCollegeGR, MATCH(N200,AllCollegeNCES,0))&gt;0.7,(1-INDEX(AllCollegeGR, MATCH(N200,AllCollegeNCES,0)))/2,0.15),2),INDEX(AllCollegeGR, MATCH(N200,AllCollegeNCES,0)))</f>
        <v>0</v>
      </c>
      <c r="AB200">
        <f>IF(ISNUMBER(INDEX(AllCollegeAAHGR, MATCH(N200,AllCollegeNCES,0))),ROUND(INDEX(AllCollegeAAHGR, MATCH(N200,AllCollegeNCES,0))+Z200*IF(INDEX(AllCollegeAAHGR, MATCH(N200,AllCollegeNCES,0))&gt;0.7,(1-INDEX(AllCollegeAAHGR, MATCH(N200,AllCollegeNCES,0)))/2,0.15),2),INDEX(AllCollegeAAHGR, MATCH(N200,AllCollegeNCES,0)))</f>
        <v>0</v>
      </c>
      <c r="AC200">
        <f>IF(OR(W200="H",W200="B"),INDEX(AllCollegeSAT25, MATCH(N200,AllCollegeNCES,0)),INDEX(AllCollegeSAT50, MATCH(N200,AllCollegeNCES,0)))</f>
        <v>0</v>
      </c>
      <c r="AD200">
        <f>INDEX(CustomWeightsGPA,MATCH(W200&amp;":"&amp;N200,CustomWeightsIndex,0))</f>
        <v>0</v>
      </c>
      <c r="AE200">
        <f>INDEX(CustomWeightsSAT,MATCH(W200&amp;":"&amp;N200,CustomWeightsIndex,0))</f>
        <v>0</v>
      </c>
      <c r="AF200">
        <f>INDEX(CustomWeightsIntercept,MATCH(W200&amp;":"&amp;N200,CustomWeightsIndex,0))</f>
        <v>0</v>
      </c>
      <c r="AG200">
        <f>AD200*S200+AE200*T200+AF200</f>
        <v>0</v>
      </c>
      <c r="AH200">
        <f>INDEX(CoefficientsGPA,MATCH(W200&amp;":"&amp;R200,CoefficientsIndex,0))</f>
        <v>0</v>
      </c>
      <c r="AI200">
        <f>INDEX(CoefficientsSAT,MATCH(W200&amp;":"&amp;R200,CoefficientsIndex,0))</f>
        <v>0</v>
      </c>
      <c r="AJ200">
        <f>INDEX(CoefficientsIntercept,MATCH(W200&amp;":"&amp;R200,CoefficientsIndex,0))</f>
        <v>0</v>
      </c>
      <c r="AK200">
        <f>AH200*S200+(T200-AC200)*AI200+AJ200</f>
        <v>0</v>
      </c>
      <c r="AL200">
        <f>IF(ISNUMBER(AG200),AG200,AK200)</f>
        <v>0</v>
      </c>
      <c r="AM200">
        <f>IF(ISNUMBER(AL200),IF(ISNUMBER(AH200),IF(AND(AH200=1,AI200=1,AJ200=1),100,MIN(99,ROUND(100*EXP(AL200)/(1+EXP(AL200)),2))),MIN(99,ROUND(100*EXP(AL200)/(1+EXP(AL200)),2))),IF(ISTEXT(R200),IF(LEFT(R200,1)="2",100,"N/A"),"N/A"))</f>
        <v>0</v>
      </c>
      <c r="AN200">
        <f>IF(ISNUMBER(AM200),IF(AM200&gt;=99,IF(OR(U200=10,U200=11),MatchLabel,SureThingLabel),IF(AM200&gt;=95,SecureLabel,IF(AM200&gt;=80,SafetyLabel,IF(AM200&gt;=50,MatchLabel,IF(AM200&gt;=20,ReachLabel,IF(AM200&gt;=10,LongshotLabel,HailMaryLabel)))))),"Other")</f>
        <v>0</v>
      </c>
      <c r="AO200">
        <f>IF(OR(I200="accepted",I200="cond. accept",I200="summer admit"),IF(J200="yes","CHOICE!","Accepted!"),IF(I200="guar. transfer","Guar. Xfer",IF(I200="denied","Denied",IF(K200=1,"Waitlist",IF(L200=1,"Deferred",IF(G200="pending","Pending",IF(OR(G200="initial materials submitted",G200="mid-year submitted",G200="final submitted"),"Submitted",IF(H200="interest","Interest","?"))))))))</f>
        <v>0</v>
      </c>
      <c r="AP200">
        <f>IF(OR(AN200=ReachLabel,AN200=LongshotLabel,AN200=HailMaryLabel),1,0)</f>
        <v>0</v>
      </c>
      <c r="AQ200">
        <f>IF(OR(AP200=1,AN200=MatchLabel),1,0)</f>
        <v>0</v>
      </c>
      <c r="AR200">
        <f>IF(OR(AN200=MatchLabel,AN200=SafetyLabel,AN200=SecureLabel,AN200=SureThingLabel),1,0)</f>
        <v>0</v>
      </c>
      <c r="AS200">
        <f>IF(OR(W200="H",W200="B",W200="I",W200="M"),IF(ISNUMBER(AB200),ROUND(AB200,2),0),IF(ISNUMBER(AA200),ROUND(AA200,2),0))</f>
        <v>0</v>
      </c>
      <c r="AT200">
        <f>IF(AS200&gt;=X200,1,0)</f>
        <v>0</v>
      </c>
      <c r="AU200">
        <f>IF(AS200&gt;=Y200,1,0)</f>
        <v>0</v>
      </c>
      <c r="AV200">
        <f>IF(AS200&lt;(X200-0.10),1,0)</f>
        <v>0</v>
      </c>
      <c r="AW200">
        <f>1-AM200/100</f>
        <v>0</v>
      </c>
      <c r="AX200">
        <f>IF(AQ200=1,AW200,1)</f>
        <v>0</v>
      </c>
      <c r="AY200">
        <f>IF(AP200=1,AW200,1)</f>
        <v>0</v>
      </c>
      <c r="AZ200">
        <f>IF(AND(AT200=1,ISNUMBER(AW200)),$AW200,1)</f>
        <v>0</v>
      </c>
      <c r="BA200">
        <f>IF(AND(AU200=1,ISNUMBER(AW200)),$AW200,1)</f>
        <v>0</v>
      </c>
      <c r="BB200">
        <f>IF(ISNUMBER(AB200),INDEX(AllCollegeMoney, MATCH(N200,AllCollegeNCES,0)),0)</f>
        <v>0</v>
      </c>
      <c r="BC200">
        <f>IF(AND(AT200=1,ISNUMBER(AW200),BB200=1),$AW200,1)</f>
        <v>0</v>
      </c>
      <c r="BD200">
        <f>IF(AND(AU200=1,ISNUMBER(AW200),BB200=1),$AW200,1)</f>
        <v>0</v>
      </c>
      <c r="BE200">
        <f>IF(ISNUMBER(AB200),INDEX(AllCollegeILPub, MATCH(N200,AllCollegeNCES,0)),0)</f>
        <v>0</v>
      </c>
      <c r="BF200">
        <f>IF(AN200=ReachLabel,AS200,0)</f>
        <v>0</v>
      </c>
      <c r="BG200">
        <f>IF(AN200=MatchLabel,AS200,0)</f>
        <v>0</v>
      </c>
      <c r="BH200">
        <f>IF(AN200=SafetyLabel,AS200,0)</f>
        <v>0</v>
      </c>
      <c r="BI200">
        <f>IF(AN200=SecureLabel,AS200,0)</f>
        <v>0</v>
      </c>
      <c r="BJ200">
        <f>IF(AN200=SureThingLabel,AS200,0)</f>
        <v>0</v>
      </c>
      <c r="BK200">
        <f>MAX(BF200:BJ200)</f>
        <v>0</v>
      </c>
      <c r="BL200">
        <f>MAX(BG200:BJ200)</f>
        <v>0</v>
      </c>
      <c r="BM200">
        <f>MAX(BH200:BJ200)</f>
        <v>0</v>
      </c>
      <c r="BN200">
        <f>IF(AND(AN200=ReachLabel,BB200=1),AS200,0)</f>
        <v>0</v>
      </c>
      <c r="BO200">
        <f>IF(AND(AN200=MatchLabel,BB200=1),AS200,0)</f>
        <v>0</v>
      </c>
      <c r="BP200">
        <f>IF(AND(AN200=SafetyLabel,BB200=1),AS200,0)</f>
        <v>0</v>
      </c>
      <c r="BQ200">
        <f>IF(AND(AN200=SecureLabel,BB200=1),AS200,0)</f>
        <v>0</v>
      </c>
      <c r="BR200">
        <f>IF(AND(AN200=SureThingLabel,BB200=1),AS200,0)</f>
        <v>0</v>
      </c>
      <c r="BS200">
        <f>MAX(BN200:BR200)</f>
        <v>0</v>
      </c>
      <c r="BT200">
        <f>MAX(BO200:BR200)</f>
        <v>0</v>
      </c>
      <c r="BU200">
        <f>MAX(BP200:BR200)</f>
        <v>0</v>
      </c>
      <c r="BV200">
        <f>IF(ISNUMBER(AB200),INDEX(AllCollegeChicago, MATCH(N200,AllCollegeNCES,0))*BB200,0)</f>
        <v>0</v>
      </c>
      <c r="BW200">
        <f>IF(ISNUMBER(AB200),INDEX(AllCollegeMoneyCode, MATCH(N200,AllCollegeNCES,0)),"?")</f>
        <v>0</v>
      </c>
      <c r="BX200">
        <f>IF(OR(BW200="---",BW200="--",BW200="+/--",BW200="+/---"),1,0)</f>
        <v>0</v>
      </c>
      <c r="BY200">
        <f>BB200*AR200*AT200</f>
        <v>0</v>
      </c>
    </row>
    <row r="201" spans="1:77">
      <c r="A201" t="s">
        <v>96</v>
      </c>
      <c r="B201">
        <v>22942005</v>
      </c>
      <c r="C201" t="s">
        <v>165</v>
      </c>
      <c r="D201" t="s">
        <v>166</v>
      </c>
      <c r="E201" t="s">
        <v>446</v>
      </c>
      <c r="F201" t="s">
        <v>502</v>
      </c>
      <c r="G201" t="s">
        <v>448</v>
      </c>
      <c r="H201" t="s">
        <v>449</v>
      </c>
      <c r="I201" t="s">
        <v>450</v>
      </c>
      <c r="J201" t="s">
        <v>450</v>
      </c>
      <c r="K201">
        <v>0</v>
      </c>
      <c r="L201" t="s">
        <v>446</v>
      </c>
      <c r="M201" t="s">
        <v>446</v>
      </c>
      <c r="N201">
        <v>170082</v>
      </c>
      <c r="O201">
        <f>INDEX(Counselor,MATCH(B201,KidIDs,0))</f>
        <v>0</v>
      </c>
      <c r="P201">
        <f>INDEX(Advisors,MATCH(B201,KidIDs,0))</f>
        <v>0</v>
      </c>
      <c r="Q201">
        <f>INDEX(Cohort,MATCH(B201,KidIDs,0))</f>
        <v>0</v>
      </c>
      <c r="R201">
        <f>INDEX(AllCollegeBarrons,MATCH(N201,AllCollegeNCES,0))</f>
        <v>0</v>
      </c>
      <c r="S201">
        <f>INDEX(KidGPAs,MATCH(B201,KidIDs,0))</f>
        <v>0</v>
      </c>
      <c r="T201">
        <f>INDEX(KidSATs,MATCH(B201,KidIDs,0))</f>
        <v>0</v>
      </c>
      <c r="U201">
        <f>INDEX(Strats,MATCH(B201,KidIDs,0))</f>
        <v>0</v>
      </c>
      <c r="V201">
        <f>INDEX(KidRace,MATCH(B201,KidIDs,0))</f>
        <v>0</v>
      </c>
      <c r="W201">
        <f>IF(OR(V201="M",V201="I"),"H",IF(V201="P","A",V201))</f>
        <v>0</v>
      </c>
      <c r="X201">
        <f>INDEX(StudentTargets,MATCH(B201,KidIDs,0))</f>
        <v>0</v>
      </c>
      <c r="Y201">
        <f>INDEX(ReachStudentTargets,MATCH(B201,KidIDs,0))</f>
        <v>0</v>
      </c>
      <c r="Z201">
        <f>IF(OR(M201="Posse"),1,0)</f>
        <v>0</v>
      </c>
      <c r="AA201">
        <f>IF(ISNUMBER(INDEX(AllCollegeGR, MATCH(N201,AllCollegeNCES,0))),ROUND(INDEX(AllCollegeGR, MATCH(N201,AllCollegeNCES,0))+Z201*IF(INDEX(AllCollegeGR, MATCH(N201,AllCollegeNCES,0))&gt;0.7,(1-INDEX(AllCollegeGR, MATCH(N201,AllCollegeNCES,0)))/2,0.15),2),INDEX(AllCollegeGR, MATCH(N201,AllCollegeNCES,0)))</f>
        <v>0</v>
      </c>
      <c r="AB201">
        <f>IF(ISNUMBER(INDEX(AllCollegeAAHGR, MATCH(N201,AllCollegeNCES,0))),ROUND(INDEX(AllCollegeAAHGR, MATCH(N201,AllCollegeNCES,0))+Z201*IF(INDEX(AllCollegeAAHGR, MATCH(N201,AllCollegeNCES,0))&gt;0.7,(1-INDEX(AllCollegeAAHGR, MATCH(N201,AllCollegeNCES,0)))/2,0.15),2),INDEX(AllCollegeAAHGR, MATCH(N201,AllCollegeNCES,0)))</f>
        <v>0</v>
      </c>
      <c r="AC201">
        <f>IF(OR(W201="H",W201="B"),INDEX(AllCollegeSAT25, MATCH(N201,AllCollegeNCES,0)),INDEX(AllCollegeSAT50, MATCH(N201,AllCollegeNCES,0)))</f>
        <v>0</v>
      </c>
      <c r="AD201">
        <f>INDEX(CustomWeightsGPA,MATCH(W201&amp;":"&amp;N201,CustomWeightsIndex,0))</f>
        <v>0</v>
      </c>
      <c r="AE201">
        <f>INDEX(CustomWeightsSAT,MATCH(W201&amp;":"&amp;N201,CustomWeightsIndex,0))</f>
        <v>0</v>
      </c>
      <c r="AF201">
        <f>INDEX(CustomWeightsIntercept,MATCH(W201&amp;":"&amp;N201,CustomWeightsIndex,0))</f>
        <v>0</v>
      </c>
      <c r="AG201">
        <f>AD201*S201+AE201*T201+AF201</f>
        <v>0</v>
      </c>
      <c r="AH201">
        <f>INDEX(CoefficientsGPA,MATCH(W201&amp;":"&amp;R201,CoefficientsIndex,0))</f>
        <v>0</v>
      </c>
      <c r="AI201">
        <f>INDEX(CoefficientsSAT,MATCH(W201&amp;":"&amp;R201,CoefficientsIndex,0))</f>
        <v>0</v>
      </c>
      <c r="AJ201">
        <f>INDEX(CoefficientsIntercept,MATCH(W201&amp;":"&amp;R201,CoefficientsIndex,0))</f>
        <v>0</v>
      </c>
      <c r="AK201">
        <f>AH201*S201+(T201-AC201)*AI201+AJ201</f>
        <v>0</v>
      </c>
      <c r="AL201">
        <f>IF(ISNUMBER(AG201),AG201,AK201)</f>
        <v>0</v>
      </c>
      <c r="AM201">
        <f>IF(ISNUMBER(AL201),IF(ISNUMBER(AH201),IF(AND(AH201=1,AI201=1,AJ201=1),100,MIN(99,ROUND(100*EXP(AL201)/(1+EXP(AL201)),2))),MIN(99,ROUND(100*EXP(AL201)/(1+EXP(AL201)),2))),IF(ISTEXT(R201),IF(LEFT(R201,1)="2",100,"N/A"),"N/A"))</f>
        <v>0</v>
      </c>
      <c r="AN201">
        <f>IF(ISNUMBER(AM201),IF(AM201&gt;=99,IF(OR(U201=10,U201=11),MatchLabel,SureThingLabel),IF(AM201&gt;=95,SecureLabel,IF(AM201&gt;=80,SafetyLabel,IF(AM201&gt;=50,MatchLabel,IF(AM201&gt;=20,ReachLabel,IF(AM201&gt;=10,LongshotLabel,HailMaryLabel)))))),"Other")</f>
        <v>0</v>
      </c>
      <c r="AO201">
        <f>IF(OR(I201="accepted",I201="cond. accept",I201="summer admit"),IF(J201="yes","CHOICE!","Accepted!"),IF(I201="guar. transfer","Guar. Xfer",IF(I201="denied","Denied",IF(K201=1,"Waitlist",IF(L201=1,"Deferred",IF(G201="pending","Pending",IF(OR(G201="initial materials submitted",G201="mid-year submitted",G201="final submitted"),"Submitted",IF(H201="interest","Interest","?"))))))))</f>
        <v>0</v>
      </c>
      <c r="AP201">
        <f>IF(OR(AN201=ReachLabel,AN201=LongshotLabel,AN201=HailMaryLabel),1,0)</f>
        <v>0</v>
      </c>
      <c r="AQ201">
        <f>IF(OR(AP201=1,AN201=MatchLabel),1,0)</f>
        <v>0</v>
      </c>
      <c r="AR201">
        <f>IF(OR(AN201=MatchLabel,AN201=SafetyLabel,AN201=SecureLabel,AN201=SureThingLabel),1,0)</f>
        <v>0</v>
      </c>
      <c r="AS201">
        <f>IF(OR(W201="H",W201="B",W201="I",W201="M"),IF(ISNUMBER(AB201),ROUND(AB201,2),0),IF(ISNUMBER(AA201),ROUND(AA201,2),0))</f>
        <v>0</v>
      </c>
      <c r="AT201">
        <f>IF(AS201&gt;=X201,1,0)</f>
        <v>0</v>
      </c>
      <c r="AU201">
        <f>IF(AS201&gt;=Y201,1,0)</f>
        <v>0</v>
      </c>
      <c r="AV201">
        <f>IF(AS201&lt;(X201-0.10),1,0)</f>
        <v>0</v>
      </c>
      <c r="AW201">
        <f>1-AM201/100</f>
        <v>0</v>
      </c>
      <c r="AX201">
        <f>IF(AQ201=1,AW201,1)</f>
        <v>0</v>
      </c>
      <c r="AY201">
        <f>IF(AP201=1,AW201,1)</f>
        <v>0</v>
      </c>
      <c r="AZ201">
        <f>IF(AND(AT201=1,ISNUMBER(AW201)),$AW201,1)</f>
        <v>0</v>
      </c>
      <c r="BA201">
        <f>IF(AND(AU201=1,ISNUMBER(AW201)),$AW201,1)</f>
        <v>0</v>
      </c>
      <c r="BB201">
        <f>IF(ISNUMBER(AB201),INDEX(AllCollegeMoney, MATCH(N201,AllCollegeNCES,0)),0)</f>
        <v>0</v>
      </c>
      <c r="BC201">
        <f>IF(AND(AT201=1,ISNUMBER(AW201),BB201=1),$AW201,1)</f>
        <v>0</v>
      </c>
      <c r="BD201">
        <f>IF(AND(AU201=1,ISNUMBER(AW201),BB201=1),$AW201,1)</f>
        <v>0</v>
      </c>
      <c r="BE201">
        <f>IF(ISNUMBER(AB201),INDEX(AllCollegeILPub, MATCH(N201,AllCollegeNCES,0)),0)</f>
        <v>0</v>
      </c>
      <c r="BF201">
        <f>IF(AN201=ReachLabel,AS201,0)</f>
        <v>0</v>
      </c>
      <c r="BG201">
        <f>IF(AN201=MatchLabel,AS201,0)</f>
        <v>0</v>
      </c>
      <c r="BH201">
        <f>IF(AN201=SafetyLabel,AS201,0)</f>
        <v>0</v>
      </c>
      <c r="BI201">
        <f>IF(AN201=SecureLabel,AS201,0)</f>
        <v>0</v>
      </c>
      <c r="BJ201">
        <f>IF(AN201=SureThingLabel,AS201,0)</f>
        <v>0</v>
      </c>
      <c r="BK201">
        <f>MAX(BF201:BJ201)</f>
        <v>0</v>
      </c>
      <c r="BL201">
        <f>MAX(BG201:BJ201)</f>
        <v>0</v>
      </c>
      <c r="BM201">
        <f>MAX(BH201:BJ201)</f>
        <v>0</v>
      </c>
      <c r="BN201">
        <f>IF(AND(AN201=ReachLabel,BB201=1),AS201,0)</f>
        <v>0</v>
      </c>
      <c r="BO201">
        <f>IF(AND(AN201=MatchLabel,BB201=1),AS201,0)</f>
        <v>0</v>
      </c>
      <c r="BP201">
        <f>IF(AND(AN201=SafetyLabel,BB201=1),AS201,0)</f>
        <v>0</v>
      </c>
      <c r="BQ201">
        <f>IF(AND(AN201=SecureLabel,BB201=1),AS201,0)</f>
        <v>0</v>
      </c>
      <c r="BR201">
        <f>IF(AND(AN201=SureThingLabel,BB201=1),AS201,0)</f>
        <v>0</v>
      </c>
      <c r="BS201">
        <f>MAX(BN201:BR201)</f>
        <v>0</v>
      </c>
      <c r="BT201">
        <f>MAX(BO201:BR201)</f>
        <v>0</v>
      </c>
      <c r="BU201">
        <f>MAX(BP201:BR201)</f>
        <v>0</v>
      </c>
      <c r="BV201">
        <f>IF(ISNUMBER(AB201),INDEX(AllCollegeChicago, MATCH(N201,AllCollegeNCES,0))*BB201,0)</f>
        <v>0</v>
      </c>
      <c r="BW201">
        <f>IF(ISNUMBER(AB201),INDEX(AllCollegeMoneyCode, MATCH(N201,AllCollegeNCES,0)),"?")</f>
        <v>0</v>
      </c>
      <c r="BX201">
        <f>IF(OR(BW201="---",BW201="--",BW201="+/--",BW201="+/---"),1,0)</f>
        <v>0</v>
      </c>
      <c r="BY201">
        <f>BB201*AR201*AT201</f>
        <v>0</v>
      </c>
    </row>
    <row r="202" spans="1:77">
      <c r="A202" t="s">
        <v>96</v>
      </c>
      <c r="B202">
        <v>22942005</v>
      </c>
      <c r="C202" t="s">
        <v>165</v>
      </c>
      <c r="D202" t="s">
        <v>166</v>
      </c>
      <c r="E202" t="s">
        <v>446</v>
      </c>
      <c r="F202" t="s">
        <v>465</v>
      </c>
      <c r="G202" t="s">
        <v>448</v>
      </c>
      <c r="H202" t="s">
        <v>449</v>
      </c>
      <c r="I202" t="s">
        <v>450</v>
      </c>
      <c r="J202" t="s">
        <v>450</v>
      </c>
      <c r="K202">
        <v>0</v>
      </c>
      <c r="L202" t="s">
        <v>446</v>
      </c>
      <c r="M202" t="s">
        <v>446</v>
      </c>
      <c r="N202">
        <v>145600</v>
      </c>
      <c r="O202">
        <f>INDEX(Counselor,MATCH(B202,KidIDs,0))</f>
        <v>0</v>
      </c>
      <c r="P202">
        <f>INDEX(Advisors,MATCH(B202,KidIDs,0))</f>
        <v>0</v>
      </c>
      <c r="Q202">
        <f>INDEX(Cohort,MATCH(B202,KidIDs,0))</f>
        <v>0</v>
      </c>
      <c r="R202">
        <f>INDEX(AllCollegeBarrons,MATCH(N202,AllCollegeNCES,0))</f>
        <v>0</v>
      </c>
      <c r="S202">
        <f>INDEX(KidGPAs,MATCH(B202,KidIDs,0))</f>
        <v>0</v>
      </c>
      <c r="T202">
        <f>INDEX(KidSATs,MATCH(B202,KidIDs,0))</f>
        <v>0</v>
      </c>
      <c r="U202">
        <f>INDEX(Strats,MATCH(B202,KidIDs,0))</f>
        <v>0</v>
      </c>
      <c r="V202">
        <f>INDEX(KidRace,MATCH(B202,KidIDs,0))</f>
        <v>0</v>
      </c>
      <c r="W202">
        <f>IF(OR(V202="M",V202="I"),"H",IF(V202="P","A",V202))</f>
        <v>0</v>
      </c>
      <c r="X202">
        <f>INDEX(StudentTargets,MATCH(B202,KidIDs,0))</f>
        <v>0</v>
      </c>
      <c r="Y202">
        <f>INDEX(ReachStudentTargets,MATCH(B202,KidIDs,0))</f>
        <v>0</v>
      </c>
      <c r="Z202">
        <f>IF(OR(M202="Posse"),1,0)</f>
        <v>0</v>
      </c>
      <c r="AA202">
        <f>IF(ISNUMBER(INDEX(AllCollegeGR, MATCH(N202,AllCollegeNCES,0))),ROUND(INDEX(AllCollegeGR, MATCH(N202,AllCollegeNCES,0))+Z202*IF(INDEX(AllCollegeGR, MATCH(N202,AllCollegeNCES,0))&gt;0.7,(1-INDEX(AllCollegeGR, MATCH(N202,AllCollegeNCES,0)))/2,0.15),2),INDEX(AllCollegeGR, MATCH(N202,AllCollegeNCES,0)))</f>
        <v>0</v>
      </c>
      <c r="AB202">
        <f>IF(ISNUMBER(INDEX(AllCollegeAAHGR, MATCH(N202,AllCollegeNCES,0))),ROUND(INDEX(AllCollegeAAHGR, MATCH(N202,AllCollegeNCES,0))+Z202*IF(INDEX(AllCollegeAAHGR, MATCH(N202,AllCollegeNCES,0))&gt;0.7,(1-INDEX(AllCollegeAAHGR, MATCH(N202,AllCollegeNCES,0)))/2,0.15),2),INDEX(AllCollegeAAHGR, MATCH(N202,AllCollegeNCES,0)))</f>
        <v>0</v>
      </c>
      <c r="AC202">
        <f>IF(OR(W202="H",W202="B"),INDEX(AllCollegeSAT25, MATCH(N202,AllCollegeNCES,0)),INDEX(AllCollegeSAT50, MATCH(N202,AllCollegeNCES,0)))</f>
        <v>0</v>
      </c>
      <c r="AD202">
        <f>INDEX(CustomWeightsGPA,MATCH(W202&amp;":"&amp;N202,CustomWeightsIndex,0))</f>
        <v>0</v>
      </c>
      <c r="AE202">
        <f>INDEX(CustomWeightsSAT,MATCH(W202&amp;":"&amp;N202,CustomWeightsIndex,0))</f>
        <v>0</v>
      </c>
      <c r="AF202">
        <f>INDEX(CustomWeightsIntercept,MATCH(W202&amp;":"&amp;N202,CustomWeightsIndex,0))</f>
        <v>0</v>
      </c>
      <c r="AG202">
        <f>AD202*S202+AE202*T202+AF202</f>
        <v>0</v>
      </c>
      <c r="AH202">
        <f>INDEX(CoefficientsGPA,MATCH(W202&amp;":"&amp;R202,CoefficientsIndex,0))</f>
        <v>0</v>
      </c>
      <c r="AI202">
        <f>INDEX(CoefficientsSAT,MATCH(W202&amp;":"&amp;R202,CoefficientsIndex,0))</f>
        <v>0</v>
      </c>
      <c r="AJ202">
        <f>INDEX(CoefficientsIntercept,MATCH(W202&amp;":"&amp;R202,CoefficientsIndex,0))</f>
        <v>0</v>
      </c>
      <c r="AK202">
        <f>AH202*S202+(T202-AC202)*AI202+AJ202</f>
        <v>0</v>
      </c>
      <c r="AL202">
        <f>IF(ISNUMBER(AG202),AG202,AK202)</f>
        <v>0</v>
      </c>
      <c r="AM202">
        <f>IF(ISNUMBER(AL202),IF(ISNUMBER(AH202),IF(AND(AH202=1,AI202=1,AJ202=1),100,MIN(99,ROUND(100*EXP(AL202)/(1+EXP(AL202)),2))),MIN(99,ROUND(100*EXP(AL202)/(1+EXP(AL202)),2))),IF(ISTEXT(R202),IF(LEFT(R202,1)="2",100,"N/A"),"N/A"))</f>
        <v>0</v>
      </c>
      <c r="AN202">
        <f>IF(ISNUMBER(AM202),IF(AM202&gt;=99,IF(OR(U202=10,U202=11),MatchLabel,SureThingLabel),IF(AM202&gt;=95,SecureLabel,IF(AM202&gt;=80,SafetyLabel,IF(AM202&gt;=50,MatchLabel,IF(AM202&gt;=20,ReachLabel,IF(AM202&gt;=10,LongshotLabel,HailMaryLabel)))))),"Other")</f>
        <v>0</v>
      </c>
      <c r="AO202">
        <f>IF(OR(I202="accepted",I202="cond. accept",I202="summer admit"),IF(J202="yes","CHOICE!","Accepted!"),IF(I202="guar. transfer","Guar. Xfer",IF(I202="denied","Denied",IF(K202=1,"Waitlist",IF(L202=1,"Deferred",IF(G202="pending","Pending",IF(OR(G202="initial materials submitted",G202="mid-year submitted",G202="final submitted"),"Submitted",IF(H202="interest","Interest","?"))))))))</f>
        <v>0</v>
      </c>
      <c r="AP202">
        <f>IF(OR(AN202=ReachLabel,AN202=LongshotLabel,AN202=HailMaryLabel),1,0)</f>
        <v>0</v>
      </c>
      <c r="AQ202">
        <f>IF(OR(AP202=1,AN202=MatchLabel),1,0)</f>
        <v>0</v>
      </c>
      <c r="AR202">
        <f>IF(OR(AN202=MatchLabel,AN202=SafetyLabel,AN202=SecureLabel,AN202=SureThingLabel),1,0)</f>
        <v>0</v>
      </c>
      <c r="AS202">
        <f>IF(OR(W202="H",W202="B",W202="I",W202="M"),IF(ISNUMBER(AB202),ROUND(AB202,2),0),IF(ISNUMBER(AA202),ROUND(AA202,2),0))</f>
        <v>0</v>
      </c>
      <c r="AT202">
        <f>IF(AS202&gt;=X202,1,0)</f>
        <v>0</v>
      </c>
      <c r="AU202">
        <f>IF(AS202&gt;=Y202,1,0)</f>
        <v>0</v>
      </c>
      <c r="AV202">
        <f>IF(AS202&lt;(X202-0.10),1,0)</f>
        <v>0</v>
      </c>
      <c r="AW202">
        <f>1-AM202/100</f>
        <v>0</v>
      </c>
      <c r="AX202">
        <f>IF(AQ202=1,AW202,1)</f>
        <v>0</v>
      </c>
      <c r="AY202">
        <f>IF(AP202=1,AW202,1)</f>
        <v>0</v>
      </c>
      <c r="AZ202">
        <f>IF(AND(AT202=1,ISNUMBER(AW202)),$AW202,1)</f>
        <v>0</v>
      </c>
      <c r="BA202">
        <f>IF(AND(AU202=1,ISNUMBER(AW202)),$AW202,1)</f>
        <v>0</v>
      </c>
      <c r="BB202">
        <f>IF(ISNUMBER(AB202),INDEX(AllCollegeMoney, MATCH(N202,AllCollegeNCES,0)),0)</f>
        <v>0</v>
      </c>
      <c r="BC202">
        <f>IF(AND(AT202=1,ISNUMBER(AW202),BB202=1),$AW202,1)</f>
        <v>0</v>
      </c>
      <c r="BD202">
        <f>IF(AND(AU202=1,ISNUMBER(AW202),BB202=1),$AW202,1)</f>
        <v>0</v>
      </c>
      <c r="BE202">
        <f>IF(ISNUMBER(AB202),INDEX(AllCollegeILPub, MATCH(N202,AllCollegeNCES,0)),0)</f>
        <v>0</v>
      </c>
      <c r="BF202">
        <f>IF(AN202=ReachLabel,AS202,0)</f>
        <v>0</v>
      </c>
      <c r="BG202">
        <f>IF(AN202=MatchLabel,AS202,0)</f>
        <v>0</v>
      </c>
      <c r="BH202">
        <f>IF(AN202=SafetyLabel,AS202,0)</f>
        <v>0</v>
      </c>
      <c r="BI202">
        <f>IF(AN202=SecureLabel,AS202,0)</f>
        <v>0</v>
      </c>
      <c r="BJ202">
        <f>IF(AN202=SureThingLabel,AS202,0)</f>
        <v>0</v>
      </c>
      <c r="BK202">
        <f>MAX(BF202:BJ202)</f>
        <v>0</v>
      </c>
      <c r="BL202">
        <f>MAX(BG202:BJ202)</f>
        <v>0</v>
      </c>
      <c r="BM202">
        <f>MAX(BH202:BJ202)</f>
        <v>0</v>
      </c>
      <c r="BN202">
        <f>IF(AND(AN202=ReachLabel,BB202=1),AS202,0)</f>
        <v>0</v>
      </c>
      <c r="BO202">
        <f>IF(AND(AN202=MatchLabel,BB202=1),AS202,0)</f>
        <v>0</v>
      </c>
      <c r="BP202">
        <f>IF(AND(AN202=SafetyLabel,BB202=1),AS202,0)</f>
        <v>0</v>
      </c>
      <c r="BQ202">
        <f>IF(AND(AN202=SecureLabel,BB202=1),AS202,0)</f>
        <v>0</v>
      </c>
      <c r="BR202">
        <f>IF(AND(AN202=SureThingLabel,BB202=1),AS202,0)</f>
        <v>0</v>
      </c>
      <c r="BS202">
        <f>MAX(BN202:BR202)</f>
        <v>0</v>
      </c>
      <c r="BT202">
        <f>MAX(BO202:BR202)</f>
        <v>0</v>
      </c>
      <c r="BU202">
        <f>MAX(BP202:BR202)</f>
        <v>0</v>
      </c>
      <c r="BV202">
        <f>IF(ISNUMBER(AB202),INDEX(AllCollegeChicago, MATCH(N202,AllCollegeNCES,0))*BB202,0)</f>
        <v>0</v>
      </c>
      <c r="BW202">
        <f>IF(ISNUMBER(AB202),INDEX(AllCollegeMoneyCode, MATCH(N202,AllCollegeNCES,0)),"?")</f>
        <v>0</v>
      </c>
      <c r="BX202">
        <f>IF(OR(BW202="---",BW202="--",BW202="+/--",BW202="+/---"),1,0)</f>
        <v>0</v>
      </c>
      <c r="BY202">
        <f>BB202*AR202*AT202</f>
        <v>0</v>
      </c>
    </row>
    <row r="203" spans="1:77">
      <c r="A203" t="s">
        <v>96</v>
      </c>
      <c r="B203">
        <v>22942005</v>
      </c>
      <c r="C203" t="s">
        <v>165</v>
      </c>
      <c r="D203" t="s">
        <v>166</v>
      </c>
      <c r="E203" t="s">
        <v>446</v>
      </c>
      <c r="F203" t="s">
        <v>519</v>
      </c>
      <c r="G203" t="s">
        <v>448</v>
      </c>
      <c r="H203" t="s">
        <v>449</v>
      </c>
      <c r="I203" t="s">
        <v>450</v>
      </c>
      <c r="J203" t="s">
        <v>450</v>
      </c>
      <c r="K203">
        <v>0</v>
      </c>
      <c r="L203" t="s">
        <v>446</v>
      </c>
      <c r="M203" t="s">
        <v>446</v>
      </c>
      <c r="N203">
        <v>145813</v>
      </c>
      <c r="O203">
        <f>INDEX(Counselor,MATCH(B203,KidIDs,0))</f>
        <v>0</v>
      </c>
      <c r="P203">
        <f>INDEX(Advisors,MATCH(B203,KidIDs,0))</f>
        <v>0</v>
      </c>
      <c r="Q203">
        <f>INDEX(Cohort,MATCH(B203,KidIDs,0))</f>
        <v>0</v>
      </c>
      <c r="R203">
        <f>INDEX(AllCollegeBarrons,MATCH(N203,AllCollegeNCES,0))</f>
        <v>0</v>
      </c>
      <c r="S203">
        <f>INDEX(KidGPAs,MATCH(B203,KidIDs,0))</f>
        <v>0</v>
      </c>
      <c r="T203">
        <f>INDEX(KidSATs,MATCH(B203,KidIDs,0))</f>
        <v>0</v>
      </c>
      <c r="U203">
        <f>INDEX(Strats,MATCH(B203,KidIDs,0))</f>
        <v>0</v>
      </c>
      <c r="V203">
        <f>INDEX(KidRace,MATCH(B203,KidIDs,0))</f>
        <v>0</v>
      </c>
      <c r="W203">
        <f>IF(OR(V203="M",V203="I"),"H",IF(V203="P","A",V203))</f>
        <v>0</v>
      </c>
      <c r="X203">
        <f>INDEX(StudentTargets,MATCH(B203,KidIDs,0))</f>
        <v>0</v>
      </c>
      <c r="Y203">
        <f>INDEX(ReachStudentTargets,MATCH(B203,KidIDs,0))</f>
        <v>0</v>
      </c>
      <c r="Z203">
        <f>IF(OR(M203="Posse"),1,0)</f>
        <v>0</v>
      </c>
      <c r="AA203">
        <f>IF(ISNUMBER(INDEX(AllCollegeGR, MATCH(N203,AllCollegeNCES,0))),ROUND(INDEX(AllCollegeGR, MATCH(N203,AllCollegeNCES,0))+Z203*IF(INDEX(AllCollegeGR, MATCH(N203,AllCollegeNCES,0))&gt;0.7,(1-INDEX(AllCollegeGR, MATCH(N203,AllCollegeNCES,0)))/2,0.15),2),INDEX(AllCollegeGR, MATCH(N203,AllCollegeNCES,0)))</f>
        <v>0</v>
      </c>
      <c r="AB203">
        <f>IF(ISNUMBER(INDEX(AllCollegeAAHGR, MATCH(N203,AllCollegeNCES,0))),ROUND(INDEX(AllCollegeAAHGR, MATCH(N203,AllCollegeNCES,0))+Z203*IF(INDEX(AllCollegeAAHGR, MATCH(N203,AllCollegeNCES,0))&gt;0.7,(1-INDEX(AllCollegeAAHGR, MATCH(N203,AllCollegeNCES,0)))/2,0.15),2),INDEX(AllCollegeAAHGR, MATCH(N203,AllCollegeNCES,0)))</f>
        <v>0</v>
      </c>
      <c r="AC203">
        <f>IF(OR(W203="H",W203="B"),INDEX(AllCollegeSAT25, MATCH(N203,AllCollegeNCES,0)),INDEX(AllCollegeSAT50, MATCH(N203,AllCollegeNCES,0)))</f>
        <v>0</v>
      </c>
      <c r="AD203">
        <f>INDEX(CustomWeightsGPA,MATCH(W203&amp;":"&amp;N203,CustomWeightsIndex,0))</f>
        <v>0</v>
      </c>
      <c r="AE203">
        <f>INDEX(CustomWeightsSAT,MATCH(W203&amp;":"&amp;N203,CustomWeightsIndex,0))</f>
        <v>0</v>
      </c>
      <c r="AF203">
        <f>INDEX(CustomWeightsIntercept,MATCH(W203&amp;":"&amp;N203,CustomWeightsIndex,0))</f>
        <v>0</v>
      </c>
      <c r="AG203">
        <f>AD203*S203+AE203*T203+AF203</f>
        <v>0</v>
      </c>
      <c r="AH203">
        <f>INDEX(CoefficientsGPA,MATCH(W203&amp;":"&amp;R203,CoefficientsIndex,0))</f>
        <v>0</v>
      </c>
      <c r="AI203">
        <f>INDEX(CoefficientsSAT,MATCH(W203&amp;":"&amp;R203,CoefficientsIndex,0))</f>
        <v>0</v>
      </c>
      <c r="AJ203">
        <f>INDEX(CoefficientsIntercept,MATCH(W203&amp;":"&amp;R203,CoefficientsIndex,0))</f>
        <v>0</v>
      </c>
      <c r="AK203">
        <f>AH203*S203+(T203-AC203)*AI203+AJ203</f>
        <v>0</v>
      </c>
      <c r="AL203">
        <f>IF(ISNUMBER(AG203),AG203,AK203)</f>
        <v>0</v>
      </c>
      <c r="AM203">
        <f>IF(ISNUMBER(AL203),IF(ISNUMBER(AH203),IF(AND(AH203=1,AI203=1,AJ203=1),100,MIN(99,ROUND(100*EXP(AL203)/(1+EXP(AL203)),2))),MIN(99,ROUND(100*EXP(AL203)/(1+EXP(AL203)),2))),IF(ISTEXT(R203),IF(LEFT(R203,1)="2",100,"N/A"),"N/A"))</f>
        <v>0</v>
      </c>
      <c r="AN203">
        <f>IF(ISNUMBER(AM203),IF(AM203&gt;=99,IF(OR(U203=10,U203=11),MatchLabel,SureThingLabel),IF(AM203&gt;=95,SecureLabel,IF(AM203&gt;=80,SafetyLabel,IF(AM203&gt;=50,MatchLabel,IF(AM203&gt;=20,ReachLabel,IF(AM203&gt;=10,LongshotLabel,HailMaryLabel)))))),"Other")</f>
        <v>0</v>
      </c>
      <c r="AO203">
        <f>IF(OR(I203="accepted",I203="cond. accept",I203="summer admit"),IF(J203="yes","CHOICE!","Accepted!"),IF(I203="guar. transfer","Guar. Xfer",IF(I203="denied","Denied",IF(K203=1,"Waitlist",IF(L203=1,"Deferred",IF(G203="pending","Pending",IF(OR(G203="initial materials submitted",G203="mid-year submitted",G203="final submitted"),"Submitted",IF(H203="interest","Interest","?"))))))))</f>
        <v>0</v>
      </c>
      <c r="AP203">
        <f>IF(OR(AN203=ReachLabel,AN203=LongshotLabel,AN203=HailMaryLabel),1,0)</f>
        <v>0</v>
      </c>
      <c r="AQ203">
        <f>IF(OR(AP203=1,AN203=MatchLabel),1,0)</f>
        <v>0</v>
      </c>
      <c r="AR203">
        <f>IF(OR(AN203=MatchLabel,AN203=SafetyLabel,AN203=SecureLabel,AN203=SureThingLabel),1,0)</f>
        <v>0</v>
      </c>
      <c r="AS203">
        <f>IF(OR(W203="H",W203="B",W203="I",W203="M"),IF(ISNUMBER(AB203),ROUND(AB203,2),0),IF(ISNUMBER(AA203),ROUND(AA203,2),0))</f>
        <v>0</v>
      </c>
      <c r="AT203">
        <f>IF(AS203&gt;=X203,1,0)</f>
        <v>0</v>
      </c>
      <c r="AU203">
        <f>IF(AS203&gt;=Y203,1,0)</f>
        <v>0</v>
      </c>
      <c r="AV203">
        <f>IF(AS203&lt;(X203-0.10),1,0)</f>
        <v>0</v>
      </c>
      <c r="AW203">
        <f>1-AM203/100</f>
        <v>0</v>
      </c>
      <c r="AX203">
        <f>IF(AQ203=1,AW203,1)</f>
        <v>0</v>
      </c>
      <c r="AY203">
        <f>IF(AP203=1,AW203,1)</f>
        <v>0</v>
      </c>
      <c r="AZ203">
        <f>IF(AND(AT203=1,ISNUMBER(AW203)),$AW203,1)</f>
        <v>0</v>
      </c>
      <c r="BA203">
        <f>IF(AND(AU203=1,ISNUMBER(AW203)),$AW203,1)</f>
        <v>0</v>
      </c>
      <c r="BB203">
        <f>IF(ISNUMBER(AB203),INDEX(AllCollegeMoney, MATCH(N203,AllCollegeNCES,0)),0)</f>
        <v>0</v>
      </c>
      <c r="BC203">
        <f>IF(AND(AT203=1,ISNUMBER(AW203),BB203=1),$AW203,1)</f>
        <v>0</v>
      </c>
      <c r="BD203">
        <f>IF(AND(AU203=1,ISNUMBER(AW203),BB203=1),$AW203,1)</f>
        <v>0</v>
      </c>
      <c r="BE203">
        <f>IF(ISNUMBER(AB203),INDEX(AllCollegeILPub, MATCH(N203,AllCollegeNCES,0)),0)</f>
        <v>0</v>
      </c>
      <c r="BF203">
        <f>IF(AN203=ReachLabel,AS203,0)</f>
        <v>0</v>
      </c>
      <c r="BG203">
        <f>IF(AN203=MatchLabel,AS203,0)</f>
        <v>0</v>
      </c>
      <c r="BH203">
        <f>IF(AN203=SafetyLabel,AS203,0)</f>
        <v>0</v>
      </c>
      <c r="BI203">
        <f>IF(AN203=SecureLabel,AS203,0)</f>
        <v>0</v>
      </c>
      <c r="BJ203">
        <f>IF(AN203=SureThingLabel,AS203,0)</f>
        <v>0</v>
      </c>
      <c r="BK203">
        <f>MAX(BF203:BJ203)</f>
        <v>0</v>
      </c>
      <c r="BL203">
        <f>MAX(BG203:BJ203)</f>
        <v>0</v>
      </c>
      <c r="BM203">
        <f>MAX(BH203:BJ203)</f>
        <v>0</v>
      </c>
      <c r="BN203">
        <f>IF(AND(AN203=ReachLabel,BB203=1),AS203,0)</f>
        <v>0</v>
      </c>
      <c r="BO203">
        <f>IF(AND(AN203=MatchLabel,BB203=1),AS203,0)</f>
        <v>0</v>
      </c>
      <c r="BP203">
        <f>IF(AND(AN203=SafetyLabel,BB203=1),AS203,0)</f>
        <v>0</v>
      </c>
      <c r="BQ203">
        <f>IF(AND(AN203=SecureLabel,BB203=1),AS203,0)</f>
        <v>0</v>
      </c>
      <c r="BR203">
        <f>IF(AND(AN203=SureThingLabel,BB203=1),AS203,0)</f>
        <v>0</v>
      </c>
      <c r="BS203">
        <f>MAX(BN203:BR203)</f>
        <v>0</v>
      </c>
      <c r="BT203">
        <f>MAX(BO203:BR203)</f>
        <v>0</v>
      </c>
      <c r="BU203">
        <f>MAX(BP203:BR203)</f>
        <v>0</v>
      </c>
      <c r="BV203">
        <f>IF(ISNUMBER(AB203),INDEX(AllCollegeChicago, MATCH(N203,AllCollegeNCES,0))*BB203,0)</f>
        <v>0</v>
      </c>
      <c r="BW203">
        <f>IF(ISNUMBER(AB203),INDEX(AllCollegeMoneyCode, MATCH(N203,AllCollegeNCES,0)),"?")</f>
        <v>0</v>
      </c>
      <c r="BX203">
        <f>IF(OR(BW203="---",BW203="--",BW203="+/--",BW203="+/---"),1,0)</f>
        <v>0</v>
      </c>
      <c r="BY203">
        <f>BB203*AR203*AT203</f>
        <v>0</v>
      </c>
    </row>
    <row r="204" spans="1:77">
      <c r="A204" t="s">
        <v>96</v>
      </c>
      <c r="B204">
        <v>22942005</v>
      </c>
      <c r="C204" t="s">
        <v>165</v>
      </c>
      <c r="D204" t="s">
        <v>166</v>
      </c>
      <c r="E204" t="s">
        <v>446</v>
      </c>
      <c r="F204" t="s">
        <v>453</v>
      </c>
      <c r="G204" t="s">
        <v>448</v>
      </c>
      <c r="H204" t="s">
        <v>449</v>
      </c>
      <c r="I204" t="s">
        <v>450</v>
      </c>
      <c r="J204" t="s">
        <v>450</v>
      </c>
      <c r="K204">
        <v>0</v>
      </c>
      <c r="L204" t="s">
        <v>446</v>
      </c>
      <c r="M204" t="s">
        <v>454</v>
      </c>
      <c r="N204">
        <v>150774</v>
      </c>
      <c r="O204">
        <f>INDEX(Counselor,MATCH(B204,KidIDs,0))</f>
        <v>0</v>
      </c>
      <c r="P204">
        <f>INDEX(Advisors,MATCH(B204,KidIDs,0))</f>
        <v>0</v>
      </c>
      <c r="Q204">
        <f>INDEX(Cohort,MATCH(B204,KidIDs,0))</f>
        <v>0</v>
      </c>
      <c r="R204">
        <f>INDEX(AllCollegeBarrons,MATCH(N204,AllCollegeNCES,0))</f>
        <v>0</v>
      </c>
      <c r="S204">
        <f>INDEX(KidGPAs,MATCH(B204,KidIDs,0))</f>
        <v>0</v>
      </c>
      <c r="T204">
        <f>INDEX(KidSATs,MATCH(B204,KidIDs,0))</f>
        <v>0</v>
      </c>
      <c r="U204">
        <f>INDEX(Strats,MATCH(B204,KidIDs,0))</f>
        <v>0</v>
      </c>
      <c r="V204">
        <f>INDEX(KidRace,MATCH(B204,KidIDs,0))</f>
        <v>0</v>
      </c>
      <c r="W204">
        <f>IF(OR(V204="M",V204="I"),"H",IF(V204="P","A",V204))</f>
        <v>0</v>
      </c>
      <c r="X204">
        <f>INDEX(StudentTargets,MATCH(B204,KidIDs,0))</f>
        <v>0</v>
      </c>
      <c r="Y204">
        <f>INDEX(ReachStudentTargets,MATCH(B204,KidIDs,0))</f>
        <v>0</v>
      </c>
      <c r="Z204">
        <f>IF(OR(M204="Posse"),1,0)</f>
        <v>0</v>
      </c>
      <c r="AA204">
        <f>IF(ISNUMBER(INDEX(AllCollegeGR, MATCH(N204,AllCollegeNCES,0))),ROUND(INDEX(AllCollegeGR, MATCH(N204,AllCollegeNCES,0))+Z204*IF(INDEX(AllCollegeGR, MATCH(N204,AllCollegeNCES,0))&gt;0.7,(1-INDEX(AllCollegeGR, MATCH(N204,AllCollegeNCES,0)))/2,0.15),2),INDEX(AllCollegeGR, MATCH(N204,AllCollegeNCES,0)))</f>
        <v>0</v>
      </c>
      <c r="AB204">
        <f>IF(ISNUMBER(INDEX(AllCollegeAAHGR, MATCH(N204,AllCollegeNCES,0))),ROUND(INDEX(AllCollegeAAHGR, MATCH(N204,AllCollegeNCES,0))+Z204*IF(INDEX(AllCollegeAAHGR, MATCH(N204,AllCollegeNCES,0))&gt;0.7,(1-INDEX(AllCollegeAAHGR, MATCH(N204,AllCollegeNCES,0)))/2,0.15),2),INDEX(AllCollegeAAHGR, MATCH(N204,AllCollegeNCES,0)))</f>
        <v>0</v>
      </c>
      <c r="AC204">
        <f>IF(OR(W204="H",W204="B"),INDEX(AllCollegeSAT25, MATCH(N204,AllCollegeNCES,0)),INDEX(AllCollegeSAT50, MATCH(N204,AllCollegeNCES,0)))</f>
        <v>0</v>
      </c>
      <c r="AD204">
        <f>INDEX(CustomWeightsGPA,MATCH(W204&amp;":"&amp;N204,CustomWeightsIndex,0))</f>
        <v>0</v>
      </c>
      <c r="AE204">
        <f>INDEX(CustomWeightsSAT,MATCH(W204&amp;":"&amp;N204,CustomWeightsIndex,0))</f>
        <v>0</v>
      </c>
      <c r="AF204">
        <f>INDEX(CustomWeightsIntercept,MATCH(W204&amp;":"&amp;N204,CustomWeightsIndex,0))</f>
        <v>0</v>
      </c>
      <c r="AG204">
        <f>AD204*S204+AE204*T204+AF204</f>
        <v>0</v>
      </c>
      <c r="AH204">
        <f>INDEX(CoefficientsGPA,MATCH(W204&amp;":"&amp;R204,CoefficientsIndex,0))</f>
        <v>0</v>
      </c>
      <c r="AI204">
        <f>INDEX(CoefficientsSAT,MATCH(W204&amp;":"&amp;R204,CoefficientsIndex,0))</f>
        <v>0</v>
      </c>
      <c r="AJ204">
        <f>INDEX(CoefficientsIntercept,MATCH(W204&amp;":"&amp;R204,CoefficientsIndex,0))</f>
        <v>0</v>
      </c>
      <c r="AK204">
        <f>AH204*S204+(T204-AC204)*AI204+AJ204</f>
        <v>0</v>
      </c>
      <c r="AL204">
        <f>IF(ISNUMBER(AG204),AG204,AK204)</f>
        <v>0</v>
      </c>
      <c r="AM204">
        <f>IF(ISNUMBER(AL204),IF(ISNUMBER(AH204),IF(AND(AH204=1,AI204=1,AJ204=1),100,MIN(99,ROUND(100*EXP(AL204)/(1+EXP(AL204)),2))),MIN(99,ROUND(100*EXP(AL204)/(1+EXP(AL204)),2))),IF(ISTEXT(R204),IF(LEFT(R204,1)="2",100,"N/A"),"N/A"))</f>
        <v>0</v>
      </c>
      <c r="AN204">
        <f>IF(ISNUMBER(AM204),IF(AM204&gt;=99,IF(OR(U204=10,U204=11),MatchLabel,SureThingLabel),IF(AM204&gt;=95,SecureLabel,IF(AM204&gt;=80,SafetyLabel,IF(AM204&gt;=50,MatchLabel,IF(AM204&gt;=20,ReachLabel,IF(AM204&gt;=10,LongshotLabel,HailMaryLabel)))))),"Other")</f>
        <v>0</v>
      </c>
      <c r="AO204">
        <f>IF(OR(I204="accepted",I204="cond. accept",I204="summer admit"),IF(J204="yes","CHOICE!","Accepted!"),IF(I204="guar. transfer","Guar. Xfer",IF(I204="denied","Denied",IF(K204=1,"Waitlist",IF(L204=1,"Deferred",IF(G204="pending","Pending",IF(OR(G204="initial materials submitted",G204="mid-year submitted",G204="final submitted"),"Submitted",IF(H204="interest","Interest","?"))))))))</f>
        <v>0</v>
      </c>
      <c r="AP204">
        <f>IF(OR(AN204=ReachLabel,AN204=LongshotLabel,AN204=HailMaryLabel),1,0)</f>
        <v>0</v>
      </c>
      <c r="AQ204">
        <f>IF(OR(AP204=1,AN204=MatchLabel),1,0)</f>
        <v>0</v>
      </c>
      <c r="AR204">
        <f>IF(OR(AN204=MatchLabel,AN204=SafetyLabel,AN204=SecureLabel,AN204=SureThingLabel),1,0)</f>
        <v>0</v>
      </c>
      <c r="AS204">
        <f>IF(OR(W204="H",W204="B",W204="I",W204="M"),IF(ISNUMBER(AB204),ROUND(AB204,2),0),IF(ISNUMBER(AA204),ROUND(AA204,2),0))</f>
        <v>0</v>
      </c>
      <c r="AT204">
        <f>IF(AS204&gt;=X204,1,0)</f>
        <v>0</v>
      </c>
      <c r="AU204">
        <f>IF(AS204&gt;=Y204,1,0)</f>
        <v>0</v>
      </c>
      <c r="AV204">
        <f>IF(AS204&lt;(X204-0.10),1,0)</f>
        <v>0</v>
      </c>
      <c r="AW204">
        <f>1-AM204/100</f>
        <v>0</v>
      </c>
      <c r="AX204">
        <f>IF(AQ204=1,AW204,1)</f>
        <v>0</v>
      </c>
      <c r="AY204">
        <f>IF(AP204=1,AW204,1)</f>
        <v>0</v>
      </c>
      <c r="AZ204">
        <f>IF(AND(AT204=1,ISNUMBER(AW204)),$AW204,1)</f>
        <v>0</v>
      </c>
      <c r="BA204">
        <f>IF(AND(AU204=1,ISNUMBER(AW204)),$AW204,1)</f>
        <v>0</v>
      </c>
      <c r="BB204">
        <f>IF(ISNUMBER(AB204),INDEX(AllCollegeMoney, MATCH(N204,AllCollegeNCES,0)),0)</f>
        <v>0</v>
      </c>
      <c r="BC204">
        <f>IF(AND(AT204=1,ISNUMBER(AW204),BB204=1),$AW204,1)</f>
        <v>0</v>
      </c>
      <c r="BD204">
        <f>IF(AND(AU204=1,ISNUMBER(AW204),BB204=1),$AW204,1)</f>
        <v>0</v>
      </c>
      <c r="BE204">
        <f>IF(ISNUMBER(AB204),INDEX(AllCollegeILPub, MATCH(N204,AllCollegeNCES,0)),0)</f>
        <v>0</v>
      </c>
      <c r="BF204">
        <f>IF(AN204=ReachLabel,AS204,0)</f>
        <v>0</v>
      </c>
      <c r="BG204">
        <f>IF(AN204=MatchLabel,AS204,0)</f>
        <v>0</v>
      </c>
      <c r="BH204">
        <f>IF(AN204=SafetyLabel,AS204,0)</f>
        <v>0</v>
      </c>
      <c r="BI204">
        <f>IF(AN204=SecureLabel,AS204,0)</f>
        <v>0</v>
      </c>
      <c r="BJ204">
        <f>IF(AN204=SureThingLabel,AS204,0)</f>
        <v>0</v>
      </c>
      <c r="BK204">
        <f>MAX(BF204:BJ204)</f>
        <v>0</v>
      </c>
      <c r="BL204">
        <f>MAX(BG204:BJ204)</f>
        <v>0</v>
      </c>
      <c r="BM204">
        <f>MAX(BH204:BJ204)</f>
        <v>0</v>
      </c>
      <c r="BN204">
        <f>IF(AND(AN204=ReachLabel,BB204=1),AS204,0)</f>
        <v>0</v>
      </c>
      <c r="BO204">
        <f>IF(AND(AN204=MatchLabel,BB204=1),AS204,0)</f>
        <v>0</v>
      </c>
      <c r="BP204">
        <f>IF(AND(AN204=SafetyLabel,BB204=1),AS204,0)</f>
        <v>0</v>
      </c>
      <c r="BQ204">
        <f>IF(AND(AN204=SecureLabel,BB204=1),AS204,0)</f>
        <v>0</v>
      </c>
      <c r="BR204">
        <f>IF(AND(AN204=SureThingLabel,BB204=1),AS204,0)</f>
        <v>0</v>
      </c>
      <c r="BS204">
        <f>MAX(BN204:BR204)</f>
        <v>0</v>
      </c>
      <c r="BT204">
        <f>MAX(BO204:BR204)</f>
        <v>0</v>
      </c>
      <c r="BU204">
        <f>MAX(BP204:BR204)</f>
        <v>0</v>
      </c>
      <c r="BV204">
        <f>IF(ISNUMBER(AB204),INDEX(AllCollegeChicago, MATCH(N204,AllCollegeNCES,0))*BB204,0)</f>
        <v>0</v>
      </c>
      <c r="BW204">
        <f>IF(ISNUMBER(AB204),INDEX(AllCollegeMoneyCode, MATCH(N204,AllCollegeNCES,0)),"?")</f>
        <v>0</v>
      </c>
      <c r="BX204">
        <f>IF(OR(BW204="---",BW204="--",BW204="+/--",BW204="+/---"),1,0)</f>
        <v>0</v>
      </c>
      <c r="BY204">
        <f>BB204*AR204*AT204</f>
        <v>0</v>
      </c>
    </row>
    <row r="205" spans="1:77">
      <c r="A205" t="s">
        <v>96</v>
      </c>
      <c r="B205">
        <v>22942005</v>
      </c>
      <c r="C205" t="s">
        <v>165</v>
      </c>
      <c r="D205" t="s">
        <v>166</v>
      </c>
      <c r="E205" t="s">
        <v>446</v>
      </c>
      <c r="F205" t="s">
        <v>526</v>
      </c>
      <c r="G205" t="s">
        <v>448</v>
      </c>
      <c r="H205" t="s">
        <v>449</v>
      </c>
      <c r="I205" t="s">
        <v>450</v>
      </c>
      <c r="J205" t="s">
        <v>450</v>
      </c>
      <c r="K205">
        <v>0</v>
      </c>
      <c r="L205" t="s">
        <v>446</v>
      </c>
      <c r="M205" t="s">
        <v>446</v>
      </c>
      <c r="N205">
        <v>147341</v>
      </c>
      <c r="O205">
        <f>INDEX(Counselor,MATCH(B205,KidIDs,0))</f>
        <v>0</v>
      </c>
      <c r="P205">
        <f>INDEX(Advisors,MATCH(B205,KidIDs,0))</f>
        <v>0</v>
      </c>
      <c r="Q205">
        <f>INDEX(Cohort,MATCH(B205,KidIDs,0))</f>
        <v>0</v>
      </c>
      <c r="R205">
        <f>INDEX(AllCollegeBarrons,MATCH(N205,AllCollegeNCES,0))</f>
        <v>0</v>
      </c>
      <c r="S205">
        <f>INDEX(KidGPAs,MATCH(B205,KidIDs,0))</f>
        <v>0</v>
      </c>
      <c r="T205">
        <f>INDEX(KidSATs,MATCH(B205,KidIDs,0))</f>
        <v>0</v>
      </c>
      <c r="U205">
        <f>INDEX(Strats,MATCH(B205,KidIDs,0))</f>
        <v>0</v>
      </c>
      <c r="V205">
        <f>INDEX(KidRace,MATCH(B205,KidIDs,0))</f>
        <v>0</v>
      </c>
      <c r="W205">
        <f>IF(OR(V205="M",V205="I"),"H",IF(V205="P","A",V205))</f>
        <v>0</v>
      </c>
      <c r="X205">
        <f>INDEX(StudentTargets,MATCH(B205,KidIDs,0))</f>
        <v>0</v>
      </c>
      <c r="Y205">
        <f>INDEX(ReachStudentTargets,MATCH(B205,KidIDs,0))</f>
        <v>0</v>
      </c>
      <c r="Z205">
        <f>IF(OR(M205="Posse"),1,0)</f>
        <v>0</v>
      </c>
      <c r="AA205">
        <f>IF(ISNUMBER(INDEX(AllCollegeGR, MATCH(N205,AllCollegeNCES,0))),ROUND(INDEX(AllCollegeGR, MATCH(N205,AllCollegeNCES,0))+Z205*IF(INDEX(AllCollegeGR, MATCH(N205,AllCollegeNCES,0))&gt;0.7,(1-INDEX(AllCollegeGR, MATCH(N205,AllCollegeNCES,0)))/2,0.15),2),INDEX(AllCollegeGR, MATCH(N205,AllCollegeNCES,0)))</f>
        <v>0</v>
      </c>
      <c r="AB205">
        <f>IF(ISNUMBER(INDEX(AllCollegeAAHGR, MATCH(N205,AllCollegeNCES,0))),ROUND(INDEX(AllCollegeAAHGR, MATCH(N205,AllCollegeNCES,0))+Z205*IF(INDEX(AllCollegeAAHGR, MATCH(N205,AllCollegeNCES,0))&gt;0.7,(1-INDEX(AllCollegeAAHGR, MATCH(N205,AllCollegeNCES,0)))/2,0.15),2),INDEX(AllCollegeAAHGR, MATCH(N205,AllCollegeNCES,0)))</f>
        <v>0</v>
      </c>
      <c r="AC205">
        <f>IF(OR(W205="H",W205="B"),INDEX(AllCollegeSAT25, MATCH(N205,AllCollegeNCES,0)),INDEX(AllCollegeSAT50, MATCH(N205,AllCollegeNCES,0)))</f>
        <v>0</v>
      </c>
      <c r="AD205">
        <f>INDEX(CustomWeightsGPA,MATCH(W205&amp;":"&amp;N205,CustomWeightsIndex,0))</f>
        <v>0</v>
      </c>
      <c r="AE205">
        <f>INDEX(CustomWeightsSAT,MATCH(W205&amp;":"&amp;N205,CustomWeightsIndex,0))</f>
        <v>0</v>
      </c>
      <c r="AF205">
        <f>INDEX(CustomWeightsIntercept,MATCH(W205&amp;":"&amp;N205,CustomWeightsIndex,0))</f>
        <v>0</v>
      </c>
      <c r="AG205">
        <f>AD205*S205+AE205*T205+AF205</f>
        <v>0</v>
      </c>
      <c r="AH205">
        <f>INDEX(CoefficientsGPA,MATCH(W205&amp;":"&amp;R205,CoefficientsIndex,0))</f>
        <v>0</v>
      </c>
      <c r="AI205">
        <f>INDEX(CoefficientsSAT,MATCH(W205&amp;":"&amp;R205,CoefficientsIndex,0))</f>
        <v>0</v>
      </c>
      <c r="AJ205">
        <f>INDEX(CoefficientsIntercept,MATCH(W205&amp;":"&amp;R205,CoefficientsIndex,0))</f>
        <v>0</v>
      </c>
      <c r="AK205">
        <f>AH205*S205+(T205-AC205)*AI205+AJ205</f>
        <v>0</v>
      </c>
      <c r="AL205">
        <f>IF(ISNUMBER(AG205),AG205,AK205)</f>
        <v>0</v>
      </c>
      <c r="AM205">
        <f>IF(ISNUMBER(AL205),IF(ISNUMBER(AH205),IF(AND(AH205=1,AI205=1,AJ205=1),100,MIN(99,ROUND(100*EXP(AL205)/(1+EXP(AL205)),2))),MIN(99,ROUND(100*EXP(AL205)/(1+EXP(AL205)),2))),IF(ISTEXT(R205),IF(LEFT(R205,1)="2",100,"N/A"),"N/A"))</f>
        <v>0</v>
      </c>
      <c r="AN205">
        <f>IF(ISNUMBER(AM205),IF(AM205&gt;=99,IF(OR(U205=10,U205=11),MatchLabel,SureThingLabel),IF(AM205&gt;=95,SecureLabel,IF(AM205&gt;=80,SafetyLabel,IF(AM205&gt;=50,MatchLabel,IF(AM205&gt;=20,ReachLabel,IF(AM205&gt;=10,LongshotLabel,HailMaryLabel)))))),"Other")</f>
        <v>0</v>
      </c>
      <c r="AO205">
        <f>IF(OR(I205="accepted",I205="cond. accept",I205="summer admit"),IF(J205="yes","CHOICE!","Accepted!"),IF(I205="guar. transfer","Guar. Xfer",IF(I205="denied","Denied",IF(K205=1,"Waitlist",IF(L205=1,"Deferred",IF(G205="pending","Pending",IF(OR(G205="initial materials submitted",G205="mid-year submitted",G205="final submitted"),"Submitted",IF(H205="interest","Interest","?"))))))))</f>
        <v>0</v>
      </c>
      <c r="AP205">
        <f>IF(OR(AN205=ReachLabel,AN205=LongshotLabel,AN205=HailMaryLabel),1,0)</f>
        <v>0</v>
      </c>
      <c r="AQ205">
        <f>IF(OR(AP205=1,AN205=MatchLabel),1,0)</f>
        <v>0</v>
      </c>
      <c r="AR205">
        <f>IF(OR(AN205=MatchLabel,AN205=SafetyLabel,AN205=SecureLabel,AN205=SureThingLabel),1,0)</f>
        <v>0</v>
      </c>
      <c r="AS205">
        <f>IF(OR(W205="H",W205="B",W205="I",W205="M"),IF(ISNUMBER(AB205),ROUND(AB205,2),0),IF(ISNUMBER(AA205),ROUND(AA205,2),0))</f>
        <v>0</v>
      </c>
      <c r="AT205">
        <f>IF(AS205&gt;=X205,1,0)</f>
        <v>0</v>
      </c>
      <c r="AU205">
        <f>IF(AS205&gt;=Y205,1,0)</f>
        <v>0</v>
      </c>
      <c r="AV205">
        <f>IF(AS205&lt;(X205-0.10),1,0)</f>
        <v>0</v>
      </c>
      <c r="AW205">
        <f>1-AM205/100</f>
        <v>0</v>
      </c>
      <c r="AX205">
        <f>IF(AQ205=1,AW205,1)</f>
        <v>0</v>
      </c>
      <c r="AY205">
        <f>IF(AP205=1,AW205,1)</f>
        <v>0</v>
      </c>
      <c r="AZ205">
        <f>IF(AND(AT205=1,ISNUMBER(AW205)),$AW205,1)</f>
        <v>0</v>
      </c>
      <c r="BA205">
        <f>IF(AND(AU205=1,ISNUMBER(AW205)),$AW205,1)</f>
        <v>0</v>
      </c>
      <c r="BB205">
        <f>IF(ISNUMBER(AB205),INDEX(AllCollegeMoney, MATCH(N205,AllCollegeNCES,0)),0)</f>
        <v>0</v>
      </c>
      <c r="BC205">
        <f>IF(AND(AT205=1,ISNUMBER(AW205),BB205=1),$AW205,1)</f>
        <v>0</v>
      </c>
      <c r="BD205">
        <f>IF(AND(AU205=1,ISNUMBER(AW205),BB205=1),$AW205,1)</f>
        <v>0</v>
      </c>
      <c r="BE205">
        <f>IF(ISNUMBER(AB205),INDEX(AllCollegeILPub, MATCH(N205,AllCollegeNCES,0)),0)</f>
        <v>0</v>
      </c>
      <c r="BF205">
        <f>IF(AN205=ReachLabel,AS205,0)</f>
        <v>0</v>
      </c>
      <c r="BG205">
        <f>IF(AN205=MatchLabel,AS205,0)</f>
        <v>0</v>
      </c>
      <c r="BH205">
        <f>IF(AN205=SafetyLabel,AS205,0)</f>
        <v>0</v>
      </c>
      <c r="BI205">
        <f>IF(AN205=SecureLabel,AS205,0)</f>
        <v>0</v>
      </c>
      <c r="BJ205">
        <f>IF(AN205=SureThingLabel,AS205,0)</f>
        <v>0</v>
      </c>
      <c r="BK205">
        <f>MAX(BF205:BJ205)</f>
        <v>0</v>
      </c>
      <c r="BL205">
        <f>MAX(BG205:BJ205)</f>
        <v>0</v>
      </c>
      <c r="BM205">
        <f>MAX(BH205:BJ205)</f>
        <v>0</v>
      </c>
      <c r="BN205">
        <f>IF(AND(AN205=ReachLabel,BB205=1),AS205,0)</f>
        <v>0</v>
      </c>
      <c r="BO205">
        <f>IF(AND(AN205=MatchLabel,BB205=1),AS205,0)</f>
        <v>0</v>
      </c>
      <c r="BP205">
        <f>IF(AND(AN205=SafetyLabel,BB205=1),AS205,0)</f>
        <v>0</v>
      </c>
      <c r="BQ205">
        <f>IF(AND(AN205=SecureLabel,BB205=1),AS205,0)</f>
        <v>0</v>
      </c>
      <c r="BR205">
        <f>IF(AND(AN205=SureThingLabel,BB205=1),AS205,0)</f>
        <v>0</v>
      </c>
      <c r="BS205">
        <f>MAX(BN205:BR205)</f>
        <v>0</v>
      </c>
      <c r="BT205">
        <f>MAX(BO205:BR205)</f>
        <v>0</v>
      </c>
      <c r="BU205">
        <f>MAX(BP205:BR205)</f>
        <v>0</v>
      </c>
      <c r="BV205">
        <f>IF(ISNUMBER(AB205),INDEX(AllCollegeChicago, MATCH(N205,AllCollegeNCES,0))*BB205,0)</f>
        <v>0</v>
      </c>
      <c r="BW205">
        <f>IF(ISNUMBER(AB205),INDEX(AllCollegeMoneyCode, MATCH(N205,AllCollegeNCES,0)),"?")</f>
        <v>0</v>
      </c>
      <c r="BX205">
        <f>IF(OR(BW205="---",BW205="--",BW205="+/--",BW205="+/---"),1,0)</f>
        <v>0</v>
      </c>
      <c r="BY205">
        <f>BB205*AR205*AT205</f>
        <v>0</v>
      </c>
    </row>
    <row r="206" spans="1:77">
      <c r="A206" t="s">
        <v>96</v>
      </c>
      <c r="B206">
        <v>22942005</v>
      </c>
      <c r="C206" t="s">
        <v>165</v>
      </c>
      <c r="D206" t="s">
        <v>166</v>
      </c>
      <c r="E206" t="s">
        <v>446</v>
      </c>
      <c r="F206" t="s">
        <v>456</v>
      </c>
      <c r="G206" t="s">
        <v>448</v>
      </c>
      <c r="H206" t="s">
        <v>449</v>
      </c>
      <c r="I206" t="s">
        <v>450</v>
      </c>
      <c r="J206" t="s">
        <v>450</v>
      </c>
      <c r="K206">
        <v>0</v>
      </c>
      <c r="L206" t="s">
        <v>446</v>
      </c>
      <c r="M206" t="s">
        <v>446</v>
      </c>
      <c r="N206">
        <v>149772</v>
      </c>
      <c r="O206">
        <f>INDEX(Counselor,MATCH(B206,KidIDs,0))</f>
        <v>0</v>
      </c>
      <c r="P206">
        <f>INDEX(Advisors,MATCH(B206,KidIDs,0))</f>
        <v>0</v>
      </c>
      <c r="Q206">
        <f>INDEX(Cohort,MATCH(B206,KidIDs,0))</f>
        <v>0</v>
      </c>
      <c r="R206">
        <f>INDEX(AllCollegeBarrons,MATCH(N206,AllCollegeNCES,0))</f>
        <v>0</v>
      </c>
      <c r="S206">
        <f>INDEX(KidGPAs,MATCH(B206,KidIDs,0))</f>
        <v>0</v>
      </c>
      <c r="T206">
        <f>INDEX(KidSATs,MATCH(B206,KidIDs,0))</f>
        <v>0</v>
      </c>
      <c r="U206">
        <f>INDEX(Strats,MATCH(B206,KidIDs,0))</f>
        <v>0</v>
      </c>
      <c r="V206">
        <f>INDEX(KidRace,MATCH(B206,KidIDs,0))</f>
        <v>0</v>
      </c>
      <c r="W206">
        <f>IF(OR(V206="M",V206="I"),"H",IF(V206="P","A",V206))</f>
        <v>0</v>
      </c>
      <c r="X206">
        <f>INDEX(StudentTargets,MATCH(B206,KidIDs,0))</f>
        <v>0</v>
      </c>
      <c r="Y206">
        <f>INDEX(ReachStudentTargets,MATCH(B206,KidIDs,0))</f>
        <v>0</v>
      </c>
      <c r="Z206">
        <f>IF(OR(M206="Posse"),1,0)</f>
        <v>0</v>
      </c>
      <c r="AA206">
        <f>IF(ISNUMBER(INDEX(AllCollegeGR, MATCH(N206,AllCollegeNCES,0))),ROUND(INDEX(AllCollegeGR, MATCH(N206,AllCollegeNCES,0))+Z206*IF(INDEX(AllCollegeGR, MATCH(N206,AllCollegeNCES,0))&gt;0.7,(1-INDEX(AllCollegeGR, MATCH(N206,AllCollegeNCES,0)))/2,0.15),2),INDEX(AllCollegeGR, MATCH(N206,AllCollegeNCES,0)))</f>
        <v>0</v>
      </c>
      <c r="AB206">
        <f>IF(ISNUMBER(INDEX(AllCollegeAAHGR, MATCH(N206,AllCollegeNCES,0))),ROUND(INDEX(AllCollegeAAHGR, MATCH(N206,AllCollegeNCES,0))+Z206*IF(INDEX(AllCollegeAAHGR, MATCH(N206,AllCollegeNCES,0))&gt;0.7,(1-INDEX(AllCollegeAAHGR, MATCH(N206,AllCollegeNCES,0)))/2,0.15),2),INDEX(AllCollegeAAHGR, MATCH(N206,AllCollegeNCES,0)))</f>
        <v>0</v>
      </c>
      <c r="AC206">
        <f>IF(OR(W206="H",W206="B"),INDEX(AllCollegeSAT25, MATCH(N206,AllCollegeNCES,0)),INDEX(AllCollegeSAT50, MATCH(N206,AllCollegeNCES,0)))</f>
        <v>0</v>
      </c>
      <c r="AD206">
        <f>INDEX(CustomWeightsGPA,MATCH(W206&amp;":"&amp;N206,CustomWeightsIndex,0))</f>
        <v>0</v>
      </c>
      <c r="AE206">
        <f>INDEX(CustomWeightsSAT,MATCH(W206&amp;":"&amp;N206,CustomWeightsIndex,0))</f>
        <v>0</v>
      </c>
      <c r="AF206">
        <f>INDEX(CustomWeightsIntercept,MATCH(W206&amp;":"&amp;N206,CustomWeightsIndex,0))</f>
        <v>0</v>
      </c>
      <c r="AG206">
        <f>AD206*S206+AE206*T206+AF206</f>
        <v>0</v>
      </c>
      <c r="AH206">
        <f>INDEX(CoefficientsGPA,MATCH(W206&amp;":"&amp;R206,CoefficientsIndex,0))</f>
        <v>0</v>
      </c>
      <c r="AI206">
        <f>INDEX(CoefficientsSAT,MATCH(W206&amp;":"&amp;R206,CoefficientsIndex,0))</f>
        <v>0</v>
      </c>
      <c r="AJ206">
        <f>INDEX(CoefficientsIntercept,MATCH(W206&amp;":"&amp;R206,CoefficientsIndex,0))</f>
        <v>0</v>
      </c>
      <c r="AK206">
        <f>AH206*S206+(T206-AC206)*AI206+AJ206</f>
        <v>0</v>
      </c>
      <c r="AL206">
        <f>IF(ISNUMBER(AG206),AG206,AK206)</f>
        <v>0</v>
      </c>
      <c r="AM206">
        <f>IF(ISNUMBER(AL206),IF(ISNUMBER(AH206),IF(AND(AH206=1,AI206=1,AJ206=1),100,MIN(99,ROUND(100*EXP(AL206)/(1+EXP(AL206)),2))),MIN(99,ROUND(100*EXP(AL206)/(1+EXP(AL206)),2))),IF(ISTEXT(R206),IF(LEFT(R206,1)="2",100,"N/A"),"N/A"))</f>
        <v>0</v>
      </c>
      <c r="AN206">
        <f>IF(ISNUMBER(AM206),IF(AM206&gt;=99,IF(OR(U206=10,U206=11),MatchLabel,SureThingLabel),IF(AM206&gt;=95,SecureLabel,IF(AM206&gt;=80,SafetyLabel,IF(AM206&gt;=50,MatchLabel,IF(AM206&gt;=20,ReachLabel,IF(AM206&gt;=10,LongshotLabel,HailMaryLabel)))))),"Other")</f>
        <v>0</v>
      </c>
      <c r="AO206">
        <f>IF(OR(I206="accepted",I206="cond. accept",I206="summer admit"),IF(J206="yes","CHOICE!","Accepted!"),IF(I206="guar. transfer","Guar. Xfer",IF(I206="denied","Denied",IF(K206=1,"Waitlist",IF(L206=1,"Deferred",IF(G206="pending","Pending",IF(OR(G206="initial materials submitted",G206="mid-year submitted",G206="final submitted"),"Submitted",IF(H206="interest","Interest","?"))))))))</f>
        <v>0</v>
      </c>
      <c r="AP206">
        <f>IF(OR(AN206=ReachLabel,AN206=LongshotLabel,AN206=HailMaryLabel),1,0)</f>
        <v>0</v>
      </c>
      <c r="AQ206">
        <f>IF(OR(AP206=1,AN206=MatchLabel),1,0)</f>
        <v>0</v>
      </c>
      <c r="AR206">
        <f>IF(OR(AN206=MatchLabel,AN206=SafetyLabel,AN206=SecureLabel,AN206=SureThingLabel),1,0)</f>
        <v>0</v>
      </c>
      <c r="AS206">
        <f>IF(OR(W206="H",W206="B",W206="I",W206="M"),IF(ISNUMBER(AB206),ROUND(AB206,2),0),IF(ISNUMBER(AA206),ROUND(AA206,2),0))</f>
        <v>0</v>
      </c>
      <c r="AT206">
        <f>IF(AS206&gt;=X206,1,0)</f>
        <v>0</v>
      </c>
      <c r="AU206">
        <f>IF(AS206&gt;=Y206,1,0)</f>
        <v>0</v>
      </c>
      <c r="AV206">
        <f>IF(AS206&lt;(X206-0.10),1,0)</f>
        <v>0</v>
      </c>
      <c r="AW206">
        <f>1-AM206/100</f>
        <v>0</v>
      </c>
      <c r="AX206">
        <f>IF(AQ206=1,AW206,1)</f>
        <v>0</v>
      </c>
      <c r="AY206">
        <f>IF(AP206=1,AW206,1)</f>
        <v>0</v>
      </c>
      <c r="AZ206">
        <f>IF(AND(AT206=1,ISNUMBER(AW206)),$AW206,1)</f>
        <v>0</v>
      </c>
      <c r="BA206">
        <f>IF(AND(AU206=1,ISNUMBER(AW206)),$AW206,1)</f>
        <v>0</v>
      </c>
      <c r="BB206">
        <f>IF(ISNUMBER(AB206),INDEX(AllCollegeMoney, MATCH(N206,AllCollegeNCES,0)),0)</f>
        <v>0</v>
      </c>
      <c r="BC206">
        <f>IF(AND(AT206=1,ISNUMBER(AW206),BB206=1),$AW206,1)</f>
        <v>0</v>
      </c>
      <c r="BD206">
        <f>IF(AND(AU206=1,ISNUMBER(AW206),BB206=1),$AW206,1)</f>
        <v>0</v>
      </c>
      <c r="BE206">
        <f>IF(ISNUMBER(AB206),INDEX(AllCollegeILPub, MATCH(N206,AllCollegeNCES,0)),0)</f>
        <v>0</v>
      </c>
      <c r="BF206">
        <f>IF(AN206=ReachLabel,AS206,0)</f>
        <v>0</v>
      </c>
      <c r="BG206">
        <f>IF(AN206=MatchLabel,AS206,0)</f>
        <v>0</v>
      </c>
      <c r="BH206">
        <f>IF(AN206=SafetyLabel,AS206,0)</f>
        <v>0</v>
      </c>
      <c r="BI206">
        <f>IF(AN206=SecureLabel,AS206,0)</f>
        <v>0</v>
      </c>
      <c r="BJ206">
        <f>IF(AN206=SureThingLabel,AS206,0)</f>
        <v>0</v>
      </c>
      <c r="BK206">
        <f>MAX(BF206:BJ206)</f>
        <v>0</v>
      </c>
      <c r="BL206">
        <f>MAX(BG206:BJ206)</f>
        <v>0</v>
      </c>
      <c r="BM206">
        <f>MAX(BH206:BJ206)</f>
        <v>0</v>
      </c>
      <c r="BN206">
        <f>IF(AND(AN206=ReachLabel,BB206=1),AS206,0)</f>
        <v>0</v>
      </c>
      <c r="BO206">
        <f>IF(AND(AN206=MatchLabel,BB206=1),AS206,0)</f>
        <v>0</v>
      </c>
      <c r="BP206">
        <f>IF(AND(AN206=SafetyLabel,BB206=1),AS206,0)</f>
        <v>0</v>
      </c>
      <c r="BQ206">
        <f>IF(AND(AN206=SecureLabel,BB206=1),AS206,0)</f>
        <v>0</v>
      </c>
      <c r="BR206">
        <f>IF(AND(AN206=SureThingLabel,BB206=1),AS206,0)</f>
        <v>0</v>
      </c>
      <c r="BS206">
        <f>MAX(BN206:BR206)</f>
        <v>0</v>
      </c>
      <c r="BT206">
        <f>MAX(BO206:BR206)</f>
        <v>0</v>
      </c>
      <c r="BU206">
        <f>MAX(BP206:BR206)</f>
        <v>0</v>
      </c>
      <c r="BV206">
        <f>IF(ISNUMBER(AB206),INDEX(AllCollegeChicago, MATCH(N206,AllCollegeNCES,0))*BB206,0)</f>
        <v>0</v>
      </c>
      <c r="BW206">
        <f>IF(ISNUMBER(AB206),INDEX(AllCollegeMoneyCode, MATCH(N206,AllCollegeNCES,0)),"?")</f>
        <v>0</v>
      </c>
      <c r="BX206">
        <f>IF(OR(BW206="---",BW206="--",BW206="+/--",BW206="+/---"),1,0)</f>
        <v>0</v>
      </c>
      <c r="BY206">
        <f>BB206*AR206*AT206</f>
        <v>0</v>
      </c>
    </row>
    <row r="207" spans="1:77">
      <c r="A207" t="s">
        <v>96</v>
      </c>
      <c r="B207">
        <v>22942005</v>
      </c>
      <c r="C207" t="s">
        <v>165</v>
      </c>
      <c r="D207" t="s">
        <v>166</v>
      </c>
      <c r="E207" t="s">
        <v>446</v>
      </c>
      <c r="F207" t="s">
        <v>457</v>
      </c>
      <c r="G207" t="s">
        <v>479</v>
      </c>
      <c r="H207" t="s">
        <v>449</v>
      </c>
      <c r="I207" t="s">
        <v>450</v>
      </c>
      <c r="J207" t="s">
        <v>450</v>
      </c>
      <c r="K207">
        <v>0</v>
      </c>
      <c r="L207" t="s">
        <v>446</v>
      </c>
      <c r="M207" t="s">
        <v>446</v>
      </c>
      <c r="N207">
        <v>147703</v>
      </c>
      <c r="O207">
        <f>INDEX(Counselor,MATCH(B207,KidIDs,0))</f>
        <v>0</v>
      </c>
      <c r="P207">
        <f>INDEX(Advisors,MATCH(B207,KidIDs,0))</f>
        <v>0</v>
      </c>
      <c r="Q207">
        <f>INDEX(Cohort,MATCH(B207,KidIDs,0))</f>
        <v>0</v>
      </c>
      <c r="R207">
        <f>INDEX(AllCollegeBarrons,MATCH(N207,AllCollegeNCES,0))</f>
        <v>0</v>
      </c>
      <c r="S207">
        <f>INDEX(KidGPAs,MATCH(B207,KidIDs,0))</f>
        <v>0</v>
      </c>
      <c r="T207">
        <f>INDEX(KidSATs,MATCH(B207,KidIDs,0))</f>
        <v>0</v>
      </c>
      <c r="U207">
        <f>INDEX(Strats,MATCH(B207,KidIDs,0))</f>
        <v>0</v>
      </c>
      <c r="V207">
        <f>INDEX(KidRace,MATCH(B207,KidIDs,0))</f>
        <v>0</v>
      </c>
      <c r="W207">
        <f>IF(OR(V207="M",V207="I"),"H",IF(V207="P","A",V207))</f>
        <v>0</v>
      </c>
      <c r="X207">
        <f>INDEX(StudentTargets,MATCH(B207,KidIDs,0))</f>
        <v>0</v>
      </c>
      <c r="Y207">
        <f>INDEX(ReachStudentTargets,MATCH(B207,KidIDs,0))</f>
        <v>0</v>
      </c>
      <c r="Z207">
        <f>IF(OR(M207="Posse"),1,0)</f>
        <v>0</v>
      </c>
      <c r="AA207">
        <f>IF(ISNUMBER(INDEX(AllCollegeGR, MATCH(N207,AllCollegeNCES,0))),ROUND(INDEX(AllCollegeGR, MATCH(N207,AllCollegeNCES,0))+Z207*IF(INDEX(AllCollegeGR, MATCH(N207,AllCollegeNCES,0))&gt;0.7,(1-INDEX(AllCollegeGR, MATCH(N207,AllCollegeNCES,0)))/2,0.15),2),INDEX(AllCollegeGR, MATCH(N207,AllCollegeNCES,0)))</f>
        <v>0</v>
      </c>
      <c r="AB207">
        <f>IF(ISNUMBER(INDEX(AllCollegeAAHGR, MATCH(N207,AllCollegeNCES,0))),ROUND(INDEX(AllCollegeAAHGR, MATCH(N207,AllCollegeNCES,0))+Z207*IF(INDEX(AllCollegeAAHGR, MATCH(N207,AllCollegeNCES,0))&gt;0.7,(1-INDEX(AllCollegeAAHGR, MATCH(N207,AllCollegeNCES,0)))/2,0.15),2),INDEX(AllCollegeAAHGR, MATCH(N207,AllCollegeNCES,0)))</f>
        <v>0</v>
      </c>
      <c r="AC207">
        <f>IF(OR(W207="H",W207="B"),INDEX(AllCollegeSAT25, MATCH(N207,AllCollegeNCES,0)),INDEX(AllCollegeSAT50, MATCH(N207,AllCollegeNCES,0)))</f>
        <v>0</v>
      </c>
      <c r="AD207">
        <f>INDEX(CustomWeightsGPA,MATCH(W207&amp;":"&amp;N207,CustomWeightsIndex,0))</f>
        <v>0</v>
      </c>
      <c r="AE207">
        <f>INDEX(CustomWeightsSAT,MATCH(W207&amp;":"&amp;N207,CustomWeightsIndex,0))</f>
        <v>0</v>
      </c>
      <c r="AF207">
        <f>INDEX(CustomWeightsIntercept,MATCH(W207&amp;":"&amp;N207,CustomWeightsIndex,0))</f>
        <v>0</v>
      </c>
      <c r="AG207">
        <f>AD207*S207+AE207*T207+AF207</f>
        <v>0</v>
      </c>
      <c r="AH207">
        <f>INDEX(CoefficientsGPA,MATCH(W207&amp;":"&amp;R207,CoefficientsIndex,0))</f>
        <v>0</v>
      </c>
      <c r="AI207">
        <f>INDEX(CoefficientsSAT,MATCH(W207&amp;":"&amp;R207,CoefficientsIndex,0))</f>
        <v>0</v>
      </c>
      <c r="AJ207">
        <f>INDEX(CoefficientsIntercept,MATCH(W207&amp;":"&amp;R207,CoefficientsIndex,0))</f>
        <v>0</v>
      </c>
      <c r="AK207">
        <f>AH207*S207+(T207-AC207)*AI207+AJ207</f>
        <v>0</v>
      </c>
      <c r="AL207">
        <f>IF(ISNUMBER(AG207),AG207,AK207)</f>
        <v>0</v>
      </c>
      <c r="AM207">
        <f>IF(ISNUMBER(AL207),IF(ISNUMBER(AH207),IF(AND(AH207=1,AI207=1,AJ207=1),100,MIN(99,ROUND(100*EXP(AL207)/(1+EXP(AL207)),2))),MIN(99,ROUND(100*EXP(AL207)/(1+EXP(AL207)),2))),IF(ISTEXT(R207),IF(LEFT(R207,1)="2",100,"N/A"),"N/A"))</f>
        <v>0</v>
      </c>
      <c r="AN207">
        <f>IF(ISNUMBER(AM207),IF(AM207&gt;=99,IF(OR(U207=10,U207=11),MatchLabel,SureThingLabel),IF(AM207&gt;=95,SecureLabel,IF(AM207&gt;=80,SafetyLabel,IF(AM207&gt;=50,MatchLabel,IF(AM207&gt;=20,ReachLabel,IF(AM207&gt;=10,LongshotLabel,HailMaryLabel)))))),"Other")</f>
        <v>0</v>
      </c>
      <c r="AO207">
        <f>IF(OR(I207="accepted",I207="cond. accept",I207="summer admit"),IF(J207="yes","CHOICE!","Accepted!"),IF(I207="guar. transfer","Guar. Xfer",IF(I207="denied","Denied",IF(K207=1,"Waitlist",IF(L207=1,"Deferred",IF(G207="pending","Pending",IF(OR(G207="initial materials submitted",G207="mid-year submitted",G207="final submitted"),"Submitted",IF(H207="interest","Interest","?"))))))))</f>
        <v>0</v>
      </c>
      <c r="AP207">
        <f>IF(OR(AN207=ReachLabel,AN207=LongshotLabel,AN207=HailMaryLabel),1,0)</f>
        <v>0</v>
      </c>
      <c r="AQ207">
        <f>IF(OR(AP207=1,AN207=MatchLabel),1,0)</f>
        <v>0</v>
      </c>
      <c r="AR207">
        <f>IF(OR(AN207=MatchLabel,AN207=SafetyLabel,AN207=SecureLabel,AN207=SureThingLabel),1,0)</f>
        <v>0</v>
      </c>
      <c r="AS207">
        <f>IF(OR(W207="H",W207="B",W207="I",W207="M"),IF(ISNUMBER(AB207),ROUND(AB207,2),0),IF(ISNUMBER(AA207),ROUND(AA207,2),0))</f>
        <v>0</v>
      </c>
      <c r="AT207">
        <f>IF(AS207&gt;=X207,1,0)</f>
        <v>0</v>
      </c>
      <c r="AU207">
        <f>IF(AS207&gt;=Y207,1,0)</f>
        <v>0</v>
      </c>
      <c r="AV207">
        <f>IF(AS207&lt;(X207-0.10),1,0)</f>
        <v>0</v>
      </c>
      <c r="AW207">
        <f>1-AM207/100</f>
        <v>0</v>
      </c>
      <c r="AX207">
        <f>IF(AQ207=1,AW207,1)</f>
        <v>0</v>
      </c>
      <c r="AY207">
        <f>IF(AP207=1,AW207,1)</f>
        <v>0</v>
      </c>
      <c r="AZ207">
        <f>IF(AND(AT207=1,ISNUMBER(AW207)),$AW207,1)</f>
        <v>0</v>
      </c>
      <c r="BA207">
        <f>IF(AND(AU207=1,ISNUMBER(AW207)),$AW207,1)</f>
        <v>0</v>
      </c>
      <c r="BB207">
        <f>IF(ISNUMBER(AB207),INDEX(AllCollegeMoney, MATCH(N207,AllCollegeNCES,0)),0)</f>
        <v>0</v>
      </c>
      <c r="BC207">
        <f>IF(AND(AT207=1,ISNUMBER(AW207),BB207=1),$AW207,1)</f>
        <v>0</v>
      </c>
      <c r="BD207">
        <f>IF(AND(AU207=1,ISNUMBER(AW207),BB207=1),$AW207,1)</f>
        <v>0</v>
      </c>
      <c r="BE207">
        <f>IF(ISNUMBER(AB207),INDEX(AllCollegeILPub, MATCH(N207,AllCollegeNCES,0)),0)</f>
        <v>0</v>
      </c>
      <c r="BF207">
        <f>IF(AN207=ReachLabel,AS207,0)</f>
        <v>0</v>
      </c>
      <c r="BG207">
        <f>IF(AN207=MatchLabel,AS207,0)</f>
        <v>0</v>
      </c>
      <c r="BH207">
        <f>IF(AN207=SafetyLabel,AS207,0)</f>
        <v>0</v>
      </c>
      <c r="BI207">
        <f>IF(AN207=SecureLabel,AS207,0)</f>
        <v>0</v>
      </c>
      <c r="BJ207">
        <f>IF(AN207=SureThingLabel,AS207,0)</f>
        <v>0</v>
      </c>
      <c r="BK207">
        <f>MAX(BF207:BJ207)</f>
        <v>0</v>
      </c>
      <c r="BL207">
        <f>MAX(BG207:BJ207)</f>
        <v>0</v>
      </c>
      <c r="BM207">
        <f>MAX(BH207:BJ207)</f>
        <v>0</v>
      </c>
      <c r="BN207">
        <f>IF(AND(AN207=ReachLabel,BB207=1),AS207,0)</f>
        <v>0</v>
      </c>
      <c r="BO207">
        <f>IF(AND(AN207=MatchLabel,BB207=1),AS207,0)</f>
        <v>0</v>
      </c>
      <c r="BP207">
        <f>IF(AND(AN207=SafetyLabel,BB207=1),AS207,0)</f>
        <v>0</v>
      </c>
      <c r="BQ207">
        <f>IF(AND(AN207=SecureLabel,BB207=1),AS207,0)</f>
        <v>0</v>
      </c>
      <c r="BR207">
        <f>IF(AND(AN207=SureThingLabel,BB207=1),AS207,0)</f>
        <v>0</v>
      </c>
      <c r="BS207">
        <f>MAX(BN207:BR207)</f>
        <v>0</v>
      </c>
      <c r="BT207">
        <f>MAX(BO207:BR207)</f>
        <v>0</v>
      </c>
      <c r="BU207">
        <f>MAX(BP207:BR207)</f>
        <v>0</v>
      </c>
      <c r="BV207">
        <f>IF(ISNUMBER(AB207),INDEX(AllCollegeChicago, MATCH(N207,AllCollegeNCES,0))*BB207,0)</f>
        <v>0</v>
      </c>
      <c r="BW207">
        <f>IF(ISNUMBER(AB207),INDEX(AllCollegeMoneyCode, MATCH(N207,AllCollegeNCES,0)),"?")</f>
        <v>0</v>
      </c>
      <c r="BX207">
        <f>IF(OR(BW207="---",BW207="--",BW207="+/--",BW207="+/---"),1,0)</f>
        <v>0</v>
      </c>
      <c r="BY207">
        <f>BB207*AR207*AT207</f>
        <v>0</v>
      </c>
    </row>
    <row r="208" spans="1:77">
      <c r="A208" t="s">
        <v>96</v>
      </c>
      <c r="B208">
        <v>22942005</v>
      </c>
      <c r="C208" t="s">
        <v>165</v>
      </c>
      <c r="D208" t="s">
        <v>166</v>
      </c>
      <c r="E208" t="s">
        <v>446</v>
      </c>
      <c r="F208" t="s">
        <v>458</v>
      </c>
      <c r="G208" t="s">
        <v>448</v>
      </c>
      <c r="H208" t="s">
        <v>449</v>
      </c>
      <c r="I208" t="s">
        <v>450</v>
      </c>
      <c r="J208" t="s">
        <v>450</v>
      </c>
      <c r="K208">
        <v>0</v>
      </c>
      <c r="L208" t="s">
        <v>446</v>
      </c>
      <c r="M208" t="s">
        <v>446</v>
      </c>
      <c r="N208">
        <v>144892</v>
      </c>
      <c r="O208">
        <f>INDEX(Counselor,MATCH(B208,KidIDs,0))</f>
        <v>0</v>
      </c>
      <c r="P208">
        <f>INDEX(Advisors,MATCH(B208,KidIDs,0))</f>
        <v>0</v>
      </c>
      <c r="Q208">
        <f>INDEX(Cohort,MATCH(B208,KidIDs,0))</f>
        <v>0</v>
      </c>
      <c r="R208">
        <f>INDEX(AllCollegeBarrons,MATCH(N208,AllCollegeNCES,0))</f>
        <v>0</v>
      </c>
      <c r="S208">
        <f>INDEX(KidGPAs,MATCH(B208,KidIDs,0))</f>
        <v>0</v>
      </c>
      <c r="T208">
        <f>INDEX(KidSATs,MATCH(B208,KidIDs,0))</f>
        <v>0</v>
      </c>
      <c r="U208">
        <f>INDEX(Strats,MATCH(B208,KidIDs,0))</f>
        <v>0</v>
      </c>
      <c r="V208">
        <f>INDEX(KidRace,MATCH(B208,KidIDs,0))</f>
        <v>0</v>
      </c>
      <c r="W208">
        <f>IF(OR(V208="M",V208="I"),"H",IF(V208="P","A",V208))</f>
        <v>0</v>
      </c>
      <c r="X208">
        <f>INDEX(StudentTargets,MATCH(B208,KidIDs,0))</f>
        <v>0</v>
      </c>
      <c r="Y208">
        <f>INDEX(ReachStudentTargets,MATCH(B208,KidIDs,0))</f>
        <v>0</v>
      </c>
      <c r="Z208">
        <f>IF(OR(M208="Posse"),1,0)</f>
        <v>0</v>
      </c>
      <c r="AA208">
        <f>IF(ISNUMBER(INDEX(AllCollegeGR, MATCH(N208,AllCollegeNCES,0))),ROUND(INDEX(AllCollegeGR, MATCH(N208,AllCollegeNCES,0))+Z208*IF(INDEX(AllCollegeGR, MATCH(N208,AllCollegeNCES,0))&gt;0.7,(1-INDEX(AllCollegeGR, MATCH(N208,AllCollegeNCES,0)))/2,0.15),2),INDEX(AllCollegeGR, MATCH(N208,AllCollegeNCES,0)))</f>
        <v>0</v>
      </c>
      <c r="AB208">
        <f>IF(ISNUMBER(INDEX(AllCollegeAAHGR, MATCH(N208,AllCollegeNCES,0))),ROUND(INDEX(AllCollegeAAHGR, MATCH(N208,AllCollegeNCES,0))+Z208*IF(INDEX(AllCollegeAAHGR, MATCH(N208,AllCollegeNCES,0))&gt;0.7,(1-INDEX(AllCollegeAAHGR, MATCH(N208,AllCollegeNCES,0)))/2,0.15),2),INDEX(AllCollegeAAHGR, MATCH(N208,AllCollegeNCES,0)))</f>
        <v>0</v>
      </c>
      <c r="AC208">
        <f>IF(OR(W208="H",W208="B"),INDEX(AllCollegeSAT25, MATCH(N208,AllCollegeNCES,0)),INDEX(AllCollegeSAT50, MATCH(N208,AllCollegeNCES,0)))</f>
        <v>0</v>
      </c>
      <c r="AD208">
        <f>INDEX(CustomWeightsGPA,MATCH(W208&amp;":"&amp;N208,CustomWeightsIndex,0))</f>
        <v>0</v>
      </c>
      <c r="AE208">
        <f>INDEX(CustomWeightsSAT,MATCH(W208&amp;":"&amp;N208,CustomWeightsIndex,0))</f>
        <v>0</v>
      </c>
      <c r="AF208">
        <f>INDEX(CustomWeightsIntercept,MATCH(W208&amp;":"&amp;N208,CustomWeightsIndex,0))</f>
        <v>0</v>
      </c>
      <c r="AG208">
        <f>AD208*S208+AE208*T208+AF208</f>
        <v>0</v>
      </c>
      <c r="AH208">
        <f>INDEX(CoefficientsGPA,MATCH(W208&amp;":"&amp;R208,CoefficientsIndex,0))</f>
        <v>0</v>
      </c>
      <c r="AI208">
        <f>INDEX(CoefficientsSAT,MATCH(W208&amp;":"&amp;R208,CoefficientsIndex,0))</f>
        <v>0</v>
      </c>
      <c r="AJ208">
        <f>INDEX(CoefficientsIntercept,MATCH(W208&amp;":"&amp;R208,CoefficientsIndex,0))</f>
        <v>0</v>
      </c>
      <c r="AK208">
        <f>AH208*S208+(T208-AC208)*AI208+AJ208</f>
        <v>0</v>
      </c>
      <c r="AL208">
        <f>IF(ISNUMBER(AG208),AG208,AK208)</f>
        <v>0</v>
      </c>
      <c r="AM208">
        <f>IF(ISNUMBER(AL208),IF(ISNUMBER(AH208),IF(AND(AH208=1,AI208=1,AJ208=1),100,MIN(99,ROUND(100*EXP(AL208)/(1+EXP(AL208)),2))),MIN(99,ROUND(100*EXP(AL208)/(1+EXP(AL208)),2))),IF(ISTEXT(R208),IF(LEFT(R208,1)="2",100,"N/A"),"N/A"))</f>
        <v>0</v>
      </c>
      <c r="AN208">
        <f>IF(ISNUMBER(AM208),IF(AM208&gt;=99,IF(OR(U208=10,U208=11),MatchLabel,SureThingLabel),IF(AM208&gt;=95,SecureLabel,IF(AM208&gt;=80,SafetyLabel,IF(AM208&gt;=50,MatchLabel,IF(AM208&gt;=20,ReachLabel,IF(AM208&gt;=10,LongshotLabel,HailMaryLabel)))))),"Other")</f>
        <v>0</v>
      </c>
      <c r="AO208">
        <f>IF(OR(I208="accepted",I208="cond. accept",I208="summer admit"),IF(J208="yes","CHOICE!","Accepted!"),IF(I208="guar. transfer","Guar. Xfer",IF(I208="denied","Denied",IF(K208=1,"Waitlist",IF(L208=1,"Deferred",IF(G208="pending","Pending",IF(OR(G208="initial materials submitted",G208="mid-year submitted",G208="final submitted"),"Submitted",IF(H208="interest","Interest","?"))))))))</f>
        <v>0</v>
      </c>
      <c r="AP208">
        <f>IF(OR(AN208=ReachLabel,AN208=LongshotLabel,AN208=HailMaryLabel),1,0)</f>
        <v>0</v>
      </c>
      <c r="AQ208">
        <f>IF(OR(AP208=1,AN208=MatchLabel),1,0)</f>
        <v>0</v>
      </c>
      <c r="AR208">
        <f>IF(OR(AN208=MatchLabel,AN208=SafetyLabel,AN208=SecureLabel,AN208=SureThingLabel),1,0)</f>
        <v>0</v>
      </c>
      <c r="AS208">
        <f>IF(OR(W208="H",W208="B",W208="I",W208="M"),IF(ISNUMBER(AB208),ROUND(AB208,2),0),IF(ISNUMBER(AA208),ROUND(AA208,2),0))</f>
        <v>0</v>
      </c>
      <c r="AT208">
        <f>IF(AS208&gt;=X208,1,0)</f>
        <v>0</v>
      </c>
      <c r="AU208">
        <f>IF(AS208&gt;=Y208,1,0)</f>
        <v>0</v>
      </c>
      <c r="AV208">
        <f>IF(AS208&lt;(X208-0.10),1,0)</f>
        <v>0</v>
      </c>
      <c r="AW208">
        <f>1-AM208/100</f>
        <v>0</v>
      </c>
      <c r="AX208">
        <f>IF(AQ208=1,AW208,1)</f>
        <v>0</v>
      </c>
      <c r="AY208">
        <f>IF(AP208=1,AW208,1)</f>
        <v>0</v>
      </c>
      <c r="AZ208">
        <f>IF(AND(AT208=1,ISNUMBER(AW208)),$AW208,1)</f>
        <v>0</v>
      </c>
      <c r="BA208">
        <f>IF(AND(AU208=1,ISNUMBER(AW208)),$AW208,1)</f>
        <v>0</v>
      </c>
      <c r="BB208">
        <f>IF(ISNUMBER(AB208),INDEX(AllCollegeMoney, MATCH(N208,AllCollegeNCES,0)),0)</f>
        <v>0</v>
      </c>
      <c r="BC208">
        <f>IF(AND(AT208=1,ISNUMBER(AW208),BB208=1),$AW208,1)</f>
        <v>0</v>
      </c>
      <c r="BD208">
        <f>IF(AND(AU208=1,ISNUMBER(AW208),BB208=1),$AW208,1)</f>
        <v>0</v>
      </c>
      <c r="BE208">
        <f>IF(ISNUMBER(AB208),INDEX(AllCollegeILPub, MATCH(N208,AllCollegeNCES,0)),0)</f>
        <v>0</v>
      </c>
      <c r="BF208">
        <f>IF(AN208=ReachLabel,AS208,0)</f>
        <v>0</v>
      </c>
      <c r="BG208">
        <f>IF(AN208=MatchLabel,AS208,0)</f>
        <v>0</v>
      </c>
      <c r="BH208">
        <f>IF(AN208=SafetyLabel,AS208,0)</f>
        <v>0</v>
      </c>
      <c r="BI208">
        <f>IF(AN208=SecureLabel,AS208,0)</f>
        <v>0</v>
      </c>
      <c r="BJ208">
        <f>IF(AN208=SureThingLabel,AS208,0)</f>
        <v>0</v>
      </c>
      <c r="BK208">
        <f>MAX(BF208:BJ208)</f>
        <v>0</v>
      </c>
      <c r="BL208">
        <f>MAX(BG208:BJ208)</f>
        <v>0</v>
      </c>
      <c r="BM208">
        <f>MAX(BH208:BJ208)</f>
        <v>0</v>
      </c>
      <c r="BN208">
        <f>IF(AND(AN208=ReachLabel,BB208=1),AS208,0)</f>
        <v>0</v>
      </c>
      <c r="BO208">
        <f>IF(AND(AN208=MatchLabel,BB208=1),AS208,0)</f>
        <v>0</v>
      </c>
      <c r="BP208">
        <f>IF(AND(AN208=SafetyLabel,BB208=1),AS208,0)</f>
        <v>0</v>
      </c>
      <c r="BQ208">
        <f>IF(AND(AN208=SecureLabel,BB208=1),AS208,0)</f>
        <v>0</v>
      </c>
      <c r="BR208">
        <f>IF(AND(AN208=SureThingLabel,BB208=1),AS208,0)</f>
        <v>0</v>
      </c>
      <c r="BS208">
        <f>MAX(BN208:BR208)</f>
        <v>0</v>
      </c>
      <c r="BT208">
        <f>MAX(BO208:BR208)</f>
        <v>0</v>
      </c>
      <c r="BU208">
        <f>MAX(BP208:BR208)</f>
        <v>0</v>
      </c>
      <c r="BV208">
        <f>IF(ISNUMBER(AB208),INDEX(AllCollegeChicago, MATCH(N208,AllCollegeNCES,0))*BB208,0)</f>
        <v>0</v>
      </c>
      <c r="BW208">
        <f>IF(ISNUMBER(AB208),INDEX(AllCollegeMoneyCode, MATCH(N208,AllCollegeNCES,0)),"?")</f>
        <v>0</v>
      </c>
      <c r="BX208">
        <f>IF(OR(BW208="---",BW208="--",BW208="+/--",BW208="+/---"),1,0)</f>
        <v>0</v>
      </c>
      <c r="BY208">
        <f>BB208*AR208*AT208</f>
        <v>0</v>
      </c>
    </row>
    <row r="209" spans="1:77">
      <c r="A209" t="s">
        <v>96</v>
      </c>
      <c r="B209">
        <v>22942005</v>
      </c>
      <c r="C209" t="s">
        <v>165</v>
      </c>
      <c r="D209" t="s">
        <v>166</v>
      </c>
      <c r="E209" t="s">
        <v>446</v>
      </c>
      <c r="F209" t="s">
        <v>462</v>
      </c>
      <c r="G209" t="s">
        <v>448</v>
      </c>
      <c r="H209" t="s">
        <v>449</v>
      </c>
      <c r="I209" t="s">
        <v>450</v>
      </c>
      <c r="J209" t="s">
        <v>450</v>
      </c>
      <c r="K209">
        <v>0</v>
      </c>
      <c r="L209" t="s">
        <v>446</v>
      </c>
      <c r="M209" t="s">
        <v>446</v>
      </c>
      <c r="N209">
        <v>149222</v>
      </c>
      <c r="O209">
        <f>INDEX(Counselor,MATCH(B209,KidIDs,0))</f>
        <v>0</v>
      </c>
      <c r="P209">
        <f>INDEX(Advisors,MATCH(B209,KidIDs,0))</f>
        <v>0</v>
      </c>
      <c r="Q209">
        <f>INDEX(Cohort,MATCH(B209,KidIDs,0))</f>
        <v>0</v>
      </c>
      <c r="R209">
        <f>INDEX(AllCollegeBarrons,MATCH(N209,AllCollegeNCES,0))</f>
        <v>0</v>
      </c>
      <c r="S209">
        <f>INDEX(KidGPAs,MATCH(B209,KidIDs,0))</f>
        <v>0</v>
      </c>
      <c r="T209">
        <f>INDEX(KidSATs,MATCH(B209,KidIDs,0))</f>
        <v>0</v>
      </c>
      <c r="U209">
        <f>INDEX(Strats,MATCH(B209,KidIDs,0))</f>
        <v>0</v>
      </c>
      <c r="V209">
        <f>INDEX(KidRace,MATCH(B209,KidIDs,0))</f>
        <v>0</v>
      </c>
      <c r="W209">
        <f>IF(OR(V209="M",V209="I"),"H",IF(V209="P","A",V209))</f>
        <v>0</v>
      </c>
      <c r="X209">
        <f>INDEX(StudentTargets,MATCH(B209,KidIDs,0))</f>
        <v>0</v>
      </c>
      <c r="Y209">
        <f>INDEX(ReachStudentTargets,MATCH(B209,KidIDs,0))</f>
        <v>0</v>
      </c>
      <c r="Z209">
        <f>IF(OR(M209="Posse"),1,0)</f>
        <v>0</v>
      </c>
      <c r="AA209">
        <f>IF(ISNUMBER(INDEX(AllCollegeGR, MATCH(N209,AllCollegeNCES,0))),ROUND(INDEX(AllCollegeGR, MATCH(N209,AllCollegeNCES,0))+Z209*IF(INDEX(AllCollegeGR, MATCH(N209,AllCollegeNCES,0))&gt;0.7,(1-INDEX(AllCollegeGR, MATCH(N209,AllCollegeNCES,0)))/2,0.15),2),INDEX(AllCollegeGR, MATCH(N209,AllCollegeNCES,0)))</f>
        <v>0</v>
      </c>
      <c r="AB209">
        <f>IF(ISNUMBER(INDEX(AllCollegeAAHGR, MATCH(N209,AllCollegeNCES,0))),ROUND(INDEX(AllCollegeAAHGR, MATCH(N209,AllCollegeNCES,0))+Z209*IF(INDEX(AllCollegeAAHGR, MATCH(N209,AllCollegeNCES,0))&gt;0.7,(1-INDEX(AllCollegeAAHGR, MATCH(N209,AllCollegeNCES,0)))/2,0.15),2),INDEX(AllCollegeAAHGR, MATCH(N209,AllCollegeNCES,0)))</f>
        <v>0</v>
      </c>
      <c r="AC209">
        <f>IF(OR(W209="H",W209="B"),INDEX(AllCollegeSAT25, MATCH(N209,AllCollegeNCES,0)),INDEX(AllCollegeSAT50, MATCH(N209,AllCollegeNCES,0)))</f>
        <v>0</v>
      </c>
      <c r="AD209">
        <f>INDEX(CustomWeightsGPA,MATCH(W209&amp;":"&amp;N209,CustomWeightsIndex,0))</f>
        <v>0</v>
      </c>
      <c r="AE209">
        <f>INDEX(CustomWeightsSAT,MATCH(W209&amp;":"&amp;N209,CustomWeightsIndex,0))</f>
        <v>0</v>
      </c>
      <c r="AF209">
        <f>INDEX(CustomWeightsIntercept,MATCH(W209&amp;":"&amp;N209,CustomWeightsIndex,0))</f>
        <v>0</v>
      </c>
      <c r="AG209">
        <f>AD209*S209+AE209*T209+AF209</f>
        <v>0</v>
      </c>
      <c r="AH209">
        <f>INDEX(CoefficientsGPA,MATCH(W209&amp;":"&amp;R209,CoefficientsIndex,0))</f>
        <v>0</v>
      </c>
      <c r="AI209">
        <f>INDEX(CoefficientsSAT,MATCH(W209&amp;":"&amp;R209,CoefficientsIndex,0))</f>
        <v>0</v>
      </c>
      <c r="AJ209">
        <f>INDEX(CoefficientsIntercept,MATCH(W209&amp;":"&amp;R209,CoefficientsIndex,0))</f>
        <v>0</v>
      </c>
      <c r="AK209">
        <f>AH209*S209+(T209-AC209)*AI209+AJ209</f>
        <v>0</v>
      </c>
      <c r="AL209">
        <f>IF(ISNUMBER(AG209),AG209,AK209)</f>
        <v>0</v>
      </c>
      <c r="AM209">
        <f>IF(ISNUMBER(AL209),IF(ISNUMBER(AH209),IF(AND(AH209=1,AI209=1,AJ209=1),100,MIN(99,ROUND(100*EXP(AL209)/(1+EXP(AL209)),2))),MIN(99,ROUND(100*EXP(AL209)/(1+EXP(AL209)),2))),IF(ISTEXT(R209),IF(LEFT(R209,1)="2",100,"N/A"),"N/A"))</f>
        <v>0</v>
      </c>
      <c r="AN209">
        <f>IF(ISNUMBER(AM209),IF(AM209&gt;=99,IF(OR(U209=10,U209=11),MatchLabel,SureThingLabel),IF(AM209&gt;=95,SecureLabel,IF(AM209&gt;=80,SafetyLabel,IF(AM209&gt;=50,MatchLabel,IF(AM209&gt;=20,ReachLabel,IF(AM209&gt;=10,LongshotLabel,HailMaryLabel)))))),"Other")</f>
        <v>0</v>
      </c>
      <c r="AO209">
        <f>IF(OR(I209="accepted",I209="cond. accept",I209="summer admit"),IF(J209="yes","CHOICE!","Accepted!"),IF(I209="guar. transfer","Guar. Xfer",IF(I209="denied","Denied",IF(K209=1,"Waitlist",IF(L209=1,"Deferred",IF(G209="pending","Pending",IF(OR(G209="initial materials submitted",G209="mid-year submitted",G209="final submitted"),"Submitted",IF(H209="interest","Interest","?"))))))))</f>
        <v>0</v>
      </c>
      <c r="AP209">
        <f>IF(OR(AN209=ReachLabel,AN209=LongshotLabel,AN209=HailMaryLabel),1,0)</f>
        <v>0</v>
      </c>
      <c r="AQ209">
        <f>IF(OR(AP209=1,AN209=MatchLabel),1,0)</f>
        <v>0</v>
      </c>
      <c r="AR209">
        <f>IF(OR(AN209=MatchLabel,AN209=SafetyLabel,AN209=SecureLabel,AN209=SureThingLabel),1,0)</f>
        <v>0</v>
      </c>
      <c r="AS209">
        <f>IF(OR(W209="H",W209="B",W209="I",W209="M"),IF(ISNUMBER(AB209),ROUND(AB209,2),0),IF(ISNUMBER(AA209),ROUND(AA209,2),0))</f>
        <v>0</v>
      </c>
      <c r="AT209">
        <f>IF(AS209&gt;=X209,1,0)</f>
        <v>0</v>
      </c>
      <c r="AU209">
        <f>IF(AS209&gt;=Y209,1,0)</f>
        <v>0</v>
      </c>
      <c r="AV209">
        <f>IF(AS209&lt;(X209-0.10),1,0)</f>
        <v>0</v>
      </c>
      <c r="AW209">
        <f>1-AM209/100</f>
        <v>0</v>
      </c>
      <c r="AX209">
        <f>IF(AQ209=1,AW209,1)</f>
        <v>0</v>
      </c>
      <c r="AY209">
        <f>IF(AP209=1,AW209,1)</f>
        <v>0</v>
      </c>
      <c r="AZ209">
        <f>IF(AND(AT209=1,ISNUMBER(AW209)),$AW209,1)</f>
        <v>0</v>
      </c>
      <c r="BA209">
        <f>IF(AND(AU209=1,ISNUMBER(AW209)),$AW209,1)</f>
        <v>0</v>
      </c>
      <c r="BB209">
        <f>IF(ISNUMBER(AB209),INDEX(AllCollegeMoney, MATCH(N209,AllCollegeNCES,0)),0)</f>
        <v>0</v>
      </c>
      <c r="BC209">
        <f>IF(AND(AT209=1,ISNUMBER(AW209),BB209=1),$AW209,1)</f>
        <v>0</v>
      </c>
      <c r="BD209">
        <f>IF(AND(AU209=1,ISNUMBER(AW209),BB209=1),$AW209,1)</f>
        <v>0</v>
      </c>
      <c r="BE209">
        <f>IF(ISNUMBER(AB209),INDEX(AllCollegeILPub, MATCH(N209,AllCollegeNCES,0)),0)</f>
        <v>0</v>
      </c>
      <c r="BF209">
        <f>IF(AN209=ReachLabel,AS209,0)</f>
        <v>0</v>
      </c>
      <c r="BG209">
        <f>IF(AN209=MatchLabel,AS209,0)</f>
        <v>0</v>
      </c>
      <c r="BH209">
        <f>IF(AN209=SafetyLabel,AS209,0)</f>
        <v>0</v>
      </c>
      <c r="BI209">
        <f>IF(AN209=SecureLabel,AS209,0)</f>
        <v>0</v>
      </c>
      <c r="BJ209">
        <f>IF(AN209=SureThingLabel,AS209,0)</f>
        <v>0</v>
      </c>
      <c r="BK209">
        <f>MAX(BF209:BJ209)</f>
        <v>0</v>
      </c>
      <c r="BL209">
        <f>MAX(BG209:BJ209)</f>
        <v>0</v>
      </c>
      <c r="BM209">
        <f>MAX(BH209:BJ209)</f>
        <v>0</v>
      </c>
      <c r="BN209">
        <f>IF(AND(AN209=ReachLabel,BB209=1),AS209,0)</f>
        <v>0</v>
      </c>
      <c r="BO209">
        <f>IF(AND(AN209=MatchLabel,BB209=1),AS209,0)</f>
        <v>0</v>
      </c>
      <c r="BP209">
        <f>IF(AND(AN209=SafetyLabel,BB209=1),AS209,0)</f>
        <v>0</v>
      </c>
      <c r="BQ209">
        <f>IF(AND(AN209=SecureLabel,BB209=1),AS209,0)</f>
        <v>0</v>
      </c>
      <c r="BR209">
        <f>IF(AND(AN209=SureThingLabel,BB209=1),AS209,0)</f>
        <v>0</v>
      </c>
      <c r="BS209">
        <f>MAX(BN209:BR209)</f>
        <v>0</v>
      </c>
      <c r="BT209">
        <f>MAX(BO209:BR209)</f>
        <v>0</v>
      </c>
      <c r="BU209">
        <f>MAX(BP209:BR209)</f>
        <v>0</v>
      </c>
      <c r="BV209">
        <f>IF(ISNUMBER(AB209),INDEX(AllCollegeChicago, MATCH(N209,AllCollegeNCES,0))*BB209,0)</f>
        <v>0</v>
      </c>
      <c r="BW209">
        <f>IF(ISNUMBER(AB209),INDEX(AllCollegeMoneyCode, MATCH(N209,AllCollegeNCES,0)),"?")</f>
        <v>0</v>
      </c>
      <c r="BX209">
        <f>IF(OR(BW209="---",BW209="--",BW209="+/--",BW209="+/---"),1,0)</f>
        <v>0</v>
      </c>
      <c r="BY209">
        <f>BB209*AR209*AT209</f>
        <v>0</v>
      </c>
    </row>
    <row r="210" spans="1:77">
      <c r="A210" t="s">
        <v>96</v>
      </c>
      <c r="B210">
        <v>22973265</v>
      </c>
      <c r="C210" t="s">
        <v>108</v>
      </c>
      <c r="D210" t="s">
        <v>109</v>
      </c>
      <c r="E210" t="s">
        <v>446</v>
      </c>
      <c r="F210" t="s">
        <v>527</v>
      </c>
      <c r="G210" t="s">
        <v>448</v>
      </c>
      <c r="H210" t="s">
        <v>449</v>
      </c>
      <c r="I210" t="s">
        <v>450</v>
      </c>
      <c r="J210" t="s">
        <v>450</v>
      </c>
      <c r="K210">
        <v>0</v>
      </c>
      <c r="L210" t="s">
        <v>446</v>
      </c>
      <c r="M210" t="s">
        <v>446</v>
      </c>
      <c r="N210">
        <v>166124</v>
      </c>
      <c r="O210">
        <f>INDEX(Counselor,MATCH(B210,KidIDs,0))</f>
        <v>0</v>
      </c>
      <c r="P210">
        <f>INDEX(Advisors,MATCH(B210,KidIDs,0))</f>
        <v>0</v>
      </c>
      <c r="Q210">
        <f>INDEX(Cohort,MATCH(B210,KidIDs,0))</f>
        <v>0</v>
      </c>
      <c r="R210">
        <f>INDEX(AllCollegeBarrons,MATCH(N210,AllCollegeNCES,0))</f>
        <v>0</v>
      </c>
      <c r="S210">
        <f>INDEX(KidGPAs,MATCH(B210,KidIDs,0))</f>
        <v>0</v>
      </c>
      <c r="T210">
        <f>INDEX(KidSATs,MATCH(B210,KidIDs,0))</f>
        <v>0</v>
      </c>
      <c r="U210">
        <f>INDEX(Strats,MATCH(B210,KidIDs,0))</f>
        <v>0</v>
      </c>
      <c r="V210">
        <f>INDEX(KidRace,MATCH(B210,KidIDs,0))</f>
        <v>0</v>
      </c>
      <c r="W210">
        <f>IF(OR(V210="M",V210="I"),"H",IF(V210="P","A",V210))</f>
        <v>0</v>
      </c>
      <c r="X210">
        <f>INDEX(StudentTargets,MATCH(B210,KidIDs,0))</f>
        <v>0</v>
      </c>
      <c r="Y210">
        <f>INDEX(ReachStudentTargets,MATCH(B210,KidIDs,0))</f>
        <v>0</v>
      </c>
      <c r="Z210">
        <f>IF(OR(M210="Posse"),1,0)</f>
        <v>0</v>
      </c>
      <c r="AA210">
        <f>IF(ISNUMBER(INDEX(AllCollegeGR, MATCH(N210,AllCollegeNCES,0))),ROUND(INDEX(AllCollegeGR, MATCH(N210,AllCollegeNCES,0))+Z210*IF(INDEX(AllCollegeGR, MATCH(N210,AllCollegeNCES,0))&gt;0.7,(1-INDEX(AllCollegeGR, MATCH(N210,AllCollegeNCES,0)))/2,0.15),2),INDEX(AllCollegeGR, MATCH(N210,AllCollegeNCES,0)))</f>
        <v>0</v>
      </c>
      <c r="AB210">
        <f>IF(ISNUMBER(INDEX(AllCollegeAAHGR, MATCH(N210,AllCollegeNCES,0))),ROUND(INDEX(AllCollegeAAHGR, MATCH(N210,AllCollegeNCES,0))+Z210*IF(INDEX(AllCollegeAAHGR, MATCH(N210,AllCollegeNCES,0))&gt;0.7,(1-INDEX(AllCollegeAAHGR, MATCH(N210,AllCollegeNCES,0)))/2,0.15),2),INDEX(AllCollegeAAHGR, MATCH(N210,AllCollegeNCES,0)))</f>
        <v>0</v>
      </c>
      <c r="AC210">
        <f>IF(OR(W210="H",W210="B"),INDEX(AllCollegeSAT25, MATCH(N210,AllCollegeNCES,0)),INDEX(AllCollegeSAT50, MATCH(N210,AllCollegeNCES,0)))</f>
        <v>0</v>
      </c>
      <c r="AD210">
        <f>INDEX(CustomWeightsGPA,MATCH(W210&amp;":"&amp;N210,CustomWeightsIndex,0))</f>
        <v>0</v>
      </c>
      <c r="AE210">
        <f>INDEX(CustomWeightsSAT,MATCH(W210&amp;":"&amp;N210,CustomWeightsIndex,0))</f>
        <v>0</v>
      </c>
      <c r="AF210">
        <f>INDEX(CustomWeightsIntercept,MATCH(W210&amp;":"&amp;N210,CustomWeightsIndex,0))</f>
        <v>0</v>
      </c>
      <c r="AG210">
        <f>AD210*S210+AE210*T210+AF210</f>
        <v>0</v>
      </c>
      <c r="AH210">
        <f>INDEX(CoefficientsGPA,MATCH(W210&amp;":"&amp;R210,CoefficientsIndex,0))</f>
        <v>0</v>
      </c>
      <c r="AI210">
        <f>INDEX(CoefficientsSAT,MATCH(W210&amp;":"&amp;R210,CoefficientsIndex,0))</f>
        <v>0</v>
      </c>
      <c r="AJ210">
        <f>INDEX(CoefficientsIntercept,MATCH(W210&amp;":"&amp;R210,CoefficientsIndex,0))</f>
        <v>0</v>
      </c>
      <c r="AK210">
        <f>AH210*S210+(T210-AC210)*AI210+AJ210</f>
        <v>0</v>
      </c>
      <c r="AL210">
        <f>IF(ISNUMBER(AG210),AG210,AK210)</f>
        <v>0</v>
      </c>
      <c r="AM210">
        <f>IF(ISNUMBER(AL210),IF(ISNUMBER(AH210),IF(AND(AH210=1,AI210=1,AJ210=1),100,MIN(99,ROUND(100*EXP(AL210)/(1+EXP(AL210)),2))),MIN(99,ROUND(100*EXP(AL210)/(1+EXP(AL210)),2))),IF(ISTEXT(R210),IF(LEFT(R210,1)="2",100,"N/A"),"N/A"))</f>
        <v>0</v>
      </c>
      <c r="AN210">
        <f>IF(ISNUMBER(AM210),IF(AM210&gt;=99,IF(OR(U210=10,U210=11),MatchLabel,SureThingLabel),IF(AM210&gt;=95,SecureLabel,IF(AM210&gt;=80,SafetyLabel,IF(AM210&gt;=50,MatchLabel,IF(AM210&gt;=20,ReachLabel,IF(AM210&gt;=10,LongshotLabel,HailMaryLabel)))))),"Other")</f>
        <v>0</v>
      </c>
      <c r="AO210">
        <f>IF(OR(I210="accepted",I210="cond. accept",I210="summer admit"),IF(J210="yes","CHOICE!","Accepted!"),IF(I210="guar. transfer","Guar. Xfer",IF(I210="denied","Denied",IF(K210=1,"Waitlist",IF(L210=1,"Deferred",IF(G210="pending","Pending",IF(OR(G210="initial materials submitted",G210="mid-year submitted",G210="final submitted"),"Submitted",IF(H210="interest","Interest","?"))))))))</f>
        <v>0</v>
      </c>
      <c r="AP210">
        <f>IF(OR(AN210=ReachLabel,AN210=LongshotLabel,AN210=HailMaryLabel),1,0)</f>
        <v>0</v>
      </c>
      <c r="AQ210">
        <f>IF(OR(AP210=1,AN210=MatchLabel),1,0)</f>
        <v>0</v>
      </c>
      <c r="AR210">
        <f>IF(OR(AN210=MatchLabel,AN210=SafetyLabel,AN210=SecureLabel,AN210=SureThingLabel),1,0)</f>
        <v>0</v>
      </c>
      <c r="AS210">
        <f>IF(OR(W210="H",W210="B",W210="I",W210="M"),IF(ISNUMBER(AB210),ROUND(AB210,2),0),IF(ISNUMBER(AA210),ROUND(AA210,2),0))</f>
        <v>0</v>
      </c>
      <c r="AT210">
        <f>IF(AS210&gt;=X210,1,0)</f>
        <v>0</v>
      </c>
      <c r="AU210">
        <f>IF(AS210&gt;=Y210,1,0)</f>
        <v>0</v>
      </c>
      <c r="AV210">
        <f>IF(AS210&lt;(X210-0.10),1,0)</f>
        <v>0</v>
      </c>
      <c r="AW210">
        <f>1-AM210/100</f>
        <v>0</v>
      </c>
      <c r="AX210">
        <f>IF(AQ210=1,AW210,1)</f>
        <v>0</v>
      </c>
      <c r="AY210">
        <f>IF(AP210=1,AW210,1)</f>
        <v>0</v>
      </c>
      <c r="AZ210">
        <f>IF(AND(AT210=1,ISNUMBER(AW210)),$AW210,1)</f>
        <v>0</v>
      </c>
      <c r="BA210">
        <f>IF(AND(AU210=1,ISNUMBER(AW210)),$AW210,1)</f>
        <v>0</v>
      </c>
      <c r="BB210">
        <f>IF(ISNUMBER(AB210),INDEX(AllCollegeMoney, MATCH(N210,AllCollegeNCES,0)),0)</f>
        <v>0</v>
      </c>
      <c r="BC210">
        <f>IF(AND(AT210=1,ISNUMBER(AW210),BB210=1),$AW210,1)</f>
        <v>0</v>
      </c>
      <c r="BD210">
        <f>IF(AND(AU210=1,ISNUMBER(AW210),BB210=1),$AW210,1)</f>
        <v>0</v>
      </c>
      <c r="BE210">
        <f>IF(ISNUMBER(AB210),INDEX(AllCollegeILPub, MATCH(N210,AllCollegeNCES,0)),0)</f>
        <v>0</v>
      </c>
      <c r="BF210">
        <f>IF(AN210=ReachLabel,AS210,0)</f>
        <v>0</v>
      </c>
      <c r="BG210">
        <f>IF(AN210=MatchLabel,AS210,0)</f>
        <v>0</v>
      </c>
      <c r="BH210">
        <f>IF(AN210=SafetyLabel,AS210,0)</f>
        <v>0</v>
      </c>
      <c r="BI210">
        <f>IF(AN210=SecureLabel,AS210,0)</f>
        <v>0</v>
      </c>
      <c r="BJ210">
        <f>IF(AN210=SureThingLabel,AS210,0)</f>
        <v>0</v>
      </c>
      <c r="BK210">
        <f>MAX(BF210:BJ210)</f>
        <v>0</v>
      </c>
      <c r="BL210">
        <f>MAX(BG210:BJ210)</f>
        <v>0</v>
      </c>
      <c r="BM210">
        <f>MAX(BH210:BJ210)</f>
        <v>0</v>
      </c>
      <c r="BN210">
        <f>IF(AND(AN210=ReachLabel,BB210=1),AS210,0)</f>
        <v>0</v>
      </c>
      <c r="BO210">
        <f>IF(AND(AN210=MatchLabel,BB210=1),AS210,0)</f>
        <v>0</v>
      </c>
      <c r="BP210">
        <f>IF(AND(AN210=SafetyLabel,BB210=1),AS210,0)</f>
        <v>0</v>
      </c>
      <c r="BQ210">
        <f>IF(AND(AN210=SecureLabel,BB210=1),AS210,0)</f>
        <v>0</v>
      </c>
      <c r="BR210">
        <f>IF(AND(AN210=SureThingLabel,BB210=1),AS210,0)</f>
        <v>0</v>
      </c>
      <c r="BS210">
        <f>MAX(BN210:BR210)</f>
        <v>0</v>
      </c>
      <c r="BT210">
        <f>MAX(BO210:BR210)</f>
        <v>0</v>
      </c>
      <c r="BU210">
        <f>MAX(BP210:BR210)</f>
        <v>0</v>
      </c>
      <c r="BV210">
        <f>IF(ISNUMBER(AB210),INDEX(AllCollegeChicago, MATCH(N210,AllCollegeNCES,0))*BB210,0)</f>
        <v>0</v>
      </c>
      <c r="BW210">
        <f>IF(ISNUMBER(AB210),INDEX(AllCollegeMoneyCode, MATCH(N210,AllCollegeNCES,0)),"?")</f>
        <v>0</v>
      </c>
      <c r="BX210">
        <f>IF(OR(BW210="---",BW210="--",BW210="+/--",BW210="+/---"),1,0)</f>
        <v>0</v>
      </c>
      <c r="BY210">
        <f>BB210*AR210*AT210</f>
        <v>0</v>
      </c>
    </row>
    <row r="211" spans="1:77">
      <c r="A211" t="s">
        <v>96</v>
      </c>
      <c r="B211">
        <v>22973265</v>
      </c>
      <c r="C211" t="s">
        <v>108</v>
      </c>
      <c r="D211" t="s">
        <v>109</v>
      </c>
      <c r="E211" t="s">
        <v>446</v>
      </c>
      <c r="F211" t="s">
        <v>528</v>
      </c>
      <c r="G211" t="s">
        <v>448</v>
      </c>
      <c r="H211" t="s">
        <v>449</v>
      </c>
      <c r="I211" t="s">
        <v>450</v>
      </c>
      <c r="J211" t="s">
        <v>450</v>
      </c>
      <c r="K211">
        <v>0</v>
      </c>
      <c r="L211" t="s">
        <v>446</v>
      </c>
      <c r="M211" t="s">
        <v>446</v>
      </c>
      <c r="N211">
        <v>199847</v>
      </c>
      <c r="O211">
        <f>INDEX(Counselor,MATCH(B211,KidIDs,0))</f>
        <v>0</v>
      </c>
      <c r="P211">
        <f>INDEX(Advisors,MATCH(B211,KidIDs,0))</f>
        <v>0</v>
      </c>
      <c r="Q211">
        <f>INDEX(Cohort,MATCH(B211,KidIDs,0))</f>
        <v>0</v>
      </c>
      <c r="R211">
        <f>INDEX(AllCollegeBarrons,MATCH(N211,AllCollegeNCES,0))</f>
        <v>0</v>
      </c>
      <c r="S211">
        <f>INDEX(KidGPAs,MATCH(B211,KidIDs,0))</f>
        <v>0</v>
      </c>
      <c r="T211">
        <f>INDEX(KidSATs,MATCH(B211,KidIDs,0))</f>
        <v>0</v>
      </c>
      <c r="U211">
        <f>INDEX(Strats,MATCH(B211,KidIDs,0))</f>
        <v>0</v>
      </c>
      <c r="V211">
        <f>INDEX(KidRace,MATCH(B211,KidIDs,0))</f>
        <v>0</v>
      </c>
      <c r="W211">
        <f>IF(OR(V211="M",V211="I"),"H",IF(V211="P","A",V211))</f>
        <v>0</v>
      </c>
      <c r="X211">
        <f>INDEX(StudentTargets,MATCH(B211,KidIDs,0))</f>
        <v>0</v>
      </c>
      <c r="Y211">
        <f>INDEX(ReachStudentTargets,MATCH(B211,KidIDs,0))</f>
        <v>0</v>
      </c>
      <c r="Z211">
        <f>IF(OR(M211="Posse"),1,0)</f>
        <v>0</v>
      </c>
      <c r="AA211">
        <f>IF(ISNUMBER(INDEX(AllCollegeGR, MATCH(N211,AllCollegeNCES,0))),ROUND(INDEX(AllCollegeGR, MATCH(N211,AllCollegeNCES,0))+Z211*IF(INDEX(AllCollegeGR, MATCH(N211,AllCollegeNCES,0))&gt;0.7,(1-INDEX(AllCollegeGR, MATCH(N211,AllCollegeNCES,0)))/2,0.15),2),INDEX(AllCollegeGR, MATCH(N211,AllCollegeNCES,0)))</f>
        <v>0</v>
      </c>
      <c r="AB211">
        <f>IF(ISNUMBER(INDEX(AllCollegeAAHGR, MATCH(N211,AllCollegeNCES,0))),ROUND(INDEX(AllCollegeAAHGR, MATCH(N211,AllCollegeNCES,0))+Z211*IF(INDEX(AllCollegeAAHGR, MATCH(N211,AllCollegeNCES,0))&gt;0.7,(1-INDEX(AllCollegeAAHGR, MATCH(N211,AllCollegeNCES,0)))/2,0.15),2),INDEX(AllCollegeAAHGR, MATCH(N211,AllCollegeNCES,0)))</f>
        <v>0</v>
      </c>
      <c r="AC211">
        <f>IF(OR(W211="H",W211="B"),INDEX(AllCollegeSAT25, MATCH(N211,AllCollegeNCES,0)),INDEX(AllCollegeSAT50, MATCH(N211,AllCollegeNCES,0)))</f>
        <v>0</v>
      </c>
      <c r="AD211">
        <f>INDEX(CustomWeightsGPA,MATCH(W211&amp;":"&amp;N211,CustomWeightsIndex,0))</f>
        <v>0</v>
      </c>
      <c r="AE211">
        <f>INDEX(CustomWeightsSAT,MATCH(W211&amp;":"&amp;N211,CustomWeightsIndex,0))</f>
        <v>0</v>
      </c>
      <c r="AF211">
        <f>INDEX(CustomWeightsIntercept,MATCH(W211&amp;":"&amp;N211,CustomWeightsIndex,0))</f>
        <v>0</v>
      </c>
      <c r="AG211">
        <f>AD211*S211+AE211*T211+AF211</f>
        <v>0</v>
      </c>
      <c r="AH211">
        <f>INDEX(CoefficientsGPA,MATCH(W211&amp;":"&amp;R211,CoefficientsIndex,0))</f>
        <v>0</v>
      </c>
      <c r="AI211">
        <f>INDEX(CoefficientsSAT,MATCH(W211&amp;":"&amp;R211,CoefficientsIndex,0))</f>
        <v>0</v>
      </c>
      <c r="AJ211">
        <f>INDEX(CoefficientsIntercept,MATCH(W211&amp;":"&amp;R211,CoefficientsIndex,0))</f>
        <v>0</v>
      </c>
      <c r="AK211">
        <f>AH211*S211+(T211-AC211)*AI211+AJ211</f>
        <v>0</v>
      </c>
      <c r="AL211">
        <f>IF(ISNUMBER(AG211),AG211,AK211)</f>
        <v>0</v>
      </c>
      <c r="AM211">
        <f>IF(ISNUMBER(AL211),IF(ISNUMBER(AH211),IF(AND(AH211=1,AI211=1,AJ211=1),100,MIN(99,ROUND(100*EXP(AL211)/(1+EXP(AL211)),2))),MIN(99,ROUND(100*EXP(AL211)/(1+EXP(AL211)),2))),IF(ISTEXT(R211),IF(LEFT(R211,1)="2",100,"N/A"),"N/A"))</f>
        <v>0</v>
      </c>
      <c r="AN211">
        <f>IF(ISNUMBER(AM211),IF(AM211&gt;=99,IF(OR(U211=10,U211=11),MatchLabel,SureThingLabel),IF(AM211&gt;=95,SecureLabel,IF(AM211&gt;=80,SafetyLabel,IF(AM211&gt;=50,MatchLabel,IF(AM211&gt;=20,ReachLabel,IF(AM211&gt;=10,LongshotLabel,HailMaryLabel)))))),"Other")</f>
        <v>0</v>
      </c>
      <c r="AO211">
        <f>IF(OR(I211="accepted",I211="cond. accept",I211="summer admit"),IF(J211="yes","CHOICE!","Accepted!"),IF(I211="guar. transfer","Guar. Xfer",IF(I211="denied","Denied",IF(K211=1,"Waitlist",IF(L211=1,"Deferred",IF(G211="pending","Pending",IF(OR(G211="initial materials submitted",G211="mid-year submitted",G211="final submitted"),"Submitted",IF(H211="interest","Interest","?"))))))))</f>
        <v>0</v>
      </c>
      <c r="AP211">
        <f>IF(OR(AN211=ReachLabel,AN211=LongshotLabel,AN211=HailMaryLabel),1,0)</f>
        <v>0</v>
      </c>
      <c r="AQ211">
        <f>IF(OR(AP211=1,AN211=MatchLabel),1,0)</f>
        <v>0</v>
      </c>
      <c r="AR211">
        <f>IF(OR(AN211=MatchLabel,AN211=SafetyLabel,AN211=SecureLabel,AN211=SureThingLabel),1,0)</f>
        <v>0</v>
      </c>
      <c r="AS211">
        <f>IF(OR(W211="H",W211="B",W211="I",W211="M"),IF(ISNUMBER(AB211),ROUND(AB211,2),0),IF(ISNUMBER(AA211),ROUND(AA211,2),0))</f>
        <v>0</v>
      </c>
      <c r="AT211">
        <f>IF(AS211&gt;=X211,1,0)</f>
        <v>0</v>
      </c>
      <c r="AU211">
        <f>IF(AS211&gt;=Y211,1,0)</f>
        <v>0</v>
      </c>
      <c r="AV211">
        <f>IF(AS211&lt;(X211-0.10),1,0)</f>
        <v>0</v>
      </c>
      <c r="AW211">
        <f>1-AM211/100</f>
        <v>0</v>
      </c>
      <c r="AX211">
        <f>IF(AQ211=1,AW211,1)</f>
        <v>0</v>
      </c>
      <c r="AY211">
        <f>IF(AP211=1,AW211,1)</f>
        <v>0</v>
      </c>
      <c r="AZ211">
        <f>IF(AND(AT211=1,ISNUMBER(AW211)),$AW211,1)</f>
        <v>0</v>
      </c>
      <c r="BA211">
        <f>IF(AND(AU211=1,ISNUMBER(AW211)),$AW211,1)</f>
        <v>0</v>
      </c>
      <c r="BB211">
        <f>IF(ISNUMBER(AB211),INDEX(AllCollegeMoney, MATCH(N211,AllCollegeNCES,0)),0)</f>
        <v>0</v>
      </c>
      <c r="BC211">
        <f>IF(AND(AT211=1,ISNUMBER(AW211),BB211=1),$AW211,1)</f>
        <v>0</v>
      </c>
      <c r="BD211">
        <f>IF(AND(AU211=1,ISNUMBER(AW211),BB211=1),$AW211,1)</f>
        <v>0</v>
      </c>
      <c r="BE211">
        <f>IF(ISNUMBER(AB211),INDEX(AllCollegeILPub, MATCH(N211,AllCollegeNCES,0)),0)</f>
        <v>0</v>
      </c>
      <c r="BF211">
        <f>IF(AN211=ReachLabel,AS211,0)</f>
        <v>0</v>
      </c>
      <c r="BG211">
        <f>IF(AN211=MatchLabel,AS211,0)</f>
        <v>0</v>
      </c>
      <c r="BH211">
        <f>IF(AN211=SafetyLabel,AS211,0)</f>
        <v>0</v>
      </c>
      <c r="BI211">
        <f>IF(AN211=SecureLabel,AS211,0)</f>
        <v>0</v>
      </c>
      <c r="BJ211">
        <f>IF(AN211=SureThingLabel,AS211,0)</f>
        <v>0</v>
      </c>
      <c r="BK211">
        <f>MAX(BF211:BJ211)</f>
        <v>0</v>
      </c>
      <c r="BL211">
        <f>MAX(BG211:BJ211)</f>
        <v>0</v>
      </c>
      <c r="BM211">
        <f>MAX(BH211:BJ211)</f>
        <v>0</v>
      </c>
      <c r="BN211">
        <f>IF(AND(AN211=ReachLabel,BB211=1),AS211,0)</f>
        <v>0</v>
      </c>
      <c r="BO211">
        <f>IF(AND(AN211=MatchLabel,BB211=1),AS211,0)</f>
        <v>0</v>
      </c>
      <c r="BP211">
        <f>IF(AND(AN211=SafetyLabel,BB211=1),AS211,0)</f>
        <v>0</v>
      </c>
      <c r="BQ211">
        <f>IF(AND(AN211=SecureLabel,BB211=1),AS211,0)</f>
        <v>0</v>
      </c>
      <c r="BR211">
        <f>IF(AND(AN211=SureThingLabel,BB211=1),AS211,0)</f>
        <v>0</v>
      </c>
      <c r="BS211">
        <f>MAX(BN211:BR211)</f>
        <v>0</v>
      </c>
      <c r="BT211">
        <f>MAX(BO211:BR211)</f>
        <v>0</v>
      </c>
      <c r="BU211">
        <f>MAX(BP211:BR211)</f>
        <v>0</v>
      </c>
      <c r="BV211">
        <f>IF(ISNUMBER(AB211),INDEX(AllCollegeChicago, MATCH(N211,AllCollegeNCES,0))*BB211,0)</f>
        <v>0</v>
      </c>
      <c r="BW211">
        <f>IF(ISNUMBER(AB211),INDEX(AllCollegeMoneyCode, MATCH(N211,AllCollegeNCES,0)),"?")</f>
        <v>0</v>
      </c>
      <c r="BX211">
        <f>IF(OR(BW211="---",BW211="--",BW211="+/--",BW211="+/---"),1,0)</f>
        <v>0</v>
      </c>
      <c r="BY211">
        <f>BB211*AR211*AT211</f>
        <v>0</v>
      </c>
    </row>
    <row r="212" spans="1:77">
      <c r="A212" t="s">
        <v>96</v>
      </c>
      <c r="B212">
        <v>22973265</v>
      </c>
      <c r="C212" t="s">
        <v>108</v>
      </c>
      <c r="D212" t="s">
        <v>109</v>
      </c>
      <c r="E212" t="s">
        <v>446</v>
      </c>
      <c r="F212" t="s">
        <v>447</v>
      </c>
      <c r="G212" t="s">
        <v>448</v>
      </c>
      <c r="H212" t="s">
        <v>449</v>
      </c>
      <c r="I212" t="s">
        <v>450</v>
      </c>
      <c r="J212" t="s">
        <v>450</v>
      </c>
      <c r="K212">
        <v>0</v>
      </c>
      <c r="L212" t="s">
        <v>446</v>
      </c>
      <c r="M212" t="s">
        <v>446</v>
      </c>
      <c r="N212">
        <v>148496</v>
      </c>
      <c r="O212">
        <f>INDEX(Counselor,MATCH(B212,KidIDs,0))</f>
        <v>0</v>
      </c>
      <c r="P212">
        <f>INDEX(Advisors,MATCH(B212,KidIDs,0))</f>
        <v>0</v>
      </c>
      <c r="Q212">
        <f>INDEX(Cohort,MATCH(B212,KidIDs,0))</f>
        <v>0</v>
      </c>
      <c r="R212">
        <f>INDEX(AllCollegeBarrons,MATCH(N212,AllCollegeNCES,0))</f>
        <v>0</v>
      </c>
      <c r="S212">
        <f>INDEX(KidGPAs,MATCH(B212,KidIDs,0))</f>
        <v>0</v>
      </c>
      <c r="T212">
        <f>INDEX(KidSATs,MATCH(B212,KidIDs,0))</f>
        <v>0</v>
      </c>
      <c r="U212">
        <f>INDEX(Strats,MATCH(B212,KidIDs,0))</f>
        <v>0</v>
      </c>
      <c r="V212">
        <f>INDEX(KidRace,MATCH(B212,KidIDs,0))</f>
        <v>0</v>
      </c>
      <c r="W212">
        <f>IF(OR(V212="M",V212="I"),"H",IF(V212="P","A",V212))</f>
        <v>0</v>
      </c>
      <c r="X212">
        <f>INDEX(StudentTargets,MATCH(B212,KidIDs,0))</f>
        <v>0</v>
      </c>
      <c r="Y212">
        <f>INDEX(ReachStudentTargets,MATCH(B212,KidIDs,0))</f>
        <v>0</v>
      </c>
      <c r="Z212">
        <f>IF(OR(M212="Posse"),1,0)</f>
        <v>0</v>
      </c>
      <c r="AA212">
        <f>IF(ISNUMBER(INDEX(AllCollegeGR, MATCH(N212,AllCollegeNCES,0))),ROUND(INDEX(AllCollegeGR, MATCH(N212,AllCollegeNCES,0))+Z212*IF(INDEX(AllCollegeGR, MATCH(N212,AllCollegeNCES,0))&gt;0.7,(1-INDEX(AllCollegeGR, MATCH(N212,AllCollegeNCES,0)))/2,0.15),2),INDEX(AllCollegeGR, MATCH(N212,AllCollegeNCES,0)))</f>
        <v>0</v>
      </c>
      <c r="AB212">
        <f>IF(ISNUMBER(INDEX(AllCollegeAAHGR, MATCH(N212,AllCollegeNCES,0))),ROUND(INDEX(AllCollegeAAHGR, MATCH(N212,AllCollegeNCES,0))+Z212*IF(INDEX(AllCollegeAAHGR, MATCH(N212,AllCollegeNCES,0))&gt;0.7,(1-INDEX(AllCollegeAAHGR, MATCH(N212,AllCollegeNCES,0)))/2,0.15),2),INDEX(AllCollegeAAHGR, MATCH(N212,AllCollegeNCES,0)))</f>
        <v>0</v>
      </c>
      <c r="AC212">
        <f>IF(OR(W212="H",W212="B"),INDEX(AllCollegeSAT25, MATCH(N212,AllCollegeNCES,0)),INDEX(AllCollegeSAT50, MATCH(N212,AllCollegeNCES,0)))</f>
        <v>0</v>
      </c>
      <c r="AD212">
        <f>INDEX(CustomWeightsGPA,MATCH(W212&amp;":"&amp;N212,CustomWeightsIndex,0))</f>
        <v>0</v>
      </c>
      <c r="AE212">
        <f>INDEX(CustomWeightsSAT,MATCH(W212&amp;":"&amp;N212,CustomWeightsIndex,0))</f>
        <v>0</v>
      </c>
      <c r="AF212">
        <f>INDEX(CustomWeightsIntercept,MATCH(W212&amp;":"&amp;N212,CustomWeightsIndex,0))</f>
        <v>0</v>
      </c>
      <c r="AG212">
        <f>AD212*S212+AE212*T212+AF212</f>
        <v>0</v>
      </c>
      <c r="AH212">
        <f>INDEX(CoefficientsGPA,MATCH(W212&amp;":"&amp;R212,CoefficientsIndex,0))</f>
        <v>0</v>
      </c>
      <c r="AI212">
        <f>INDEX(CoefficientsSAT,MATCH(W212&amp;":"&amp;R212,CoefficientsIndex,0))</f>
        <v>0</v>
      </c>
      <c r="AJ212">
        <f>INDEX(CoefficientsIntercept,MATCH(W212&amp;":"&amp;R212,CoefficientsIndex,0))</f>
        <v>0</v>
      </c>
      <c r="AK212">
        <f>AH212*S212+(T212-AC212)*AI212+AJ212</f>
        <v>0</v>
      </c>
      <c r="AL212">
        <f>IF(ISNUMBER(AG212),AG212,AK212)</f>
        <v>0</v>
      </c>
      <c r="AM212">
        <f>IF(ISNUMBER(AL212),IF(ISNUMBER(AH212),IF(AND(AH212=1,AI212=1,AJ212=1),100,MIN(99,ROUND(100*EXP(AL212)/(1+EXP(AL212)),2))),MIN(99,ROUND(100*EXP(AL212)/(1+EXP(AL212)),2))),IF(ISTEXT(R212),IF(LEFT(R212,1)="2",100,"N/A"),"N/A"))</f>
        <v>0</v>
      </c>
      <c r="AN212">
        <f>IF(ISNUMBER(AM212),IF(AM212&gt;=99,IF(OR(U212=10,U212=11),MatchLabel,SureThingLabel),IF(AM212&gt;=95,SecureLabel,IF(AM212&gt;=80,SafetyLabel,IF(AM212&gt;=50,MatchLabel,IF(AM212&gt;=20,ReachLabel,IF(AM212&gt;=10,LongshotLabel,HailMaryLabel)))))),"Other")</f>
        <v>0</v>
      </c>
      <c r="AO212">
        <f>IF(OR(I212="accepted",I212="cond. accept",I212="summer admit"),IF(J212="yes","CHOICE!","Accepted!"),IF(I212="guar. transfer","Guar. Xfer",IF(I212="denied","Denied",IF(K212=1,"Waitlist",IF(L212=1,"Deferred",IF(G212="pending","Pending",IF(OR(G212="initial materials submitted",G212="mid-year submitted",G212="final submitted"),"Submitted",IF(H212="interest","Interest","?"))))))))</f>
        <v>0</v>
      </c>
      <c r="AP212">
        <f>IF(OR(AN212=ReachLabel,AN212=LongshotLabel,AN212=HailMaryLabel),1,0)</f>
        <v>0</v>
      </c>
      <c r="AQ212">
        <f>IF(OR(AP212=1,AN212=MatchLabel),1,0)</f>
        <v>0</v>
      </c>
      <c r="AR212">
        <f>IF(OR(AN212=MatchLabel,AN212=SafetyLabel,AN212=SecureLabel,AN212=SureThingLabel),1,0)</f>
        <v>0</v>
      </c>
      <c r="AS212">
        <f>IF(OR(W212="H",W212="B",W212="I",W212="M"),IF(ISNUMBER(AB212),ROUND(AB212,2),0),IF(ISNUMBER(AA212),ROUND(AA212,2),0))</f>
        <v>0</v>
      </c>
      <c r="AT212">
        <f>IF(AS212&gt;=X212,1,0)</f>
        <v>0</v>
      </c>
      <c r="AU212">
        <f>IF(AS212&gt;=Y212,1,0)</f>
        <v>0</v>
      </c>
      <c r="AV212">
        <f>IF(AS212&lt;(X212-0.10),1,0)</f>
        <v>0</v>
      </c>
      <c r="AW212">
        <f>1-AM212/100</f>
        <v>0</v>
      </c>
      <c r="AX212">
        <f>IF(AQ212=1,AW212,1)</f>
        <v>0</v>
      </c>
      <c r="AY212">
        <f>IF(AP212=1,AW212,1)</f>
        <v>0</v>
      </c>
      <c r="AZ212">
        <f>IF(AND(AT212=1,ISNUMBER(AW212)),$AW212,1)</f>
        <v>0</v>
      </c>
      <c r="BA212">
        <f>IF(AND(AU212=1,ISNUMBER(AW212)),$AW212,1)</f>
        <v>0</v>
      </c>
      <c r="BB212">
        <f>IF(ISNUMBER(AB212),INDEX(AllCollegeMoney, MATCH(N212,AllCollegeNCES,0)),0)</f>
        <v>0</v>
      </c>
      <c r="BC212">
        <f>IF(AND(AT212=1,ISNUMBER(AW212),BB212=1),$AW212,1)</f>
        <v>0</v>
      </c>
      <c r="BD212">
        <f>IF(AND(AU212=1,ISNUMBER(AW212),BB212=1),$AW212,1)</f>
        <v>0</v>
      </c>
      <c r="BE212">
        <f>IF(ISNUMBER(AB212),INDEX(AllCollegeILPub, MATCH(N212,AllCollegeNCES,0)),0)</f>
        <v>0</v>
      </c>
      <c r="BF212">
        <f>IF(AN212=ReachLabel,AS212,0)</f>
        <v>0</v>
      </c>
      <c r="BG212">
        <f>IF(AN212=MatchLabel,AS212,0)</f>
        <v>0</v>
      </c>
      <c r="BH212">
        <f>IF(AN212=SafetyLabel,AS212,0)</f>
        <v>0</v>
      </c>
      <c r="BI212">
        <f>IF(AN212=SecureLabel,AS212,0)</f>
        <v>0</v>
      </c>
      <c r="BJ212">
        <f>IF(AN212=SureThingLabel,AS212,0)</f>
        <v>0</v>
      </c>
      <c r="BK212">
        <f>MAX(BF212:BJ212)</f>
        <v>0</v>
      </c>
      <c r="BL212">
        <f>MAX(BG212:BJ212)</f>
        <v>0</v>
      </c>
      <c r="BM212">
        <f>MAX(BH212:BJ212)</f>
        <v>0</v>
      </c>
      <c r="BN212">
        <f>IF(AND(AN212=ReachLabel,BB212=1),AS212,0)</f>
        <v>0</v>
      </c>
      <c r="BO212">
        <f>IF(AND(AN212=MatchLabel,BB212=1),AS212,0)</f>
        <v>0</v>
      </c>
      <c r="BP212">
        <f>IF(AND(AN212=SafetyLabel,BB212=1),AS212,0)</f>
        <v>0</v>
      </c>
      <c r="BQ212">
        <f>IF(AND(AN212=SecureLabel,BB212=1),AS212,0)</f>
        <v>0</v>
      </c>
      <c r="BR212">
        <f>IF(AND(AN212=SureThingLabel,BB212=1),AS212,0)</f>
        <v>0</v>
      </c>
      <c r="BS212">
        <f>MAX(BN212:BR212)</f>
        <v>0</v>
      </c>
      <c r="BT212">
        <f>MAX(BO212:BR212)</f>
        <v>0</v>
      </c>
      <c r="BU212">
        <f>MAX(BP212:BR212)</f>
        <v>0</v>
      </c>
      <c r="BV212">
        <f>IF(ISNUMBER(AB212),INDEX(AllCollegeChicago, MATCH(N212,AllCollegeNCES,0))*BB212,0)</f>
        <v>0</v>
      </c>
      <c r="BW212">
        <f>IF(ISNUMBER(AB212),INDEX(AllCollegeMoneyCode, MATCH(N212,AllCollegeNCES,0)),"?")</f>
        <v>0</v>
      </c>
      <c r="BX212">
        <f>IF(OR(BW212="---",BW212="--",BW212="+/--",BW212="+/---"),1,0)</f>
        <v>0</v>
      </c>
      <c r="BY212">
        <f>BB212*AR212*AT212</f>
        <v>0</v>
      </c>
    </row>
    <row r="213" spans="1:77">
      <c r="A213" t="s">
        <v>96</v>
      </c>
      <c r="B213">
        <v>22973265</v>
      </c>
      <c r="C213" t="s">
        <v>108</v>
      </c>
      <c r="D213" t="s">
        <v>109</v>
      </c>
      <c r="E213" t="s">
        <v>446</v>
      </c>
      <c r="F213" t="s">
        <v>476</v>
      </c>
      <c r="G213" t="s">
        <v>479</v>
      </c>
      <c r="H213" t="s">
        <v>449</v>
      </c>
      <c r="I213" t="s">
        <v>450</v>
      </c>
      <c r="J213" t="s">
        <v>450</v>
      </c>
      <c r="K213">
        <v>0</v>
      </c>
      <c r="L213" t="s">
        <v>446</v>
      </c>
      <c r="M213" t="s">
        <v>446</v>
      </c>
      <c r="N213">
        <v>213668</v>
      </c>
      <c r="O213">
        <f>INDEX(Counselor,MATCH(B213,KidIDs,0))</f>
        <v>0</v>
      </c>
      <c r="P213">
        <f>INDEX(Advisors,MATCH(B213,KidIDs,0))</f>
        <v>0</v>
      </c>
      <c r="Q213">
        <f>INDEX(Cohort,MATCH(B213,KidIDs,0))</f>
        <v>0</v>
      </c>
      <c r="R213">
        <f>INDEX(AllCollegeBarrons,MATCH(N213,AllCollegeNCES,0))</f>
        <v>0</v>
      </c>
      <c r="S213">
        <f>INDEX(KidGPAs,MATCH(B213,KidIDs,0))</f>
        <v>0</v>
      </c>
      <c r="T213">
        <f>INDEX(KidSATs,MATCH(B213,KidIDs,0))</f>
        <v>0</v>
      </c>
      <c r="U213">
        <f>INDEX(Strats,MATCH(B213,KidIDs,0))</f>
        <v>0</v>
      </c>
      <c r="V213">
        <f>INDEX(KidRace,MATCH(B213,KidIDs,0))</f>
        <v>0</v>
      </c>
      <c r="W213">
        <f>IF(OR(V213="M",V213="I"),"H",IF(V213="P","A",V213))</f>
        <v>0</v>
      </c>
      <c r="X213">
        <f>INDEX(StudentTargets,MATCH(B213,KidIDs,0))</f>
        <v>0</v>
      </c>
      <c r="Y213">
        <f>INDEX(ReachStudentTargets,MATCH(B213,KidIDs,0))</f>
        <v>0</v>
      </c>
      <c r="Z213">
        <f>IF(OR(M213="Posse"),1,0)</f>
        <v>0</v>
      </c>
      <c r="AA213">
        <f>IF(ISNUMBER(INDEX(AllCollegeGR, MATCH(N213,AllCollegeNCES,0))),ROUND(INDEX(AllCollegeGR, MATCH(N213,AllCollegeNCES,0))+Z213*IF(INDEX(AllCollegeGR, MATCH(N213,AllCollegeNCES,0))&gt;0.7,(1-INDEX(AllCollegeGR, MATCH(N213,AllCollegeNCES,0)))/2,0.15),2),INDEX(AllCollegeGR, MATCH(N213,AllCollegeNCES,0)))</f>
        <v>0</v>
      </c>
      <c r="AB213">
        <f>IF(ISNUMBER(INDEX(AllCollegeAAHGR, MATCH(N213,AllCollegeNCES,0))),ROUND(INDEX(AllCollegeAAHGR, MATCH(N213,AllCollegeNCES,0))+Z213*IF(INDEX(AllCollegeAAHGR, MATCH(N213,AllCollegeNCES,0))&gt;0.7,(1-INDEX(AllCollegeAAHGR, MATCH(N213,AllCollegeNCES,0)))/2,0.15),2),INDEX(AllCollegeAAHGR, MATCH(N213,AllCollegeNCES,0)))</f>
        <v>0</v>
      </c>
      <c r="AC213">
        <f>IF(OR(W213="H",W213="B"),INDEX(AllCollegeSAT25, MATCH(N213,AllCollegeNCES,0)),INDEX(AllCollegeSAT50, MATCH(N213,AllCollegeNCES,0)))</f>
        <v>0</v>
      </c>
      <c r="AD213">
        <f>INDEX(CustomWeightsGPA,MATCH(W213&amp;":"&amp;N213,CustomWeightsIndex,0))</f>
        <v>0</v>
      </c>
      <c r="AE213">
        <f>INDEX(CustomWeightsSAT,MATCH(W213&amp;":"&amp;N213,CustomWeightsIndex,0))</f>
        <v>0</v>
      </c>
      <c r="AF213">
        <f>INDEX(CustomWeightsIntercept,MATCH(W213&amp;":"&amp;N213,CustomWeightsIndex,0))</f>
        <v>0</v>
      </c>
      <c r="AG213">
        <f>AD213*S213+AE213*T213+AF213</f>
        <v>0</v>
      </c>
      <c r="AH213">
        <f>INDEX(CoefficientsGPA,MATCH(W213&amp;":"&amp;R213,CoefficientsIndex,0))</f>
        <v>0</v>
      </c>
      <c r="AI213">
        <f>INDEX(CoefficientsSAT,MATCH(W213&amp;":"&amp;R213,CoefficientsIndex,0))</f>
        <v>0</v>
      </c>
      <c r="AJ213">
        <f>INDEX(CoefficientsIntercept,MATCH(W213&amp;":"&amp;R213,CoefficientsIndex,0))</f>
        <v>0</v>
      </c>
      <c r="AK213">
        <f>AH213*S213+(T213-AC213)*AI213+AJ213</f>
        <v>0</v>
      </c>
      <c r="AL213">
        <f>IF(ISNUMBER(AG213),AG213,AK213)</f>
        <v>0</v>
      </c>
      <c r="AM213">
        <f>IF(ISNUMBER(AL213),IF(ISNUMBER(AH213),IF(AND(AH213=1,AI213=1,AJ213=1),100,MIN(99,ROUND(100*EXP(AL213)/(1+EXP(AL213)),2))),MIN(99,ROUND(100*EXP(AL213)/(1+EXP(AL213)),2))),IF(ISTEXT(R213),IF(LEFT(R213,1)="2",100,"N/A"),"N/A"))</f>
        <v>0</v>
      </c>
      <c r="AN213">
        <f>IF(ISNUMBER(AM213),IF(AM213&gt;=99,IF(OR(U213=10,U213=11),MatchLabel,SureThingLabel),IF(AM213&gt;=95,SecureLabel,IF(AM213&gt;=80,SafetyLabel,IF(AM213&gt;=50,MatchLabel,IF(AM213&gt;=20,ReachLabel,IF(AM213&gt;=10,LongshotLabel,HailMaryLabel)))))),"Other")</f>
        <v>0</v>
      </c>
      <c r="AO213">
        <f>IF(OR(I213="accepted",I213="cond. accept",I213="summer admit"),IF(J213="yes","CHOICE!","Accepted!"),IF(I213="guar. transfer","Guar. Xfer",IF(I213="denied","Denied",IF(K213=1,"Waitlist",IF(L213=1,"Deferred",IF(G213="pending","Pending",IF(OR(G213="initial materials submitted",G213="mid-year submitted",G213="final submitted"),"Submitted",IF(H213="interest","Interest","?"))))))))</f>
        <v>0</v>
      </c>
      <c r="AP213">
        <f>IF(OR(AN213=ReachLabel,AN213=LongshotLabel,AN213=HailMaryLabel),1,0)</f>
        <v>0</v>
      </c>
      <c r="AQ213">
        <f>IF(OR(AP213=1,AN213=MatchLabel),1,0)</f>
        <v>0</v>
      </c>
      <c r="AR213">
        <f>IF(OR(AN213=MatchLabel,AN213=SafetyLabel,AN213=SecureLabel,AN213=SureThingLabel),1,0)</f>
        <v>0</v>
      </c>
      <c r="AS213">
        <f>IF(OR(W213="H",W213="B",W213="I",W213="M"),IF(ISNUMBER(AB213),ROUND(AB213,2),0),IF(ISNUMBER(AA213),ROUND(AA213,2),0))</f>
        <v>0</v>
      </c>
      <c r="AT213">
        <f>IF(AS213&gt;=X213,1,0)</f>
        <v>0</v>
      </c>
      <c r="AU213">
        <f>IF(AS213&gt;=Y213,1,0)</f>
        <v>0</v>
      </c>
      <c r="AV213">
        <f>IF(AS213&lt;(X213-0.10),1,0)</f>
        <v>0</v>
      </c>
      <c r="AW213">
        <f>1-AM213/100</f>
        <v>0</v>
      </c>
      <c r="AX213">
        <f>IF(AQ213=1,AW213,1)</f>
        <v>0</v>
      </c>
      <c r="AY213">
        <f>IF(AP213=1,AW213,1)</f>
        <v>0</v>
      </c>
      <c r="AZ213">
        <f>IF(AND(AT213=1,ISNUMBER(AW213)),$AW213,1)</f>
        <v>0</v>
      </c>
      <c r="BA213">
        <f>IF(AND(AU213=1,ISNUMBER(AW213)),$AW213,1)</f>
        <v>0</v>
      </c>
      <c r="BB213">
        <f>IF(ISNUMBER(AB213),INDEX(AllCollegeMoney, MATCH(N213,AllCollegeNCES,0)),0)</f>
        <v>0</v>
      </c>
      <c r="BC213">
        <f>IF(AND(AT213=1,ISNUMBER(AW213),BB213=1),$AW213,1)</f>
        <v>0</v>
      </c>
      <c r="BD213">
        <f>IF(AND(AU213=1,ISNUMBER(AW213),BB213=1),$AW213,1)</f>
        <v>0</v>
      </c>
      <c r="BE213">
        <f>IF(ISNUMBER(AB213),INDEX(AllCollegeILPub, MATCH(N213,AllCollegeNCES,0)),0)</f>
        <v>0</v>
      </c>
      <c r="BF213">
        <f>IF(AN213=ReachLabel,AS213,0)</f>
        <v>0</v>
      </c>
      <c r="BG213">
        <f>IF(AN213=MatchLabel,AS213,0)</f>
        <v>0</v>
      </c>
      <c r="BH213">
        <f>IF(AN213=SafetyLabel,AS213,0)</f>
        <v>0</v>
      </c>
      <c r="BI213">
        <f>IF(AN213=SecureLabel,AS213,0)</f>
        <v>0</v>
      </c>
      <c r="BJ213">
        <f>IF(AN213=SureThingLabel,AS213,0)</f>
        <v>0</v>
      </c>
      <c r="BK213">
        <f>MAX(BF213:BJ213)</f>
        <v>0</v>
      </c>
      <c r="BL213">
        <f>MAX(BG213:BJ213)</f>
        <v>0</v>
      </c>
      <c r="BM213">
        <f>MAX(BH213:BJ213)</f>
        <v>0</v>
      </c>
      <c r="BN213">
        <f>IF(AND(AN213=ReachLabel,BB213=1),AS213,0)</f>
        <v>0</v>
      </c>
      <c r="BO213">
        <f>IF(AND(AN213=MatchLabel,BB213=1),AS213,0)</f>
        <v>0</v>
      </c>
      <c r="BP213">
        <f>IF(AND(AN213=SafetyLabel,BB213=1),AS213,0)</f>
        <v>0</v>
      </c>
      <c r="BQ213">
        <f>IF(AND(AN213=SecureLabel,BB213=1),AS213,0)</f>
        <v>0</v>
      </c>
      <c r="BR213">
        <f>IF(AND(AN213=SureThingLabel,BB213=1),AS213,0)</f>
        <v>0</v>
      </c>
      <c r="BS213">
        <f>MAX(BN213:BR213)</f>
        <v>0</v>
      </c>
      <c r="BT213">
        <f>MAX(BO213:BR213)</f>
        <v>0</v>
      </c>
      <c r="BU213">
        <f>MAX(BP213:BR213)</f>
        <v>0</v>
      </c>
      <c r="BV213">
        <f>IF(ISNUMBER(AB213),INDEX(AllCollegeChicago, MATCH(N213,AllCollegeNCES,0))*BB213,0)</f>
        <v>0</v>
      </c>
      <c r="BW213">
        <f>IF(ISNUMBER(AB213),INDEX(AllCollegeMoneyCode, MATCH(N213,AllCollegeNCES,0)),"?")</f>
        <v>0</v>
      </c>
      <c r="BX213">
        <f>IF(OR(BW213="---",BW213="--",BW213="+/--",BW213="+/---"),1,0)</f>
        <v>0</v>
      </c>
      <c r="BY213">
        <f>BB213*AR213*AT213</f>
        <v>0</v>
      </c>
    </row>
    <row r="214" spans="1:77">
      <c r="A214" t="s">
        <v>96</v>
      </c>
      <c r="B214">
        <v>22973265</v>
      </c>
      <c r="C214" t="s">
        <v>108</v>
      </c>
      <c r="D214" t="s">
        <v>109</v>
      </c>
      <c r="E214" t="s">
        <v>446</v>
      </c>
      <c r="F214" t="s">
        <v>478</v>
      </c>
      <c r="G214" t="s">
        <v>479</v>
      </c>
      <c r="H214" t="s">
        <v>449</v>
      </c>
      <c r="I214" t="s">
        <v>450</v>
      </c>
      <c r="J214" t="s">
        <v>450</v>
      </c>
      <c r="K214">
        <v>0</v>
      </c>
      <c r="L214" t="s">
        <v>446</v>
      </c>
      <c r="M214" t="s">
        <v>446</v>
      </c>
      <c r="N214">
        <v>168546</v>
      </c>
      <c r="O214">
        <f>INDEX(Counselor,MATCH(B214,KidIDs,0))</f>
        <v>0</v>
      </c>
      <c r="P214">
        <f>INDEX(Advisors,MATCH(B214,KidIDs,0))</f>
        <v>0</v>
      </c>
      <c r="Q214">
        <f>INDEX(Cohort,MATCH(B214,KidIDs,0))</f>
        <v>0</v>
      </c>
      <c r="R214">
        <f>INDEX(AllCollegeBarrons,MATCH(N214,AllCollegeNCES,0))</f>
        <v>0</v>
      </c>
      <c r="S214">
        <f>INDEX(KidGPAs,MATCH(B214,KidIDs,0))</f>
        <v>0</v>
      </c>
      <c r="T214">
        <f>INDEX(KidSATs,MATCH(B214,KidIDs,0))</f>
        <v>0</v>
      </c>
      <c r="U214">
        <f>INDEX(Strats,MATCH(B214,KidIDs,0))</f>
        <v>0</v>
      </c>
      <c r="V214">
        <f>INDEX(KidRace,MATCH(B214,KidIDs,0))</f>
        <v>0</v>
      </c>
      <c r="W214">
        <f>IF(OR(V214="M",V214="I"),"H",IF(V214="P","A",V214))</f>
        <v>0</v>
      </c>
      <c r="X214">
        <f>INDEX(StudentTargets,MATCH(B214,KidIDs,0))</f>
        <v>0</v>
      </c>
      <c r="Y214">
        <f>INDEX(ReachStudentTargets,MATCH(B214,KidIDs,0))</f>
        <v>0</v>
      </c>
      <c r="Z214">
        <f>IF(OR(M214="Posse"),1,0)</f>
        <v>0</v>
      </c>
      <c r="AA214">
        <f>IF(ISNUMBER(INDEX(AllCollegeGR, MATCH(N214,AllCollegeNCES,0))),ROUND(INDEX(AllCollegeGR, MATCH(N214,AllCollegeNCES,0))+Z214*IF(INDEX(AllCollegeGR, MATCH(N214,AllCollegeNCES,0))&gt;0.7,(1-INDEX(AllCollegeGR, MATCH(N214,AllCollegeNCES,0)))/2,0.15),2),INDEX(AllCollegeGR, MATCH(N214,AllCollegeNCES,0)))</f>
        <v>0</v>
      </c>
      <c r="AB214">
        <f>IF(ISNUMBER(INDEX(AllCollegeAAHGR, MATCH(N214,AllCollegeNCES,0))),ROUND(INDEX(AllCollegeAAHGR, MATCH(N214,AllCollegeNCES,0))+Z214*IF(INDEX(AllCollegeAAHGR, MATCH(N214,AllCollegeNCES,0))&gt;0.7,(1-INDEX(AllCollegeAAHGR, MATCH(N214,AllCollegeNCES,0)))/2,0.15),2),INDEX(AllCollegeAAHGR, MATCH(N214,AllCollegeNCES,0)))</f>
        <v>0</v>
      </c>
      <c r="AC214">
        <f>IF(OR(W214="H",W214="B"),INDEX(AllCollegeSAT25, MATCH(N214,AllCollegeNCES,0)),INDEX(AllCollegeSAT50, MATCH(N214,AllCollegeNCES,0)))</f>
        <v>0</v>
      </c>
      <c r="AD214">
        <f>INDEX(CustomWeightsGPA,MATCH(W214&amp;":"&amp;N214,CustomWeightsIndex,0))</f>
        <v>0</v>
      </c>
      <c r="AE214">
        <f>INDEX(CustomWeightsSAT,MATCH(W214&amp;":"&amp;N214,CustomWeightsIndex,0))</f>
        <v>0</v>
      </c>
      <c r="AF214">
        <f>INDEX(CustomWeightsIntercept,MATCH(W214&amp;":"&amp;N214,CustomWeightsIndex,0))</f>
        <v>0</v>
      </c>
      <c r="AG214">
        <f>AD214*S214+AE214*T214+AF214</f>
        <v>0</v>
      </c>
      <c r="AH214">
        <f>INDEX(CoefficientsGPA,MATCH(W214&amp;":"&amp;R214,CoefficientsIndex,0))</f>
        <v>0</v>
      </c>
      <c r="AI214">
        <f>INDEX(CoefficientsSAT,MATCH(W214&amp;":"&amp;R214,CoefficientsIndex,0))</f>
        <v>0</v>
      </c>
      <c r="AJ214">
        <f>INDEX(CoefficientsIntercept,MATCH(W214&amp;":"&amp;R214,CoefficientsIndex,0))</f>
        <v>0</v>
      </c>
      <c r="AK214">
        <f>AH214*S214+(T214-AC214)*AI214+AJ214</f>
        <v>0</v>
      </c>
      <c r="AL214">
        <f>IF(ISNUMBER(AG214),AG214,AK214)</f>
        <v>0</v>
      </c>
      <c r="AM214">
        <f>IF(ISNUMBER(AL214),IF(ISNUMBER(AH214),IF(AND(AH214=1,AI214=1,AJ214=1),100,MIN(99,ROUND(100*EXP(AL214)/(1+EXP(AL214)),2))),MIN(99,ROUND(100*EXP(AL214)/(1+EXP(AL214)),2))),IF(ISTEXT(R214),IF(LEFT(R214,1)="2",100,"N/A"),"N/A"))</f>
        <v>0</v>
      </c>
      <c r="AN214">
        <f>IF(ISNUMBER(AM214),IF(AM214&gt;=99,IF(OR(U214=10,U214=11),MatchLabel,SureThingLabel),IF(AM214&gt;=95,SecureLabel,IF(AM214&gt;=80,SafetyLabel,IF(AM214&gt;=50,MatchLabel,IF(AM214&gt;=20,ReachLabel,IF(AM214&gt;=10,LongshotLabel,HailMaryLabel)))))),"Other")</f>
        <v>0</v>
      </c>
      <c r="AO214">
        <f>IF(OR(I214="accepted",I214="cond. accept",I214="summer admit"),IF(J214="yes","CHOICE!","Accepted!"),IF(I214="guar. transfer","Guar. Xfer",IF(I214="denied","Denied",IF(K214=1,"Waitlist",IF(L214=1,"Deferred",IF(G214="pending","Pending",IF(OR(G214="initial materials submitted",G214="mid-year submitted",G214="final submitted"),"Submitted",IF(H214="interest","Interest","?"))))))))</f>
        <v>0</v>
      </c>
      <c r="AP214">
        <f>IF(OR(AN214=ReachLabel,AN214=LongshotLabel,AN214=HailMaryLabel),1,0)</f>
        <v>0</v>
      </c>
      <c r="AQ214">
        <f>IF(OR(AP214=1,AN214=MatchLabel),1,0)</f>
        <v>0</v>
      </c>
      <c r="AR214">
        <f>IF(OR(AN214=MatchLabel,AN214=SafetyLabel,AN214=SecureLabel,AN214=SureThingLabel),1,0)</f>
        <v>0</v>
      </c>
      <c r="AS214">
        <f>IF(OR(W214="H",W214="B",W214="I",W214="M"),IF(ISNUMBER(AB214),ROUND(AB214,2),0),IF(ISNUMBER(AA214),ROUND(AA214,2),0))</f>
        <v>0</v>
      </c>
      <c r="AT214">
        <f>IF(AS214&gt;=X214,1,0)</f>
        <v>0</v>
      </c>
      <c r="AU214">
        <f>IF(AS214&gt;=Y214,1,0)</f>
        <v>0</v>
      </c>
      <c r="AV214">
        <f>IF(AS214&lt;(X214-0.10),1,0)</f>
        <v>0</v>
      </c>
      <c r="AW214">
        <f>1-AM214/100</f>
        <v>0</v>
      </c>
      <c r="AX214">
        <f>IF(AQ214=1,AW214,1)</f>
        <v>0</v>
      </c>
      <c r="AY214">
        <f>IF(AP214=1,AW214,1)</f>
        <v>0</v>
      </c>
      <c r="AZ214">
        <f>IF(AND(AT214=1,ISNUMBER(AW214)),$AW214,1)</f>
        <v>0</v>
      </c>
      <c r="BA214">
        <f>IF(AND(AU214=1,ISNUMBER(AW214)),$AW214,1)</f>
        <v>0</v>
      </c>
      <c r="BB214">
        <f>IF(ISNUMBER(AB214),INDEX(AllCollegeMoney, MATCH(N214,AllCollegeNCES,0)),0)</f>
        <v>0</v>
      </c>
      <c r="BC214">
        <f>IF(AND(AT214=1,ISNUMBER(AW214),BB214=1),$AW214,1)</f>
        <v>0</v>
      </c>
      <c r="BD214">
        <f>IF(AND(AU214=1,ISNUMBER(AW214),BB214=1),$AW214,1)</f>
        <v>0</v>
      </c>
      <c r="BE214">
        <f>IF(ISNUMBER(AB214),INDEX(AllCollegeILPub, MATCH(N214,AllCollegeNCES,0)),0)</f>
        <v>0</v>
      </c>
      <c r="BF214">
        <f>IF(AN214=ReachLabel,AS214,0)</f>
        <v>0</v>
      </c>
      <c r="BG214">
        <f>IF(AN214=MatchLabel,AS214,0)</f>
        <v>0</v>
      </c>
      <c r="BH214">
        <f>IF(AN214=SafetyLabel,AS214,0)</f>
        <v>0</v>
      </c>
      <c r="BI214">
        <f>IF(AN214=SecureLabel,AS214,0)</f>
        <v>0</v>
      </c>
      <c r="BJ214">
        <f>IF(AN214=SureThingLabel,AS214,0)</f>
        <v>0</v>
      </c>
      <c r="BK214">
        <f>MAX(BF214:BJ214)</f>
        <v>0</v>
      </c>
      <c r="BL214">
        <f>MAX(BG214:BJ214)</f>
        <v>0</v>
      </c>
      <c r="BM214">
        <f>MAX(BH214:BJ214)</f>
        <v>0</v>
      </c>
      <c r="BN214">
        <f>IF(AND(AN214=ReachLabel,BB214=1),AS214,0)</f>
        <v>0</v>
      </c>
      <c r="BO214">
        <f>IF(AND(AN214=MatchLabel,BB214=1),AS214,0)</f>
        <v>0</v>
      </c>
      <c r="BP214">
        <f>IF(AND(AN214=SafetyLabel,BB214=1),AS214,0)</f>
        <v>0</v>
      </c>
      <c r="BQ214">
        <f>IF(AND(AN214=SecureLabel,BB214=1),AS214,0)</f>
        <v>0</v>
      </c>
      <c r="BR214">
        <f>IF(AND(AN214=SureThingLabel,BB214=1),AS214,0)</f>
        <v>0</v>
      </c>
      <c r="BS214">
        <f>MAX(BN214:BR214)</f>
        <v>0</v>
      </c>
      <c r="BT214">
        <f>MAX(BO214:BR214)</f>
        <v>0</v>
      </c>
      <c r="BU214">
        <f>MAX(BP214:BR214)</f>
        <v>0</v>
      </c>
      <c r="BV214">
        <f>IF(ISNUMBER(AB214),INDEX(AllCollegeChicago, MATCH(N214,AllCollegeNCES,0))*BB214,0)</f>
        <v>0</v>
      </c>
      <c r="BW214">
        <f>IF(ISNUMBER(AB214),INDEX(AllCollegeMoneyCode, MATCH(N214,AllCollegeNCES,0)),"?")</f>
        <v>0</v>
      </c>
      <c r="BX214">
        <f>IF(OR(BW214="---",BW214="--",BW214="+/--",BW214="+/---"),1,0)</f>
        <v>0</v>
      </c>
      <c r="BY214">
        <f>BB214*AR214*AT214</f>
        <v>0</v>
      </c>
    </row>
    <row r="215" spans="1:77">
      <c r="A215" t="s">
        <v>96</v>
      </c>
      <c r="B215">
        <v>22973265</v>
      </c>
      <c r="C215" t="s">
        <v>108</v>
      </c>
      <c r="D215" t="s">
        <v>109</v>
      </c>
      <c r="E215" t="s">
        <v>446</v>
      </c>
      <c r="F215" t="s">
        <v>465</v>
      </c>
      <c r="G215" t="s">
        <v>448</v>
      </c>
      <c r="H215" t="s">
        <v>449</v>
      </c>
      <c r="I215" t="s">
        <v>450</v>
      </c>
      <c r="J215" t="s">
        <v>450</v>
      </c>
      <c r="K215">
        <v>0</v>
      </c>
      <c r="L215" t="s">
        <v>446</v>
      </c>
      <c r="M215" t="s">
        <v>446</v>
      </c>
      <c r="N215">
        <v>145600</v>
      </c>
      <c r="O215">
        <f>INDEX(Counselor,MATCH(B215,KidIDs,0))</f>
        <v>0</v>
      </c>
      <c r="P215">
        <f>INDEX(Advisors,MATCH(B215,KidIDs,0))</f>
        <v>0</v>
      </c>
      <c r="Q215">
        <f>INDEX(Cohort,MATCH(B215,KidIDs,0))</f>
        <v>0</v>
      </c>
      <c r="R215">
        <f>INDEX(AllCollegeBarrons,MATCH(N215,AllCollegeNCES,0))</f>
        <v>0</v>
      </c>
      <c r="S215">
        <f>INDEX(KidGPAs,MATCH(B215,KidIDs,0))</f>
        <v>0</v>
      </c>
      <c r="T215">
        <f>INDEX(KidSATs,MATCH(B215,KidIDs,0))</f>
        <v>0</v>
      </c>
      <c r="U215">
        <f>INDEX(Strats,MATCH(B215,KidIDs,0))</f>
        <v>0</v>
      </c>
      <c r="V215">
        <f>INDEX(KidRace,MATCH(B215,KidIDs,0))</f>
        <v>0</v>
      </c>
      <c r="W215">
        <f>IF(OR(V215="M",V215="I"),"H",IF(V215="P","A",V215))</f>
        <v>0</v>
      </c>
      <c r="X215">
        <f>INDEX(StudentTargets,MATCH(B215,KidIDs,0))</f>
        <v>0</v>
      </c>
      <c r="Y215">
        <f>INDEX(ReachStudentTargets,MATCH(B215,KidIDs,0))</f>
        <v>0</v>
      </c>
      <c r="Z215">
        <f>IF(OR(M215="Posse"),1,0)</f>
        <v>0</v>
      </c>
      <c r="AA215">
        <f>IF(ISNUMBER(INDEX(AllCollegeGR, MATCH(N215,AllCollegeNCES,0))),ROUND(INDEX(AllCollegeGR, MATCH(N215,AllCollegeNCES,0))+Z215*IF(INDEX(AllCollegeGR, MATCH(N215,AllCollegeNCES,0))&gt;0.7,(1-INDEX(AllCollegeGR, MATCH(N215,AllCollegeNCES,0)))/2,0.15),2),INDEX(AllCollegeGR, MATCH(N215,AllCollegeNCES,0)))</f>
        <v>0</v>
      </c>
      <c r="AB215">
        <f>IF(ISNUMBER(INDEX(AllCollegeAAHGR, MATCH(N215,AllCollegeNCES,0))),ROUND(INDEX(AllCollegeAAHGR, MATCH(N215,AllCollegeNCES,0))+Z215*IF(INDEX(AllCollegeAAHGR, MATCH(N215,AllCollegeNCES,0))&gt;0.7,(1-INDEX(AllCollegeAAHGR, MATCH(N215,AllCollegeNCES,0)))/2,0.15),2),INDEX(AllCollegeAAHGR, MATCH(N215,AllCollegeNCES,0)))</f>
        <v>0</v>
      </c>
      <c r="AC215">
        <f>IF(OR(W215="H",W215="B"),INDEX(AllCollegeSAT25, MATCH(N215,AllCollegeNCES,0)),INDEX(AllCollegeSAT50, MATCH(N215,AllCollegeNCES,0)))</f>
        <v>0</v>
      </c>
      <c r="AD215">
        <f>INDEX(CustomWeightsGPA,MATCH(W215&amp;":"&amp;N215,CustomWeightsIndex,0))</f>
        <v>0</v>
      </c>
      <c r="AE215">
        <f>INDEX(CustomWeightsSAT,MATCH(W215&amp;":"&amp;N215,CustomWeightsIndex,0))</f>
        <v>0</v>
      </c>
      <c r="AF215">
        <f>INDEX(CustomWeightsIntercept,MATCH(W215&amp;":"&amp;N215,CustomWeightsIndex,0))</f>
        <v>0</v>
      </c>
      <c r="AG215">
        <f>AD215*S215+AE215*T215+AF215</f>
        <v>0</v>
      </c>
      <c r="AH215">
        <f>INDEX(CoefficientsGPA,MATCH(W215&amp;":"&amp;R215,CoefficientsIndex,0))</f>
        <v>0</v>
      </c>
      <c r="AI215">
        <f>INDEX(CoefficientsSAT,MATCH(W215&amp;":"&amp;R215,CoefficientsIndex,0))</f>
        <v>0</v>
      </c>
      <c r="AJ215">
        <f>INDEX(CoefficientsIntercept,MATCH(W215&amp;":"&amp;R215,CoefficientsIndex,0))</f>
        <v>0</v>
      </c>
      <c r="AK215">
        <f>AH215*S215+(T215-AC215)*AI215+AJ215</f>
        <v>0</v>
      </c>
      <c r="AL215">
        <f>IF(ISNUMBER(AG215),AG215,AK215)</f>
        <v>0</v>
      </c>
      <c r="AM215">
        <f>IF(ISNUMBER(AL215),IF(ISNUMBER(AH215),IF(AND(AH215=1,AI215=1,AJ215=1),100,MIN(99,ROUND(100*EXP(AL215)/(1+EXP(AL215)),2))),MIN(99,ROUND(100*EXP(AL215)/(1+EXP(AL215)),2))),IF(ISTEXT(R215),IF(LEFT(R215,1)="2",100,"N/A"),"N/A"))</f>
        <v>0</v>
      </c>
      <c r="AN215">
        <f>IF(ISNUMBER(AM215),IF(AM215&gt;=99,IF(OR(U215=10,U215=11),MatchLabel,SureThingLabel),IF(AM215&gt;=95,SecureLabel,IF(AM215&gt;=80,SafetyLabel,IF(AM215&gt;=50,MatchLabel,IF(AM215&gt;=20,ReachLabel,IF(AM215&gt;=10,LongshotLabel,HailMaryLabel)))))),"Other")</f>
        <v>0</v>
      </c>
      <c r="AO215">
        <f>IF(OR(I215="accepted",I215="cond. accept",I215="summer admit"),IF(J215="yes","CHOICE!","Accepted!"),IF(I215="guar. transfer","Guar. Xfer",IF(I215="denied","Denied",IF(K215=1,"Waitlist",IF(L215=1,"Deferred",IF(G215="pending","Pending",IF(OR(G215="initial materials submitted",G215="mid-year submitted",G215="final submitted"),"Submitted",IF(H215="interest","Interest","?"))))))))</f>
        <v>0</v>
      </c>
      <c r="AP215">
        <f>IF(OR(AN215=ReachLabel,AN215=LongshotLabel,AN215=HailMaryLabel),1,0)</f>
        <v>0</v>
      </c>
      <c r="AQ215">
        <f>IF(OR(AP215=1,AN215=MatchLabel),1,0)</f>
        <v>0</v>
      </c>
      <c r="AR215">
        <f>IF(OR(AN215=MatchLabel,AN215=SafetyLabel,AN215=SecureLabel,AN215=SureThingLabel),1,0)</f>
        <v>0</v>
      </c>
      <c r="AS215">
        <f>IF(OR(W215="H",W215="B",W215="I",W215="M"),IF(ISNUMBER(AB215),ROUND(AB215,2),0),IF(ISNUMBER(AA215),ROUND(AA215,2),0))</f>
        <v>0</v>
      </c>
      <c r="AT215">
        <f>IF(AS215&gt;=X215,1,0)</f>
        <v>0</v>
      </c>
      <c r="AU215">
        <f>IF(AS215&gt;=Y215,1,0)</f>
        <v>0</v>
      </c>
      <c r="AV215">
        <f>IF(AS215&lt;(X215-0.10),1,0)</f>
        <v>0</v>
      </c>
      <c r="AW215">
        <f>1-AM215/100</f>
        <v>0</v>
      </c>
      <c r="AX215">
        <f>IF(AQ215=1,AW215,1)</f>
        <v>0</v>
      </c>
      <c r="AY215">
        <f>IF(AP215=1,AW215,1)</f>
        <v>0</v>
      </c>
      <c r="AZ215">
        <f>IF(AND(AT215=1,ISNUMBER(AW215)),$AW215,1)</f>
        <v>0</v>
      </c>
      <c r="BA215">
        <f>IF(AND(AU215=1,ISNUMBER(AW215)),$AW215,1)</f>
        <v>0</v>
      </c>
      <c r="BB215">
        <f>IF(ISNUMBER(AB215),INDEX(AllCollegeMoney, MATCH(N215,AllCollegeNCES,0)),0)</f>
        <v>0</v>
      </c>
      <c r="BC215">
        <f>IF(AND(AT215=1,ISNUMBER(AW215),BB215=1),$AW215,1)</f>
        <v>0</v>
      </c>
      <c r="BD215">
        <f>IF(AND(AU215=1,ISNUMBER(AW215),BB215=1),$AW215,1)</f>
        <v>0</v>
      </c>
      <c r="BE215">
        <f>IF(ISNUMBER(AB215),INDEX(AllCollegeILPub, MATCH(N215,AllCollegeNCES,0)),0)</f>
        <v>0</v>
      </c>
      <c r="BF215">
        <f>IF(AN215=ReachLabel,AS215,0)</f>
        <v>0</v>
      </c>
      <c r="BG215">
        <f>IF(AN215=MatchLabel,AS215,0)</f>
        <v>0</v>
      </c>
      <c r="BH215">
        <f>IF(AN215=SafetyLabel,AS215,0)</f>
        <v>0</v>
      </c>
      <c r="BI215">
        <f>IF(AN215=SecureLabel,AS215,0)</f>
        <v>0</v>
      </c>
      <c r="BJ215">
        <f>IF(AN215=SureThingLabel,AS215,0)</f>
        <v>0</v>
      </c>
      <c r="BK215">
        <f>MAX(BF215:BJ215)</f>
        <v>0</v>
      </c>
      <c r="BL215">
        <f>MAX(BG215:BJ215)</f>
        <v>0</v>
      </c>
      <c r="BM215">
        <f>MAX(BH215:BJ215)</f>
        <v>0</v>
      </c>
      <c r="BN215">
        <f>IF(AND(AN215=ReachLabel,BB215=1),AS215,0)</f>
        <v>0</v>
      </c>
      <c r="BO215">
        <f>IF(AND(AN215=MatchLabel,BB215=1),AS215,0)</f>
        <v>0</v>
      </c>
      <c r="BP215">
        <f>IF(AND(AN215=SafetyLabel,BB215=1),AS215,0)</f>
        <v>0</v>
      </c>
      <c r="BQ215">
        <f>IF(AND(AN215=SecureLabel,BB215=1),AS215,0)</f>
        <v>0</v>
      </c>
      <c r="BR215">
        <f>IF(AND(AN215=SureThingLabel,BB215=1),AS215,0)</f>
        <v>0</v>
      </c>
      <c r="BS215">
        <f>MAX(BN215:BR215)</f>
        <v>0</v>
      </c>
      <c r="BT215">
        <f>MAX(BO215:BR215)</f>
        <v>0</v>
      </c>
      <c r="BU215">
        <f>MAX(BP215:BR215)</f>
        <v>0</v>
      </c>
      <c r="BV215">
        <f>IF(ISNUMBER(AB215),INDEX(AllCollegeChicago, MATCH(N215,AllCollegeNCES,0))*BB215,0)</f>
        <v>0</v>
      </c>
      <c r="BW215">
        <f>IF(ISNUMBER(AB215),INDEX(AllCollegeMoneyCode, MATCH(N215,AllCollegeNCES,0)),"?")</f>
        <v>0</v>
      </c>
      <c r="BX215">
        <f>IF(OR(BW215="---",BW215="--",BW215="+/--",BW215="+/---"),1,0)</f>
        <v>0</v>
      </c>
      <c r="BY215">
        <f>BB215*AR215*AT215</f>
        <v>0</v>
      </c>
    </row>
    <row r="216" spans="1:77">
      <c r="A216" t="s">
        <v>96</v>
      </c>
      <c r="B216">
        <v>22973265</v>
      </c>
      <c r="C216" t="s">
        <v>108</v>
      </c>
      <c r="D216" t="s">
        <v>109</v>
      </c>
      <c r="E216" t="s">
        <v>446</v>
      </c>
      <c r="F216" t="s">
        <v>519</v>
      </c>
      <c r="G216" t="s">
        <v>448</v>
      </c>
      <c r="H216" t="s">
        <v>449</v>
      </c>
      <c r="I216" t="s">
        <v>450</v>
      </c>
      <c r="J216" t="s">
        <v>450</v>
      </c>
      <c r="K216">
        <v>0</v>
      </c>
      <c r="L216" t="s">
        <v>446</v>
      </c>
      <c r="M216" t="s">
        <v>446</v>
      </c>
      <c r="N216">
        <v>145813</v>
      </c>
      <c r="O216">
        <f>INDEX(Counselor,MATCH(B216,KidIDs,0))</f>
        <v>0</v>
      </c>
      <c r="P216">
        <f>INDEX(Advisors,MATCH(B216,KidIDs,0))</f>
        <v>0</v>
      </c>
      <c r="Q216">
        <f>INDEX(Cohort,MATCH(B216,KidIDs,0))</f>
        <v>0</v>
      </c>
      <c r="R216">
        <f>INDEX(AllCollegeBarrons,MATCH(N216,AllCollegeNCES,0))</f>
        <v>0</v>
      </c>
      <c r="S216">
        <f>INDEX(KidGPAs,MATCH(B216,KidIDs,0))</f>
        <v>0</v>
      </c>
      <c r="T216">
        <f>INDEX(KidSATs,MATCH(B216,KidIDs,0))</f>
        <v>0</v>
      </c>
      <c r="U216">
        <f>INDEX(Strats,MATCH(B216,KidIDs,0))</f>
        <v>0</v>
      </c>
      <c r="V216">
        <f>INDEX(KidRace,MATCH(B216,KidIDs,0))</f>
        <v>0</v>
      </c>
      <c r="W216">
        <f>IF(OR(V216="M",V216="I"),"H",IF(V216="P","A",V216))</f>
        <v>0</v>
      </c>
      <c r="X216">
        <f>INDEX(StudentTargets,MATCH(B216,KidIDs,0))</f>
        <v>0</v>
      </c>
      <c r="Y216">
        <f>INDEX(ReachStudentTargets,MATCH(B216,KidIDs,0))</f>
        <v>0</v>
      </c>
      <c r="Z216">
        <f>IF(OR(M216="Posse"),1,0)</f>
        <v>0</v>
      </c>
      <c r="AA216">
        <f>IF(ISNUMBER(INDEX(AllCollegeGR, MATCH(N216,AllCollegeNCES,0))),ROUND(INDEX(AllCollegeGR, MATCH(N216,AllCollegeNCES,0))+Z216*IF(INDEX(AllCollegeGR, MATCH(N216,AllCollegeNCES,0))&gt;0.7,(1-INDEX(AllCollegeGR, MATCH(N216,AllCollegeNCES,0)))/2,0.15),2),INDEX(AllCollegeGR, MATCH(N216,AllCollegeNCES,0)))</f>
        <v>0</v>
      </c>
      <c r="AB216">
        <f>IF(ISNUMBER(INDEX(AllCollegeAAHGR, MATCH(N216,AllCollegeNCES,0))),ROUND(INDEX(AllCollegeAAHGR, MATCH(N216,AllCollegeNCES,0))+Z216*IF(INDEX(AllCollegeAAHGR, MATCH(N216,AllCollegeNCES,0))&gt;0.7,(1-INDEX(AllCollegeAAHGR, MATCH(N216,AllCollegeNCES,0)))/2,0.15),2),INDEX(AllCollegeAAHGR, MATCH(N216,AllCollegeNCES,0)))</f>
        <v>0</v>
      </c>
      <c r="AC216">
        <f>IF(OR(W216="H",W216="B"),INDEX(AllCollegeSAT25, MATCH(N216,AllCollegeNCES,0)),INDEX(AllCollegeSAT50, MATCH(N216,AllCollegeNCES,0)))</f>
        <v>0</v>
      </c>
      <c r="AD216">
        <f>INDEX(CustomWeightsGPA,MATCH(W216&amp;":"&amp;N216,CustomWeightsIndex,0))</f>
        <v>0</v>
      </c>
      <c r="AE216">
        <f>INDEX(CustomWeightsSAT,MATCH(W216&amp;":"&amp;N216,CustomWeightsIndex,0))</f>
        <v>0</v>
      </c>
      <c r="AF216">
        <f>INDEX(CustomWeightsIntercept,MATCH(W216&amp;":"&amp;N216,CustomWeightsIndex,0))</f>
        <v>0</v>
      </c>
      <c r="AG216">
        <f>AD216*S216+AE216*T216+AF216</f>
        <v>0</v>
      </c>
      <c r="AH216">
        <f>INDEX(CoefficientsGPA,MATCH(W216&amp;":"&amp;R216,CoefficientsIndex,0))</f>
        <v>0</v>
      </c>
      <c r="AI216">
        <f>INDEX(CoefficientsSAT,MATCH(W216&amp;":"&amp;R216,CoefficientsIndex,0))</f>
        <v>0</v>
      </c>
      <c r="AJ216">
        <f>INDEX(CoefficientsIntercept,MATCH(W216&amp;":"&amp;R216,CoefficientsIndex,0))</f>
        <v>0</v>
      </c>
      <c r="AK216">
        <f>AH216*S216+(T216-AC216)*AI216+AJ216</f>
        <v>0</v>
      </c>
      <c r="AL216">
        <f>IF(ISNUMBER(AG216),AG216,AK216)</f>
        <v>0</v>
      </c>
      <c r="AM216">
        <f>IF(ISNUMBER(AL216),IF(ISNUMBER(AH216),IF(AND(AH216=1,AI216=1,AJ216=1),100,MIN(99,ROUND(100*EXP(AL216)/(1+EXP(AL216)),2))),MIN(99,ROUND(100*EXP(AL216)/(1+EXP(AL216)),2))),IF(ISTEXT(R216),IF(LEFT(R216,1)="2",100,"N/A"),"N/A"))</f>
        <v>0</v>
      </c>
      <c r="AN216">
        <f>IF(ISNUMBER(AM216),IF(AM216&gt;=99,IF(OR(U216=10,U216=11),MatchLabel,SureThingLabel),IF(AM216&gt;=95,SecureLabel,IF(AM216&gt;=80,SafetyLabel,IF(AM216&gt;=50,MatchLabel,IF(AM216&gt;=20,ReachLabel,IF(AM216&gt;=10,LongshotLabel,HailMaryLabel)))))),"Other")</f>
        <v>0</v>
      </c>
      <c r="AO216">
        <f>IF(OR(I216="accepted",I216="cond. accept",I216="summer admit"),IF(J216="yes","CHOICE!","Accepted!"),IF(I216="guar. transfer","Guar. Xfer",IF(I216="denied","Denied",IF(K216=1,"Waitlist",IF(L216=1,"Deferred",IF(G216="pending","Pending",IF(OR(G216="initial materials submitted",G216="mid-year submitted",G216="final submitted"),"Submitted",IF(H216="interest","Interest","?"))))))))</f>
        <v>0</v>
      </c>
      <c r="AP216">
        <f>IF(OR(AN216=ReachLabel,AN216=LongshotLabel,AN216=HailMaryLabel),1,0)</f>
        <v>0</v>
      </c>
      <c r="AQ216">
        <f>IF(OR(AP216=1,AN216=MatchLabel),1,0)</f>
        <v>0</v>
      </c>
      <c r="AR216">
        <f>IF(OR(AN216=MatchLabel,AN216=SafetyLabel,AN216=SecureLabel,AN216=SureThingLabel),1,0)</f>
        <v>0</v>
      </c>
      <c r="AS216">
        <f>IF(OR(W216="H",W216="B",W216="I",W216="M"),IF(ISNUMBER(AB216),ROUND(AB216,2),0),IF(ISNUMBER(AA216),ROUND(AA216,2),0))</f>
        <v>0</v>
      </c>
      <c r="AT216">
        <f>IF(AS216&gt;=X216,1,0)</f>
        <v>0</v>
      </c>
      <c r="AU216">
        <f>IF(AS216&gt;=Y216,1,0)</f>
        <v>0</v>
      </c>
      <c r="AV216">
        <f>IF(AS216&lt;(X216-0.10),1,0)</f>
        <v>0</v>
      </c>
      <c r="AW216">
        <f>1-AM216/100</f>
        <v>0</v>
      </c>
      <c r="AX216">
        <f>IF(AQ216=1,AW216,1)</f>
        <v>0</v>
      </c>
      <c r="AY216">
        <f>IF(AP216=1,AW216,1)</f>
        <v>0</v>
      </c>
      <c r="AZ216">
        <f>IF(AND(AT216=1,ISNUMBER(AW216)),$AW216,1)</f>
        <v>0</v>
      </c>
      <c r="BA216">
        <f>IF(AND(AU216=1,ISNUMBER(AW216)),$AW216,1)</f>
        <v>0</v>
      </c>
      <c r="BB216">
        <f>IF(ISNUMBER(AB216),INDEX(AllCollegeMoney, MATCH(N216,AllCollegeNCES,0)),0)</f>
        <v>0</v>
      </c>
      <c r="BC216">
        <f>IF(AND(AT216=1,ISNUMBER(AW216),BB216=1),$AW216,1)</f>
        <v>0</v>
      </c>
      <c r="BD216">
        <f>IF(AND(AU216=1,ISNUMBER(AW216),BB216=1),$AW216,1)</f>
        <v>0</v>
      </c>
      <c r="BE216">
        <f>IF(ISNUMBER(AB216),INDEX(AllCollegeILPub, MATCH(N216,AllCollegeNCES,0)),0)</f>
        <v>0</v>
      </c>
      <c r="BF216">
        <f>IF(AN216=ReachLabel,AS216,0)</f>
        <v>0</v>
      </c>
      <c r="BG216">
        <f>IF(AN216=MatchLabel,AS216,0)</f>
        <v>0</v>
      </c>
      <c r="BH216">
        <f>IF(AN216=SafetyLabel,AS216,0)</f>
        <v>0</v>
      </c>
      <c r="BI216">
        <f>IF(AN216=SecureLabel,AS216,0)</f>
        <v>0</v>
      </c>
      <c r="BJ216">
        <f>IF(AN216=SureThingLabel,AS216,0)</f>
        <v>0</v>
      </c>
      <c r="BK216">
        <f>MAX(BF216:BJ216)</f>
        <v>0</v>
      </c>
      <c r="BL216">
        <f>MAX(BG216:BJ216)</f>
        <v>0</v>
      </c>
      <c r="BM216">
        <f>MAX(BH216:BJ216)</f>
        <v>0</v>
      </c>
      <c r="BN216">
        <f>IF(AND(AN216=ReachLabel,BB216=1),AS216,0)</f>
        <v>0</v>
      </c>
      <c r="BO216">
        <f>IF(AND(AN216=MatchLabel,BB216=1),AS216,0)</f>
        <v>0</v>
      </c>
      <c r="BP216">
        <f>IF(AND(AN216=SafetyLabel,BB216=1),AS216,0)</f>
        <v>0</v>
      </c>
      <c r="BQ216">
        <f>IF(AND(AN216=SecureLabel,BB216=1),AS216,0)</f>
        <v>0</v>
      </c>
      <c r="BR216">
        <f>IF(AND(AN216=SureThingLabel,BB216=1),AS216,0)</f>
        <v>0</v>
      </c>
      <c r="BS216">
        <f>MAX(BN216:BR216)</f>
        <v>0</v>
      </c>
      <c r="BT216">
        <f>MAX(BO216:BR216)</f>
        <v>0</v>
      </c>
      <c r="BU216">
        <f>MAX(BP216:BR216)</f>
        <v>0</v>
      </c>
      <c r="BV216">
        <f>IF(ISNUMBER(AB216),INDEX(AllCollegeChicago, MATCH(N216,AllCollegeNCES,0))*BB216,0)</f>
        <v>0</v>
      </c>
      <c r="BW216">
        <f>IF(ISNUMBER(AB216),INDEX(AllCollegeMoneyCode, MATCH(N216,AllCollegeNCES,0)),"?")</f>
        <v>0</v>
      </c>
      <c r="BX216">
        <f>IF(OR(BW216="---",BW216="--",BW216="+/--",BW216="+/---"),1,0)</f>
        <v>0</v>
      </c>
      <c r="BY216">
        <f>BB216*AR216*AT216</f>
        <v>0</v>
      </c>
    </row>
    <row r="217" spans="1:77">
      <c r="A217" t="s">
        <v>96</v>
      </c>
      <c r="B217">
        <v>22973265</v>
      </c>
      <c r="C217" t="s">
        <v>108</v>
      </c>
      <c r="D217" t="s">
        <v>109</v>
      </c>
      <c r="E217" t="s">
        <v>446</v>
      </c>
      <c r="F217" t="s">
        <v>529</v>
      </c>
      <c r="G217" t="s">
        <v>479</v>
      </c>
      <c r="H217" t="s">
        <v>449</v>
      </c>
      <c r="I217" t="s">
        <v>450</v>
      </c>
      <c r="J217" t="s">
        <v>450</v>
      </c>
      <c r="K217">
        <v>0</v>
      </c>
      <c r="L217" t="s">
        <v>446</v>
      </c>
      <c r="M217" t="s">
        <v>446</v>
      </c>
      <c r="N217">
        <v>145691</v>
      </c>
      <c r="O217">
        <f>INDEX(Counselor,MATCH(B217,KidIDs,0))</f>
        <v>0</v>
      </c>
      <c r="P217">
        <f>INDEX(Advisors,MATCH(B217,KidIDs,0))</f>
        <v>0</v>
      </c>
      <c r="Q217">
        <f>INDEX(Cohort,MATCH(B217,KidIDs,0))</f>
        <v>0</v>
      </c>
      <c r="R217">
        <f>INDEX(AllCollegeBarrons,MATCH(N217,AllCollegeNCES,0))</f>
        <v>0</v>
      </c>
      <c r="S217">
        <f>INDEX(KidGPAs,MATCH(B217,KidIDs,0))</f>
        <v>0</v>
      </c>
      <c r="T217">
        <f>INDEX(KidSATs,MATCH(B217,KidIDs,0))</f>
        <v>0</v>
      </c>
      <c r="U217">
        <f>INDEX(Strats,MATCH(B217,KidIDs,0))</f>
        <v>0</v>
      </c>
      <c r="V217">
        <f>INDEX(KidRace,MATCH(B217,KidIDs,0))</f>
        <v>0</v>
      </c>
      <c r="W217">
        <f>IF(OR(V217="M",V217="I"),"H",IF(V217="P","A",V217))</f>
        <v>0</v>
      </c>
      <c r="X217">
        <f>INDEX(StudentTargets,MATCH(B217,KidIDs,0))</f>
        <v>0</v>
      </c>
      <c r="Y217">
        <f>INDEX(ReachStudentTargets,MATCH(B217,KidIDs,0))</f>
        <v>0</v>
      </c>
      <c r="Z217">
        <f>IF(OR(M217="Posse"),1,0)</f>
        <v>0</v>
      </c>
      <c r="AA217">
        <f>IF(ISNUMBER(INDEX(AllCollegeGR, MATCH(N217,AllCollegeNCES,0))),ROUND(INDEX(AllCollegeGR, MATCH(N217,AllCollegeNCES,0))+Z217*IF(INDEX(AllCollegeGR, MATCH(N217,AllCollegeNCES,0))&gt;0.7,(1-INDEX(AllCollegeGR, MATCH(N217,AllCollegeNCES,0)))/2,0.15),2),INDEX(AllCollegeGR, MATCH(N217,AllCollegeNCES,0)))</f>
        <v>0</v>
      </c>
      <c r="AB217">
        <f>IF(ISNUMBER(INDEX(AllCollegeAAHGR, MATCH(N217,AllCollegeNCES,0))),ROUND(INDEX(AllCollegeAAHGR, MATCH(N217,AllCollegeNCES,0))+Z217*IF(INDEX(AllCollegeAAHGR, MATCH(N217,AllCollegeNCES,0))&gt;0.7,(1-INDEX(AllCollegeAAHGR, MATCH(N217,AllCollegeNCES,0)))/2,0.15),2),INDEX(AllCollegeAAHGR, MATCH(N217,AllCollegeNCES,0)))</f>
        <v>0</v>
      </c>
      <c r="AC217">
        <f>IF(OR(W217="H",W217="B"),INDEX(AllCollegeSAT25, MATCH(N217,AllCollegeNCES,0)),INDEX(AllCollegeSAT50, MATCH(N217,AllCollegeNCES,0)))</f>
        <v>0</v>
      </c>
      <c r="AD217">
        <f>INDEX(CustomWeightsGPA,MATCH(W217&amp;":"&amp;N217,CustomWeightsIndex,0))</f>
        <v>0</v>
      </c>
      <c r="AE217">
        <f>INDEX(CustomWeightsSAT,MATCH(W217&amp;":"&amp;N217,CustomWeightsIndex,0))</f>
        <v>0</v>
      </c>
      <c r="AF217">
        <f>INDEX(CustomWeightsIntercept,MATCH(W217&amp;":"&amp;N217,CustomWeightsIndex,0))</f>
        <v>0</v>
      </c>
      <c r="AG217">
        <f>AD217*S217+AE217*T217+AF217</f>
        <v>0</v>
      </c>
      <c r="AH217">
        <f>INDEX(CoefficientsGPA,MATCH(W217&amp;":"&amp;R217,CoefficientsIndex,0))</f>
        <v>0</v>
      </c>
      <c r="AI217">
        <f>INDEX(CoefficientsSAT,MATCH(W217&amp;":"&amp;R217,CoefficientsIndex,0))</f>
        <v>0</v>
      </c>
      <c r="AJ217">
        <f>INDEX(CoefficientsIntercept,MATCH(W217&amp;":"&amp;R217,CoefficientsIndex,0))</f>
        <v>0</v>
      </c>
      <c r="AK217">
        <f>AH217*S217+(T217-AC217)*AI217+AJ217</f>
        <v>0</v>
      </c>
      <c r="AL217">
        <f>IF(ISNUMBER(AG217),AG217,AK217)</f>
        <v>0</v>
      </c>
      <c r="AM217">
        <f>IF(ISNUMBER(AL217),IF(ISNUMBER(AH217),IF(AND(AH217=1,AI217=1,AJ217=1),100,MIN(99,ROUND(100*EXP(AL217)/(1+EXP(AL217)),2))),MIN(99,ROUND(100*EXP(AL217)/(1+EXP(AL217)),2))),IF(ISTEXT(R217),IF(LEFT(R217,1)="2",100,"N/A"),"N/A"))</f>
        <v>0</v>
      </c>
      <c r="AN217">
        <f>IF(ISNUMBER(AM217),IF(AM217&gt;=99,IF(OR(U217=10,U217=11),MatchLabel,SureThingLabel),IF(AM217&gt;=95,SecureLabel,IF(AM217&gt;=80,SafetyLabel,IF(AM217&gt;=50,MatchLabel,IF(AM217&gt;=20,ReachLabel,IF(AM217&gt;=10,LongshotLabel,HailMaryLabel)))))),"Other")</f>
        <v>0</v>
      </c>
      <c r="AO217">
        <f>IF(OR(I217="accepted",I217="cond. accept",I217="summer admit"),IF(J217="yes","CHOICE!","Accepted!"),IF(I217="guar. transfer","Guar. Xfer",IF(I217="denied","Denied",IF(K217=1,"Waitlist",IF(L217=1,"Deferred",IF(G217="pending","Pending",IF(OR(G217="initial materials submitted",G217="mid-year submitted",G217="final submitted"),"Submitted",IF(H217="interest","Interest","?"))))))))</f>
        <v>0</v>
      </c>
      <c r="AP217">
        <f>IF(OR(AN217=ReachLabel,AN217=LongshotLabel,AN217=HailMaryLabel),1,0)</f>
        <v>0</v>
      </c>
      <c r="AQ217">
        <f>IF(OR(AP217=1,AN217=MatchLabel),1,0)</f>
        <v>0</v>
      </c>
      <c r="AR217">
        <f>IF(OR(AN217=MatchLabel,AN217=SafetyLabel,AN217=SecureLabel,AN217=SureThingLabel),1,0)</f>
        <v>0</v>
      </c>
      <c r="AS217">
        <f>IF(OR(W217="H",W217="B",W217="I",W217="M"),IF(ISNUMBER(AB217),ROUND(AB217,2),0),IF(ISNUMBER(AA217),ROUND(AA217,2),0))</f>
        <v>0</v>
      </c>
      <c r="AT217">
        <f>IF(AS217&gt;=X217,1,0)</f>
        <v>0</v>
      </c>
      <c r="AU217">
        <f>IF(AS217&gt;=Y217,1,0)</f>
        <v>0</v>
      </c>
      <c r="AV217">
        <f>IF(AS217&lt;(X217-0.10),1,0)</f>
        <v>0</v>
      </c>
      <c r="AW217">
        <f>1-AM217/100</f>
        <v>0</v>
      </c>
      <c r="AX217">
        <f>IF(AQ217=1,AW217,1)</f>
        <v>0</v>
      </c>
      <c r="AY217">
        <f>IF(AP217=1,AW217,1)</f>
        <v>0</v>
      </c>
      <c r="AZ217">
        <f>IF(AND(AT217=1,ISNUMBER(AW217)),$AW217,1)</f>
        <v>0</v>
      </c>
      <c r="BA217">
        <f>IF(AND(AU217=1,ISNUMBER(AW217)),$AW217,1)</f>
        <v>0</v>
      </c>
      <c r="BB217">
        <f>IF(ISNUMBER(AB217),INDEX(AllCollegeMoney, MATCH(N217,AllCollegeNCES,0)),0)</f>
        <v>0</v>
      </c>
      <c r="BC217">
        <f>IF(AND(AT217=1,ISNUMBER(AW217),BB217=1),$AW217,1)</f>
        <v>0</v>
      </c>
      <c r="BD217">
        <f>IF(AND(AU217=1,ISNUMBER(AW217),BB217=1),$AW217,1)</f>
        <v>0</v>
      </c>
      <c r="BE217">
        <f>IF(ISNUMBER(AB217),INDEX(AllCollegeILPub, MATCH(N217,AllCollegeNCES,0)),0)</f>
        <v>0</v>
      </c>
      <c r="BF217">
        <f>IF(AN217=ReachLabel,AS217,0)</f>
        <v>0</v>
      </c>
      <c r="BG217">
        <f>IF(AN217=MatchLabel,AS217,0)</f>
        <v>0</v>
      </c>
      <c r="BH217">
        <f>IF(AN217=SafetyLabel,AS217,0)</f>
        <v>0</v>
      </c>
      <c r="BI217">
        <f>IF(AN217=SecureLabel,AS217,0)</f>
        <v>0</v>
      </c>
      <c r="BJ217">
        <f>IF(AN217=SureThingLabel,AS217,0)</f>
        <v>0</v>
      </c>
      <c r="BK217">
        <f>MAX(BF217:BJ217)</f>
        <v>0</v>
      </c>
      <c r="BL217">
        <f>MAX(BG217:BJ217)</f>
        <v>0</v>
      </c>
      <c r="BM217">
        <f>MAX(BH217:BJ217)</f>
        <v>0</v>
      </c>
      <c r="BN217">
        <f>IF(AND(AN217=ReachLabel,BB217=1),AS217,0)</f>
        <v>0</v>
      </c>
      <c r="BO217">
        <f>IF(AND(AN217=MatchLabel,BB217=1),AS217,0)</f>
        <v>0</v>
      </c>
      <c r="BP217">
        <f>IF(AND(AN217=SafetyLabel,BB217=1),AS217,0)</f>
        <v>0</v>
      </c>
      <c r="BQ217">
        <f>IF(AND(AN217=SecureLabel,BB217=1),AS217,0)</f>
        <v>0</v>
      </c>
      <c r="BR217">
        <f>IF(AND(AN217=SureThingLabel,BB217=1),AS217,0)</f>
        <v>0</v>
      </c>
      <c r="BS217">
        <f>MAX(BN217:BR217)</f>
        <v>0</v>
      </c>
      <c r="BT217">
        <f>MAX(BO217:BR217)</f>
        <v>0</v>
      </c>
      <c r="BU217">
        <f>MAX(BP217:BR217)</f>
        <v>0</v>
      </c>
      <c r="BV217">
        <f>IF(ISNUMBER(AB217),INDEX(AllCollegeChicago, MATCH(N217,AllCollegeNCES,0))*BB217,0)</f>
        <v>0</v>
      </c>
      <c r="BW217">
        <f>IF(ISNUMBER(AB217),INDEX(AllCollegeMoneyCode, MATCH(N217,AllCollegeNCES,0)),"?")</f>
        <v>0</v>
      </c>
      <c r="BX217">
        <f>IF(OR(BW217="---",BW217="--",BW217="+/--",BW217="+/---"),1,0)</f>
        <v>0</v>
      </c>
      <c r="BY217">
        <f>BB217*AR217*AT217</f>
        <v>0</v>
      </c>
    </row>
    <row r="218" spans="1:77">
      <c r="A218" t="s">
        <v>96</v>
      </c>
      <c r="B218">
        <v>22973265</v>
      </c>
      <c r="C218" t="s">
        <v>108</v>
      </c>
      <c r="D218" t="s">
        <v>109</v>
      </c>
      <c r="E218" t="s">
        <v>446</v>
      </c>
      <c r="F218" t="s">
        <v>453</v>
      </c>
      <c r="G218" t="s">
        <v>479</v>
      </c>
      <c r="H218" t="s">
        <v>449</v>
      </c>
      <c r="I218" t="s">
        <v>450</v>
      </c>
      <c r="J218" t="s">
        <v>450</v>
      </c>
      <c r="K218">
        <v>0</v>
      </c>
      <c r="L218" t="s">
        <v>446</v>
      </c>
      <c r="M218" t="s">
        <v>454</v>
      </c>
      <c r="N218">
        <v>150774</v>
      </c>
      <c r="O218">
        <f>INDEX(Counselor,MATCH(B218,KidIDs,0))</f>
        <v>0</v>
      </c>
      <c r="P218">
        <f>INDEX(Advisors,MATCH(B218,KidIDs,0))</f>
        <v>0</v>
      </c>
      <c r="Q218">
        <f>INDEX(Cohort,MATCH(B218,KidIDs,0))</f>
        <v>0</v>
      </c>
      <c r="R218">
        <f>INDEX(AllCollegeBarrons,MATCH(N218,AllCollegeNCES,0))</f>
        <v>0</v>
      </c>
      <c r="S218">
        <f>INDEX(KidGPAs,MATCH(B218,KidIDs,0))</f>
        <v>0</v>
      </c>
      <c r="T218">
        <f>INDEX(KidSATs,MATCH(B218,KidIDs,0))</f>
        <v>0</v>
      </c>
      <c r="U218">
        <f>INDEX(Strats,MATCH(B218,KidIDs,0))</f>
        <v>0</v>
      </c>
      <c r="V218">
        <f>INDEX(KidRace,MATCH(B218,KidIDs,0))</f>
        <v>0</v>
      </c>
      <c r="W218">
        <f>IF(OR(V218="M",V218="I"),"H",IF(V218="P","A",V218))</f>
        <v>0</v>
      </c>
      <c r="X218">
        <f>INDEX(StudentTargets,MATCH(B218,KidIDs,0))</f>
        <v>0</v>
      </c>
      <c r="Y218">
        <f>INDEX(ReachStudentTargets,MATCH(B218,KidIDs,0))</f>
        <v>0</v>
      </c>
      <c r="Z218">
        <f>IF(OR(M218="Posse"),1,0)</f>
        <v>0</v>
      </c>
      <c r="AA218">
        <f>IF(ISNUMBER(INDEX(AllCollegeGR, MATCH(N218,AllCollegeNCES,0))),ROUND(INDEX(AllCollegeGR, MATCH(N218,AllCollegeNCES,0))+Z218*IF(INDEX(AllCollegeGR, MATCH(N218,AllCollegeNCES,0))&gt;0.7,(1-INDEX(AllCollegeGR, MATCH(N218,AllCollegeNCES,0)))/2,0.15),2),INDEX(AllCollegeGR, MATCH(N218,AllCollegeNCES,0)))</f>
        <v>0</v>
      </c>
      <c r="AB218">
        <f>IF(ISNUMBER(INDEX(AllCollegeAAHGR, MATCH(N218,AllCollegeNCES,0))),ROUND(INDEX(AllCollegeAAHGR, MATCH(N218,AllCollegeNCES,0))+Z218*IF(INDEX(AllCollegeAAHGR, MATCH(N218,AllCollegeNCES,0))&gt;0.7,(1-INDEX(AllCollegeAAHGR, MATCH(N218,AllCollegeNCES,0)))/2,0.15),2),INDEX(AllCollegeAAHGR, MATCH(N218,AllCollegeNCES,0)))</f>
        <v>0</v>
      </c>
      <c r="AC218">
        <f>IF(OR(W218="H",W218="B"),INDEX(AllCollegeSAT25, MATCH(N218,AllCollegeNCES,0)),INDEX(AllCollegeSAT50, MATCH(N218,AllCollegeNCES,0)))</f>
        <v>0</v>
      </c>
      <c r="AD218">
        <f>INDEX(CustomWeightsGPA,MATCH(W218&amp;":"&amp;N218,CustomWeightsIndex,0))</f>
        <v>0</v>
      </c>
      <c r="AE218">
        <f>INDEX(CustomWeightsSAT,MATCH(W218&amp;":"&amp;N218,CustomWeightsIndex,0))</f>
        <v>0</v>
      </c>
      <c r="AF218">
        <f>INDEX(CustomWeightsIntercept,MATCH(W218&amp;":"&amp;N218,CustomWeightsIndex,0))</f>
        <v>0</v>
      </c>
      <c r="AG218">
        <f>AD218*S218+AE218*T218+AF218</f>
        <v>0</v>
      </c>
      <c r="AH218">
        <f>INDEX(CoefficientsGPA,MATCH(W218&amp;":"&amp;R218,CoefficientsIndex,0))</f>
        <v>0</v>
      </c>
      <c r="AI218">
        <f>INDEX(CoefficientsSAT,MATCH(W218&amp;":"&amp;R218,CoefficientsIndex,0))</f>
        <v>0</v>
      </c>
      <c r="AJ218">
        <f>INDEX(CoefficientsIntercept,MATCH(W218&amp;":"&amp;R218,CoefficientsIndex,0))</f>
        <v>0</v>
      </c>
      <c r="AK218">
        <f>AH218*S218+(T218-AC218)*AI218+AJ218</f>
        <v>0</v>
      </c>
      <c r="AL218">
        <f>IF(ISNUMBER(AG218),AG218,AK218)</f>
        <v>0</v>
      </c>
      <c r="AM218">
        <f>IF(ISNUMBER(AL218),IF(ISNUMBER(AH218),IF(AND(AH218=1,AI218=1,AJ218=1),100,MIN(99,ROUND(100*EXP(AL218)/(1+EXP(AL218)),2))),MIN(99,ROUND(100*EXP(AL218)/(1+EXP(AL218)),2))),IF(ISTEXT(R218),IF(LEFT(R218,1)="2",100,"N/A"),"N/A"))</f>
        <v>0</v>
      </c>
      <c r="AN218">
        <f>IF(ISNUMBER(AM218),IF(AM218&gt;=99,IF(OR(U218=10,U218=11),MatchLabel,SureThingLabel),IF(AM218&gt;=95,SecureLabel,IF(AM218&gt;=80,SafetyLabel,IF(AM218&gt;=50,MatchLabel,IF(AM218&gt;=20,ReachLabel,IF(AM218&gt;=10,LongshotLabel,HailMaryLabel)))))),"Other")</f>
        <v>0</v>
      </c>
      <c r="AO218">
        <f>IF(OR(I218="accepted",I218="cond. accept",I218="summer admit"),IF(J218="yes","CHOICE!","Accepted!"),IF(I218="guar. transfer","Guar. Xfer",IF(I218="denied","Denied",IF(K218=1,"Waitlist",IF(L218=1,"Deferred",IF(G218="pending","Pending",IF(OR(G218="initial materials submitted",G218="mid-year submitted",G218="final submitted"),"Submitted",IF(H218="interest","Interest","?"))))))))</f>
        <v>0</v>
      </c>
      <c r="AP218">
        <f>IF(OR(AN218=ReachLabel,AN218=LongshotLabel,AN218=HailMaryLabel),1,0)</f>
        <v>0</v>
      </c>
      <c r="AQ218">
        <f>IF(OR(AP218=1,AN218=MatchLabel),1,0)</f>
        <v>0</v>
      </c>
      <c r="AR218">
        <f>IF(OR(AN218=MatchLabel,AN218=SafetyLabel,AN218=SecureLabel,AN218=SureThingLabel),1,0)</f>
        <v>0</v>
      </c>
      <c r="AS218">
        <f>IF(OR(W218="H",W218="B",W218="I",W218="M"),IF(ISNUMBER(AB218),ROUND(AB218,2),0),IF(ISNUMBER(AA218),ROUND(AA218,2),0))</f>
        <v>0</v>
      </c>
      <c r="AT218">
        <f>IF(AS218&gt;=X218,1,0)</f>
        <v>0</v>
      </c>
      <c r="AU218">
        <f>IF(AS218&gt;=Y218,1,0)</f>
        <v>0</v>
      </c>
      <c r="AV218">
        <f>IF(AS218&lt;(X218-0.10),1,0)</f>
        <v>0</v>
      </c>
      <c r="AW218">
        <f>1-AM218/100</f>
        <v>0</v>
      </c>
      <c r="AX218">
        <f>IF(AQ218=1,AW218,1)</f>
        <v>0</v>
      </c>
      <c r="AY218">
        <f>IF(AP218=1,AW218,1)</f>
        <v>0</v>
      </c>
      <c r="AZ218">
        <f>IF(AND(AT218=1,ISNUMBER(AW218)),$AW218,1)</f>
        <v>0</v>
      </c>
      <c r="BA218">
        <f>IF(AND(AU218=1,ISNUMBER(AW218)),$AW218,1)</f>
        <v>0</v>
      </c>
      <c r="BB218">
        <f>IF(ISNUMBER(AB218),INDEX(AllCollegeMoney, MATCH(N218,AllCollegeNCES,0)),0)</f>
        <v>0</v>
      </c>
      <c r="BC218">
        <f>IF(AND(AT218=1,ISNUMBER(AW218),BB218=1),$AW218,1)</f>
        <v>0</v>
      </c>
      <c r="BD218">
        <f>IF(AND(AU218=1,ISNUMBER(AW218),BB218=1),$AW218,1)</f>
        <v>0</v>
      </c>
      <c r="BE218">
        <f>IF(ISNUMBER(AB218),INDEX(AllCollegeILPub, MATCH(N218,AllCollegeNCES,0)),0)</f>
        <v>0</v>
      </c>
      <c r="BF218">
        <f>IF(AN218=ReachLabel,AS218,0)</f>
        <v>0</v>
      </c>
      <c r="BG218">
        <f>IF(AN218=MatchLabel,AS218,0)</f>
        <v>0</v>
      </c>
      <c r="BH218">
        <f>IF(AN218=SafetyLabel,AS218,0)</f>
        <v>0</v>
      </c>
      <c r="BI218">
        <f>IF(AN218=SecureLabel,AS218,0)</f>
        <v>0</v>
      </c>
      <c r="BJ218">
        <f>IF(AN218=SureThingLabel,AS218,0)</f>
        <v>0</v>
      </c>
      <c r="BK218">
        <f>MAX(BF218:BJ218)</f>
        <v>0</v>
      </c>
      <c r="BL218">
        <f>MAX(BG218:BJ218)</f>
        <v>0</v>
      </c>
      <c r="BM218">
        <f>MAX(BH218:BJ218)</f>
        <v>0</v>
      </c>
      <c r="BN218">
        <f>IF(AND(AN218=ReachLabel,BB218=1),AS218,0)</f>
        <v>0</v>
      </c>
      <c r="BO218">
        <f>IF(AND(AN218=MatchLabel,BB218=1),AS218,0)</f>
        <v>0</v>
      </c>
      <c r="BP218">
        <f>IF(AND(AN218=SafetyLabel,BB218=1),AS218,0)</f>
        <v>0</v>
      </c>
      <c r="BQ218">
        <f>IF(AND(AN218=SecureLabel,BB218=1),AS218,0)</f>
        <v>0</v>
      </c>
      <c r="BR218">
        <f>IF(AND(AN218=SureThingLabel,BB218=1),AS218,0)</f>
        <v>0</v>
      </c>
      <c r="BS218">
        <f>MAX(BN218:BR218)</f>
        <v>0</v>
      </c>
      <c r="BT218">
        <f>MAX(BO218:BR218)</f>
        <v>0</v>
      </c>
      <c r="BU218">
        <f>MAX(BP218:BR218)</f>
        <v>0</v>
      </c>
      <c r="BV218">
        <f>IF(ISNUMBER(AB218),INDEX(AllCollegeChicago, MATCH(N218,AllCollegeNCES,0))*BB218,0)</f>
        <v>0</v>
      </c>
      <c r="BW218">
        <f>IF(ISNUMBER(AB218),INDEX(AllCollegeMoneyCode, MATCH(N218,AllCollegeNCES,0)),"?")</f>
        <v>0</v>
      </c>
      <c r="BX218">
        <f>IF(OR(BW218="---",BW218="--",BW218="+/--",BW218="+/---"),1,0)</f>
        <v>0</v>
      </c>
      <c r="BY218">
        <f>BB218*AR218*AT218</f>
        <v>0</v>
      </c>
    </row>
    <row r="219" spans="1:77">
      <c r="A219" t="s">
        <v>96</v>
      </c>
      <c r="B219">
        <v>22973265</v>
      </c>
      <c r="C219" t="s">
        <v>108</v>
      </c>
      <c r="D219" t="s">
        <v>109</v>
      </c>
      <c r="E219" t="s">
        <v>446</v>
      </c>
      <c r="F219" t="s">
        <v>530</v>
      </c>
      <c r="G219" t="s">
        <v>448</v>
      </c>
      <c r="H219" t="s">
        <v>449</v>
      </c>
      <c r="I219" t="s">
        <v>450</v>
      </c>
      <c r="J219" t="s">
        <v>450</v>
      </c>
      <c r="K219">
        <v>0</v>
      </c>
      <c r="L219" t="s">
        <v>446</v>
      </c>
      <c r="M219" t="s">
        <v>446</v>
      </c>
      <c r="N219">
        <v>198215</v>
      </c>
      <c r="O219">
        <f>INDEX(Counselor,MATCH(B219,KidIDs,0))</f>
        <v>0</v>
      </c>
      <c r="P219">
        <f>INDEX(Advisors,MATCH(B219,KidIDs,0))</f>
        <v>0</v>
      </c>
      <c r="Q219">
        <f>INDEX(Cohort,MATCH(B219,KidIDs,0))</f>
        <v>0</v>
      </c>
      <c r="R219">
        <f>INDEX(AllCollegeBarrons,MATCH(N219,AllCollegeNCES,0))</f>
        <v>0</v>
      </c>
      <c r="S219">
        <f>INDEX(KidGPAs,MATCH(B219,KidIDs,0))</f>
        <v>0</v>
      </c>
      <c r="T219">
        <f>INDEX(KidSATs,MATCH(B219,KidIDs,0))</f>
        <v>0</v>
      </c>
      <c r="U219">
        <f>INDEX(Strats,MATCH(B219,KidIDs,0))</f>
        <v>0</v>
      </c>
      <c r="V219">
        <f>INDEX(KidRace,MATCH(B219,KidIDs,0))</f>
        <v>0</v>
      </c>
      <c r="W219">
        <f>IF(OR(V219="M",V219="I"),"H",IF(V219="P","A",V219))</f>
        <v>0</v>
      </c>
      <c r="X219">
        <f>INDEX(StudentTargets,MATCH(B219,KidIDs,0))</f>
        <v>0</v>
      </c>
      <c r="Y219">
        <f>INDEX(ReachStudentTargets,MATCH(B219,KidIDs,0))</f>
        <v>0</v>
      </c>
      <c r="Z219">
        <f>IF(OR(M219="Posse"),1,0)</f>
        <v>0</v>
      </c>
      <c r="AA219">
        <f>IF(ISNUMBER(INDEX(AllCollegeGR, MATCH(N219,AllCollegeNCES,0))),ROUND(INDEX(AllCollegeGR, MATCH(N219,AllCollegeNCES,0))+Z219*IF(INDEX(AllCollegeGR, MATCH(N219,AllCollegeNCES,0))&gt;0.7,(1-INDEX(AllCollegeGR, MATCH(N219,AllCollegeNCES,0)))/2,0.15),2),INDEX(AllCollegeGR, MATCH(N219,AllCollegeNCES,0)))</f>
        <v>0</v>
      </c>
      <c r="AB219">
        <f>IF(ISNUMBER(INDEX(AllCollegeAAHGR, MATCH(N219,AllCollegeNCES,0))),ROUND(INDEX(AllCollegeAAHGR, MATCH(N219,AllCollegeNCES,0))+Z219*IF(INDEX(AllCollegeAAHGR, MATCH(N219,AllCollegeNCES,0))&gt;0.7,(1-INDEX(AllCollegeAAHGR, MATCH(N219,AllCollegeNCES,0)))/2,0.15),2),INDEX(AllCollegeAAHGR, MATCH(N219,AllCollegeNCES,0)))</f>
        <v>0</v>
      </c>
      <c r="AC219">
        <f>IF(OR(W219="H",W219="B"),INDEX(AllCollegeSAT25, MATCH(N219,AllCollegeNCES,0)),INDEX(AllCollegeSAT50, MATCH(N219,AllCollegeNCES,0)))</f>
        <v>0</v>
      </c>
      <c r="AD219">
        <f>INDEX(CustomWeightsGPA,MATCH(W219&amp;":"&amp;N219,CustomWeightsIndex,0))</f>
        <v>0</v>
      </c>
      <c r="AE219">
        <f>INDEX(CustomWeightsSAT,MATCH(W219&amp;":"&amp;N219,CustomWeightsIndex,0))</f>
        <v>0</v>
      </c>
      <c r="AF219">
        <f>INDEX(CustomWeightsIntercept,MATCH(W219&amp;":"&amp;N219,CustomWeightsIndex,0))</f>
        <v>0</v>
      </c>
      <c r="AG219">
        <f>AD219*S219+AE219*T219+AF219</f>
        <v>0</v>
      </c>
      <c r="AH219">
        <f>INDEX(CoefficientsGPA,MATCH(W219&amp;":"&amp;R219,CoefficientsIndex,0))</f>
        <v>0</v>
      </c>
      <c r="AI219">
        <f>INDEX(CoefficientsSAT,MATCH(W219&amp;":"&amp;R219,CoefficientsIndex,0))</f>
        <v>0</v>
      </c>
      <c r="AJ219">
        <f>INDEX(CoefficientsIntercept,MATCH(W219&amp;":"&amp;R219,CoefficientsIndex,0))</f>
        <v>0</v>
      </c>
      <c r="AK219">
        <f>AH219*S219+(T219-AC219)*AI219+AJ219</f>
        <v>0</v>
      </c>
      <c r="AL219">
        <f>IF(ISNUMBER(AG219),AG219,AK219)</f>
        <v>0</v>
      </c>
      <c r="AM219">
        <f>IF(ISNUMBER(AL219),IF(ISNUMBER(AH219),IF(AND(AH219=1,AI219=1,AJ219=1),100,MIN(99,ROUND(100*EXP(AL219)/(1+EXP(AL219)),2))),MIN(99,ROUND(100*EXP(AL219)/(1+EXP(AL219)),2))),IF(ISTEXT(R219),IF(LEFT(R219,1)="2",100,"N/A"),"N/A"))</f>
        <v>0</v>
      </c>
      <c r="AN219">
        <f>IF(ISNUMBER(AM219),IF(AM219&gt;=99,IF(OR(U219=10,U219=11),MatchLabel,SureThingLabel),IF(AM219&gt;=95,SecureLabel,IF(AM219&gt;=80,SafetyLabel,IF(AM219&gt;=50,MatchLabel,IF(AM219&gt;=20,ReachLabel,IF(AM219&gt;=10,LongshotLabel,HailMaryLabel)))))),"Other")</f>
        <v>0</v>
      </c>
      <c r="AO219">
        <f>IF(OR(I219="accepted",I219="cond. accept",I219="summer admit"),IF(J219="yes","CHOICE!","Accepted!"),IF(I219="guar. transfer","Guar. Xfer",IF(I219="denied","Denied",IF(K219=1,"Waitlist",IF(L219=1,"Deferred",IF(G219="pending","Pending",IF(OR(G219="initial materials submitted",G219="mid-year submitted",G219="final submitted"),"Submitted",IF(H219="interest","Interest","?"))))))))</f>
        <v>0</v>
      </c>
      <c r="AP219">
        <f>IF(OR(AN219=ReachLabel,AN219=LongshotLabel,AN219=HailMaryLabel),1,0)</f>
        <v>0</v>
      </c>
      <c r="AQ219">
        <f>IF(OR(AP219=1,AN219=MatchLabel),1,0)</f>
        <v>0</v>
      </c>
      <c r="AR219">
        <f>IF(OR(AN219=MatchLabel,AN219=SafetyLabel,AN219=SecureLabel,AN219=SureThingLabel),1,0)</f>
        <v>0</v>
      </c>
      <c r="AS219">
        <f>IF(OR(W219="H",W219="B",W219="I",W219="M"),IF(ISNUMBER(AB219),ROUND(AB219,2),0),IF(ISNUMBER(AA219),ROUND(AA219,2),0))</f>
        <v>0</v>
      </c>
      <c r="AT219">
        <f>IF(AS219&gt;=X219,1,0)</f>
        <v>0</v>
      </c>
      <c r="AU219">
        <f>IF(AS219&gt;=Y219,1,0)</f>
        <v>0</v>
      </c>
      <c r="AV219">
        <f>IF(AS219&lt;(X219-0.10),1,0)</f>
        <v>0</v>
      </c>
      <c r="AW219">
        <f>1-AM219/100</f>
        <v>0</v>
      </c>
      <c r="AX219">
        <f>IF(AQ219=1,AW219,1)</f>
        <v>0</v>
      </c>
      <c r="AY219">
        <f>IF(AP219=1,AW219,1)</f>
        <v>0</v>
      </c>
      <c r="AZ219">
        <f>IF(AND(AT219=1,ISNUMBER(AW219)),$AW219,1)</f>
        <v>0</v>
      </c>
      <c r="BA219">
        <f>IF(AND(AU219=1,ISNUMBER(AW219)),$AW219,1)</f>
        <v>0</v>
      </c>
      <c r="BB219">
        <f>IF(ISNUMBER(AB219),INDEX(AllCollegeMoney, MATCH(N219,AllCollegeNCES,0)),0)</f>
        <v>0</v>
      </c>
      <c r="BC219">
        <f>IF(AND(AT219=1,ISNUMBER(AW219),BB219=1),$AW219,1)</f>
        <v>0</v>
      </c>
      <c r="BD219">
        <f>IF(AND(AU219=1,ISNUMBER(AW219),BB219=1),$AW219,1)</f>
        <v>0</v>
      </c>
      <c r="BE219">
        <f>IF(ISNUMBER(AB219),INDEX(AllCollegeILPub, MATCH(N219,AllCollegeNCES,0)),0)</f>
        <v>0</v>
      </c>
      <c r="BF219">
        <f>IF(AN219=ReachLabel,AS219,0)</f>
        <v>0</v>
      </c>
      <c r="BG219">
        <f>IF(AN219=MatchLabel,AS219,0)</f>
        <v>0</v>
      </c>
      <c r="BH219">
        <f>IF(AN219=SafetyLabel,AS219,0)</f>
        <v>0</v>
      </c>
      <c r="BI219">
        <f>IF(AN219=SecureLabel,AS219,0)</f>
        <v>0</v>
      </c>
      <c r="BJ219">
        <f>IF(AN219=SureThingLabel,AS219,0)</f>
        <v>0</v>
      </c>
      <c r="BK219">
        <f>MAX(BF219:BJ219)</f>
        <v>0</v>
      </c>
      <c r="BL219">
        <f>MAX(BG219:BJ219)</f>
        <v>0</v>
      </c>
      <c r="BM219">
        <f>MAX(BH219:BJ219)</f>
        <v>0</v>
      </c>
      <c r="BN219">
        <f>IF(AND(AN219=ReachLabel,BB219=1),AS219,0)</f>
        <v>0</v>
      </c>
      <c r="BO219">
        <f>IF(AND(AN219=MatchLabel,BB219=1),AS219,0)</f>
        <v>0</v>
      </c>
      <c r="BP219">
        <f>IF(AND(AN219=SafetyLabel,BB219=1),AS219,0)</f>
        <v>0</v>
      </c>
      <c r="BQ219">
        <f>IF(AND(AN219=SecureLabel,BB219=1),AS219,0)</f>
        <v>0</v>
      </c>
      <c r="BR219">
        <f>IF(AND(AN219=SureThingLabel,BB219=1),AS219,0)</f>
        <v>0</v>
      </c>
      <c r="BS219">
        <f>MAX(BN219:BR219)</f>
        <v>0</v>
      </c>
      <c r="BT219">
        <f>MAX(BO219:BR219)</f>
        <v>0</v>
      </c>
      <c r="BU219">
        <f>MAX(BP219:BR219)</f>
        <v>0</v>
      </c>
      <c r="BV219">
        <f>IF(ISNUMBER(AB219),INDEX(AllCollegeChicago, MATCH(N219,AllCollegeNCES,0))*BB219,0)</f>
        <v>0</v>
      </c>
      <c r="BW219">
        <f>IF(ISNUMBER(AB219),INDEX(AllCollegeMoneyCode, MATCH(N219,AllCollegeNCES,0)),"?")</f>
        <v>0</v>
      </c>
      <c r="BX219">
        <f>IF(OR(BW219="---",BW219="--",BW219="+/--",BW219="+/---"),1,0)</f>
        <v>0</v>
      </c>
      <c r="BY219">
        <f>BB219*AR219*AT219</f>
        <v>0</v>
      </c>
    </row>
    <row r="220" spans="1:77">
      <c r="A220" t="s">
        <v>96</v>
      </c>
      <c r="B220">
        <v>22973265</v>
      </c>
      <c r="C220" t="s">
        <v>108</v>
      </c>
      <c r="D220" t="s">
        <v>109</v>
      </c>
      <c r="E220" t="s">
        <v>446</v>
      </c>
      <c r="F220" t="s">
        <v>531</v>
      </c>
      <c r="G220" t="s">
        <v>448</v>
      </c>
      <c r="H220" t="s">
        <v>449</v>
      </c>
      <c r="I220" t="s">
        <v>450</v>
      </c>
      <c r="J220" t="s">
        <v>450</v>
      </c>
      <c r="K220">
        <v>0</v>
      </c>
      <c r="L220" t="s">
        <v>446</v>
      </c>
      <c r="M220" t="s">
        <v>446</v>
      </c>
      <c r="N220">
        <v>197984</v>
      </c>
      <c r="O220">
        <f>INDEX(Counselor,MATCH(B220,KidIDs,0))</f>
        <v>0</v>
      </c>
      <c r="P220">
        <f>INDEX(Advisors,MATCH(B220,KidIDs,0))</f>
        <v>0</v>
      </c>
      <c r="Q220">
        <f>INDEX(Cohort,MATCH(B220,KidIDs,0))</f>
        <v>0</v>
      </c>
      <c r="R220">
        <f>INDEX(AllCollegeBarrons,MATCH(N220,AllCollegeNCES,0))</f>
        <v>0</v>
      </c>
      <c r="S220">
        <f>INDEX(KidGPAs,MATCH(B220,KidIDs,0))</f>
        <v>0</v>
      </c>
      <c r="T220">
        <f>INDEX(KidSATs,MATCH(B220,KidIDs,0))</f>
        <v>0</v>
      </c>
      <c r="U220">
        <f>INDEX(Strats,MATCH(B220,KidIDs,0))</f>
        <v>0</v>
      </c>
      <c r="V220">
        <f>INDEX(KidRace,MATCH(B220,KidIDs,0))</f>
        <v>0</v>
      </c>
      <c r="W220">
        <f>IF(OR(V220="M",V220="I"),"H",IF(V220="P","A",V220))</f>
        <v>0</v>
      </c>
      <c r="X220">
        <f>INDEX(StudentTargets,MATCH(B220,KidIDs,0))</f>
        <v>0</v>
      </c>
      <c r="Y220">
        <f>INDEX(ReachStudentTargets,MATCH(B220,KidIDs,0))</f>
        <v>0</v>
      </c>
      <c r="Z220">
        <f>IF(OR(M220="Posse"),1,0)</f>
        <v>0</v>
      </c>
      <c r="AA220">
        <f>IF(ISNUMBER(INDEX(AllCollegeGR, MATCH(N220,AllCollegeNCES,0))),ROUND(INDEX(AllCollegeGR, MATCH(N220,AllCollegeNCES,0))+Z220*IF(INDEX(AllCollegeGR, MATCH(N220,AllCollegeNCES,0))&gt;0.7,(1-INDEX(AllCollegeGR, MATCH(N220,AllCollegeNCES,0)))/2,0.15),2),INDEX(AllCollegeGR, MATCH(N220,AllCollegeNCES,0)))</f>
        <v>0</v>
      </c>
      <c r="AB220">
        <f>IF(ISNUMBER(INDEX(AllCollegeAAHGR, MATCH(N220,AllCollegeNCES,0))),ROUND(INDEX(AllCollegeAAHGR, MATCH(N220,AllCollegeNCES,0))+Z220*IF(INDEX(AllCollegeAAHGR, MATCH(N220,AllCollegeNCES,0))&gt;0.7,(1-INDEX(AllCollegeAAHGR, MATCH(N220,AllCollegeNCES,0)))/2,0.15),2),INDEX(AllCollegeAAHGR, MATCH(N220,AllCollegeNCES,0)))</f>
        <v>0</v>
      </c>
      <c r="AC220">
        <f>IF(OR(W220="H",W220="B"),INDEX(AllCollegeSAT25, MATCH(N220,AllCollegeNCES,0)),INDEX(AllCollegeSAT50, MATCH(N220,AllCollegeNCES,0)))</f>
        <v>0</v>
      </c>
      <c r="AD220">
        <f>INDEX(CustomWeightsGPA,MATCH(W220&amp;":"&amp;N220,CustomWeightsIndex,0))</f>
        <v>0</v>
      </c>
      <c r="AE220">
        <f>INDEX(CustomWeightsSAT,MATCH(W220&amp;":"&amp;N220,CustomWeightsIndex,0))</f>
        <v>0</v>
      </c>
      <c r="AF220">
        <f>INDEX(CustomWeightsIntercept,MATCH(W220&amp;":"&amp;N220,CustomWeightsIndex,0))</f>
        <v>0</v>
      </c>
      <c r="AG220">
        <f>AD220*S220+AE220*T220+AF220</f>
        <v>0</v>
      </c>
      <c r="AH220">
        <f>INDEX(CoefficientsGPA,MATCH(W220&amp;":"&amp;R220,CoefficientsIndex,0))</f>
        <v>0</v>
      </c>
      <c r="AI220">
        <f>INDEX(CoefficientsSAT,MATCH(W220&amp;":"&amp;R220,CoefficientsIndex,0))</f>
        <v>0</v>
      </c>
      <c r="AJ220">
        <f>INDEX(CoefficientsIntercept,MATCH(W220&amp;":"&amp;R220,CoefficientsIndex,0))</f>
        <v>0</v>
      </c>
      <c r="AK220">
        <f>AH220*S220+(T220-AC220)*AI220+AJ220</f>
        <v>0</v>
      </c>
      <c r="AL220">
        <f>IF(ISNUMBER(AG220),AG220,AK220)</f>
        <v>0</v>
      </c>
      <c r="AM220">
        <f>IF(ISNUMBER(AL220),IF(ISNUMBER(AH220),IF(AND(AH220=1,AI220=1,AJ220=1),100,MIN(99,ROUND(100*EXP(AL220)/(1+EXP(AL220)),2))),MIN(99,ROUND(100*EXP(AL220)/(1+EXP(AL220)),2))),IF(ISTEXT(R220),IF(LEFT(R220,1)="2",100,"N/A"),"N/A"))</f>
        <v>0</v>
      </c>
      <c r="AN220">
        <f>IF(ISNUMBER(AM220),IF(AM220&gt;=99,IF(OR(U220=10,U220=11),MatchLabel,SureThingLabel),IF(AM220&gt;=95,SecureLabel,IF(AM220&gt;=80,SafetyLabel,IF(AM220&gt;=50,MatchLabel,IF(AM220&gt;=20,ReachLabel,IF(AM220&gt;=10,LongshotLabel,HailMaryLabel)))))),"Other")</f>
        <v>0</v>
      </c>
      <c r="AO220">
        <f>IF(OR(I220="accepted",I220="cond. accept",I220="summer admit"),IF(J220="yes","CHOICE!","Accepted!"),IF(I220="guar. transfer","Guar. Xfer",IF(I220="denied","Denied",IF(K220=1,"Waitlist",IF(L220=1,"Deferred",IF(G220="pending","Pending",IF(OR(G220="initial materials submitted",G220="mid-year submitted",G220="final submitted"),"Submitted",IF(H220="interest","Interest","?"))))))))</f>
        <v>0</v>
      </c>
      <c r="AP220">
        <f>IF(OR(AN220=ReachLabel,AN220=LongshotLabel,AN220=HailMaryLabel),1,0)</f>
        <v>0</v>
      </c>
      <c r="AQ220">
        <f>IF(OR(AP220=1,AN220=MatchLabel),1,0)</f>
        <v>0</v>
      </c>
      <c r="AR220">
        <f>IF(OR(AN220=MatchLabel,AN220=SafetyLabel,AN220=SecureLabel,AN220=SureThingLabel),1,0)</f>
        <v>0</v>
      </c>
      <c r="AS220">
        <f>IF(OR(W220="H",W220="B",W220="I",W220="M"),IF(ISNUMBER(AB220),ROUND(AB220,2),0),IF(ISNUMBER(AA220),ROUND(AA220,2),0))</f>
        <v>0</v>
      </c>
      <c r="AT220">
        <f>IF(AS220&gt;=X220,1,0)</f>
        <v>0</v>
      </c>
      <c r="AU220">
        <f>IF(AS220&gt;=Y220,1,0)</f>
        <v>0</v>
      </c>
      <c r="AV220">
        <f>IF(AS220&lt;(X220-0.10),1,0)</f>
        <v>0</v>
      </c>
      <c r="AW220">
        <f>1-AM220/100</f>
        <v>0</v>
      </c>
      <c r="AX220">
        <f>IF(AQ220=1,AW220,1)</f>
        <v>0</v>
      </c>
      <c r="AY220">
        <f>IF(AP220=1,AW220,1)</f>
        <v>0</v>
      </c>
      <c r="AZ220">
        <f>IF(AND(AT220=1,ISNUMBER(AW220)),$AW220,1)</f>
        <v>0</v>
      </c>
      <c r="BA220">
        <f>IF(AND(AU220=1,ISNUMBER(AW220)),$AW220,1)</f>
        <v>0</v>
      </c>
      <c r="BB220">
        <f>IF(ISNUMBER(AB220),INDEX(AllCollegeMoney, MATCH(N220,AllCollegeNCES,0)),0)</f>
        <v>0</v>
      </c>
      <c r="BC220">
        <f>IF(AND(AT220=1,ISNUMBER(AW220),BB220=1),$AW220,1)</f>
        <v>0</v>
      </c>
      <c r="BD220">
        <f>IF(AND(AU220=1,ISNUMBER(AW220),BB220=1),$AW220,1)</f>
        <v>0</v>
      </c>
      <c r="BE220">
        <f>IF(ISNUMBER(AB220),INDEX(AllCollegeILPub, MATCH(N220,AllCollegeNCES,0)),0)</f>
        <v>0</v>
      </c>
      <c r="BF220">
        <f>IF(AN220=ReachLabel,AS220,0)</f>
        <v>0</v>
      </c>
      <c r="BG220">
        <f>IF(AN220=MatchLabel,AS220,0)</f>
        <v>0</v>
      </c>
      <c r="BH220">
        <f>IF(AN220=SafetyLabel,AS220,0)</f>
        <v>0</v>
      </c>
      <c r="BI220">
        <f>IF(AN220=SecureLabel,AS220,0)</f>
        <v>0</v>
      </c>
      <c r="BJ220">
        <f>IF(AN220=SureThingLabel,AS220,0)</f>
        <v>0</v>
      </c>
      <c r="BK220">
        <f>MAX(BF220:BJ220)</f>
        <v>0</v>
      </c>
      <c r="BL220">
        <f>MAX(BG220:BJ220)</f>
        <v>0</v>
      </c>
      <c r="BM220">
        <f>MAX(BH220:BJ220)</f>
        <v>0</v>
      </c>
      <c r="BN220">
        <f>IF(AND(AN220=ReachLabel,BB220=1),AS220,0)</f>
        <v>0</v>
      </c>
      <c r="BO220">
        <f>IF(AND(AN220=MatchLabel,BB220=1),AS220,0)</f>
        <v>0</v>
      </c>
      <c r="BP220">
        <f>IF(AND(AN220=SafetyLabel,BB220=1),AS220,0)</f>
        <v>0</v>
      </c>
      <c r="BQ220">
        <f>IF(AND(AN220=SecureLabel,BB220=1),AS220,0)</f>
        <v>0</v>
      </c>
      <c r="BR220">
        <f>IF(AND(AN220=SureThingLabel,BB220=1),AS220,0)</f>
        <v>0</v>
      </c>
      <c r="BS220">
        <f>MAX(BN220:BR220)</f>
        <v>0</v>
      </c>
      <c r="BT220">
        <f>MAX(BO220:BR220)</f>
        <v>0</v>
      </c>
      <c r="BU220">
        <f>MAX(BP220:BR220)</f>
        <v>0</v>
      </c>
      <c r="BV220">
        <f>IF(ISNUMBER(AB220),INDEX(AllCollegeChicago, MATCH(N220,AllCollegeNCES,0))*BB220,0)</f>
        <v>0</v>
      </c>
      <c r="BW220">
        <f>IF(ISNUMBER(AB220),INDEX(AllCollegeMoneyCode, MATCH(N220,AllCollegeNCES,0)),"?")</f>
        <v>0</v>
      </c>
      <c r="BX220">
        <f>IF(OR(BW220="---",BW220="--",BW220="+/--",BW220="+/---"),1,0)</f>
        <v>0</v>
      </c>
      <c r="BY220">
        <f>BB220*AR220*AT220</f>
        <v>0</v>
      </c>
    </row>
    <row r="221" spans="1:77">
      <c r="A221" t="s">
        <v>96</v>
      </c>
      <c r="B221">
        <v>22973915</v>
      </c>
      <c r="C221" t="s">
        <v>294</v>
      </c>
      <c r="D221" t="s">
        <v>295</v>
      </c>
      <c r="E221" t="s">
        <v>446</v>
      </c>
      <c r="F221" t="s">
        <v>447</v>
      </c>
      <c r="G221" t="s">
        <v>448</v>
      </c>
      <c r="H221" t="s">
        <v>449</v>
      </c>
      <c r="I221" t="s">
        <v>450</v>
      </c>
      <c r="J221" t="s">
        <v>450</v>
      </c>
      <c r="K221">
        <v>0</v>
      </c>
      <c r="L221" t="s">
        <v>446</v>
      </c>
      <c r="M221" t="s">
        <v>446</v>
      </c>
      <c r="N221">
        <v>148496</v>
      </c>
      <c r="O221">
        <f>INDEX(Counselor,MATCH(B221,KidIDs,0))</f>
        <v>0</v>
      </c>
      <c r="P221">
        <f>INDEX(Advisors,MATCH(B221,KidIDs,0))</f>
        <v>0</v>
      </c>
      <c r="Q221">
        <f>INDEX(Cohort,MATCH(B221,KidIDs,0))</f>
        <v>0</v>
      </c>
      <c r="R221">
        <f>INDEX(AllCollegeBarrons,MATCH(N221,AllCollegeNCES,0))</f>
        <v>0</v>
      </c>
      <c r="S221">
        <f>INDEX(KidGPAs,MATCH(B221,KidIDs,0))</f>
        <v>0</v>
      </c>
      <c r="T221">
        <f>INDEX(KidSATs,MATCH(B221,KidIDs,0))</f>
        <v>0</v>
      </c>
      <c r="U221">
        <f>INDEX(Strats,MATCH(B221,KidIDs,0))</f>
        <v>0</v>
      </c>
      <c r="V221">
        <f>INDEX(KidRace,MATCH(B221,KidIDs,0))</f>
        <v>0</v>
      </c>
      <c r="W221">
        <f>IF(OR(V221="M",V221="I"),"H",IF(V221="P","A",V221))</f>
        <v>0</v>
      </c>
      <c r="X221">
        <f>INDEX(StudentTargets,MATCH(B221,KidIDs,0))</f>
        <v>0</v>
      </c>
      <c r="Y221">
        <f>INDEX(ReachStudentTargets,MATCH(B221,KidIDs,0))</f>
        <v>0</v>
      </c>
      <c r="Z221">
        <f>IF(OR(M221="Posse"),1,0)</f>
        <v>0</v>
      </c>
      <c r="AA221">
        <f>IF(ISNUMBER(INDEX(AllCollegeGR, MATCH(N221,AllCollegeNCES,0))),ROUND(INDEX(AllCollegeGR, MATCH(N221,AllCollegeNCES,0))+Z221*IF(INDEX(AllCollegeGR, MATCH(N221,AllCollegeNCES,0))&gt;0.7,(1-INDEX(AllCollegeGR, MATCH(N221,AllCollegeNCES,0)))/2,0.15),2),INDEX(AllCollegeGR, MATCH(N221,AllCollegeNCES,0)))</f>
        <v>0</v>
      </c>
      <c r="AB221">
        <f>IF(ISNUMBER(INDEX(AllCollegeAAHGR, MATCH(N221,AllCollegeNCES,0))),ROUND(INDEX(AllCollegeAAHGR, MATCH(N221,AllCollegeNCES,0))+Z221*IF(INDEX(AllCollegeAAHGR, MATCH(N221,AllCollegeNCES,0))&gt;0.7,(1-INDEX(AllCollegeAAHGR, MATCH(N221,AllCollegeNCES,0)))/2,0.15),2),INDEX(AllCollegeAAHGR, MATCH(N221,AllCollegeNCES,0)))</f>
        <v>0</v>
      </c>
      <c r="AC221">
        <f>IF(OR(W221="H",W221="B"),INDEX(AllCollegeSAT25, MATCH(N221,AllCollegeNCES,0)),INDEX(AllCollegeSAT50, MATCH(N221,AllCollegeNCES,0)))</f>
        <v>0</v>
      </c>
      <c r="AD221">
        <f>INDEX(CustomWeightsGPA,MATCH(W221&amp;":"&amp;N221,CustomWeightsIndex,0))</f>
        <v>0</v>
      </c>
      <c r="AE221">
        <f>INDEX(CustomWeightsSAT,MATCH(W221&amp;":"&amp;N221,CustomWeightsIndex,0))</f>
        <v>0</v>
      </c>
      <c r="AF221">
        <f>INDEX(CustomWeightsIntercept,MATCH(W221&amp;":"&amp;N221,CustomWeightsIndex,0))</f>
        <v>0</v>
      </c>
      <c r="AG221">
        <f>AD221*S221+AE221*T221+AF221</f>
        <v>0</v>
      </c>
      <c r="AH221">
        <f>INDEX(CoefficientsGPA,MATCH(W221&amp;":"&amp;R221,CoefficientsIndex,0))</f>
        <v>0</v>
      </c>
      <c r="AI221">
        <f>INDEX(CoefficientsSAT,MATCH(W221&amp;":"&amp;R221,CoefficientsIndex,0))</f>
        <v>0</v>
      </c>
      <c r="AJ221">
        <f>INDEX(CoefficientsIntercept,MATCH(W221&amp;":"&amp;R221,CoefficientsIndex,0))</f>
        <v>0</v>
      </c>
      <c r="AK221">
        <f>AH221*S221+(T221-AC221)*AI221+AJ221</f>
        <v>0</v>
      </c>
      <c r="AL221">
        <f>IF(ISNUMBER(AG221),AG221,AK221)</f>
        <v>0</v>
      </c>
      <c r="AM221">
        <f>IF(ISNUMBER(AL221),IF(ISNUMBER(AH221),IF(AND(AH221=1,AI221=1,AJ221=1),100,MIN(99,ROUND(100*EXP(AL221)/(1+EXP(AL221)),2))),MIN(99,ROUND(100*EXP(AL221)/(1+EXP(AL221)),2))),IF(ISTEXT(R221),IF(LEFT(R221,1)="2",100,"N/A"),"N/A"))</f>
        <v>0</v>
      </c>
      <c r="AN221">
        <f>IF(ISNUMBER(AM221),IF(AM221&gt;=99,IF(OR(U221=10,U221=11),MatchLabel,SureThingLabel),IF(AM221&gt;=95,SecureLabel,IF(AM221&gt;=80,SafetyLabel,IF(AM221&gt;=50,MatchLabel,IF(AM221&gt;=20,ReachLabel,IF(AM221&gt;=10,LongshotLabel,HailMaryLabel)))))),"Other")</f>
        <v>0</v>
      </c>
      <c r="AO221">
        <f>IF(OR(I221="accepted",I221="cond. accept",I221="summer admit"),IF(J221="yes","CHOICE!","Accepted!"),IF(I221="guar. transfer","Guar. Xfer",IF(I221="denied","Denied",IF(K221=1,"Waitlist",IF(L221=1,"Deferred",IF(G221="pending","Pending",IF(OR(G221="initial materials submitted",G221="mid-year submitted",G221="final submitted"),"Submitted",IF(H221="interest","Interest","?"))))))))</f>
        <v>0</v>
      </c>
      <c r="AP221">
        <f>IF(OR(AN221=ReachLabel,AN221=LongshotLabel,AN221=HailMaryLabel),1,0)</f>
        <v>0</v>
      </c>
      <c r="AQ221">
        <f>IF(OR(AP221=1,AN221=MatchLabel),1,0)</f>
        <v>0</v>
      </c>
      <c r="AR221">
        <f>IF(OR(AN221=MatchLabel,AN221=SafetyLabel,AN221=SecureLabel,AN221=SureThingLabel),1,0)</f>
        <v>0</v>
      </c>
      <c r="AS221">
        <f>IF(OR(W221="H",W221="B",W221="I",W221="M"),IF(ISNUMBER(AB221),ROUND(AB221,2),0),IF(ISNUMBER(AA221),ROUND(AA221,2),0))</f>
        <v>0</v>
      </c>
      <c r="AT221">
        <f>IF(AS221&gt;=X221,1,0)</f>
        <v>0</v>
      </c>
      <c r="AU221">
        <f>IF(AS221&gt;=Y221,1,0)</f>
        <v>0</v>
      </c>
      <c r="AV221">
        <f>IF(AS221&lt;(X221-0.10),1,0)</f>
        <v>0</v>
      </c>
      <c r="AW221">
        <f>1-AM221/100</f>
        <v>0</v>
      </c>
      <c r="AX221">
        <f>IF(AQ221=1,AW221,1)</f>
        <v>0</v>
      </c>
      <c r="AY221">
        <f>IF(AP221=1,AW221,1)</f>
        <v>0</v>
      </c>
      <c r="AZ221">
        <f>IF(AND(AT221=1,ISNUMBER(AW221)),$AW221,1)</f>
        <v>0</v>
      </c>
      <c r="BA221">
        <f>IF(AND(AU221=1,ISNUMBER(AW221)),$AW221,1)</f>
        <v>0</v>
      </c>
      <c r="BB221">
        <f>IF(ISNUMBER(AB221),INDEX(AllCollegeMoney, MATCH(N221,AllCollegeNCES,0)),0)</f>
        <v>0</v>
      </c>
      <c r="BC221">
        <f>IF(AND(AT221=1,ISNUMBER(AW221),BB221=1),$AW221,1)</f>
        <v>0</v>
      </c>
      <c r="BD221">
        <f>IF(AND(AU221=1,ISNUMBER(AW221),BB221=1),$AW221,1)</f>
        <v>0</v>
      </c>
      <c r="BE221">
        <f>IF(ISNUMBER(AB221),INDEX(AllCollegeILPub, MATCH(N221,AllCollegeNCES,0)),0)</f>
        <v>0</v>
      </c>
      <c r="BF221">
        <f>IF(AN221=ReachLabel,AS221,0)</f>
        <v>0</v>
      </c>
      <c r="BG221">
        <f>IF(AN221=MatchLabel,AS221,0)</f>
        <v>0</v>
      </c>
      <c r="BH221">
        <f>IF(AN221=SafetyLabel,AS221,0)</f>
        <v>0</v>
      </c>
      <c r="BI221">
        <f>IF(AN221=SecureLabel,AS221,0)</f>
        <v>0</v>
      </c>
      <c r="BJ221">
        <f>IF(AN221=SureThingLabel,AS221,0)</f>
        <v>0</v>
      </c>
      <c r="BK221">
        <f>MAX(BF221:BJ221)</f>
        <v>0</v>
      </c>
      <c r="BL221">
        <f>MAX(BG221:BJ221)</f>
        <v>0</v>
      </c>
      <c r="BM221">
        <f>MAX(BH221:BJ221)</f>
        <v>0</v>
      </c>
      <c r="BN221">
        <f>IF(AND(AN221=ReachLabel,BB221=1),AS221,0)</f>
        <v>0</v>
      </c>
      <c r="BO221">
        <f>IF(AND(AN221=MatchLabel,BB221=1),AS221,0)</f>
        <v>0</v>
      </c>
      <c r="BP221">
        <f>IF(AND(AN221=SafetyLabel,BB221=1),AS221,0)</f>
        <v>0</v>
      </c>
      <c r="BQ221">
        <f>IF(AND(AN221=SecureLabel,BB221=1),AS221,0)</f>
        <v>0</v>
      </c>
      <c r="BR221">
        <f>IF(AND(AN221=SureThingLabel,BB221=1),AS221,0)</f>
        <v>0</v>
      </c>
      <c r="BS221">
        <f>MAX(BN221:BR221)</f>
        <v>0</v>
      </c>
      <c r="BT221">
        <f>MAX(BO221:BR221)</f>
        <v>0</v>
      </c>
      <c r="BU221">
        <f>MAX(BP221:BR221)</f>
        <v>0</v>
      </c>
      <c r="BV221">
        <f>IF(ISNUMBER(AB221),INDEX(AllCollegeChicago, MATCH(N221,AllCollegeNCES,0))*BB221,0)</f>
        <v>0</v>
      </c>
      <c r="BW221">
        <f>IF(ISNUMBER(AB221),INDEX(AllCollegeMoneyCode, MATCH(N221,AllCollegeNCES,0)),"?")</f>
        <v>0</v>
      </c>
      <c r="BX221">
        <f>IF(OR(BW221="---",BW221="--",BW221="+/--",BW221="+/---"),1,0)</f>
        <v>0</v>
      </c>
      <c r="BY221">
        <f>BB221*AR221*AT221</f>
        <v>0</v>
      </c>
    </row>
    <row r="222" spans="1:77">
      <c r="A222" t="s">
        <v>96</v>
      </c>
      <c r="B222">
        <v>22973915</v>
      </c>
      <c r="C222" t="s">
        <v>294</v>
      </c>
      <c r="D222" t="s">
        <v>295</v>
      </c>
      <c r="E222" t="s">
        <v>446</v>
      </c>
      <c r="F222" t="s">
        <v>532</v>
      </c>
      <c r="G222" t="s">
        <v>448</v>
      </c>
      <c r="H222" t="s">
        <v>449</v>
      </c>
      <c r="I222" t="s">
        <v>450</v>
      </c>
      <c r="J222" t="s">
        <v>450</v>
      </c>
      <c r="K222">
        <v>0</v>
      </c>
      <c r="L222" t="s">
        <v>446</v>
      </c>
      <c r="M222" t="s">
        <v>446</v>
      </c>
      <c r="N222">
        <v>197230</v>
      </c>
      <c r="O222">
        <f>INDEX(Counselor,MATCH(B222,KidIDs,0))</f>
        <v>0</v>
      </c>
      <c r="P222">
        <f>INDEX(Advisors,MATCH(B222,KidIDs,0))</f>
        <v>0</v>
      </c>
      <c r="Q222">
        <f>INDEX(Cohort,MATCH(B222,KidIDs,0))</f>
        <v>0</v>
      </c>
      <c r="R222">
        <f>INDEX(AllCollegeBarrons,MATCH(N222,AllCollegeNCES,0))</f>
        <v>0</v>
      </c>
      <c r="S222">
        <f>INDEX(KidGPAs,MATCH(B222,KidIDs,0))</f>
        <v>0</v>
      </c>
      <c r="T222">
        <f>INDEX(KidSATs,MATCH(B222,KidIDs,0))</f>
        <v>0</v>
      </c>
      <c r="U222">
        <f>INDEX(Strats,MATCH(B222,KidIDs,0))</f>
        <v>0</v>
      </c>
      <c r="V222">
        <f>INDEX(KidRace,MATCH(B222,KidIDs,0))</f>
        <v>0</v>
      </c>
      <c r="W222">
        <f>IF(OR(V222="M",V222="I"),"H",IF(V222="P","A",V222))</f>
        <v>0</v>
      </c>
      <c r="X222">
        <f>INDEX(StudentTargets,MATCH(B222,KidIDs,0))</f>
        <v>0</v>
      </c>
      <c r="Y222">
        <f>INDEX(ReachStudentTargets,MATCH(B222,KidIDs,0))</f>
        <v>0</v>
      </c>
      <c r="Z222">
        <f>IF(OR(M222="Posse"),1,0)</f>
        <v>0</v>
      </c>
      <c r="AA222">
        <f>IF(ISNUMBER(INDEX(AllCollegeGR, MATCH(N222,AllCollegeNCES,0))),ROUND(INDEX(AllCollegeGR, MATCH(N222,AllCollegeNCES,0))+Z222*IF(INDEX(AllCollegeGR, MATCH(N222,AllCollegeNCES,0))&gt;0.7,(1-INDEX(AllCollegeGR, MATCH(N222,AllCollegeNCES,0)))/2,0.15),2),INDEX(AllCollegeGR, MATCH(N222,AllCollegeNCES,0)))</f>
        <v>0</v>
      </c>
      <c r="AB222">
        <f>IF(ISNUMBER(INDEX(AllCollegeAAHGR, MATCH(N222,AllCollegeNCES,0))),ROUND(INDEX(AllCollegeAAHGR, MATCH(N222,AllCollegeNCES,0))+Z222*IF(INDEX(AllCollegeAAHGR, MATCH(N222,AllCollegeNCES,0))&gt;0.7,(1-INDEX(AllCollegeAAHGR, MATCH(N222,AllCollegeNCES,0)))/2,0.15),2),INDEX(AllCollegeAAHGR, MATCH(N222,AllCollegeNCES,0)))</f>
        <v>0</v>
      </c>
      <c r="AC222">
        <f>IF(OR(W222="H",W222="B"),INDEX(AllCollegeSAT25, MATCH(N222,AllCollegeNCES,0)),INDEX(AllCollegeSAT50, MATCH(N222,AllCollegeNCES,0)))</f>
        <v>0</v>
      </c>
      <c r="AD222">
        <f>INDEX(CustomWeightsGPA,MATCH(W222&amp;":"&amp;N222,CustomWeightsIndex,0))</f>
        <v>0</v>
      </c>
      <c r="AE222">
        <f>INDEX(CustomWeightsSAT,MATCH(W222&amp;":"&amp;N222,CustomWeightsIndex,0))</f>
        <v>0</v>
      </c>
      <c r="AF222">
        <f>INDEX(CustomWeightsIntercept,MATCH(W222&amp;":"&amp;N222,CustomWeightsIndex,0))</f>
        <v>0</v>
      </c>
      <c r="AG222">
        <f>AD222*S222+AE222*T222+AF222</f>
        <v>0</v>
      </c>
      <c r="AH222">
        <f>INDEX(CoefficientsGPA,MATCH(W222&amp;":"&amp;R222,CoefficientsIndex,0))</f>
        <v>0</v>
      </c>
      <c r="AI222">
        <f>INDEX(CoefficientsSAT,MATCH(W222&amp;":"&amp;R222,CoefficientsIndex,0))</f>
        <v>0</v>
      </c>
      <c r="AJ222">
        <f>INDEX(CoefficientsIntercept,MATCH(W222&amp;":"&amp;R222,CoefficientsIndex,0))</f>
        <v>0</v>
      </c>
      <c r="AK222">
        <f>AH222*S222+(T222-AC222)*AI222+AJ222</f>
        <v>0</v>
      </c>
      <c r="AL222">
        <f>IF(ISNUMBER(AG222),AG222,AK222)</f>
        <v>0</v>
      </c>
      <c r="AM222">
        <f>IF(ISNUMBER(AL222),IF(ISNUMBER(AH222),IF(AND(AH222=1,AI222=1,AJ222=1),100,MIN(99,ROUND(100*EXP(AL222)/(1+EXP(AL222)),2))),MIN(99,ROUND(100*EXP(AL222)/(1+EXP(AL222)),2))),IF(ISTEXT(R222),IF(LEFT(R222,1)="2",100,"N/A"),"N/A"))</f>
        <v>0</v>
      </c>
      <c r="AN222">
        <f>IF(ISNUMBER(AM222),IF(AM222&gt;=99,IF(OR(U222=10,U222=11),MatchLabel,SureThingLabel),IF(AM222&gt;=95,SecureLabel,IF(AM222&gt;=80,SafetyLabel,IF(AM222&gt;=50,MatchLabel,IF(AM222&gt;=20,ReachLabel,IF(AM222&gt;=10,LongshotLabel,HailMaryLabel)))))),"Other")</f>
        <v>0</v>
      </c>
      <c r="AO222">
        <f>IF(OR(I222="accepted",I222="cond. accept",I222="summer admit"),IF(J222="yes","CHOICE!","Accepted!"),IF(I222="guar. transfer","Guar. Xfer",IF(I222="denied","Denied",IF(K222=1,"Waitlist",IF(L222=1,"Deferred",IF(G222="pending","Pending",IF(OR(G222="initial materials submitted",G222="mid-year submitted",G222="final submitted"),"Submitted",IF(H222="interest","Interest","?"))))))))</f>
        <v>0</v>
      </c>
      <c r="AP222">
        <f>IF(OR(AN222=ReachLabel,AN222=LongshotLabel,AN222=HailMaryLabel),1,0)</f>
        <v>0</v>
      </c>
      <c r="AQ222">
        <f>IF(OR(AP222=1,AN222=MatchLabel),1,0)</f>
        <v>0</v>
      </c>
      <c r="AR222">
        <f>IF(OR(AN222=MatchLabel,AN222=SafetyLabel,AN222=SecureLabel,AN222=SureThingLabel),1,0)</f>
        <v>0</v>
      </c>
      <c r="AS222">
        <f>IF(OR(W222="H",W222="B",W222="I",W222="M"),IF(ISNUMBER(AB222),ROUND(AB222,2),0),IF(ISNUMBER(AA222),ROUND(AA222,2),0))</f>
        <v>0</v>
      </c>
      <c r="AT222">
        <f>IF(AS222&gt;=X222,1,0)</f>
        <v>0</v>
      </c>
      <c r="AU222">
        <f>IF(AS222&gt;=Y222,1,0)</f>
        <v>0</v>
      </c>
      <c r="AV222">
        <f>IF(AS222&lt;(X222-0.10),1,0)</f>
        <v>0</v>
      </c>
      <c r="AW222">
        <f>1-AM222/100</f>
        <v>0</v>
      </c>
      <c r="AX222">
        <f>IF(AQ222=1,AW222,1)</f>
        <v>0</v>
      </c>
      <c r="AY222">
        <f>IF(AP222=1,AW222,1)</f>
        <v>0</v>
      </c>
      <c r="AZ222">
        <f>IF(AND(AT222=1,ISNUMBER(AW222)),$AW222,1)</f>
        <v>0</v>
      </c>
      <c r="BA222">
        <f>IF(AND(AU222=1,ISNUMBER(AW222)),$AW222,1)</f>
        <v>0</v>
      </c>
      <c r="BB222">
        <f>IF(ISNUMBER(AB222),INDEX(AllCollegeMoney, MATCH(N222,AllCollegeNCES,0)),0)</f>
        <v>0</v>
      </c>
      <c r="BC222">
        <f>IF(AND(AT222=1,ISNUMBER(AW222),BB222=1),$AW222,1)</f>
        <v>0</v>
      </c>
      <c r="BD222">
        <f>IF(AND(AU222=1,ISNUMBER(AW222),BB222=1),$AW222,1)</f>
        <v>0</v>
      </c>
      <c r="BE222">
        <f>IF(ISNUMBER(AB222),INDEX(AllCollegeILPub, MATCH(N222,AllCollegeNCES,0)),0)</f>
        <v>0</v>
      </c>
      <c r="BF222">
        <f>IF(AN222=ReachLabel,AS222,0)</f>
        <v>0</v>
      </c>
      <c r="BG222">
        <f>IF(AN222=MatchLabel,AS222,0)</f>
        <v>0</v>
      </c>
      <c r="BH222">
        <f>IF(AN222=SafetyLabel,AS222,0)</f>
        <v>0</v>
      </c>
      <c r="BI222">
        <f>IF(AN222=SecureLabel,AS222,0)</f>
        <v>0</v>
      </c>
      <c r="BJ222">
        <f>IF(AN222=SureThingLabel,AS222,0)</f>
        <v>0</v>
      </c>
      <c r="BK222">
        <f>MAX(BF222:BJ222)</f>
        <v>0</v>
      </c>
      <c r="BL222">
        <f>MAX(BG222:BJ222)</f>
        <v>0</v>
      </c>
      <c r="BM222">
        <f>MAX(BH222:BJ222)</f>
        <v>0</v>
      </c>
      <c r="BN222">
        <f>IF(AND(AN222=ReachLabel,BB222=1),AS222,0)</f>
        <v>0</v>
      </c>
      <c r="BO222">
        <f>IF(AND(AN222=MatchLabel,BB222=1),AS222,0)</f>
        <v>0</v>
      </c>
      <c r="BP222">
        <f>IF(AND(AN222=SafetyLabel,BB222=1),AS222,0)</f>
        <v>0</v>
      </c>
      <c r="BQ222">
        <f>IF(AND(AN222=SecureLabel,BB222=1),AS222,0)</f>
        <v>0</v>
      </c>
      <c r="BR222">
        <f>IF(AND(AN222=SureThingLabel,BB222=1),AS222,0)</f>
        <v>0</v>
      </c>
      <c r="BS222">
        <f>MAX(BN222:BR222)</f>
        <v>0</v>
      </c>
      <c r="BT222">
        <f>MAX(BO222:BR222)</f>
        <v>0</v>
      </c>
      <c r="BU222">
        <f>MAX(BP222:BR222)</f>
        <v>0</v>
      </c>
      <c r="BV222">
        <f>IF(ISNUMBER(AB222),INDEX(AllCollegeChicago, MATCH(N222,AllCollegeNCES,0))*BB222,0)</f>
        <v>0</v>
      </c>
      <c r="BW222">
        <f>IF(ISNUMBER(AB222),INDEX(AllCollegeMoneyCode, MATCH(N222,AllCollegeNCES,0)),"?")</f>
        <v>0</v>
      </c>
      <c r="BX222">
        <f>IF(OR(BW222="---",BW222="--",BW222="+/--",BW222="+/---"),1,0)</f>
        <v>0</v>
      </c>
      <c r="BY222">
        <f>BB222*AR222*AT222</f>
        <v>0</v>
      </c>
    </row>
    <row r="223" spans="1:77">
      <c r="A223" t="s">
        <v>96</v>
      </c>
      <c r="B223">
        <v>22973915</v>
      </c>
      <c r="C223" t="s">
        <v>294</v>
      </c>
      <c r="D223" t="s">
        <v>295</v>
      </c>
      <c r="E223" t="s">
        <v>446</v>
      </c>
      <c r="F223" t="s">
        <v>453</v>
      </c>
      <c r="G223" t="s">
        <v>448</v>
      </c>
      <c r="H223" t="s">
        <v>449</v>
      </c>
      <c r="I223" t="s">
        <v>450</v>
      </c>
      <c r="J223" t="s">
        <v>450</v>
      </c>
      <c r="K223">
        <v>0</v>
      </c>
      <c r="L223" t="s">
        <v>446</v>
      </c>
      <c r="M223" t="s">
        <v>454</v>
      </c>
      <c r="N223">
        <v>150774</v>
      </c>
      <c r="O223">
        <f>INDEX(Counselor,MATCH(B223,KidIDs,0))</f>
        <v>0</v>
      </c>
      <c r="P223">
        <f>INDEX(Advisors,MATCH(B223,KidIDs,0))</f>
        <v>0</v>
      </c>
      <c r="Q223">
        <f>INDEX(Cohort,MATCH(B223,KidIDs,0))</f>
        <v>0</v>
      </c>
      <c r="R223">
        <f>INDEX(AllCollegeBarrons,MATCH(N223,AllCollegeNCES,0))</f>
        <v>0</v>
      </c>
      <c r="S223">
        <f>INDEX(KidGPAs,MATCH(B223,KidIDs,0))</f>
        <v>0</v>
      </c>
      <c r="T223">
        <f>INDEX(KidSATs,MATCH(B223,KidIDs,0))</f>
        <v>0</v>
      </c>
      <c r="U223">
        <f>INDEX(Strats,MATCH(B223,KidIDs,0))</f>
        <v>0</v>
      </c>
      <c r="V223">
        <f>INDEX(KidRace,MATCH(B223,KidIDs,0))</f>
        <v>0</v>
      </c>
      <c r="W223">
        <f>IF(OR(V223="M",V223="I"),"H",IF(V223="P","A",V223))</f>
        <v>0</v>
      </c>
      <c r="X223">
        <f>INDEX(StudentTargets,MATCH(B223,KidIDs,0))</f>
        <v>0</v>
      </c>
      <c r="Y223">
        <f>INDEX(ReachStudentTargets,MATCH(B223,KidIDs,0))</f>
        <v>0</v>
      </c>
      <c r="Z223">
        <f>IF(OR(M223="Posse"),1,0)</f>
        <v>0</v>
      </c>
      <c r="AA223">
        <f>IF(ISNUMBER(INDEX(AllCollegeGR, MATCH(N223,AllCollegeNCES,0))),ROUND(INDEX(AllCollegeGR, MATCH(N223,AllCollegeNCES,0))+Z223*IF(INDEX(AllCollegeGR, MATCH(N223,AllCollegeNCES,0))&gt;0.7,(1-INDEX(AllCollegeGR, MATCH(N223,AllCollegeNCES,0)))/2,0.15),2),INDEX(AllCollegeGR, MATCH(N223,AllCollegeNCES,0)))</f>
        <v>0</v>
      </c>
      <c r="AB223">
        <f>IF(ISNUMBER(INDEX(AllCollegeAAHGR, MATCH(N223,AllCollegeNCES,0))),ROUND(INDEX(AllCollegeAAHGR, MATCH(N223,AllCollegeNCES,0))+Z223*IF(INDEX(AllCollegeAAHGR, MATCH(N223,AllCollegeNCES,0))&gt;0.7,(1-INDEX(AllCollegeAAHGR, MATCH(N223,AllCollegeNCES,0)))/2,0.15),2),INDEX(AllCollegeAAHGR, MATCH(N223,AllCollegeNCES,0)))</f>
        <v>0</v>
      </c>
      <c r="AC223">
        <f>IF(OR(W223="H",W223="B"),INDEX(AllCollegeSAT25, MATCH(N223,AllCollegeNCES,0)),INDEX(AllCollegeSAT50, MATCH(N223,AllCollegeNCES,0)))</f>
        <v>0</v>
      </c>
      <c r="AD223">
        <f>INDEX(CustomWeightsGPA,MATCH(W223&amp;":"&amp;N223,CustomWeightsIndex,0))</f>
        <v>0</v>
      </c>
      <c r="AE223">
        <f>INDEX(CustomWeightsSAT,MATCH(W223&amp;":"&amp;N223,CustomWeightsIndex,0))</f>
        <v>0</v>
      </c>
      <c r="AF223">
        <f>INDEX(CustomWeightsIntercept,MATCH(W223&amp;":"&amp;N223,CustomWeightsIndex,0))</f>
        <v>0</v>
      </c>
      <c r="AG223">
        <f>AD223*S223+AE223*T223+AF223</f>
        <v>0</v>
      </c>
      <c r="AH223">
        <f>INDEX(CoefficientsGPA,MATCH(W223&amp;":"&amp;R223,CoefficientsIndex,0))</f>
        <v>0</v>
      </c>
      <c r="AI223">
        <f>INDEX(CoefficientsSAT,MATCH(W223&amp;":"&amp;R223,CoefficientsIndex,0))</f>
        <v>0</v>
      </c>
      <c r="AJ223">
        <f>INDEX(CoefficientsIntercept,MATCH(W223&amp;":"&amp;R223,CoefficientsIndex,0))</f>
        <v>0</v>
      </c>
      <c r="AK223">
        <f>AH223*S223+(T223-AC223)*AI223+AJ223</f>
        <v>0</v>
      </c>
      <c r="AL223">
        <f>IF(ISNUMBER(AG223),AG223,AK223)</f>
        <v>0</v>
      </c>
      <c r="AM223">
        <f>IF(ISNUMBER(AL223),IF(ISNUMBER(AH223),IF(AND(AH223=1,AI223=1,AJ223=1),100,MIN(99,ROUND(100*EXP(AL223)/(1+EXP(AL223)),2))),MIN(99,ROUND(100*EXP(AL223)/(1+EXP(AL223)),2))),IF(ISTEXT(R223),IF(LEFT(R223,1)="2",100,"N/A"),"N/A"))</f>
        <v>0</v>
      </c>
      <c r="AN223">
        <f>IF(ISNUMBER(AM223),IF(AM223&gt;=99,IF(OR(U223=10,U223=11),MatchLabel,SureThingLabel),IF(AM223&gt;=95,SecureLabel,IF(AM223&gt;=80,SafetyLabel,IF(AM223&gt;=50,MatchLabel,IF(AM223&gt;=20,ReachLabel,IF(AM223&gt;=10,LongshotLabel,HailMaryLabel)))))),"Other")</f>
        <v>0</v>
      </c>
      <c r="AO223">
        <f>IF(OR(I223="accepted",I223="cond. accept",I223="summer admit"),IF(J223="yes","CHOICE!","Accepted!"),IF(I223="guar. transfer","Guar. Xfer",IF(I223="denied","Denied",IF(K223=1,"Waitlist",IF(L223=1,"Deferred",IF(G223="pending","Pending",IF(OR(G223="initial materials submitted",G223="mid-year submitted",G223="final submitted"),"Submitted",IF(H223="interest","Interest","?"))))))))</f>
        <v>0</v>
      </c>
      <c r="AP223">
        <f>IF(OR(AN223=ReachLabel,AN223=LongshotLabel,AN223=HailMaryLabel),1,0)</f>
        <v>0</v>
      </c>
      <c r="AQ223">
        <f>IF(OR(AP223=1,AN223=MatchLabel),1,0)</f>
        <v>0</v>
      </c>
      <c r="AR223">
        <f>IF(OR(AN223=MatchLabel,AN223=SafetyLabel,AN223=SecureLabel,AN223=SureThingLabel),1,0)</f>
        <v>0</v>
      </c>
      <c r="AS223">
        <f>IF(OR(W223="H",W223="B",W223="I",W223="M"),IF(ISNUMBER(AB223),ROUND(AB223,2),0),IF(ISNUMBER(AA223),ROUND(AA223,2),0))</f>
        <v>0</v>
      </c>
      <c r="AT223">
        <f>IF(AS223&gt;=X223,1,0)</f>
        <v>0</v>
      </c>
      <c r="AU223">
        <f>IF(AS223&gt;=Y223,1,0)</f>
        <v>0</v>
      </c>
      <c r="AV223">
        <f>IF(AS223&lt;(X223-0.10),1,0)</f>
        <v>0</v>
      </c>
      <c r="AW223">
        <f>1-AM223/100</f>
        <v>0</v>
      </c>
      <c r="AX223">
        <f>IF(AQ223=1,AW223,1)</f>
        <v>0</v>
      </c>
      <c r="AY223">
        <f>IF(AP223=1,AW223,1)</f>
        <v>0</v>
      </c>
      <c r="AZ223">
        <f>IF(AND(AT223=1,ISNUMBER(AW223)),$AW223,1)</f>
        <v>0</v>
      </c>
      <c r="BA223">
        <f>IF(AND(AU223=1,ISNUMBER(AW223)),$AW223,1)</f>
        <v>0</v>
      </c>
      <c r="BB223">
        <f>IF(ISNUMBER(AB223),INDEX(AllCollegeMoney, MATCH(N223,AllCollegeNCES,0)),0)</f>
        <v>0</v>
      </c>
      <c r="BC223">
        <f>IF(AND(AT223=1,ISNUMBER(AW223),BB223=1),$AW223,1)</f>
        <v>0</v>
      </c>
      <c r="BD223">
        <f>IF(AND(AU223=1,ISNUMBER(AW223),BB223=1),$AW223,1)</f>
        <v>0</v>
      </c>
      <c r="BE223">
        <f>IF(ISNUMBER(AB223),INDEX(AllCollegeILPub, MATCH(N223,AllCollegeNCES,0)),0)</f>
        <v>0</v>
      </c>
      <c r="BF223">
        <f>IF(AN223=ReachLabel,AS223,0)</f>
        <v>0</v>
      </c>
      <c r="BG223">
        <f>IF(AN223=MatchLabel,AS223,0)</f>
        <v>0</v>
      </c>
      <c r="BH223">
        <f>IF(AN223=SafetyLabel,AS223,0)</f>
        <v>0</v>
      </c>
      <c r="BI223">
        <f>IF(AN223=SecureLabel,AS223,0)</f>
        <v>0</v>
      </c>
      <c r="BJ223">
        <f>IF(AN223=SureThingLabel,AS223,0)</f>
        <v>0</v>
      </c>
      <c r="BK223">
        <f>MAX(BF223:BJ223)</f>
        <v>0</v>
      </c>
      <c r="BL223">
        <f>MAX(BG223:BJ223)</f>
        <v>0</v>
      </c>
      <c r="BM223">
        <f>MAX(BH223:BJ223)</f>
        <v>0</v>
      </c>
      <c r="BN223">
        <f>IF(AND(AN223=ReachLabel,BB223=1),AS223,0)</f>
        <v>0</v>
      </c>
      <c r="BO223">
        <f>IF(AND(AN223=MatchLabel,BB223=1),AS223,0)</f>
        <v>0</v>
      </c>
      <c r="BP223">
        <f>IF(AND(AN223=SafetyLabel,BB223=1),AS223,0)</f>
        <v>0</v>
      </c>
      <c r="BQ223">
        <f>IF(AND(AN223=SecureLabel,BB223=1),AS223,0)</f>
        <v>0</v>
      </c>
      <c r="BR223">
        <f>IF(AND(AN223=SureThingLabel,BB223=1),AS223,0)</f>
        <v>0</v>
      </c>
      <c r="BS223">
        <f>MAX(BN223:BR223)</f>
        <v>0</v>
      </c>
      <c r="BT223">
        <f>MAX(BO223:BR223)</f>
        <v>0</v>
      </c>
      <c r="BU223">
        <f>MAX(BP223:BR223)</f>
        <v>0</v>
      </c>
      <c r="BV223">
        <f>IF(ISNUMBER(AB223),INDEX(AllCollegeChicago, MATCH(N223,AllCollegeNCES,0))*BB223,0)</f>
        <v>0</v>
      </c>
      <c r="BW223">
        <f>IF(ISNUMBER(AB223),INDEX(AllCollegeMoneyCode, MATCH(N223,AllCollegeNCES,0)),"?")</f>
        <v>0</v>
      </c>
      <c r="BX223">
        <f>IF(OR(BW223="---",BW223="--",BW223="+/--",BW223="+/---"),1,0)</f>
        <v>0</v>
      </c>
      <c r="BY223">
        <f>BB223*AR223*AT223</f>
        <v>0</v>
      </c>
    </row>
    <row r="224" spans="1:77">
      <c r="A224" t="s">
        <v>96</v>
      </c>
      <c r="B224">
        <v>22973915</v>
      </c>
      <c r="C224" t="s">
        <v>294</v>
      </c>
      <c r="D224" t="s">
        <v>295</v>
      </c>
      <c r="E224" t="s">
        <v>446</v>
      </c>
      <c r="F224" t="s">
        <v>466</v>
      </c>
      <c r="G224" t="s">
        <v>448</v>
      </c>
      <c r="H224" t="s">
        <v>449</v>
      </c>
      <c r="I224" t="s">
        <v>450</v>
      </c>
      <c r="J224" t="s">
        <v>450</v>
      </c>
      <c r="K224">
        <v>0</v>
      </c>
      <c r="L224" t="s">
        <v>446</v>
      </c>
      <c r="M224" t="s">
        <v>446</v>
      </c>
      <c r="N224">
        <v>100000001</v>
      </c>
      <c r="O224">
        <f>INDEX(Counselor,MATCH(B224,KidIDs,0))</f>
        <v>0</v>
      </c>
      <c r="P224">
        <f>INDEX(Advisors,MATCH(B224,KidIDs,0))</f>
        <v>0</v>
      </c>
      <c r="Q224">
        <f>INDEX(Cohort,MATCH(B224,KidIDs,0))</f>
        <v>0</v>
      </c>
      <c r="R224">
        <f>INDEX(AllCollegeBarrons,MATCH(N224,AllCollegeNCES,0))</f>
        <v>0</v>
      </c>
      <c r="S224">
        <f>INDEX(KidGPAs,MATCH(B224,KidIDs,0))</f>
        <v>0</v>
      </c>
      <c r="T224">
        <f>INDEX(KidSATs,MATCH(B224,KidIDs,0))</f>
        <v>0</v>
      </c>
      <c r="U224">
        <f>INDEX(Strats,MATCH(B224,KidIDs,0))</f>
        <v>0</v>
      </c>
      <c r="V224">
        <f>INDEX(KidRace,MATCH(B224,KidIDs,0))</f>
        <v>0</v>
      </c>
      <c r="W224">
        <f>IF(OR(V224="M",V224="I"),"H",IF(V224="P","A",V224))</f>
        <v>0</v>
      </c>
      <c r="X224">
        <f>INDEX(StudentTargets,MATCH(B224,KidIDs,0))</f>
        <v>0</v>
      </c>
      <c r="Y224">
        <f>INDEX(ReachStudentTargets,MATCH(B224,KidIDs,0))</f>
        <v>0</v>
      </c>
      <c r="Z224">
        <f>IF(OR(M224="Posse"),1,0)</f>
        <v>0</v>
      </c>
      <c r="AA224">
        <f>IF(ISNUMBER(INDEX(AllCollegeGR, MATCH(N224,AllCollegeNCES,0))),ROUND(INDEX(AllCollegeGR, MATCH(N224,AllCollegeNCES,0))+Z224*IF(INDEX(AllCollegeGR, MATCH(N224,AllCollegeNCES,0))&gt;0.7,(1-INDEX(AllCollegeGR, MATCH(N224,AllCollegeNCES,0)))/2,0.15),2),INDEX(AllCollegeGR, MATCH(N224,AllCollegeNCES,0)))</f>
        <v>0</v>
      </c>
      <c r="AB224">
        <f>IF(ISNUMBER(INDEX(AllCollegeAAHGR, MATCH(N224,AllCollegeNCES,0))),ROUND(INDEX(AllCollegeAAHGR, MATCH(N224,AllCollegeNCES,0))+Z224*IF(INDEX(AllCollegeAAHGR, MATCH(N224,AllCollegeNCES,0))&gt;0.7,(1-INDEX(AllCollegeAAHGR, MATCH(N224,AllCollegeNCES,0)))/2,0.15),2),INDEX(AllCollegeAAHGR, MATCH(N224,AllCollegeNCES,0)))</f>
        <v>0</v>
      </c>
      <c r="AC224">
        <f>IF(OR(W224="H",W224="B"),INDEX(AllCollegeSAT25, MATCH(N224,AllCollegeNCES,0)),INDEX(AllCollegeSAT50, MATCH(N224,AllCollegeNCES,0)))</f>
        <v>0</v>
      </c>
      <c r="AD224">
        <f>INDEX(CustomWeightsGPA,MATCH(W224&amp;":"&amp;N224,CustomWeightsIndex,0))</f>
        <v>0</v>
      </c>
      <c r="AE224">
        <f>INDEX(CustomWeightsSAT,MATCH(W224&amp;":"&amp;N224,CustomWeightsIndex,0))</f>
        <v>0</v>
      </c>
      <c r="AF224">
        <f>INDEX(CustomWeightsIntercept,MATCH(W224&amp;":"&amp;N224,CustomWeightsIndex,0))</f>
        <v>0</v>
      </c>
      <c r="AG224">
        <f>AD224*S224+AE224*T224+AF224</f>
        <v>0</v>
      </c>
      <c r="AH224">
        <f>INDEX(CoefficientsGPA,MATCH(W224&amp;":"&amp;R224,CoefficientsIndex,0))</f>
        <v>0</v>
      </c>
      <c r="AI224">
        <f>INDEX(CoefficientsSAT,MATCH(W224&amp;":"&amp;R224,CoefficientsIndex,0))</f>
        <v>0</v>
      </c>
      <c r="AJ224">
        <f>INDEX(CoefficientsIntercept,MATCH(W224&amp;":"&amp;R224,CoefficientsIndex,0))</f>
        <v>0</v>
      </c>
      <c r="AK224">
        <f>AH224*S224+(T224-AC224)*AI224+AJ224</f>
        <v>0</v>
      </c>
      <c r="AL224">
        <f>IF(ISNUMBER(AG224),AG224,AK224)</f>
        <v>0</v>
      </c>
      <c r="AM224">
        <f>IF(ISNUMBER(AL224),IF(ISNUMBER(AH224),IF(AND(AH224=1,AI224=1,AJ224=1),100,MIN(99,ROUND(100*EXP(AL224)/(1+EXP(AL224)),2))),MIN(99,ROUND(100*EXP(AL224)/(1+EXP(AL224)),2))),IF(ISTEXT(R224),IF(LEFT(R224,1)="2",100,"N/A"),"N/A"))</f>
        <v>0</v>
      </c>
      <c r="AN224">
        <f>IF(ISNUMBER(AM224),IF(AM224&gt;=99,IF(OR(U224=10,U224=11),MatchLabel,SureThingLabel),IF(AM224&gt;=95,SecureLabel,IF(AM224&gt;=80,SafetyLabel,IF(AM224&gt;=50,MatchLabel,IF(AM224&gt;=20,ReachLabel,IF(AM224&gt;=10,LongshotLabel,HailMaryLabel)))))),"Other")</f>
        <v>0</v>
      </c>
      <c r="AO224">
        <f>IF(OR(I224="accepted",I224="cond. accept",I224="summer admit"),IF(J224="yes","CHOICE!","Accepted!"),IF(I224="guar. transfer","Guar. Xfer",IF(I224="denied","Denied",IF(K224=1,"Waitlist",IF(L224=1,"Deferred",IF(G224="pending","Pending",IF(OR(G224="initial materials submitted",G224="mid-year submitted",G224="final submitted"),"Submitted",IF(H224="interest","Interest","?"))))))))</f>
        <v>0</v>
      </c>
      <c r="AP224">
        <f>IF(OR(AN224=ReachLabel,AN224=LongshotLabel,AN224=HailMaryLabel),1,0)</f>
        <v>0</v>
      </c>
      <c r="AQ224">
        <f>IF(OR(AP224=1,AN224=MatchLabel),1,0)</f>
        <v>0</v>
      </c>
      <c r="AR224">
        <f>IF(OR(AN224=MatchLabel,AN224=SafetyLabel,AN224=SecureLabel,AN224=SureThingLabel),1,0)</f>
        <v>0</v>
      </c>
      <c r="AS224">
        <f>IF(OR(W224="H",W224="B",W224="I",W224="M"),IF(ISNUMBER(AB224),ROUND(AB224,2),0),IF(ISNUMBER(AA224),ROUND(AA224,2),0))</f>
        <v>0</v>
      </c>
      <c r="AT224">
        <f>IF(AS224&gt;=X224,1,0)</f>
        <v>0</v>
      </c>
      <c r="AU224">
        <f>IF(AS224&gt;=Y224,1,0)</f>
        <v>0</v>
      </c>
      <c r="AV224">
        <f>IF(AS224&lt;(X224-0.10),1,0)</f>
        <v>0</v>
      </c>
      <c r="AW224">
        <f>1-AM224/100</f>
        <v>0</v>
      </c>
      <c r="AX224">
        <f>IF(AQ224=1,AW224,1)</f>
        <v>0</v>
      </c>
      <c r="AY224">
        <f>IF(AP224=1,AW224,1)</f>
        <v>0</v>
      </c>
      <c r="AZ224">
        <f>IF(AND(AT224=1,ISNUMBER(AW224)),$AW224,1)</f>
        <v>0</v>
      </c>
      <c r="BA224">
        <f>IF(AND(AU224=1,ISNUMBER(AW224)),$AW224,1)</f>
        <v>0</v>
      </c>
      <c r="BB224">
        <f>IF(ISNUMBER(AB224),INDEX(AllCollegeMoney, MATCH(N224,AllCollegeNCES,0)),0)</f>
        <v>0</v>
      </c>
      <c r="BC224">
        <f>IF(AND(AT224=1,ISNUMBER(AW224),BB224=1),$AW224,1)</f>
        <v>0</v>
      </c>
      <c r="BD224">
        <f>IF(AND(AU224=1,ISNUMBER(AW224),BB224=1),$AW224,1)</f>
        <v>0</v>
      </c>
      <c r="BE224">
        <f>IF(ISNUMBER(AB224),INDEX(AllCollegeILPub, MATCH(N224,AllCollegeNCES,0)),0)</f>
        <v>0</v>
      </c>
      <c r="BF224">
        <f>IF(AN224=ReachLabel,AS224,0)</f>
        <v>0</v>
      </c>
      <c r="BG224">
        <f>IF(AN224=MatchLabel,AS224,0)</f>
        <v>0</v>
      </c>
      <c r="BH224">
        <f>IF(AN224=SafetyLabel,AS224,0)</f>
        <v>0</v>
      </c>
      <c r="BI224">
        <f>IF(AN224=SecureLabel,AS224,0)</f>
        <v>0</v>
      </c>
      <c r="BJ224">
        <f>IF(AN224=SureThingLabel,AS224,0)</f>
        <v>0</v>
      </c>
      <c r="BK224">
        <f>MAX(BF224:BJ224)</f>
        <v>0</v>
      </c>
      <c r="BL224">
        <f>MAX(BG224:BJ224)</f>
        <v>0</v>
      </c>
      <c r="BM224">
        <f>MAX(BH224:BJ224)</f>
        <v>0</v>
      </c>
      <c r="BN224">
        <f>IF(AND(AN224=ReachLabel,BB224=1),AS224,0)</f>
        <v>0</v>
      </c>
      <c r="BO224">
        <f>IF(AND(AN224=MatchLabel,BB224=1),AS224,0)</f>
        <v>0</v>
      </c>
      <c r="BP224">
        <f>IF(AND(AN224=SafetyLabel,BB224=1),AS224,0)</f>
        <v>0</v>
      </c>
      <c r="BQ224">
        <f>IF(AND(AN224=SecureLabel,BB224=1),AS224,0)</f>
        <v>0</v>
      </c>
      <c r="BR224">
        <f>IF(AND(AN224=SureThingLabel,BB224=1),AS224,0)</f>
        <v>0</v>
      </c>
      <c r="BS224">
        <f>MAX(BN224:BR224)</f>
        <v>0</v>
      </c>
      <c r="BT224">
        <f>MAX(BO224:BR224)</f>
        <v>0</v>
      </c>
      <c r="BU224">
        <f>MAX(BP224:BR224)</f>
        <v>0</v>
      </c>
      <c r="BV224">
        <f>IF(ISNUMBER(AB224),INDEX(AllCollegeChicago, MATCH(N224,AllCollegeNCES,0))*BB224,0)</f>
        <v>0</v>
      </c>
      <c r="BW224">
        <f>IF(ISNUMBER(AB224),INDEX(AllCollegeMoneyCode, MATCH(N224,AllCollegeNCES,0)),"?")</f>
        <v>0</v>
      </c>
      <c r="BX224">
        <f>IF(OR(BW224="---",BW224="--",BW224="+/--",BW224="+/---"),1,0)</f>
        <v>0</v>
      </c>
      <c r="BY224">
        <f>BB224*AR224*AT224</f>
        <v>0</v>
      </c>
    </row>
    <row r="225" spans="1:77">
      <c r="A225" t="s">
        <v>96</v>
      </c>
      <c r="B225">
        <v>22973915</v>
      </c>
      <c r="C225" t="s">
        <v>294</v>
      </c>
      <c r="D225" t="s">
        <v>295</v>
      </c>
      <c r="E225" t="s">
        <v>446</v>
      </c>
      <c r="F225" t="s">
        <v>457</v>
      </c>
      <c r="G225" t="s">
        <v>448</v>
      </c>
      <c r="H225" t="s">
        <v>449</v>
      </c>
      <c r="I225" t="s">
        <v>450</v>
      </c>
      <c r="J225" t="s">
        <v>450</v>
      </c>
      <c r="K225">
        <v>0</v>
      </c>
      <c r="L225" t="s">
        <v>446</v>
      </c>
      <c r="M225" t="s">
        <v>446</v>
      </c>
      <c r="N225">
        <v>147703</v>
      </c>
      <c r="O225">
        <f>INDEX(Counselor,MATCH(B225,KidIDs,0))</f>
        <v>0</v>
      </c>
      <c r="P225">
        <f>INDEX(Advisors,MATCH(B225,KidIDs,0))</f>
        <v>0</v>
      </c>
      <c r="Q225">
        <f>INDEX(Cohort,MATCH(B225,KidIDs,0))</f>
        <v>0</v>
      </c>
      <c r="R225">
        <f>INDEX(AllCollegeBarrons,MATCH(N225,AllCollegeNCES,0))</f>
        <v>0</v>
      </c>
      <c r="S225">
        <f>INDEX(KidGPAs,MATCH(B225,KidIDs,0))</f>
        <v>0</v>
      </c>
      <c r="T225">
        <f>INDEX(KidSATs,MATCH(B225,KidIDs,0))</f>
        <v>0</v>
      </c>
      <c r="U225">
        <f>INDEX(Strats,MATCH(B225,KidIDs,0))</f>
        <v>0</v>
      </c>
      <c r="V225">
        <f>INDEX(KidRace,MATCH(B225,KidIDs,0))</f>
        <v>0</v>
      </c>
      <c r="W225">
        <f>IF(OR(V225="M",V225="I"),"H",IF(V225="P","A",V225))</f>
        <v>0</v>
      </c>
      <c r="X225">
        <f>INDEX(StudentTargets,MATCH(B225,KidIDs,0))</f>
        <v>0</v>
      </c>
      <c r="Y225">
        <f>INDEX(ReachStudentTargets,MATCH(B225,KidIDs,0))</f>
        <v>0</v>
      </c>
      <c r="Z225">
        <f>IF(OR(M225="Posse"),1,0)</f>
        <v>0</v>
      </c>
      <c r="AA225">
        <f>IF(ISNUMBER(INDEX(AllCollegeGR, MATCH(N225,AllCollegeNCES,0))),ROUND(INDEX(AllCollegeGR, MATCH(N225,AllCollegeNCES,0))+Z225*IF(INDEX(AllCollegeGR, MATCH(N225,AllCollegeNCES,0))&gt;0.7,(1-INDEX(AllCollegeGR, MATCH(N225,AllCollegeNCES,0)))/2,0.15),2),INDEX(AllCollegeGR, MATCH(N225,AllCollegeNCES,0)))</f>
        <v>0</v>
      </c>
      <c r="AB225">
        <f>IF(ISNUMBER(INDEX(AllCollegeAAHGR, MATCH(N225,AllCollegeNCES,0))),ROUND(INDEX(AllCollegeAAHGR, MATCH(N225,AllCollegeNCES,0))+Z225*IF(INDEX(AllCollegeAAHGR, MATCH(N225,AllCollegeNCES,0))&gt;0.7,(1-INDEX(AllCollegeAAHGR, MATCH(N225,AllCollegeNCES,0)))/2,0.15),2),INDEX(AllCollegeAAHGR, MATCH(N225,AllCollegeNCES,0)))</f>
        <v>0</v>
      </c>
      <c r="AC225">
        <f>IF(OR(W225="H",W225="B"),INDEX(AllCollegeSAT25, MATCH(N225,AllCollegeNCES,0)),INDEX(AllCollegeSAT50, MATCH(N225,AllCollegeNCES,0)))</f>
        <v>0</v>
      </c>
      <c r="AD225">
        <f>INDEX(CustomWeightsGPA,MATCH(W225&amp;":"&amp;N225,CustomWeightsIndex,0))</f>
        <v>0</v>
      </c>
      <c r="AE225">
        <f>INDEX(CustomWeightsSAT,MATCH(W225&amp;":"&amp;N225,CustomWeightsIndex,0))</f>
        <v>0</v>
      </c>
      <c r="AF225">
        <f>INDEX(CustomWeightsIntercept,MATCH(W225&amp;":"&amp;N225,CustomWeightsIndex,0))</f>
        <v>0</v>
      </c>
      <c r="AG225">
        <f>AD225*S225+AE225*T225+AF225</f>
        <v>0</v>
      </c>
      <c r="AH225">
        <f>INDEX(CoefficientsGPA,MATCH(W225&amp;":"&amp;R225,CoefficientsIndex,0))</f>
        <v>0</v>
      </c>
      <c r="AI225">
        <f>INDEX(CoefficientsSAT,MATCH(W225&amp;":"&amp;R225,CoefficientsIndex,0))</f>
        <v>0</v>
      </c>
      <c r="AJ225">
        <f>INDEX(CoefficientsIntercept,MATCH(W225&amp;":"&amp;R225,CoefficientsIndex,0))</f>
        <v>0</v>
      </c>
      <c r="AK225">
        <f>AH225*S225+(T225-AC225)*AI225+AJ225</f>
        <v>0</v>
      </c>
      <c r="AL225">
        <f>IF(ISNUMBER(AG225),AG225,AK225)</f>
        <v>0</v>
      </c>
      <c r="AM225">
        <f>IF(ISNUMBER(AL225),IF(ISNUMBER(AH225),IF(AND(AH225=1,AI225=1,AJ225=1),100,MIN(99,ROUND(100*EXP(AL225)/(1+EXP(AL225)),2))),MIN(99,ROUND(100*EXP(AL225)/(1+EXP(AL225)),2))),IF(ISTEXT(R225),IF(LEFT(R225,1)="2",100,"N/A"),"N/A"))</f>
        <v>0</v>
      </c>
      <c r="AN225">
        <f>IF(ISNUMBER(AM225),IF(AM225&gt;=99,IF(OR(U225=10,U225=11),MatchLabel,SureThingLabel),IF(AM225&gt;=95,SecureLabel,IF(AM225&gt;=80,SafetyLabel,IF(AM225&gt;=50,MatchLabel,IF(AM225&gt;=20,ReachLabel,IF(AM225&gt;=10,LongshotLabel,HailMaryLabel)))))),"Other")</f>
        <v>0</v>
      </c>
      <c r="AO225">
        <f>IF(OR(I225="accepted",I225="cond. accept",I225="summer admit"),IF(J225="yes","CHOICE!","Accepted!"),IF(I225="guar. transfer","Guar. Xfer",IF(I225="denied","Denied",IF(K225=1,"Waitlist",IF(L225=1,"Deferred",IF(G225="pending","Pending",IF(OR(G225="initial materials submitted",G225="mid-year submitted",G225="final submitted"),"Submitted",IF(H225="interest","Interest","?"))))))))</f>
        <v>0</v>
      </c>
      <c r="AP225">
        <f>IF(OR(AN225=ReachLabel,AN225=LongshotLabel,AN225=HailMaryLabel),1,0)</f>
        <v>0</v>
      </c>
      <c r="AQ225">
        <f>IF(OR(AP225=1,AN225=MatchLabel),1,0)</f>
        <v>0</v>
      </c>
      <c r="AR225">
        <f>IF(OR(AN225=MatchLabel,AN225=SafetyLabel,AN225=SecureLabel,AN225=SureThingLabel),1,0)</f>
        <v>0</v>
      </c>
      <c r="AS225">
        <f>IF(OR(W225="H",W225="B",W225="I",W225="M"),IF(ISNUMBER(AB225),ROUND(AB225,2),0),IF(ISNUMBER(AA225),ROUND(AA225,2),0))</f>
        <v>0</v>
      </c>
      <c r="AT225">
        <f>IF(AS225&gt;=X225,1,0)</f>
        <v>0</v>
      </c>
      <c r="AU225">
        <f>IF(AS225&gt;=Y225,1,0)</f>
        <v>0</v>
      </c>
      <c r="AV225">
        <f>IF(AS225&lt;(X225-0.10),1,0)</f>
        <v>0</v>
      </c>
      <c r="AW225">
        <f>1-AM225/100</f>
        <v>0</v>
      </c>
      <c r="AX225">
        <f>IF(AQ225=1,AW225,1)</f>
        <v>0</v>
      </c>
      <c r="AY225">
        <f>IF(AP225=1,AW225,1)</f>
        <v>0</v>
      </c>
      <c r="AZ225">
        <f>IF(AND(AT225=1,ISNUMBER(AW225)),$AW225,1)</f>
        <v>0</v>
      </c>
      <c r="BA225">
        <f>IF(AND(AU225=1,ISNUMBER(AW225)),$AW225,1)</f>
        <v>0</v>
      </c>
      <c r="BB225">
        <f>IF(ISNUMBER(AB225),INDEX(AllCollegeMoney, MATCH(N225,AllCollegeNCES,0)),0)</f>
        <v>0</v>
      </c>
      <c r="BC225">
        <f>IF(AND(AT225=1,ISNUMBER(AW225),BB225=1),$AW225,1)</f>
        <v>0</v>
      </c>
      <c r="BD225">
        <f>IF(AND(AU225=1,ISNUMBER(AW225),BB225=1),$AW225,1)</f>
        <v>0</v>
      </c>
      <c r="BE225">
        <f>IF(ISNUMBER(AB225),INDEX(AllCollegeILPub, MATCH(N225,AllCollegeNCES,0)),0)</f>
        <v>0</v>
      </c>
      <c r="BF225">
        <f>IF(AN225=ReachLabel,AS225,0)</f>
        <v>0</v>
      </c>
      <c r="BG225">
        <f>IF(AN225=MatchLabel,AS225,0)</f>
        <v>0</v>
      </c>
      <c r="BH225">
        <f>IF(AN225=SafetyLabel,AS225,0)</f>
        <v>0</v>
      </c>
      <c r="BI225">
        <f>IF(AN225=SecureLabel,AS225,0)</f>
        <v>0</v>
      </c>
      <c r="BJ225">
        <f>IF(AN225=SureThingLabel,AS225,0)</f>
        <v>0</v>
      </c>
      <c r="BK225">
        <f>MAX(BF225:BJ225)</f>
        <v>0</v>
      </c>
      <c r="BL225">
        <f>MAX(BG225:BJ225)</f>
        <v>0</v>
      </c>
      <c r="BM225">
        <f>MAX(BH225:BJ225)</f>
        <v>0</v>
      </c>
      <c r="BN225">
        <f>IF(AND(AN225=ReachLabel,BB225=1),AS225,0)</f>
        <v>0</v>
      </c>
      <c r="BO225">
        <f>IF(AND(AN225=MatchLabel,BB225=1),AS225,0)</f>
        <v>0</v>
      </c>
      <c r="BP225">
        <f>IF(AND(AN225=SafetyLabel,BB225=1),AS225,0)</f>
        <v>0</v>
      </c>
      <c r="BQ225">
        <f>IF(AND(AN225=SecureLabel,BB225=1),AS225,0)</f>
        <v>0</v>
      </c>
      <c r="BR225">
        <f>IF(AND(AN225=SureThingLabel,BB225=1),AS225,0)</f>
        <v>0</v>
      </c>
      <c r="BS225">
        <f>MAX(BN225:BR225)</f>
        <v>0</v>
      </c>
      <c r="BT225">
        <f>MAX(BO225:BR225)</f>
        <v>0</v>
      </c>
      <c r="BU225">
        <f>MAX(BP225:BR225)</f>
        <v>0</v>
      </c>
      <c r="BV225">
        <f>IF(ISNUMBER(AB225),INDEX(AllCollegeChicago, MATCH(N225,AllCollegeNCES,0))*BB225,0)</f>
        <v>0</v>
      </c>
      <c r="BW225">
        <f>IF(ISNUMBER(AB225),INDEX(AllCollegeMoneyCode, MATCH(N225,AllCollegeNCES,0)),"?")</f>
        <v>0</v>
      </c>
      <c r="BX225">
        <f>IF(OR(BW225="---",BW225="--",BW225="+/--",BW225="+/---"),1,0)</f>
        <v>0</v>
      </c>
      <c r="BY225">
        <f>BB225*AR225*AT225</f>
        <v>0</v>
      </c>
    </row>
    <row r="226" spans="1:77">
      <c r="A226" t="s">
        <v>96</v>
      </c>
      <c r="B226">
        <v>22973915</v>
      </c>
      <c r="C226" t="s">
        <v>294</v>
      </c>
      <c r="D226" t="s">
        <v>295</v>
      </c>
      <c r="E226" t="s">
        <v>446</v>
      </c>
      <c r="F226" t="s">
        <v>533</v>
      </c>
      <c r="G226" t="s">
        <v>448</v>
      </c>
      <c r="H226" t="s">
        <v>449</v>
      </c>
      <c r="I226" t="s">
        <v>450</v>
      </c>
      <c r="J226" t="s">
        <v>450</v>
      </c>
      <c r="K226">
        <v>0</v>
      </c>
      <c r="L226" t="s">
        <v>446</v>
      </c>
      <c r="M226" t="s">
        <v>446</v>
      </c>
      <c r="N226">
        <v>153472</v>
      </c>
      <c r="O226">
        <f>INDEX(Counselor,MATCH(B226,KidIDs,0))</f>
        <v>0</v>
      </c>
      <c r="P226">
        <f>INDEX(Advisors,MATCH(B226,KidIDs,0))</f>
        <v>0</v>
      </c>
      <c r="Q226">
        <f>INDEX(Cohort,MATCH(B226,KidIDs,0))</f>
        <v>0</v>
      </c>
      <c r="R226">
        <f>INDEX(AllCollegeBarrons,MATCH(N226,AllCollegeNCES,0))</f>
        <v>0</v>
      </c>
      <c r="S226">
        <f>INDEX(KidGPAs,MATCH(B226,KidIDs,0))</f>
        <v>0</v>
      </c>
      <c r="T226">
        <f>INDEX(KidSATs,MATCH(B226,KidIDs,0))</f>
        <v>0</v>
      </c>
      <c r="U226">
        <f>INDEX(Strats,MATCH(B226,KidIDs,0))</f>
        <v>0</v>
      </c>
      <c r="V226">
        <f>INDEX(KidRace,MATCH(B226,KidIDs,0))</f>
        <v>0</v>
      </c>
      <c r="W226">
        <f>IF(OR(V226="M",V226="I"),"H",IF(V226="P","A",V226))</f>
        <v>0</v>
      </c>
      <c r="X226">
        <f>INDEX(StudentTargets,MATCH(B226,KidIDs,0))</f>
        <v>0</v>
      </c>
      <c r="Y226">
        <f>INDEX(ReachStudentTargets,MATCH(B226,KidIDs,0))</f>
        <v>0</v>
      </c>
      <c r="Z226">
        <f>IF(OR(M226="Posse"),1,0)</f>
        <v>0</v>
      </c>
      <c r="AA226">
        <f>IF(ISNUMBER(INDEX(AllCollegeGR, MATCH(N226,AllCollegeNCES,0))),ROUND(INDEX(AllCollegeGR, MATCH(N226,AllCollegeNCES,0))+Z226*IF(INDEX(AllCollegeGR, MATCH(N226,AllCollegeNCES,0))&gt;0.7,(1-INDEX(AllCollegeGR, MATCH(N226,AllCollegeNCES,0)))/2,0.15),2),INDEX(AllCollegeGR, MATCH(N226,AllCollegeNCES,0)))</f>
        <v>0</v>
      </c>
      <c r="AB226">
        <f>IF(ISNUMBER(INDEX(AllCollegeAAHGR, MATCH(N226,AllCollegeNCES,0))),ROUND(INDEX(AllCollegeAAHGR, MATCH(N226,AllCollegeNCES,0))+Z226*IF(INDEX(AllCollegeAAHGR, MATCH(N226,AllCollegeNCES,0))&gt;0.7,(1-INDEX(AllCollegeAAHGR, MATCH(N226,AllCollegeNCES,0)))/2,0.15),2),INDEX(AllCollegeAAHGR, MATCH(N226,AllCollegeNCES,0)))</f>
        <v>0</v>
      </c>
      <c r="AC226">
        <f>IF(OR(W226="H",W226="B"),INDEX(AllCollegeSAT25, MATCH(N226,AllCollegeNCES,0)),INDEX(AllCollegeSAT50, MATCH(N226,AllCollegeNCES,0)))</f>
        <v>0</v>
      </c>
      <c r="AD226">
        <f>INDEX(CustomWeightsGPA,MATCH(W226&amp;":"&amp;N226,CustomWeightsIndex,0))</f>
        <v>0</v>
      </c>
      <c r="AE226">
        <f>INDEX(CustomWeightsSAT,MATCH(W226&amp;":"&amp;N226,CustomWeightsIndex,0))</f>
        <v>0</v>
      </c>
      <c r="AF226">
        <f>INDEX(CustomWeightsIntercept,MATCH(W226&amp;":"&amp;N226,CustomWeightsIndex,0))</f>
        <v>0</v>
      </c>
      <c r="AG226">
        <f>AD226*S226+AE226*T226+AF226</f>
        <v>0</v>
      </c>
      <c r="AH226">
        <f>INDEX(CoefficientsGPA,MATCH(W226&amp;":"&amp;R226,CoefficientsIndex,0))</f>
        <v>0</v>
      </c>
      <c r="AI226">
        <f>INDEX(CoefficientsSAT,MATCH(W226&amp;":"&amp;R226,CoefficientsIndex,0))</f>
        <v>0</v>
      </c>
      <c r="AJ226">
        <f>INDEX(CoefficientsIntercept,MATCH(W226&amp;":"&amp;R226,CoefficientsIndex,0))</f>
        <v>0</v>
      </c>
      <c r="AK226">
        <f>AH226*S226+(T226-AC226)*AI226+AJ226</f>
        <v>0</v>
      </c>
      <c r="AL226">
        <f>IF(ISNUMBER(AG226),AG226,AK226)</f>
        <v>0</v>
      </c>
      <c r="AM226">
        <f>IF(ISNUMBER(AL226),IF(ISNUMBER(AH226),IF(AND(AH226=1,AI226=1,AJ226=1),100,MIN(99,ROUND(100*EXP(AL226)/(1+EXP(AL226)),2))),MIN(99,ROUND(100*EXP(AL226)/(1+EXP(AL226)),2))),IF(ISTEXT(R226),IF(LEFT(R226,1)="2",100,"N/A"),"N/A"))</f>
        <v>0</v>
      </c>
      <c r="AN226">
        <f>IF(ISNUMBER(AM226),IF(AM226&gt;=99,IF(OR(U226=10,U226=11),MatchLabel,SureThingLabel),IF(AM226&gt;=95,SecureLabel,IF(AM226&gt;=80,SafetyLabel,IF(AM226&gt;=50,MatchLabel,IF(AM226&gt;=20,ReachLabel,IF(AM226&gt;=10,LongshotLabel,HailMaryLabel)))))),"Other")</f>
        <v>0</v>
      </c>
      <c r="AO226">
        <f>IF(OR(I226="accepted",I226="cond. accept",I226="summer admit"),IF(J226="yes","CHOICE!","Accepted!"),IF(I226="guar. transfer","Guar. Xfer",IF(I226="denied","Denied",IF(K226=1,"Waitlist",IF(L226=1,"Deferred",IF(G226="pending","Pending",IF(OR(G226="initial materials submitted",G226="mid-year submitted",G226="final submitted"),"Submitted",IF(H226="interest","Interest","?"))))))))</f>
        <v>0</v>
      </c>
      <c r="AP226">
        <f>IF(OR(AN226=ReachLabel,AN226=LongshotLabel,AN226=HailMaryLabel),1,0)</f>
        <v>0</v>
      </c>
      <c r="AQ226">
        <f>IF(OR(AP226=1,AN226=MatchLabel),1,0)</f>
        <v>0</v>
      </c>
      <c r="AR226">
        <f>IF(OR(AN226=MatchLabel,AN226=SafetyLabel,AN226=SecureLabel,AN226=SureThingLabel),1,0)</f>
        <v>0</v>
      </c>
      <c r="AS226">
        <f>IF(OR(W226="H",W226="B",W226="I",W226="M"),IF(ISNUMBER(AB226),ROUND(AB226,2),0),IF(ISNUMBER(AA226),ROUND(AA226,2),0))</f>
        <v>0</v>
      </c>
      <c r="AT226">
        <f>IF(AS226&gt;=X226,1,0)</f>
        <v>0</v>
      </c>
      <c r="AU226">
        <f>IF(AS226&gt;=Y226,1,0)</f>
        <v>0</v>
      </c>
      <c r="AV226">
        <f>IF(AS226&lt;(X226-0.10),1,0)</f>
        <v>0</v>
      </c>
      <c r="AW226">
        <f>1-AM226/100</f>
        <v>0</v>
      </c>
      <c r="AX226">
        <f>IF(AQ226=1,AW226,1)</f>
        <v>0</v>
      </c>
      <c r="AY226">
        <f>IF(AP226=1,AW226,1)</f>
        <v>0</v>
      </c>
      <c r="AZ226">
        <f>IF(AND(AT226=1,ISNUMBER(AW226)),$AW226,1)</f>
        <v>0</v>
      </c>
      <c r="BA226">
        <f>IF(AND(AU226=1,ISNUMBER(AW226)),$AW226,1)</f>
        <v>0</v>
      </c>
      <c r="BB226">
        <f>IF(ISNUMBER(AB226),INDEX(AllCollegeMoney, MATCH(N226,AllCollegeNCES,0)),0)</f>
        <v>0</v>
      </c>
      <c r="BC226">
        <f>IF(AND(AT226=1,ISNUMBER(AW226),BB226=1),$AW226,1)</f>
        <v>0</v>
      </c>
      <c r="BD226">
        <f>IF(AND(AU226=1,ISNUMBER(AW226),BB226=1),$AW226,1)</f>
        <v>0</v>
      </c>
      <c r="BE226">
        <f>IF(ISNUMBER(AB226),INDEX(AllCollegeILPub, MATCH(N226,AllCollegeNCES,0)),0)</f>
        <v>0</v>
      </c>
      <c r="BF226">
        <f>IF(AN226=ReachLabel,AS226,0)</f>
        <v>0</v>
      </c>
      <c r="BG226">
        <f>IF(AN226=MatchLabel,AS226,0)</f>
        <v>0</v>
      </c>
      <c r="BH226">
        <f>IF(AN226=SafetyLabel,AS226,0)</f>
        <v>0</v>
      </c>
      <c r="BI226">
        <f>IF(AN226=SecureLabel,AS226,0)</f>
        <v>0</v>
      </c>
      <c r="BJ226">
        <f>IF(AN226=SureThingLabel,AS226,0)</f>
        <v>0</v>
      </c>
      <c r="BK226">
        <f>MAX(BF226:BJ226)</f>
        <v>0</v>
      </c>
      <c r="BL226">
        <f>MAX(BG226:BJ226)</f>
        <v>0</v>
      </c>
      <c r="BM226">
        <f>MAX(BH226:BJ226)</f>
        <v>0</v>
      </c>
      <c r="BN226">
        <f>IF(AND(AN226=ReachLabel,BB226=1),AS226,0)</f>
        <v>0</v>
      </c>
      <c r="BO226">
        <f>IF(AND(AN226=MatchLabel,BB226=1),AS226,0)</f>
        <v>0</v>
      </c>
      <c r="BP226">
        <f>IF(AND(AN226=SafetyLabel,BB226=1),AS226,0)</f>
        <v>0</v>
      </c>
      <c r="BQ226">
        <f>IF(AND(AN226=SecureLabel,BB226=1),AS226,0)</f>
        <v>0</v>
      </c>
      <c r="BR226">
        <f>IF(AND(AN226=SureThingLabel,BB226=1),AS226,0)</f>
        <v>0</v>
      </c>
      <c r="BS226">
        <f>MAX(BN226:BR226)</f>
        <v>0</v>
      </c>
      <c r="BT226">
        <f>MAX(BO226:BR226)</f>
        <v>0</v>
      </c>
      <c r="BU226">
        <f>MAX(BP226:BR226)</f>
        <v>0</v>
      </c>
      <c r="BV226">
        <f>IF(ISNUMBER(AB226),INDEX(AllCollegeChicago, MATCH(N226,AllCollegeNCES,0))*BB226,0)</f>
        <v>0</v>
      </c>
      <c r="BW226">
        <f>IF(ISNUMBER(AB226),INDEX(AllCollegeMoneyCode, MATCH(N226,AllCollegeNCES,0)),"?")</f>
        <v>0</v>
      </c>
      <c r="BX226">
        <f>IF(OR(BW226="---",BW226="--",BW226="+/--",BW226="+/---"),1,0)</f>
        <v>0</v>
      </c>
      <c r="BY226">
        <f>BB226*AR226*AT226</f>
        <v>0</v>
      </c>
    </row>
    <row r="227" spans="1:77">
      <c r="A227" t="s">
        <v>96</v>
      </c>
      <c r="B227">
        <v>22973915</v>
      </c>
      <c r="C227" t="s">
        <v>294</v>
      </c>
      <c r="D227" t="s">
        <v>295</v>
      </c>
      <c r="E227" t="s">
        <v>446</v>
      </c>
      <c r="F227" t="s">
        <v>460</v>
      </c>
      <c r="G227" t="s">
        <v>448</v>
      </c>
      <c r="H227" t="s">
        <v>449</v>
      </c>
      <c r="I227" t="s">
        <v>450</v>
      </c>
      <c r="J227" t="s">
        <v>450</v>
      </c>
      <c r="K227">
        <v>0</v>
      </c>
      <c r="L227" t="s">
        <v>446</v>
      </c>
      <c r="M227" t="s">
        <v>446</v>
      </c>
      <c r="N227">
        <v>144209</v>
      </c>
      <c r="O227">
        <f>INDEX(Counselor,MATCH(B227,KidIDs,0))</f>
        <v>0</v>
      </c>
      <c r="P227">
        <f>INDEX(Advisors,MATCH(B227,KidIDs,0))</f>
        <v>0</v>
      </c>
      <c r="Q227">
        <f>INDEX(Cohort,MATCH(B227,KidIDs,0))</f>
        <v>0</v>
      </c>
      <c r="R227">
        <f>INDEX(AllCollegeBarrons,MATCH(N227,AllCollegeNCES,0))</f>
        <v>0</v>
      </c>
      <c r="S227">
        <f>INDEX(KidGPAs,MATCH(B227,KidIDs,0))</f>
        <v>0</v>
      </c>
      <c r="T227">
        <f>INDEX(KidSATs,MATCH(B227,KidIDs,0))</f>
        <v>0</v>
      </c>
      <c r="U227">
        <f>INDEX(Strats,MATCH(B227,KidIDs,0))</f>
        <v>0</v>
      </c>
      <c r="V227">
        <f>INDEX(KidRace,MATCH(B227,KidIDs,0))</f>
        <v>0</v>
      </c>
      <c r="W227">
        <f>IF(OR(V227="M",V227="I"),"H",IF(V227="P","A",V227))</f>
        <v>0</v>
      </c>
      <c r="X227">
        <f>INDEX(StudentTargets,MATCH(B227,KidIDs,0))</f>
        <v>0</v>
      </c>
      <c r="Y227">
        <f>INDEX(ReachStudentTargets,MATCH(B227,KidIDs,0))</f>
        <v>0</v>
      </c>
      <c r="Z227">
        <f>IF(OR(M227="Posse"),1,0)</f>
        <v>0</v>
      </c>
      <c r="AA227">
        <f>IF(ISNUMBER(INDEX(AllCollegeGR, MATCH(N227,AllCollegeNCES,0))),ROUND(INDEX(AllCollegeGR, MATCH(N227,AllCollegeNCES,0))+Z227*IF(INDEX(AllCollegeGR, MATCH(N227,AllCollegeNCES,0))&gt;0.7,(1-INDEX(AllCollegeGR, MATCH(N227,AllCollegeNCES,0)))/2,0.15),2),INDEX(AllCollegeGR, MATCH(N227,AllCollegeNCES,0)))</f>
        <v>0</v>
      </c>
      <c r="AB227">
        <f>IF(ISNUMBER(INDEX(AllCollegeAAHGR, MATCH(N227,AllCollegeNCES,0))),ROUND(INDEX(AllCollegeAAHGR, MATCH(N227,AllCollegeNCES,0))+Z227*IF(INDEX(AllCollegeAAHGR, MATCH(N227,AllCollegeNCES,0))&gt;0.7,(1-INDEX(AllCollegeAAHGR, MATCH(N227,AllCollegeNCES,0)))/2,0.15),2),INDEX(AllCollegeAAHGR, MATCH(N227,AllCollegeNCES,0)))</f>
        <v>0</v>
      </c>
      <c r="AC227">
        <f>IF(OR(W227="H",W227="B"),INDEX(AllCollegeSAT25, MATCH(N227,AllCollegeNCES,0)),INDEX(AllCollegeSAT50, MATCH(N227,AllCollegeNCES,0)))</f>
        <v>0</v>
      </c>
      <c r="AD227">
        <f>INDEX(CustomWeightsGPA,MATCH(W227&amp;":"&amp;N227,CustomWeightsIndex,0))</f>
        <v>0</v>
      </c>
      <c r="AE227">
        <f>INDEX(CustomWeightsSAT,MATCH(W227&amp;":"&amp;N227,CustomWeightsIndex,0))</f>
        <v>0</v>
      </c>
      <c r="AF227">
        <f>INDEX(CustomWeightsIntercept,MATCH(W227&amp;":"&amp;N227,CustomWeightsIndex,0))</f>
        <v>0</v>
      </c>
      <c r="AG227">
        <f>AD227*S227+AE227*T227+AF227</f>
        <v>0</v>
      </c>
      <c r="AH227">
        <f>INDEX(CoefficientsGPA,MATCH(W227&amp;":"&amp;R227,CoefficientsIndex,0))</f>
        <v>0</v>
      </c>
      <c r="AI227">
        <f>INDEX(CoefficientsSAT,MATCH(W227&amp;":"&amp;R227,CoefficientsIndex,0))</f>
        <v>0</v>
      </c>
      <c r="AJ227">
        <f>INDEX(CoefficientsIntercept,MATCH(W227&amp;":"&amp;R227,CoefficientsIndex,0))</f>
        <v>0</v>
      </c>
      <c r="AK227">
        <f>AH227*S227+(T227-AC227)*AI227+AJ227</f>
        <v>0</v>
      </c>
      <c r="AL227">
        <f>IF(ISNUMBER(AG227),AG227,AK227)</f>
        <v>0</v>
      </c>
      <c r="AM227">
        <f>IF(ISNUMBER(AL227),IF(ISNUMBER(AH227),IF(AND(AH227=1,AI227=1,AJ227=1),100,MIN(99,ROUND(100*EXP(AL227)/(1+EXP(AL227)),2))),MIN(99,ROUND(100*EXP(AL227)/(1+EXP(AL227)),2))),IF(ISTEXT(R227),IF(LEFT(R227,1)="2",100,"N/A"),"N/A"))</f>
        <v>0</v>
      </c>
      <c r="AN227">
        <f>IF(ISNUMBER(AM227),IF(AM227&gt;=99,IF(OR(U227=10,U227=11),MatchLabel,SureThingLabel),IF(AM227&gt;=95,SecureLabel,IF(AM227&gt;=80,SafetyLabel,IF(AM227&gt;=50,MatchLabel,IF(AM227&gt;=20,ReachLabel,IF(AM227&gt;=10,LongshotLabel,HailMaryLabel)))))),"Other")</f>
        <v>0</v>
      </c>
      <c r="AO227">
        <f>IF(OR(I227="accepted",I227="cond. accept",I227="summer admit"),IF(J227="yes","CHOICE!","Accepted!"),IF(I227="guar. transfer","Guar. Xfer",IF(I227="denied","Denied",IF(K227=1,"Waitlist",IF(L227=1,"Deferred",IF(G227="pending","Pending",IF(OR(G227="initial materials submitted",G227="mid-year submitted",G227="final submitted"),"Submitted",IF(H227="interest","Interest","?"))))))))</f>
        <v>0</v>
      </c>
      <c r="AP227">
        <f>IF(OR(AN227=ReachLabel,AN227=LongshotLabel,AN227=HailMaryLabel),1,0)</f>
        <v>0</v>
      </c>
      <c r="AQ227">
        <f>IF(OR(AP227=1,AN227=MatchLabel),1,0)</f>
        <v>0</v>
      </c>
      <c r="AR227">
        <f>IF(OR(AN227=MatchLabel,AN227=SafetyLabel,AN227=SecureLabel,AN227=SureThingLabel),1,0)</f>
        <v>0</v>
      </c>
      <c r="AS227">
        <f>IF(OR(W227="H",W227="B",W227="I",W227="M"),IF(ISNUMBER(AB227),ROUND(AB227,2),0),IF(ISNUMBER(AA227),ROUND(AA227,2),0))</f>
        <v>0</v>
      </c>
      <c r="AT227">
        <f>IF(AS227&gt;=X227,1,0)</f>
        <v>0</v>
      </c>
      <c r="AU227">
        <f>IF(AS227&gt;=Y227,1,0)</f>
        <v>0</v>
      </c>
      <c r="AV227">
        <f>IF(AS227&lt;(X227-0.10),1,0)</f>
        <v>0</v>
      </c>
      <c r="AW227">
        <f>1-AM227/100</f>
        <v>0</v>
      </c>
      <c r="AX227">
        <f>IF(AQ227=1,AW227,1)</f>
        <v>0</v>
      </c>
      <c r="AY227">
        <f>IF(AP227=1,AW227,1)</f>
        <v>0</v>
      </c>
      <c r="AZ227">
        <f>IF(AND(AT227=1,ISNUMBER(AW227)),$AW227,1)</f>
        <v>0</v>
      </c>
      <c r="BA227">
        <f>IF(AND(AU227=1,ISNUMBER(AW227)),$AW227,1)</f>
        <v>0</v>
      </c>
      <c r="BB227">
        <f>IF(ISNUMBER(AB227),INDEX(AllCollegeMoney, MATCH(N227,AllCollegeNCES,0)),0)</f>
        <v>0</v>
      </c>
      <c r="BC227">
        <f>IF(AND(AT227=1,ISNUMBER(AW227),BB227=1),$AW227,1)</f>
        <v>0</v>
      </c>
      <c r="BD227">
        <f>IF(AND(AU227=1,ISNUMBER(AW227),BB227=1),$AW227,1)</f>
        <v>0</v>
      </c>
      <c r="BE227">
        <f>IF(ISNUMBER(AB227),INDEX(AllCollegeILPub, MATCH(N227,AllCollegeNCES,0)),0)</f>
        <v>0</v>
      </c>
      <c r="BF227">
        <f>IF(AN227=ReachLabel,AS227,0)</f>
        <v>0</v>
      </c>
      <c r="BG227">
        <f>IF(AN227=MatchLabel,AS227,0)</f>
        <v>0</v>
      </c>
      <c r="BH227">
        <f>IF(AN227=SafetyLabel,AS227,0)</f>
        <v>0</v>
      </c>
      <c r="BI227">
        <f>IF(AN227=SecureLabel,AS227,0)</f>
        <v>0</v>
      </c>
      <c r="BJ227">
        <f>IF(AN227=SureThingLabel,AS227,0)</f>
        <v>0</v>
      </c>
      <c r="BK227">
        <f>MAX(BF227:BJ227)</f>
        <v>0</v>
      </c>
      <c r="BL227">
        <f>MAX(BG227:BJ227)</f>
        <v>0</v>
      </c>
      <c r="BM227">
        <f>MAX(BH227:BJ227)</f>
        <v>0</v>
      </c>
      <c r="BN227">
        <f>IF(AND(AN227=ReachLabel,BB227=1),AS227,0)</f>
        <v>0</v>
      </c>
      <c r="BO227">
        <f>IF(AND(AN227=MatchLabel,BB227=1),AS227,0)</f>
        <v>0</v>
      </c>
      <c r="BP227">
        <f>IF(AND(AN227=SafetyLabel,BB227=1),AS227,0)</f>
        <v>0</v>
      </c>
      <c r="BQ227">
        <f>IF(AND(AN227=SecureLabel,BB227=1),AS227,0)</f>
        <v>0</v>
      </c>
      <c r="BR227">
        <f>IF(AND(AN227=SureThingLabel,BB227=1),AS227,0)</f>
        <v>0</v>
      </c>
      <c r="BS227">
        <f>MAX(BN227:BR227)</f>
        <v>0</v>
      </c>
      <c r="BT227">
        <f>MAX(BO227:BR227)</f>
        <v>0</v>
      </c>
      <c r="BU227">
        <f>MAX(BP227:BR227)</f>
        <v>0</v>
      </c>
      <c r="BV227">
        <f>IF(ISNUMBER(AB227),INDEX(AllCollegeChicago, MATCH(N227,AllCollegeNCES,0))*BB227,0)</f>
        <v>0</v>
      </c>
      <c r="BW227">
        <f>IF(ISNUMBER(AB227),INDEX(AllCollegeMoneyCode, MATCH(N227,AllCollegeNCES,0)),"?")</f>
        <v>0</v>
      </c>
      <c r="BX227">
        <f>IF(OR(BW227="---",BW227="--",BW227="+/--",BW227="+/---"),1,0)</f>
        <v>0</v>
      </c>
      <c r="BY227">
        <f>BB227*AR227*AT227</f>
        <v>0</v>
      </c>
    </row>
    <row r="228" spans="1:77">
      <c r="A228" t="s">
        <v>96</v>
      </c>
      <c r="B228">
        <v>22973915</v>
      </c>
      <c r="C228" t="s">
        <v>294</v>
      </c>
      <c r="D228" t="s">
        <v>295</v>
      </c>
      <c r="E228" t="s">
        <v>446</v>
      </c>
      <c r="F228" t="s">
        <v>461</v>
      </c>
      <c r="G228" t="s">
        <v>448</v>
      </c>
      <c r="H228" t="s">
        <v>449</v>
      </c>
      <c r="I228" t="s">
        <v>450</v>
      </c>
      <c r="J228" t="s">
        <v>450</v>
      </c>
      <c r="K228">
        <v>0</v>
      </c>
      <c r="L228" t="s">
        <v>446</v>
      </c>
      <c r="M228" t="s">
        <v>446</v>
      </c>
      <c r="N228">
        <v>147536</v>
      </c>
      <c r="O228">
        <f>INDEX(Counselor,MATCH(B228,KidIDs,0))</f>
        <v>0</v>
      </c>
      <c r="P228">
        <f>INDEX(Advisors,MATCH(B228,KidIDs,0))</f>
        <v>0</v>
      </c>
      <c r="Q228">
        <f>INDEX(Cohort,MATCH(B228,KidIDs,0))</f>
        <v>0</v>
      </c>
      <c r="R228">
        <f>INDEX(AllCollegeBarrons,MATCH(N228,AllCollegeNCES,0))</f>
        <v>0</v>
      </c>
      <c r="S228">
        <f>INDEX(KidGPAs,MATCH(B228,KidIDs,0))</f>
        <v>0</v>
      </c>
      <c r="T228">
        <f>INDEX(KidSATs,MATCH(B228,KidIDs,0))</f>
        <v>0</v>
      </c>
      <c r="U228">
        <f>INDEX(Strats,MATCH(B228,KidIDs,0))</f>
        <v>0</v>
      </c>
      <c r="V228">
        <f>INDEX(KidRace,MATCH(B228,KidIDs,0))</f>
        <v>0</v>
      </c>
      <c r="W228">
        <f>IF(OR(V228="M",V228="I"),"H",IF(V228="P","A",V228))</f>
        <v>0</v>
      </c>
      <c r="X228">
        <f>INDEX(StudentTargets,MATCH(B228,KidIDs,0))</f>
        <v>0</v>
      </c>
      <c r="Y228">
        <f>INDEX(ReachStudentTargets,MATCH(B228,KidIDs,0))</f>
        <v>0</v>
      </c>
      <c r="Z228">
        <f>IF(OR(M228="Posse"),1,0)</f>
        <v>0</v>
      </c>
      <c r="AA228">
        <f>IF(ISNUMBER(INDEX(AllCollegeGR, MATCH(N228,AllCollegeNCES,0))),ROUND(INDEX(AllCollegeGR, MATCH(N228,AllCollegeNCES,0))+Z228*IF(INDEX(AllCollegeGR, MATCH(N228,AllCollegeNCES,0))&gt;0.7,(1-INDEX(AllCollegeGR, MATCH(N228,AllCollegeNCES,0)))/2,0.15),2),INDEX(AllCollegeGR, MATCH(N228,AllCollegeNCES,0)))</f>
        <v>0</v>
      </c>
      <c r="AB228">
        <f>IF(ISNUMBER(INDEX(AllCollegeAAHGR, MATCH(N228,AllCollegeNCES,0))),ROUND(INDEX(AllCollegeAAHGR, MATCH(N228,AllCollegeNCES,0))+Z228*IF(INDEX(AllCollegeAAHGR, MATCH(N228,AllCollegeNCES,0))&gt;0.7,(1-INDEX(AllCollegeAAHGR, MATCH(N228,AllCollegeNCES,0)))/2,0.15),2),INDEX(AllCollegeAAHGR, MATCH(N228,AllCollegeNCES,0)))</f>
        <v>0</v>
      </c>
      <c r="AC228">
        <f>IF(OR(W228="H",W228="B"),INDEX(AllCollegeSAT25, MATCH(N228,AllCollegeNCES,0)),INDEX(AllCollegeSAT50, MATCH(N228,AllCollegeNCES,0)))</f>
        <v>0</v>
      </c>
      <c r="AD228">
        <f>INDEX(CustomWeightsGPA,MATCH(W228&amp;":"&amp;N228,CustomWeightsIndex,0))</f>
        <v>0</v>
      </c>
      <c r="AE228">
        <f>INDEX(CustomWeightsSAT,MATCH(W228&amp;":"&amp;N228,CustomWeightsIndex,0))</f>
        <v>0</v>
      </c>
      <c r="AF228">
        <f>INDEX(CustomWeightsIntercept,MATCH(W228&amp;":"&amp;N228,CustomWeightsIndex,0))</f>
        <v>0</v>
      </c>
      <c r="AG228">
        <f>AD228*S228+AE228*T228+AF228</f>
        <v>0</v>
      </c>
      <c r="AH228">
        <f>INDEX(CoefficientsGPA,MATCH(W228&amp;":"&amp;R228,CoefficientsIndex,0))</f>
        <v>0</v>
      </c>
      <c r="AI228">
        <f>INDEX(CoefficientsSAT,MATCH(W228&amp;":"&amp;R228,CoefficientsIndex,0))</f>
        <v>0</v>
      </c>
      <c r="AJ228">
        <f>INDEX(CoefficientsIntercept,MATCH(W228&amp;":"&amp;R228,CoefficientsIndex,0))</f>
        <v>0</v>
      </c>
      <c r="AK228">
        <f>AH228*S228+(T228-AC228)*AI228+AJ228</f>
        <v>0</v>
      </c>
      <c r="AL228">
        <f>IF(ISNUMBER(AG228),AG228,AK228)</f>
        <v>0</v>
      </c>
      <c r="AM228">
        <f>IF(ISNUMBER(AL228),IF(ISNUMBER(AH228),IF(AND(AH228=1,AI228=1,AJ228=1),100,MIN(99,ROUND(100*EXP(AL228)/(1+EXP(AL228)),2))),MIN(99,ROUND(100*EXP(AL228)/(1+EXP(AL228)),2))),IF(ISTEXT(R228),IF(LEFT(R228,1)="2",100,"N/A"),"N/A"))</f>
        <v>0</v>
      </c>
      <c r="AN228">
        <f>IF(ISNUMBER(AM228),IF(AM228&gt;=99,IF(OR(U228=10,U228=11),MatchLabel,SureThingLabel),IF(AM228&gt;=95,SecureLabel,IF(AM228&gt;=80,SafetyLabel,IF(AM228&gt;=50,MatchLabel,IF(AM228&gt;=20,ReachLabel,IF(AM228&gt;=10,LongshotLabel,HailMaryLabel)))))),"Other")</f>
        <v>0</v>
      </c>
      <c r="AO228">
        <f>IF(OR(I228="accepted",I228="cond. accept",I228="summer admit"),IF(J228="yes","CHOICE!","Accepted!"),IF(I228="guar. transfer","Guar. Xfer",IF(I228="denied","Denied",IF(K228=1,"Waitlist",IF(L228=1,"Deferred",IF(G228="pending","Pending",IF(OR(G228="initial materials submitted",G228="mid-year submitted",G228="final submitted"),"Submitted",IF(H228="interest","Interest","?"))))))))</f>
        <v>0</v>
      </c>
      <c r="AP228">
        <f>IF(OR(AN228=ReachLabel,AN228=LongshotLabel,AN228=HailMaryLabel),1,0)</f>
        <v>0</v>
      </c>
      <c r="AQ228">
        <f>IF(OR(AP228=1,AN228=MatchLabel),1,0)</f>
        <v>0</v>
      </c>
      <c r="AR228">
        <f>IF(OR(AN228=MatchLabel,AN228=SafetyLabel,AN228=SecureLabel,AN228=SureThingLabel),1,0)</f>
        <v>0</v>
      </c>
      <c r="AS228">
        <f>IF(OR(W228="H",W228="B",W228="I",W228="M"),IF(ISNUMBER(AB228),ROUND(AB228,2),0),IF(ISNUMBER(AA228),ROUND(AA228,2),0))</f>
        <v>0</v>
      </c>
      <c r="AT228">
        <f>IF(AS228&gt;=X228,1,0)</f>
        <v>0</v>
      </c>
      <c r="AU228">
        <f>IF(AS228&gt;=Y228,1,0)</f>
        <v>0</v>
      </c>
      <c r="AV228">
        <f>IF(AS228&lt;(X228-0.10),1,0)</f>
        <v>0</v>
      </c>
      <c r="AW228">
        <f>1-AM228/100</f>
        <v>0</v>
      </c>
      <c r="AX228">
        <f>IF(AQ228=1,AW228,1)</f>
        <v>0</v>
      </c>
      <c r="AY228">
        <f>IF(AP228=1,AW228,1)</f>
        <v>0</v>
      </c>
      <c r="AZ228">
        <f>IF(AND(AT228=1,ISNUMBER(AW228)),$AW228,1)</f>
        <v>0</v>
      </c>
      <c r="BA228">
        <f>IF(AND(AU228=1,ISNUMBER(AW228)),$AW228,1)</f>
        <v>0</v>
      </c>
      <c r="BB228">
        <f>IF(ISNUMBER(AB228),INDEX(AllCollegeMoney, MATCH(N228,AllCollegeNCES,0)),0)</f>
        <v>0</v>
      </c>
      <c r="BC228">
        <f>IF(AND(AT228=1,ISNUMBER(AW228),BB228=1),$AW228,1)</f>
        <v>0</v>
      </c>
      <c r="BD228">
        <f>IF(AND(AU228=1,ISNUMBER(AW228),BB228=1),$AW228,1)</f>
        <v>0</v>
      </c>
      <c r="BE228">
        <f>IF(ISNUMBER(AB228),INDEX(AllCollegeILPub, MATCH(N228,AllCollegeNCES,0)),0)</f>
        <v>0</v>
      </c>
      <c r="BF228">
        <f>IF(AN228=ReachLabel,AS228,0)</f>
        <v>0</v>
      </c>
      <c r="BG228">
        <f>IF(AN228=MatchLabel,AS228,0)</f>
        <v>0</v>
      </c>
      <c r="BH228">
        <f>IF(AN228=SafetyLabel,AS228,0)</f>
        <v>0</v>
      </c>
      <c r="BI228">
        <f>IF(AN228=SecureLabel,AS228,0)</f>
        <v>0</v>
      </c>
      <c r="BJ228">
        <f>IF(AN228=SureThingLabel,AS228,0)</f>
        <v>0</v>
      </c>
      <c r="BK228">
        <f>MAX(BF228:BJ228)</f>
        <v>0</v>
      </c>
      <c r="BL228">
        <f>MAX(BG228:BJ228)</f>
        <v>0</v>
      </c>
      <c r="BM228">
        <f>MAX(BH228:BJ228)</f>
        <v>0</v>
      </c>
      <c r="BN228">
        <f>IF(AND(AN228=ReachLabel,BB228=1),AS228,0)</f>
        <v>0</v>
      </c>
      <c r="BO228">
        <f>IF(AND(AN228=MatchLabel,BB228=1),AS228,0)</f>
        <v>0</v>
      </c>
      <c r="BP228">
        <f>IF(AND(AN228=SafetyLabel,BB228=1),AS228,0)</f>
        <v>0</v>
      </c>
      <c r="BQ228">
        <f>IF(AND(AN228=SecureLabel,BB228=1),AS228,0)</f>
        <v>0</v>
      </c>
      <c r="BR228">
        <f>IF(AND(AN228=SureThingLabel,BB228=1),AS228,0)</f>
        <v>0</v>
      </c>
      <c r="BS228">
        <f>MAX(BN228:BR228)</f>
        <v>0</v>
      </c>
      <c r="BT228">
        <f>MAX(BO228:BR228)</f>
        <v>0</v>
      </c>
      <c r="BU228">
        <f>MAX(BP228:BR228)</f>
        <v>0</v>
      </c>
      <c r="BV228">
        <f>IF(ISNUMBER(AB228),INDEX(AllCollegeChicago, MATCH(N228,AllCollegeNCES,0))*BB228,0)</f>
        <v>0</v>
      </c>
      <c r="BW228">
        <f>IF(ISNUMBER(AB228),INDEX(AllCollegeMoneyCode, MATCH(N228,AllCollegeNCES,0)),"?")</f>
        <v>0</v>
      </c>
      <c r="BX228">
        <f>IF(OR(BW228="---",BW228="--",BW228="+/--",BW228="+/---"),1,0)</f>
        <v>0</v>
      </c>
      <c r="BY228">
        <f>BB228*AR228*AT228</f>
        <v>0</v>
      </c>
    </row>
    <row r="229" spans="1:77">
      <c r="A229" t="s">
        <v>96</v>
      </c>
      <c r="B229">
        <v>22973915</v>
      </c>
      <c r="C229" t="s">
        <v>294</v>
      </c>
      <c r="D229" t="s">
        <v>295</v>
      </c>
      <c r="E229" t="s">
        <v>446</v>
      </c>
      <c r="F229" t="s">
        <v>463</v>
      </c>
      <c r="G229" t="s">
        <v>479</v>
      </c>
      <c r="H229" t="s">
        <v>449</v>
      </c>
      <c r="I229" t="s">
        <v>450</v>
      </c>
      <c r="J229" t="s">
        <v>450</v>
      </c>
      <c r="K229">
        <v>0</v>
      </c>
      <c r="L229" t="s">
        <v>446</v>
      </c>
      <c r="M229" t="s">
        <v>446</v>
      </c>
      <c r="N229">
        <v>147776</v>
      </c>
      <c r="O229">
        <f>INDEX(Counselor,MATCH(B229,KidIDs,0))</f>
        <v>0</v>
      </c>
      <c r="P229">
        <f>INDEX(Advisors,MATCH(B229,KidIDs,0))</f>
        <v>0</v>
      </c>
      <c r="Q229">
        <f>INDEX(Cohort,MATCH(B229,KidIDs,0))</f>
        <v>0</v>
      </c>
      <c r="R229">
        <f>INDEX(AllCollegeBarrons,MATCH(N229,AllCollegeNCES,0))</f>
        <v>0</v>
      </c>
      <c r="S229">
        <f>INDEX(KidGPAs,MATCH(B229,KidIDs,0))</f>
        <v>0</v>
      </c>
      <c r="T229">
        <f>INDEX(KidSATs,MATCH(B229,KidIDs,0))</f>
        <v>0</v>
      </c>
      <c r="U229">
        <f>INDEX(Strats,MATCH(B229,KidIDs,0))</f>
        <v>0</v>
      </c>
      <c r="V229">
        <f>INDEX(KidRace,MATCH(B229,KidIDs,0))</f>
        <v>0</v>
      </c>
      <c r="W229">
        <f>IF(OR(V229="M",V229="I"),"H",IF(V229="P","A",V229))</f>
        <v>0</v>
      </c>
      <c r="X229">
        <f>INDEX(StudentTargets,MATCH(B229,KidIDs,0))</f>
        <v>0</v>
      </c>
      <c r="Y229">
        <f>INDEX(ReachStudentTargets,MATCH(B229,KidIDs,0))</f>
        <v>0</v>
      </c>
      <c r="Z229">
        <f>IF(OR(M229="Posse"),1,0)</f>
        <v>0</v>
      </c>
      <c r="AA229">
        <f>IF(ISNUMBER(INDEX(AllCollegeGR, MATCH(N229,AllCollegeNCES,0))),ROUND(INDEX(AllCollegeGR, MATCH(N229,AllCollegeNCES,0))+Z229*IF(INDEX(AllCollegeGR, MATCH(N229,AllCollegeNCES,0))&gt;0.7,(1-INDEX(AllCollegeGR, MATCH(N229,AllCollegeNCES,0)))/2,0.15),2),INDEX(AllCollegeGR, MATCH(N229,AllCollegeNCES,0)))</f>
        <v>0</v>
      </c>
      <c r="AB229">
        <f>IF(ISNUMBER(INDEX(AllCollegeAAHGR, MATCH(N229,AllCollegeNCES,0))),ROUND(INDEX(AllCollegeAAHGR, MATCH(N229,AllCollegeNCES,0))+Z229*IF(INDEX(AllCollegeAAHGR, MATCH(N229,AllCollegeNCES,0))&gt;0.7,(1-INDEX(AllCollegeAAHGR, MATCH(N229,AllCollegeNCES,0)))/2,0.15),2),INDEX(AllCollegeAAHGR, MATCH(N229,AllCollegeNCES,0)))</f>
        <v>0</v>
      </c>
      <c r="AC229">
        <f>IF(OR(W229="H",W229="B"),INDEX(AllCollegeSAT25, MATCH(N229,AllCollegeNCES,0)),INDEX(AllCollegeSAT50, MATCH(N229,AllCollegeNCES,0)))</f>
        <v>0</v>
      </c>
      <c r="AD229">
        <f>INDEX(CustomWeightsGPA,MATCH(W229&amp;":"&amp;N229,CustomWeightsIndex,0))</f>
        <v>0</v>
      </c>
      <c r="AE229">
        <f>INDEX(CustomWeightsSAT,MATCH(W229&amp;":"&amp;N229,CustomWeightsIndex,0))</f>
        <v>0</v>
      </c>
      <c r="AF229">
        <f>INDEX(CustomWeightsIntercept,MATCH(W229&amp;":"&amp;N229,CustomWeightsIndex,0))</f>
        <v>0</v>
      </c>
      <c r="AG229">
        <f>AD229*S229+AE229*T229+AF229</f>
        <v>0</v>
      </c>
      <c r="AH229">
        <f>INDEX(CoefficientsGPA,MATCH(W229&amp;":"&amp;R229,CoefficientsIndex,0))</f>
        <v>0</v>
      </c>
      <c r="AI229">
        <f>INDEX(CoefficientsSAT,MATCH(W229&amp;":"&amp;R229,CoefficientsIndex,0))</f>
        <v>0</v>
      </c>
      <c r="AJ229">
        <f>INDEX(CoefficientsIntercept,MATCH(W229&amp;":"&amp;R229,CoefficientsIndex,0))</f>
        <v>0</v>
      </c>
      <c r="AK229">
        <f>AH229*S229+(T229-AC229)*AI229+AJ229</f>
        <v>0</v>
      </c>
      <c r="AL229">
        <f>IF(ISNUMBER(AG229),AG229,AK229)</f>
        <v>0</v>
      </c>
      <c r="AM229">
        <f>IF(ISNUMBER(AL229),IF(ISNUMBER(AH229),IF(AND(AH229=1,AI229=1,AJ229=1),100,MIN(99,ROUND(100*EXP(AL229)/(1+EXP(AL229)),2))),MIN(99,ROUND(100*EXP(AL229)/(1+EXP(AL229)),2))),IF(ISTEXT(R229),IF(LEFT(R229,1)="2",100,"N/A"),"N/A"))</f>
        <v>0</v>
      </c>
      <c r="AN229">
        <f>IF(ISNUMBER(AM229),IF(AM229&gt;=99,IF(OR(U229=10,U229=11),MatchLabel,SureThingLabel),IF(AM229&gt;=95,SecureLabel,IF(AM229&gt;=80,SafetyLabel,IF(AM229&gt;=50,MatchLabel,IF(AM229&gt;=20,ReachLabel,IF(AM229&gt;=10,LongshotLabel,HailMaryLabel)))))),"Other")</f>
        <v>0</v>
      </c>
      <c r="AO229">
        <f>IF(OR(I229="accepted",I229="cond. accept",I229="summer admit"),IF(J229="yes","CHOICE!","Accepted!"),IF(I229="guar. transfer","Guar. Xfer",IF(I229="denied","Denied",IF(K229=1,"Waitlist",IF(L229=1,"Deferred",IF(G229="pending","Pending",IF(OR(G229="initial materials submitted",G229="mid-year submitted",G229="final submitted"),"Submitted",IF(H229="interest","Interest","?"))))))))</f>
        <v>0</v>
      </c>
      <c r="AP229">
        <f>IF(OR(AN229=ReachLabel,AN229=LongshotLabel,AN229=HailMaryLabel),1,0)</f>
        <v>0</v>
      </c>
      <c r="AQ229">
        <f>IF(OR(AP229=1,AN229=MatchLabel),1,0)</f>
        <v>0</v>
      </c>
      <c r="AR229">
        <f>IF(OR(AN229=MatchLabel,AN229=SafetyLabel,AN229=SecureLabel,AN229=SureThingLabel),1,0)</f>
        <v>0</v>
      </c>
      <c r="AS229">
        <f>IF(OR(W229="H",W229="B",W229="I",W229="M"),IF(ISNUMBER(AB229),ROUND(AB229,2),0),IF(ISNUMBER(AA229),ROUND(AA229,2),0))</f>
        <v>0</v>
      </c>
      <c r="AT229">
        <f>IF(AS229&gt;=X229,1,0)</f>
        <v>0</v>
      </c>
      <c r="AU229">
        <f>IF(AS229&gt;=Y229,1,0)</f>
        <v>0</v>
      </c>
      <c r="AV229">
        <f>IF(AS229&lt;(X229-0.10),1,0)</f>
        <v>0</v>
      </c>
      <c r="AW229">
        <f>1-AM229/100</f>
        <v>0</v>
      </c>
      <c r="AX229">
        <f>IF(AQ229=1,AW229,1)</f>
        <v>0</v>
      </c>
      <c r="AY229">
        <f>IF(AP229=1,AW229,1)</f>
        <v>0</v>
      </c>
      <c r="AZ229">
        <f>IF(AND(AT229=1,ISNUMBER(AW229)),$AW229,1)</f>
        <v>0</v>
      </c>
      <c r="BA229">
        <f>IF(AND(AU229=1,ISNUMBER(AW229)),$AW229,1)</f>
        <v>0</v>
      </c>
      <c r="BB229">
        <f>IF(ISNUMBER(AB229),INDEX(AllCollegeMoney, MATCH(N229,AllCollegeNCES,0)),0)</f>
        <v>0</v>
      </c>
      <c r="BC229">
        <f>IF(AND(AT229=1,ISNUMBER(AW229),BB229=1),$AW229,1)</f>
        <v>0</v>
      </c>
      <c r="BD229">
        <f>IF(AND(AU229=1,ISNUMBER(AW229),BB229=1),$AW229,1)</f>
        <v>0</v>
      </c>
      <c r="BE229">
        <f>IF(ISNUMBER(AB229),INDEX(AllCollegeILPub, MATCH(N229,AllCollegeNCES,0)),0)</f>
        <v>0</v>
      </c>
      <c r="BF229">
        <f>IF(AN229=ReachLabel,AS229,0)</f>
        <v>0</v>
      </c>
      <c r="BG229">
        <f>IF(AN229=MatchLabel,AS229,0)</f>
        <v>0</v>
      </c>
      <c r="BH229">
        <f>IF(AN229=SafetyLabel,AS229,0)</f>
        <v>0</v>
      </c>
      <c r="BI229">
        <f>IF(AN229=SecureLabel,AS229,0)</f>
        <v>0</v>
      </c>
      <c r="BJ229">
        <f>IF(AN229=SureThingLabel,AS229,0)</f>
        <v>0</v>
      </c>
      <c r="BK229">
        <f>MAX(BF229:BJ229)</f>
        <v>0</v>
      </c>
      <c r="BL229">
        <f>MAX(BG229:BJ229)</f>
        <v>0</v>
      </c>
      <c r="BM229">
        <f>MAX(BH229:BJ229)</f>
        <v>0</v>
      </c>
      <c r="BN229">
        <f>IF(AND(AN229=ReachLabel,BB229=1),AS229,0)</f>
        <v>0</v>
      </c>
      <c r="BO229">
        <f>IF(AND(AN229=MatchLabel,BB229=1),AS229,0)</f>
        <v>0</v>
      </c>
      <c r="BP229">
        <f>IF(AND(AN229=SafetyLabel,BB229=1),AS229,0)</f>
        <v>0</v>
      </c>
      <c r="BQ229">
        <f>IF(AND(AN229=SecureLabel,BB229=1),AS229,0)</f>
        <v>0</v>
      </c>
      <c r="BR229">
        <f>IF(AND(AN229=SureThingLabel,BB229=1),AS229,0)</f>
        <v>0</v>
      </c>
      <c r="BS229">
        <f>MAX(BN229:BR229)</f>
        <v>0</v>
      </c>
      <c r="BT229">
        <f>MAX(BO229:BR229)</f>
        <v>0</v>
      </c>
      <c r="BU229">
        <f>MAX(BP229:BR229)</f>
        <v>0</v>
      </c>
      <c r="BV229">
        <f>IF(ISNUMBER(AB229),INDEX(AllCollegeChicago, MATCH(N229,AllCollegeNCES,0))*BB229,0)</f>
        <v>0</v>
      </c>
      <c r="BW229">
        <f>IF(ISNUMBER(AB229),INDEX(AllCollegeMoneyCode, MATCH(N229,AllCollegeNCES,0)),"?")</f>
        <v>0</v>
      </c>
      <c r="BX229">
        <f>IF(OR(BW229="---",BW229="--",BW229="+/--",BW229="+/---"),1,0)</f>
        <v>0</v>
      </c>
      <c r="BY229">
        <f>BB229*AR229*AT229</f>
        <v>0</v>
      </c>
    </row>
    <row r="230" spans="1:77">
      <c r="A230" t="s">
        <v>96</v>
      </c>
      <c r="B230">
        <v>22973915</v>
      </c>
      <c r="C230" t="s">
        <v>294</v>
      </c>
      <c r="D230" t="s">
        <v>295</v>
      </c>
      <c r="E230" t="s">
        <v>446</v>
      </c>
      <c r="F230" t="s">
        <v>468</v>
      </c>
      <c r="G230" t="s">
        <v>448</v>
      </c>
      <c r="H230" t="s">
        <v>449</v>
      </c>
      <c r="I230" t="s">
        <v>450</v>
      </c>
      <c r="J230" t="s">
        <v>450</v>
      </c>
      <c r="K230">
        <v>0</v>
      </c>
      <c r="L230" t="s">
        <v>446</v>
      </c>
      <c r="M230" t="s">
        <v>454</v>
      </c>
      <c r="N230">
        <v>154493</v>
      </c>
      <c r="O230">
        <f>INDEX(Counselor,MATCH(B230,KidIDs,0))</f>
        <v>0</v>
      </c>
      <c r="P230">
        <f>INDEX(Advisors,MATCH(B230,KidIDs,0))</f>
        <v>0</v>
      </c>
      <c r="Q230">
        <f>INDEX(Cohort,MATCH(B230,KidIDs,0))</f>
        <v>0</v>
      </c>
      <c r="R230">
        <f>INDEX(AllCollegeBarrons,MATCH(N230,AllCollegeNCES,0))</f>
        <v>0</v>
      </c>
      <c r="S230">
        <f>INDEX(KidGPAs,MATCH(B230,KidIDs,0))</f>
        <v>0</v>
      </c>
      <c r="T230">
        <f>INDEX(KidSATs,MATCH(B230,KidIDs,0))</f>
        <v>0</v>
      </c>
      <c r="U230">
        <f>INDEX(Strats,MATCH(B230,KidIDs,0))</f>
        <v>0</v>
      </c>
      <c r="V230">
        <f>INDEX(KidRace,MATCH(B230,KidIDs,0))</f>
        <v>0</v>
      </c>
      <c r="W230">
        <f>IF(OR(V230="M",V230="I"),"H",IF(V230="P","A",V230))</f>
        <v>0</v>
      </c>
      <c r="X230">
        <f>INDEX(StudentTargets,MATCH(B230,KidIDs,0))</f>
        <v>0</v>
      </c>
      <c r="Y230">
        <f>INDEX(ReachStudentTargets,MATCH(B230,KidIDs,0))</f>
        <v>0</v>
      </c>
      <c r="Z230">
        <f>IF(OR(M230="Posse"),1,0)</f>
        <v>0</v>
      </c>
      <c r="AA230">
        <f>IF(ISNUMBER(INDEX(AllCollegeGR, MATCH(N230,AllCollegeNCES,0))),ROUND(INDEX(AllCollegeGR, MATCH(N230,AllCollegeNCES,0))+Z230*IF(INDEX(AllCollegeGR, MATCH(N230,AllCollegeNCES,0))&gt;0.7,(1-INDEX(AllCollegeGR, MATCH(N230,AllCollegeNCES,0)))/2,0.15),2),INDEX(AllCollegeGR, MATCH(N230,AllCollegeNCES,0)))</f>
        <v>0</v>
      </c>
      <c r="AB230">
        <f>IF(ISNUMBER(INDEX(AllCollegeAAHGR, MATCH(N230,AllCollegeNCES,0))),ROUND(INDEX(AllCollegeAAHGR, MATCH(N230,AllCollegeNCES,0))+Z230*IF(INDEX(AllCollegeAAHGR, MATCH(N230,AllCollegeNCES,0))&gt;0.7,(1-INDEX(AllCollegeAAHGR, MATCH(N230,AllCollegeNCES,0)))/2,0.15),2),INDEX(AllCollegeAAHGR, MATCH(N230,AllCollegeNCES,0)))</f>
        <v>0</v>
      </c>
      <c r="AC230">
        <f>IF(OR(W230="H",W230="B"),INDEX(AllCollegeSAT25, MATCH(N230,AllCollegeNCES,0)),INDEX(AllCollegeSAT50, MATCH(N230,AllCollegeNCES,0)))</f>
        <v>0</v>
      </c>
      <c r="AD230">
        <f>INDEX(CustomWeightsGPA,MATCH(W230&amp;":"&amp;N230,CustomWeightsIndex,0))</f>
        <v>0</v>
      </c>
      <c r="AE230">
        <f>INDEX(CustomWeightsSAT,MATCH(W230&amp;":"&amp;N230,CustomWeightsIndex,0))</f>
        <v>0</v>
      </c>
      <c r="AF230">
        <f>INDEX(CustomWeightsIntercept,MATCH(W230&amp;":"&amp;N230,CustomWeightsIndex,0))</f>
        <v>0</v>
      </c>
      <c r="AG230">
        <f>AD230*S230+AE230*T230+AF230</f>
        <v>0</v>
      </c>
      <c r="AH230">
        <f>INDEX(CoefficientsGPA,MATCH(W230&amp;":"&amp;R230,CoefficientsIndex,0))</f>
        <v>0</v>
      </c>
      <c r="AI230">
        <f>INDEX(CoefficientsSAT,MATCH(W230&amp;":"&amp;R230,CoefficientsIndex,0))</f>
        <v>0</v>
      </c>
      <c r="AJ230">
        <f>INDEX(CoefficientsIntercept,MATCH(W230&amp;":"&amp;R230,CoefficientsIndex,0))</f>
        <v>0</v>
      </c>
      <c r="AK230">
        <f>AH230*S230+(T230-AC230)*AI230+AJ230</f>
        <v>0</v>
      </c>
      <c r="AL230">
        <f>IF(ISNUMBER(AG230),AG230,AK230)</f>
        <v>0</v>
      </c>
      <c r="AM230">
        <f>IF(ISNUMBER(AL230),IF(ISNUMBER(AH230),IF(AND(AH230=1,AI230=1,AJ230=1),100,MIN(99,ROUND(100*EXP(AL230)/(1+EXP(AL230)),2))),MIN(99,ROUND(100*EXP(AL230)/(1+EXP(AL230)),2))),IF(ISTEXT(R230),IF(LEFT(R230,1)="2",100,"N/A"),"N/A"))</f>
        <v>0</v>
      </c>
      <c r="AN230">
        <f>IF(ISNUMBER(AM230),IF(AM230&gt;=99,IF(OR(U230=10,U230=11),MatchLabel,SureThingLabel),IF(AM230&gt;=95,SecureLabel,IF(AM230&gt;=80,SafetyLabel,IF(AM230&gt;=50,MatchLabel,IF(AM230&gt;=20,ReachLabel,IF(AM230&gt;=10,LongshotLabel,HailMaryLabel)))))),"Other")</f>
        <v>0</v>
      </c>
      <c r="AO230">
        <f>IF(OR(I230="accepted",I230="cond. accept",I230="summer admit"),IF(J230="yes","CHOICE!","Accepted!"),IF(I230="guar. transfer","Guar. Xfer",IF(I230="denied","Denied",IF(K230=1,"Waitlist",IF(L230=1,"Deferred",IF(G230="pending","Pending",IF(OR(G230="initial materials submitted",G230="mid-year submitted",G230="final submitted"),"Submitted",IF(H230="interest","Interest","?"))))))))</f>
        <v>0</v>
      </c>
      <c r="AP230">
        <f>IF(OR(AN230=ReachLabel,AN230=LongshotLabel,AN230=HailMaryLabel),1,0)</f>
        <v>0</v>
      </c>
      <c r="AQ230">
        <f>IF(OR(AP230=1,AN230=MatchLabel),1,0)</f>
        <v>0</v>
      </c>
      <c r="AR230">
        <f>IF(OR(AN230=MatchLabel,AN230=SafetyLabel,AN230=SecureLabel,AN230=SureThingLabel),1,0)</f>
        <v>0</v>
      </c>
      <c r="AS230">
        <f>IF(OR(W230="H",W230="B",W230="I",W230="M"),IF(ISNUMBER(AB230),ROUND(AB230,2),0),IF(ISNUMBER(AA230),ROUND(AA230,2),0))</f>
        <v>0</v>
      </c>
      <c r="AT230">
        <f>IF(AS230&gt;=X230,1,0)</f>
        <v>0</v>
      </c>
      <c r="AU230">
        <f>IF(AS230&gt;=Y230,1,0)</f>
        <v>0</v>
      </c>
      <c r="AV230">
        <f>IF(AS230&lt;(X230-0.10),1,0)</f>
        <v>0</v>
      </c>
      <c r="AW230">
        <f>1-AM230/100</f>
        <v>0</v>
      </c>
      <c r="AX230">
        <f>IF(AQ230=1,AW230,1)</f>
        <v>0</v>
      </c>
      <c r="AY230">
        <f>IF(AP230=1,AW230,1)</f>
        <v>0</v>
      </c>
      <c r="AZ230">
        <f>IF(AND(AT230=1,ISNUMBER(AW230)),$AW230,1)</f>
        <v>0</v>
      </c>
      <c r="BA230">
        <f>IF(AND(AU230=1,ISNUMBER(AW230)),$AW230,1)</f>
        <v>0</v>
      </c>
      <c r="BB230">
        <f>IF(ISNUMBER(AB230),INDEX(AllCollegeMoney, MATCH(N230,AllCollegeNCES,0)),0)</f>
        <v>0</v>
      </c>
      <c r="BC230">
        <f>IF(AND(AT230=1,ISNUMBER(AW230),BB230=1),$AW230,1)</f>
        <v>0</v>
      </c>
      <c r="BD230">
        <f>IF(AND(AU230=1,ISNUMBER(AW230),BB230=1),$AW230,1)</f>
        <v>0</v>
      </c>
      <c r="BE230">
        <f>IF(ISNUMBER(AB230),INDEX(AllCollegeILPub, MATCH(N230,AllCollegeNCES,0)),0)</f>
        <v>0</v>
      </c>
      <c r="BF230">
        <f>IF(AN230=ReachLabel,AS230,0)</f>
        <v>0</v>
      </c>
      <c r="BG230">
        <f>IF(AN230=MatchLabel,AS230,0)</f>
        <v>0</v>
      </c>
      <c r="BH230">
        <f>IF(AN230=SafetyLabel,AS230,0)</f>
        <v>0</v>
      </c>
      <c r="BI230">
        <f>IF(AN230=SecureLabel,AS230,0)</f>
        <v>0</v>
      </c>
      <c r="BJ230">
        <f>IF(AN230=SureThingLabel,AS230,0)</f>
        <v>0</v>
      </c>
      <c r="BK230">
        <f>MAX(BF230:BJ230)</f>
        <v>0</v>
      </c>
      <c r="BL230">
        <f>MAX(BG230:BJ230)</f>
        <v>0</v>
      </c>
      <c r="BM230">
        <f>MAX(BH230:BJ230)</f>
        <v>0</v>
      </c>
      <c r="BN230">
        <f>IF(AND(AN230=ReachLabel,BB230=1),AS230,0)</f>
        <v>0</v>
      </c>
      <c r="BO230">
        <f>IF(AND(AN230=MatchLabel,BB230=1),AS230,0)</f>
        <v>0</v>
      </c>
      <c r="BP230">
        <f>IF(AND(AN230=SafetyLabel,BB230=1),AS230,0)</f>
        <v>0</v>
      </c>
      <c r="BQ230">
        <f>IF(AND(AN230=SecureLabel,BB230=1),AS230,0)</f>
        <v>0</v>
      </c>
      <c r="BR230">
        <f>IF(AND(AN230=SureThingLabel,BB230=1),AS230,0)</f>
        <v>0</v>
      </c>
      <c r="BS230">
        <f>MAX(BN230:BR230)</f>
        <v>0</v>
      </c>
      <c r="BT230">
        <f>MAX(BO230:BR230)</f>
        <v>0</v>
      </c>
      <c r="BU230">
        <f>MAX(BP230:BR230)</f>
        <v>0</v>
      </c>
      <c r="BV230">
        <f>IF(ISNUMBER(AB230),INDEX(AllCollegeChicago, MATCH(N230,AllCollegeNCES,0))*BB230,0)</f>
        <v>0</v>
      </c>
      <c r="BW230">
        <f>IF(ISNUMBER(AB230),INDEX(AllCollegeMoneyCode, MATCH(N230,AllCollegeNCES,0)),"?")</f>
        <v>0</v>
      </c>
      <c r="BX230">
        <f>IF(OR(BW230="---",BW230="--",BW230="+/--",BW230="+/---"),1,0)</f>
        <v>0</v>
      </c>
      <c r="BY230">
        <f>BB230*AR230*AT230</f>
        <v>0</v>
      </c>
    </row>
    <row r="231" spans="1:77">
      <c r="A231" t="s">
        <v>96</v>
      </c>
      <c r="B231">
        <v>22981462</v>
      </c>
      <c r="C231" t="s">
        <v>330</v>
      </c>
      <c r="D231" t="s">
        <v>331</v>
      </c>
      <c r="E231" t="s">
        <v>446</v>
      </c>
      <c r="F231" t="s">
        <v>482</v>
      </c>
      <c r="G231" t="s">
        <v>448</v>
      </c>
      <c r="H231" t="s">
        <v>449</v>
      </c>
      <c r="I231" t="s">
        <v>450</v>
      </c>
      <c r="J231" t="s">
        <v>450</v>
      </c>
      <c r="K231">
        <v>0</v>
      </c>
      <c r="L231" t="s">
        <v>446</v>
      </c>
      <c r="M231" t="s">
        <v>446</v>
      </c>
      <c r="N231">
        <v>170976</v>
      </c>
      <c r="O231">
        <f>INDEX(Counselor,MATCH(B231,KidIDs,0))</f>
        <v>0</v>
      </c>
      <c r="P231">
        <f>INDEX(Advisors,MATCH(B231,KidIDs,0))</f>
        <v>0</v>
      </c>
      <c r="Q231">
        <f>INDEX(Cohort,MATCH(B231,KidIDs,0))</f>
        <v>0</v>
      </c>
      <c r="R231">
        <f>INDEX(AllCollegeBarrons,MATCH(N231,AllCollegeNCES,0))</f>
        <v>0</v>
      </c>
      <c r="S231">
        <f>INDEX(KidGPAs,MATCH(B231,KidIDs,0))</f>
        <v>0</v>
      </c>
      <c r="T231">
        <f>INDEX(KidSATs,MATCH(B231,KidIDs,0))</f>
        <v>0</v>
      </c>
      <c r="U231">
        <f>INDEX(Strats,MATCH(B231,KidIDs,0))</f>
        <v>0</v>
      </c>
      <c r="V231">
        <f>INDEX(KidRace,MATCH(B231,KidIDs,0))</f>
        <v>0</v>
      </c>
      <c r="W231">
        <f>IF(OR(V231="M",V231="I"),"H",IF(V231="P","A",V231))</f>
        <v>0</v>
      </c>
      <c r="X231">
        <f>INDEX(StudentTargets,MATCH(B231,KidIDs,0))</f>
        <v>0</v>
      </c>
      <c r="Y231">
        <f>INDEX(ReachStudentTargets,MATCH(B231,KidIDs,0))</f>
        <v>0</v>
      </c>
      <c r="Z231">
        <f>IF(OR(M231="Posse"),1,0)</f>
        <v>0</v>
      </c>
      <c r="AA231">
        <f>IF(ISNUMBER(INDEX(AllCollegeGR, MATCH(N231,AllCollegeNCES,0))),ROUND(INDEX(AllCollegeGR, MATCH(N231,AllCollegeNCES,0))+Z231*IF(INDEX(AllCollegeGR, MATCH(N231,AllCollegeNCES,0))&gt;0.7,(1-INDEX(AllCollegeGR, MATCH(N231,AllCollegeNCES,0)))/2,0.15),2),INDEX(AllCollegeGR, MATCH(N231,AllCollegeNCES,0)))</f>
        <v>0</v>
      </c>
      <c r="AB231">
        <f>IF(ISNUMBER(INDEX(AllCollegeAAHGR, MATCH(N231,AllCollegeNCES,0))),ROUND(INDEX(AllCollegeAAHGR, MATCH(N231,AllCollegeNCES,0))+Z231*IF(INDEX(AllCollegeAAHGR, MATCH(N231,AllCollegeNCES,0))&gt;0.7,(1-INDEX(AllCollegeAAHGR, MATCH(N231,AllCollegeNCES,0)))/2,0.15),2),INDEX(AllCollegeAAHGR, MATCH(N231,AllCollegeNCES,0)))</f>
        <v>0</v>
      </c>
      <c r="AC231">
        <f>IF(OR(W231="H",W231="B"),INDEX(AllCollegeSAT25, MATCH(N231,AllCollegeNCES,0)),INDEX(AllCollegeSAT50, MATCH(N231,AllCollegeNCES,0)))</f>
        <v>0</v>
      </c>
      <c r="AD231">
        <f>INDEX(CustomWeightsGPA,MATCH(W231&amp;":"&amp;N231,CustomWeightsIndex,0))</f>
        <v>0</v>
      </c>
      <c r="AE231">
        <f>INDEX(CustomWeightsSAT,MATCH(W231&amp;":"&amp;N231,CustomWeightsIndex,0))</f>
        <v>0</v>
      </c>
      <c r="AF231">
        <f>INDEX(CustomWeightsIntercept,MATCH(W231&amp;":"&amp;N231,CustomWeightsIndex,0))</f>
        <v>0</v>
      </c>
      <c r="AG231">
        <f>AD231*S231+AE231*T231+AF231</f>
        <v>0</v>
      </c>
      <c r="AH231">
        <f>INDEX(CoefficientsGPA,MATCH(W231&amp;":"&amp;R231,CoefficientsIndex,0))</f>
        <v>0</v>
      </c>
      <c r="AI231">
        <f>INDEX(CoefficientsSAT,MATCH(W231&amp;":"&amp;R231,CoefficientsIndex,0))</f>
        <v>0</v>
      </c>
      <c r="AJ231">
        <f>INDEX(CoefficientsIntercept,MATCH(W231&amp;":"&amp;R231,CoefficientsIndex,0))</f>
        <v>0</v>
      </c>
      <c r="AK231">
        <f>AH231*S231+(T231-AC231)*AI231+AJ231</f>
        <v>0</v>
      </c>
      <c r="AL231">
        <f>IF(ISNUMBER(AG231),AG231,AK231)</f>
        <v>0</v>
      </c>
      <c r="AM231">
        <f>IF(ISNUMBER(AL231),IF(ISNUMBER(AH231),IF(AND(AH231=1,AI231=1,AJ231=1),100,MIN(99,ROUND(100*EXP(AL231)/(1+EXP(AL231)),2))),MIN(99,ROUND(100*EXP(AL231)/(1+EXP(AL231)),2))),IF(ISTEXT(R231),IF(LEFT(R231,1)="2",100,"N/A"),"N/A"))</f>
        <v>0</v>
      </c>
      <c r="AN231">
        <f>IF(ISNUMBER(AM231),IF(AM231&gt;=99,IF(OR(U231=10,U231=11),MatchLabel,SureThingLabel),IF(AM231&gt;=95,SecureLabel,IF(AM231&gt;=80,SafetyLabel,IF(AM231&gt;=50,MatchLabel,IF(AM231&gt;=20,ReachLabel,IF(AM231&gt;=10,LongshotLabel,HailMaryLabel)))))),"Other")</f>
        <v>0</v>
      </c>
      <c r="AO231">
        <f>IF(OR(I231="accepted",I231="cond. accept",I231="summer admit"),IF(J231="yes","CHOICE!","Accepted!"),IF(I231="guar. transfer","Guar. Xfer",IF(I231="denied","Denied",IF(K231=1,"Waitlist",IF(L231=1,"Deferred",IF(G231="pending","Pending",IF(OR(G231="initial materials submitted",G231="mid-year submitted",G231="final submitted"),"Submitted",IF(H231="interest","Interest","?"))))))))</f>
        <v>0</v>
      </c>
      <c r="AP231">
        <f>IF(OR(AN231=ReachLabel,AN231=LongshotLabel,AN231=HailMaryLabel),1,0)</f>
        <v>0</v>
      </c>
      <c r="AQ231">
        <f>IF(OR(AP231=1,AN231=MatchLabel),1,0)</f>
        <v>0</v>
      </c>
      <c r="AR231">
        <f>IF(OR(AN231=MatchLabel,AN231=SafetyLabel,AN231=SecureLabel,AN231=SureThingLabel),1,0)</f>
        <v>0</v>
      </c>
      <c r="AS231">
        <f>IF(OR(W231="H",W231="B",W231="I",W231="M"),IF(ISNUMBER(AB231),ROUND(AB231,2),0),IF(ISNUMBER(AA231),ROUND(AA231,2),0))</f>
        <v>0</v>
      </c>
      <c r="AT231">
        <f>IF(AS231&gt;=X231,1,0)</f>
        <v>0</v>
      </c>
      <c r="AU231">
        <f>IF(AS231&gt;=Y231,1,0)</f>
        <v>0</v>
      </c>
      <c r="AV231">
        <f>IF(AS231&lt;(X231-0.10),1,0)</f>
        <v>0</v>
      </c>
      <c r="AW231">
        <f>1-AM231/100</f>
        <v>0</v>
      </c>
      <c r="AX231">
        <f>IF(AQ231=1,AW231,1)</f>
        <v>0</v>
      </c>
      <c r="AY231">
        <f>IF(AP231=1,AW231,1)</f>
        <v>0</v>
      </c>
      <c r="AZ231">
        <f>IF(AND(AT231=1,ISNUMBER(AW231)),$AW231,1)</f>
        <v>0</v>
      </c>
      <c r="BA231">
        <f>IF(AND(AU231=1,ISNUMBER(AW231)),$AW231,1)</f>
        <v>0</v>
      </c>
      <c r="BB231">
        <f>IF(ISNUMBER(AB231),INDEX(AllCollegeMoney, MATCH(N231,AllCollegeNCES,0)),0)</f>
        <v>0</v>
      </c>
      <c r="BC231">
        <f>IF(AND(AT231=1,ISNUMBER(AW231),BB231=1),$AW231,1)</f>
        <v>0</v>
      </c>
      <c r="BD231">
        <f>IF(AND(AU231=1,ISNUMBER(AW231),BB231=1),$AW231,1)</f>
        <v>0</v>
      </c>
      <c r="BE231">
        <f>IF(ISNUMBER(AB231),INDEX(AllCollegeILPub, MATCH(N231,AllCollegeNCES,0)),0)</f>
        <v>0</v>
      </c>
      <c r="BF231">
        <f>IF(AN231=ReachLabel,AS231,0)</f>
        <v>0</v>
      </c>
      <c r="BG231">
        <f>IF(AN231=MatchLabel,AS231,0)</f>
        <v>0</v>
      </c>
      <c r="BH231">
        <f>IF(AN231=SafetyLabel,AS231,0)</f>
        <v>0</v>
      </c>
      <c r="BI231">
        <f>IF(AN231=SecureLabel,AS231,0)</f>
        <v>0</v>
      </c>
      <c r="BJ231">
        <f>IF(AN231=SureThingLabel,AS231,0)</f>
        <v>0</v>
      </c>
      <c r="BK231">
        <f>MAX(BF231:BJ231)</f>
        <v>0</v>
      </c>
      <c r="BL231">
        <f>MAX(BG231:BJ231)</f>
        <v>0</v>
      </c>
      <c r="BM231">
        <f>MAX(BH231:BJ231)</f>
        <v>0</v>
      </c>
      <c r="BN231">
        <f>IF(AND(AN231=ReachLabel,BB231=1),AS231,0)</f>
        <v>0</v>
      </c>
      <c r="BO231">
        <f>IF(AND(AN231=MatchLabel,BB231=1),AS231,0)</f>
        <v>0</v>
      </c>
      <c r="BP231">
        <f>IF(AND(AN231=SafetyLabel,BB231=1),AS231,0)</f>
        <v>0</v>
      </c>
      <c r="BQ231">
        <f>IF(AND(AN231=SecureLabel,BB231=1),AS231,0)</f>
        <v>0</v>
      </c>
      <c r="BR231">
        <f>IF(AND(AN231=SureThingLabel,BB231=1),AS231,0)</f>
        <v>0</v>
      </c>
      <c r="BS231">
        <f>MAX(BN231:BR231)</f>
        <v>0</v>
      </c>
      <c r="BT231">
        <f>MAX(BO231:BR231)</f>
        <v>0</v>
      </c>
      <c r="BU231">
        <f>MAX(BP231:BR231)</f>
        <v>0</v>
      </c>
      <c r="BV231">
        <f>IF(ISNUMBER(AB231),INDEX(AllCollegeChicago, MATCH(N231,AllCollegeNCES,0))*BB231,0)</f>
        <v>0</v>
      </c>
      <c r="BW231">
        <f>IF(ISNUMBER(AB231),INDEX(AllCollegeMoneyCode, MATCH(N231,AllCollegeNCES,0)),"?")</f>
        <v>0</v>
      </c>
      <c r="BX231">
        <f>IF(OR(BW231="---",BW231="--",BW231="+/--",BW231="+/---"),1,0)</f>
        <v>0</v>
      </c>
      <c r="BY231">
        <f>BB231*AR231*AT231</f>
        <v>0</v>
      </c>
    </row>
    <row r="232" spans="1:77">
      <c r="A232" t="s">
        <v>96</v>
      </c>
      <c r="B232">
        <v>22981462</v>
      </c>
      <c r="C232" t="s">
        <v>330</v>
      </c>
      <c r="D232" t="s">
        <v>331</v>
      </c>
      <c r="E232" t="s">
        <v>446</v>
      </c>
      <c r="F232" t="s">
        <v>484</v>
      </c>
      <c r="G232" t="s">
        <v>448</v>
      </c>
      <c r="H232" t="s">
        <v>449</v>
      </c>
      <c r="I232" t="s">
        <v>450</v>
      </c>
      <c r="J232" t="s">
        <v>450</v>
      </c>
      <c r="K232">
        <v>0</v>
      </c>
      <c r="L232" t="s">
        <v>446</v>
      </c>
      <c r="M232" t="s">
        <v>446</v>
      </c>
      <c r="N232">
        <v>213385</v>
      </c>
      <c r="O232">
        <f>INDEX(Counselor,MATCH(B232,KidIDs,0))</f>
        <v>0</v>
      </c>
      <c r="P232">
        <f>INDEX(Advisors,MATCH(B232,KidIDs,0))</f>
        <v>0</v>
      </c>
      <c r="Q232">
        <f>INDEX(Cohort,MATCH(B232,KidIDs,0))</f>
        <v>0</v>
      </c>
      <c r="R232">
        <f>INDEX(AllCollegeBarrons,MATCH(N232,AllCollegeNCES,0))</f>
        <v>0</v>
      </c>
      <c r="S232">
        <f>INDEX(KidGPAs,MATCH(B232,KidIDs,0))</f>
        <v>0</v>
      </c>
      <c r="T232">
        <f>INDEX(KidSATs,MATCH(B232,KidIDs,0))</f>
        <v>0</v>
      </c>
      <c r="U232">
        <f>INDEX(Strats,MATCH(B232,KidIDs,0))</f>
        <v>0</v>
      </c>
      <c r="V232">
        <f>INDEX(KidRace,MATCH(B232,KidIDs,0))</f>
        <v>0</v>
      </c>
      <c r="W232">
        <f>IF(OR(V232="M",V232="I"),"H",IF(V232="P","A",V232))</f>
        <v>0</v>
      </c>
      <c r="X232">
        <f>INDEX(StudentTargets,MATCH(B232,KidIDs,0))</f>
        <v>0</v>
      </c>
      <c r="Y232">
        <f>INDEX(ReachStudentTargets,MATCH(B232,KidIDs,0))</f>
        <v>0</v>
      </c>
      <c r="Z232">
        <f>IF(OR(M232="Posse"),1,0)</f>
        <v>0</v>
      </c>
      <c r="AA232">
        <f>IF(ISNUMBER(INDEX(AllCollegeGR, MATCH(N232,AllCollegeNCES,0))),ROUND(INDEX(AllCollegeGR, MATCH(N232,AllCollegeNCES,0))+Z232*IF(INDEX(AllCollegeGR, MATCH(N232,AllCollegeNCES,0))&gt;0.7,(1-INDEX(AllCollegeGR, MATCH(N232,AllCollegeNCES,0)))/2,0.15),2),INDEX(AllCollegeGR, MATCH(N232,AllCollegeNCES,0)))</f>
        <v>0</v>
      </c>
      <c r="AB232">
        <f>IF(ISNUMBER(INDEX(AllCollegeAAHGR, MATCH(N232,AllCollegeNCES,0))),ROUND(INDEX(AllCollegeAAHGR, MATCH(N232,AllCollegeNCES,0))+Z232*IF(INDEX(AllCollegeAAHGR, MATCH(N232,AllCollegeNCES,0))&gt;0.7,(1-INDEX(AllCollegeAAHGR, MATCH(N232,AllCollegeNCES,0)))/2,0.15),2),INDEX(AllCollegeAAHGR, MATCH(N232,AllCollegeNCES,0)))</f>
        <v>0</v>
      </c>
      <c r="AC232">
        <f>IF(OR(W232="H",W232="B"),INDEX(AllCollegeSAT25, MATCH(N232,AllCollegeNCES,0)),INDEX(AllCollegeSAT50, MATCH(N232,AllCollegeNCES,0)))</f>
        <v>0</v>
      </c>
      <c r="AD232">
        <f>INDEX(CustomWeightsGPA,MATCH(W232&amp;":"&amp;N232,CustomWeightsIndex,0))</f>
        <v>0</v>
      </c>
      <c r="AE232">
        <f>INDEX(CustomWeightsSAT,MATCH(W232&amp;":"&amp;N232,CustomWeightsIndex,0))</f>
        <v>0</v>
      </c>
      <c r="AF232">
        <f>INDEX(CustomWeightsIntercept,MATCH(W232&amp;":"&amp;N232,CustomWeightsIndex,0))</f>
        <v>0</v>
      </c>
      <c r="AG232">
        <f>AD232*S232+AE232*T232+AF232</f>
        <v>0</v>
      </c>
      <c r="AH232">
        <f>INDEX(CoefficientsGPA,MATCH(W232&amp;":"&amp;R232,CoefficientsIndex,0))</f>
        <v>0</v>
      </c>
      <c r="AI232">
        <f>INDEX(CoefficientsSAT,MATCH(W232&amp;":"&amp;R232,CoefficientsIndex,0))</f>
        <v>0</v>
      </c>
      <c r="AJ232">
        <f>INDEX(CoefficientsIntercept,MATCH(W232&amp;":"&amp;R232,CoefficientsIndex,0))</f>
        <v>0</v>
      </c>
      <c r="AK232">
        <f>AH232*S232+(T232-AC232)*AI232+AJ232</f>
        <v>0</v>
      </c>
      <c r="AL232">
        <f>IF(ISNUMBER(AG232),AG232,AK232)</f>
        <v>0</v>
      </c>
      <c r="AM232">
        <f>IF(ISNUMBER(AL232),IF(ISNUMBER(AH232),IF(AND(AH232=1,AI232=1,AJ232=1),100,MIN(99,ROUND(100*EXP(AL232)/(1+EXP(AL232)),2))),MIN(99,ROUND(100*EXP(AL232)/(1+EXP(AL232)),2))),IF(ISTEXT(R232),IF(LEFT(R232,1)="2",100,"N/A"),"N/A"))</f>
        <v>0</v>
      </c>
      <c r="AN232">
        <f>IF(ISNUMBER(AM232),IF(AM232&gt;=99,IF(OR(U232=10,U232=11),MatchLabel,SureThingLabel),IF(AM232&gt;=95,SecureLabel,IF(AM232&gt;=80,SafetyLabel,IF(AM232&gt;=50,MatchLabel,IF(AM232&gt;=20,ReachLabel,IF(AM232&gt;=10,LongshotLabel,HailMaryLabel)))))),"Other")</f>
        <v>0</v>
      </c>
      <c r="AO232">
        <f>IF(OR(I232="accepted",I232="cond. accept",I232="summer admit"),IF(J232="yes","CHOICE!","Accepted!"),IF(I232="guar. transfer","Guar. Xfer",IF(I232="denied","Denied",IF(K232=1,"Waitlist",IF(L232=1,"Deferred",IF(G232="pending","Pending",IF(OR(G232="initial materials submitted",G232="mid-year submitted",G232="final submitted"),"Submitted",IF(H232="interest","Interest","?"))))))))</f>
        <v>0</v>
      </c>
      <c r="AP232">
        <f>IF(OR(AN232=ReachLabel,AN232=LongshotLabel,AN232=HailMaryLabel),1,0)</f>
        <v>0</v>
      </c>
      <c r="AQ232">
        <f>IF(OR(AP232=1,AN232=MatchLabel),1,0)</f>
        <v>0</v>
      </c>
      <c r="AR232">
        <f>IF(OR(AN232=MatchLabel,AN232=SafetyLabel,AN232=SecureLabel,AN232=SureThingLabel),1,0)</f>
        <v>0</v>
      </c>
      <c r="AS232">
        <f>IF(OR(W232="H",W232="B",W232="I",W232="M"),IF(ISNUMBER(AB232),ROUND(AB232,2),0),IF(ISNUMBER(AA232),ROUND(AA232,2),0))</f>
        <v>0</v>
      </c>
      <c r="AT232">
        <f>IF(AS232&gt;=X232,1,0)</f>
        <v>0</v>
      </c>
      <c r="AU232">
        <f>IF(AS232&gt;=Y232,1,0)</f>
        <v>0</v>
      </c>
      <c r="AV232">
        <f>IF(AS232&lt;(X232-0.10),1,0)</f>
        <v>0</v>
      </c>
      <c r="AW232">
        <f>1-AM232/100</f>
        <v>0</v>
      </c>
      <c r="AX232">
        <f>IF(AQ232=1,AW232,1)</f>
        <v>0</v>
      </c>
      <c r="AY232">
        <f>IF(AP232=1,AW232,1)</f>
        <v>0</v>
      </c>
      <c r="AZ232">
        <f>IF(AND(AT232=1,ISNUMBER(AW232)),$AW232,1)</f>
        <v>0</v>
      </c>
      <c r="BA232">
        <f>IF(AND(AU232=1,ISNUMBER(AW232)),$AW232,1)</f>
        <v>0</v>
      </c>
      <c r="BB232">
        <f>IF(ISNUMBER(AB232),INDEX(AllCollegeMoney, MATCH(N232,AllCollegeNCES,0)),0)</f>
        <v>0</v>
      </c>
      <c r="BC232">
        <f>IF(AND(AT232=1,ISNUMBER(AW232),BB232=1),$AW232,1)</f>
        <v>0</v>
      </c>
      <c r="BD232">
        <f>IF(AND(AU232=1,ISNUMBER(AW232),BB232=1),$AW232,1)</f>
        <v>0</v>
      </c>
      <c r="BE232">
        <f>IF(ISNUMBER(AB232),INDEX(AllCollegeILPub, MATCH(N232,AllCollegeNCES,0)),0)</f>
        <v>0</v>
      </c>
      <c r="BF232">
        <f>IF(AN232=ReachLabel,AS232,0)</f>
        <v>0</v>
      </c>
      <c r="BG232">
        <f>IF(AN232=MatchLabel,AS232,0)</f>
        <v>0</v>
      </c>
      <c r="BH232">
        <f>IF(AN232=SafetyLabel,AS232,0)</f>
        <v>0</v>
      </c>
      <c r="BI232">
        <f>IF(AN232=SecureLabel,AS232,0)</f>
        <v>0</v>
      </c>
      <c r="BJ232">
        <f>IF(AN232=SureThingLabel,AS232,0)</f>
        <v>0</v>
      </c>
      <c r="BK232">
        <f>MAX(BF232:BJ232)</f>
        <v>0</v>
      </c>
      <c r="BL232">
        <f>MAX(BG232:BJ232)</f>
        <v>0</v>
      </c>
      <c r="BM232">
        <f>MAX(BH232:BJ232)</f>
        <v>0</v>
      </c>
      <c r="BN232">
        <f>IF(AND(AN232=ReachLabel,BB232=1),AS232,0)</f>
        <v>0</v>
      </c>
      <c r="BO232">
        <f>IF(AND(AN232=MatchLabel,BB232=1),AS232,0)</f>
        <v>0</v>
      </c>
      <c r="BP232">
        <f>IF(AND(AN232=SafetyLabel,BB232=1),AS232,0)</f>
        <v>0</v>
      </c>
      <c r="BQ232">
        <f>IF(AND(AN232=SecureLabel,BB232=1),AS232,0)</f>
        <v>0</v>
      </c>
      <c r="BR232">
        <f>IF(AND(AN232=SureThingLabel,BB232=1),AS232,0)</f>
        <v>0</v>
      </c>
      <c r="BS232">
        <f>MAX(BN232:BR232)</f>
        <v>0</v>
      </c>
      <c r="BT232">
        <f>MAX(BO232:BR232)</f>
        <v>0</v>
      </c>
      <c r="BU232">
        <f>MAX(BP232:BR232)</f>
        <v>0</v>
      </c>
      <c r="BV232">
        <f>IF(ISNUMBER(AB232),INDEX(AllCollegeChicago, MATCH(N232,AllCollegeNCES,0))*BB232,0)</f>
        <v>0</v>
      </c>
      <c r="BW232">
        <f>IF(ISNUMBER(AB232),INDEX(AllCollegeMoneyCode, MATCH(N232,AllCollegeNCES,0)),"?")</f>
        <v>0</v>
      </c>
      <c r="BX232">
        <f>IF(OR(BW232="---",BW232="--",BW232="+/--",BW232="+/---"),1,0)</f>
        <v>0</v>
      </c>
      <c r="BY232">
        <f>BB232*AR232*AT232</f>
        <v>0</v>
      </c>
    </row>
    <row r="233" spans="1:77">
      <c r="A233" t="s">
        <v>96</v>
      </c>
      <c r="B233">
        <v>22981462</v>
      </c>
      <c r="C233" t="s">
        <v>330</v>
      </c>
      <c r="D233" t="s">
        <v>331</v>
      </c>
      <c r="E233" t="s">
        <v>446</v>
      </c>
      <c r="F233" t="s">
        <v>471</v>
      </c>
      <c r="G233" t="s">
        <v>479</v>
      </c>
      <c r="H233" t="s">
        <v>449</v>
      </c>
      <c r="I233" t="s">
        <v>450</v>
      </c>
      <c r="J233" t="s">
        <v>450</v>
      </c>
      <c r="K233">
        <v>0</v>
      </c>
      <c r="L233" t="s">
        <v>446</v>
      </c>
      <c r="M233" t="s">
        <v>446</v>
      </c>
      <c r="N233">
        <v>202523</v>
      </c>
      <c r="O233">
        <f>INDEX(Counselor,MATCH(B233,KidIDs,0))</f>
        <v>0</v>
      </c>
      <c r="P233">
        <f>INDEX(Advisors,MATCH(B233,KidIDs,0))</f>
        <v>0</v>
      </c>
      <c r="Q233">
        <f>INDEX(Cohort,MATCH(B233,KidIDs,0))</f>
        <v>0</v>
      </c>
      <c r="R233">
        <f>INDEX(AllCollegeBarrons,MATCH(N233,AllCollegeNCES,0))</f>
        <v>0</v>
      </c>
      <c r="S233">
        <f>INDEX(KidGPAs,MATCH(B233,KidIDs,0))</f>
        <v>0</v>
      </c>
      <c r="T233">
        <f>INDEX(KidSATs,MATCH(B233,KidIDs,0))</f>
        <v>0</v>
      </c>
      <c r="U233">
        <f>INDEX(Strats,MATCH(B233,KidIDs,0))</f>
        <v>0</v>
      </c>
      <c r="V233">
        <f>INDEX(KidRace,MATCH(B233,KidIDs,0))</f>
        <v>0</v>
      </c>
      <c r="W233">
        <f>IF(OR(V233="M",V233="I"),"H",IF(V233="P","A",V233))</f>
        <v>0</v>
      </c>
      <c r="X233">
        <f>INDEX(StudentTargets,MATCH(B233,KidIDs,0))</f>
        <v>0</v>
      </c>
      <c r="Y233">
        <f>INDEX(ReachStudentTargets,MATCH(B233,KidIDs,0))</f>
        <v>0</v>
      </c>
      <c r="Z233">
        <f>IF(OR(M233="Posse"),1,0)</f>
        <v>0</v>
      </c>
      <c r="AA233">
        <f>IF(ISNUMBER(INDEX(AllCollegeGR, MATCH(N233,AllCollegeNCES,0))),ROUND(INDEX(AllCollegeGR, MATCH(N233,AllCollegeNCES,0))+Z233*IF(INDEX(AllCollegeGR, MATCH(N233,AllCollegeNCES,0))&gt;0.7,(1-INDEX(AllCollegeGR, MATCH(N233,AllCollegeNCES,0)))/2,0.15),2),INDEX(AllCollegeGR, MATCH(N233,AllCollegeNCES,0)))</f>
        <v>0</v>
      </c>
      <c r="AB233">
        <f>IF(ISNUMBER(INDEX(AllCollegeAAHGR, MATCH(N233,AllCollegeNCES,0))),ROUND(INDEX(AllCollegeAAHGR, MATCH(N233,AllCollegeNCES,0))+Z233*IF(INDEX(AllCollegeAAHGR, MATCH(N233,AllCollegeNCES,0))&gt;0.7,(1-INDEX(AllCollegeAAHGR, MATCH(N233,AllCollegeNCES,0)))/2,0.15),2),INDEX(AllCollegeAAHGR, MATCH(N233,AllCollegeNCES,0)))</f>
        <v>0</v>
      </c>
      <c r="AC233">
        <f>IF(OR(W233="H",W233="B"),INDEX(AllCollegeSAT25, MATCH(N233,AllCollegeNCES,0)),INDEX(AllCollegeSAT50, MATCH(N233,AllCollegeNCES,0)))</f>
        <v>0</v>
      </c>
      <c r="AD233">
        <f>INDEX(CustomWeightsGPA,MATCH(W233&amp;":"&amp;N233,CustomWeightsIndex,0))</f>
        <v>0</v>
      </c>
      <c r="AE233">
        <f>INDEX(CustomWeightsSAT,MATCH(W233&amp;":"&amp;N233,CustomWeightsIndex,0))</f>
        <v>0</v>
      </c>
      <c r="AF233">
        <f>INDEX(CustomWeightsIntercept,MATCH(W233&amp;":"&amp;N233,CustomWeightsIndex,0))</f>
        <v>0</v>
      </c>
      <c r="AG233">
        <f>AD233*S233+AE233*T233+AF233</f>
        <v>0</v>
      </c>
      <c r="AH233">
        <f>INDEX(CoefficientsGPA,MATCH(W233&amp;":"&amp;R233,CoefficientsIndex,0))</f>
        <v>0</v>
      </c>
      <c r="AI233">
        <f>INDEX(CoefficientsSAT,MATCH(W233&amp;":"&amp;R233,CoefficientsIndex,0))</f>
        <v>0</v>
      </c>
      <c r="AJ233">
        <f>INDEX(CoefficientsIntercept,MATCH(W233&amp;":"&amp;R233,CoefficientsIndex,0))</f>
        <v>0</v>
      </c>
      <c r="AK233">
        <f>AH233*S233+(T233-AC233)*AI233+AJ233</f>
        <v>0</v>
      </c>
      <c r="AL233">
        <f>IF(ISNUMBER(AG233),AG233,AK233)</f>
        <v>0</v>
      </c>
      <c r="AM233">
        <f>IF(ISNUMBER(AL233),IF(ISNUMBER(AH233),IF(AND(AH233=1,AI233=1,AJ233=1),100,MIN(99,ROUND(100*EXP(AL233)/(1+EXP(AL233)),2))),MIN(99,ROUND(100*EXP(AL233)/(1+EXP(AL233)),2))),IF(ISTEXT(R233),IF(LEFT(R233,1)="2",100,"N/A"),"N/A"))</f>
        <v>0</v>
      </c>
      <c r="AN233">
        <f>IF(ISNUMBER(AM233),IF(AM233&gt;=99,IF(OR(U233=10,U233=11),MatchLabel,SureThingLabel),IF(AM233&gt;=95,SecureLabel,IF(AM233&gt;=80,SafetyLabel,IF(AM233&gt;=50,MatchLabel,IF(AM233&gt;=20,ReachLabel,IF(AM233&gt;=10,LongshotLabel,HailMaryLabel)))))),"Other")</f>
        <v>0</v>
      </c>
      <c r="AO233">
        <f>IF(OR(I233="accepted",I233="cond. accept",I233="summer admit"),IF(J233="yes","CHOICE!","Accepted!"),IF(I233="guar. transfer","Guar. Xfer",IF(I233="denied","Denied",IF(K233=1,"Waitlist",IF(L233=1,"Deferred",IF(G233="pending","Pending",IF(OR(G233="initial materials submitted",G233="mid-year submitted",G233="final submitted"),"Submitted",IF(H233="interest","Interest","?"))))))))</f>
        <v>0</v>
      </c>
      <c r="AP233">
        <f>IF(OR(AN233=ReachLabel,AN233=LongshotLabel,AN233=HailMaryLabel),1,0)</f>
        <v>0</v>
      </c>
      <c r="AQ233">
        <f>IF(OR(AP233=1,AN233=MatchLabel),1,0)</f>
        <v>0</v>
      </c>
      <c r="AR233">
        <f>IF(OR(AN233=MatchLabel,AN233=SafetyLabel,AN233=SecureLabel,AN233=SureThingLabel),1,0)</f>
        <v>0</v>
      </c>
      <c r="AS233">
        <f>IF(OR(W233="H",W233="B",W233="I",W233="M"),IF(ISNUMBER(AB233),ROUND(AB233,2),0),IF(ISNUMBER(AA233),ROUND(AA233,2),0))</f>
        <v>0</v>
      </c>
      <c r="AT233">
        <f>IF(AS233&gt;=X233,1,0)</f>
        <v>0</v>
      </c>
      <c r="AU233">
        <f>IF(AS233&gt;=Y233,1,0)</f>
        <v>0</v>
      </c>
      <c r="AV233">
        <f>IF(AS233&lt;(X233-0.10),1,0)</f>
        <v>0</v>
      </c>
      <c r="AW233">
        <f>1-AM233/100</f>
        <v>0</v>
      </c>
      <c r="AX233">
        <f>IF(AQ233=1,AW233,1)</f>
        <v>0</v>
      </c>
      <c r="AY233">
        <f>IF(AP233=1,AW233,1)</f>
        <v>0</v>
      </c>
      <c r="AZ233">
        <f>IF(AND(AT233=1,ISNUMBER(AW233)),$AW233,1)</f>
        <v>0</v>
      </c>
      <c r="BA233">
        <f>IF(AND(AU233=1,ISNUMBER(AW233)),$AW233,1)</f>
        <v>0</v>
      </c>
      <c r="BB233">
        <f>IF(ISNUMBER(AB233),INDEX(AllCollegeMoney, MATCH(N233,AllCollegeNCES,0)),0)</f>
        <v>0</v>
      </c>
      <c r="BC233">
        <f>IF(AND(AT233=1,ISNUMBER(AW233),BB233=1),$AW233,1)</f>
        <v>0</v>
      </c>
      <c r="BD233">
        <f>IF(AND(AU233=1,ISNUMBER(AW233),BB233=1),$AW233,1)</f>
        <v>0</v>
      </c>
      <c r="BE233">
        <f>IF(ISNUMBER(AB233),INDEX(AllCollegeILPub, MATCH(N233,AllCollegeNCES,0)),0)</f>
        <v>0</v>
      </c>
      <c r="BF233">
        <f>IF(AN233=ReachLabel,AS233,0)</f>
        <v>0</v>
      </c>
      <c r="BG233">
        <f>IF(AN233=MatchLabel,AS233,0)</f>
        <v>0</v>
      </c>
      <c r="BH233">
        <f>IF(AN233=SafetyLabel,AS233,0)</f>
        <v>0</v>
      </c>
      <c r="BI233">
        <f>IF(AN233=SecureLabel,AS233,0)</f>
        <v>0</v>
      </c>
      <c r="BJ233">
        <f>IF(AN233=SureThingLabel,AS233,0)</f>
        <v>0</v>
      </c>
      <c r="BK233">
        <f>MAX(BF233:BJ233)</f>
        <v>0</v>
      </c>
      <c r="BL233">
        <f>MAX(BG233:BJ233)</f>
        <v>0</v>
      </c>
      <c r="BM233">
        <f>MAX(BH233:BJ233)</f>
        <v>0</v>
      </c>
      <c r="BN233">
        <f>IF(AND(AN233=ReachLabel,BB233=1),AS233,0)</f>
        <v>0</v>
      </c>
      <c r="BO233">
        <f>IF(AND(AN233=MatchLabel,BB233=1),AS233,0)</f>
        <v>0</v>
      </c>
      <c r="BP233">
        <f>IF(AND(AN233=SafetyLabel,BB233=1),AS233,0)</f>
        <v>0</v>
      </c>
      <c r="BQ233">
        <f>IF(AND(AN233=SecureLabel,BB233=1),AS233,0)</f>
        <v>0</v>
      </c>
      <c r="BR233">
        <f>IF(AND(AN233=SureThingLabel,BB233=1),AS233,0)</f>
        <v>0</v>
      </c>
      <c r="BS233">
        <f>MAX(BN233:BR233)</f>
        <v>0</v>
      </c>
      <c r="BT233">
        <f>MAX(BO233:BR233)</f>
        <v>0</v>
      </c>
      <c r="BU233">
        <f>MAX(BP233:BR233)</f>
        <v>0</v>
      </c>
      <c r="BV233">
        <f>IF(ISNUMBER(AB233),INDEX(AllCollegeChicago, MATCH(N233,AllCollegeNCES,0))*BB233,0)</f>
        <v>0</v>
      </c>
      <c r="BW233">
        <f>IF(ISNUMBER(AB233),INDEX(AllCollegeMoneyCode, MATCH(N233,AllCollegeNCES,0)),"?")</f>
        <v>0</v>
      </c>
      <c r="BX233">
        <f>IF(OR(BW233="---",BW233="--",BW233="+/--",BW233="+/---"),1,0)</f>
        <v>0</v>
      </c>
      <c r="BY233">
        <f>BB233*AR233*AT233</f>
        <v>0</v>
      </c>
    </row>
    <row r="234" spans="1:77">
      <c r="A234" t="s">
        <v>96</v>
      </c>
      <c r="B234">
        <v>22981462</v>
      </c>
      <c r="C234" t="s">
        <v>330</v>
      </c>
      <c r="D234" t="s">
        <v>331</v>
      </c>
      <c r="E234" t="s">
        <v>446</v>
      </c>
      <c r="F234" t="s">
        <v>472</v>
      </c>
      <c r="G234" t="s">
        <v>448</v>
      </c>
      <c r="H234" t="s">
        <v>449</v>
      </c>
      <c r="I234" t="s">
        <v>450</v>
      </c>
      <c r="J234" t="s">
        <v>450</v>
      </c>
      <c r="K234">
        <v>0</v>
      </c>
      <c r="L234" t="s">
        <v>446</v>
      </c>
      <c r="M234" t="s">
        <v>446</v>
      </c>
      <c r="N234">
        <v>212674</v>
      </c>
      <c r="O234">
        <f>INDEX(Counselor,MATCH(B234,KidIDs,0))</f>
        <v>0</v>
      </c>
      <c r="P234">
        <f>INDEX(Advisors,MATCH(B234,KidIDs,0))</f>
        <v>0</v>
      </c>
      <c r="Q234">
        <f>INDEX(Cohort,MATCH(B234,KidIDs,0))</f>
        <v>0</v>
      </c>
      <c r="R234">
        <f>INDEX(AllCollegeBarrons,MATCH(N234,AllCollegeNCES,0))</f>
        <v>0</v>
      </c>
      <c r="S234">
        <f>INDEX(KidGPAs,MATCH(B234,KidIDs,0))</f>
        <v>0</v>
      </c>
      <c r="T234">
        <f>INDEX(KidSATs,MATCH(B234,KidIDs,0))</f>
        <v>0</v>
      </c>
      <c r="U234">
        <f>INDEX(Strats,MATCH(B234,KidIDs,0))</f>
        <v>0</v>
      </c>
      <c r="V234">
        <f>INDEX(KidRace,MATCH(B234,KidIDs,0))</f>
        <v>0</v>
      </c>
      <c r="W234">
        <f>IF(OR(V234="M",V234="I"),"H",IF(V234="P","A",V234))</f>
        <v>0</v>
      </c>
      <c r="X234">
        <f>INDEX(StudentTargets,MATCH(B234,KidIDs,0))</f>
        <v>0</v>
      </c>
      <c r="Y234">
        <f>INDEX(ReachStudentTargets,MATCH(B234,KidIDs,0))</f>
        <v>0</v>
      </c>
      <c r="Z234">
        <f>IF(OR(M234="Posse"),1,0)</f>
        <v>0</v>
      </c>
      <c r="AA234">
        <f>IF(ISNUMBER(INDEX(AllCollegeGR, MATCH(N234,AllCollegeNCES,0))),ROUND(INDEX(AllCollegeGR, MATCH(N234,AllCollegeNCES,0))+Z234*IF(INDEX(AllCollegeGR, MATCH(N234,AllCollegeNCES,0))&gt;0.7,(1-INDEX(AllCollegeGR, MATCH(N234,AllCollegeNCES,0)))/2,0.15),2),INDEX(AllCollegeGR, MATCH(N234,AllCollegeNCES,0)))</f>
        <v>0</v>
      </c>
      <c r="AB234">
        <f>IF(ISNUMBER(INDEX(AllCollegeAAHGR, MATCH(N234,AllCollegeNCES,0))),ROUND(INDEX(AllCollegeAAHGR, MATCH(N234,AllCollegeNCES,0))+Z234*IF(INDEX(AllCollegeAAHGR, MATCH(N234,AllCollegeNCES,0))&gt;0.7,(1-INDEX(AllCollegeAAHGR, MATCH(N234,AllCollegeNCES,0)))/2,0.15),2),INDEX(AllCollegeAAHGR, MATCH(N234,AllCollegeNCES,0)))</f>
        <v>0</v>
      </c>
      <c r="AC234">
        <f>IF(OR(W234="H",W234="B"),INDEX(AllCollegeSAT25, MATCH(N234,AllCollegeNCES,0)),INDEX(AllCollegeSAT50, MATCH(N234,AllCollegeNCES,0)))</f>
        <v>0</v>
      </c>
      <c r="AD234">
        <f>INDEX(CustomWeightsGPA,MATCH(W234&amp;":"&amp;N234,CustomWeightsIndex,0))</f>
        <v>0</v>
      </c>
      <c r="AE234">
        <f>INDEX(CustomWeightsSAT,MATCH(W234&amp;":"&amp;N234,CustomWeightsIndex,0))</f>
        <v>0</v>
      </c>
      <c r="AF234">
        <f>INDEX(CustomWeightsIntercept,MATCH(W234&amp;":"&amp;N234,CustomWeightsIndex,0))</f>
        <v>0</v>
      </c>
      <c r="AG234">
        <f>AD234*S234+AE234*T234+AF234</f>
        <v>0</v>
      </c>
      <c r="AH234">
        <f>INDEX(CoefficientsGPA,MATCH(W234&amp;":"&amp;R234,CoefficientsIndex,0))</f>
        <v>0</v>
      </c>
      <c r="AI234">
        <f>INDEX(CoefficientsSAT,MATCH(W234&amp;":"&amp;R234,CoefficientsIndex,0))</f>
        <v>0</v>
      </c>
      <c r="AJ234">
        <f>INDEX(CoefficientsIntercept,MATCH(W234&amp;":"&amp;R234,CoefficientsIndex,0))</f>
        <v>0</v>
      </c>
      <c r="AK234">
        <f>AH234*S234+(T234-AC234)*AI234+AJ234</f>
        <v>0</v>
      </c>
      <c r="AL234">
        <f>IF(ISNUMBER(AG234),AG234,AK234)</f>
        <v>0</v>
      </c>
      <c r="AM234">
        <f>IF(ISNUMBER(AL234),IF(ISNUMBER(AH234),IF(AND(AH234=1,AI234=1,AJ234=1),100,MIN(99,ROUND(100*EXP(AL234)/(1+EXP(AL234)),2))),MIN(99,ROUND(100*EXP(AL234)/(1+EXP(AL234)),2))),IF(ISTEXT(R234),IF(LEFT(R234,1)="2",100,"N/A"),"N/A"))</f>
        <v>0</v>
      </c>
      <c r="AN234">
        <f>IF(ISNUMBER(AM234),IF(AM234&gt;=99,IF(OR(U234=10,U234=11),MatchLabel,SureThingLabel),IF(AM234&gt;=95,SecureLabel,IF(AM234&gt;=80,SafetyLabel,IF(AM234&gt;=50,MatchLabel,IF(AM234&gt;=20,ReachLabel,IF(AM234&gt;=10,LongshotLabel,HailMaryLabel)))))),"Other")</f>
        <v>0</v>
      </c>
      <c r="AO234">
        <f>IF(OR(I234="accepted",I234="cond. accept",I234="summer admit"),IF(J234="yes","CHOICE!","Accepted!"),IF(I234="guar. transfer","Guar. Xfer",IF(I234="denied","Denied",IF(K234=1,"Waitlist",IF(L234=1,"Deferred",IF(G234="pending","Pending",IF(OR(G234="initial materials submitted",G234="mid-year submitted",G234="final submitted"),"Submitted",IF(H234="interest","Interest","?"))))))))</f>
        <v>0</v>
      </c>
      <c r="AP234">
        <f>IF(OR(AN234=ReachLabel,AN234=LongshotLabel,AN234=HailMaryLabel),1,0)</f>
        <v>0</v>
      </c>
      <c r="AQ234">
        <f>IF(OR(AP234=1,AN234=MatchLabel),1,0)</f>
        <v>0</v>
      </c>
      <c r="AR234">
        <f>IF(OR(AN234=MatchLabel,AN234=SafetyLabel,AN234=SecureLabel,AN234=SureThingLabel),1,0)</f>
        <v>0</v>
      </c>
      <c r="AS234">
        <f>IF(OR(W234="H",W234="B",W234="I",W234="M"),IF(ISNUMBER(AB234),ROUND(AB234,2),0),IF(ISNUMBER(AA234),ROUND(AA234,2),0))</f>
        <v>0</v>
      </c>
      <c r="AT234">
        <f>IF(AS234&gt;=X234,1,0)</f>
        <v>0</v>
      </c>
      <c r="AU234">
        <f>IF(AS234&gt;=Y234,1,0)</f>
        <v>0</v>
      </c>
      <c r="AV234">
        <f>IF(AS234&lt;(X234-0.10),1,0)</f>
        <v>0</v>
      </c>
      <c r="AW234">
        <f>1-AM234/100</f>
        <v>0</v>
      </c>
      <c r="AX234">
        <f>IF(AQ234=1,AW234,1)</f>
        <v>0</v>
      </c>
      <c r="AY234">
        <f>IF(AP234=1,AW234,1)</f>
        <v>0</v>
      </c>
      <c r="AZ234">
        <f>IF(AND(AT234=1,ISNUMBER(AW234)),$AW234,1)</f>
        <v>0</v>
      </c>
      <c r="BA234">
        <f>IF(AND(AU234=1,ISNUMBER(AW234)),$AW234,1)</f>
        <v>0</v>
      </c>
      <c r="BB234">
        <f>IF(ISNUMBER(AB234),INDEX(AllCollegeMoney, MATCH(N234,AllCollegeNCES,0)),0)</f>
        <v>0</v>
      </c>
      <c r="BC234">
        <f>IF(AND(AT234=1,ISNUMBER(AW234),BB234=1),$AW234,1)</f>
        <v>0</v>
      </c>
      <c r="BD234">
        <f>IF(AND(AU234=1,ISNUMBER(AW234),BB234=1),$AW234,1)</f>
        <v>0</v>
      </c>
      <c r="BE234">
        <f>IF(ISNUMBER(AB234),INDEX(AllCollegeILPub, MATCH(N234,AllCollegeNCES,0)),0)</f>
        <v>0</v>
      </c>
      <c r="BF234">
        <f>IF(AN234=ReachLabel,AS234,0)</f>
        <v>0</v>
      </c>
      <c r="BG234">
        <f>IF(AN234=MatchLabel,AS234,0)</f>
        <v>0</v>
      </c>
      <c r="BH234">
        <f>IF(AN234=SafetyLabel,AS234,0)</f>
        <v>0</v>
      </c>
      <c r="BI234">
        <f>IF(AN234=SecureLabel,AS234,0)</f>
        <v>0</v>
      </c>
      <c r="BJ234">
        <f>IF(AN234=SureThingLabel,AS234,0)</f>
        <v>0</v>
      </c>
      <c r="BK234">
        <f>MAX(BF234:BJ234)</f>
        <v>0</v>
      </c>
      <c r="BL234">
        <f>MAX(BG234:BJ234)</f>
        <v>0</v>
      </c>
      <c r="BM234">
        <f>MAX(BH234:BJ234)</f>
        <v>0</v>
      </c>
      <c r="BN234">
        <f>IF(AND(AN234=ReachLabel,BB234=1),AS234,0)</f>
        <v>0</v>
      </c>
      <c r="BO234">
        <f>IF(AND(AN234=MatchLabel,BB234=1),AS234,0)</f>
        <v>0</v>
      </c>
      <c r="BP234">
        <f>IF(AND(AN234=SafetyLabel,BB234=1),AS234,0)</f>
        <v>0</v>
      </c>
      <c r="BQ234">
        <f>IF(AND(AN234=SecureLabel,BB234=1),AS234,0)</f>
        <v>0</v>
      </c>
      <c r="BR234">
        <f>IF(AND(AN234=SureThingLabel,BB234=1),AS234,0)</f>
        <v>0</v>
      </c>
      <c r="BS234">
        <f>MAX(BN234:BR234)</f>
        <v>0</v>
      </c>
      <c r="BT234">
        <f>MAX(BO234:BR234)</f>
        <v>0</v>
      </c>
      <c r="BU234">
        <f>MAX(BP234:BR234)</f>
        <v>0</v>
      </c>
      <c r="BV234">
        <f>IF(ISNUMBER(AB234),INDEX(AllCollegeChicago, MATCH(N234,AllCollegeNCES,0))*BB234,0)</f>
        <v>0</v>
      </c>
      <c r="BW234">
        <f>IF(ISNUMBER(AB234),INDEX(AllCollegeMoneyCode, MATCH(N234,AllCollegeNCES,0)),"?")</f>
        <v>0</v>
      </c>
      <c r="BX234">
        <f>IF(OR(BW234="---",BW234="--",BW234="+/--",BW234="+/---"),1,0)</f>
        <v>0</v>
      </c>
      <c r="BY234">
        <f>BB234*AR234*AT234</f>
        <v>0</v>
      </c>
    </row>
    <row r="235" spans="1:77">
      <c r="A235" t="s">
        <v>96</v>
      </c>
      <c r="B235">
        <v>22981462</v>
      </c>
      <c r="C235" t="s">
        <v>330</v>
      </c>
      <c r="D235" t="s">
        <v>331</v>
      </c>
      <c r="E235" t="s">
        <v>446</v>
      </c>
      <c r="F235" t="s">
        <v>475</v>
      </c>
      <c r="G235" t="s">
        <v>534</v>
      </c>
      <c r="H235" t="s">
        <v>449</v>
      </c>
      <c r="I235" t="s">
        <v>450</v>
      </c>
      <c r="J235" t="s">
        <v>450</v>
      </c>
      <c r="K235">
        <v>0</v>
      </c>
      <c r="L235" t="s">
        <v>446</v>
      </c>
      <c r="M235" t="s">
        <v>446</v>
      </c>
      <c r="N235">
        <v>145637</v>
      </c>
      <c r="O235">
        <f>INDEX(Counselor,MATCH(B235,KidIDs,0))</f>
        <v>0</v>
      </c>
      <c r="P235">
        <f>INDEX(Advisors,MATCH(B235,KidIDs,0))</f>
        <v>0</v>
      </c>
      <c r="Q235">
        <f>INDEX(Cohort,MATCH(B235,KidIDs,0))</f>
        <v>0</v>
      </c>
      <c r="R235">
        <f>INDEX(AllCollegeBarrons,MATCH(N235,AllCollegeNCES,0))</f>
        <v>0</v>
      </c>
      <c r="S235">
        <f>INDEX(KidGPAs,MATCH(B235,KidIDs,0))</f>
        <v>0</v>
      </c>
      <c r="T235">
        <f>INDEX(KidSATs,MATCH(B235,KidIDs,0))</f>
        <v>0</v>
      </c>
      <c r="U235">
        <f>INDEX(Strats,MATCH(B235,KidIDs,0))</f>
        <v>0</v>
      </c>
      <c r="V235">
        <f>INDEX(KidRace,MATCH(B235,KidIDs,0))</f>
        <v>0</v>
      </c>
      <c r="W235">
        <f>IF(OR(V235="M",V235="I"),"H",IF(V235="P","A",V235))</f>
        <v>0</v>
      </c>
      <c r="X235">
        <f>INDEX(StudentTargets,MATCH(B235,KidIDs,0))</f>
        <v>0</v>
      </c>
      <c r="Y235">
        <f>INDEX(ReachStudentTargets,MATCH(B235,KidIDs,0))</f>
        <v>0</v>
      </c>
      <c r="Z235">
        <f>IF(OR(M235="Posse"),1,0)</f>
        <v>0</v>
      </c>
      <c r="AA235">
        <f>IF(ISNUMBER(INDEX(AllCollegeGR, MATCH(N235,AllCollegeNCES,0))),ROUND(INDEX(AllCollegeGR, MATCH(N235,AllCollegeNCES,0))+Z235*IF(INDEX(AllCollegeGR, MATCH(N235,AllCollegeNCES,0))&gt;0.7,(1-INDEX(AllCollegeGR, MATCH(N235,AllCollegeNCES,0)))/2,0.15),2),INDEX(AllCollegeGR, MATCH(N235,AllCollegeNCES,0)))</f>
        <v>0</v>
      </c>
      <c r="AB235">
        <f>IF(ISNUMBER(INDEX(AllCollegeAAHGR, MATCH(N235,AllCollegeNCES,0))),ROUND(INDEX(AllCollegeAAHGR, MATCH(N235,AllCollegeNCES,0))+Z235*IF(INDEX(AllCollegeAAHGR, MATCH(N235,AllCollegeNCES,0))&gt;0.7,(1-INDEX(AllCollegeAAHGR, MATCH(N235,AllCollegeNCES,0)))/2,0.15),2),INDEX(AllCollegeAAHGR, MATCH(N235,AllCollegeNCES,0)))</f>
        <v>0</v>
      </c>
      <c r="AC235">
        <f>IF(OR(W235="H",W235="B"),INDEX(AllCollegeSAT25, MATCH(N235,AllCollegeNCES,0)),INDEX(AllCollegeSAT50, MATCH(N235,AllCollegeNCES,0)))</f>
        <v>0</v>
      </c>
      <c r="AD235">
        <f>INDEX(CustomWeightsGPA,MATCH(W235&amp;":"&amp;N235,CustomWeightsIndex,0))</f>
        <v>0</v>
      </c>
      <c r="AE235">
        <f>INDEX(CustomWeightsSAT,MATCH(W235&amp;":"&amp;N235,CustomWeightsIndex,0))</f>
        <v>0</v>
      </c>
      <c r="AF235">
        <f>INDEX(CustomWeightsIntercept,MATCH(W235&amp;":"&amp;N235,CustomWeightsIndex,0))</f>
        <v>0</v>
      </c>
      <c r="AG235">
        <f>AD235*S235+AE235*T235+AF235</f>
        <v>0</v>
      </c>
      <c r="AH235">
        <f>INDEX(CoefficientsGPA,MATCH(W235&amp;":"&amp;R235,CoefficientsIndex,0))</f>
        <v>0</v>
      </c>
      <c r="AI235">
        <f>INDEX(CoefficientsSAT,MATCH(W235&amp;":"&amp;R235,CoefficientsIndex,0))</f>
        <v>0</v>
      </c>
      <c r="AJ235">
        <f>INDEX(CoefficientsIntercept,MATCH(W235&amp;":"&amp;R235,CoefficientsIndex,0))</f>
        <v>0</v>
      </c>
      <c r="AK235">
        <f>AH235*S235+(T235-AC235)*AI235+AJ235</f>
        <v>0</v>
      </c>
      <c r="AL235">
        <f>IF(ISNUMBER(AG235),AG235,AK235)</f>
        <v>0</v>
      </c>
      <c r="AM235">
        <f>IF(ISNUMBER(AL235),IF(ISNUMBER(AH235),IF(AND(AH235=1,AI235=1,AJ235=1),100,MIN(99,ROUND(100*EXP(AL235)/(1+EXP(AL235)),2))),MIN(99,ROUND(100*EXP(AL235)/(1+EXP(AL235)),2))),IF(ISTEXT(R235),IF(LEFT(R235,1)="2",100,"N/A"),"N/A"))</f>
        <v>0</v>
      </c>
      <c r="AN235">
        <f>IF(ISNUMBER(AM235),IF(AM235&gt;=99,IF(OR(U235=10,U235=11),MatchLabel,SureThingLabel),IF(AM235&gt;=95,SecureLabel,IF(AM235&gt;=80,SafetyLabel,IF(AM235&gt;=50,MatchLabel,IF(AM235&gt;=20,ReachLabel,IF(AM235&gt;=10,LongshotLabel,HailMaryLabel)))))),"Other")</f>
        <v>0</v>
      </c>
      <c r="AO235">
        <f>IF(OR(I235="accepted",I235="cond. accept",I235="summer admit"),IF(J235="yes","CHOICE!","Accepted!"),IF(I235="guar. transfer","Guar. Xfer",IF(I235="denied","Denied",IF(K235=1,"Waitlist",IF(L235=1,"Deferred",IF(G235="pending","Pending",IF(OR(G235="initial materials submitted",G235="mid-year submitted",G235="final submitted"),"Submitted",IF(H235="interest","Interest","?"))))))))</f>
        <v>0</v>
      </c>
      <c r="AP235">
        <f>IF(OR(AN235=ReachLabel,AN235=LongshotLabel,AN235=HailMaryLabel),1,0)</f>
        <v>0</v>
      </c>
      <c r="AQ235">
        <f>IF(OR(AP235=1,AN235=MatchLabel),1,0)</f>
        <v>0</v>
      </c>
      <c r="AR235">
        <f>IF(OR(AN235=MatchLabel,AN235=SafetyLabel,AN235=SecureLabel,AN235=SureThingLabel),1,0)</f>
        <v>0</v>
      </c>
      <c r="AS235">
        <f>IF(OR(W235="H",W235="B",W235="I",W235="M"),IF(ISNUMBER(AB235),ROUND(AB235,2),0),IF(ISNUMBER(AA235),ROUND(AA235,2),0))</f>
        <v>0</v>
      </c>
      <c r="AT235">
        <f>IF(AS235&gt;=X235,1,0)</f>
        <v>0</v>
      </c>
      <c r="AU235">
        <f>IF(AS235&gt;=Y235,1,0)</f>
        <v>0</v>
      </c>
      <c r="AV235">
        <f>IF(AS235&lt;(X235-0.10),1,0)</f>
        <v>0</v>
      </c>
      <c r="AW235">
        <f>1-AM235/100</f>
        <v>0</v>
      </c>
      <c r="AX235">
        <f>IF(AQ235=1,AW235,1)</f>
        <v>0</v>
      </c>
      <c r="AY235">
        <f>IF(AP235=1,AW235,1)</f>
        <v>0</v>
      </c>
      <c r="AZ235">
        <f>IF(AND(AT235=1,ISNUMBER(AW235)),$AW235,1)</f>
        <v>0</v>
      </c>
      <c r="BA235">
        <f>IF(AND(AU235=1,ISNUMBER(AW235)),$AW235,1)</f>
        <v>0</v>
      </c>
      <c r="BB235">
        <f>IF(ISNUMBER(AB235),INDEX(AllCollegeMoney, MATCH(N235,AllCollegeNCES,0)),0)</f>
        <v>0</v>
      </c>
      <c r="BC235">
        <f>IF(AND(AT235=1,ISNUMBER(AW235),BB235=1),$AW235,1)</f>
        <v>0</v>
      </c>
      <c r="BD235">
        <f>IF(AND(AU235=1,ISNUMBER(AW235),BB235=1),$AW235,1)</f>
        <v>0</v>
      </c>
      <c r="BE235">
        <f>IF(ISNUMBER(AB235),INDEX(AllCollegeILPub, MATCH(N235,AllCollegeNCES,0)),0)</f>
        <v>0</v>
      </c>
      <c r="BF235">
        <f>IF(AN235=ReachLabel,AS235,0)</f>
        <v>0</v>
      </c>
      <c r="BG235">
        <f>IF(AN235=MatchLabel,AS235,0)</f>
        <v>0</v>
      </c>
      <c r="BH235">
        <f>IF(AN235=SafetyLabel,AS235,0)</f>
        <v>0</v>
      </c>
      <c r="BI235">
        <f>IF(AN235=SecureLabel,AS235,0)</f>
        <v>0</v>
      </c>
      <c r="BJ235">
        <f>IF(AN235=SureThingLabel,AS235,0)</f>
        <v>0</v>
      </c>
      <c r="BK235">
        <f>MAX(BF235:BJ235)</f>
        <v>0</v>
      </c>
      <c r="BL235">
        <f>MAX(BG235:BJ235)</f>
        <v>0</v>
      </c>
      <c r="BM235">
        <f>MAX(BH235:BJ235)</f>
        <v>0</v>
      </c>
      <c r="BN235">
        <f>IF(AND(AN235=ReachLabel,BB235=1),AS235,0)</f>
        <v>0</v>
      </c>
      <c r="BO235">
        <f>IF(AND(AN235=MatchLabel,BB235=1),AS235,0)</f>
        <v>0</v>
      </c>
      <c r="BP235">
        <f>IF(AND(AN235=SafetyLabel,BB235=1),AS235,0)</f>
        <v>0</v>
      </c>
      <c r="BQ235">
        <f>IF(AND(AN235=SecureLabel,BB235=1),AS235,0)</f>
        <v>0</v>
      </c>
      <c r="BR235">
        <f>IF(AND(AN235=SureThingLabel,BB235=1),AS235,0)</f>
        <v>0</v>
      </c>
      <c r="BS235">
        <f>MAX(BN235:BR235)</f>
        <v>0</v>
      </c>
      <c r="BT235">
        <f>MAX(BO235:BR235)</f>
        <v>0</v>
      </c>
      <c r="BU235">
        <f>MAX(BP235:BR235)</f>
        <v>0</v>
      </c>
      <c r="BV235">
        <f>IF(ISNUMBER(AB235),INDEX(AllCollegeChicago, MATCH(N235,AllCollegeNCES,0))*BB235,0)</f>
        <v>0</v>
      </c>
      <c r="BW235">
        <f>IF(ISNUMBER(AB235),INDEX(AllCollegeMoneyCode, MATCH(N235,AllCollegeNCES,0)),"?")</f>
        <v>0</v>
      </c>
      <c r="BX235">
        <f>IF(OR(BW235="---",BW235="--",BW235="+/--",BW235="+/---"),1,0)</f>
        <v>0</v>
      </c>
      <c r="BY235">
        <f>BB235*AR235*AT235</f>
        <v>0</v>
      </c>
    </row>
    <row r="236" spans="1:77">
      <c r="A236" t="s">
        <v>96</v>
      </c>
      <c r="B236">
        <v>22981462</v>
      </c>
      <c r="C236" t="s">
        <v>330</v>
      </c>
      <c r="D236" t="s">
        <v>331</v>
      </c>
      <c r="E236" t="s">
        <v>446</v>
      </c>
      <c r="F236" t="s">
        <v>477</v>
      </c>
      <c r="G236" t="s">
        <v>448</v>
      </c>
      <c r="H236" t="s">
        <v>449</v>
      </c>
      <c r="I236" t="s">
        <v>450</v>
      </c>
      <c r="J236" t="s">
        <v>450</v>
      </c>
      <c r="K236">
        <v>0</v>
      </c>
      <c r="L236" t="s">
        <v>446</v>
      </c>
      <c r="M236" t="s">
        <v>446</v>
      </c>
      <c r="N236">
        <v>146427</v>
      </c>
      <c r="O236">
        <f>INDEX(Counselor,MATCH(B236,KidIDs,0))</f>
        <v>0</v>
      </c>
      <c r="P236">
        <f>INDEX(Advisors,MATCH(B236,KidIDs,0))</f>
        <v>0</v>
      </c>
      <c r="Q236">
        <f>INDEX(Cohort,MATCH(B236,KidIDs,0))</f>
        <v>0</v>
      </c>
      <c r="R236">
        <f>INDEX(AllCollegeBarrons,MATCH(N236,AllCollegeNCES,0))</f>
        <v>0</v>
      </c>
      <c r="S236">
        <f>INDEX(KidGPAs,MATCH(B236,KidIDs,0))</f>
        <v>0</v>
      </c>
      <c r="T236">
        <f>INDEX(KidSATs,MATCH(B236,KidIDs,0))</f>
        <v>0</v>
      </c>
      <c r="U236">
        <f>INDEX(Strats,MATCH(B236,KidIDs,0))</f>
        <v>0</v>
      </c>
      <c r="V236">
        <f>INDEX(KidRace,MATCH(B236,KidIDs,0))</f>
        <v>0</v>
      </c>
      <c r="W236">
        <f>IF(OR(V236="M",V236="I"),"H",IF(V236="P","A",V236))</f>
        <v>0</v>
      </c>
      <c r="X236">
        <f>INDEX(StudentTargets,MATCH(B236,KidIDs,0))</f>
        <v>0</v>
      </c>
      <c r="Y236">
        <f>INDEX(ReachStudentTargets,MATCH(B236,KidIDs,0))</f>
        <v>0</v>
      </c>
      <c r="Z236">
        <f>IF(OR(M236="Posse"),1,0)</f>
        <v>0</v>
      </c>
      <c r="AA236">
        <f>IF(ISNUMBER(INDEX(AllCollegeGR, MATCH(N236,AllCollegeNCES,0))),ROUND(INDEX(AllCollegeGR, MATCH(N236,AllCollegeNCES,0))+Z236*IF(INDEX(AllCollegeGR, MATCH(N236,AllCollegeNCES,0))&gt;0.7,(1-INDEX(AllCollegeGR, MATCH(N236,AllCollegeNCES,0)))/2,0.15),2),INDEX(AllCollegeGR, MATCH(N236,AllCollegeNCES,0)))</f>
        <v>0</v>
      </c>
      <c r="AB236">
        <f>IF(ISNUMBER(INDEX(AllCollegeAAHGR, MATCH(N236,AllCollegeNCES,0))),ROUND(INDEX(AllCollegeAAHGR, MATCH(N236,AllCollegeNCES,0))+Z236*IF(INDEX(AllCollegeAAHGR, MATCH(N236,AllCollegeNCES,0))&gt;0.7,(1-INDEX(AllCollegeAAHGR, MATCH(N236,AllCollegeNCES,0)))/2,0.15),2),INDEX(AllCollegeAAHGR, MATCH(N236,AllCollegeNCES,0)))</f>
        <v>0</v>
      </c>
      <c r="AC236">
        <f>IF(OR(W236="H",W236="B"),INDEX(AllCollegeSAT25, MATCH(N236,AllCollegeNCES,0)),INDEX(AllCollegeSAT50, MATCH(N236,AllCollegeNCES,0)))</f>
        <v>0</v>
      </c>
      <c r="AD236">
        <f>INDEX(CustomWeightsGPA,MATCH(W236&amp;":"&amp;N236,CustomWeightsIndex,0))</f>
        <v>0</v>
      </c>
      <c r="AE236">
        <f>INDEX(CustomWeightsSAT,MATCH(W236&amp;":"&amp;N236,CustomWeightsIndex,0))</f>
        <v>0</v>
      </c>
      <c r="AF236">
        <f>INDEX(CustomWeightsIntercept,MATCH(W236&amp;":"&amp;N236,CustomWeightsIndex,0))</f>
        <v>0</v>
      </c>
      <c r="AG236">
        <f>AD236*S236+AE236*T236+AF236</f>
        <v>0</v>
      </c>
      <c r="AH236">
        <f>INDEX(CoefficientsGPA,MATCH(W236&amp;":"&amp;R236,CoefficientsIndex,0))</f>
        <v>0</v>
      </c>
      <c r="AI236">
        <f>INDEX(CoefficientsSAT,MATCH(W236&amp;":"&amp;R236,CoefficientsIndex,0))</f>
        <v>0</v>
      </c>
      <c r="AJ236">
        <f>INDEX(CoefficientsIntercept,MATCH(W236&amp;":"&amp;R236,CoefficientsIndex,0))</f>
        <v>0</v>
      </c>
      <c r="AK236">
        <f>AH236*S236+(T236-AC236)*AI236+AJ236</f>
        <v>0</v>
      </c>
      <c r="AL236">
        <f>IF(ISNUMBER(AG236),AG236,AK236)</f>
        <v>0</v>
      </c>
      <c r="AM236">
        <f>IF(ISNUMBER(AL236),IF(ISNUMBER(AH236),IF(AND(AH236=1,AI236=1,AJ236=1),100,MIN(99,ROUND(100*EXP(AL236)/(1+EXP(AL236)),2))),MIN(99,ROUND(100*EXP(AL236)/(1+EXP(AL236)),2))),IF(ISTEXT(R236),IF(LEFT(R236,1)="2",100,"N/A"),"N/A"))</f>
        <v>0</v>
      </c>
      <c r="AN236">
        <f>IF(ISNUMBER(AM236),IF(AM236&gt;=99,IF(OR(U236=10,U236=11),MatchLabel,SureThingLabel),IF(AM236&gt;=95,SecureLabel,IF(AM236&gt;=80,SafetyLabel,IF(AM236&gt;=50,MatchLabel,IF(AM236&gt;=20,ReachLabel,IF(AM236&gt;=10,LongshotLabel,HailMaryLabel)))))),"Other")</f>
        <v>0</v>
      </c>
      <c r="AO236">
        <f>IF(OR(I236="accepted",I236="cond. accept",I236="summer admit"),IF(J236="yes","CHOICE!","Accepted!"),IF(I236="guar. transfer","Guar. Xfer",IF(I236="denied","Denied",IF(K236=1,"Waitlist",IF(L236=1,"Deferred",IF(G236="pending","Pending",IF(OR(G236="initial materials submitted",G236="mid-year submitted",G236="final submitted"),"Submitted",IF(H236="interest","Interest","?"))))))))</f>
        <v>0</v>
      </c>
      <c r="AP236">
        <f>IF(OR(AN236=ReachLabel,AN236=LongshotLabel,AN236=HailMaryLabel),1,0)</f>
        <v>0</v>
      </c>
      <c r="AQ236">
        <f>IF(OR(AP236=1,AN236=MatchLabel),1,0)</f>
        <v>0</v>
      </c>
      <c r="AR236">
        <f>IF(OR(AN236=MatchLabel,AN236=SafetyLabel,AN236=SecureLabel,AN236=SureThingLabel),1,0)</f>
        <v>0</v>
      </c>
      <c r="AS236">
        <f>IF(OR(W236="H",W236="B",W236="I",W236="M"),IF(ISNUMBER(AB236),ROUND(AB236,2),0),IF(ISNUMBER(AA236),ROUND(AA236,2),0))</f>
        <v>0</v>
      </c>
      <c r="AT236">
        <f>IF(AS236&gt;=X236,1,0)</f>
        <v>0</v>
      </c>
      <c r="AU236">
        <f>IF(AS236&gt;=Y236,1,0)</f>
        <v>0</v>
      </c>
      <c r="AV236">
        <f>IF(AS236&lt;(X236-0.10),1,0)</f>
        <v>0</v>
      </c>
      <c r="AW236">
        <f>1-AM236/100</f>
        <v>0</v>
      </c>
      <c r="AX236">
        <f>IF(AQ236=1,AW236,1)</f>
        <v>0</v>
      </c>
      <c r="AY236">
        <f>IF(AP236=1,AW236,1)</f>
        <v>0</v>
      </c>
      <c r="AZ236">
        <f>IF(AND(AT236=1,ISNUMBER(AW236)),$AW236,1)</f>
        <v>0</v>
      </c>
      <c r="BA236">
        <f>IF(AND(AU236=1,ISNUMBER(AW236)),$AW236,1)</f>
        <v>0</v>
      </c>
      <c r="BB236">
        <f>IF(ISNUMBER(AB236),INDEX(AllCollegeMoney, MATCH(N236,AllCollegeNCES,0)),0)</f>
        <v>0</v>
      </c>
      <c r="BC236">
        <f>IF(AND(AT236=1,ISNUMBER(AW236),BB236=1),$AW236,1)</f>
        <v>0</v>
      </c>
      <c r="BD236">
        <f>IF(AND(AU236=1,ISNUMBER(AW236),BB236=1),$AW236,1)</f>
        <v>0</v>
      </c>
      <c r="BE236">
        <f>IF(ISNUMBER(AB236),INDEX(AllCollegeILPub, MATCH(N236,AllCollegeNCES,0)),0)</f>
        <v>0</v>
      </c>
      <c r="BF236">
        <f>IF(AN236=ReachLabel,AS236,0)</f>
        <v>0</v>
      </c>
      <c r="BG236">
        <f>IF(AN236=MatchLabel,AS236,0)</f>
        <v>0</v>
      </c>
      <c r="BH236">
        <f>IF(AN236=SafetyLabel,AS236,0)</f>
        <v>0</v>
      </c>
      <c r="BI236">
        <f>IF(AN236=SecureLabel,AS236,0)</f>
        <v>0</v>
      </c>
      <c r="BJ236">
        <f>IF(AN236=SureThingLabel,AS236,0)</f>
        <v>0</v>
      </c>
      <c r="BK236">
        <f>MAX(BF236:BJ236)</f>
        <v>0</v>
      </c>
      <c r="BL236">
        <f>MAX(BG236:BJ236)</f>
        <v>0</v>
      </c>
      <c r="BM236">
        <f>MAX(BH236:BJ236)</f>
        <v>0</v>
      </c>
      <c r="BN236">
        <f>IF(AND(AN236=ReachLabel,BB236=1),AS236,0)</f>
        <v>0</v>
      </c>
      <c r="BO236">
        <f>IF(AND(AN236=MatchLabel,BB236=1),AS236,0)</f>
        <v>0</v>
      </c>
      <c r="BP236">
        <f>IF(AND(AN236=SafetyLabel,BB236=1),AS236,0)</f>
        <v>0</v>
      </c>
      <c r="BQ236">
        <f>IF(AND(AN236=SecureLabel,BB236=1),AS236,0)</f>
        <v>0</v>
      </c>
      <c r="BR236">
        <f>IF(AND(AN236=SureThingLabel,BB236=1),AS236,0)</f>
        <v>0</v>
      </c>
      <c r="BS236">
        <f>MAX(BN236:BR236)</f>
        <v>0</v>
      </c>
      <c r="BT236">
        <f>MAX(BO236:BR236)</f>
        <v>0</v>
      </c>
      <c r="BU236">
        <f>MAX(BP236:BR236)</f>
        <v>0</v>
      </c>
      <c r="BV236">
        <f>IF(ISNUMBER(AB236),INDEX(AllCollegeChicago, MATCH(N236,AllCollegeNCES,0))*BB236,0)</f>
        <v>0</v>
      </c>
      <c r="BW236">
        <f>IF(ISNUMBER(AB236),INDEX(AllCollegeMoneyCode, MATCH(N236,AllCollegeNCES,0)),"?")</f>
        <v>0</v>
      </c>
      <c r="BX236">
        <f>IF(OR(BW236="---",BW236="--",BW236="+/--",BW236="+/---"),1,0)</f>
        <v>0</v>
      </c>
      <c r="BY236">
        <f>BB236*AR236*AT236</f>
        <v>0</v>
      </c>
    </row>
    <row r="237" spans="1:77">
      <c r="A237" t="s">
        <v>96</v>
      </c>
      <c r="B237">
        <v>22981462</v>
      </c>
      <c r="C237" t="s">
        <v>330</v>
      </c>
      <c r="D237" t="s">
        <v>331</v>
      </c>
      <c r="E237" t="s">
        <v>446</v>
      </c>
      <c r="F237" t="s">
        <v>535</v>
      </c>
      <c r="G237" t="s">
        <v>448</v>
      </c>
      <c r="H237" t="s">
        <v>449</v>
      </c>
      <c r="I237" t="s">
        <v>450</v>
      </c>
      <c r="J237" t="s">
        <v>450</v>
      </c>
      <c r="K237">
        <v>0</v>
      </c>
      <c r="L237" t="s">
        <v>446</v>
      </c>
      <c r="M237" t="s">
        <v>446</v>
      </c>
      <c r="N237">
        <v>146719</v>
      </c>
      <c r="O237">
        <f>INDEX(Counselor,MATCH(B237,KidIDs,0))</f>
        <v>0</v>
      </c>
      <c r="P237">
        <f>INDEX(Advisors,MATCH(B237,KidIDs,0))</f>
        <v>0</v>
      </c>
      <c r="Q237">
        <f>INDEX(Cohort,MATCH(B237,KidIDs,0))</f>
        <v>0</v>
      </c>
      <c r="R237">
        <f>INDEX(AllCollegeBarrons,MATCH(N237,AllCollegeNCES,0))</f>
        <v>0</v>
      </c>
      <c r="S237">
        <f>INDEX(KidGPAs,MATCH(B237,KidIDs,0))</f>
        <v>0</v>
      </c>
      <c r="T237">
        <f>INDEX(KidSATs,MATCH(B237,KidIDs,0))</f>
        <v>0</v>
      </c>
      <c r="U237">
        <f>INDEX(Strats,MATCH(B237,KidIDs,0))</f>
        <v>0</v>
      </c>
      <c r="V237">
        <f>INDEX(KidRace,MATCH(B237,KidIDs,0))</f>
        <v>0</v>
      </c>
      <c r="W237">
        <f>IF(OR(V237="M",V237="I"),"H",IF(V237="P","A",V237))</f>
        <v>0</v>
      </c>
      <c r="X237">
        <f>INDEX(StudentTargets,MATCH(B237,KidIDs,0))</f>
        <v>0</v>
      </c>
      <c r="Y237">
        <f>INDEX(ReachStudentTargets,MATCH(B237,KidIDs,0))</f>
        <v>0</v>
      </c>
      <c r="Z237">
        <f>IF(OR(M237="Posse"),1,0)</f>
        <v>0</v>
      </c>
      <c r="AA237">
        <f>IF(ISNUMBER(INDEX(AllCollegeGR, MATCH(N237,AllCollegeNCES,0))),ROUND(INDEX(AllCollegeGR, MATCH(N237,AllCollegeNCES,0))+Z237*IF(INDEX(AllCollegeGR, MATCH(N237,AllCollegeNCES,0))&gt;0.7,(1-INDEX(AllCollegeGR, MATCH(N237,AllCollegeNCES,0)))/2,0.15),2),INDEX(AllCollegeGR, MATCH(N237,AllCollegeNCES,0)))</f>
        <v>0</v>
      </c>
      <c r="AB237">
        <f>IF(ISNUMBER(INDEX(AllCollegeAAHGR, MATCH(N237,AllCollegeNCES,0))),ROUND(INDEX(AllCollegeAAHGR, MATCH(N237,AllCollegeNCES,0))+Z237*IF(INDEX(AllCollegeAAHGR, MATCH(N237,AllCollegeNCES,0))&gt;0.7,(1-INDEX(AllCollegeAAHGR, MATCH(N237,AllCollegeNCES,0)))/2,0.15),2),INDEX(AllCollegeAAHGR, MATCH(N237,AllCollegeNCES,0)))</f>
        <v>0</v>
      </c>
      <c r="AC237">
        <f>IF(OR(W237="H",W237="B"),INDEX(AllCollegeSAT25, MATCH(N237,AllCollegeNCES,0)),INDEX(AllCollegeSAT50, MATCH(N237,AllCollegeNCES,0)))</f>
        <v>0</v>
      </c>
      <c r="AD237">
        <f>INDEX(CustomWeightsGPA,MATCH(W237&amp;":"&amp;N237,CustomWeightsIndex,0))</f>
        <v>0</v>
      </c>
      <c r="AE237">
        <f>INDEX(CustomWeightsSAT,MATCH(W237&amp;":"&amp;N237,CustomWeightsIndex,0))</f>
        <v>0</v>
      </c>
      <c r="AF237">
        <f>INDEX(CustomWeightsIntercept,MATCH(W237&amp;":"&amp;N237,CustomWeightsIndex,0))</f>
        <v>0</v>
      </c>
      <c r="AG237">
        <f>AD237*S237+AE237*T237+AF237</f>
        <v>0</v>
      </c>
      <c r="AH237">
        <f>INDEX(CoefficientsGPA,MATCH(W237&amp;":"&amp;R237,CoefficientsIndex,0))</f>
        <v>0</v>
      </c>
      <c r="AI237">
        <f>INDEX(CoefficientsSAT,MATCH(W237&amp;":"&amp;R237,CoefficientsIndex,0))</f>
        <v>0</v>
      </c>
      <c r="AJ237">
        <f>INDEX(CoefficientsIntercept,MATCH(W237&amp;":"&amp;R237,CoefficientsIndex,0))</f>
        <v>0</v>
      </c>
      <c r="AK237">
        <f>AH237*S237+(T237-AC237)*AI237+AJ237</f>
        <v>0</v>
      </c>
      <c r="AL237">
        <f>IF(ISNUMBER(AG237),AG237,AK237)</f>
        <v>0</v>
      </c>
      <c r="AM237">
        <f>IF(ISNUMBER(AL237),IF(ISNUMBER(AH237),IF(AND(AH237=1,AI237=1,AJ237=1),100,MIN(99,ROUND(100*EXP(AL237)/(1+EXP(AL237)),2))),MIN(99,ROUND(100*EXP(AL237)/(1+EXP(AL237)),2))),IF(ISTEXT(R237),IF(LEFT(R237,1)="2",100,"N/A"),"N/A"))</f>
        <v>0</v>
      </c>
      <c r="AN237">
        <f>IF(ISNUMBER(AM237),IF(AM237&gt;=99,IF(OR(U237=10,U237=11),MatchLabel,SureThingLabel),IF(AM237&gt;=95,SecureLabel,IF(AM237&gt;=80,SafetyLabel,IF(AM237&gt;=50,MatchLabel,IF(AM237&gt;=20,ReachLabel,IF(AM237&gt;=10,LongshotLabel,HailMaryLabel)))))),"Other")</f>
        <v>0</v>
      </c>
      <c r="AO237">
        <f>IF(OR(I237="accepted",I237="cond. accept",I237="summer admit"),IF(J237="yes","CHOICE!","Accepted!"),IF(I237="guar. transfer","Guar. Xfer",IF(I237="denied","Denied",IF(K237=1,"Waitlist",IF(L237=1,"Deferred",IF(G237="pending","Pending",IF(OR(G237="initial materials submitted",G237="mid-year submitted",G237="final submitted"),"Submitted",IF(H237="interest","Interest","?"))))))))</f>
        <v>0</v>
      </c>
      <c r="AP237">
        <f>IF(OR(AN237=ReachLabel,AN237=LongshotLabel,AN237=HailMaryLabel),1,0)</f>
        <v>0</v>
      </c>
      <c r="AQ237">
        <f>IF(OR(AP237=1,AN237=MatchLabel),1,0)</f>
        <v>0</v>
      </c>
      <c r="AR237">
        <f>IF(OR(AN237=MatchLabel,AN237=SafetyLabel,AN237=SecureLabel,AN237=SureThingLabel),1,0)</f>
        <v>0</v>
      </c>
      <c r="AS237">
        <f>IF(OR(W237="H",W237="B",W237="I",W237="M"),IF(ISNUMBER(AB237),ROUND(AB237,2),0),IF(ISNUMBER(AA237),ROUND(AA237,2),0))</f>
        <v>0</v>
      </c>
      <c r="AT237">
        <f>IF(AS237&gt;=X237,1,0)</f>
        <v>0</v>
      </c>
      <c r="AU237">
        <f>IF(AS237&gt;=Y237,1,0)</f>
        <v>0</v>
      </c>
      <c r="AV237">
        <f>IF(AS237&lt;(X237-0.10),1,0)</f>
        <v>0</v>
      </c>
      <c r="AW237">
        <f>1-AM237/100</f>
        <v>0</v>
      </c>
      <c r="AX237">
        <f>IF(AQ237=1,AW237,1)</f>
        <v>0</v>
      </c>
      <c r="AY237">
        <f>IF(AP237=1,AW237,1)</f>
        <v>0</v>
      </c>
      <c r="AZ237">
        <f>IF(AND(AT237=1,ISNUMBER(AW237)),$AW237,1)</f>
        <v>0</v>
      </c>
      <c r="BA237">
        <f>IF(AND(AU237=1,ISNUMBER(AW237)),$AW237,1)</f>
        <v>0</v>
      </c>
      <c r="BB237">
        <f>IF(ISNUMBER(AB237),INDEX(AllCollegeMoney, MATCH(N237,AllCollegeNCES,0)),0)</f>
        <v>0</v>
      </c>
      <c r="BC237">
        <f>IF(AND(AT237=1,ISNUMBER(AW237),BB237=1),$AW237,1)</f>
        <v>0</v>
      </c>
      <c r="BD237">
        <f>IF(AND(AU237=1,ISNUMBER(AW237),BB237=1),$AW237,1)</f>
        <v>0</v>
      </c>
      <c r="BE237">
        <f>IF(ISNUMBER(AB237),INDEX(AllCollegeILPub, MATCH(N237,AllCollegeNCES,0)),0)</f>
        <v>0</v>
      </c>
      <c r="BF237">
        <f>IF(AN237=ReachLabel,AS237,0)</f>
        <v>0</v>
      </c>
      <c r="BG237">
        <f>IF(AN237=MatchLabel,AS237,0)</f>
        <v>0</v>
      </c>
      <c r="BH237">
        <f>IF(AN237=SafetyLabel,AS237,0)</f>
        <v>0</v>
      </c>
      <c r="BI237">
        <f>IF(AN237=SecureLabel,AS237,0)</f>
        <v>0</v>
      </c>
      <c r="BJ237">
        <f>IF(AN237=SureThingLabel,AS237,0)</f>
        <v>0</v>
      </c>
      <c r="BK237">
        <f>MAX(BF237:BJ237)</f>
        <v>0</v>
      </c>
      <c r="BL237">
        <f>MAX(BG237:BJ237)</f>
        <v>0</v>
      </c>
      <c r="BM237">
        <f>MAX(BH237:BJ237)</f>
        <v>0</v>
      </c>
      <c r="BN237">
        <f>IF(AND(AN237=ReachLabel,BB237=1),AS237,0)</f>
        <v>0</v>
      </c>
      <c r="BO237">
        <f>IF(AND(AN237=MatchLabel,BB237=1),AS237,0)</f>
        <v>0</v>
      </c>
      <c r="BP237">
        <f>IF(AND(AN237=SafetyLabel,BB237=1),AS237,0)</f>
        <v>0</v>
      </c>
      <c r="BQ237">
        <f>IF(AND(AN237=SecureLabel,BB237=1),AS237,0)</f>
        <v>0</v>
      </c>
      <c r="BR237">
        <f>IF(AND(AN237=SureThingLabel,BB237=1),AS237,0)</f>
        <v>0</v>
      </c>
      <c r="BS237">
        <f>MAX(BN237:BR237)</f>
        <v>0</v>
      </c>
      <c r="BT237">
        <f>MAX(BO237:BR237)</f>
        <v>0</v>
      </c>
      <c r="BU237">
        <f>MAX(BP237:BR237)</f>
        <v>0</v>
      </c>
      <c r="BV237">
        <f>IF(ISNUMBER(AB237),INDEX(AllCollegeChicago, MATCH(N237,AllCollegeNCES,0))*BB237,0)</f>
        <v>0</v>
      </c>
      <c r="BW237">
        <f>IF(ISNUMBER(AB237),INDEX(AllCollegeMoneyCode, MATCH(N237,AllCollegeNCES,0)),"?")</f>
        <v>0</v>
      </c>
      <c r="BX237">
        <f>IF(OR(BW237="---",BW237="--",BW237="+/--",BW237="+/---"),1,0)</f>
        <v>0</v>
      </c>
      <c r="BY237">
        <f>BB237*AR237*AT237</f>
        <v>0</v>
      </c>
    </row>
    <row r="238" spans="1:77">
      <c r="A238" t="s">
        <v>96</v>
      </c>
      <c r="B238">
        <v>22981462</v>
      </c>
      <c r="C238" t="s">
        <v>330</v>
      </c>
      <c r="D238" t="s">
        <v>331</v>
      </c>
      <c r="E238" t="s">
        <v>446</v>
      </c>
      <c r="F238" t="s">
        <v>489</v>
      </c>
      <c r="G238" t="s">
        <v>479</v>
      </c>
      <c r="H238" t="s">
        <v>449</v>
      </c>
      <c r="I238" t="s">
        <v>450</v>
      </c>
      <c r="J238" t="s">
        <v>450</v>
      </c>
      <c r="K238">
        <v>0</v>
      </c>
      <c r="L238" t="s">
        <v>446</v>
      </c>
      <c r="M238" t="s">
        <v>446</v>
      </c>
      <c r="N238">
        <v>170301</v>
      </c>
      <c r="O238">
        <f>INDEX(Counselor,MATCH(B238,KidIDs,0))</f>
        <v>0</v>
      </c>
      <c r="P238">
        <f>INDEX(Advisors,MATCH(B238,KidIDs,0))</f>
        <v>0</v>
      </c>
      <c r="Q238">
        <f>INDEX(Cohort,MATCH(B238,KidIDs,0))</f>
        <v>0</v>
      </c>
      <c r="R238">
        <f>INDEX(AllCollegeBarrons,MATCH(N238,AllCollegeNCES,0))</f>
        <v>0</v>
      </c>
      <c r="S238">
        <f>INDEX(KidGPAs,MATCH(B238,KidIDs,0))</f>
        <v>0</v>
      </c>
      <c r="T238">
        <f>INDEX(KidSATs,MATCH(B238,KidIDs,0))</f>
        <v>0</v>
      </c>
      <c r="U238">
        <f>INDEX(Strats,MATCH(B238,KidIDs,0))</f>
        <v>0</v>
      </c>
      <c r="V238">
        <f>INDEX(KidRace,MATCH(B238,KidIDs,0))</f>
        <v>0</v>
      </c>
      <c r="W238">
        <f>IF(OR(V238="M",V238="I"),"H",IF(V238="P","A",V238))</f>
        <v>0</v>
      </c>
      <c r="X238">
        <f>INDEX(StudentTargets,MATCH(B238,KidIDs,0))</f>
        <v>0</v>
      </c>
      <c r="Y238">
        <f>INDEX(ReachStudentTargets,MATCH(B238,KidIDs,0))</f>
        <v>0</v>
      </c>
      <c r="Z238">
        <f>IF(OR(M238="Posse"),1,0)</f>
        <v>0</v>
      </c>
      <c r="AA238">
        <f>IF(ISNUMBER(INDEX(AllCollegeGR, MATCH(N238,AllCollegeNCES,0))),ROUND(INDEX(AllCollegeGR, MATCH(N238,AllCollegeNCES,0))+Z238*IF(INDEX(AllCollegeGR, MATCH(N238,AllCollegeNCES,0))&gt;0.7,(1-INDEX(AllCollegeGR, MATCH(N238,AllCollegeNCES,0)))/2,0.15),2),INDEX(AllCollegeGR, MATCH(N238,AllCollegeNCES,0)))</f>
        <v>0</v>
      </c>
      <c r="AB238">
        <f>IF(ISNUMBER(INDEX(AllCollegeAAHGR, MATCH(N238,AllCollegeNCES,0))),ROUND(INDEX(AllCollegeAAHGR, MATCH(N238,AllCollegeNCES,0))+Z238*IF(INDEX(AllCollegeAAHGR, MATCH(N238,AllCollegeNCES,0))&gt;0.7,(1-INDEX(AllCollegeAAHGR, MATCH(N238,AllCollegeNCES,0)))/2,0.15),2),INDEX(AllCollegeAAHGR, MATCH(N238,AllCollegeNCES,0)))</f>
        <v>0</v>
      </c>
      <c r="AC238">
        <f>IF(OR(W238="H",W238="B"),INDEX(AllCollegeSAT25, MATCH(N238,AllCollegeNCES,0)),INDEX(AllCollegeSAT50, MATCH(N238,AllCollegeNCES,0)))</f>
        <v>0</v>
      </c>
      <c r="AD238">
        <f>INDEX(CustomWeightsGPA,MATCH(W238&amp;":"&amp;N238,CustomWeightsIndex,0))</f>
        <v>0</v>
      </c>
      <c r="AE238">
        <f>INDEX(CustomWeightsSAT,MATCH(W238&amp;":"&amp;N238,CustomWeightsIndex,0))</f>
        <v>0</v>
      </c>
      <c r="AF238">
        <f>INDEX(CustomWeightsIntercept,MATCH(W238&amp;":"&amp;N238,CustomWeightsIndex,0))</f>
        <v>0</v>
      </c>
      <c r="AG238">
        <f>AD238*S238+AE238*T238+AF238</f>
        <v>0</v>
      </c>
      <c r="AH238">
        <f>INDEX(CoefficientsGPA,MATCH(W238&amp;":"&amp;R238,CoefficientsIndex,0))</f>
        <v>0</v>
      </c>
      <c r="AI238">
        <f>INDEX(CoefficientsSAT,MATCH(W238&amp;":"&amp;R238,CoefficientsIndex,0))</f>
        <v>0</v>
      </c>
      <c r="AJ238">
        <f>INDEX(CoefficientsIntercept,MATCH(W238&amp;":"&amp;R238,CoefficientsIndex,0))</f>
        <v>0</v>
      </c>
      <c r="AK238">
        <f>AH238*S238+(T238-AC238)*AI238+AJ238</f>
        <v>0</v>
      </c>
      <c r="AL238">
        <f>IF(ISNUMBER(AG238),AG238,AK238)</f>
        <v>0</v>
      </c>
      <c r="AM238">
        <f>IF(ISNUMBER(AL238),IF(ISNUMBER(AH238),IF(AND(AH238=1,AI238=1,AJ238=1),100,MIN(99,ROUND(100*EXP(AL238)/(1+EXP(AL238)),2))),MIN(99,ROUND(100*EXP(AL238)/(1+EXP(AL238)),2))),IF(ISTEXT(R238),IF(LEFT(R238,1)="2",100,"N/A"),"N/A"))</f>
        <v>0</v>
      </c>
      <c r="AN238">
        <f>IF(ISNUMBER(AM238),IF(AM238&gt;=99,IF(OR(U238=10,U238=11),MatchLabel,SureThingLabel),IF(AM238&gt;=95,SecureLabel,IF(AM238&gt;=80,SafetyLabel,IF(AM238&gt;=50,MatchLabel,IF(AM238&gt;=20,ReachLabel,IF(AM238&gt;=10,LongshotLabel,HailMaryLabel)))))),"Other")</f>
        <v>0</v>
      </c>
      <c r="AO238">
        <f>IF(OR(I238="accepted",I238="cond. accept",I238="summer admit"),IF(J238="yes","CHOICE!","Accepted!"),IF(I238="guar. transfer","Guar. Xfer",IF(I238="denied","Denied",IF(K238=1,"Waitlist",IF(L238=1,"Deferred",IF(G238="pending","Pending",IF(OR(G238="initial materials submitted",G238="mid-year submitted",G238="final submitted"),"Submitted",IF(H238="interest","Interest","?"))))))))</f>
        <v>0</v>
      </c>
      <c r="AP238">
        <f>IF(OR(AN238=ReachLabel,AN238=LongshotLabel,AN238=HailMaryLabel),1,0)</f>
        <v>0</v>
      </c>
      <c r="AQ238">
        <f>IF(OR(AP238=1,AN238=MatchLabel),1,0)</f>
        <v>0</v>
      </c>
      <c r="AR238">
        <f>IF(OR(AN238=MatchLabel,AN238=SafetyLabel,AN238=SecureLabel,AN238=SureThingLabel),1,0)</f>
        <v>0</v>
      </c>
      <c r="AS238">
        <f>IF(OR(W238="H",W238="B",W238="I",W238="M"),IF(ISNUMBER(AB238),ROUND(AB238,2),0),IF(ISNUMBER(AA238),ROUND(AA238,2),0))</f>
        <v>0</v>
      </c>
      <c r="AT238">
        <f>IF(AS238&gt;=X238,1,0)</f>
        <v>0</v>
      </c>
      <c r="AU238">
        <f>IF(AS238&gt;=Y238,1,0)</f>
        <v>0</v>
      </c>
      <c r="AV238">
        <f>IF(AS238&lt;(X238-0.10),1,0)</f>
        <v>0</v>
      </c>
      <c r="AW238">
        <f>1-AM238/100</f>
        <v>0</v>
      </c>
      <c r="AX238">
        <f>IF(AQ238=1,AW238,1)</f>
        <v>0</v>
      </c>
      <c r="AY238">
        <f>IF(AP238=1,AW238,1)</f>
        <v>0</v>
      </c>
      <c r="AZ238">
        <f>IF(AND(AT238=1,ISNUMBER(AW238)),$AW238,1)</f>
        <v>0</v>
      </c>
      <c r="BA238">
        <f>IF(AND(AU238=1,ISNUMBER(AW238)),$AW238,1)</f>
        <v>0</v>
      </c>
      <c r="BB238">
        <f>IF(ISNUMBER(AB238),INDEX(AllCollegeMoney, MATCH(N238,AllCollegeNCES,0)),0)</f>
        <v>0</v>
      </c>
      <c r="BC238">
        <f>IF(AND(AT238=1,ISNUMBER(AW238),BB238=1),$AW238,1)</f>
        <v>0</v>
      </c>
      <c r="BD238">
        <f>IF(AND(AU238=1,ISNUMBER(AW238),BB238=1),$AW238,1)</f>
        <v>0</v>
      </c>
      <c r="BE238">
        <f>IF(ISNUMBER(AB238),INDEX(AllCollegeILPub, MATCH(N238,AllCollegeNCES,0)),0)</f>
        <v>0</v>
      </c>
      <c r="BF238">
        <f>IF(AN238=ReachLabel,AS238,0)</f>
        <v>0</v>
      </c>
      <c r="BG238">
        <f>IF(AN238=MatchLabel,AS238,0)</f>
        <v>0</v>
      </c>
      <c r="BH238">
        <f>IF(AN238=SafetyLabel,AS238,0)</f>
        <v>0</v>
      </c>
      <c r="BI238">
        <f>IF(AN238=SecureLabel,AS238,0)</f>
        <v>0</v>
      </c>
      <c r="BJ238">
        <f>IF(AN238=SureThingLabel,AS238,0)</f>
        <v>0</v>
      </c>
      <c r="BK238">
        <f>MAX(BF238:BJ238)</f>
        <v>0</v>
      </c>
      <c r="BL238">
        <f>MAX(BG238:BJ238)</f>
        <v>0</v>
      </c>
      <c r="BM238">
        <f>MAX(BH238:BJ238)</f>
        <v>0</v>
      </c>
      <c r="BN238">
        <f>IF(AND(AN238=ReachLabel,BB238=1),AS238,0)</f>
        <v>0</v>
      </c>
      <c r="BO238">
        <f>IF(AND(AN238=MatchLabel,BB238=1),AS238,0)</f>
        <v>0</v>
      </c>
      <c r="BP238">
        <f>IF(AND(AN238=SafetyLabel,BB238=1),AS238,0)</f>
        <v>0</v>
      </c>
      <c r="BQ238">
        <f>IF(AND(AN238=SecureLabel,BB238=1),AS238,0)</f>
        <v>0</v>
      </c>
      <c r="BR238">
        <f>IF(AND(AN238=SureThingLabel,BB238=1),AS238,0)</f>
        <v>0</v>
      </c>
      <c r="BS238">
        <f>MAX(BN238:BR238)</f>
        <v>0</v>
      </c>
      <c r="BT238">
        <f>MAX(BO238:BR238)</f>
        <v>0</v>
      </c>
      <c r="BU238">
        <f>MAX(BP238:BR238)</f>
        <v>0</v>
      </c>
      <c r="BV238">
        <f>IF(ISNUMBER(AB238),INDEX(AllCollegeChicago, MATCH(N238,AllCollegeNCES,0))*BB238,0)</f>
        <v>0</v>
      </c>
      <c r="BW238">
        <f>IF(ISNUMBER(AB238),INDEX(AllCollegeMoneyCode, MATCH(N238,AllCollegeNCES,0)),"?")</f>
        <v>0</v>
      </c>
      <c r="BX238">
        <f>IF(OR(BW238="---",BW238="--",BW238="+/--",BW238="+/---"),1,0)</f>
        <v>0</v>
      </c>
      <c r="BY238">
        <f>BB238*AR238*AT238</f>
        <v>0</v>
      </c>
    </row>
    <row r="239" spans="1:77">
      <c r="A239" t="s">
        <v>96</v>
      </c>
      <c r="B239">
        <v>22981462</v>
      </c>
      <c r="C239" t="s">
        <v>330</v>
      </c>
      <c r="D239" t="s">
        <v>331</v>
      </c>
      <c r="E239" t="s">
        <v>446</v>
      </c>
      <c r="F239" t="s">
        <v>501</v>
      </c>
      <c r="G239" t="s">
        <v>448</v>
      </c>
      <c r="H239" t="s">
        <v>449</v>
      </c>
      <c r="I239" t="s">
        <v>450</v>
      </c>
      <c r="J239" t="s">
        <v>450</v>
      </c>
      <c r="K239">
        <v>0</v>
      </c>
      <c r="L239" t="s">
        <v>446</v>
      </c>
      <c r="M239" t="s">
        <v>446</v>
      </c>
      <c r="N239">
        <v>144740</v>
      </c>
      <c r="O239">
        <f>INDEX(Counselor,MATCH(B239,KidIDs,0))</f>
        <v>0</v>
      </c>
      <c r="P239">
        <f>INDEX(Advisors,MATCH(B239,KidIDs,0))</f>
        <v>0</v>
      </c>
      <c r="Q239">
        <f>INDEX(Cohort,MATCH(B239,KidIDs,0))</f>
        <v>0</v>
      </c>
      <c r="R239">
        <f>INDEX(AllCollegeBarrons,MATCH(N239,AllCollegeNCES,0))</f>
        <v>0</v>
      </c>
      <c r="S239">
        <f>INDEX(KidGPAs,MATCH(B239,KidIDs,0))</f>
        <v>0</v>
      </c>
      <c r="T239">
        <f>INDEX(KidSATs,MATCH(B239,KidIDs,0))</f>
        <v>0</v>
      </c>
      <c r="U239">
        <f>INDEX(Strats,MATCH(B239,KidIDs,0))</f>
        <v>0</v>
      </c>
      <c r="V239">
        <f>INDEX(KidRace,MATCH(B239,KidIDs,0))</f>
        <v>0</v>
      </c>
      <c r="W239">
        <f>IF(OR(V239="M",V239="I"),"H",IF(V239="P","A",V239))</f>
        <v>0</v>
      </c>
      <c r="X239">
        <f>INDEX(StudentTargets,MATCH(B239,KidIDs,0))</f>
        <v>0</v>
      </c>
      <c r="Y239">
        <f>INDEX(ReachStudentTargets,MATCH(B239,KidIDs,0))</f>
        <v>0</v>
      </c>
      <c r="Z239">
        <f>IF(OR(M239="Posse"),1,0)</f>
        <v>0</v>
      </c>
      <c r="AA239">
        <f>IF(ISNUMBER(INDEX(AllCollegeGR, MATCH(N239,AllCollegeNCES,0))),ROUND(INDEX(AllCollegeGR, MATCH(N239,AllCollegeNCES,0))+Z239*IF(INDEX(AllCollegeGR, MATCH(N239,AllCollegeNCES,0))&gt;0.7,(1-INDEX(AllCollegeGR, MATCH(N239,AllCollegeNCES,0)))/2,0.15),2),INDEX(AllCollegeGR, MATCH(N239,AllCollegeNCES,0)))</f>
        <v>0</v>
      </c>
      <c r="AB239">
        <f>IF(ISNUMBER(INDEX(AllCollegeAAHGR, MATCH(N239,AllCollegeNCES,0))),ROUND(INDEX(AllCollegeAAHGR, MATCH(N239,AllCollegeNCES,0))+Z239*IF(INDEX(AllCollegeAAHGR, MATCH(N239,AllCollegeNCES,0))&gt;0.7,(1-INDEX(AllCollegeAAHGR, MATCH(N239,AllCollegeNCES,0)))/2,0.15),2),INDEX(AllCollegeAAHGR, MATCH(N239,AllCollegeNCES,0)))</f>
        <v>0</v>
      </c>
      <c r="AC239">
        <f>IF(OR(W239="H",W239="B"),INDEX(AllCollegeSAT25, MATCH(N239,AllCollegeNCES,0)),INDEX(AllCollegeSAT50, MATCH(N239,AllCollegeNCES,0)))</f>
        <v>0</v>
      </c>
      <c r="AD239">
        <f>INDEX(CustomWeightsGPA,MATCH(W239&amp;":"&amp;N239,CustomWeightsIndex,0))</f>
        <v>0</v>
      </c>
      <c r="AE239">
        <f>INDEX(CustomWeightsSAT,MATCH(W239&amp;":"&amp;N239,CustomWeightsIndex,0))</f>
        <v>0</v>
      </c>
      <c r="AF239">
        <f>INDEX(CustomWeightsIntercept,MATCH(W239&amp;":"&amp;N239,CustomWeightsIndex,0))</f>
        <v>0</v>
      </c>
      <c r="AG239">
        <f>AD239*S239+AE239*T239+AF239</f>
        <v>0</v>
      </c>
      <c r="AH239">
        <f>INDEX(CoefficientsGPA,MATCH(W239&amp;":"&amp;R239,CoefficientsIndex,0))</f>
        <v>0</v>
      </c>
      <c r="AI239">
        <f>INDEX(CoefficientsSAT,MATCH(W239&amp;":"&amp;R239,CoefficientsIndex,0))</f>
        <v>0</v>
      </c>
      <c r="AJ239">
        <f>INDEX(CoefficientsIntercept,MATCH(W239&amp;":"&amp;R239,CoefficientsIndex,0))</f>
        <v>0</v>
      </c>
      <c r="AK239">
        <f>AH239*S239+(T239-AC239)*AI239+AJ239</f>
        <v>0</v>
      </c>
      <c r="AL239">
        <f>IF(ISNUMBER(AG239),AG239,AK239)</f>
        <v>0</v>
      </c>
      <c r="AM239">
        <f>IF(ISNUMBER(AL239),IF(ISNUMBER(AH239),IF(AND(AH239=1,AI239=1,AJ239=1),100,MIN(99,ROUND(100*EXP(AL239)/(1+EXP(AL239)),2))),MIN(99,ROUND(100*EXP(AL239)/(1+EXP(AL239)),2))),IF(ISTEXT(R239),IF(LEFT(R239,1)="2",100,"N/A"),"N/A"))</f>
        <v>0</v>
      </c>
      <c r="AN239">
        <f>IF(ISNUMBER(AM239),IF(AM239&gt;=99,IF(OR(U239=10,U239=11),MatchLabel,SureThingLabel),IF(AM239&gt;=95,SecureLabel,IF(AM239&gt;=80,SafetyLabel,IF(AM239&gt;=50,MatchLabel,IF(AM239&gt;=20,ReachLabel,IF(AM239&gt;=10,LongshotLabel,HailMaryLabel)))))),"Other")</f>
        <v>0</v>
      </c>
      <c r="AO239">
        <f>IF(OR(I239="accepted",I239="cond. accept",I239="summer admit"),IF(J239="yes","CHOICE!","Accepted!"),IF(I239="guar. transfer","Guar. Xfer",IF(I239="denied","Denied",IF(K239=1,"Waitlist",IF(L239=1,"Deferred",IF(G239="pending","Pending",IF(OR(G239="initial materials submitted",G239="mid-year submitted",G239="final submitted"),"Submitted",IF(H239="interest","Interest","?"))))))))</f>
        <v>0</v>
      </c>
      <c r="AP239">
        <f>IF(OR(AN239=ReachLabel,AN239=LongshotLabel,AN239=HailMaryLabel),1,0)</f>
        <v>0</v>
      </c>
      <c r="AQ239">
        <f>IF(OR(AP239=1,AN239=MatchLabel),1,0)</f>
        <v>0</v>
      </c>
      <c r="AR239">
        <f>IF(OR(AN239=MatchLabel,AN239=SafetyLabel,AN239=SecureLabel,AN239=SureThingLabel),1,0)</f>
        <v>0</v>
      </c>
      <c r="AS239">
        <f>IF(OR(W239="H",W239="B",W239="I",W239="M"),IF(ISNUMBER(AB239),ROUND(AB239,2),0),IF(ISNUMBER(AA239),ROUND(AA239,2),0))</f>
        <v>0</v>
      </c>
      <c r="AT239">
        <f>IF(AS239&gt;=X239,1,0)</f>
        <v>0</v>
      </c>
      <c r="AU239">
        <f>IF(AS239&gt;=Y239,1,0)</f>
        <v>0</v>
      </c>
      <c r="AV239">
        <f>IF(AS239&lt;(X239-0.10),1,0)</f>
        <v>0</v>
      </c>
      <c r="AW239">
        <f>1-AM239/100</f>
        <v>0</v>
      </c>
      <c r="AX239">
        <f>IF(AQ239=1,AW239,1)</f>
        <v>0</v>
      </c>
      <c r="AY239">
        <f>IF(AP239=1,AW239,1)</f>
        <v>0</v>
      </c>
      <c r="AZ239">
        <f>IF(AND(AT239=1,ISNUMBER(AW239)),$AW239,1)</f>
        <v>0</v>
      </c>
      <c r="BA239">
        <f>IF(AND(AU239=1,ISNUMBER(AW239)),$AW239,1)</f>
        <v>0</v>
      </c>
      <c r="BB239">
        <f>IF(ISNUMBER(AB239),INDEX(AllCollegeMoney, MATCH(N239,AllCollegeNCES,0)),0)</f>
        <v>0</v>
      </c>
      <c r="BC239">
        <f>IF(AND(AT239=1,ISNUMBER(AW239),BB239=1),$AW239,1)</f>
        <v>0</v>
      </c>
      <c r="BD239">
        <f>IF(AND(AU239=1,ISNUMBER(AW239),BB239=1),$AW239,1)</f>
        <v>0</v>
      </c>
      <c r="BE239">
        <f>IF(ISNUMBER(AB239),INDEX(AllCollegeILPub, MATCH(N239,AllCollegeNCES,0)),0)</f>
        <v>0</v>
      </c>
      <c r="BF239">
        <f>IF(AN239=ReachLabel,AS239,0)</f>
        <v>0</v>
      </c>
      <c r="BG239">
        <f>IF(AN239=MatchLabel,AS239,0)</f>
        <v>0</v>
      </c>
      <c r="BH239">
        <f>IF(AN239=SafetyLabel,AS239,0)</f>
        <v>0</v>
      </c>
      <c r="BI239">
        <f>IF(AN239=SecureLabel,AS239,0)</f>
        <v>0</v>
      </c>
      <c r="BJ239">
        <f>IF(AN239=SureThingLabel,AS239,0)</f>
        <v>0</v>
      </c>
      <c r="BK239">
        <f>MAX(BF239:BJ239)</f>
        <v>0</v>
      </c>
      <c r="BL239">
        <f>MAX(BG239:BJ239)</f>
        <v>0</v>
      </c>
      <c r="BM239">
        <f>MAX(BH239:BJ239)</f>
        <v>0</v>
      </c>
      <c r="BN239">
        <f>IF(AND(AN239=ReachLabel,BB239=1),AS239,0)</f>
        <v>0</v>
      </c>
      <c r="BO239">
        <f>IF(AND(AN239=MatchLabel,BB239=1),AS239,0)</f>
        <v>0</v>
      </c>
      <c r="BP239">
        <f>IF(AND(AN239=SafetyLabel,BB239=1),AS239,0)</f>
        <v>0</v>
      </c>
      <c r="BQ239">
        <f>IF(AND(AN239=SecureLabel,BB239=1),AS239,0)</f>
        <v>0</v>
      </c>
      <c r="BR239">
        <f>IF(AND(AN239=SureThingLabel,BB239=1),AS239,0)</f>
        <v>0</v>
      </c>
      <c r="BS239">
        <f>MAX(BN239:BR239)</f>
        <v>0</v>
      </c>
      <c r="BT239">
        <f>MAX(BO239:BR239)</f>
        <v>0</v>
      </c>
      <c r="BU239">
        <f>MAX(BP239:BR239)</f>
        <v>0</v>
      </c>
      <c r="BV239">
        <f>IF(ISNUMBER(AB239),INDEX(AllCollegeChicago, MATCH(N239,AllCollegeNCES,0))*BB239,0)</f>
        <v>0</v>
      </c>
      <c r="BW239">
        <f>IF(ISNUMBER(AB239),INDEX(AllCollegeMoneyCode, MATCH(N239,AllCollegeNCES,0)),"?")</f>
        <v>0</v>
      </c>
      <c r="BX239">
        <f>IF(OR(BW239="---",BW239="--",BW239="+/--",BW239="+/---"),1,0)</f>
        <v>0</v>
      </c>
      <c r="BY239">
        <f>BB239*AR239*AT239</f>
        <v>0</v>
      </c>
    </row>
    <row r="240" spans="1:77">
      <c r="A240" t="s">
        <v>96</v>
      </c>
      <c r="B240">
        <v>23018720</v>
      </c>
      <c r="C240" t="s">
        <v>188</v>
      </c>
      <c r="D240" t="s">
        <v>189</v>
      </c>
      <c r="E240" t="s">
        <v>446</v>
      </c>
      <c r="F240" t="s">
        <v>447</v>
      </c>
      <c r="G240" t="s">
        <v>448</v>
      </c>
      <c r="H240" t="s">
        <v>449</v>
      </c>
      <c r="I240" t="s">
        <v>450</v>
      </c>
      <c r="J240" t="s">
        <v>450</v>
      </c>
      <c r="K240">
        <v>0</v>
      </c>
      <c r="L240" t="s">
        <v>446</v>
      </c>
      <c r="M240" t="s">
        <v>446</v>
      </c>
      <c r="N240">
        <v>148496</v>
      </c>
      <c r="O240">
        <f>INDEX(Counselor,MATCH(B240,KidIDs,0))</f>
        <v>0</v>
      </c>
      <c r="P240">
        <f>INDEX(Advisors,MATCH(B240,KidIDs,0))</f>
        <v>0</v>
      </c>
      <c r="Q240">
        <f>INDEX(Cohort,MATCH(B240,KidIDs,0))</f>
        <v>0</v>
      </c>
      <c r="R240">
        <f>INDEX(AllCollegeBarrons,MATCH(N240,AllCollegeNCES,0))</f>
        <v>0</v>
      </c>
      <c r="S240">
        <f>INDEX(KidGPAs,MATCH(B240,KidIDs,0))</f>
        <v>0</v>
      </c>
      <c r="T240">
        <f>INDEX(KidSATs,MATCH(B240,KidIDs,0))</f>
        <v>0</v>
      </c>
      <c r="U240">
        <f>INDEX(Strats,MATCH(B240,KidIDs,0))</f>
        <v>0</v>
      </c>
      <c r="V240">
        <f>INDEX(KidRace,MATCH(B240,KidIDs,0))</f>
        <v>0</v>
      </c>
      <c r="W240">
        <f>IF(OR(V240="M",V240="I"),"H",IF(V240="P","A",V240))</f>
        <v>0</v>
      </c>
      <c r="X240">
        <f>INDEX(StudentTargets,MATCH(B240,KidIDs,0))</f>
        <v>0</v>
      </c>
      <c r="Y240">
        <f>INDEX(ReachStudentTargets,MATCH(B240,KidIDs,0))</f>
        <v>0</v>
      </c>
      <c r="Z240">
        <f>IF(OR(M240="Posse"),1,0)</f>
        <v>0</v>
      </c>
      <c r="AA240">
        <f>IF(ISNUMBER(INDEX(AllCollegeGR, MATCH(N240,AllCollegeNCES,0))),ROUND(INDEX(AllCollegeGR, MATCH(N240,AllCollegeNCES,0))+Z240*IF(INDEX(AllCollegeGR, MATCH(N240,AllCollegeNCES,0))&gt;0.7,(1-INDEX(AllCollegeGR, MATCH(N240,AllCollegeNCES,0)))/2,0.15),2),INDEX(AllCollegeGR, MATCH(N240,AllCollegeNCES,0)))</f>
        <v>0</v>
      </c>
      <c r="AB240">
        <f>IF(ISNUMBER(INDEX(AllCollegeAAHGR, MATCH(N240,AllCollegeNCES,0))),ROUND(INDEX(AllCollegeAAHGR, MATCH(N240,AllCollegeNCES,0))+Z240*IF(INDEX(AllCollegeAAHGR, MATCH(N240,AllCollegeNCES,0))&gt;0.7,(1-INDEX(AllCollegeAAHGR, MATCH(N240,AllCollegeNCES,0)))/2,0.15),2),INDEX(AllCollegeAAHGR, MATCH(N240,AllCollegeNCES,0)))</f>
        <v>0</v>
      </c>
      <c r="AC240">
        <f>IF(OR(W240="H",W240="B"),INDEX(AllCollegeSAT25, MATCH(N240,AllCollegeNCES,0)),INDEX(AllCollegeSAT50, MATCH(N240,AllCollegeNCES,0)))</f>
        <v>0</v>
      </c>
      <c r="AD240">
        <f>INDEX(CustomWeightsGPA,MATCH(W240&amp;":"&amp;N240,CustomWeightsIndex,0))</f>
        <v>0</v>
      </c>
      <c r="AE240">
        <f>INDEX(CustomWeightsSAT,MATCH(W240&amp;":"&amp;N240,CustomWeightsIndex,0))</f>
        <v>0</v>
      </c>
      <c r="AF240">
        <f>INDEX(CustomWeightsIntercept,MATCH(W240&amp;":"&amp;N240,CustomWeightsIndex,0))</f>
        <v>0</v>
      </c>
      <c r="AG240">
        <f>AD240*S240+AE240*T240+AF240</f>
        <v>0</v>
      </c>
      <c r="AH240">
        <f>INDEX(CoefficientsGPA,MATCH(W240&amp;":"&amp;R240,CoefficientsIndex,0))</f>
        <v>0</v>
      </c>
      <c r="AI240">
        <f>INDEX(CoefficientsSAT,MATCH(W240&amp;":"&amp;R240,CoefficientsIndex,0))</f>
        <v>0</v>
      </c>
      <c r="AJ240">
        <f>INDEX(CoefficientsIntercept,MATCH(W240&amp;":"&amp;R240,CoefficientsIndex,0))</f>
        <v>0</v>
      </c>
      <c r="AK240">
        <f>AH240*S240+(T240-AC240)*AI240+AJ240</f>
        <v>0</v>
      </c>
      <c r="AL240">
        <f>IF(ISNUMBER(AG240),AG240,AK240)</f>
        <v>0</v>
      </c>
      <c r="AM240">
        <f>IF(ISNUMBER(AL240),IF(ISNUMBER(AH240),IF(AND(AH240=1,AI240=1,AJ240=1),100,MIN(99,ROUND(100*EXP(AL240)/(1+EXP(AL240)),2))),MIN(99,ROUND(100*EXP(AL240)/(1+EXP(AL240)),2))),IF(ISTEXT(R240),IF(LEFT(R240,1)="2",100,"N/A"),"N/A"))</f>
        <v>0</v>
      </c>
      <c r="AN240">
        <f>IF(ISNUMBER(AM240),IF(AM240&gt;=99,IF(OR(U240=10,U240=11),MatchLabel,SureThingLabel),IF(AM240&gt;=95,SecureLabel,IF(AM240&gt;=80,SafetyLabel,IF(AM240&gt;=50,MatchLabel,IF(AM240&gt;=20,ReachLabel,IF(AM240&gt;=10,LongshotLabel,HailMaryLabel)))))),"Other")</f>
        <v>0</v>
      </c>
      <c r="AO240">
        <f>IF(OR(I240="accepted",I240="cond. accept",I240="summer admit"),IF(J240="yes","CHOICE!","Accepted!"),IF(I240="guar. transfer","Guar. Xfer",IF(I240="denied","Denied",IF(K240=1,"Waitlist",IF(L240=1,"Deferred",IF(G240="pending","Pending",IF(OR(G240="initial materials submitted",G240="mid-year submitted",G240="final submitted"),"Submitted",IF(H240="interest","Interest","?"))))))))</f>
        <v>0</v>
      </c>
      <c r="AP240">
        <f>IF(OR(AN240=ReachLabel,AN240=LongshotLabel,AN240=HailMaryLabel),1,0)</f>
        <v>0</v>
      </c>
      <c r="AQ240">
        <f>IF(OR(AP240=1,AN240=MatchLabel),1,0)</f>
        <v>0</v>
      </c>
      <c r="AR240">
        <f>IF(OR(AN240=MatchLabel,AN240=SafetyLabel,AN240=SecureLabel,AN240=SureThingLabel),1,0)</f>
        <v>0</v>
      </c>
      <c r="AS240">
        <f>IF(OR(W240="H",W240="B",W240="I",W240="M"),IF(ISNUMBER(AB240),ROUND(AB240,2),0),IF(ISNUMBER(AA240),ROUND(AA240,2),0))</f>
        <v>0</v>
      </c>
      <c r="AT240">
        <f>IF(AS240&gt;=X240,1,0)</f>
        <v>0</v>
      </c>
      <c r="AU240">
        <f>IF(AS240&gt;=Y240,1,0)</f>
        <v>0</v>
      </c>
      <c r="AV240">
        <f>IF(AS240&lt;(X240-0.10),1,0)</f>
        <v>0</v>
      </c>
      <c r="AW240">
        <f>1-AM240/100</f>
        <v>0</v>
      </c>
      <c r="AX240">
        <f>IF(AQ240=1,AW240,1)</f>
        <v>0</v>
      </c>
      <c r="AY240">
        <f>IF(AP240=1,AW240,1)</f>
        <v>0</v>
      </c>
      <c r="AZ240">
        <f>IF(AND(AT240=1,ISNUMBER(AW240)),$AW240,1)</f>
        <v>0</v>
      </c>
      <c r="BA240">
        <f>IF(AND(AU240=1,ISNUMBER(AW240)),$AW240,1)</f>
        <v>0</v>
      </c>
      <c r="BB240">
        <f>IF(ISNUMBER(AB240),INDEX(AllCollegeMoney, MATCH(N240,AllCollegeNCES,0)),0)</f>
        <v>0</v>
      </c>
      <c r="BC240">
        <f>IF(AND(AT240=1,ISNUMBER(AW240),BB240=1),$AW240,1)</f>
        <v>0</v>
      </c>
      <c r="BD240">
        <f>IF(AND(AU240=1,ISNUMBER(AW240),BB240=1),$AW240,1)</f>
        <v>0</v>
      </c>
      <c r="BE240">
        <f>IF(ISNUMBER(AB240),INDEX(AllCollegeILPub, MATCH(N240,AllCollegeNCES,0)),0)</f>
        <v>0</v>
      </c>
      <c r="BF240">
        <f>IF(AN240=ReachLabel,AS240,0)</f>
        <v>0</v>
      </c>
      <c r="BG240">
        <f>IF(AN240=MatchLabel,AS240,0)</f>
        <v>0</v>
      </c>
      <c r="BH240">
        <f>IF(AN240=SafetyLabel,AS240,0)</f>
        <v>0</v>
      </c>
      <c r="BI240">
        <f>IF(AN240=SecureLabel,AS240,0)</f>
        <v>0</v>
      </c>
      <c r="BJ240">
        <f>IF(AN240=SureThingLabel,AS240,0)</f>
        <v>0</v>
      </c>
      <c r="BK240">
        <f>MAX(BF240:BJ240)</f>
        <v>0</v>
      </c>
      <c r="BL240">
        <f>MAX(BG240:BJ240)</f>
        <v>0</v>
      </c>
      <c r="BM240">
        <f>MAX(BH240:BJ240)</f>
        <v>0</v>
      </c>
      <c r="BN240">
        <f>IF(AND(AN240=ReachLabel,BB240=1),AS240,0)</f>
        <v>0</v>
      </c>
      <c r="BO240">
        <f>IF(AND(AN240=MatchLabel,BB240=1),AS240,0)</f>
        <v>0</v>
      </c>
      <c r="BP240">
        <f>IF(AND(AN240=SafetyLabel,BB240=1),AS240,0)</f>
        <v>0</v>
      </c>
      <c r="BQ240">
        <f>IF(AND(AN240=SecureLabel,BB240=1),AS240,0)</f>
        <v>0</v>
      </c>
      <c r="BR240">
        <f>IF(AND(AN240=SureThingLabel,BB240=1),AS240,0)</f>
        <v>0</v>
      </c>
      <c r="BS240">
        <f>MAX(BN240:BR240)</f>
        <v>0</v>
      </c>
      <c r="BT240">
        <f>MAX(BO240:BR240)</f>
        <v>0</v>
      </c>
      <c r="BU240">
        <f>MAX(BP240:BR240)</f>
        <v>0</v>
      </c>
      <c r="BV240">
        <f>IF(ISNUMBER(AB240),INDEX(AllCollegeChicago, MATCH(N240,AllCollegeNCES,0))*BB240,0)</f>
        <v>0</v>
      </c>
      <c r="BW240">
        <f>IF(ISNUMBER(AB240),INDEX(AllCollegeMoneyCode, MATCH(N240,AllCollegeNCES,0)),"?")</f>
        <v>0</v>
      </c>
      <c r="BX240">
        <f>IF(OR(BW240="---",BW240="--",BW240="+/--",BW240="+/---"),1,0)</f>
        <v>0</v>
      </c>
      <c r="BY240">
        <f>BB240*AR240*AT240</f>
        <v>0</v>
      </c>
    </row>
    <row r="241" spans="1:77">
      <c r="A241" t="s">
        <v>96</v>
      </c>
      <c r="B241">
        <v>23018720</v>
      </c>
      <c r="C241" t="s">
        <v>188</v>
      </c>
      <c r="D241" t="s">
        <v>189</v>
      </c>
      <c r="E241" t="s">
        <v>446</v>
      </c>
      <c r="F241" t="s">
        <v>478</v>
      </c>
      <c r="G241" t="s">
        <v>448</v>
      </c>
      <c r="H241" t="s">
        <v>449</v>
      </c>
      <c r="I241" t="s">
        <v>450</v>
      </c>
      <c r="J241" t="s">
        <v>450</v>
      </c>
      <c r="K241">
        <v>0</v>
      </c>
      <c r="L241" t="s">
        <v>446</v>
      </c>
      <c r="M241" t="s">
        <v>446</v>
      </c>
      <c r="N241">
        <v>168546</v>
      </c>
      <c r="O241">
        <f>INDEX(Counselor,MATCH(B241,KidIDs,0))</f>
        <v>0</v>
      </c>
      <c r="P241">
        <f>INDEX(Advisors,MATCH(B241,KidIDs,0))</f>
        <v>0</v>
      </c>
      <c r="Q241">
        <f>INDEX(Cohort,MATCH(B241,KidIDs,0))</f>
        <v>0</v>
      </c>
      <c r="R241">
        <f>INDEX(AllCollegeBarrons,MATCH(N241,AllCollegeNCES,0))</f>
        <v>0</v>
      </c>
      <c r="S241">
        <f>INDEX(KidGPAs,MATCH(B241,KidIDs,0))</f>
        <v>0</v>
      </c>
      <c r="T241">
        <f>INDEX(KidSATs,MATCH(B241,KidIDs,0))</f>
        <v>0</v>
      </c>
      <c r="U241">
        <f>INDEX(Strats,MATCH(B241,KidIDs,0))</f>
        <v>0</v>
      </c>
      <c r="V241">
        <f>INDEX(KidRace,MATCH(B241,KidIDs,0))</f>
        <v>0</v>
      </c>
      <c r="W241">
        <f>IF(OR(V241="M",V241="I"),"H",IF(V241="P","A",V241))</f>
        <v>0</v>
      </c>
      <c r="X241">
        <f>INDEX(StudentTargets,MATCH(B241,KidIDs,0))</f>
        <v>0</v>
      </c>
      <c r="Y241">
        <f>INDEX(ReachStudentTargets,MATCH(B241,KidIDs,0))</f>
        <v>0</v>
      </c>
      <c r="Z241">
        <f>IF(OR(M241="Posse"),1,0)</f>
        <v>0</v>
      </c>
      <c r="AA241">
        <f>IF(ISNUMBER(INDEX(AllCollegeGR, MATCH(N241,AllCollegeNCES,0))),ROUND(INDEX(AllCollegeGR, MATCH(N241,AllCollegeNCES,0))+Z241*IF(INDEX(AllCollegeGR, MATCH(N241,AllCollegeNCES,0))&gt;0.7,(1-INDEX(AllCollegeGR, MATCH(N241,AllCollegeNCES,0)))/2,0.15),2),INDEX(AllCollegeGR, MATCH(N241,AllCollegeNCES,0)))</f>
        <v>0</v>
      </c>
      <c r="AB241">
        <f>IF(ISNUMBER(INDEX(AllCollegeAAHGR, MATCH(N241,AllCollegeNCES,0))),ROUND(INDEX(AllCollegeAAHGR, MATCH(N241,AllCollegeNCES,0))+Z241*IF(INDEX(AllCollegeAAHGR, MATCH(N241,AllCollegeNCES,0))&gt;0.7,(1-INDEX(AllCollegeAAHGR, MATCH(N241,AllCollegeNCES,0)))/2,0.15),2),INDEX(AllCollegeAAHGR, MATCH(N241,AllCollegeNCES,0)))</f>
        <v>0</v>
      </c>
      <c r="AC241">
        <f>IF(OR(W241="H",W241="B"),INDEX(AllCollegeSAT25, MATCH(N241,AllCollegeNCES,0)),INDEX(AllCollegeSAT50, MATCH(N241,AllCollegeNCES,0)))</f>
        <v>0</v>
      </c>
      <c r="AD241">
        <f>INDEX(CustomWeightsGPA,MATCH(W241&amp;":"&amp;N241,CustomWeightsIndex,0))</f>
        <v>0</v>
      </c>
      <c r="AE241">
        <f>INDEX(CustomWeightsSAT,MATCH(W241&amp;":"&amp;N241,CustomWeightsIndex,0))</f>
        <v>0</v>
      </c>
      <c r="AF241">
        <f>INDEX(CustomWeightsIntercept,MATCH(W241&amp;":"&amp;N241,CustomWeightsIndex,0))</f>
        <v>0</v>
      </c>
      <c r="AG241">
        <f>AD241*S241+AE241*T241+AF241</f>
        <v>0</v>
      </c>
      <c r="AH241">
        <f>INDEX(CoefficientsGPA,MATCH(W241&amp;":"&amp;R241,CoefficientsIndex,0))</f>
        <v>0</v>
      </c>
      <c r="AI241">
        <f>INDEX(CoefficientsSAT,MATCH(W241&amp;":"&amp;R241,CoefficientsIndex,0))</f>
        <v>0</v>
      </c>
      <c r="AJ241">
        <f>INDEX(CoefficientsIntercept,MATCH(W241&amp;":"&amp;R241,CoefficientsIndex,0))</f>
        <v>0</v>
      </c>
      <c r="AK241">
        <f>AH241*S241+(T241-AC241)*AI241+AJ241</f>
        <v>0</v>
      </c>
      <c r="AL241">
        <f>IF(ISNUMBER(AG241),AG241,AK241)</f>
        <v>0</v>
      </c>
      <c r="AM241">
        <f>IF(ISNUMBER(AL241),IF(ISNUMBER(AH241),IF(AND(AH241=1,AI241=1,AJ241=1),100,MIN(99,ROUND(100*EXP(AL241)/(1+EXP(AL241)),2))),MIN(99,ROUND(100*EXP(AL241)/(1+EXP(AL241)),2))),IF(ISTEXT(R241),IF(LEFT(R241,1)="2",100,"N/A"),"N/A"))</f>
        <v>0</v>
      </c>
      <c r="AN241">
        <f>IF(ISNUMBER(AM241),IF(AM241&gt;=99,IF(OR(U241=10,U241=11),MatchLabel,SureThingLabel),IF(AM241&gt;=95,SecureLabel,IF(AM241&gt;=80,SafetyLabel,IF(AM241&gt;=50,MatchLabel,IF(AM241&gt;=20,ReachLabel,IF(AM241&gt;=10,LongshotLabel,HailMaryLabel)))))),"Other")</f>
        <v>0</v>
      </c>
      <c r="AO241">
        <f>IF(OR(I241="accepted",I241="cond. accept",I241="summer admit"),IF(J241="yes","CHOICE!","Accepted!"),IF(I241="guar. transfer","Guar. Xfer",IF(I241="denied","Denied",IF(K241=1,"Waitlist",IF(L241=1,"Deferred",IF(G241="pending","Pending",IF(OR(G241="initial materials submitted",G241="mid-year submitted",G241="final submitted"),"Submitted",IF(H241="interest","Interest","?"))))))))</f>
        <v>0</v>
      </c>
      <c r="AP241">
        <f>IF(OR(AN241=ReachLabel,AN241=LongshotLabel,AN241=HailMaryLabel),1,0)</f>
        <v>0</v>
      </c>
      <c r="AQ241">
        <f>IF(OR(AP241=1,AN241=MatchLabel),1,0)</f>
        <v>0</v>
      </c>
      <c r="AR241">
        <f>IF(OR(AN241=MatchLabel,AN241=SafetyLabel,AN241=SecureLabel,AN241=SureThingLabel),1,0)</f>
        <v>0</v>
      </c>
      <c r="AS241">
        <f>IF(OR(W241="H",W241="B",W241="I",W241="M"),IF(ISNUMBER(AB241),ROUND(AB241,2),0),IF(ISNUMBER(AA241),ROUND(AA241,2),0))</f>
        <v>0</v>
      </c>
      <c r="AT241">
        <f>IF(AS241&gt;=X241,1,0)</f>
        <v>0</v>
      </c>
      <c r="AU241">
        <f>IF(AS241&gt;=Y241,1,0)</f>
        <v>0</v>
      </c>
      <c r="AV241">
        <f>IF(AS241&lt;(X241-0.10),1,0)</f>
        <v>0</v>
      </c>
      <c r="AW241">
        <f>1-AM241/100</f>
        <v>0</v>
      </c>
      <c r="AX241">
        <f>IF(AQ241=1,AW241,1)</f>
        <v>0</v>
      </c>
      <c r="AY241">
        <f>IF(AP241=1,AW241,1)</f>
        <v>0</v>
      </c>
      <c r="AZ241">
        <f>IF(AND(AT241=1,ISNUMBER(AW241)),$AW241,1)</f>
        <v>0</v>
      </c>
      <c r="BA241">
        <f>IF(AND(AU241=1,ISNUMBER(AW241)),$AW241,1)</f>
        <v>0</v>
      </c>
      <c r="BB241">
        <f>IF(ISNUMBER(AB241),INDEX(AllCollegeMoney, MATCH(N241,AllCollegeNCES,0)),0)</f>
        <v>0</v>
      </c>
      <c r="BC241">
        <f>IF(AND(AT241=1,ISNUMBER(AW241),BB241=1),$AW241,1)</f>
        <v>0</v>
      </c>
      <c r="BD241">
        <f>IF(AND(AU241=1,ISNUMBER(AW241),BB241=1),$AW241,1)</f>
        <v>0</v>
      </c>
      <c r="BE241">
        <f>IF(ISNUMBER(AB241),INDEX(AllCollegeILPub, MATCH(N241,AllCollegeNCES,0)),0)</f>
        <v>0</v>
      </c>
      <c r="BF241">
        <f>IF(AN241=ReachLabel,AS241,0)</f>
        <v>0</v>
      </c>
      <c r="BG241">
        <f>IF(AN241=MatchLabel,AS241,0)</f>
        <v>0</v>
      </c>
      <c r="BH241">
        <f>IF(AN241=SafetyLabel,AS241,0)</f>
        <v>0</v>
      </c>
      <c r="BI241">
        <f>IF(AN241=SecureLabel,AS241,0)</f>
        <v>0</v>
      </c>
      <c r="BJ241">
        <f>IF(AN241=SureThingLabel,AS241,0)</f>
        <v>0</v>
      </c>
      <c r="BK241">
        <f>MAX(BF241:BJ241)</f>
        <v>0</v>
      </c>
      <c r="BL241">
        <f>MAX(BG241:BJ241)</f>
        <v>0</v>
      </c>
      <c r="BM241">
        <f>MAX(BH241:BJ241)</f>
        <v>0</v>
      </c>
      <c r="BN241">
        <f>IF(AND(AN241=ReachLabel,BB241=1),AS241,0)</f>
        <v>0</v>
      </c>
      <c r="BO241">
        <f>IF(AND(AN241=MatchLabel,BB241=1),AS241,0)</f>
        <v>0</v>
      </c>
      <c r="BP241">
        <f>IF(AND(AN241=SafetyLabel,BB241=1),AS241,0)</f>
        <v>0</v>
      </c>
      <c r="BQ241">
        <f>IF(AND(AN241=SecureLabel,BB241=1),AS241,0)</f>
        <v>0</v>
      </c>
      <c r="BR241">
        <f>IF(AND(AN241=SureThingLabel,BB241=1),AS241,0)</f>
        <v>0</v>
      </c>
      <c r="BS241">
        <f>MAX(BN241:BR241)</f>
        <v>0</v>
      </c>
      <c r="BT241">
        <f>MAX(BO241:BR241)</f>
        <v>0</v>
      </c>
      <c r="BU241">
        <f>MAX(BP241:BR241)</f>
        <v>0</v>
      </c>
      <c r="BV241">
        <f>IF(ISNUMBER(AB241),INDEX(AllCollegeChicago, MATCH(N241,AllCollegeNCES,0))*BB241,0)</f>
        <v>0</v>
      </c>
      <c r="BW241">
        <f>IF(ISNUMBER(AB241),INDEX(AllCollegeMoneyCode, MATCH(N241,AllCollegeNCES,0)),"?")</f>
        <v>0</v>
      </c>
      <c r="BX241">
        <f>IF(OR(BW241="---",BW241="--",BW241="+/--",BW241="+/---"),1,0)</f>
        <v>0</v>
      </c>
      <c r="BY241">
        <f>BB241*AR241*AT241</f>
        <v>0</v>
      </c>
    </row>
    <row r="242" spans="1:77">
      <c r="A242" t="s">
        <v>96</v>
      </c>
      <c r="B242">
        <v>23018720</v>
      </c>
      <c r="C242" t="s">
        <v>188</v>
      </c>
      <c r="D242" t="s">
        <v>189</v>
      </c>
      <c r="E242" t="s">
        <v>446</v>
      </c>
      <c r="F242" t="s">
        <v>519</v>
      </c>
      <c r="G242" t="s">
        <v>448</v>
      </c>
      <c r="H242" t="s">
        <v>449</v>
      </c>
      <c r="I242" t="s">
        <v>450</v>
      </c>
      <c r="J242" t="s">
        <v>450</v>
      </c>
      <c r="K242">
        <v>0</v>
      </c>
      <c r="L242" t="s">
        <v>446</v>
      </c>
      <c r="M242" t="s">
        <v>446</v>
      </c>
      <c r="N242">
        <v>145813</v>
      </c>
      <c r="O242">
        <f>INDEX(Counselor,MATCH(B242,KidIDs,0))</f>
        <v>0</v>
      </c>
      <c r="P242">
        <f>INDEX(Advisors,MATCH(B242,KidIDs,0))</f>
        <v>0</v>
      </c>
      <c r="Q242">
        <f>INDEX(Cohort,MATCH(B242,KidIDs,0))</f>
        <v>0</v>
      </c>
      <c r="R242">
        <f>INDEX(AllCollegeBarrons,MATCH(N242,AllCollegeNCES,0))</f>
        <v>0</v>
      </c>
      <c r="S242">
        <f>INDEX(KidGPAs,MATCH(B242,KidIDs,0))</f>
        <v>0</v>
      </c>
      <c r="T242">
        <f>INDEX(KidSATs,MATCH(B242,KidIDs,0))</f>
        <v>0</v>
      </c>
      <c r="U242">
        <f>INDEX(Strats,MATCH(B242,KidIDs,0))</f>
        <v>0</v>
      </c>
      <c r="V242">
        <f>INDEX(KidRace,MATCH(B242,KidIDs,0))</f>
        <v>0</v>
      </c>
      <c r="W242">
        <f>IF(OR(V242="M",V242="I"),"H",IF(V242="P","A",V242))</f>
        <v>0</v>
      </c>
      <c r="X242">
        <f>INDEX(StudentTargets,MATCH(B242,KidIDs,0))</f>
        <v>0</v>
      </c>
      <c r="Y242">
        <f>INDEX(ReachStudentTargets,MATCH(B242,KidIDs,0))</f>
        <v>0</v>
      </c>
      <c r="Z242">
        <f>IF(OR(M242="Posse"),1,0)</f>
        <v>0</v>
      </c>
      <c r="AA242">
        <f>IF(ISNUMBER(INDEX(AllCollegeGR, MATCH(N242,AllCollegeNCES,0))),ROUND(INDEX(AllCollegeGR, MATCH(N242,AllCollegeNCES,0))+Z242*IF(INDEX(AllCollegeGR, MATCH(N242,AllCollegeNCES,0))&gt;0.7,(1-INDEX(AllCollegeGR, MATCH(N242,AllCollegeNCES,0)))/2,0.15),2),INDEX(AllCollegeGR, MATCH(N242,AllCollegeNCES,0)))</f>
        <v>0</v>
      </c>
      <c r="AB242">
        <f>IF(ISNUMBER(INDEX(AllCollegeAAHGR, MATCH(N242,AllCollegeNCES,0))),ROUND(INDEX(AllCollegeAAHGR, MATCH(N242,AllCollegeNCES,0))+Z242*IF(INDEX(AllCollegeAAHGR, MATCH(N242,AllCollegeNCES,0))&gt;0.7,(1-INDEX(AllCollegeAAHGR, MATCH(N242,AllCollegeNCES,0)))/2,0.15),2),INDEX(AllCollegeAAHGR, MATCH(N242,AllCollegeNCES,0)))</f>
        <v>0</v>
      </c>
      <c r="AC242">
        <f>IF(OR(W242="H",W242="B"),INDEX(AllCollegeSAT25, MATCH(N242,AllCollegeNCES,0)),INDEX(AllCollegeSAT50, MATCH(N242,AllCollegeNCES,0)))</f>
        <v>0</v>
      </c>
      <c r="AD242">
        <f>INDEX(CustomWeightsGPA,MATCH(W242&amp;":"&amp;N242,CustomWeightsIndex,0))</f>
        <v>0</v>
      </c>
      <c r="AE242">
        <f>INDEX(CustomWeightsSAT,MATCH(W242&amp;":"&amp;N242,CustomWeightsIndex,0))</f>
        <v>0</v>
      </c>
      <c r="AF242">
        <f>INDEX(CustomWeightsIntercept,MATCH(W242&amp;":"&amp;N242,CustomWeightsIndex,0))</f>
        <v>0</v>
      </c>
      <c r="AG242">
        <f>AD242*S242+AE242*T242+AF242</f>
        <v>0</v>
      </c>
      <c r="AH242">
        <f>INDEX(CoefficientsGPA,MATCH(W242&amp;":"&amp;R242,CoefficientsIndex,0))</f>
        <v>0</v>
      </c>
      <c r="AI242">
        <f>INDEX(CoefficientsSAT,MATCH(W242&amp;":"&amp;R242,CoefficientsIndex,0))</f>
        <v>0</v>
      </c>
      <c r="AJ242">
        <f>INDEX(CoefficientsIntercept,MATCH(W242&amp;":"&amp;R242,CoefficientsIndex,0))</f>
        <v>0</v>
      </c>
      <c r="AK242">
        <f>AH242*S242+(T242-AC242)*AI242+AJ242</f>
        <v>0</v>
      </c>
      <c r="AL242">
        <f>IF(ISNUMBER(AG242),AG242,AK242)</f>
        <v>0</v>
      </c>
      <c r="AM242">
        <f>IF(ISNUMBER(AL242),IF(ISNUMBER(AH242),IF(AND(AH242=1,AI242=1,AJ242=1),100,MIN(99,ROUND(100*EXP(AL242)/(1+EXP(AL242)),2))),MIN(99,ROUND(100*EXP(AL242)/(1+EXP(AL242)),2))),IF(ISTEXT(R242),IF(LEFT(R242,1)="2",100,"N/A"),"N/A"))</f>
        <v>0</v>
      </c>
      <c r="AN242">
        <f>IF(ISNUMBER(AM242),IF(AM242&gt;=99,IF(OR(U242=10,U242=11),MatchLabel,SureThingLabel),IF(AM242&gt;=95,SecureLabel,IF(AM242&gt;=80,SafetyLabel,IF(AM242&gt;=50,MatchLabel,IF(AM242&gt;=20,ReachLabel,IF(AM242&gt;=10,LongshotLabel,HailMaryLabel)))))),"Other")</f>
        <v>0</v>
      </c>
      <c r="AO242">
        <f>IF(OR(I242="accepted",I242="cond. accept",I242="summer admit"),IF(J242="yes","CHOICE!","Accepted!"),IF(I242="guar. transfer","Guar. Xfer",IF(I242="denied","Denied",IF(K242=1,"Waitlist",IF(L242=1,"Deferred",IF(G242="pending","Pending",IF(OR(G242="initial materials submitted",G242="mid-year submitted",G242="final submitted"),"Submitted",IF(H242="interest","Interest","?"))))))))</f>
        <v>0</v>
      </c>
      <c r="AP242">
        <f>IF(OR(AN242=ReachLabel,AN242=LongshotLabel,AN242=HailMaryLabel),1,0)</f>
        <v>0</v>
      </c>
      <c r="AQ242">
        <f>IF(OR(AP242=1,AN242=MatchLabel),1,0)</f>
        <v>0</v>
      </c>
      <c r="AR242">
        <f>IF(OR(AN242=MatchLabel,AN242=SafetyLabel,AN242=SecureLabel,AN242=SureThingLabel),1,0)</f>
        <v>0</v>
      </c>
      <c r="AS242">
        <f>IF(OR(W242="H",W242="B",W242="I",W242="M"),IF(ISNUMBER(AB242),ROUND(AB242,2),0),IF(ISNUMBER(AA242),ROUND(AA242,2),0))</f>
        <v>0</v>
      </c>
      <c r="AT242">
        <f>IF(AS242&gt;=X242,1,0)</f>
        <v>0</v>
      </c>
      <c r="AU242">
        <f>IF(AS242&gt;=Y242,1,0)</f>
        <v>0</v>
      </c>
      <c r="AV242">
        <f>IF(AS242&lt;(X242-0.10),1,0)</f>
        <v>0</v>
      </c>
      <c r="AW242">
        <f>1-AM242/100</f>
        <v>0</v>
      </c>
      <c r="AX242">
        <f>IF(AQ242=1,AW242,1)</f>
        <v>0</v>
      </c>
      <c r="AY242">
        <f>IF(AP242=1,AW242,1)</f>
        <v>0</v>
      </c>
      <c r="AZ242">
        <f>IF(AND(AT242=1,ISNUMBER(AW242)),$AW242,1)</f>
        <v>0</v>
      </c>
      <c r="BA242">
        <f>IF(AND(AU242=1,ISNUMBER(AW242)),$AW242,1)</f>
        <v>0</v>
      </c>
      <c r="BB242">
        <f>IF(ISNUMBER(AB242),INDEX(AllCollegeMoney, MATCH(N242,AllCollegeNCES,0)),0)</f>
        <v>0</v>
      </c>
      <c r="BC242">
        <f>IF(AND(AT242=1,ISNUMBER(AW242),BB242=1),$AW242,1)</f>
        <v>0</v>
      </c>
      <c r="BD242">
        <f>IF(AND(AU242=1,ISNUMBER(AW242),BB242=1),$AW242,1)</f>
        <v>0</v>
      </c>
      <c r="BE242">
        <f>IF(ISNUMBER(AB242),INDEX(AllCollegeILPub, MATCH(N242,AllCollegeNCES,0)),0)</f>
        <v>0</v>
      </c>
      <c r="BF242">
        <f>IF(AN242=ReachLabel,AS242,0)</f>
        <v>0</v>
      </c>
      <c r="BG242">
        <f>IF(AN242=MatchLabel,AS242,0)</f>
        <v>0</v>
      </c>
      <c r="BH242">
        <f>IF(AN242=SafetyLabel,AS242,0)</f>
        <v>0</v>
      </c>
      <c r="BI242">
        <f>IF(AN242=SecureLabel,AS242,0)</f>
        <v>0</v>
      </c>
      <c r="BJ242">
        <f>IF(AN242=SureThingLabel,AS242,0)</f>
        <v>0</v>
      </c>
      <c r="BK242">
        <f>MAX(BF242:BJ242)</f>
        <v>0</v>
      </c>
      <c r="BL242">
        <f>MAX(BG242:BJ242)</f>
        <v>0</v>
      </c>
      <c r="BM242">
        <f>MAX(BH242:BJ242)</f>
        <v>0</v>
      </c>
      <c r="BN242">
        <f>IF(AND(AN242=ReachLabel,BB242=1),AS242,0)</f>
        <v>0</v>
      </c>
      <c r="BO242">
        <f>IF(AND(AN242=MatchLabel,BB242=1),AS242,0)</f>
        <v>0</v>
      </c>
      <c r="BP242">
        <f>IF(AND(AN242=SafetyLabel,BB242=1),AS242,0)</f>
        <v>0</v>
      </c>
      <c r="BQ242">
        <f>IF(AND(AN242=SecureLabel,BB242=1),AS242,0)</f>
        <v>0</v>
      </c>
      <c r="BR242">
        <f>IF(AND(AN242=SureThingLabel,BB242=1),AS242,0)</f>
        <v>0</v>
      </c>
      <c r="BS242">
        <f>MAX(BN242:BR242)</f>
        <v>0</v>
      </c>
      <c r="BT242">
        <f>MAX(BO242:BR242)</f>
        <v>0</v>
      </c>
      <c r="BU242">
        <f>MAX(BP242:BR242)</f>
        <v>0</v>
      </c>
      <c r="BV242">
        <f>IF(ISNUMBER(AB242),INDEX(AllCollegeChicago, MATCH(N242,AllCollegeNCES,0))*BB242,0)</f>
        <v>0</v>
      </c>
      <c r="BW242">
        <f>IF(ISNUMBER(AB242),INDEX(AllCollegeMoneyCode, MATCH(N242,AllCollegeNCES,0)),"?")</f>
        <v>0</v>
      </c>
      <c r="BX242">
        <f>IF(OR(BW242="---",BW242="--",BW242="+/--",BW242="+/---"),1,0)</f>
        <v>0</v>
      </c>
      <c r="BY242">
        <f>BB242*AR242*AT242</f>
        <v>0</v>
      </c>
    </row>
    <row r="243" spans="1:77">
      <c r="A243" t="s">
        <v>96</v>
      </c>
      <c r="B243">
        <v>23018720</v>
      </c>
      <c r="C243" t="s">
        <v>188</v>
      </c>
      <c r="D243" t="s">
        <v>189</v>
      </c>
      <c r="E243" t="s">
        <v>446</v>
      </c>
      <c r="F243" t="s">
        <v>506</v>
      </c>
      <c r="G243" t="s">
        <v>448</v>
      </c>
      <c r="H243" t="s">
        <v>449</v>
      </c>
      <c r="I243" t="s">
        <v>450</v>
      </c>
      <c r="J243" t="s">
        <v>450</v>
      </c>
      <c r="K243">
        <v>0</v>
      </c>
      <c r="L243" t="s">
        <v>446</v>
      </c>
      <c r="M243" t="s">
        <v>446</v>
      </c>
      <c r="N243">
        <v>147679</v>
      </c>
      <c r="O243">
        <f>INDEX(Counselor,MATCH(B243,KidIDs,0))</f>
        <v>0</v>
      </c>
      <c r="P243">
        <f>INDEX(Advisors,MATCH(B243,KidIDs,0))</f>
        <v>0</v>
      </c>
      <c r="Q243">
        <f>INDEX(Cohort,MATCH(B243,KidIDs,0))</f>
        <v>0</v>
      </c>
      <c r="R243">
        <f>INDEX(AllCollegeBarrons,MATCH(N243,AllCollegeNCES,0))</f>
        <v>0</v>
      </c>
      <c r="S243">
        <f>INDEX(KidGPAs,MATCH(B243,KidIDs,0))</f>
        <v>0</v>
      </c>
      <c r="T243">
        <f>INDEX(KidSATs,MATCH(B243,KidIDs,0))</f>
        <v>0</v>
      </c>
      <c r="U243">
        <f>INDEX(Strats,MATCH(B243,KidIDs,0))</f>
        <v>0</v>
      </c>
      <c r="V243">
        <f>INDEX(KidRace,MATCH(B243,KidIDs,0))</f>
        <v>0</v>
      </c>
      <c r="W243">
        <f>IF(OR(V243="M",V243="I"),"H",IF(V243="P","A",V243))</f>
        <v>0</v>
      </c>
      <c r="X243">
        <f>INDEX(StudentTargets,MATCH(B243,KidIDs,0))</f>
        <v>0</v>
      </c>
      <c r="Y243">
        <f>INDEX(ReachStudentTargets,MATCH(B243,KidIDs,0))</f>
        <v>0</v>
      </c>
      <c r="Z243">
        <f>IF(OR(M243="Posse"),1,0)</f>
        <v>0</v>
      </c>
      <c r="AA243">
        <f>IF(ISNUMBER(INDEX(AllCollegeGR, MATCH(N243,AllCollegeNCES,0))),ROUND(INDEX(AllCollegeGR, MATCH(N243,AllCollegeNCES,0))+Z243*IF(INDEX(AllCollegeGR, MATCH(N243,AllCollegeNCES,0))&gt;0.7,(1-INDEX(AllCollegeGR, MATCH(N243,AllCollegeNCES,0)))/2,0.15),2),INDEX(AllCollegeGR, MATCH(N243,AllCollegeNCES,0)))</f>
        <v>0</v>
      </c>
      <c r="AB243">
        <f>IF(ISNUMBER(INDEX(AllCollegeAAHGR, MATCH(N243,AllCollegeNCES,0))),ROUND(INDEX(AllCollegeAAHGR, MATCH(N243,AllCollegeNCES,0))+Z243*IF(INDEX(AllCollegeAAHGR, MATCH(N243,AllCollegeNCES,0))&gt;0.7,(1-INDEX(AllCollegeAAHGR, MATCH(N243,AllCollegeNCES,0)))/2,0.15),2),INDEX(AllCollegeAAHGR, MATCH(N243,AllCollegeNCES,0)))</f>
        <v>0</v>
      </c>
      <c r="AC243">
        <f>IF(OR(W243="H",W243="B"),INDEX(AllCollegeSAT25, MATCH(N243,AllCollegeNCES,0)),INDEX(AllCollegeSAT50, MATCH(N243,AllCollegeNCES,0)))</f>
        <v>0</v>
      </c>
      <c r="AD243">
        <f>INDEX(CustomWeightsGPA,MATCH(W243&amp;":"&amp;N243,CustomWeightsIndex,0))</f>
        <v>0</v>
      </c>
      <c r="AE243">
        <f>INDEX(CustomWeightsSAT,MATCH(W243&amp;":"&amp;N243,CustomWeightsIndex,0))</f>
        <v>0</v>
      </c>
      <c r="AF243">
        <f>INDEX(CustomWeightsIntercept,MATCH(W243&amp;":"&amp;N243,CustomWeightsIndex,0))</f>
        <v>0</v>
      </c>
      <c r="AG243">
        <f>AD243*S243+AE243*T243+AF243</f>
        <v>0</v>
      </c>
      <c r="AH243">
        <f>INDEX(CoefficientsGPA,MATCH(W243&amp;":"&amp;R243,CoefficientsIndex,0))</f>
        <v>0</v>
      </c>
      <c r="AI243">
        <f>INDEX(CoefficientsSAT,MATCH(W243&amp;":"&amp;R243,CoefficientsIndex,0))</f>
        <v>0</v>
      </c>
      <c r="AJ243">
        <f>INDEX(CoefficientsIntercept,MATCH(W243&amp;":"&amp;R243,CoefficientsIndex,0))</f>
        <v>0</v>
      </c>
      <c r="AK243">
        <f>AH243*S243+(T243-AC243)*AI243+AJ243</f>
        <v>0</v>
      </c>
      <c r="AL243">
        <f>IF(ISNUMBER(AG243),AG243,AK243)</f>
        <v>0</v>
      </c>
      <c r="AM243">
        <f>IF(ISNUMBER(AL243),IF(ISNUMBER(AH243),IF(AND(AH243=1,AI243=1,AJ243=1),100,MIN(99,ROUND(100*EXP(AL243)/(1+EXP(AL243)),2))),MIN(99,ROUND(100*EXP(AL243)/(1+EXP(AL243)),2))),IF(ISTEXT(R243),IF(LEFT(R243,1)="2",100,"N/A"),"N/A"))</f>
        <v>0</v>
      </c>
      <c r="AN243">
        <f>IF(ISNUMBER(AM243),IF(AM243&gt;=99,IF(OR(U243=10,U243=11),MatchLabel,SureThingLabel),IF(AM243&gt;=95,SecureLabel,IF(AM243&gt;=80,SafetyLabel,IF(AM243&gt;=50,MatchLabel,IF(AM243&gt;=20,ReachLabel,IF(AM243&gt;=10,LongshotLabel,HailMaryLabel)))))),"Other")</f>
        <v>0</v>
      </c>
      <c r="AO243">
        <f>IF(OR(I243="accepted",I243="cond. accept",I243="summer admit"),IF(J243="yes","CHOICE!","Accepted!"),IF(I243="guar. transfer","Guar. Xfer",IF(I243="denied","Denied",IF(K243=1,"Waitlist",IF(L243=1,"Deferred",IF(G243="pending","Pending",IF(OR(G243="initial materials submitted",G243="mid-year submitted",G243="final submitted"),"Submitted",IF(H243="interest","Interest","?"))))))))</f>
        <v>0</v>
      </c>
      <c r="AP243">
        <f>IF(OR(AN243=ReachLabel,AN243=LongshotLabel,AN243=HailMaryLabel),1,0)</f>
        <v>0</v>
      </c>
      <c r="AQ243">
        <f>IF(OR(AP243=1,AN243=MatchLabel),1,0)</f>
        <v>0</v>
      </c>
      <c r="AR243">
        <f>IF(OR(AN243=MatchLabel,AN243=SafetyLabel,AN243=SecureLabel,AN243=SureThingLabel),1,0)</f>
        <v>0</v>
      </c>
      <c r="AS243">
        <f>IF(OR(W243="H",W243="B",W243="I",W243="M"),IF(ISNUMBER(AB243),ROUND(AB243,2),0),IF(ISNUMBER(AA243),ROUND(AA243,2),0))</f>
        <v>0</v>
      </c>
      <c r="AT243">
        <f>IF(AS243&gt;=X243,1,0)</f>
        <v>0</v>
      </c>
      <c r="AU243">
        <f>IF(AS243&gt;=Y243,1,0)</f>
        <v>0</v>
      </c>
      <c r="AV243">
        <f>IF(AS243&lt;(X243-0.10),1,0)</f>
        <v>0</v>
      </c>
      <c r="AW243">
        <f>1-AM243/100</f>
        <v>0</v>
      </c>
      <c r="AX243">
        <f>IF(AQ243=1,AW243,1)</f>
        <v>0</v>
      </c>
      <c r="AY243">
        <f>IF(AP243=1,AW243,1)</f>
        <v>0</v>
      </c>
      <c r="AZ243">
        <f>IF(AND(AT243=1,ISNUMBER(AW243)),$AW243,1)</f>
        <v>0</v>
      </c>
      <c r="BA243">
        <f>IF(AND(AU243=1,ISNUMBER(AW243)),$AW243,1)</f>
        <v>0</v>
      </c>
      <c r="BB243">
        <f>IF(ISNUMBER(AB243),INDEX(AllCollegeMoney, MATCH(N243,AllCollegeNCES,0)),0)</f>
        <v>0</v>
      </c>
      <c r="BC243">
        <f>IF(AND(AT243=1,ISNUMBER(AW243),BB243=1),$AW243,1)</f>
        <v>0</v>
      </c>
      <c r="BD243">
        <f>IF(AND(AU243=1,ISNUMBER(AW243),BB243=1),$AW243,1)</f>
        <v>0</v>
      </c>
      <c r="BE243">
        <f>IF(ISNUMBER(AB243),INDEX(AllCollegeILPub, MATCH(N243,AllCollegeNCES,0)),0)</f>
        <v>0</v>
      </c>
      <c r="BF243">
        <f>IF(AN243=ReachLabel,AS243,0)</f>
        <v>0</v>
      </c>
      <c r="BG243">
        <f>IF(AN243=MatchLabel,AS243,0)</f>
        <v>0</v>
      </c>
      <c r="BH243">
        <f>IF(AN243=SafetyLabel,AS243,0)</f>
        <v>0</v>
      </c>
      <c r="BI243">
        <f>IF(AN243=SecureLabel,AS243,0)</f>
        <v>0</v>
      </c>
      <c r="BJ243">
        <f>IF(AN243=SureThingLabel,AS243,0)</f>
        <v>0</v>
      </c>
      <c r="BK243">
        <f>MAX(BF243:BJ243)</f>
        <v>0</v>
      </c>
      <c r="BL243">
        <f>MAX(BG243:BJ243)</f>
        <v>0</v>
      </c>
      <c r="BM243">
        <f>MAX(BH243:BJ243)</f>
        <v>0</v>
      </c>
      <c r="BN243">
        <f>IF(AND(AN243=ReachLabel,BB243=1),AS243,0)</f>
        <v>0</v>
      </c>
      <c r="BO243">
        <f>IF(AND(AN243=MatchLabel,BB243=1),AS243,0)</f>
        <v>0</v>
      </c>
      <c r="BP243">
        <f>IF(AND(AN243=SafetyLabel,BB243=1),AS243,0)</f>
        <v>0</v>
      </c>
      <c r="BQ243">
        <f>IF(AND(AN243=SecureLabel,BB243=1),AS243,0)</f>
        <v>0</v>
      </c>
      <c r="BR243">
        <f>IF(AND(AN243=SureThingLabel,BB243=1),AS243,0)</f>
        <v>0</v>
      </c>
      <c r="BS243">
        <f>MAX(BN243:BR243)</f>
        <v>0</v>
      </c>
      <c r="BT243">
        <f>MAX(BO243:BR243)</f>
        <v>0</v>
      </c>
      <c r="BU243">
        <f>MAX(BP243:BR243)</f>
        <v>0</v>
      </c>
      <c r="BV243">
        <f>IF(ISNUMBER(AB243),INDEX(AllCollegeChicago, MATCH(N243,AllCollegeNCES,0))*BB243,0)</f>
        <v>0</v>
      </c>
      <c r="BW243">
        <f>IF(ISNUMBER(AB243),INDEX(AllCollegeMoneyCode, MATCH(N243,AllCollegeNCES,0)),"?")</f>
        <v>0</v>
      </c>
      <c r="BX243">
        <f>IF(OR(BW243="---",BW243="--",BW243="+/--",BW243="+/---"),1,0)</f>
        <v>0</v>
      </c>
      <c r="BY243">
        <f>BB243*AR243*AT243</f>
        <v>0</v>
      </c>
    </row>
    <row r="244" spans="1:77">
      <c r="A244" t="s">
        <v>96</v>
      </c>
      <c r="B244">
        <v>23018720</v>
      </c>
      <c r="C244" t="s">
        <v>188</v>
      </c>
      <c r="D244" t="s">
        <v>189</v>
      </c>
      <c r="E244" t="s">
        <v>446</v>
      </c>
      <c r="F244" t="s">
        <v>453</v>
      </c>
      <c r="G244" t="s">
        <v>448</v>
      </c>
      <c r="H244" t="s">
        <v>449</v>
      </c>
      <c r="I244" t="s">
        <v>450</v>
      </c>
      <c r="J244" t="s">
        <v>450</v>
      </c>
      <c r="K244">
        <v>0</v>
      </c>
      <c r="L244" t="s">
        <v>446</v>
      </c>
      <c r="M244" t="s">
        <v>454</v>
      </c>
      <c r="N244">
        <v>150774</v>
      </c>
      <c r="O244">
        <f>INDEX(Counselor,MATCH(B244,KidIDs,0))</f>
        <v>0</v>
      </c>
      <c r="P244">
        <f>INDEX(Advisors,MATCH(B244,KidIDs,0))</f>
        <v>0</v>
      </c>
      <c r="Q244">
        <f>INDEX(Cohort,MATCH(B244,KidIDs,0))</f>
        <v>0</v>
      </c>
      <c r="R244">
        <f>INDEX(AllCollegeBarrons,MATCH(N244,AllCollegeNCES,0))</f>
        <v>0</v>
      </c>
      <c r="S244">
        <f>INDEX(KidGPAs,MATCH(B244,KidIDs,0))</f>
        <v>0</v>
      </c>
      <c r="T244">
        <f>INDEX(KidSATs,MATCH(B244,KidIDs,0))</f>
        <v>0</v>
      </c>
      <c r="U244">
        <f>INDEX(Strats,MATCH(B244,KidIDs,0))</f>
        <v>0</v>
      </c>
      <c r="V244">
        <f>INDEX(KidRace,MATCH(B244,KidIDs,0))</f>
        <v>0</v>
      </c>
      <c r="W244">
        <f>IF(OR(V244="M",V244="I"),"H",IF(V244="P","A",V244))</f>
        <v>0</v>
      </c>
      <c r="X244">
        <f>INDEX(StudentTargets,MATCH(B244,KidIDs,0))</f>
        <v>0</v>
      </c>
      <c r="Y244">
        <f>INDEX(ReachStudentTargets,MATCH(B244,KidIDs,0))</f>
        <v>0</v>
      </c>
      <c r="Z244">
        <f>IF(OR(M244="Posse"),1,0)</f>
        <v>0</v>
      </c>
      <c r="AA244">
        <f>IF(ISNUMBER(INDEX(AllCollegeGR, MATCH(N244,AllCollegeNCES,0))),ROUND(INDEX(AllCollegeGR, MATCH(N244,AllCollegeNCES,0))+Z244*IF(INDEX(AllCollegeGR, MATCH(N244,AllCollegeNCES,0))&gt;0.7,(1-INDEX(AllCollegeGR, MATCH(N244,AllCollegeNCES,0)))/2,0.15),2),INDEX(AllCollegeGR, MATCH(N244,AllCollegeNCES,0)))</f>
        <v>0</v>
      </c>
      <c r="AB244">
        <f>IF(ISNUMBER(INDEX(AllCollegeAAHGR, MATCH(N244,AllCollegeNCES,0))),ROUND(INDEX(AllCollegeAAHGR, MATCH(N244,AllCollegeNCES,0))+Z244*IF(INDEX(AllCollegeAAHGR, MATCH(N244,AllCollegeNCES,0))&gt;0.7,(1-INDEX(AllCollegeAAHGR, MATCH(N244,AllCollegeNCES,0)))/2,0.15),2),INDEX(AllCollegeAAHGR, MATCH(N244,AllCollegeNCES,0)))</f>
        <v>0</v>
      </c>
      <c r="AC244">
        <f>IF(OR(W244="H",W244="B"),INDEX(AllCollegeSAT25, MATCH(N244,AllCollegeNCES,0)),INDEX(AllCollegeSAT50, MATCH(N244,AllCollegeNCES,0)))</f>
        <v>0</v>
      </c>
      <c r="AD244">
        <f>INDEX(CustomWeightsGPA,MATCH(W244&amp;":"&amp;N244,CustomWeightsIndex,0))</f>
        <v>0</v>
      </c>
      <c r="AE244">
        <f>INDEX(CustomWeightsSAT,MATCH(W244&amp;":"&amp;N244,CustomWeightsIndex,0))</f>
        <v>0</v>
      </c>
      <c r="AF244">
        <f>INDEX(CustomWeightsIntercept,MATCH(W244&amp;":"&amp;N244,CustomWeightsIndex,0))</f>
        <v>0</v>
      </c>
      <c r="AG244">
        <f>AD244*S244+AE244*T244+AF244</f>
        <v>0</v>
      </c>
      <c r="AH244">
        <f>INDEX(CoefficientsGPA,MATCH(W244&amp;":"&amp;R244,CoefficientsIndex,0))</f>
        <v>0</v>
      </c>
      <c r="AI244">
        <f>INDEX(CoefficientsSAT,MATCH(W244&amp;":"&amp;R244,CoefficientsIndex,0))</f>
        <v>0</v>
      </c>
      <c r="AJ244">
        <f>INDEX(CoefficientsIntercept,MATCH(W244&amp;":"&amp;R244,CoefficientsIndex,0))</f>
        <v>0</v>
      </c>
      <c r="AK244">
        <f>AH244*S244+(T244-AC244)*AI244+AJ244</f>
        <v>0</v>
      </c>
      <c r="AL244">
        <f>IF(ISNUMBER(AG244),AG244,AK244)</f>
        <v>0</v>
      </c>
      <c r="AM244">
        <f>IF(ISNUMBER(AL244),IF(ISNUMBER(AH244),IF(AND(AH244=1,AI244=1,AJ244=1),100,MIN(99,ROUND(100*EXP(AL244)/(1+EXP(AL244)),2))),MIN(99,ROUND(100*EXP(AL244)/(1+EXP(AL244)),2))),IF(ISTEXT(R244),IF(LEFT(R244,1)="2",100,"N/A"),"N/A"))</f>
        <v>0</v>
      </c>
      <c r="AN244">
        <f>IF(ISNUMBER(AM244),IF(AM244&gt;=99,IF(OR(U244=10,U244=11),MatchLabel,SureThingLabel),IF(AM244&gt;=95,SecureLabel,IF(AM244&gt;=80,SafetyLabel,IF(AM244&gt;=50,MatchLabel,IF(AM244&gt;=20,ReachLabel,IF(AM244&gt;=10,LongshotLabel,HailMaryLabel)))))),"Other")</f>
        <v>0</v>
      </c>
      <c r="AO244">
        <f>IF(OR(I244="accepted",I244="cond. accept",I244="summer admit"),IF(J244="yes","CHOICE!","Accepted!"),IF(I244="guar. transfer","Guar. Xfer",IF(I244="denied","Denied",IF(K244=1,"Waitlist",IF(L244=1,"Deferred",IF(G244="pending","Pending",IF(OR(G244="initial materials submitted",G244="mid-year submitted",G244="final submitted"),"Submitted",IF(H244="interest","Interest","?"))))))))</f>
        <v>0</v>
      </c>
      <c r="AP244">
        <f>IF(OR(AN244=ReachLabel,AN244=LongshotLabel,AN244=HailMaryLabel),1,0)</f>
        <v>0</v>
      </c>
      <c r="AQ244">
        <f>IF(OR(AP244=1,AN244=MatchLabel),1,0)</f>
        <v>0</v>
      </c>
      <c r="AR244">
        <f>IF(OR(AN244=MatchLabel,AN244=SafetyLabel,AN244=SecureLabel,AN244=SureThingLabel),1,0)</f>
        <v>0</v>
      </c>
      <c r="AS244">
        <f>IF(OR(W244="H",W244="B",W244="I",W244="M"),IF(ISNUMBER(AB244),ROUND(AB244,2),0),IF(ISNUMBER(AA244),ROUND(AA244,2),0))</f>
        <v>0</v>
      </c>
      <c r="AT244">
        <f>IF(AS244&gt;=X244,1,0)</f>
        <v>0</v>
      </c>
      <c r="AU244">
        <f>IF(AS244&gt;=Y244,1,0)</f>
        <v>0</v>
      </c>
      <c r="AV244">
        <f>IF(AS244&lt;(X244-0.10),1,0)</f>
        <v>0</v>
      </c>
      <c r="AW244">
        <f>1-AM244/100</f>
        <v>0</v>
      </c>
      <c r="AX244">
        <f>IF(AQ244=1,AW244,1)</f>
        <v>0</v>
      </c>
      <c r="AY244">
        <f>IF(AP244=1,AW244,1)</f>
        <v>0</v>
      </c>
      <c r="AZ244">
        <f>IF(AND(AT244=1,ISNUMBER(AW244)),$AW244,1)</f>
        <v>0</v>
      </c>
      <c r="BA244">
        <f>IF(AND(AU244=1,ISNUMBER(AW244)),$AW244,1)</f>
        <v>0</v>
      </c>
      <c r="BB244">
        <f>IF(ISNUMBER(AB244),INDEX(AllCollegeMoney, MATCH(N244,AllCollegeNCES,0)),0)</f>
        <v>0</v>
      </c>
      <c r="BC244">
        <f>IF(AND(AT244=1,ISNUMBER(AW244),BB244=1),$AW244,1)</f>
        <v>0</v>
      </c>
      <c r="BD244">
        <f>IF(AND(AU244=1,ISNUMBER(AW244),BB244=1),$AW244,1)</f>
        <v>0</v>
      </c>
      <c r="BE244">
        <f>IF(ISNUMBER(AB244),INDEX(AllCollegeILPub, MATCH(N244,AllCollegeNCES,0)),0)</f>
        <v>0</v>
      </c>
      <c r="BF244">
        <f>IF(AN244=ReachLabel,AS244,0)</f>
        <v>0</v>
      </c>
      <c r="BG244">
        <f>IF(AN244=MatchLabel,AS244,0)</f>
        <v>0</v>
      </c>
      <c r="BH244">
        <f>IF(AN244=SafetyLabel,AS244,0)</f>
        <v>0</v>
      </c>
      <c r="BI244">
        <f>IF(AN244=SecureLabel,AS244,0)</f>
        <v>0</v>
      </c>
      <c r="BJ244">
        <f>IF(AN244=SureThingLabel,AS244,0)</f>
        <v>0</v>
      </c>
      <c r="BK244">
        <f>MAX(BF244:BJ244)</f>
        <v>0</v>
      </c>
      <c r="BL244">
        <f>MAX(BG244:BJ244)</f>
        <v>0</v>
      </c>
      <c r="BM244">
        <f>MAX(BH244:BJ244)</f>
        <v>0</v>
      </c>
      <c r="BN244">
        <f>IF(AND(AN244=ReachLabel,BB244=1),AS244,0)</f>
        <v>0</v>
      </c>
      <c r="BO244">
        <f>IF(AND(AN244=MatchLabel,BB244=1),AS244,0)</f>
        <v>0</v>
      </c>
      <c r="BP244">
        <f>IF(AND(AN244=SafetyLabel,BB244=1),AS244,0)</f>
        <v>0</v>
      </c>
      <c r="BQ244">
        <f>IF(AND(AN244=SecureLabel,BB244=1),AS244,0)</f>
        <v>0</v>
      </c>
      <c r="BR244">
        <f>IF(AND(AN244=SureThingLabel,BB244=1),AS244,0)</f>
        <v>0</v>
      </c>
      <c r="BS244">
        <f>MAX(BN244:BR244)</f>
        <v>0</v>
      </c>
      <c r="BT244">
        <f>MAX(BO244:BR244)</f>
        <v>0</v>
      </c>
      <c r="BU244">
        <f>MAX(BP244:BR244)</f>
        <v>0</v>
      </c>
      <c r="BV244">
        <f>IF(ISNUMBER(AB244),INDEX(AllCollegeChicago, MATCH(N244,AllCollegeNCES,0))*BB244,0)</f>
        <v>0</v>
      </c>
      <c r="BW244">
        <f>IF(ISNUMBER(AB244),INDEX(AllCollegeMoneyCode, MATCH(N244,AllCollegeNCES,0)),"?")</f>
        <v>0</v>
      </c>
      <c r="BX244">
        <f>IF(OR(BW244="---",BW244="--",BW244="+/--",BW244="+/---"),1,0)</f>
        <v>0</v>
      </c>
      <c r="BY244">
        <f>BB244*AR244*AT244</f>
        <v>0</v>
      </c>
    </row>
    <row r="245" spans="1:77">
      <c r="A245" t="s">
        <v>96</v>
      </c>
      <c r="B245">
        <v>23018720</v>
      </c>
      <c r="C245" t="s">
        <v>188</v>
      </c>
      <c r="D245" t="s">
        <v>189</v>
      </c>
      <c r="E245" t="s">
        <v>446</v>
      </c>
      <c r="F245" t="s">
        <v>466</v>
      </c>
      <c r="G245" t="s">
        <v>448</v>
      </c>
      <c r="H245" t="s">
        <v>449</v>
      </c>
      <c r="I245" t="s">
        <v>450</v>
      </c>
      <c r="J245" t="s">
        <v>450</v>
      </c>
      <c r="K245">
        <v>0</v>
      </c>
      <c r="L245" t="s">
        <v>446</v>
      </c>
      <c r="M245" t="s">
        <v>446</v>
      </c>
      <c r="N245">
        <v>100000001</v>
      </c>
      <c r="O245">
        <f>INDEX(Counselor,MATCH(B245,KidIDs,0))</f>
        <v>0</v>
      </c>
      <c r="P245">
        <f>INDEX(Advisors,MATCH(B245,KidIDs,0))</f>
        <v>0</v>
      </c>
      <c r="Q245">
        <f>INDEX(Cohort,MATCH(B245,KidIDs,0))</f>
        <v>0</v>
      </c>
      <c r="R245">
        <f>INDEX(AllCollegeBarrons,MATCH(N245,AllCollegeNCES,0))</f>
        <v>0</v>
      </c>
      <c r="S245">
        <f>INDEX(KidGPAs,MATCH(B245,KidIDs,0))</f>
        <v>0</v>
      </c>
      <c r="T245">
        <f>INDEX(KidSATs,MATCH(B245,KidIDs,0))</f>
        <v>0</v>
      </c>
      <c r="U245">
        <f>INDEX(Strats,MATCH(B245,KidIDs,0))</f>
        <v>0</v>
      </c>
      <c r="V245">
        <f>INDEX(KidRace,MATCH(B245,KidIDs,0))</f>
        <v>0</v>
      </c>
      <c r="W245">
        <f>IF(OR(V245="M",V245="I"),"H",IF(V245="P","A",V245))</f>
        <v>0</v>
      </c>
      <c r="X245">
        <f>INDEX(StudentTargets,MATCH(B245,KidIDs,0))</f>
        <v>0</v>
      </c>
      <c r="Y245">
        <f>INDEX(ReachStudentTargets,MATCH(B245,KidIDs,0))</f>
        <v>0</v>
      </c>
      <c r="Z245">
        <f>IF(OR(M245="Posse"),1,0)</f>
        <v>0</v>
      </c>
      <c r="AA245">
        <f>IF(ISNUMBER(INDEX(AllCollegeGR, MATCH(N245,AllCollegeNCES,0))),ROUND(INDEX(AllCollegeGR, MATCH(N245,AllCollegeNCES,0))+Z245*IF(INDEX(AllCollegeGR, MATCH(N245,AllCollegeNCES,0))&gt;0.7,(1-INDEX(AllCollegeGR, MATCH(N245,AllCollegeNCES,0)))/2,0.15),2),INDEX(AllCollegeGR, MATCH(N245,AllCollegeNCES,0)))</f>
        <v>0</v>
      </c>
      <c r="AB245">
        <f>IF(ISNUMBER(INDEX(AllCollegeAAHGR, MATCH(N245,AllCollegeNCES,0))),ROUND(INDEX(AllCollegeAAHGR, MATCH(N245,AllCollegeNCES,0))+Z245*IF(INDEX(AllCollegeAAHGR, MATCH(N245,AllCollegeNCES,0))&gt;0.7,(1-INDEX(AllCollegeAAHGR, MATCH(N245,AllCollegeNCES,0)))/2,0.15),2),INDEX(AllCollegeAAHGR, MATCH(N245,AllCollegeNCES,0)))</f>
        <v>0</v>
      </c>
      <c r="AC245">
        <f>IF(OR(W245="H",W245="B"),INDEX(AllCollegeSAT25, MATCH(N245,AllCollegeNCES,0)),INDEX(AllCollegeSAT50, MATCH(N245,AllCollegeNCES,0)))</f>
        <v>0</v>
      </c>
      <c r="AD245">
        <f>INDEX(CustomWeightsGPA,MATCH(W245&amp;":"&amp;N245,CustomWeightsIndex,0))</f>
        <v>0</v>
      </c>
      <c r="AE245">
        <f>INDEX(CustomWeightsSAT,MATCH(W245&amp;":"&amp;N245,CustomWeightsIndex,0))</f>
        <v>0</v>
      </c>
      <c r="AF245">
        <f>INDEX(CustomWeightsIntercept,MATCH(W245&amp;":"&amp;N245,CustomWeightsIndex,0))</f>
        <v>0</v>
      </c>
      <c r="AG245">
        <f>AD245*S245+AE245*T245+AF245</f>
        <v>0</v>
      </c>
      <c r="AH245">
        <f>INDEX(CoefficientsGPA,MATCH(W245&amp;":"&amp;R245,CoefficientsIndex,0))</f>
        <v>0</v>
      </c>
      <c r="AI245">
        <f>INDEX(CoefficientsSAT,MATCH(W245&amp;":"&amp;R245,CoefficientsIndex,0))</f>
        <v>0</v>
      </c>
      <c r="AJ245">
        <f>INDEX(CoefficientsIntercept,MATCH(W245&amp;":"&amp;R245,CoefficientsIndex,0))</f>
        <v>0</v>
      </c>
      <c r="AK245">
        <f>AH245*S245+(T245-AC245)*AI245+AJ245</f>
        <v>0</v>
      </c>
      <c r="AL245">
        <f>IF(ISNUMBER(AG245),AG245,AK245)</f>
        <v>0</v>
      </c>
      <c r="AM245">
        <f>IF(ISNUMBER(AL245),IF(ISNUMBER(AH245),IF(AND(AH245=1,AI245=1,AJ245=1),100,MIN(99,ROUND(100*EXP(AL245)/(1+EXP(AL245)),2))),MIN(99,ROUND(100*EXP(AL245)/(1+EXP(AL245)),2))),IF(ISTEXT(R245),IF(LEFT(R245,1)="2",100,"N/A"),"N/A"))</f>
        <v>0</v>
      </c>
      <c r="AN245">
        <f>IF(ISNUMBER(AM245),IF(AM245&gt;=99,IF(OR(U245=10,U245=11),MatchLabel,SureThingLabel),IF(AM245&gt;=95,SecureLabel,IF(AM245&gt;=80,SafetyLabel,IF(AM245&gt;=50,MatchLabel,IF(AM245&gt;=20,ReachLabel,IF(AM245&gt;=10,LongshotLabel,HailMaryLabel)))))),"Other")</f>
        <v>0</v>
      </c>
      <c r="AO245">
        <f>IF(OR(I245="accepted",I245="cond. accept",I245="summer admit"),IF(J245="yes","CHOICE!","Accepted!"),IF(I245="guar. transfer","Guar. Xfer",IF(I245="denied","Denied",IF(K245=1,"Waitlist",IF(L245=1,"Deferred",IF(G245="pending","Pending",IF(OR(G245="initial materials submitted",G245="mid-year submitted",G245="final submitted"),"Submitted",IF(H245="interest","Interest","?"))))))))</f>
        <v>0</v>
      </c>
      <c r="AP245">
        <f>IF(OR(AN245=ReachLabel,AN245=LongshotLabel,AN245=HailMaryLabel),1,0)</f>
        <v>0</v>
      </c>
      <c r="AQ245">
        <f>IF(OR(AP245=1,AN245=MatchLabel),1,0)</f>
        <v>0</v>
      </c>
      <c r="AR245">
        <f>IF(OR(AN245=MatchLabel,AN245=SafetyLabel,AN245=SecureLabel,AN245=SureThingLabel),1,0)</f>
        <v>0</v>
      </c>
      <c r="AS245">
        <f>IF(OR(W245="H",W245="B",W245="I",W245="M"),IF(ISNUMBER(AB245),ROUND(AB245,2),0),IF(ISNUMBER(AA245),ROUND(AA245,2),0))</f>
        <v>0</v>
      </c>
      <c r="AT245">
        <f>IF(AS245&gt;=X245,1,0)</f>
        <v>0</v>
      </c>
      <c r="AU245">
        <f>IF(AS245&gt;=Y245,1,0)</f>
        <v>0</v>
      </c>
      <c r="AV245">
        <f>IF(AS245&lt;(X245-0.10),1,0)</f>
        <v>0</v>
      </c>
      <c r="AW245">
        <f>1-AM245/100</f>
        <v>0</v>
      </c>
      <c r="AX245">
        <f>IF(AQ245=1,AW245,1)</f>
        <v>0</v>
      </c>
      <c r="AY245">
        <f>IF(AP245=1,AW245,1)</f>
        <v>0</v>
      </c>
      <c r="AZ245">
        <f>IF(AND(AT245=1,ISNUMBER(AW245)),$AW245,1)</f>
        <v>0</v>
      </c>
      <c r="BA245">
        <f>IF(AND(AU245=1,ISNUMBER(AW245)),$AW245,1)</f>
        <v>0</v>
      </c>
      <c r="BB245">
        <f>IF(ISNUMBER(AB245),INDEX(AllCollegeMoney, MATCH(N245,AllCollegeNCES,0)),0)</f>
        <v>0</v>
      </c>
      <c r="BC245">
        <f>IF(AND(AT245=1,ISNUMBER(AW245),BB245=1),$AW245,1)</f>
        <v>0</v>
      </c>
      <c r="BD245">
        <f>IF(AND(AU245=1,ISNUMBER(AW245),BB245=1),$AW245,1)</f>
        <v>0</v>
      </c>
      <c r="BE245">
        <f>IF(ISNUMBER(AB245),INDEX(AllCollegeILPub, MATCH(N245,AllCollegeNCES,0)),0)</f>
        <v>0</v>
      </c>
      <c r="BF245">
        <f>IF(AN245=ReachLabel,AS245,0)</f>
        <v>0</v>
      </c>
      <c r="BG245">
        <f>IF(AN245=MatchLabel,AS245,0)</f>
        <v>0</v>
      </c>
      <c r="BH245">
        <f>IF(AN245=SafetyLabel,AS245,0)</f>
        <v>0</v>
      </c>
      <c r="BI245">
        <f>IF(AN245=SecureLabel,AS245,0)</f>
        <v>0</v>
      </c>
      <c r="BJ245">
        <f>IF(AN245=SureThingLabel,AS245,0)</f>
        <v>0</v>
      </c>
      <c r="BK245">
        <f>MAX(BF245:BJ245)</f>
        <v>0</v>
      </c>
      <c r="BL245">
        <f>MAX(BG245:BJ245)</f>
        <v>0</v>
      </c>
      <c r="BM245">
        <f>MAX(BH245:BJ245)</f>
        <v>0</v>
      </c>
      <c r="BN245">
        <f>IF(AND(AN245=ReachLabel,BB245=1),AS245,0)</f>
        <v>0</v>
      </c>
      <c r="BO245">
        <f>IF(AND(AN245=MatchLabel,BB245=1),AS245,0)</f>
        <v>0</v>
      </c>
      <c r="BP245">
        <f>IF(AND(AN245=SafetyLabel,BB245=1),AS245,0)</f>
        <v>0</v>
      </c>
      <c r="BQ245">
        <f>IF(AND(AN245=SecureLabel,BB245=1),AS245,0)</f>
        <v>0</v>
      </c>
      <c r="BR245">
        <f>IF(AND(AN245=SureThingLabel,BB245=1),AS245,0)</f>
        <v>0</v>
      </c>
      <c r="BS245">
        <f>MAX(BN245:BR245)</f>
        <v>0</v>
      </c>
      <c r="BT245">
        <f>MAX(BO245:BR245)</f>
        <v>0</v>
      </c>
      <c r="BU245">
        <f>MAX(BP245:BR245)</f>
        <v>0</v>
      </c>
      <c r="BV245">
        <f>IF(ISNUMBER(AB245),INDEX(AllCollegeChicago, MATCH(N245,AllCollegeNCES,0))*BB245,0)</f>
        <v>0</v>
      </c>
      <c r="BW245">
        <f>IF(ISNUMBER(AB245),INDEX(AllCollegeMoneyCode, MATCH(N245,AllCollegeNCES,0)),"?")</f>
        <v>0</v>
      </c>
      <c r="BX245">
        <f>IF(OR(BW245="---",BW245="--",BW245="+/--",BW245="+/---"),1,0)</f>
        <v>0</v>
      </c>
      <c r="BY245">
        <f>BB245*AR245*AT245</f>
        <v>0</v>
      </c>
    </row>
    <row r="246" spans="1:77">
      <c r="A246" t="s">
        <v>96</v>
      </c>
      <c r="B246">
        <v>23018720</v>
      </c>
      <c r="C246" t="s">
        <v>188</v>
      </c>
      <c r="D246" t="s">
        <v>189</v>
      </c>
      <c r="E246" t="s">
        <v>446</v>
      </c>
      <c r="F246" t="s">
        <v>536</v>
      </c>
      <c r="G246" t="s">
        <v>448</v>
      </c>
      <c r="H246" t="s">
        <v>449</v>
      </c>
      <c r="I246" t="s">
        <v>450</v>
      </c>
      <c r="J246" t="s">
        <v>450</v>
      </c>
      <c r="K246">
        <v>0</v>
      </c>
      <c r="L246" t="s">
        <v>446</v>
      </c>
      <c r="M246" t="s">
        <v>446</v>
      </c>
      <c r="N246">
        <v>239628</v>
      </c>
      <c r="O246">
        <f>INDEX(Counselor,MATCH(B246,KidIDs,0))</f>
        <v>0</v>
      </c>
      <c r="P246">
        <f>INDEX(Advisors,MATCH(B246,KidIDs,0))</f>
        <v>0</v>
      </c>
      <c r="Q246">
        <f>INDEX(Cohort,MATCH(B246,KidIDs,0))</f>
        <v>0</v>
      </c>
      <c r="R246">
        <f>INDEX(AllCollegeBarrons,MATCH(N246,AllCollegeNCES,0))</f>
        <v>0</v>
      </c>
      <c r="S246">
        <f>INDEX(KidGPAs,MATCH(B246,KidIDs,0))</f>
        <v>0</v>
      </c>
      <c r="T246">
        <f>INDEX(KidSATs,MATCH(B246,KidIDs,0))</f>
        <v>0</v>
      </c>
      <c r="U246">
        <f>INDEX(Strats,MATCH(B246,KidIDs,0))</f>
        <v>0</v>
      </c>
      <c r="V246">
        <f>INDEX(KidRace,MATCH(B246,KidIDs,0))</f>
        <v>0</v>
      </c>
      <c r="W246">
        <f>IF(OR(V246="M",V246="I"),"H",IF(V246="P","A",V246))</f>
        <v>0</v>
      </c>
      <c r="X246">
        <f>INDEX(StudentTargets,MATCH(B246,KidIDs,0))</f>
        <v>0</v>
      </c>
      <c r="Y246">
        <f>INDEX(ReachStudentTargets,MATCH(B246,KidIDs,0))</f>
        <v>0</v>
      </c>
      <c r="Z246">
        <f>IF(OR(M246="Posse"),1,0)</f>
        <v>0</v>
      </c>
      <c r="AA246">
        <f>IF(ISNUMBER(INDEX(AllCollegeGR, MATCH(N246,AllCollegeNCES,0))),ROUND(INDEX(AllCollegeGR, MATCH(N246,AllCollegeNCES,0))+Z246*IF(INDEX(AllCollegeGR, MATCH(N246,AllCollegeNCES,0))&gt;0.7,(1-INDEX(AllCollegeGR, MATCH(N246,AllCollegeNCES,0)))/2,0.15),2),INDEX(AllCollegeGR, MATCH(N246,AllCollegeNCES,0)))</f>
        <v>0</v>
      </c>
      <c r="AB246">
        <f>IF(ISNUMBER(INDEX(AllCollegeAAHGR, MATCH(N246,AllCollegeNCES,0))),ROUND(INDEX(AllCollegeAAHGR, MATCH(N246,AllCollegeNCES,0))+Z246*IF(INDEX(AllCollegeAAHGR, MATCH(N246,AllCollegeNCES,0))&gt;0.7,(1-INDEX(AllCollegeAAHGR, MATCH(N246,AllCollegeNCES,0)))/2,0.15),2),INDEX(AllCollegeAAHGR, MATCH(N246,AllCollegeNCES,0)))</f>
        <v>0</v>
      </c>
      <c r="AC246">
        <f>IF(OR(W246="H",W246="B"),INDEX(AllCollegeSAT25, MATCH(N246,AllCollegeNCES,0)),INDEX(AllCollegeSAT50, MATCH(N246,AllCollegeNCES,0)))</f>
        <v>0</v>
      </c>
      <c r="AD246">
        <f>INDEX(CustomWeightsGPA,MATCH(W246&amp;":"&amp;N246,CustomWeightsIndex,0))</f>
        <v>0</v>
      </c>
      <c r="AE246">
        <f>INDEX(CustomWeightsSAT,MATCH(W246&amp;":"&amp;N246,CustomWeightsIndex,0))</f>
        <v>0</v>
      </c>
      <c r="AF246">
        <f>INDEX(CustomWeightsIntercept,MATCH(W246&amp;":"&amp;N246,CustomWeightsIndex,0))</f>
        <v>0</v>
      </c>
      <c r="AG246">
        <f>AD246*S246+AE246*T246+AF246</f>
        <v>0</v>
      </c>
      <c r="AH246">
        <f>INDEX(CoefficientsGPA,MATCH(W246&amp;":"&amp;R246,CoefficientsIndex,0))</f>
        <v>0</v>
      </c>
      <c r="AI246">
        <f>INDEX(CoefficientsSAT,MATCH(W246&amp;":"&amp;R246,CoefficientsIndex,0))</f>
        <v>0</v>
      </c>
      <c r="AJ246">
        <f>INDEX(CoefficientsIntercept,MATCH(W246&amp;":"&amp;R246,CoefficientsIndex,0))</f>
        <v>0</v>
      </c>
      <c r="AK246">
        <f>AH246*S246+(T246-AC246)*AI246+AJ246</f>
        <v>0</v>
      </c>
      <c r="AL246">
        <f>IF(ISNUMBER(AG246),AG246,AK246)</f>
        <v>0</v>
      </c>
      <c r="AM246">
        <f>IF(ISNUMBER(AL246),IF(ISNUMBER(AH246),IF(AND(AH246=1,AI246=1,AJ246=1),100,MIN(99,ROUND(100*EXP(AL246)/(1+EXP(AL246)),2))),MIN(99,ROUND(100*EXP(AL246)/(1+EXP(AL246)),2))),IF(ISTEXT(R246),IF(LEFT(R246,1)="2",100,"N/A"),"N/A"))</f>
        <v>0</v>
      </c>
      <c r="AN246">
        <f>IF(ISNUMBER(AM246),IF(AM246&gt;=99,IF(OR(U246=10,U246=11),MatchLabel,SureThingLabel),IF(AM246&gt;=95,SecureLabel,IF(AM246&gt;=80,SafetyLabel,IF(AM246&gt;=50,MatchLabel,IF(AM246&gt;=20,ReachLabel,IF(AM246&gt;=10,LongshotLabel,HailMaryLabel)))))),"Other")</f>
        <v>0</v>
      </c>
      <c r="AO246">
        <f>IF(OR(I246="accepted",I246="cond. accept",I246="summer admit"),IF(J246="yes","CHOICE!","Accepted!"),IF(I246="guar. transfer","Guar. Xfer",IF(I246="denied","Denied",IF(K246=1,"Waitlist",IF(L246=1,"Deferred",IF(G246="pending","Pending",IF(OR(G246="initial materials submitted",G246="mid-year submitted",G246="final submitted"),"Submitted",IF(H246="interest","Interest","?"))))))))</f>
        <v>0</v>
      </c>
      <c r="AP246">
        <f>IF(OR(AN246=ReachLabel,AN246=LongshotLabel,AN246=HailMaryLabel),1,0)</f>
        <v>0</v>
      </c>
      <c r="AQ246">
        <f>IF(OR(AP246=1,AN246=MatchLabel),1,0)</f>
        <v>0</v>
      </c>
      <c r="AR246">
        <f>IF(OR(AN246=MatchLabel,AN246=SafetyLabel,AN246=SecureLabel,AN246=SureThingLabel),1,0)</f>
        <v>0</v>
      </c>
      <c r="AS246">
        <f>IF(OR(W246="H",W246="B",W246="I",W246="M"),IF(ISNUMBER(AB246),ROUND(AB246,2),0),IF(ISNUMBER(AA246),ROUND(AA246,2),0))</f>
        <v>0</v>
      </c>
      <c r="AT246">
        <f>IF(AS246&gt;=X246,1,0)</f>
        <v>0</v>
      </c>
      <c r="AU246">
        <f>IF(AS246&gt;=Y246,1,0)</f>
        <v>0</v>
      </c>
      <c r="AV246">
        <f>IF(AS246&lt;(X246-0.10),1,0)</f>
        <v>0</v>
      </c>
      <c r="AW246">
        <f>1-AM246/100</f>
        <v>0</v>
      </c>
      <c r="AX246">
        <f>IF(AQ246=1,AW246,1)</f>
        <v>0</v>
      </c>
      <c r="AY246">
        <f>IF(AP246=1,AW246,1)</f>
        <v>0</v>
      </c>
      <c r="AZ246">
        <f>IF(AND(AT246=1,ISNUMBER(AW246)),$AW246,1)</f>
        <v>0</v>
      </c>
      <c r="BA246">
        <f>IF(AND(AU246=1,ISNUMBER(AW246)),$AW246,1)</f>
        <v>0</v>
      </c>
      <c r="BB246">
        <f>IF(ISNUMBER(AB246),INDEX(AllCollegeMoney, MATCH(N246,AllCollegeNCES,0)),0)</f>
        <v>0</v>
      </c>
      <c r="BC246">
        <f>IF(AND(AT246=1,ISNUMBER(AW246),BB246=1),$AW246,1)</f>
        <v>0</v>
      </c>
      <c r="BD246">
        <f>IF(AND(AU246=1,ISNUMBER(AW246),BB246=1),$AW246,1)</f>
        <v>0</v>
      </c>
      <c r="BE246">
        <f>IF(ISNUMBER(AB246),INDEX(AllCollegeILPub, MATCH(N246,AllCollegeNCES,0)),0)</f>
        <v>0</v>
      </c>
      <c r="BF246">
        <f>IF(AN246=ReachLabel,AS246,0)</f>
        <v>0</v>
      </c>
      <c r="BG246">
        <f>IF(AN246=MatchLabel,AS246,0)</f>
        <v>0</v>
      </c>
      <c r="BH246">
        <f>IF(AN246=SafetyLabel,AS246,0)</f>
        <v>0</v>
      </c>
      <c r="BI246">
        <f>IF(AN246=SecureLabel,AS246,0)</f>
        <v>0</v>
      </c>
      <c r="BJ246">
        <f>IF(AN246=SureThingLabel,AS246,0)</f>
        <v>0</v>
      </c>
      <c r="BK246">
        <f>MAX(BF246:BJ246)</f>
        <v>0</v>
      </c>
      <c r="BL246">
        <f>MAX(BG246:BJ246)</f>
        <v>0</v>
      </c>
      <c r="BM246">
        <f>MAX(BH246:BJ246)</f>
        <v>0</v>
      </c>
      <c r="BN246">
        <f>IF(AND(AN246=ReachLabel,BB246=1),AS246,0)</f>
        <v>0</v>
      </c>
      <c r="BO246">
        <f>IF(AND(AN246=MatchLabel,BB246=1),AS246,0)</f>
        <v>0</v>
      </c>
      <c r="BP246">
        <f>IF(AND(AN246=SafetyLabel,BB246=1),AS246,0)</f>
        <v>0</v>
      </c>
      <c r="BQ246">
        <f>IF(AND(AN246=SecureLabel,BB246=1),AS246,0)</f>
        <v>0</v>
      </c>
      <c r="BR246">
        <f>IF(AND(AN246=SureThingLabel,BB246=1),AS246,0)</f>
        <v>0</v>
      </c>
      <c r="BS246">
        <f>MAX(BN246:BR246)</f>
        <v>0</v>
      </c>
      <c r="BT246">
        <f>MAX(BO246:BR246)</f>
        <v>0</v>
      </c>
      <c r="BU246">
        <f>MAX(BP246:BR246)</f>
        <v>0</v>
      </c>
      <c r="BV246">
        <f>IF(ISNUMBER(AB246),INDEX(AllCollegeChicago, MATCH(N246,AllCollegeNCES,0))*BB246,0)</f>
        <v>0</v>
      </c>
      <c r="BW246">
        <f>IF(ISNUMBER(AB246),INDEX(AllCollegeMoneyCode, MATCH(N246,AllCollegeNCES,0)),"?")</f>
        <v>0</v>
      </c>
      <c r="BX246">
        <f>IF(OR(BW246="---",BW246="--",BW246="+/--",BW246="+/---"),1,0)</f>
        <v>0</v>
      </c>
      <c r="BY246">
        <f>BB246*AR246*AT246</f>
        <v>0</v>
      </c>
    </row>
    <row r="247" spans="1:77">
      <c r="A247" t="s">
        <v>96</v>
      </c>
      <c r="B247">
        <v>23018720</v>
      </c>
      <c r="C247" t="s">
        <v>188</v>
      </c>
      <c r="D247" t="s">
        <v>189</v>
      </c>
      <c r="E247" t="s">
        <v>446</v>
      </c>
      <c r="F247" t="s">
        <v>526</v>
      </c>
      <c r="G247" t="s">
        <v>448</v>
      </c>
      <c r="H247" t="s">
        <v>449</v>
      </c>
      <c r="I247" t="s">
        <v>450</v>
      </c>
      <c r="J247" t="s">
        <v>450</v>
      </c>
      <c r="K247">
        <v>0</v>
      </c>
      <c r="L247" t="s">
        <v>446</v>
      </c>
      <c r="M247" t="s">
        <v>446</v>
      </c>
      <c r="N247">
        <v>147341</v>
      </c>
      <c r="O247">
        <f>INDEX(Counselor,MATCH(B247,KidIDs,0))</f>
        <v>0</v>
      </c>
      <c r="P247">
        <f>INDEX(Advisors,MATCH(B247,KidIDs,0))</f>
        <v>0</v>
      </c>
      <c r="Q247">
        <f>INDEX(Cohort,MATCH(B247,KidIDs,0))</f>
        <v>0</v>
      </c>
      <c r="R247">
        <f>INDEX(AllCollegeBarrons,MATCH(N247,AllCollegeNCES,0))</f>
        <v>0</v>
      </c>
      <c r="S247">
        <f>INDEX(KidGPAs,MATCH(B247,KidIDs,0))</f>
        <v>0</v>
      </c>
      <c r="T247">
        <f>INDEX(KidSATs,MATCH(B247,KidIDs,0))</f>
        <v>0</v>
      </c>
      <c r="U247">
        <f>INDEX(Strats,MATCH(B247,KidIDs,0))</f>
        <v>0</v>
      </c>
      <c r="V247">
        <f>INDEX(KidRace,MATCH(B247,KidIDs,0))</f>
        <v>0</v>
      </c>
      <c r="W247">
        <f>IF(OR(V247="M",V247="I"),"H",IF(V247="P","A",V247))</f>
        <v>0</v>
      </c>
      <c r="X247">
        <f>INDEX(StudentTargets,MATCH(B247,KidIDs,0))</f>
        <v>0</v>
      </c>
      <c r="Y247">
        <f>INDEX(ReachStudentTargets,MATCH(B247,KidIDs,0))</f>
        <v>0</v>
      </c>
      <c r="Z247">
        <f>IF(OR(M247="Posse"),1,0)</f>
        <v>0</v>
      </c>
      <c r="AA247">
        <f>IF(ISNUMBER(INDEX(AllCollegeGR, MATCH(N247,AllCollegeNCES,0))),ROUND(INDEX(AllCollegeGR, MATCH(N247,AllCollegeNCES,0))+Z247*IF(INDEX(AllCollegeGR, MATCH(N247,AllCollegeNCES,0))&gt;0.7,(1-INDEX(AllCollegeGR, MATCH(N247,AllCollegeNCES,0)))/2,0.15),2),INDEX(AllCollegeGR, MATCH(N247,AllCollegeNCES,0)))</f>
        <v>0</v>
      </c>
      <c r="AB247">
        <f>IF(ISNUMBER(INDEX(AllCollegeAAHGR, MATCH(N247,AllCollegeNCES,0))),ROUND(INDEX(AllCollegeAAHGR, MATCH(N247,AllCollegeNCES,0))+Z247*IF(INDEX(AllCollegeAAHGR, MATCH(N247,AllCollegeNCES,0))&gt;0.7,(1-INDEX(AllCollegeAAHGR, MATCH(N247,AllCollegeNCES,0)))/2,0.15),2),INDEX(AllCollegeAAHGR, MATCH(N247,AllCollegeNCES,0)))</f>
        <v>0</v>
      </c>
      <c r="AC247">
        <f>IF(OR(W247="H",W247="B"),INDEX(AllCollegeSAT25, MATCH(N247,AllCollegeNCES,0)),INDEX(AllCollegeSAT50, MATCH(N247,AllCollegeNCES,0)))</f>
        <v>0</v>
      </c>
      <c r="AD247">
        <f>INDEX(CustomWeightsGPA,MATCH(W247&amp;":"&amp;N247,CustomWeightsIndex,0))</f>
        <v>0</v>
      </c>
      <c r="AE247">
        <f>INDEX(CustomWeightsSAT,MATCH(W247&amp;":"&amp;N247,CustomWeightsIndex,0))</f>
        <v>0</v>
      </c>
      <c r="AF247">
        <f>INDEX(CustomWeightsIntercept,MATCH(W247&amp;":"&amp;N247,CustomWeightsIndex,0))</f>
        <v>0</v>
      </c>
      <c r="AG247">
        <f>AD247*S247+AE247*T247+AF247</f>
        <v>0</v>
      </c>
      <c r="AH247">
        <f>INDEX(CoefficientsGPA,MATCH(W247&amp;":"&amp;R247,CoefficientsIndex,0))</f>
        <v>0</v>
      </c>
      <c r="AI247">
        <f>INDEX(CoefficientsSAT,MATCH(W247&amp;":"&amp;R247,CoefficientsIndex,0))</f>
        <v>0</v>
      </c>
      <c r="AJ247">
        <f>INDEX(CoefficientsIntercept,MATCH(W247&amp;":"&amp;R247,CoefficientsIndex,0))</f>
        <v>0</v>
      </c>
      <c r="AK247">
        <f>AH247*S247+(T247-AC247)*AI247+AJ247</f>
        <v>0</v>
      </c>
      <c r="AL247">
        <f>IF(ISNUMBER(AG247),AG247,AK247)</f>
        <v>0</v>
      </c>
      <c r="AM247">
        <f>IF(ISNUMBER(AL247),IF(ISNUMBER(AH247),IF(AND(AH247=1,AI247=1,AJ247=1),100,MIN(99,ROUND(100*EXP(AL247)/(1+EXP(AL247)),2))),MIN(99,ROUND(100*EXP(AL247)/(1+EXP(AL247)),2))),IF(ISTEXT(R247),IF(LEFT(R247,1)="2",100,"N/A"),"N/A"))</f>
        <v>0</v>
      </c>
      <c r="AN247">
        <f>IF(ISNUMBER(AM247),IF(AM247&gt;=99,IF(OR(U247=10,U247=11),MatchLabel,SureThingLabel),IF(AM247&gt;=95,SecureLabel,IF(AM247&gt;=80,SafetyLabel,IF(AM247&gt;=50,MatchLabel,IF(AM247&gt;=20,ReachLabel,IF(AM247&gt;=10,LongshotLabel,HailMaryLabel)))))),"Other")</f>
        <v>0</v>
      </c>
      <c r="AO247">
        <f>IF(OR(I247="accepted",I247="cond. accept",I247="summer admit"),IF(J247="yes","CHOICE!","Accepted!"),IF(I247="guar. transfer","Guar. Xfer",IF(I247="denied","Denied",IF(K247=1,"Waitlist",IF(L247=1,"Deferred",IF(G247="pending","Pending",IF(OR(G247="initial materials submitted",G247="mid-year submitted",G247="final submitted"),"Submitted",IF(H247="interest","Interest","?"))))))))</f>
        <v>0</v>
      </c>
      <c r="AP247">
        <f>IF(OR(AN247=ReachLabel,AN247=LongshotLabel,AN247=HailMaryLabel),1,0)</f>
        <v>0</v>
      </c>
      <c r="AQ247">
        <f>IF(OR(AP247=1,AN247=MatchLabel),1,0)</f>
        <v>0</v>
      </c>
      <c r="AR247">
        <f>IF(OR(AN247=MatchLabel,AN247=SafetyLabel,AN247=SecureLabel,AN247=SureThingLabel),1,0)</f>
        <v>0</v>
      </c>
      <c r="AS247">
        <f>IF(OR(W247="H",W247="B",W247="I",W247="M"),IF(ISNUMBER(AB247),ROUND(AB247,2),0),IF(ISNUMBER(AA247),ROUND(AA247,2),0))</f>
        <v>0</v>
      </c>
      <c r="AT247">
        <f>IF(AS247&gt;=X247,1,0)</f>
        <v>0</v>
      </c>
      <c r="AU247">
        <f>IF(AS247&gt;=Y247,1,0)</f>
        <v>0</v>
      </c>
      <c r="AV247">
        <f>IF(AS247&lt;(X247-0.10),1,0)</f>
        <v>0</v>
      </c>
      <c r="AW247">
        <f>1-AM247/100</f>
        <v>0</v>
      </c>
      <c r="AX247">
        <f>IF(AQ247=1,AW247,1)</f>
        <v>0</v>
      </c>
      <c r="AY247">
        <f>IF(AP247=1,AW247,1)</f>
        <v>0</v>
      </c>
      <c r="AZ247">
        <f>IF(AND(AT247=1,ISNUMBER(AW247)),$AW247,1)</f>
        <v>0</v>
      </c>
      <c r="BA247">
        <f>IF(AND(AU247=1,ISNUMBER(AW247)),$AW247,1)</f>
        <v>0</v>
      </c>
      <c r="BB247">
        <f>IF(ISNUMBER(AB247),INDEX(AllCollegeMoney, MATCH(N247,AllCollegeNCES,0)),0)</f>
        <v>0</v>
      </c>
      <c r="BC247">
        <f>IF(AND(AT247=1,ISNUMBER(AW247),BB247=1),$AW247,1)</f>
        <v>0</v>
      </c>
      <c r="BD247">
        <f>IF(AND(AU247=1,ISNUMBER(AW247),BB247=1),$AW247,1)</f>
        <v>0</v>
      </c>
      <c r="BE247">
        <f>IF(ISNUMBER(AB247),INDEX(AllCollegeILPub, MATCH(N247,AllCollegeNCES,0)),0)</f>
        <v>0</v>
      </c>
      <c r="BF247">
        <f>IF(AN247=ReachLabel,AS247,0)</f>
        <v>0</v>
      </c>
      <c r="BG247">
        <f>IF(AN247=MatchLabel,AS247,0)</f>
        <v>0</v>
      </c>
      <c r="BH247">
        <f>IF(AN247=SafetyLabel,AS247,0)</f>
        <v>0</v>
      </c>
      <c r="BI247">
        <f>IF(AN247=SecureLabel,AS247,0)</f>
        <v>0</v>
      </c>
      <c r="BJ247">
        <f>IF(AN247=SureThingLabel,AS247,0)</f>
        <v>0</v>
      </c>
      <c r="BK247">
        <f>MAX(BF247:BJ247)</f>
        <v>0</v>
      </c>
      <c r="BL247">
        <f>MAX(BG247:BJ247)</f>
        <v>0</v>
      </c>
      <c r="BM247">
        <f>MAX(BH247:BJ247)</f>
        <v>0</v>
      </c>
      <c r="BN247">
        <f>IF(AND(AN247=ReachLabel,BB247=1),AS247,0)</f>
        <v>0</v>
      </c>
      <c r="BO247">
        <f>IF(AND(AN247=MatchLabel,BB247=1),AS247,0)</f>
        <v>0</v>
      </c>
      <c r="BP247">
        <f>IF(AND(AN247=SafetyLabel,BB247=1),AS247,0)</f>
        <v>0</v>
      </c>
      <c r="BQ247">
        <f>IF(AND(AN247=SecureLabel,BB247=1),AS247,0)</f>
        <v>0</v>
      </c>
      <c r="BR247">
        <f>IF(AND(AN247=SureThingLabel,BB247=1),AS247,0)</f>
        <v>0</v>
      </c>
      <c r="BS247">
        <f>MAX(BN247:BR247)</f>
        <v>0</v>
      </c>
      <c r="BT247">
        <f>MAX(BO247:BR247)</f>
        <v>0</v>
      </c>
      <c r="BU247">
        <f>MAX(BP247:BR247)</f>
        <v>0</v>
      </c>
      <c r="BV247">
        <f>IF(ISNUMBER(AB247),INDEX(AllCollegeChicago, MATCH(N247,AllCollegeNCES,0))*BB247,0)</f>
        <v>0</v>
      </c>
      <c r="BW247">
        <f>IF(ISNUMBER(AB247),INDEX(AllCollegeMoneyCode, MATCH(N247,AllCollegeNCES,0)),"?")</f>
        <v>0</v>
      </c>
      <c r="BX247">
        <f>IF(OR(BW247="---",BW247="--",BW247="+/--",BW247="+/---"),1,0)</f>
        <v>0</v>
      </c>
      <c r="BY247">
        <f>BB247*AR247*AT247</f>
        <v>0</v>
      </c>
    </row>
    <row r="248" spans="1:77">
      <c r="A248" t="s">
        <v>96</v>
      </c>
      <c r="B248">
        <v>23018720</v>
      </c>
      <c r="C248" t="s">
        <v>188</v>
      </c>
      <c r="D248" t="s">
        <v>189</v>
      </c>
      <c r="E248" t="s">
        <v>446</v>
      </c>
      <c r="F248" t="s">
        <v>537</v>
      </c>
      <c r="G248" t="s">
        <v>448</v>
      </c>
      <c r="H248" t="s">
        <v>449</v>
      </c>
      <c r="I248" t="s">
        <v>450</v>
      </c>
      <c r="J248" t="s">
        <v>450</v>
      </c>
      <c r="K248">
        <v>0</v>
      </c>
      <c r="L248" t="s">
        <v>446</v>
      </c>
      <c r="M248" t="s">
        <v>446</v>
      </c>
      <c r="N248">
        <v>152336</v>
      </c>
      <c r="O248">
        <f>INDEX(Counselor,MATCH(B248,KidIDs,0))</f>
        <v>0</v>
      </c>
      <c r="P248">
        <f>INDEX(Advisors,MATCH(B248,KidIDs,0))</f>
        <v>0</v>
      </c>
      <c r="Q248">
        <f>INDEX(Cohort,MATCH(B248,KidIDs,0))</f>
        <v>0</v>
      </c>
      <c r="R248">
        <f>INDEX(AllCollegeBarrons,MATCH(N248,AllCollegeNCES,0))</f>
        <v>0</v>
      </c>
      <c r="S248">
        <f>INDEX(KidGPAs,MATCH(B248,KidIDs,0))</f>
        <v>0</v>
      </c>
      <c r="T248">
        <f>INDEX(KidSATs,MATCH(B248,KidIDs,0))</f>
        <v>0</v>
      </c>
      <c r="U248">
        <f>INDEX(Strats,MATCH(B248,KidIDs,0))</f>
        <v>0</v>
      </c>
      <c r="V248">
        <f>INDEX(KidRace,MATCH(B248,KidIDs,0))</f>
        <v>0</v>
      </c>
      <c r="W248">
        <f>IF(OR(V248="M",V248="I"),"H",IF(V248="P","A",V248))</f>
        <v>0</v>
      </c>
      <c r="X248">
        <f>INDEX(StudentTargets,MATCH(B248,KidIDs,0))</f>
        <v>0</v>
      </c>
      <c r="Y248">
        <f>INDEX(ReachStudentTargets,MATCH(B248,KidIDs,0))</f>
        <v>0</v>
      </c>
      <c r="Z248">
        <f>IF(OR(M248="Posse"),1,0)</f>
        <v>0</v>
      </c>
      <c r="AA248">
        <f>IF(ISNUMBER(INDEX(AllCollegeGR, MATCH(N248,AllCollegeNCES,0))),ROUND(INDEX(AllCollegeGR, MATCH(N248,AllCollegeNCES,0))+Z248*IF(INDEX(AllCollegeGR, MATCH(N248,AllCollegeNCES,0))&gt;0.7,(1-INDEX(AllCollegeGR, MATCH(N248,AllCollegeNCES,0)))/2,0.15),2),INDEX(AllCollegeGR, MATCH(N248,AllCollegeNCES,0)))</f>
        <v>0</v>
      </c>
      <c r="AB248">
        <f>IF(ISNUMBER(INDEX(AllCollegeAAHGR, MATCH(N248,AllCollegeNCES,0))),ROUND(INDEX(AllCollegeAAHGR, MATCH(N248,AllCollegeNCES,0))+Z248*IF(INDEX(AllCollegeAAHGR, MATCH(N248,AllCollegeNCES,0))&gt;0.7,(1-INDEX(AllCollegeAAHGR, MATCH(N248,AllCollegeNCES,0)))/2,0.15),2),INDEX(AllCollegeAAHGR, MATCH(N248,AllCollegeNCES,0)))</f>
        <v>0</v>
      </c>
      <c r="AC248">
        <f>IF(OR(W248="H",W248="B"),INDEX(AllCollegeSAT25, MATCH(N248,AllCollegeNCES,0)),INDEX(AllCollegeSAT50, MATCH(N248,AllCollegeNCES,0)))</f>
        <v>0</v>
      </c>
      <c r="AD248">
        <f>INDEX(CustomWeightsGPA,MATCH(W248&amp;":"&amp;N248,CustomWeightsIndex,0))</f>
        <v>0</v>
      </c>
      <c r="AE248">
        <f>INDEX(CustomWeightsSAT,MATCH(W248&amp;":"&amp;N248,CustomWeightsIndex,0))</f>
        <v>0</v>
      </c>
      <c r="AF248">
        <f>INDEX(CustomWeightsIntercept,MATCH(W248&amp;":"&amp;N248,CustomWeightsIndex,0))</f>
        <v>0</v>
      </c>
      <c r="AG248">
        <f>AD248*S248+AE248*T248+AF248</f>
        <v>0</v>
      </c>
      <c r="AH248">
        <f>INDEX(CoefficientsGPA,MATCH(W248&amp;":"&amp;R248,CoefficientsIndex,0))</f>
        <v>0</v>
      </c>
      <c r="AI248">
        <f>INDEX(CoefficientsSAT,MATCH(W248&amp;":"&amp;R248,CoefficientsIndex,0))</f>
        <v>0</v>
      </c>
      <c r="AJ248">
        <f>INDEX(CoefficientsIntercept,MATCH(W248&amp;":"&amp;R248,CoefficientsIndex,0))</f>
        <v>0</v>
      </c>
      <c r="AK248">
        <f>AH248*S248+(T248-AC248)*AI248+AJ248</f>
        <v>0</v>
      </c>
      <c r="AL248">
        <f>IF(ISNUMBER(AG248),AG248,AK248)</f>
        <v>0</v>
      </c>
      <c r="AM248">
        <f>IF(ISNUMBER(AL248),IF(ISNUMBER(AH248),IF(AND(AH248=1,AI248=1,AJ248=1),100,MIN(99,ROUND(100*EXP(AL248)/(1+EXP(AL248)),2))),MIN(99,ROUND(100*EXP(AL248)/(1+EXP(AL248)),2))),IF(ISTEXT(R248),IF(LEFT(R248,1)="2",100,"N/A"),"N/A"))</f>
        <v>0</v>
      </c>
      <c r="AN248">
        <f>IF(ISNUMBER(AM248),IF(AM248&gt;=99,IF(OR(U248=10,U248=11),MatchLabel,SureThingLabel),IF(AM248&gt;=95,SecureLabel,IF(AM248&gt;=80,SafetyLabel,IF(AM248&gt;=50,MatchLabel,IF(AM248&gt;=20,ReachLabel,IF(AM248&gt;=10,LongshotLabel,HailMaryLabel)))))),"Other")</f>
        <v>0</v>
      </c>
      <c r="AO248">
        <f>IF(OR(I248="accepted",I248="cond. accept",I248="summer admit"),IF(J248="yes","CHOICE!","Accepted!"),IF(I248="guar. transfer","Guar. Xfer",IF(I248="denied","Denied",IF(K248=1,"Waitlist",IF(L248=1,"Deferred",IF(G248="pending","Pending",IF(OR(G248="initial materials submitted",G248="mid-year submitted",G248="final submitted"),"Submitted",IF(H248="interest","Interest","?"))))))))</f>
        <v>0</v>
      </c>
      <c r="AP248">
        <f>IF(OR(AN248=ReachLabel,AN248=LongshotLabel,AN248=HailMaryLabel),1,0)</f>
        <v>0</v>
      </c>
      <c r="AQ248">
        <f>IF(OR(AP248=1,AN248=MatchLabel),1,0)</f>
        <v>0</v>
      </c>
      <c r="AR248">
        <f>IF(OR(AN248=MatchLabel,AN248=SafetyLabel,AN248=SecureLabel,AN248=SureThingLabel),1,0)</f>
        <v>0</v>
      </c>
      <c r="AS248">
        <f>IF(OR(W248="H",W248="B",W248="I",W248="M"),IF(ISNUMBER(AB248),ROUND(AB248,2),0),IF(ISNUMBER(AA248),ROUND(AA248,2),0))</f>
        <v>0</v>
      </c>
      <c r="AT248">
        <f>IF(AS248&gt;=X248,1,0)</f>
        <v>0</v>
      </c>
      <c r="AU248">
        <f>IF(AS248&gt;=Y248,1,0)</f>
        <v>0</v>
      </c>
      <c r="AV248">
        <f>IF(AS248&lt;(X248-0.10),1,0)</f>
        <v>0</v>
      </c>
      <c r="AW248">
        <f>1-AM248/100</f>
        <v>0</v>
      </c>
      <c r="AX248">
        <f>IF(AQ248=1,AW248,1)</f>
        <v>0</v>
      </c>
      <c r="AY248">
        <f>IF(AP248=1,AW248,1)</f>
        <v>0</v>
      </c>
      <c r="AZ248">
        <f>IF(AND(AT248=1,ISNUMBER(AW248)),$AW248,1)</f>
        <v>0</v>
      </c>
      <c r="BA248">
        <f>IF(AND(AU248=1,ISNUMBER(AW248)),$AW248,1)</f>
        <v>0</v>
      </c>
      <c r="BB248">
        <f>IF(ISNUMBER(AB248),INDEX(AllCollegeMoney, MATCH(N248,AllCollegeNCES,0)),0)</f>
        <v>0</v>
      </c>
      <c r="BC248">
        <f>IF(AND(AT248=1,ISNUMBER(AW248),BB248=1),$AW248,1)</f>
        <v>0</v>
      </c>
      <c r="BD248">
        <f>IF(AND(AU248=1,ISNUMBER(AW248),BB248=1),$AW248,1)</f>
        <v>0</v>
      </c>
      <c r="BE248">
        <f>IF(ISNUMBER(AB248),INDEX(AllCollegeILPub, MATCH(N248,AllCollegeNCES,0)),0)</f>
        <v>0</v>
      </c>
      <c r="BF248">
        <f>IF(AN248=ReachLabel,AS248,0)</f>
        <v>0</v>
      </c>
      <c r="BG248">
        <f>IF(AN248=MatchLabel,AS248,0)</f>
        <v>0</v>
      </c>
      <c r="BH248">
        <f>IF(AN248=SafetyLabel,AS248,0)</f>
        <v>0</v>
      </c>
      <c r="BI248">
        <f>IF(AN248=SecureLabel,AS248,0)</f>
        <v>0</v>
      </c>
      <c r="BJ248">
        <f>IF(AN248=SureThingLabel,AS248,0)</f>
        <v>0</v>
      </c>
      <c r="BK248">
        <f>MAX(BF248:BJ248)</f>
        <v>0</v>
      </c>
      <c r="BL248">
        <f>MAX(BG248:BJ248)</f>
        <v>0</v>
      </c>
      <c r="BM248">
        <f>MAX(BH248:BJ248)</f>
        <v>0</v>
      </c>
      <c r="BN248">
        <f>IF(AND(AN248=ReachLabel,BB248=1),AS248,0)</f>
        <v>0</v>
      </c>
      <c r="BO248">
        <f>IF(AND(AN248=MatchLabel,BB248=1),AS248,0)</f>
        <v>0</v>
      </c>
      <c r="BP248">
        <f>IF(AND(AN248=SafetyLabel,BB248=1),AS248,0)</f>
        <v>0</v>
      </c>
      <c r="BQ248">
        <f>IF(AND(AN248=SecureLabel,BB248=1),AS248,0)</f>
        <v>0</v>
      </c>
      <c r="BR248">
        <f>IF(AND(AN248=SureThingLabel,BB248=1),AS248,0)</f>
        <v>0</v>
      </c>
      <c r="BS248">
        <f>MAX(BN248:BR248)</f>
        <v>0</v>
      </c>
      <c r="BT248">
        <f>MAX(BO248:BR248)</f>
        <v>0</v>
      </c>
      <c r="BU248">
        <f>MAX(BP248:BR248)</f>
        <v>0</v>
      </c>
      <c r="BV248">
        <f>IF(ISNUMBER(AB248),INDEX(AllCollegeChicago, MATCH(N248,AllCollegeNCES,0))*BB248,0)</f>
        <v>0</v>
      </c>
      <c r="BW248">
        <f>IF(ISNUMBER(AB248),INDEX(AllCollegeMoneyCode, MATCH(N248,AllCollegeNCES,0)),"?")</f>
        <v>0</v>
      </c>
      <c r="BX248">
        <f>IF(OR(BW248="---",BW248="--",BW248="+/--",BW248="+/---"),1,0)</f>
        <v>0</v>
      </c>
      <c r="BY248">
        <f>BB248*AR248*AT248</f>
        <v>0</v>
      </c>
    </row>
    <row r="249" spans="1:77">
      <c r="A249" t="s">
        <v>96</v>
      </c>
      <c r="B249">
        <v>23018720</v>
      </c>
      <c r="C249" t="s">
        <v>188</v>
      </c>
      <c r="D249" t="s">
        <v>189</v>
      </c>
      <c r="E249" t="s">
        <v>446</v>
      </c>
      <c r="F249" t="s">
        <v>461</v>
      </c>
      <c r="G249" t="s">
        <v>448</v>
      </c>
      <c r="H249" t="s">
        <v>449</v>
      </c>
      <c r="I249" t="s">
        <v>450</v>
      </c>
      <c r="J249" t="s">
        <v>450</v>
      </c>
      <c r="K249">
        <v>0</v>
      </c>
      <c r="L249" t="s">
        <v>446</v>
      </c>
      <c r="M249" t="s">
        <v>446</v>
      </c>
      <c r="N249">
        <v>147536</v>
      </c>
      <c r="O249">
        <f>INDEX(Counselor,MATCH(B249,KidIDs,0))</f>
        <v>0</v>
      </c>
      <c r="P249">
        <f>INDEX(Advisors,MATCH(B249,KidIDs,0))</f>
        <v>0</v>
      </c>
      <c r="Q249">
        <f>INDEX(Cohort,MATCH(B249,KidIDs,0))</f>
        <v>0</v>
      </c>
      <c r="R249">
        <f>INDEX(AllCollegeBarrons,MATCH(N249,AllCollegeNCES,0))</f>
        <v>0</v>
      </c>
      <c r="S249">
        <f>INDEX(KidGPAs,MATCH(B249,KidIDs,0))</f>
        <v>0</v>
      </c>
      <c r="T249">
        <f>INDEX(KidSATs,MATCH(B249,KidIDs,0))</f>
        <v>0</v>
      </c>
      <c r="U249">
        <f>INDEX(Strats,MATCH(B249,KidIDs,0))</f>
        <v>0</v>
      </c>
      <c r="V249">
        <f>INDEX(KidRace,MATCH(B249,KidIDs,0))</f>
        <v>0</v>
      </c>
      <c r="W249">
        <f>IF(OR(V249="M",V249="I"),"H",IF(V249="P","A",V249))</f>
        <v>0</v>
      </c>
      <c r="X249">
        <f>INDEX(StudentTargets,MATCH(B249,KidIDs,0))</f>
        <v>0</v>
      </c>
      <c r="Y249">
        <f>INDEX(ReachStudentTargets,MATCH(B249,KidIDs,0))</f>
        <v>0</v>
      </c>
      <c r="Z249">
        <f>IF(OR(M249="Posse"),1,0)</f>
        <v>0</v>
      </c>
      <c r="AA249">
        <f>IF(ISNUMBER(INDEX(AllCollegeGR, MATCH(N249,AllCollegeNCES,0))),ROUND(INDEX(AllCollegeGR, MATCH(N249,AllCollegeNCES,0))+Z249*IF(INDEX(AllCollegeGR, MATCH(N249,AllCollegeNCES,0))&gt;0.7,(1-INDEX(AllCollegeGR, MATCH(N249,AllCollegeNCES,0)))/2,0.15),2),INDEX(AllCollegeGR, MATCH(N249,AllCollegeNCES,0)))</f>
        <v>0</v>
      </c>
      <c r="AB249">
        <f>IF(ISNUMBER(INDEX(AllCollegeAAHGR, MATCH(N249,AllCollegeNCES,0))),ROUND(INDEX(AllCollegeAAHGR, MATCH(N249,AllCollegeNCES,0))+Z249*IF(INDEX(AllCollegeAAHGR, MATCH(N249,AllCollegeNCES,0))&gt;0.7,(1-INDEX(AllCollegeAAHGR, MATCH(N249,AllCollegeNCES,0)))/2,0.15),2),INDEX(AllCollegeAAHGR, MATCH(N249,AllCollegeNCES,0)))</f>
        <v>0</v>
      </c>
      <c r="AC249">
        <f>IF(OR(W249="H",W249="B"),INDEX(AllCollegeSAT25, MATCH(N249,AllCollegeNCES,0)),INDEX(AllCollegeSAT50, MATCH(N249,AllCollegeNCES,0)))</f>
        <v>0</v>
      </c>
      <c r="AD249">
        <f>INDEX(CustomWeightsGPA,MATCH(W249&amp;":"&amp;N249,CustomWeightsIndex,0))</f>
        <v>0</v>
      </c>
      <c r="AE249">
        <f>INDEX(CustomWeightsSAT,MATCH(W249&amp;":"&amp;N249,CustomWeightsIndex,0))</f>
        <v>0</v>
      </c>
      <c r="AF249">
        <f>INDEX(CustomWeightsIntercept,MATCH(W249&amp;":"&amp;N249,CustomWeightsIndex,0))</f>
        <v>0</v>
      </c>
      <c r="AG249">
        <f>AD249*S249+AE249*T249+AF249</f>
        <v>0</v>
      </c>
      <c r="AH249">
        <f>INDEX(CoefficientsGPA,MATCH(W249&amp;":"&amp;R249,CoefficientsIndex,0))</f>
        <v>0</v>
      </c>
      <c r="AI249">
        <f>INDEX(CoefficientsSAT,MATCH(W249&amp;":"&amp;R249,CoefficientsIndex,0))</f>
        <v>0</v>
      </c>
      <c r="AJ249">
        <f>INDEX(CoefficientsIntercept,MATCH(W249&amp;":"&amp;R249,CoefficientsIndex,0))</f>
        <v>0</v>
      </c>
      <c r="AK249">
        <f>AH249*S249+(T249-AC249)*AI249+AJ249</f>
        <v>0</v>
      </c>
      <c r="AL249">
        <f>IF(ISNUMBER(AG249),AG249,AK249)</f>
        <v>0</v>
      </c>
      <c r="AM249">
        <f>IF(ISNUMBER(AL249),IF(ISNUMBER(AH249),IF(AND(AH249=1,AI249=1,AJ249=1),100,MIN(99,ROUND(100*EXP(AL249)/(1+EXP(AL249)),2))),MIN(99,ROUND(100*EXP(AL249)/(1+EXP(AL249)),2))),IF(ISTEXT(R249),IF(LEFT(R249,1)="2",100,"N/A"),"N/A"))</f>
        <v>0</v>
      </c>
      <c r="AN249">
        <f>IF(ISNUMBER(AM249),IF(AM249&gt;=99,IF(OR(U249=10,U249=11),MatchLabel,SureThingLabel),IF(AM249&gt;=95,SecureLabel,IF(AM249&gt;=80,SafetyLabel,IF(AM249&gt;=50,MatchLabel,IF(AM249&gt;=20,ReachLabel,IF(AM249&gt;=10,LongshotLabel,HailMaryLabel)))))),"Other")</f>
        <v>0</v>
      </c>
      <c r="AO249">
        <f>IF(OR(I249="accepted",I249="cond. accept",I249="summer admit"),IF(J249="yes","CHOICE!","Accepted!"),IF(I249="guar. transfer","Guar. Xfer",IF(I249="denied","Denied",IF(K249=1,"Waitlist",IF(L249=1,"Deferred",IF(G249="pending","Pending",IF(OR(G249="initial materials submitted",G249="mid-year submitted",G249="final submitted"),"Submitted",IF(H249="interest","Interest","?"))))))))</f>
        <v>0</v>
      </c>
      <c r="AP249">
        <f>IF(OR(AN249=ReachLabel,AN249=LongshotLabel,AN249=HailMaryLabel),1,0)</f>
        <v>0</v>
      </c>
      <c r="AQ249">
        <f>IF(OR(AP249=1,AN249=MatchLabel),1,0)</f>
        <v>0</v>
      </c>
      <c r="AR249">
        <f>IF(OR(AN249=MatchLabel,AN249=SafetyLabel,AN249=SecureLabel,AN249=SureThingLabel),1,0)</f>
        <v>0</v>
      </c>
      <c r="AS249">
        <f>IF(OR(W249="H",W249="B",W249="I",W249="M"),IF(ISNUMBER(AB249),ROUND(AB249,2),0),IF(ISNUMBER(AA249),ROUND(AA249,2),0))</f>
        <v>0</v>
      </c>
      <c r="AT249">
        <f>IF(AS249&gt;=X249,1,0)</f>
        <v>0</v>
      </c>
      <c r="AU249">
        <f>IF(AS249&gt;=Y249,1,0)</f>
        <v>0</v>
      </c>
      <c r="AV249">
        <f>IF(AS249&lt;(X249-0.10),1,0)</f>
        <v>0</v>
      </c>
      <c r="AW249">
        <f>1-AM249/100</f>
        <v>0</v>
      </c>
      <c r="AX249">
        <f>IF(AQ249=1,AW249,1)</f>
        <v>0</v>
      </c>
      <c r="AY249">
        <f>IF(AP249=1,AW249,1)</f>
        <v>0</v>
      </c>
      <c r="AZ249">
        <f>IF(AND(AT249=1,ISNUMBER(AW249)),$AW249,1)</f>
        <v>0</v>
      </c>
      <c r="BA249">
        <f>IF(AND(AU249=1,ISNUMBER(AW249)),$AW249,1)</f>
        <v>0</v>
      </c>
      <c r="BB249">
        <f>IF(ISNUMBER(AB249),INDEX(AllCollegeMoney, MATCH(N249,AllCollegeNCES,0)),0)</f>
        <v>0</v>
      </c>
      <c r="BC249">
        <f>IF(AND(AT249=1,ISNUMBER(AW249),BB249=1),$AW249,1)</f>
        <v>0</v>
      </c>
      <c r="BD249">
        <f>IF(AND(AU249=1,ISNUMBER(AW249),BB249=1),$AW249,1)</f>
        <v>0</v>
      </c>
      <c r="BE249">
        <f>IF(ISNUMBER(AB249),INDEX(AllCollegeILPub, MATCH(N249,AllCollegeNCES,0)),0)</f>
        <v>0</v>
      </c>
      <c r="BF249">
        <f>IF(AN249=ReachLabel,AS249,0)</f>
        <v>0</v>
      </c>
      <c r="BG249">
        <f>IF(AN249=MatchLabel,AS249,0)</f>
        <v>0</v>
      </c>
      <c r="BH249">
        <f>IF(AN249=SafetyLabel,AS249,0)</f>
        <v>0</v>
      </c>
      <c r="BI249">
        <f>IF(AN249=SecureLabel,AS249,0)</f>
        <v>0</v>
      </c>
      <c r="BJ249">
        <f>IF(AN249=SureThingLabel,AS249,0)</f>
        <v>0</v>
      </c>
      <c r="BK249">
        <f>MAX(BF249:BJ249)</f>
        <v>0</v>
      </c>
      <c r="BL249">
        <f>MAX(BG249:BJ249)</f>
        <v>0</v>
      </c>
      <c r="BM249">
        <f>MAX(BH249:BJ249)</f>
        <v>0</v>
      </c>
      <c r="BN249">
        <f>IF(AND(AN249=ReachLabel,BB249=1),AS249,0)</f>
        <v>0</v>
      </c>
      <c r="BO249">
        <f>IF(AND(AN249=MatchLabel,BB249=1),AS249,0)</f>
        <v>0</v>
      </c>
      <c r="BP249">
        <f>IF(AND(AN249=SafetyLabel,BB249=1),AS249,0)</f>
        <v>0</v>
      </c>
      <c r="BQ249">
        <f>IF(AND(AN249=SecureLabel,BB249=1),AS249,0)</f>
        <v>0</v>
      </c>
      <c r="BR249">
        <f>IF(AND(AN249=SureThingLabel,BB249=1),AS249,0)</f>
        <v>0</v>
      </c>
      <c r="BS249">
        <f>MAX(BN249:BR249)</f>
        <v>0</v>
      </c>
      <c r="BT249">
        <f>MAX(BO249:BR249)</f>
        <v>0</v>
      </c>
      <c r="BU249">
        <f>MAX(BP249:BR249)</f>
        <v>0</v>
      </c>
      <c r="BV249">
        <f>IF(ISNUMBER(AB249),INDEX(AllCollegeChicago, MATCH(N249,AllCollegeNCES,0))*BB249,0)</f>
        <v>0</v>
      </c>
      <c r="BW249">
        <f>IF(ISNUMBER(AB249),INDEX(AllCollegeMoneyCode, MATCH(N249,AllCollegeNCES,0)),"?")</f>
        <v>0</v>
      </c>
      <c r="BX249">
        <f>IF(OR(BW249="---",BW249="--",BW249="+/--",BW249="+/---"),1,0)</f>
        <v>0</v>
      </c>
      <c r="BY249">
        <f>BB249*AR249*AT249</f>
        <v>0</v>
      </c>
    </row>
    <row r="250" spans="1:77">
      <c r="A250" t="s">
        <v>96</v>
      </c>
      <c r="B250">
        <v>23018720</v>
      </c>
      <c r="C250" t="s">
        <v>188</v>
      </c>
      <c r="D250" t="s">
        <v>189</v>
      </c>
      <c r="E250" t="s">
        <v>446</v>
      </c>
      <c r="F250" t="s">
        <v>468</v>
      </c>
      <c r="G250" t="s">
        <v>479</v>
      </c>
      <c r="H250" t="s">
        <v>449</v>
      </c>
      <c r="I250" t="s">
        <v>450</v>
      </c>
      <c r="J250" t="s">
        <v>450</v>
      </c>
      <c r="K250">
        <v>0</v>
      </c>
      <c r="L250" t="s">
        <v>446</v>
      </c>
      <c r="M250" t="s">
        <v>454</v>
      </c>
      <c r="N250">
        <v>154493</v>
      </c>
      <c r="O250">
        <f>INDEX(Counselor,MATCH(B250,KidIDs,0))</f>
        <v>0</v>
      </c>
      <c r="P250">
        <f>INDEX(Advisors,MATCH(B250,KidIDs,0))</f>
        <v>0</v>
      </c>
      <c r="Q250">
        <f>INDEX(Cohort,MATCH(B250,KidIDs,0))</f>
        <v>0</v>
      </c>
      <c r="R250">
        <f>INDEX(AllCollegeBarrons,MATCH(N250,AllCollegeNCES,0))</f>
        <v>0</v>
      </c>
      <c r="S250">
        <f>INDEX(KidGPAs,MATCH(B250,KidIDs,0))</f>
        <v>0</v>
      </c>
      <c r="T250">
        <f>INDEX(KidSATs,MATCH(B250,KidIDs,0))</f>
        <v>0</v>
      </c>
      <c r="U250">
        <f>INDEX(Strats,MATCH(B250,KidIDs,0))</f>
        <v>0</v>
      </c>
      <c r="V250">
        <f>INDEX(KidRace,MATCH(B250,KidIDs,0))</f>
        <v>0</v>
      </c>
      <c r="W250">
        <f>IF(OR(V250="M",V250="I"),"H",IF(V250="P","A",V250))</f>
        <v>0</v>
      </c>
      <c r="X250">
        <f>INDEX(StudentTargets,MATCH(B250,KidIDs,0))</f>
        <v>0</v>
      </c>
      <c r="Y250">
        <f>INDEX(ReachStudentTargets,MATCH(B250,KidIDs,0))</f>
        <v>0</v>
      </c>
      <c r="Z250">
        <f>IF(OR(M250="Posse"),1,0)</f>
        <v>0</v>
      </c>
      <c r="AA250">
        <f>IF(ISNUMBER(INDEX(AllCollegeGR, MATCH(N250,AllCollegeNCES,0))),ROUND(INDEX(AllCollegeGR, MATCH(N250,AllCollegeNCES,0))+Z250*IF(INDEX(AllCollegeGR, MATCH(N250,AllCollegeNCES,0))&gt;0.7,(1-INDEX(AllCollegeGR, MATCH(N250,AllCollegeNCES,0)))/2,0.15),2),INDEX(AllCollegeGR, MATCH(N250,AllCollegeNCES,0)))</f>
        <v>0</v>
      </c>
      <c r="AB250">
        <f>IF(ISNUMBER(INDEX(AllCollegeAAHGR, MATCH(N250,AllCollegeNCES,0))),ROUND(INDEX(AllCollegeAAHGR, MATCH(N250,AllCollegeNCES,0))+Z250*IF(INDEX(AllCollegeAAHGR, MATCH(N250,AllCollegeNCES,0))&gt;0.7,(1-INDEX(AllCollegeAAHGR, MATCH(N250,AllCollegeNCES,0)))/2,0.15),2),INDEX(AllCollegeAAHGR, MATCH(N250,AllCollegeNCES,0)))</f>
        <v>0</v>
      </c>
      <c r="AC250">
        <f>IF(OR(W250="H",W250="B"),INDEX(AllCollegeSAT25, MATCH(N250,AllCollegeNCES,0)),INDEX(AllCollegeSAT50, MATCH(N250,AllCollegeNCES,0)))</f>
        <v>0</v>
      </c>
      <c r="AD250">
        <f>INDEX(CustomWeightsGPA,MATCH(W250&amp;":"&amp;N250,CustomWeightsIndex,0))</f>
        <v>0</v>
      </c>
      <c r="AE250">
        <f>INDEX(CustomWeightsSAT,MATCH(W250&amp;":"&amp;N250,CustomWeightsIndex,0))</f>
        <v>0</v>
      </c>
      <c r="AF250">
        <f>INDEX(CustomWeightsIntercept,MATCH(W250&amp;":"&amp;N250,CustomWeightsIndex,0))</f>
        <v>0</v>
      </c>
      <c r="AG250">
        <f>AD250*S250+AE250*T250+AF250</f>
        <v>0</v>
      </c>
      <c r="AH250">
        <f>INDEX(CoefficientsGPA,MATCH(W250&amp;":"&amp;R250,CoefficientsIndex,0))</f>
        <v>0</v>
      </c>
      <c r="AI250">
        <f>INDEX(CoefficientsSAT,MATCH(W250&amp;":"&amp;R250,CoefficientsIndex,0))</f>
        <v>0</v>
      </c>
      <c r="AJ250">
        <f>INDEX(CoefficientsIntercept,MATCH(W250&amp;":"&amp;R250,CoefficientsIndex,0))</f>
        <v>0</v>
      </c>
      <c r="AK250">
        <f>AH250*S250+(T250-AC250)*AI250+AJ250</f>
        <v>0</v>
      </c>
      <c r="AL250">
        <f>IF(ISNUMBER(AG250),AG250,AK250)</f>
        <v>0</v>
      </c>
      <c r="AM250">
        <f>IF(ISNUMBER(AL250),IF(ISNUMBER(AH250),IF(AND(AH250=1,AI250=1,AJ250=1),100,MIN(99,ROUND(100*EXP(AL250)/(1+EXP(AL250)),2))),MIN(99,ROUND(100*EXP(AL250)/(1+EXP(AL250)),2))),IF(ISTEXT(R250),IF(LEFT(R250,1)="2",100,"N/A"),"N/A"))</f>
        <v>0</v>
      </c>
      <c r="AN250">
        <f>IF(ISNUMBER(AM250),IF(AM250&gt;=99,IF(OR(U250=10,U250=11),MatchLabel,SureThingLabel),IF(AM250&gt;=95,SecureLabel,IF(AM250&gt;=80,SafetyLabel,IF(AM250&gt;=50,MatchLabel,IF(AM250&gt;=20,ReachLabel,IF(AM250&gt;=10,LongshotLabel,HailMaryLabel)))))),"Other")</f>
        <v>0</v>
      </c>
      <c r="AO250">
        <f>IF(OR(I250="accepted",I250="cond. accept",I250="summer admit"),IF(J250="yes","CHOICE!","Accepted!"),IF(I250="guar. transfer","Guar. Xfer",IF(I250="denied","Denied",IF(K250=1,"Waitlist",IF(L250=1,"Deferred",IF(G250="pending","Pending",IF(OR(G250="initial materials submitted",G250="mid-year submitted",G250="final submitted"),"Submitted",IF(H250="interest","Interest","?"))))))))</f>
        <v>0</v>
      </c>
      <c r="AP250">
        <f>IF(OR(AN250=ReachLabel,AN250=LongshotLabel,AN250=HailMaryLabel),1,0)</f>
        <v>0</v>
      </c>
      <c r="AQ250">
        <f>IF(OR(AP250=1,AN250=MatchLabel),1,0)</f>
        <v>0</v>
      </c>
      <c r="AR250">
        <f>IF(OR(AN250=MatchLabel,AN250=SafetyLabel,AN250=SecureLabel,AN250=SureThingLabel),1,0)</f>
        <v>0</v>
      </c>
      <c r="AS250">
        <f>IF(OR(W250="H",W250="B",W250="I",W250="M"),IF(ISNUMBER(AB250),ROUND(AB250,2),0),IF(ISNUMBER(AA250),ROUND(AA250,2),0))</f>
        <v>0</v>
      </c>
      <c r="AT250">
        <f>IF(AS250&gt;=X250,1,0)</f>
        <v>0</v>
      </c>
      <c r="AU250">
        <f>IF(AS250&gt;=Y250,1,0)</f>
        <v>0</v>
      </c>
      <c r="AV250">
        <f>IF(AS250&lt;(X250-0.10),1,0)</f>
        <v>0</v>
      </c>
      <c r="AW250">
        <f>1-AM250/100</f>
        <v>0</v>
      </c>
      <c r="AX250">
        <f>IF(AQ250=1,AW250,1)</f>
        <v>0</v>
      </c>
      <c r="AY250">
        <f>IF(AP250=1,AW250,1)</f>
        <v>0</v>
      </c>
      <c r="AZ250">
        <f>IF(AND(AT250=1,ISNUMBER(AW250)),$AW250,1)</f>
        <v>0</v>
      </c>
      <c r="BA250">
        <f>IF(AND(AU250=1,ISNUMBER(AW250)),$AW250,1)</f>
        <v>0</v>
      </c>
      <c r="BB250">
        <f>IF(ISNUMBER(AB250),INDEX(AllCollegeMoney, MATCH(N250,AllCollegeNCES,0)),0)</f>
        <v>0</v>
      </c>
      <c r="BC250">
        <f>IF(AND(AT250=1,ISNUMBER(AW250),BB250=1),$AW250,1)</f>
        <v>0</v>
      </c>
      <c r="BD250">
        <f>IF(AND(AU250=1,ISNUMBER(AW250),BB250=1),$AW250,1)</f>
        <v>0</v>
      </c>
      <c r="BE250">
        <f>IF(ISNUMBER(AB250),INDEX(AllCollegeILPub, MATCH(N250,AllCollegeNCES,0)),0)</f>
        <v>0</v>
      </c>
      <c r="BF250">
        <f>IF(AN250=ReachLabel,AS250,0)</f>
        <v>0</v>
      </c>
      <c r="BG250">
        <f>IF(AN250=MatchLabel,AS250,0)</f>
        <v>0</v>
      </c>
      <c r="BH250">
        <f>IF(AN250=SafetyLabel,AS250,0)</f>
        <v>0</v>
      </c>
      <c r="BI250">
        <f>IF(AN250=SecureLabel,AS250,0)</f>
        <v>0</v>
      </c>
      <c r="BJ250">
        <f>IF(AN250=SureThingLabel,AS250,0)</f>
        <v>0</v>
      </c>
      <c r="BK250">
        <f>MAX(BF250:BJ250)</f>
        <v>0</v>
      </c>
      <c r="BL250">
        <f>MAX(BG250:BJ250)</f>
        <v>0</v>
      </c>
      <c r="BM250">
        <f>MAX(BH250:BJ250)</f>
        <v>0</v>
      </c>
      <c r="BN250">
        <f>IF(AND(AN250=ReachLabel,BB250=1),AS250,0)</f>
        <v>0</v>
      </c>
      <c r="BO250">
        <f>IF(AND(AN250=MatchLabel,BB250=1),AS250,0)</f>
        <v>0</v>
      </c>
      <c r="BP250">
        <f>IF(AND(AN250=SafetyLabel,BB250=1),AS250,0)</f>
        <v>0</v>
      </c>
      <c r="BQ250">
        <f>IF(AND(AN250=SecureLabel,BB250=1),AS250,0)</f>
        <v>0</v>
      </c>
      <c r="BR250">
        <f>IF(AND(AN250=SureThingLabel,BB250=1),AS250,0)</f>
        <v>0</v>
      </c>
      <c r="BS250">
        <f>MAX(BN250:BR250)</f>
        <v>0</v>
      </c>
      <c r="BT250">
        <f>MAX(BO250:BR250)</f>
        <v>0</v>
      </c>
      <c r="BU250">
        <f>MAX(BP250:BR250)</f>
        <v>0</v>
      </c>
      <c r="BV250">
        <f>IF(ISNUMBER(AB250),INDEX(AllCollegeChicago, MATCH(N250,AllCollegeNCES,0))*BB250,0)</f>
        <v>0</v>
      </c>
      <c r="BW250">
        <f>IF(ISNUMBER(AB250),INDEX(AllCollegeMoneyCode, MATCH(N250,AllCollegeNCES,0)),"?")</f>
        <v>0</v>
      </c>
      <c r="BX250">
        <f>IF(OR(BW250="---",BW250="--",BW250="+/--",BW250="+/---"),1,0)</f>
        <v>0</v>
      </c>
      <c r="BY250">
        <f>BB250*AR250*AT250</f>
        <v>0</v>
      </c>
    </row>
    <row r="251" spans="1:77">
      <c r="A251" t="s">
        <v>96</v>
      </c>
      <c r="B251">
        <v>23020881</v>
      </c>
      <c r="C251" t="s">
        <v>306</v>
      </c>
      <c r="D251" t="s">
        <v>307</v>
      </c>
      <c r="E251" t="s">
        <v>446</v>
      </c>
      <c r="F251" t="s">
        <v>465</v>
      </c>
      <c r="G251" t="s">
        <v>448</v>
      </c>
      <c r="H251" t="s">
        <v>449</v>
      </c>
      <c r="I251" t="s">
        <v>450</v>
      </c>
      <c r="J251" t="s">
        <v>450</v>
      </c>
      <c r="K251">
        <v>0</v>
      </c>
      <c r="L251" t="s">
        <v>446</v>
      </c>
      <c r="M251" t="s">
        <v>446</v>
      </c>
      <c r="N251">
        <v>145600</v>
      </c>
      <c r="O251">
        <f>INDEX(Counselor,MATCH(B251,KidIDs,0))</f>
        <v>0</v>
      </c>
      <c r="P251">
        <f>INDEX(Advisors,MATCH(B251,KidIDs,0))</f>
        <v>0</v>
      </c>
      <c r="Q251">
        <f>INDEX(Cohort,MATCH(B251,KidIDs,0))</f>
        <v>0</v>
      </c>
      <c r="R251">
        <f>INDEX(AllCollegeBarrons,MATCH(N251,AllCollegeNCES,0))</f>
        <v>0</v>
      </c>
      <c r="S251">
        <f>INDEX(KidGPAs,MATCH(B251,KidIDs,0))</f>
        <v>0</v>
      </c>
      <c r="T251">
        <f>INDEX(KidSATs,MATCH(B251,KidIDs,0))</f>
        <v>0</v>
      </c>
      <c r="U251">
        <f>INDEX(Strats,MATCH(B251,KidIDs,0))</f>
        <v>0</v>
      </c>
      <c r="V251">
        <f>INDEX(KidRace,MATCH(B251,KidIDs,0))</f>
        <v>0</v>
      </c>
      <c r="W251">
        <f>IF(OR(V251="M",V251="I"),"H",IF(V251="P","A",V251))</f>
        <v>0</v>
      </c>
      <c r="X251">
        <f>INDEX(StudentTargets,MATCH(B251,KidIDs,0))</f>
        <v>0</v>
      </c>
      <c r="Y251">
        <f>INDEX(ReachStudentTargets,MATCH(B251,KidIDs,0))</f>
        <v>0</v>
      </c>
      <c r="Z251">
        <f>IF(OR(M251="Posse"),1,0)</f>
        <v>0</v>
      </c>
      <c r="AA251">
        <f>IF(ISNUMBER(INDEX(AllCollegeGR, MATCH(N251,AllCollegeNCES,0))),ROUND(INDEX(AllCollegeGR, MATCH(N251,AllCollegeNCES,0))+Z251*IF(INDEX(AllCollegeGR, MATCH(N251,AllCollegeNCES,0))&gt;0.7,(1-INDEX(AllCollegeGR, MATCH(N251,AllCollegeNCES,0)))/2,0.15),2),INDEX(AllCollegeGR, MATCH(N251,AllCollegeNCES,0)))</f>
        <v>0</v>
      </c>
      <c r="AB251">
        <f>IF(ISNUMBER(INDEX(AllCollegeAAHGR, MATCH(N251,AllCollegeNCES,0))),ROUND(INDEX(AllCollegeAAHGR, MATCH(N251,AllCollegeNCES,0))+Z251*IF(INDEX(AllCollegeAAHGR, MATCH(N251,AllCollegeNCES,0))&gt;0.7,(1-INDEX(AllCollegeAAHGR, MATCH(N251,AllCollegeNCES,0)))/2,0.15),2),INDEX(AllCollegeAAHGR, MATCH(N251,AllCollegeNCES,0)))</f>
        <v>0</v>
      </c>
      <c r="AC251">
        <f>IF(OR(W251="H",W251="B"),INDEX(AllCollegeSAT25, MATCH(N251,AllCollegeNCES,0)),INDEX(AllCollegeSAT50, MATCH(N251,AllCollegeNCES,0)))</f>
        <v>0</v>
      </c>
      <c r="AD251">
        <f>INDEX(CustomWeightsGPA,MATCH(W251&amp;":"&amp;N251,CustomWeightsIndex,0))</f>
        <v>0</v>
      </c>
      <c r="AE251">
        <f>INDEX(CustomWeightsSAT,MATCH(W251&amp;":"&amp;N251,CustomWeightsIndex,0))</f>
        <v>0</v>
      </c>
      <c r="AF251">
        <f>INDEX(CustomWeightsIntercept,MATCH(W251&amp;":"&amp;N251,CustomWeightsIndex,0))</f>
        <v>0</v>
      </c>
      <c r="AG251">
        <f>AD251*S251+AE251*T251+AF251</f>
        <v>0</v>
      </c>
      <c r="AH251">
        <f>INDEX(CoefficientsGPA,MATCH(W251&amp;":"&amp;R251,CoefficientsIndex,0))</f>
        <v>0</v>
      </c>
      <c r="AI251">
        <f>INDEX(CoefficientsSAT,MATCH(W251&amp;":"&amp;R251,CoefficientsIndex,0))</f>
        <v>0</v>
      </c>
      <c r="AJ251">
        <f>INDEX(CoefficientsIntercept,MATCH(W251&amp;":"&amp;R251,CoefficientsIndex,0))</f>
        <v>0</v>
      </c>
      <c r="AK251">
        <f>AH251*S251+(T251-AC251)*AI251+AJ251</f>
        <v>0</v>
      </c>
      <c r="AL251">
        <f>IF(ISNUMBER(AG251),AG251,AK251)</f>
        <v>0</v>
      </c>
      <c r="AM251">
        <f>IF(ISNUMBER(AL251),IF(ISNUMBER(AH251),IF(AND(AH251=1,AI251=1,AJ251=1),100,MIN(99,ROUND(100*EXP(AL251)/(1+EXP(AL251)),2))),MIN(99,ROUND(100*EXP(AL251)/(1+EXP(AL251)),2))),IF(ISTEXT(R251),IF(LEFT(R251,1)="2",100,"N/A"),"N/A"))</f>
        <v>0</v>
      </c>
      <c r="AN251">
        <f>IF(ISNUMBER(AM251),IF(AM251&gt;=99,IF(OR(U251=10,U251=11),MatchLabel,SureThingLabel),IF(AM251&gt;=95,SecureLabel,IF(AM251&gt;=80,SafetyLabel,IF(AM251&gt;=50,MatchLabel,IF(AM251&gt;=20,ReachLabel,IF(AM251&gt;=10,LongshotLabel,HailMaryLabel)))))),"Other")</f>
        <v>0</v>
      </c>
      <c r="AO251">
        <f>IF(OR(I251="accepted",I251="cond. accept",I251="summer admit"),IF(J251="yes","CHOICE!","Accepted!"),IF(I251="guar. transfer","Guar. Xfer",IF(I251="denied","Denied",IF(K251=1,"Waitlist",IF(L251=1,"Deferred",IF(G251="pending","Pending",IF(OR(G251="initial materials submitted",G251="mid-year submitted",G251="final submitted"),"Submitted",IF(H251="interest","Interest","?"))))))))</f>
        <v>0</v>
      </c>
      <c r="AP251">
        <f>IF(OR(AN251=ReachLabel,AN251=LongshotLabel,AN251=HailMaryLabel),1,0)</f>
        <v>0</v>
      </c>
      <c r="AQ251">
        <f>IF(OR(AP251=1,AN251=MatchLabel),1,0)</f>
        <v>0</v>
      </c>
      <c r="AR251">
        <f>IF(OR(AN251=MatchLabel,AN251=SafetyLabel,AN251=SecureLabel,AN251=SureThingLabel),1,0)</f>
        <v>0</v>
      </c>
      <c r="AS251">
        <f>IF(OR(W251="H",W251="B",W251="I",W251="M"),IF(ISNUMBER(AB251),ROUND(AB251,2),0),IF(ISNUMBER(AA251),ROUND(AA251,2),0))</f>
        <v>0</v>
      </c>
      <c r="AT251">
        <f>IF(AS251&gt;=X251,1,0)</f>
        <v>0</v>
      </c>
      <c r="AU251">
        <f>IF(AS251&gt;=Y251,1,0)</f>
        <v>0</v>
      </c>
      <c r="AV251">
        <f>IF(AS251&lt;(X251-0.10),1,0)</f>
        <v>0</v>
      </c>
      <c r="AW251">
        <f>1-AM251/100</f>
        <v>0</v>
      </c>
      <c r="AX251">
        <f>IF(AQ251=1,AW251,1)</f>
        <v>0</v>
      </c>
      <c r="AY251">
        <f>IF(AP251=1,AW251,1)</f>
        <v>0</v>
      </c>
      <c r="AZ251">
        <f>IF(AND(AT251=1,ISNUMBER(AW251)),$AW251,1)</f>
        <v>0</v>
      </c>
      <c r="BA251">
        <f>IF(AND(AU251=1,ISNUMBER(AW251)),$AW251,1)</f>
        <v>0</v>
      </c>
      <c r="BB251">
        <f>IF(ISNUMBER(AB251),INDEX(AllCollegeMoney, MATCH(N251,AllCollegeNCES,0)),0)</f>
        <v>0</v>
      </c>
      <c r="BC251">
        <f>IF(AND(AT251=1,ISNUMBER(AW251),BB251=1),$AW251,1)</f>
        <v>0</v>
      </c>
      <c r="BD251">
        <f>IF(AND(AU251=1,ISNUMBER(AW251),BB251=1),$AW251,1)</f>
        <v>0</v>
      </c>
      <c r="BE251">
        <f>IF(ISNUMBER(AB251),INDEX(AllCollegeILPub, MATCH(N251,AllCollegeNCES,0)),0)</f>
        <v>0</v>
      </c>
      <c r="BF251">
        <f>IF(AN251=ReachLabel,AS251,0)</f>
        <v>0</v>
      </c>
      <c r="BG251">
        <f>IF(AN251=MatchLabel,AS251,0)</f>
        <v>0</v>
      </c>
      <c r="BH251">
        <f>IF(AN251=SafetyLabel,AS251,0)</f>
        <v>0</v>
      </c>
      <c r="BI251">
        <f>IF(AN251=SecureLabel,AS251,0)</f>
        <v>0</v>
      </c>
      <c r="BJ251">
        <f>IF(AN251=SureThingLabel,AS251,0)</f>
        <v>0</v>
      </c>
      <c r="BK251">
        <f>MAX(BF251:BJ251)</f>
        <v>0</v>
      </c>
      <c r="BL251">
        <f>MAX(BG251:BJ251)</f>
        <v>0</v>
      </c>
      <c r="BM251">
        <f>MAX(BH251:BJ251)</f>
        <v>0</v>
      </c>
      <c r="BN251">
        <f>IF(AND(AN251=ReachLabel,BB251=1),AS251,0)</f>
        <v>0</v>
      </c>
      <c r="BO251">
        <f>IF(AND(AN251=MatchLabel,BB251=1),AS251,0)</f>
        <v>0</v>
      </c>
      <c r="BP251">
        <f>IF(AND(AN251=SafetyLabel,BB251=1),AS251,0)</f>
        <v>0</v>
      </c>
      <c r="BQ251">
        <f>IF(AND(AN251=SecureLabel,BB251=1),AS251,0)</f>
        <v>0</v>
      </c>
      <c r="BR251">
        <f>IF(AND(AN251=SureThingLabel,BB251=1),AS251,0)</f>
        <v>0</v>
      </c>
      <c r="BS251">
        <f>MAX(BN251:BR251)</f>
        <v>0</v>
      </c>
      <c r="BT251">
        <f>MAX(BO251:BR251)</f>
        <v>0</v>
      </c>
      <c r="BU251">
        <f>MAX(BP251:BR251)</f>
        <v>0</v>
      </c>
      <c r="BV251">
        <f>IF(ISNUMBER(AB251),INDEX(AllCollegeChicago, MATCH(N251,AllCollegeNCES,0))*BB251,0)</f>
        <v>0</v>
      </c>
      <c r="BW251">
        <f>IF(ISNUMBER(AB251),INDEX(AllCollegeMoneyCode, MATCH(N251,AllCollegeNCES,0)),"?")</f>
        <v>0</v>
      </c>
      <c r="BX251">
        <f>IF(OR(BW251="---",BW251="--",BW251="+/--",BW251="+/---"),1,0)</f>
        <v>0</v>
      </c>
      <c r="BY251">
        <f>BB251*AR251*AT251</f>
        <v>0</v>
      </c>
    </row>
    <row r="252" spans="1:77">
      <c r="A252" t="s">
        <v>96</v>
      </c>
      <c r="B252">
        <v>23020881</v>
      </c>
      <c r="C252" t="s">
        <v>306</v>
      </c>
      <c r="D252" t="s">
        <v>307</v>
      </c>
      <c r="E252" t="s">
        <v>446</v>
      </c>
      <c r="F252" t="s">
        <v>480</v>
      </c>
      <c r="G252" t="s">
        <v>448</v>
      </c>
      <c r="H252" t="s">
        <v>449</v>
      </c>
      <c r="I252" t="s">
        <v>450</v>
      </c>
      <c r="J252" t="s">
        <v>450</v>
      </c>
      <c r="K252">
        <v>0</v>
      </c>
      <c r="L252" t="s">
        <v>446</v>
      </c>
      <c r="M252" t="s">
        <v>446</v>
      </c>
      <c r="N252">
        <v>169248</v>
      </c>
      <c r="O252">
        <f>INDEX(Counselor,MATCH(B252,KidIDs,0))</f>
        <v>0</v>
      </c>
      <c r="P252">
        <f>INDEX(Advisors,MATCH(B252,KidIDs,0))</f>
        <v>0</v>
      </c>
      <c r="Q252">
        <f>INDEX(Cohort,MATCH(B252,KidIDs,0))</f>
        <v>0</v>
      </c>
      <c r="R252">
        <f>INDEX(AllCollegeBarrons,MATCH(N252,AllCollegeNCES,0))</f>
        <v>0</v>
      </c>
      <c r="S252">
        <f>INDEX(KidGPAs,MATCH(B252,KidIDs,0))</f>
        <v>0</v>
      </c>
      <c r="T252">
        <f>INDEX(KidSATs,MATCH(B252,KidIDs,0))</f>
        <v>0</v>
      </c>
      <c r="U252">
        <f>INDEX(Strats,MATCH(B252,KidIDs,0))</f>
        <v>0</v>
      </c>
      <c r="V252">
        <f>INDEX(KidRace,MATCH(B252,KidIDs,0))</f>
        <v>0</v>
      </c>
      <c r="W252">
        <f>IF(OR(V252="M",V252="I"),"H",IF(V252="P","A",V252))</f>
        <v>0</v>
      </c>
      <c r="X252">
        <f>INDEX(StudentTargets,MATCH(B252,KidIDs,0))</f>
        <v>0</v>
      </c>
      <c r="Y252">
        <f>INDEX(ReachStudentTargets,MATCH(B252,KidIDs,0))</f>
        <v>0</v>
      </c>
      <c r="Z252">
        <f>IF(OR(M252="Posse"),1,0)</f>
        <v>0</v>
      </c>
      <c r="AA252">
        <f>IF(ISNUMBER(INDEX(AllCollegeGR, MATCH(N252,AllCollegeNCES,0))),ROUND(INDEX(AllCollegeGR, MATCH(N252,AllCollegeNCES,0))+Z252*IF(INDEX(AllCollegeGR, MATCH(N252,AllCollegeNCES,0))&gt;0.7,(1-INDEX(AllCollegeGR, MATCH(N252,AllCollegeNCES,0)))/2,0.15),2),INDEX(AllCollegeGR, MATCH(N252,AllCollegeNCES,0)))</f>
        <v>0</v>
      </c>
      <c r="AB252">
        <f>IF(ISNUMBER(INDEX(AllCollegeAAHGR, MATCH(N252,AllCollegeNCES,0))),ROUND(INDEX(AllCollegeAAHGR, MATCH(N252,AllCollegeNCES,0))+Z252*IF(INDEX(AllCollegeAAHGR, MATCH(N252,AllCollegeNCES,0))&gt;0.7,(1-INDEX(AllCollegeAAHGR, MATCH(N252,AllCollegeNCES,0)))/2,0.15),2),INDEX(AllCollegeAAHGR, MATCH(N252,AllCollegeNCES,0)))</f>
        <v>0</v>
      </c>
      <c r="AC252">
        <f>IF(OR(W252="H",W252="B"),INDEX(AllCollegeSAT25, MATCH(N252,AllCollegeNCES,0)),INDEX(AllCollegeSAT50, MATCH(N252,AllCollegeNCES,0)))</f>
        <v>0</v>
      </c>
      <c r="AD252">
        <f>INDEX(CustomWeightsGPA,MATCH(W252&amp;":"&amp;N252,CustomWeightsIndex,0))</f>
        <v>0</v>
      </c>
      <c r="AE252">
        <f>INDEX(CustomWeightsSAT,MATCH(W252&amp;":"&amp;N252,CustomWeightsIndex,0))</f>
        <v>0</v>
      </c>
      <c r="AF252">
        <f>INDEX(CustomWeightsIntercept,MATCH(W252&amp;":"&amp;N252,CustomWeightsIndex,0))</f>
        <v>0</v>
      </c>
      <c r="AG252">
        <f>AD252*S252+AE252*T252+AF252</f>
        <v>0</v>
      </c>
      <c r="AH252">
        <f>INDEX(CoefficientsGPA,MATCH(W252&amp;":"&amp;R252,CoefficientsIndex,0))</f>
        <v>0</v>
      </c>
      <c r="AI252">
        <f>INDEX(CoefficientsSAT,MATCH(W252&amp;":"&amp;R252,CoefficientsIndex,0))</f>
        <v>0</v>
      </c>
      <c r="AJ252">
        <f>INDEX(CoefficientsIntercept,MATCH(W252&amp;":"&amp;R252,CoefficientsIndex,0))</f>
        <v>0</v>
      </c>
      <c r="AK252">
        <f>AH252*S252+(T252-AC252)*AI252+AJ252</f>
        <v>0</v>
      </c>
      <c r="AL252">
        <f>IF(ISNUMBER(AG252),AG252,AK252)</f>
        <v>0</v>
      </c>
      <c r="AM252">
        <f>IF(ISNUMBER(AL252),IF(ISNUMBER(AH252),IF(AND(AH252=1,AI252=1,AJ252=1),100,MIN(99,ROUND(100*EXP(AL252)/(1+EXP(AL252)),2))),MIN(99,ROUND(100*EXP(AL252)/(1+EXP(AL252)),2))),IF(ISTEXT(R252),IF(LEFT(R252,1)="2",100,"N/A"),"N/A"))</f>
        <v>0</v>
      </c>
      <c r="AN252">
        <f>IF(ISNUMBER(AM252),IF(AM252&gt;=99,IF(OR(U252=10,U252=11),MatchLabel,SureThingLabel),IF(AM252&gt;=95,SecureLabel,IF(AM252&gt;=80,SafetyLabel,IF(AM252&gt;=50,MatchLabel,IF(AM252&gt;=20,ReachLabel,IF(AM252&gt;=10,LongshotLabel,HailMaryLabel)))))),"Other")</f>
        <v>0</v>
      </c>
      <c r="AO252">
        <f>IF(OR(I252="accepted",I252="cond. accept",I252="summer admit"),IF(J252="yes","CHOICE!","Accepted!"),IF(I252="guar. transfer","Guar. Xfer",IF(I252="denied","Denied",IF(K252=1,"Waitlist",IF(L252=1,"Deferred",IF(G252="pending","Pending",IF(OR(G252="initial materials submitted",G252="mid-year submitted",G252="final submitted"),"Submitted",IF(H252="interest","Interest","?"))))))))</f>
        <v>0</v>
      </c>
      <c r="AP252">
        <f>IF(OR(AN252=ReachLabel,AN252=LongshotLabel,AN252=HailMaryLabel),1,0)</f>
        <v>0</v>
      </c>
      <c r="AQ252">
        <f>IF(OR(AP252=1,AN252=MatchLabel),1,0)</f>
        <v>0</v>
      </c>
      <c r="AR252">
        <f>IF(OR(AN252=MatchLabel,AN252=SafetyLabel,AN252=SecureLabel,AN252=SureThingLabel),1,0)</f>
        <v>0</v>
      </c>
      <c r="AS252">
        <f>IF(OR(W252="H",W252="B",W252="I",W252="M"),IF(ISNUMBER(AB252),ROUND(AB252,2),0),IF(ISNUMBER(AA252),ROUND(AA252,2),0))</f>
        <v>0</v>
      </c>
      <c r="AT252">
        <f>IF(AS252&gt;=X252,1,0)</f>
        <v>0</v>
      </c>
      <c r="AU252">
        <f>IF(AS252&gt;=Y252,1,0)</f>
        <v>0</v>
      </c>
      <c r="AV252">
        <f>IF(AS252&lt;(X252-0.10),1,0)</f>
        <v>0</v>
      </c>
      <c r="AW252">
        <f>1-AM252/100</f>
        <v>0</v>
      </c>
      <c r="AX252">
        <f>IF(AQ252=1,AW252,1)</f>
        <v>0</v>
      </c>
      <c r="AY252">
        <f>IF(AP252=1,AW252,1)</f>
        <v>0</v>
      </c>
      <c r="AZ252">
        <f>IF(AND(AT252=1,ISNUMBER(AW252)),$AW252,1)</f>
        <v>0</v>
      </c>
      <c r="BA252">
        <f>IF(AND(AU252=1,ISNUMBER(AW252)),$AW252,1)</f>
        <v>0</v>
      </c>
      <c r="BB252">
        <f>IF(ISNUMBER(AB252),INDEX(AllCollegeMoney, MATCH(N252,AllCollegeNCES,0)),0)</f>
        <v>0</v>
      </c>
      <c r="BC252">
        <f>IF(AND(AT252=1,ISNUMBER(AW252),BB252=1),$AW252,1)</f>
        <v>0</v>
      </c>
      <c r="BD252">
        <f>IF(AND(AU252=1,ISNUMBER(AW252),BB252=1),$AW252,1)</f>
        <v>0</v>
      </c>
      <c r="BE252">
        <f>IF(ISNUMBER(AB252),INDEX(AllCollegeILPub, MATCH(N252,AllCollegeNCES,0)),0)</f>
        <v>0</v>
      </c>
      <c r="BF252">
        <f>IF(AN252=ReachLabel,AS252,0)</f>
        <v>0</v>
      </c>
      <c r="BG252">
        <f>IF(AN252=MatchLabel,AS252,0)</f>
        <v>0</v>
      </c>
      <c r="BH252">
        <f>IF(AN252=SafetyLabel,AS252,0)</f>
        <v>0</v>
      </c>
      <c r="BI252">
        <f>IF(AN252=SecureLabel,AS252,0)</f>
        <v>0</v>
      </c>
      <c r="BJ252">
        <f>IF(AN252=SureThingLabel,AS252,0)</f>
        <v>0</v>
      </c>
      <c r="BK252">
        <f>MAX(BF252:BJ252)</f>
        <v>0</v>
      </c>
      <c r="BL252">
        <f>MAX(BG252:BJ252)</f>
        <v>0</v>
      </c>
      <c r="BM252">
        <f>MAX(BH252:BJ252)</f>
        <v>0</v>
      </c>
      <c r="BN252">
        <f>IF(AND(AN252=ReachLabel,BB252=1),AS252,0)</f>
        <v>0</v>
      </c>
      <c r="BO252">
        <f>IF(AND(AN252=MatchLabel,BB252=1),AS252,0)</f>
        <v>0</v>
      </c>
      <c r="BP252">
        <f>IF(AND(AN252=SafetyLabel,BB252=1),AS252,0)</f>
        <v>0</v>
      </c>
      <c r="BQ252">
        <f>IF(AND(AN252=SecureLabel,BB252=1),AS252,0)</f>
        <v>0</v>
      </c>
      <c r="BR252">
        <f>IF(AND(AN252=SureThingLabel,BB252=1),AS252,0)</f>
        <v>0</v>
      </c>
      <c r="BS252">
        <f>MAX(BN252:BR252)</f>
        <v>0</v>
      </c>
      <c r="BT252">
        <f>MAX(BO252:BR252)</f>
        <v>0</v>
      </c>
      <c r="BU252">
        <f>MAX(BP252:BR252)</f>
        <v>0</v>
      </c>
      <c r="BV252">
        <f>IF(ISNUMBER(AB252),INDEX(AllCollegeChicago, MATCH(N252,AllCollegeNCES,0))*BB252,0)</f>
        <v>0</v>
      </c>
      <c r="BW252">
        <f>IF(ISNUMBER(AB252),INDEX(AllCollegeMoneyCode, MATCH(N252,AllCollegeNCES,0)),"?")</f>
        <v>0</v>
      </c>
      <c r="BX252">
        <f>IF(OR(BW252="---",BW252="--",BW252="+/--",BW252="+/---"),1,0)</f>
        <v>0</v>
      </c>
      <c r="BY252">
        <f>BB252*AR252*AT252</f>
        <v>0</v>
      </c>
    </row>
    <row r="253" spans="1:77">
      <c r="A253" t="s">
        <v>96</v>
      </c>
      <c r="B253">
        <v>23020881</v>
      </c>
      <c r="C253" t="s">
        <v>306</v>
      </c>
      <c r="D253" t="s">
        <v>307</v>
      </c>
      <c r="E253" t="s">
        <v>446</v>
      </c>
      <c r="F253" t="s">
        <v>519</v>
      </c>
      <c r="G253" t="s">
        <v>448</v>
      </c>
      <c r="H253" t="s">
        <v>449</v>
      </c>
      <c r="I253" t="s">
        <v>450</v>
      </c>
      <c r="J253" t="s">
        <v>450</v>
      </c>
      <c r="K253">
        <v>0</v>
      </c>
      <c r="L253" t="s">
        <v>446</v>
      </c>
      <c r="M253" t="s">
        <v>446</v>
      </c>
      <c r="N253">
        <v>145813</v>
      </c>
      <c r="O253">
        <f>INDEX(Counselor,MATCH(B253,KidIDs,0))</f>
        <v>0</v>
      </c>
      <c r="P253">
        <f>INDEX(Advisors,MATCH(B253,KidIDs,0))</f>
        <v>0</v>
      </c>
      <c r="Q253">
        <f>INDEX(Cohort,MATCH(B253,KidIDs,0))</f>
        <v>0</v>
      </c>
      <c r="R253">
        <f>INDEX(AllCollegeBarrons,MATCH(N253,AllCollegeNCES,0))</f>
        <v>0</v>
      </c>
      <c r="S253">
        <f>INDEX(KidGPAs,MATCH(B253,KidIDs,0))</f>
        <v>0</v>
      </c>
      <c r="T253">
        <f>INDEX(KidSATs,MATCH(B253,KidIDs,0))</f>
        <v>0</v>
      </c>
      <c r="U253">
        <f>INDEX(Strats,MATCH(B253,KidIDs,0))</f>
        <v>0</v>
      </c>
      <c r="V253">
        <f>INDEX(KidRace,MATCH(B253,KidIDs,0))</f>
        <v>0</v>
      </c>
      <c r="W253">
        <f>IF(OR(V253="M",V253="I"),"H",IF(V253="P","A",V253))</f>
        <v>0</v>
      </c>
      <c r="X253">
        <f>INDEX(StudentTargets,MATCH(B253,KidIDs,0))</f>
        <v>0</v>
      </c>
      <c r="Y253">
        <f>INDEX(ReachStudentTargets,MATCH(B253,KidIDs,0))</f>
        <v>0</v>
      </c>
      <c r="Z253">
        <f>IF(OR(M253="Posse"),1,0)</f>
        <v>0</v>
      </c>
      <c r="AA253">
        <f>IF(ISNUMBER(INDEX(AllCollegeGR, MATCH(N253,AllCollegeNCES,0))),ROUND(INDEX(AllCollegeGR, MATCH(N253,AllCollegeNCES,0))+Z253*IF(INDEX(AllCollegeGR, MATCH(N253,AllCollegeNCES,0))&gt;0.7,(1-INDEX(AllCollegeGR, MATCH(N253,AllCollegeNCES,0)))/2,0.15),2),INDEX(AllCollegeGR, MATCH(N253,AllCollegeNCES,0)))</f>
        <v>0</v>
      </c>
      <c r="AB253">
        <f>IF(ISNUMBER(INDEX(AllCollegeAAHGR, MATCH(N253,AllCollegeNCES,0))),ROUND(INDEX(AllCollegeAAHGR, MATCH(N253,AllCollegeNCES,0))+Z253*IF(INDEX(AllCollegeAAHGR, MATCH(N253,AllCollegeNCES,0))&gt;0.7,(1-INDEX(AllCollegeAAHGR, MATCH(N253,AllCollegeNCES,0)))/2,0.15),2),INDEX(AllCollegeAAHGR, MATCH(N253,AllCollegeNCES,0)))</f>
        <v>0</v>
      </c>
      <c r="AC253">
        <f>IF(OR(W253="H",W253="B"),INDEX(AllCollegeSAT25, MATCH(N253,AllCollegeNCES,0)),INDEX(AllCollegeSAT50, MATCH(N253,AllCollegeNCES,0)))</f>
        <v>0</v>
      </c>
      <c r="AD253">
        <f>INDEX(CustomWeightsGPA,MATCH(W253&amp;":"&amp;N253,CustomWeightsIndex,0))</f>
        <v>0</v>
      </c>
      <c r="AE253">
        <f>INDEX(CustomWeightsSAT,MATCH(W253&amp;":"&amp;N253,CustomWeightsIndex,0))</f>
        <v>0</v>
      </c>
      <c r="AF253">
        <f>INDEX(CustomWeightsIntercept,MATCH(W253&amp;":"&amp;N253,CustomWeightsIndex,0))</f>
        <v>0</v>
      </c>
      <c r="AG253">
        <f>AD253*S253+AE253*T253+AF253</f>
        <v>0</v>
      </c>
      <c r="AH253">
        <f>INDEX(CoefficientsGPA,MATCH(W253&amp;":"&amp;R253,CoefficientsIndex,0))</f>
        <v>0</v>
      </c>
      <c r="AI253">
        <f>INDEX(CoefficientsSAT,MATCH(W253&amp;":"&amp;R253,CoefficientsIndex,0))</f>
        <v>0</v>
      </c>
      <c r="AJ253">
        <f>INDEX(CoefficientsIntercept,MATCH(W253&amp;":"&amp;R253,CoefficientsIndex,0))</f>
        <v>0</v>
      </c>
      <c r="AK253">
        <f>AH253*S253+(T253-AC253)*AI253+AJ253</f>
        <v>0</v>
      </c>
      <c r="AL253">
        <f>IF(ISNUMBER(AG253),AG253,AK253)</f>
        <v>0</v>
      </c>
      <c r="AM253">
        <f>IF(ISNUMBER(AL253),IF(ISNUMBER(AH253),IF(AND(AH253=1,AI253=1,AJ253=1),100,MIN(99,ROUND(100*EXP(AL253)/(1+EXP(AL253)),2))),MIN(99,ROUND(100*EXP(AL253)/(1+EXP(AL253)),2))),IF(ISTEXT(R253),IF(LEFT(R253,1)="2",100,"N/A"),"N/A"))</f>
        <v>0</v>
      </c>
      <c r="AN253">
        <f>IF(ISNUMBER(AM253),IF(AM253&gt;=99,IF(OR(U253=10,U253=11),MatchLabel,SureThingLabel),IF(AM253&gt;=95,SecureLabel,IF(AM253&gt;=80,SafetyLabel,IF(AM253&gt;=50,MatchLabel,IF(AM253&gt;=20,ReachLabel,IF(AM253&gt;=10,LongshotLabel,HailMaryLabel)))))),"Other")</f>
        <v>0</v>
      </c>
      <c r="AO253">
        <f>IF(OR(I253="accepted",I253="cond. accept",I253="summer admit"),IF(J253="yes","CHOICE!","Accepted!"),IF(I253="guar. transfer","Guar. Xfer",IF(I253="denied","Denied",IF(K253=1,"Waitlist",IF(L253=1,"Deferred",IF(G253="pending","Pending",IF(OR(G253="initial materials submitted",G253="mid-year submitted",G253="final submitted"),"Submitted",IF(H253="interest","Interest","?"))))))))</f>
        <v>0</v>
      </c>
      <c r="AP253">
        <f>IF(OR(AN253=ReachLabel,AN253=LongshotLabel,AN253=HailMaryLabel),1,0)</f>
        <v>0</v>
      </c>
      <c r="AQ253">
        <f>IF(OR(AP253=1,AN253=MatchLabel),1,0)</f>
        <v>0</v>
      </c>
      <c r="AR253">
        <f>IF(OR(AN253=MatchLabel,AN253=SafetyLabel,AN253=SecureLabel,AN253=SureThingLabel),1,0)</f>
        <v>0</v>
      </c>
      <c r="AS253">
        <f>IF(OR(W253="H",W253="B",W253="I",W253="M"),IF(ISNUMBER(AB253),ROUND(AB253,2),0),IF(ISNUMBER(AA253),ROUND(AA253,2),0))</f>
        <v>0</v>
      </c>
      <c r="AT253">
        <f>IF(AS253&gt;=X253,1,0)</f>
        <v>0</v>
      </c>
      <c r="AU253">
        <f>IF(AS253&gt;=Y253,1,0)</f>
        <v>0</v>
      </c>
      <c r="AV253">
        <f>IF(AS253&lt;(X253-0.10),1,0)</f>
        <v>0</v>
      </c>
      <c r="AW253">
        <f>1-AM253/100</f>
        <v>0</v>
      </c>
      <c r="AX253">
        <f>IF(AQ253=1,AW253,1)</f>
        <v>0</v>
      </c>
      <c r="AY253">
        <f>IF(AP253=1,AW253,1)</f>
        <v>0</v>
      </c>
      <c r="AZ253">
        <f>IF(AND(AT253=1,ISNUMBER(AW253)),$AW253,1)</f>
        <v>0</v>
      </c>
      <c r="BA253">
        <f>IF(AND(AU253=1,ISNUMBER(AW253)),$AW253,1)</f>
        <v>0</v>
      </c>
      <c r="BB253">
        <f>IF(ISNUMBER(AB253),INDEX(AllCollegeMoney, MATCH(N253,AllCollegeNCES,0)),0)</f>
        <v>0</v>
      </c>
      <c r="BC253">
        <f>IF(AND(AT253=1,ISNUMBER(AW253),BB253=1),$AW253,1)</f>
        <v>0</v>
      </c>
      <c r="BD253">
        <f>IF(AND(AU253=1,ISNUMBER(AW253),BB253=1),$AW253,1)</f>
        <v>0</v>
      </c>
      <c r="BE253">
        <f>IF(ISNUMBER(AB253),INDEX(AllCollegeILPub, MATCH(N253,AllCollegeNCES,0)),0)</f>
        <v>0</v>
      </c>
      <c r="BF253">
        <f>IF(AN253=ReachLabel,AS253,0)</f>
        <v>0</v>
      </c>
      <c r="BG253">
        <f>IF(AN253=MatchLabel,AS253,0)</f>
        <v>0</v>
      </c>
      <c r="BH253">
        <f>IF(AN253=SafetyLabel,AS253,0)</f>
        <v>0</v>
      </c>
      <c r="BI253">
        <f>IF(AN253=SecureLabel,AS253,0)</f>
        <v>0</v>
      </c>
      <c r="BJ253">
        <f>IF(AN253=SureThingLabel,AS253,0)</f>
        <v>0</v>
      </c>
      <c r="BK253">
        <f>MAX(BF253:BJ253)</f>
        <v>0</v>
      </c>
      <c r="BL253">
        <f>MAX(BG253:BJ253)</f>
        <v>0</v>
      </c>
      <c r="BM253">
        <f>MAX(BH253:BJ253)</f>
        <v>0</v>
      </c>
      <c r="BN253">
        <f>IF(AND(AN253=ReachLabel,BB253=1),AS253,0)</f>
        <v>0</v>
      </c>
      <c r="BO253">
        <f>IF(AND(AN253=MatchLabel,BB253=1),AS253,0)</f>
        <v>0</v>
      </c>
      <c r="BP253">
        <f>IF(AND(AN253=SafetyLabel,BB253=1),AS253,0)</f>
        <v>0</v>
      </c>
      <c r="BQ253">
        <f>IF(AND(AN253=SecureLabel,BB253=1),AS253,0)</f>
        <v>0</v>
      </c>
      <c r="BR253">
        <f>IF(AND(AN253=SureThingLabel,BB253=1),AS253,0)</f>
        <v>0</v>
      </c>
      <c r="BS253">
        <f>MAX(BN253:BR253)</f>
        <v>0</v>
      </c>
      <c r="BT253">
        <f>MAX(BO253:BR253)</f>
        <v>0</v>
      </c>
      <c r="BU253">
        <f>MAX(BP253:BR253)</f>
        <v>0</v>
      </c>
      <c r="BV253">
        <f>IF(ISNUMBER(AB253),INDEX(AllCollegeChicago, MATCH(N253,AllCollegeNCES,0))*BB253,0)</f>
        <v>0</v>
      </c>
      <c r="BW253">
        <f>IF(ISNUMBER(AB253),INDEX(AllCollegeMoneyCode, MATCH(N253,AllCollegeNCES,0)),"?")</f>
        <v>0</v>
      </c>
      <c r="BX253">
        <f>IF(OR(BW253="---",BW253="--",BW253="+/--",BW253="+/---"),1,0)</f>
        <v>0</v>
      </c>
      <c r="BY253">
        <f>BB253*AR253*AT253</f>
        <v>0</v>
      </c>
    </row>
    <row r="254" spans="1:77">
      <c r="A254" t="s">
        <v>96</v>
      </c>
      <c r="B254">
        <v>23020881</v>
      </c>
      <c r="C254" t="s">
        <v>306</v>
      </c>
      <c r="D254" t="s">
        <v>307</v>
      </c>
      <c r="E254" t="s">
        <v>446</v>
      </c>
      <c r="F254" t="s">
        <v>466</v>
      </c>
      <c r="G254" t="s">
        <v>448</v>
      </c>
      <c r="H254" t="s">
        <v>449</v>
      </c>
      <c r="I254" t="s">
        <v>450</v>
      </c>
      <c r="J254" t="s">
        <v>450</v>
      </c>
      <c r="K254">
        <v>0</v>
      </c>
      <c r="L254" t="s">
        <v>446</v>
      </c>
      <c r="M254" t="s">
        <v>446</v>
      </c>
      <c r="N254">
        <v>100000001</v>
      </c>
      <c r="O254">
        <f>INDEX(Counselor,MATCH(B254,KidIDs,0))</f>
        <v>0</v>
      </c>
      <c r="P254">
        <f>INDEX(Advisors,MATCH(B254,KidIDs,0))</f>
        <v>0</v>
      </c>
      <c r="Q254">
        <f>INDEX(Cohort,MATCH(B254,KidIDs,0))</f>
        <v>0</v>
      </c>
      <c r="R254">
        <f>INDEX(AllCollegeBarrons,MATCH(N254,AllCollegeNCES,0))</f>
        <v>0</v>
      </c>
      <c r="S254">
        <f>INDEX(KidGPAs,MATCH(B254,KidIDs,0))</f>
        <v>0</v>
      </c>
      <c r="T254">
        <f>INDEX(KidSATs,MATCH(B254,KidIDs,0))</f>
        <v>0</v>
      </c>
      <c r="U254">
        <f>INDEX(Strats,MATCH(B254,KidIDs,0))</f>
        <v>0</v>
      </c>
      <c r="V254">
        <f>INDEX(KidRace,MATCH(B254,KidIDs,0))</f>
        <v>0</v>
      </c>
      <c r="W254">
        <f>IF(OR(V254="M",V254="I"),"H",IF(V254="P","A",V254))</f>
        <v>0</v>
      </c>
      <c r="X254">
        <f>INDEX(StudentTargets,MATCH(B254,KidIDs,0))</f>
        <v>0</v>
      </c>
      <c r="Y254">
        <f>INDEX(ReachStudentTargets,MATCH(B254,KidIDs,0))</f>
        <v>0</v>
      </c>
      <c r="Z254">
        <f>IF(OR(M254="Posse"),1,0)</f>
        <v>0</v>
      </c>
      <c r="AA254">
        <f>IF(ISNUMBER(INDEX(AllCollegeGR, MATCH(N254,AllCollegeNCES,0))),ROUND(INDEX(AllCollegeGR, MATCH(N254,AllCollegeNCES,0))+Z254*IF(INDEX(AllCollegeGR, MATCH(N254,AllCollegeNCES,0))&gt;0.7,(1-INDEX(AllCollegeGR, MATCH(N254,AllCollegeNCES,0)))/2,0.15),2),INDEX(AllCollegeGR, MATCH(N254,AllCollegeNCES,0)))</f>
        <v>0</v>
      </c>
      <c r="AB254">
        <f>IF(ISNUMBER(INDEX(AllCollegeAAHGR, MATCH(N254,AllCollegeNCES,0))),ROUND(INDEX(AllCollegeAAHGR, MATCH(N254,AllCollegeNCES,0))+Z254*IF(INDEX(AllCollegeAAHGR, MATCH(N254,AllCollegeNCES,0))&gt;0.7,(1-INDEX(AllCollegeAAHGR, MATCH(N254,AllCollegeNCES,0)))/2,0.15),2),INDEX(AllCollegeAAHGR, MATCH(N254,AllCollegeNCES,0)))</f>
        <v>0</v>
      </c>
      <c r="AC254">
        <f>IF(OR(W254="H",W254="B"),INDEX(AllCollegeSAT25, MATCH(N254,AllCollegeNCES,0)),INDEX(AllCollegeSAT50, MATCH(N254,AllCollegeNCES,0)))</f>
        <v>0</v>
      </c>
      <c r="AD254">
        <f>INDEX(CustomWeightsGPA,MATCH(W254&amp;":"&amp;N254,CustomWeightsIndex,0))</f>
        <v>0</v>
      </c>
      <c r="AE254">
        <f>INDEX(CustomWeightsSAT,MATCH(W254&amp;":"&amp;N254,CustomWeightsIndex,0))</f>
        <v>0</v>
      </c>
      <c r="AF254">
        <f>INDEX(CustomWeightsIntercept,MATCH(W254&amp;":"&amp;N254,CustomWeightsIndex,0))</f>
        <v>0</v>
      </c>
      <c r="AG254">
        <f>AD254*S254+AE254*T254+AF254</f>
        <v>0</v>
      </c>
      <c r="AH254">
        <f>INDEX(CoefficientsGPA,MATCH(W254&amp;":"&amp;R254,CoefficientsIndex,0))</f>
        <v>0</v>
      </c>
      <c r="AI254">
        <f>INDEX(CoefficientsSAT,MATCH(W254&amp;":"&amp;R254,CoefficientsIndex,0))</f>
        <v>0</v>
      </c>
      <c r="AJ254">
        <f>INDEX(CoefficientsIntercept,MATCH(W254&amp;":"&amp;R254,CoefficientsIndex,0))</f>
        <v>0</v>
      </c>
      <c r="AK254">
        <f>AH254*S254+(T254-AC254)*AI254+AJ254</f>
        <v>0</v>
      </c>
      <c r="AL254">
        <f>IF(ISNUMBER(AG254),AG254,AK254)</f>
        <v>0</v>
      </c>
      <c r="AM254">
        <f>IF(ISNUMBER(AL254),IF(ISNUMBER(AH254),IF(AND(AH254=1,AI254=1,AJ254=1),100,MIN(99,ROUND(100*EXP(AL254)/(1+EXP(AL254)),2))),MIN(99,ROUND(100*EXP(AL254)/(1+EXP(AL254)),2))),IF(ISTEXT(R254),IF(LEFT(R254,1)="2",100,"N/A"),"N/A"))</f>
        <v>0</v>
      </c>
      <c r="AN254">
        <f>IF(ISNUMBER(AM254),IF(AM254&gt;=99,IF(OR(U254=10,U254=11),MatchLabel,SureThingLabel),IF(AM254&gt;=95,SecureLabel,IF(AM254&gt;=80,SafetyLabel,IF(AM254&gt;=50,MatchLabel,IF(AM254&gt;=20,ReachLabel,IF(AM254&gt;=10,LongshotLabel,HailMaryLabel)))))),"Other")</f>
        <v>0</v>
      </c>
      <c r="AO254">
        <f>IF(OR(I254="accepted",I254="cond. accept",I254="summer admit"),IF(J254="yes","CHOICE!","Accepted!"),IF(I254="guar. transfer","Guar. Xfer",IF(I254="denied","Denied",IF(K254=1,"Waitlist",IF(L254=1,"Deferred",IF(G254="pending","Pending",IF(OR(G254="initial materials submitted",G254="mid-year submitted",G254="final submitted"),"Submitted",IF(H254="interest","Interest","?"))))))))</f>
        <v>0</v>
      </c>
      <c r="AP254">
        <f>IF(OR(AN254=ReachLabel,AN254=LongshotLabel,AN254=HailMaryLabel),1,0)</f>
        <v>0</v>
      </c>
      <c r="AQ254">
        <f>IF(OR(AP254=1,AN254=MatchLabel),1,0)</f>
        <v>0</v>
      </c>
      <c r="AR254">
        <f>IF(OR(AN254=MatchLabel,AN254=SafetyLabel,AN254=SecureLabel,AN254=SureThingLabel),1,0)</f>
        <v>0</v>
      </c>
      <c r="AS254">
        <f>IF(OR(W254="H",W254="B",W254="I",W254="M"),IF(ISNUMBER(AB254),ROUND(AB254,2),0),IF(ISNUMBER(AA254),ROUND(AA254,2),0))</f>
        <v>0</v>
      </c>
      <c r="AT254">
        <f>IF(AS254&gt;=X254,1,0)</f>
        <v>0</v>
      </c>
      <c r="AU254">
        <f>IF(AS254&gt;=Y254,1,0)</f>
        <v>0</v>
      </c>
      <c r="AV254">
        <f>IF(AS254&lt;(X254-0.10),1,0)</f>
        <v>0</v>
      </c>
      <c r="AW254">
        <f>1-AM254/100</f>
        <v>0</v>
      </c>
      <c r="AX254">
        <f>IF(AQ254=1,AW254,1)</f>
        <v>0</v>
      </c>
      <c r="AY254">
        <f>IF(AP254=1,AW254,1)</f>
        <v>0</v>
      </c>
      <c r="AZ254">
        <f>IF(AND(AT254=1,ISNUMBER(AW254)),$AW254,1)</f>
        <v>0</v>
      </c>
      <c r="BA254">
        <f>IF(AND(AU254=1,ISNUMBER(AW254)),$AW254,1)</f>
        <v>0</v>
      </c>
      <c r="BB254">
        <f>IF(ISNUMBER(AB254),INDEX(AllCollegeMoney, MATCH(N254,AllCollegeNCES,0)),0)</f>
        <v>0</v>
      </c>
      <c r="BC254">
        <f>IF(AND(AT254=1,ISNUMBER(AW254),BB254=1),$AW254,1)</f>
        <v>0</v>
      </c>
      <c r="BD254">
        <f>IF(AND(AU254=1,ISNUMBER(AW254),BB254=1),$AW254,1)</f>
        <v>0</v>
      </c>
      <c r="BE254">
        <f>IF(ISNUMBER(AB254),INDEX(AllCollegeILPub, MATCH(N254,AllCollegeNCES,0)),0)</f>
        <v>0</v>
      </c>
      <c r="BF254">
        <f>IF(AN254=ReachLabel,AS254,0)</f>
        <v>0</v>
      </c>
      <c r="BG254">
        <f>IF(AN254=MatchLabel,AS254,0)</f>
        <v>0</v>
      </c>
      <c r="BH254">
        <f>IF(AN254=SafetyLabel,AS254,0)</f>
        <v>0</v>
      </c>
      <c r="BI254">
        <f>IF(AN254=SecureLabel,AS254,0)</f>
        <v>0</v>
      </c>
      <c r="BJ254">
        <f>IF(AN254=SureThingLabel,AS254,0)</f>
        <v>0</v>
      </c>
      <c r="BK254">
        <f>MAX(BF254:BJ254)</f>
        <v>0</v>
      </c>
      <c r="BL254">
        <f>MAX(BG254:BJ254)</f>
        <v>0</v>
      </c>
      <c r="BM254">
        <f>MAX(BH254:BJ254)</f>
        <v>0</v>
      </c>
      <c r="BN254">
        <f>IF(AND(AN254=ReachLabel,BB254=1),AS254,0)</f>
        <v>0</v>
      </c>
      <c r="BO254">
        <f>IF(AND(AN254=MatchLabel,BB254=1),AS254,0)</f>
        <v>0</v>
      </c>
      <c r="BP254">
        <f>IF(AND(AN254=SafetyLabel,BB254=1),AS254,0)</f>
        <v>0</v>
      </c>
      <c r="BQ254">
        <f>IF(AND(AN254=SecureLabel,BB254=1),AS254,0)</f>
        <v>0</v>
      </c>
      <c r="BR254">
        <f>IF(AND(AN254=SureThingLabel,BB254=1),AS254,0)</f>
        <v>0</v>
      </c>
      <c r="BS254">
        <f>MAX(BN254:BR254)</f>
        <v>0</v>
      </c>
      <c r="BT254">
        <f>MAX(BO254:BR254)</f>
        <v>0</v>
      </c>
      <c r="BU254">
        <f>MAX(BP254:BR254)</f>
        <v>0</v>
      </c>
      <c r="BV254">
        <f>IF(ISNUMBER(AB254),INDEX(AllCollegeChicago, MATCH(N254,AllCollegeNCES,0))*BB254,0)</f>
        <v>0</v>
      </c>
      <c r="BW254">
        <f>IF(ISNUMBER(AB254),INDEX(AllCollegeMoneyCode, MATCH(N254,AllCollegeNCES,0)),"?")</f>
        <v>0</v>
      </c>
      <c r="BX254">
        <f>IF(OR(BW254="---",BW254="--",BW254="+/--",BW254="+/---"),1,0)</f>
        <v>0</v>
      </c>
      <c r="BY254">
        <f>BB254*AR254*AT254</f>
        <v>0</v>
      </c>
    </row>
    <row r="255" spans="1:77">
      <c r="A255" t="s">
        <v>96</v>
      </c>
      <c r="B255">
        <v>23020881</v>
      </c>
      <c r="C255" t="s">
        <v>306</v>
      </c>
      <c r="D255" t="s">
        <v>307</v>
      </c>
      <c r="E255" t="s">
        <v>446</v>
      </c>
      <c r="F255" t="s">
        <v>510</v>
      </c>
      <c r="G255" t="s">
        <v>448</v>
      </c>
      <c r="H255" t="s">
        <v>449</v>
      </c>
      <c r="I255" t="s">
        <v>450</v>
      </c>
      <c r="J255" t="s">
        <v>450</v>
      </c>
      <c r="K255">
        <v>0</v>
      </c>
      <c r="L255" t="s">
        <v>446</v>
      </c>
      <c r="M255" t="s">
        <v>446</v>
      </c>
      <c r="N255">
        <v>148654</v>
      </c>
      <c r="O255">
        <f>INDEX(Counselor,MATCH(B255,KidIDs,0))</f>
        <v>0</v>
      </c>
      <c r="P255">
        <f>INDEX(Advisors,MATCH(B255,KidIDs,0))</f>
        <v>0</v>
      </c>
      <c r="Q255">
        <f>INDEX(Cohort,MATCH(B255,KidIDs,0))</f>
        <v>0</v>
      </c>
      <c r="R255">
        <f>INDEX(AllCollegeBarrons,MATCH(N255,AllCollegeNCES,0))</f>
        <v>0</v>
      </c>
      <c r="S255">
        <f>INDEX(KidGPAs,MATCH(B255,KidIDs,0))</f>
        <v>0</v>
      </c>
      <c r="T255">
        <f>INDEX(KidSATs,MATCH(B255,KidIDs,0))</f>
        <v>0</v>
      </c>
      <c r="U255">
        <f>INDEX(Strats,MATCH(B255,KidIDs,0))</f>
        <v>0</v>
      </c>
      <c r="V255">
        <f>INDEX(KidRace,MATCH(B255,KidIDs,0))</f>
        <v>0</v>
      </c>
      <c r="W255">
        <f>IF(OR(V255="M",V255="I"),"H",IF(V255="P","A",V255))</f>
        <v>0</v>
      </c>
      <c r="X255">
        <f>INDEX(StudentTargets,MATCH(B255,KidIDs,0))</f>
        <v>0</v>
      </c>
      <c r="Y255">
        <f>INDEX(ReachStudentTargets,MATCH(B255,KidIDs,0))</f>
        <v>0</v>
      </c>
      <c r="Z255">
        <f>IF(OR(M255="Posse"),1,0)</f>
        <v>0</v>
      </c>
      <c r="AA255">
        <f>IF(ISNUMBER(INDEX(AllCollegeGR, MATCH(N255,AllCollegeNCES,0))),ROUND(INDEX(AllCollegeGR, MATCH(N255,AllCollegeNCES,0))+Z255*IF(INDEX(AllCollegeGR, MATCH(N255,AllCollegeNCES,0))&gt;0.7,(1-INDEX(AllCollegeGR, MATCH(N255,AllCollegeNCES,0)))/2,0.15),2),INDEX(AllCollegeGR, MATCH(N255,AllCollegeNCES,0)))</f>
        <v>0</v>
      </c>
      <c r="AB255">
        <f>IF(ISNUMBER(INDEX(AllCollegeAAHGR, MATCH(N255,AllCollegeNCES,0))),ROUND(INDEX(AllCollegeAAHGR, MATCH(N255,AllCollegeNCES,0))+Z255*IF(INDEX(AllCollegeAAHGR, MATCH(N255,AllCollegeNCES,0))&gt;0.7,(1-INDEX(AllCollegeAAHGR, MATCH(N255,AllCollegeNCES,0)))/2,0.15),2),INDEX(AllCollegeAAHGR, MATCH(N255,AllCollegeNCES,0)))</f>
        <v>0</v>
      </c>
      <c r="AC255">
        <f>IF(OR(W255="H",W255="B"),INDEX(AllCollegeSAT25, MATCH(N255,AllCollegeNCES,0)),INDEX(AllCollegeSAT50, MATCH(N255,AllCollegeNCES,0)))</f>
        <v>0</v>
      </c>
      <c r="AD255">
        <f>INDEX(CustomWeightsGPA,MATCH(W255&amp;":"&amp;N255,CustomWeightsIndex,0))</f>
        <v>0</v>
      </c>
      <c r="AE255">
        <f>INDEX(CustomWeightsSAT,MATCH(W255&amp;":"&amp;N255,CustomWeightsIndex,0))</f>
        <v>0</v>
      </c>
      <c r="AF255">
        <f>INDEX(CustomWeightsIntercept,MATCH(W255&amp;":"&amp;N255,CustomWeightsIndex,0))</f>
        <v>0</v>
      </c>
      <c r="AG255">
        <f>AD255*S255+AE255*T255+AF255</f>
        <v>0</v>
      </c>
      <c r="AH255">
        <f>INDEX(CoefficientsGPA,MATCH(W255&amp;":"&amp;R255,CoefficientsIndex,0))</f>
        <v>0</v>
      </c>
      <c r="AI255">
        <f>INDEX(CoefficientsSAT,MATCH(W255&amp;":"&amp;R255,CoefficientsIndex,0))</f>
        <v>0</v>
      </c>
      <c r="AJ255">
        <f>INDEX(CoefficientsIntercept,MATCH(W255&amp;":"&amp;R255,CoefficientsIndex,0))</f>
        <v>0</v>
      </c>
      <c r="AK255">
        <f>AH255*S255+(T255-AC255)*AI255+AJ255</f>
        <v>0</v>
      </c>
      <c r="AL255">
        <f>IF(ISNUMBER(AG255),AG255,AK255)</f>
        <v>0</v>
      </c>
      <c r="AM255">
        <f>IF(ISNUMBER(AL255),IF(ISNUMBER(AH255),IF(AND(AH255=1,AI255=1,AJ255=1),100,MIN(99,ROUND(100*EXP(AL255)/(1+EXP(AL255)),2))),MIN(99,ROUND(100*EXP(AL255)/(1+EXP(AL255)),2))),IF(ISTEXT(R255),IF(LEFT(R255,1)="2",100,"N/A"),"N/A"))</f>
        <v>0</v>
      </c>
      <c r="AN255">
        <f>IF(ISNUMBER(AM255),IF(AM255&gt;=99,IF(OR(U255=10,U255=11),MatchLabel,SureThingLabel),IF(AM255&gt;=95,SecureLabel,IF(AM255&gt;=80,SafetyLabel,IF(AM255&gt;=50,MatchLabel,IF(AM255&gt;=20,ReachLabel,IF(AM255&gt;=10,LongshotLabel,HailMaryLabel)))))),"Other")</f>
        <v>0</v>
      </c>
      <c r="AO255">
        <f>IF(OR(I255="accepted",I255="cond. accept",I255="summer admit"),IF(J255="yes","CHOICE!","Accepted!"),IF(I255="guar. transfer","Guar. Xfer",IF(I255="denied","Denied",IF(K255=1,"Waitlist",IF(L255=1,"Deferred",IF(G255="pending","Pending",IF(OR(G255="initial materials submitted",G255="mid-year submitted",G255="final submitted"),"Submitted",IF(H255="interest","Interest","?"))))))))</f>
        <v>0</v>
      </c>
      <c r="AP255">
        <f>IF(OR(AN255=ReachLabel,AN255=LongshotLabel,AN255=HailMaryLabel),1,0)</f>
        <v>0</v>
      </c>
      <c r="AQ255">
        <f>IF(OR(AP255=1,AN255=MatchLabel),1,0)</f>
        <v>0</v>
      </c>
      <c r="AR255">
        <f>IF(OR(AN255=MatchLabel,AN255=SafetyLabel,AN255=SecureLabel,AN255=SureThingLabel),1,0)</f>
        <v>0</v>
      </c>
      <c r="AS255">
        <f>IF(OR(W255="H",W255="B",W255="I",W255="M"),IF(ISNUMBER(AB255),ROUND(AB255,2),0),IF(ISNUMBER(AA255),ROUND(AA255,2),0))</f>
        <v>0</v>
      </c>
      <c r="AT255">
        <f>IF(AS255&gt;=X255,1,0)</f>
        <v>0</v>
      </c>
      <c r="AU255">
        <f>IF(AS255&gt;=Y255,1,0)</f>
        <v>0</v>
      </c>
      <c r="AV255">
        <f>IF(AS255&lt;(X255-0.10),1,0)</f>
        <v>0</v>
      </c>
      <c r="AW255">
        <f>1-AM255/100</f>
        <v>0</v>
      </c>
      <c r="AX255">
        <f>IF(AQ255=1,AW255,1)</f>
        <v>0</v>
      </c>
      <c r="AY255">
        <f>IF(AP255=1,AW255,1)</f>
        <v>0</v>
      </c>
      <c r="AZ255">
        <f>IF(AND(AT255=1,ISNUMBER(AW255)),$AW255,1)</f>
        <v>0</v>
      </c>
      <c r="BA255">
        <f>IF(AND(AU255=1,ISNUMBER(AW255)),$AW255,1)</f>
        <v>0</v>
      </c>
      <c r="BB255">
        <f>IF(ISNUMBER(AB255),INDEX(AllCollegeMoney, MATCH(N255,AllCollegeNCES,0)),0)</f>
        <v>0</v>
      </c>
      <c r="BC255">
        <f>IF(AND(AT255=1,ISNUMBER(AW255),BB255=1),$AW255,1)</f>
        <v>0</v>
      </c>
      <c r="BD255">
        <f>IF(AND(AU255=1,ISNUMBER(AW255),BB255=1),$AW255,1)</f>
        <v>0</v>
      </c>
      <c r="BE255">
        <f>IF(ISNUMBER(AB255),INDEX(AllCollegeILPub, MATCH(N255,AllCollegeNCES,0)),0)</f>
        <v>0</v>
      </c>
      <c r="BF255">
        <f>IF(AN255=ReachLabel,AS255,0)</f>
        <v>0</v>
      </c>
      <c r="BG255">
        <f>IF(AN255=MatchLabel,AS255,0)</f>
        <v>0</v>
      </c>
      <c r="BH255">
        <f>IF(AN255=SafetyLabel,AS255,0)</f>
        <v>0</v>
      </c>
      <c r="BI255">
        <f>IF(AN255=SecureLabel,AS255,0)</f>
        <v>0</v>
      </c>
      <c r="BJ255">
        <f>IF(AN255=SureThingLabel,AS255,0)</f>
        <v>0</v>
      </c>
      <c r="BK255">
        <f>MAX(BF255:BJ255)</f>
        <v>0</v>
      </c>
      <c r="BL255">
        <f>MAX(BG255:BJ255)</f>
        <v>0</v>
      </c>
      <c r="BM255">
        <f>MAX(BH255:BJ255)</f>
        <v>0</v>
      </c>
      <c r="BN255">
        <f>IF(AND(AN255=ReachLabel,BB255=1),AS255,0)</f>
        <v>0</v>
      </c>
      <c r="BO255">
        <f>IF(AND(AN255=MatchLabel,BB255=1),AS255,0)</f>
        <v>0</v>
      </c>
      <c r="BP255">
        <f>IF(AND(AN255=SafetyLabel,BB255=1),AS255,0)</f>
        <v>0</v>
      </c>
      <c r="BQ255">
        <f>IF(AND(AN255=SecureLabel,BB255=1),AS255,0)</f>
        <v>0</v>
      </c>
      <c r="BR255">
        <f>IF(AND(AN255=SureThingLabel,BB255=1),AS255,0)</f>
        <v>0</v>
      </c>
      <c r="BS255">
        <f>MAX(BN255:BR255)</f>
        <v>0</v>
      </c>
      <c r="BT255">
        <f>MAX(BO255:BR255)</f>
        <v>0</v>
      </c>
      <c r="BU255">
        <f>MAX(BP255:BR255)</f>
        <v>0</v>
      </c>
      <c r="BV255">
        <f>IF(ISNUMBER(AB255),INDEX(AllCollegeChicago, MATCH(N255,AllCollegeNCES,0))*BB255,0)</f>
        <v>0</v>
      </c>
      <c r="BW255">
        <f>IF(ISNUMBER(AB255),INDEX(AllCollegeMoneyCode, MATCH(N255,AllCollegeNCES,0)),"?")</f>
        <v>0</v>
      </c>
      <c r="BX255">
        <f>IF(OR(BW255="---",BW255="--",BW255="+/--",BW255="+/---"),1,0)</f>
        <v>0</v>
      </c>
      <c r="BY255">
        <f>BB255*AR255*AT255</f>
        <v>0</v>
      </c>
    </row>
    <row r="256" spans="1:77">
      <c r="A256" t="s">
        <v>96</v>
      </c>
      <c r="B256">
        <v>23020881</v>
      </c>
      <c r="C256" t="s">
        <v>306</v>
      </c>
      <c r="D256" t="s">
        <v>307</v>
      </c>
      <c r="E256" t="s">
        <v>446</v>
      </c>
      <c r="F256" t="s">
        <v>456</v>
      </c>
      <c r="G256" t="s">
        <v>448</v>
      </c>
      <c r="H256" t="s">
        <v>449</v>
      </c>
      <c r="I256" t="s">
        <v>450</v>
      </c>
      <c r="J256" t="s">
        <v>450</v>
      </c>
      <c r="K256">
        <v>0</v>
      </c>
      <c r="L256" t="s">
        <v>446</v>
      </c>
      <c r="M256" t="s">
        <v>446</v>
      </c>
      <c r="N256">
        <v>149772</v>
      </c>
      <c r="O256">
        <f>INDEX(Counselor,MATCH(B256,KidIDs,0))</f>
        <v>0</v>
      </c>
      <c r="P256">
        <f>INDEX(Advisors,MATCH(B256,KidIDs,0))</f>
        <v>0</v>
      </c>
      <c r="Q256">
        <f>INDEX(Cohort,MATCH(B256,KidIDs,0))</f>
        <v>0</v>
      </c>
      <c r="R256">
        <f>INDEX(AllCollegeBarrons,MATCH(N256,AllCollegeNCES,0))</f>
        <v>0</v>
      </c>
      <c r="S256">
        <f>INDEX(KidGPAs,MATCH(B256,KidIDs,0))</f>
        <v>0</v>
      </c>
      <c r="T256">
        <f>INDEX(KidSATs,MATCH(B256,KidIDs,0))</f>
        <v>0</v>
      </c>
      <c r="U256">
        <f>INDEX(Strats,MATCH(B256,KidIDs,0))</f>
        <v>0</v>
      </c>
      <c r="V256">
        <f>INDEX(KidRace,MATCH(B256,KidIDs,0))</f>
        <v>0</v>
      </c>
      <c r="W256">
        <f>IF(OR(V256="M",V256="I"),"H",IF(V256="P","A",V256))</f>
        <v>0</v>
      </c>
      <c r="X256">
        <f>INDEX(StudentTargets,MATCH(B256,KidIDs,0))</f>
        <v>0</v>
      </c>
      <c r="Y256">
        <f>INDEX(ReachStudentTargets,MATCH(B256,KidIDs,0))</f>
        <v>0</v>
      </c>
      <c r="Z256">
        <f>IF(OR(M256="Posse"),1,0)</f>
        <v>0</v>
      </c>
      <c r="AA256">
        <f>IF(ISNUMBER(INDEX(AllCollegeGR, MATCH(N256,AllCollegeNCES,0))),ROUND(INDEX(AllCollegeGR, MATCH(N256,AllCollegeNCES,0))+Z256*IF(INDEX(AllCollegeGR, MATCH(N256,AllCollegeNCES,0))&gt;0.7,(1-INDEX(AllCollegeGR, MATCH(N256,AllCollegeNCES,0)))/2,0.15),2),INDEX(AllCollegeGR, MATCH(N256,AllCollegeNCES,0)))</f>
        <v>0</v>
      </c>
      <c r="AB256">
        <f>IF(ISNUMBER(INDEX(AllCollegeAAHGR, MATCH(N256,AllCollegeNCES,0))),ROUND(INDEX(AllCollegeAAHGR, MATCH(N256,AllCollegeNCES,0))+Z256*IF(INDEX(AllCollegeAAHGR, MATCH(N256,AllCollegeNCES,0))&gt;0.7,(1-INDEX(AllCollegeAAHGR, MATCH(N256,AllCollegeNCES,0)))/2,0.15),2),INDEX(AllCollegeAAHGR, MATCH(N256,AllCollegeNCES,0)))</f>
        <v>0</v>
      </c>
      <c r="AC256">
        <f>IF(OR(W256="H",W256="B"),INDEX(AllCollegeSAT25, MATCH(N256,AllCollegeNCES,0)),INDEX(AllCollegeSAT50, MATCH(N256,AllCollegeNCES,0)))</f>
        <v>0</v>
      </c>
      <c r="AD256">
        <f>INDEX(CustomWeightsGPA,MATCH(W256&amp;":"&amp;N256,CustomWeightsIndex,0))</f>
        <v>0</v>
      </c>
      <c r="AE256">
        <f>INDEX(CustomWeightsSAT,MATCH(W256&amp;":"&amp;N256,CustomWeightsIndex,0))</f>
        <v>0</v>
      </c>
      <c r="AF256">
        <f>INDEX(CustomWeightsIntercept,MATCH(W256&amp;":"&amp;N256,CustomWeightsIndex,0))</f>
        <v>0</v>
      </c>
      <c r="AG256">
        <f>AD256*S256+AE256*T256+AF256</f>
        <v>0</v>
      </c>
      <c r="AH256">
        <f>INDEX(CoefficientsGPA,MATCH(W256&amp;":"&amp;R256,CoefficientsIndex,0))</f>
        <v>0</v>
      </c>
      <c r="AI256">
        <f>INDEX(CoefficientsSAT,MATCH(W256&amp;":"&amp;R256,CoefficientsIndex,0))</f>
        <v>0</v>
      </c>
      <c r="AJ256">
        <f>INDEX(CoefficientsIntercept,MATCH(W256&amp;":"&amp;R256,CoefficientsIndex,0))</f>
        <v>0</v>
      </c>
      <c r="AK256">
        <f>AH256*S256+(T256-AC256)*AI256+AJ256</f>
        <v>0</v>
      </c>
      <c r="AL256">
        <f>IF(ISNUMBER(AG256),AG256,AK256)</f>
        <v>0</v>
      </c>
      <c r="AM256">
        <f>IF(ISNUMBER(AL256),IF(ISNUMBER(AH256),IF(AND(AH256=1,AI256=1,AJ256=1),100,MIN(99,ROUND(100*EXP(AL256)/(1+EXP(AL256)),2))),MIN(99,ROUND(100*EXP(AL256)/(1+EXP(AL256)),2))),IF(ISTEXT(R256),IF(LEFT(R256,1)="2",100,"N/A"),"N/A"))</f>
        <v>0</v>
      </c>
      <c r="AN256">
        <f>IF(ISNUMBER(AM256),IF(AM256&gt;=99,IF(OR(U256=10,U256=11),MatchLabel,SureThingLabel),IF(AM256&gt;=95,SecureLabel,IF(AM256&gt;=80,SafetyLabel,IF(AM256&gt;=50,MatchLabel,IF(AM256&gt;=20,ReachLabel,IF(AM256&gt;=10,LongshotLabel,HailMaryLabel)))))),"Other")</f>
        <v>0</v>
      </c>
      <c r="AO256">
        <f>IF(OR(I256="accepted",I256="cond. accept",I256="summer admit"),IF(J256="yes","CHOICE!","Accepted!"),IF(I256="guar. transfer","Guar. Xfer",IF(I256="denied","Denied",IF(K256=1,"Waitlist",IF(L256=1,"Deferred",IF(G256="pending","Pending",IF(OR(G256="initial materials submitted",G256="mid-year submitted",G256="final submitted"),"Submitted",IF(H256="interest","Interest","?"))))))))</f>
        <v>0</v>
      </c>
      <c r="AP256">
        <f>IF(OR(AN256=ReachLabel,AN256=LongshotLabel,AN256=HailMaryLabel),1,0)</f>
        <v>0</v>
      </c>
      <c r="AQ256">
        <f>IF(OR(AP256=1,AN256=MatchLabel),1,0)</f>
        <v>0</v>
      </c>
      <c r="AR256">
        <f>IF(OR(AN256=MatchLabel,AN256=SafetyLabel,AN256=SecureLabel,AN256=SureThingLabel),1,0)</f>
        <v>0</v>
      </c>
      <c r="AS256">
        <f>IF(OR(W256="H",W256="B",W256="I",W256="M"),IF(ISNUMBER(AB256),ROUND(AB256,2),0),IF(ISNUMBER(AA256),ROUND(AA256,2),0))</f>
        <v>0</v>
      </c>
      <c r="AT256">
        <f>IF(AS256&gt;=X256,1,0)</f>
        <v>0</v>
      </c>
      <c r="AU256">
        <f>IF(AS256&gt;=Y256,1,0)</f>
        <v>0</v>
      </c>
      <c r="AV256">
        <f>IF(AS256&lt;(X256-0.10),1,0)</f>
        <v>0</v>
      </c>
      <c r="AW256">
        <f>1-AM256/100</f>
        <v>0</v>
      </c>
      <c r="AX256">
        <f>IF(AQ256=1,AW256,1)</f>
        <v>0</v>
      </c>
      <c r="AY256">
        <f>IF(AP256=1,AW256,1)</f>
        <v>0</v>
      </c>
      <c r="AZ256">
        <f>IF(AND(AT256=1,ISNUMBER(AW256)),$AW256,1)</f>
        <v>0</v>
      </c>
      <c r="BA256">
        <f>IF(AND(AU256=1,ISNUMBER(AW256)),$AW256,1)</f>
        <v>0</v>
      </c>
      <c r="BB256">
        <f>IF(ISNUMBER(AB256),INDEX(AllCollegeMoney, MATCH(N256,AllCollegeNCES,0)),0)</f>
        <v>0</v>
      </c>
      <c r="BC256">
        <f>IF(AND(AT256=1,ISNUMBER(AW256),BB256=1),$AW256,1)</f>
        <v>0</v>
      </c>
      <c r="BD256">
        <f>IF(AND(AU256=1,ISNUMBER(AW256),BB256=1),$AW256,1)</f>
        <v>0</v>
      </c>
      <c r="BE256">
        <f>IF(ISNUMBER(AB256),INDEX(AllCollegeILPub, MATCH(N256,AllCollegeNCES,0)),0)</f>
        <v>0</v>
      </c>
      <c r="BF256">
        <f>IF(AN256=ReachLabel,AS256,0)</f>
        <v>0</v>
      </c>
      <c r="BG256">
        <f>IF(AN256=MatchLabel,AS256,0)</f>
        <v>0</v>
      </c>
      <c r="BH256">
        <f>IF(AN256=SafetyLabel,AS256,0)</f>
        <v>0</v>
      </c>
      <c r="BI256">
        <f>IF(AN256=SecureLabel,AS256,0)</f>
        <v>0</v>
      </c>
      <c r="BJ256">
        <f>IF(AN256=SureThingLabel,AS256,0)</f>
        <v>0</v>
      </c>
      <c r="BK256">
        <f>MAX(BF256:BJ256)</f>
        <v>0</v>
      </c>
      <c r="BL256">
        <f>MAX(BG256:BJ256)</f>
        <v>0</v>
      </c>
      <c r="BM256">
        <f>MAX(BH256:BJ256)</f>
        <v>0</v>
      </c>
      <c r="BN256">
        <f>IF(AND(AN256=ReachLabel,BB256=1),AS256,0)</f>
        <v>0</v>
      </c>
      <c r="BO256">
        <f>IF(AND(AN256=MatchLabel,BB256=1),AS256,0)</f>
        <v>0</v>
      </c>
      <c r="BP256">
        <f>IF(AND(AN256=SafetyLabel,BB256=1),AS256,0)</f>
        <v>0</v>
      </c>
      <c r="BQ256">
        <f>IF(AND(AN256=SecureLabel,BB256=1),AS256,0)</f>
        <v>0</v>
      </c>
      <c r="BR256">
        <f>IF(AND(AN256=SureThingLabel,BB256=1),AS256,0)</f>
        <v>0</v>
      </c>
      <c r="BS256">
        <f>MAX(BN256:BR256)</f>
        <v>0</v>
      </c>
      <c r="BT256">
        <f>MAX(BO256:BR256)</f>
        <v>0</v>
      </c>
      <c r="BU256">
        <f>MAX(BP256:BR256)</f>
        <v>0</v>
      </c>
      <c r="BV256">
        <f>IF(ISNUMBER(AB256),INDEX(AllCollegeChicago, MATCH(N256,AllCollegeNCES,0))*BB256,0)</f>
        <v>0</v>
      </c>
      <c r="BW256">
        <f>IF(ISNUMBER(AB256),INDEX(AllCollegeMoneyCode, MATCH(N256,AllCollegeNCES,0)),"?")</f>
        <v>0</v>
      </c>
      <c r="BX256">
        <f>IF(OR(BW256="---",BW256="--",BW256="+/--",BW256="+/---"),1,0)</f>
        <v>0</v>
      </c>
      <c r="BY256">
        <f>BB256*AR256*AT256</f>
        <v>0</v>
      </c>
    </row>
    <row r="257" spans="1:77">
      <c r="A257" t="s">
        <v>96</v>
      </c>
      <c r="B257">
        <v>23020881</v>
      </c>
      <c r="C257" t="s">
        <v>306</v>
      </c>
      <c r="D257" t="s">
        <v>307</v>
      </c>
      <c r="E257" t="s">
        <v>446</v>
      </c>
      <c r="F257" t="s">
        <v>457</v>
      </c>
      <c r="G257" t="s">
        <v>448</v>
      </c>
      <c r="H257" t="s">
        <v>449</v>
      </c>
      <c r="I257" t="s">
        <v>450</v>
      </c>
      <c r="J257" t="s">
        <v>450</v>
      </c>
      <c r="K257">
        <v>0</v>
      </c>
      <c r="L257" t="s">
        <v>446</v>
      </c>
      <c r="M257" t="s">
        <v>446</v>
      </c>
      <c r="N257">
        <v>147703</v>
      </c>
      <c r="O257">
        <f>INDEX(Counselor,MATCH(B257,KidIDs,0))</f>
        <v>0</v>
      </c>
      <c r="P257">
        <f>INDEX(Advisors,MATCH(B257,KidIDs,0))</f>
        <v>0</v>
      </c>
      <c r="Q257">
        <f>INDEX(Cohort,MATCH(B257,KidIDs,0))</f>
        <v>0</v>
      </c>
      <c r="R257">
        <f>INDEX(AllCollegeBarrons,MATCH(N257,AllCollegeNCES,0))</f>
        <v>0</v>
      </c>
      <c r="S257">
        <f>INDEX(KidGPAs,MATCH(B257,KidIDs,0))</f>
        <v>0</v>
      </c>
      <c r="T257">
        <f>INDEX(KidSATs,MATCH(B257,KidIDs,0))</f>
        <v>0</v>
      </c>
      <c r="U257">
        <f>INDEX(Strats,MATCH(B257,KidIDs,0))</f>
        <v>0</v>
      </c>
      <c r="V257">
        <f>INDEX(KidRace,MATCH(B257,KidIDs,0))</f>
        <v>0</v>
      </c>
      <c r="W257">
        <f>IF(OR(V257="M",V257="I"),"H",IF(V257="P","A",V257))</f>
        <v>0</v>
      </c>
      <c r="X257">
        <f>INDEX(StudentTargets,MATCH(B257,KidIDs,0))</f>
        <v>0</v>
      </c>
      <c r="Y257">
        <f>INDEX(ReachStudentTargets,MATCH(B257,KidIDs,0))</f>
        <v>0</v>
      </c>
      <c r="Z257">
        <f>IF(OR(M257="Posse"),1,0)</f>
        <v>0</v>
      </c>
      <c r="AA257">
        <f>IF(ISNUMBER(INDEX(AllCollegeGR, MATCH(N257,AllCollegeNCES,0))),ROUND(INDEX(AllCollegeGR, MATCH(N257,AllCollegeNCES,0))+Z257*IF(INDEX(AllCollegeGR, MATCH(N257,AllCollegeNCES,0))&gt;0.7,(1-INDEX(AllCollegeGR, MATCH(N257,AllCollegeNCES,0)))/2,0.15),2),INDEX(AllCollegeGR, MATCH(N257,AllCollegeNCES,0)))</f>
        <v>0</v>
      </c>
      <c r="AB257">
        <f>IF(ISNUMBER(INDEX(AllCollegeAAHGR, MATCH(N257,AllCollegeNCES,0))),ROUND(INDEX(AllCollegeAAHGR, MATCH(N257,AllCollegeNCES,0))+Z257*IF(INDEX(AllCollegeAAHGR, MATCH(N257,AllCollegeNCES,0))&gt;0.7,(1-INDEX(AllCollegeAAHGR, MATCH(N257,AllCollegeNCES,0)))/2,0.15),2),INDEX(AllCollegeAAHGR, MATCH(N257,AllCollegeNCES,0)))</f>
        <v>0</v>
      </c>
      <c r="AC257">
        <f>IF(OR(W257="H",W257="B"),INDEX(AllCollegeSAT25, MATCH(N257,AllCollegeNCES,0)),INDEX(AllCollegeSAT50, MATCH(N257,AllCollegeNCES,0)))</f>
        <v>0</v>
      </c>
      <c r="AD257">
        <f>INDEX(CustomWeightsGPA,MATCH(W257&amp;":"&amp;N257,CustomWeightsIndex,0))</f>
        <v>0</v>
      </c>
      <c r="AE257">
        <f>INDEX(CustomWeightsSAT,MATCH(W257&amp;":"&amp;N257,CustomWeightsIndex,0))</f>
        <v>0</v>
      </c>
      <c r="AF257">
        <f>INDEX(CustomWeightsIntercept,MATCH(W257&amp;":"&amp;N257,CustomWeightsIndex,0))</f>
        <v>0</v>
      </c>
      <c r="AG257">
        <f>AD257*S257+AE257*T257+AF257</f>
        <v>0</v>
      </c>
      <c r="AH257">
        <f>INDEX(CoefficientsGPA,MATCH(W257&amp;":"&amp;R257,CoefficientsIndex,0))</f>
        <v>0</v>
      </c>
      <c r="AI257">
        <f>INDEX(CoefficientsSAT,MATCH(W257&amp;":"&amp;R257,CoefficientsIndex,0))</f>
        <v>0</v>
      </c>
      <c r="AJ257">
        <f>INDEX(CoefficientsIntercept,MATCH(W257&amp;":"&amp;R257,CoefficientsIndex,0))</f>
        <v>0</v>
      </c>
      <c r="AK257">
        <f>AH257*S257+(T257-AC257)*AI257+AJ257</f>
        <v>0</v>
      </c>
      <c r="AL257">
        <f>IF(ISNUMBER(AG257),AG257,AK257)</f>
        <v>0</v>
      </c>
      <c r="AM257">
        <f>IF(ISNUMBER(AL257),IF(ISNUMBER(AH257),IF(AND(AH257=1,AI257=1,AJ257=1),100,MIN(99,ROUND(100*EXP(AL257)/(1+EXP(AL257)),2))),MIN(99,ROUND(100*EXP(AL257)/(1+EXP(AL257)),2))),IF(ISTEXT(R257),IF(LEFT(R257,1)="2",100,"N/A"),"N/A"))</f>
        <v>0</v>
      </c>
      <c r="AN257">
        <f>IF(ISNUMBER(AM257),IF(AM257&gt;=99,IF(OR(U257=10,U257=11),MatchLabel,SureThingLabel),IF(AM257&gt;=95,SecureLabel,IF(AM257&gt;=80,SafetyLabel,IF(AM257&gt;=50,MatchLabel,IF(AM257&gt;=20,ReachLabel,IF(AM257&gt;=10,LongshotLabel,HailMaryLabel)))))),"Other")</f>
        <v>0</v>
      </c>
      <c r="AO257">
        <f>IF(OR(I257="accepted",I257="cond. accept",I257="summer admit"),IF(J257="yes","CHOICE!","Accepted!"),IF(I257="guar. transfer","Guar. Xfer",IF(I257="denied","Denied",IF(K257=1,"Waitlist",IF(L257=1,"Deferred",IF(G257="pending","Pending",IF(OR(G257="initial materials submitted",G257="mid-year submitted",G257="final submitted"),"Submitted",IF(H257="interest","Interest","?"))))))))</f>
        <v>0</v>
      </c>
      <c r="AP257">
        <f>IF(OR(AN257=ReachLabel,AN257=LongshotLabel,AN257=HailMaryLabel),1,0)</f>
        <v>0</v>
      </c>
      <c r="AQ257">
        <f>IF(OR(AP257=1,AN257=MatchLabel),1,0)</f>
        <v>0</v>
      </c>
      <c r="AR257">
        <f>IF(OR(AN257=MatchLabel,AN257=SafetyLabel,AN257=SecureLabel,AN257=SureThingLabel),1,0)</f>
        <v>0</v>
      </c>
      <c r="AS257">
        <f>IF(OR(W257="H",W257="B",W257="I",W257="M"),IF(ISNUMBER(AB257),ROUND(AB257,2),0),IF(ISNUMBER(AA257),ROUND(AA257,2),0))</f>
        <v>0</v>
      </c>
      <c r="AT257">
        <f>IF(AS257&gt;=X257,1,0)</f>
        <v>0</v>
      </c>
      <c r="AU257">
        <f>IF(AS257&gt;=Y257,1,0)</f>
        <v>0</v>
      </c>
      <c r="AV257">
        <f>IF(AS257&lt;(X257-0.10),1,0)</f>
        <v>0</v>
      </c>
      <c r="AW257">
        <f>1-AM257/100</f>
        <v>0</v>
      </c>
      <c r="AX257">
        <f>IF(AQ257=1,AW257,1)</f>
        <v>0</v>
      </c>
      <c r="AY257">
        <f>IF(AP257=1,AW257,1)</f>
        <v>0</v>
      </c>
      <c r="AZ257">
        <f>IF(AND(AT257=1,ISNUMBER(AW257)),$AW257,1)</f>
        <v>0</v>
      </c>
      <c r="BA257">
        <f>IF(AND(AU257=1,ISNUMBER(AW257)),$AW257,1)</f>
        <v>0</v>
      </c>
      <c r="BB257">
        <f>IF(ISNUMBER(AB257),INDEX(AllCollegeMoney, MATCH(N257,AllCollegeNCES,0)),0)</f>
        <v>0</v>
      </c>
      <c r="BC257">
        <f>IF(AND(AT257=1,ISNUMBER(AW257),BB257=1),$AW257,1)</f>
        <v>0</v>
      </c>
      <c r="BD257">
        <f>IF(AND(AU257=1,ISNUMBER(AW257),BB257=1),$AW257,1)</f>
        <v>0</v>
      </c>
      <c r="BE257">
        <f>IF(ISNUMBER(AB257),INDEX(AllCollegeILPub, MATCH(N257,AllCollegeNCES,0)),0)</f>
        <v>0</v>
      </c>
      <c r="BF257">
        <f>IF(AN257=ReachLabel,AS257,0)</f>
        <v>0</v>
      </c>
      <c r="BG257">
        <f>IF(AN257=MatchLabel,AS257,0)</f>
        <v>0</v>
      </c>
      <c r="BH257">
        <f>IF(AN257=SafetyLabel,AS257,0)</f>
        <v>0</v>
      </c>
      <c r="BI257">
        <f>IF(AN257=SecureLabel,AS257,0)</f>
        <v>0</v>
      </c>
      <c r="BJ257">
        <f>IF(AN257=SureThingLabel,AS257,0)</f>
        <v>0</v>
      </c>
      <c r="BK257">
        <f>MAX(BF257:BJ257)</f>
        <v>0</v>
      </c>
      <c r="BL257">
        <f>MAX(BG257:BJ257)</f>
        <v>0</v>
      </c>
      <c r="BM257">
        <f>MAX(BH257:BJ257)</f>
        <v>0</v>
      </c>
      <c r="BN257">
        <f>IF(AND(AN257=ReachLabel,BB257=1),AS257,0)</f>
        <v>0</v>
      </c>
      <c r="BO257">
        <f>IF(AND(AN257=MatchLabel,BB257=1),AS257,0)</f>
        <v>0</v>
      </c>
      <c r="BP257">
        <f>IF(AND(AN257=SafetyLabel,BB257=1),AS257,0)</f>
        <v>0</v>
      </c>
      <c r="BQ257">
        <f>IF(AND(AN257=SecureLabel,BB257=1),AS257,0)</f>
        <v>0</v>
      </c>
      <c r="BR257">
        <f>IF(AND(AN257=SureThingLabel,BB257=1),AS257,0)</f>
        <v>0</v>
      </c>
      <c r="BS257">
        <f>MAX(BN257:BR257)</f>
        <v>0</v>
      </c>
      <c r="BT257">
        <f>MAX(BO257:BR257)</f>
        <v>0</v>
      </c>
      <c r="BU257">
        <f>MAX(BP257:BR257)</f>
        <v>0</v>
      </c>
      <c r="BV257">
        <f>IF(ISNUMBER(AB257),INDEX(AllCollegeChicago, MATCH(N257,AllCollegeNCES,0))*BB257,0)</f>
        <v>0</v>
      </c>
      <c r="BW257">
        <f>IF(ISNUMBER(AB257),INDEX(AllCollegeMoneyCode, MATCH(N257,AllCollegeNCES,0)),"?")</f>
        <v>0</v>
      </c>
      <c r="BX257">
        <f>IF(OR(BW257="---",BW257="--",BW257="+/--",BW257="+/---"),1,0)</f>
        <v>0</v>
      </c>
      <c r="BY257">
        <f>BB257*AR257*AT257</f>
        <v>0</v>
      </c>
    </row>
    <row r="258" spans="1:77">
      <c r="A258" t="s">
        <v>96</v>
      </c>
      <c r="B258">
        <v>23020881</v>
      </c>
      <c r="C258" t="s">
        <v>306</v>
      </c>
      <c r="D258" t="s">
        <v>307</v>
      </c>
      <c r="E258" t="s">
        <v>446</v>
      </c>
      <c r="F258" t="s">
        <v>538</v>
      </c>
      <c r="G258" t="s">
        <v>448</v>
      </c>
      <c r="H258" t="s">
        <v>449</v>
      </c>
      <c r="I258" t="s">
        <v>450</v>
      </c>
      <c r="J258" t="s">
        <v>450</v>
      </c>
      <c r="K258">
        <v>0</v>
      </c>
      <c r="L258" t="s">
        <v>446</v>
      </c>
      <c r="M258" t="s">
        <v>446</v>
      </c>
      <c r="N258">
        <v>201690</v>
      </c>
      <c r="O258">
        <f>INDEX(Counselor,MATCH(B258,KidIDs,0))</f>
        <v>0</v>
      </c>
      <c r="P258">
        <f>INDEX(Advisors,MATCH(B258,KidIDs,0))</f>
        <v>0</v>
      </c>
      <c r="Q258">
        <f>INDEX(Cohort,MATCH(B258,KidIDs,0))</f>
        <v>0</v>
      </c>
      <c r="R258">
        <f>INDEX(AllCollegeBarrons,MATCH(N258,AllCollegeNCES,0))</f>
        <v>0</v>
      </c>
      <c r="S258">
        <f>INDEX(KidGPAs,MATCH(B258,KidIDs,0))</f>
        <v>0</v>
      </c>
      <c r="T258">
        <f>INDEX(KidSATs,MATCH(B258,KidIDs,0))</f>
        <v>0</v>
      </c>
      <c r="U258">
        <f>INDEX(Strats,MATCH(B258,KidIDs,0))</f>
        <v>0</v>
      </c>
      <c r="V258">
        <f>INDEX(KidRace,MATCH(B258,KidIDs,0))</f>
        <v>0</v>
      </c>
      <c r="W258">
        <f>IF(OR(V258="M",V258="I"),"H",IF(V258="P","A",V258))</f>
        <v>0</v>
      </c>
      <c r="X258">
        <f>INDEX(StudentTargets,MATCH(B258,KidIDs,0))</f>
        <v>0</v>
      </c>
      <c r="Y258">
        <f>INDEX(ReachStudentTargets,MATCH(B258,KidIDs,0))</f>
        <v>0</v>
      </c>
      <c r="Z258">
        <f>IF(OR(M258="Posse"),1,0)</f>
        <v>0</v>
      </c>
      <c r="AA258">
        <f>IF(ISNUMBER(INDEX(AllCollegeGR, MATCH(N258,AllCollegeNCES,0))),ROUND(INDEX(AllCollegeGR, MATCH(N258,AllCollegeNCES,0))+Z258*IF(INDEX(AllCollegeGR, MATCH(N258,AllCollegeNCES,0))&gt;0.7,(1-INDEX(AllCollegeGR, MATCH(N258,AllCollegeNCES,0)))/2,0.15),2),INDEX(AllCollegeGR, MATCH(N258,AllCollegeNCES,0)))</f>
        <v>0</v>
      </c>
      <c r="AB258">
        <f>IF(ISNUMBER(INDEX(AllCollegeAAHGR, MATCH(N258,AllCollegeNCES,0))),ROUND(INDEX(AllCollegeAAHGR, MATCH(N258,AllCollegeNCES,0))+Z258*IF(INDEX(AllCollegeAAHGR, MATCH(N258,AllCollegeNCES,0))&gt;0.7,(1-INDEX(AllCollegeAAHGR, MATCH(N258,AllCollegeNCES,0)))/2,0.15),2),INDEX(AllCollegeAAHGR, MATCH(N258,AllCollegeNCES,0)))</f>
        <v>0</v>
      </c>
      <c r="AC258">
        <f>IF(OR(W258="H",W258="B"),INDEX(AllCollegeSAT25, MATCH(N258,AllCollegeNCES,0)),INDEX(AllCollegeSAT50, MATCH(N258,AllCollegeNCES,0)))</f>
        <v>0</v>
      </c>
      <c r="AD258">
        <f>INDEX(CustomWeightsGPA,MATCH(W258&amp;":"&amp;N258,CustomWeightsIndex,0))</f>
        <v>0</v>
      </c>
      <c r="AE258">
        <f>INDEX(CustomWeightsSAT,MATCH(W258&amp;":"&amp;N258,CustomWeightsIndex,0))</f>
        <v>0</v>
      </c>
      <c r="AF258">
        <f>INDEX(CustomWeightsIntercept,MATCH(W258&amp;":"&amp;N258,CustomWeightsIndex,0))</f>
        <v>0</v>
      </c>
      <c r="AG258">
        <f>AD258*S258+AE258*T258+AF258</f>
        <v>0</v>
      </c>
      <c r="AH258">
        <f>INDEX(CoefficientsGPA,MATCH(W258&amp;":"&amp;R258,CoefficientsIndex,0))</f>
        <v>0</v>
      </c>
      <c r="AI258">
        <f>INDEX(CoefficientsSAT,MATCH(W258&amp;":"&amp;R258,CoefficientsIndex,0))</f>
        <v>0</v>
      </c>
      <c r="AJ258">
        <f>INDEX(CoefficientsIntercept,MATCH(W258&amp;":"&amp;R258,CoefficientsIndex,0))</f>
        <v>0</v>
      </c>
      <c r="AK258">
        <f>AH258*S258+(T258-AC258)*AI258+AJ258</f>
        <v>0</v>
      </c>
      <c r="AL258">
        <f>IF(ISNUMBER(AG258),AG258,AK258)</f>
        <v>0</v>
      </c>
      <c r="AM258">
        <f>IF(ISNUMBER(AL258),IF(ISNUMBER(AH258),IF(AND(AH258=1,AI258=1,AJ258=1),100,MIN(99,ROUND(100*EXP(AL258)/(1+EXP(AL258)),2))),MIN(99,ROUND(100*EXP(AL258)/(1+EXP(AL258)),2))),IF(ISTEXT(R258),IF(LEFT(R258,1)="2",100,"N/A"),"N/A"))</f>
        <v>0</v>
      </c>
      <c r="AN258">
        <f>IF(ISNUMBER(AM258),IF(AM258&gt;=99,IF(OR(U258=10,U258=11),MatchLabel,SureThingLabel),IF(AM258&gt;=95,SecureLabel,IF(AM258&gt;=80,SafetyLabel,IF(AM258&gt;=50,MatchLabel,IF(AM258&gt;=20,ReachLabel,IF(AM258&gt;=10,LongshotLabel,HailMaryLabel)))))),"Other")</f>
        <v>0</v>
      </c>
      <c r="AO258">
        <f>IF(OR(I258="accepted",I258="cond. accept",I258="summer admit"),IF(J258="yes","CHOICE!","Accepted!"),IF(I258="guar. transfer","Guar. Xfer",IF(I258="denied","Denied",IF(K258=1,"Waitlist",IF(L258=1,"Deferred",IF(G258="pending","Pending",IF(OR(G258="initial materials submitted",G258="mid-year submitted",G258="final submitted"),"Submitted",IF(H258="interest","Interest","?"))))))))</f>
        <v>0</v>
      </c>
      <c r="AP258">
        <f>IF(OR(AN258=ReachLabel,AN258=LongshotLabel,AN258=HailMaryLabel),1,0)</f>
        <v>0</v>
      </c>
      <c r="AQ258">
        <f>IF(OR(AP258=1,AN258=MatchLabel),1,0)</f>
        <v>0</v>
      </c>
      <c r="AR258">
        <f>IF(OR(AN258=MatchLabel,AN258=SafetyLabel,AN258=SecureLabel,AN258=SureThingLabel),1,0)</f>
        <v>0</v>
      </c>
      <c r="AS258">
        <f>IF(OR(W258="H",W258="B",W258="I",W258="M"),IF(ISNUMBER(AB258),ROUND(AB258,2),0),IF(ISNUMBER(AA258),ROUND(AA258,2),0))</f>
        <v>0</v>
      </c>
      <c r="AT258">
        <f>IF(AS258&gt;=X258,1,0)</f>
        <v>0</v>
      </c>
      <c r="AU258">
        <f>IF(AS258&gt;=Y258,1,0)</f>
        <v>0</v>
      </c>
      <c r="AV258">
        <f>IF(AS258&lt;(X258-0.10),1,0)</f>
        <v>0</v>
      </c>
      <c r="AW258">
        <f>1-AM258/100</f>
        <v>0</v>
      </c>
      <c r="AX258">
        <f>IF(AQ258=1,AW258,1)</f>
        <v>0</v>
      </c>
      <c r="AY258">
        <f>IF(AP258=1,AW258,1)</f>
        <v>0</v>
      </c>
      <c r="AZ258">
        <f>IF(AND(AT258=1,ISNUMBER(AW258)),$AW258,1)</f>
        <v>0</v>
      </c>
      <c r="BA258">
        <f>IF(AND(AU258=1,ISNUMBER(AW258)),$AW258,1)</f>
        <v>0</v>
      </c>
      <c r="BB258">
        <f>IF(ISNUMBER(AB258),INDEX(AllCollegeMoney, MATCH(N258,AllCollegeNCES,0)),0)</f>
        <v>0</v>
      </c>
      <c r="BC258">
        <f>IF(AND(AT258=1,ISNUMBER(AW258),BB258=1),$AW258,1)</f>
        <v>0</v>
      </c>
      <c r="BD258">
        <f>IF(AND(AU258=1,ISNUMBER(AW258),BB258=1),$AW258,1)</f>
        <v>0</v>
      </c>
      <c r="BE258">
        <f>IF(ISNUMBER(AB258),INDEX(AllCollegeILPub, MATCH(N258,AllCollegeNCES,0)),0)</f>
        <v>0</v>
      </c>
      <c r="BF258">
        <f>IF(AN258=ReachLabel,AS258,0)</f>
        <v>0</v>
      </c>
      <c r="BG258">
        <f>IF(AN258=MatchLabel,AS258,0)</f>
        <v>0</v>
      </c>
      <c r="BH258">
        <f>IF(AN258=SafetyLabel,AS258,0)</f>
        <v>0</v>
      </c>
      <c r="BI258">
        <f>IF(AN258=SecureLabel,AS258,0)</f>
        <v>0</v>
      </c>
      <c r="BJ258">
        <f>IF(AN258=SureThingLabel,AS258,0)</f>
        <v>0</v>
      </c>
      <c r="BK258">
        <f>MAX(BF258:BJ258)</f>
        <v>0</v>
      </c>
      <c r="BL258">
        <f>MAX(BG258:BJ258)</f>
        <v>0</v>
      </c>
      <c r="BM258">
        <f>MAX(BH258:BJ258)</f>
        <v>0</v>
      </c>
      <c r="BN258">
        <f>IF(AND(AN258=ReachLabel,BB258=1),AS258,0)</f>
        <v>0</v>
      </c>
      <c r="BO258">
        <f>IF(AND(AN258=MatchLabel,BB258=1),AS258,0)</f>
        <v>0</v>
      </c>
      <c r="BP258">
        <f>IF(AND(AN258=SafetyLabel,BB258=1),AS258,0)</f>
        <v>0</v>
      </c>
      <c r="BQ258">
        <f>IF(AND(AN258=SecureLabel,BB258=1),AS258,0)</f>
        <v>0</v>
      </c>
      <c r="BR258">
        <f>IF(AND(AN258=SureThingLabel,BB258=1),AS258,0)</f>
        <v>0</v>
      </c>
      <c r="BS258">
        <f>MAX(BN258:BR258)</f>
        <v>0</v>
      </c>
      <c r="BT258">
        <f>MAX(BO258:BR258)</f>
        <v>0</v>
      </c>
      <c r="BU258">
        <f>MAX(BP258:BR258)</f>
        <v>0</v>
      </c>
      <c r="BV258">
        <f>IF(ISNUMBER(AB258),INDEX(AllCollegeChicago, MATCH(N258,AllCollegeNCES,0))*BB258,0)</f>
        <v>0</v>
      </c>
      <c r="BW258">
        <f>IF(ISNUMBER(AB258),INDEX(AllCollegeMoneyCode, MATCH(N258,AllCollegeNCES,0)),"?")</f>
        <v>0</v>
      </c>
      <c r="BX258">
        <f>IF(OR(BW258="---",BW258="--",BW258="+/--",BW258="+/---"),1,0)</f>
        <v>0</v>
      </c>
      <c r="BY258">
        <f>BB258*AR258*AT258</f>
        <v>0</v>
      </c>
    </row>
    <row r="259" spans="1:77">
      <c r="A259" t="s">
        <v>96</v>
      </c>
      <c r="B259">
        <v>23020881</v>
      </c>
      <c r="C259" t="s">
        <v>306</v>
      </c>
      <c r="D259" t="s">
        <v>307</v>
      </c>
      <c r="E259" t="s">
        <v>446</v>
      </c>
      <c r="F259" t="s">
        <v>458</v>
      </c>
      <c r="G259" t="s">
        <v>448</v>
      </c>
      <c r="H259" t="s">
        <v>449</v>
      </c>
      <c r="I259" t="s">
        <v>450</v>
      </c>
      <c r="J259" t="s">
        <v>450</v>
      </c>
      <c r="K259">
        <v>0</v>
      </c>
      <c r="L259" t="s">
        <v>446</v>
      </c>
      <c r="M259" t="s">
        <v>446</v>
      </c>
      <c r="N259">
        <v>144892</v>
      </c>
      <c r="O259">
        <f>INDEX(Counselor,MATCH(B259,KidIDs,0))</f>
        <v>0</v>
      </c>
      <c r="P259">
        <f>INDEX(Advisors,MATCH(B259,KidIDs,0))</f>
        <v>0</v>
      </c>
      <c r="Q259">
        <f>INDEX(Cohort,MATCH(B259,KidIDs,0))</f>
        <v>0</v>
      </c>
      <c r="R259">
        <f>INDEX(AllCollegeBarrons,MATCH(N259,AllCollegeNCES,0))</f>
        <v>0</v>
      </c>
      <c r="S259">
        <f>INDEX(KidGPAs,MATCH(B259,KidIDs,0))</f>
        <v>0</v>
      </c>
      <c r="T259">
        <f>INDEX(KidSATs,MATCH(B259,KidIDs,0))</f>
        <v>0</v>
      </c>
      <c r="U259">
        <f>INDEX(Strats,MATCH(B259,KidIDs,0))</f>
        <v>0</v>
      </c>
      <c r="V259">
        <f>INDEX(KidRace,MATCH(B259,KidIDs,0))</f>
        <v>0</v>
      </c>
      <c r="W259">
        <f>IF(OR(V259="M",V259="I"),"H",IF(V259="P","A",V259))</f>
        <v>0</v>
      </c>
      <c r="X259">
        <f>INDEX(StudentTargets,MATCH(B259,KidIDs,0))</f>
        <v>0</v>
      </c>
      <c r="Y259">
        <f>INDEX(ReachStudentTargets,MATCH(B259,KidIDs,0))</f>
        <v>0</v>
      </c>
      <c r="Z259">
        <f>IF(OR(M259="Posse"),1,0)</f>
        <v>0</v>
      </c>
      <c r="AA259">
        <f>IF(ISNUMBER(INDEX(AllCollegeGR, MATCH(N259,AllCollegeNCES,0))),ROUND(INDEX(AllCollegeGR, MATCH(N259,AllCollegeNCES,0))+Z259*IF(INDEX(AllCollegeGR, MATCH(N259,AllCollegeNCES,0))&gt;0.7,(1-INDEX(AllCollegeGR, MATCH(N259,AllCollegeNCES,0)))/2,0.15),2),INDEX(AllCollegeGR, MATCH(N259,AllCollegeNCES,0)))</f>
        <v>0</v>
      </c>
      <c r="AB259">
        <f>IF(ISNUMBER(INDEX(AllCollegeAAHGR, MATCH(N259,AllCollegeNCES,0))),ROUND(INDEX(AllCollegeAAHGR, MATCH(N259,AllCollegeNCES,0))+Z259*IF(INDEX(AllCollegeAAHGR, MATCH(N259,AllCollegeNCES,0))&gt;0.7,(1-INDEX(AllCollegeAAHGR, MATCH(N259,AllCollegeNCES,0)))/2,0.15),2),INDEX(AllCollegeAAHGR, MATCH(N259,AllCollegeNCES,0)))</f>
        <v>0</v>
      </c>
      <c r="AC259">
        <f>IF(OR(W259="H",W259="B"),INDEX(AllCollegeSAT25, MATCH(N259,AllCollegeNCES,0)),INDEX(AllCollegeSAT50, MATCH(N259,AllCollegeNCES,0)))</f>
        <v>0</v>
      </c>
      <c r="AD259">
        <f>INDEX(CustomWeightsGPA,MATCH(W259&amp;":"&amp;N259,CustomWeightsIndex,0))</f>
        <v>0</v>
      </c>
      <c r="AE259">
        <f>INDEX(CustomWeightsSAT,MATCH(W259&amp;":"&amp;N259,CustomWeightsIndex,0))</f>
        <v>0</v>
      </c>
      <c r="AF259">
        <f>INDEX(CustomWeightsIntercept,MATCH(W259&amp;":"&amp;N259,CustomWeightsIndex,0))</f>
        <v>0</v>
      </c>
      <c r="AG259">
        <f>AD259*S259+AE259*T259+AF259</f>
        <v>0</v>
      </c>
      <c r="AH259">
        <f>INDEX(CoefficientsGPA,MATCH(W259&amp;":"&amp;R259,CoefficientsIndex,0))</f>
        <v>0</v>
      </c>
      <c r="AI259">
        <f>INDEX(CoefficientsSAT,MATCH(W259&amp;":"&amp;R259,CoefficientsIndex,0))</f>
        <v>0</v>
      </c>
      <c r="AJ259">
        <f>INDEX(CoefficientsIntercept,MATCH(W259&amp;":"&amp;R259,CoefficientsIndex,0))</f>
        <v>0</v>
      </c>
      <c r="AK259">
        <f>AH259*S259+(T259-AC259)*AI259+AJ259</f>
        <v>0</v>
      </c>
      <c r="AL259">
        <f>IF(ISNUMBER(AG259),AG259,AK259)</f>
        <v>0</v>
      </c>
      <c r="AM259">
        <f>IF(ISNUMBER(AL259),IF(ISNUMBER(AH259),IF(AND(AH259=1,AI259=1,AJ259=1),100,MIN(99,ROUND(100*EXP(AL259)/(1+EXP(AL259)),2))),MIN(99,ROUND(100*EXP(AL259)/(1+EXP(AL259)),2))),IF(ISTEXT(R259),IF(LEFT(R259,1)="2",100,"N/A"),"N/A"))</f>
        <v>0</v>
      </c>
      <c r="AN259">
        <f>IF(ISNUMBER(AM259),IF(AM259&gt;=99,IF(OR(U259=10,U259=11),MatchLabel,SureThingLabel),IF(AM259&gt;=95,SecureLabel,IF(AM259&gt;=80,SafetyLabel,IF(AM259&gt;=50,MatchLabel,IF(AM259&gt;=20,ReachLabel,IF(AM259&gt;=10,LongshotLabel,HailMaryLabel)))))),"Other")</f>
        <v>0</v>
      </c>
      <c r="AO259">
        <f>IF(OR(I259="accepted",I259="cond. accept",I259="summer admit"),IF(J259="yes","CHOICE!","Accepted!"),IF(I259="guar. transfer","Guar. Xfer",IF(I259="denied","Denied",IF(K259=1,"Waitlist",IF(L259=1,"Deferred",IF(G259="pending","Pending",IF(OR(G259="initial materials submitted",G259="mid-year submitted",G259="final submitted"),"Submitted",IF(H259="interest","Interest","?"))))))))</f>
        <v>0</v>
      </c>
      <c r="AP259">
        <f>IF(OR(AN259=ReachLabel,AN259=LongshotLabel,AN259=HailMaryLabel),1,0)</f>
        <v>0</v>
      </c>
      <c r="AQ259">
        <f>IF(OR(AP259=1,AN259=MatchLabel),1,0)</f>
        <v>0</v>
      </c>
      <c r="AR259">
        <f>IF(OR(AN259=MatchLabel,AN259=SafetyLabel,AN259=SecureLabel,AN259=SureThingLabel),1,0)</f>
        <v>0</v>
      </c>
      <c r="AS259">
        <f>IF(OR(W259="H",W259="B",W259="I",W259="M"),IF(ISNUMBER(AB259),ROUND(AB259,2),0),IF(ISNUMBER(AA259),ROUND(AA259,2),0))</f>
        <v>0</v>
      </c>
      <c r="AT259">
        <f>IF(AS259&gt;=X259,1,0)</f>
        <v>0</v>
      </c>
      <c r="AU259">
        <f>IF(AS259&gt;=Y259,1,0)</f>
        <v>0</v>
      </c>
      <c r="AV259">
        <f>IF(AS259&lt;(X259-0.10),1,0)</f>
        <v>0</v>
      </c>
      <c r="AW259">
        <f>1-AM259/100</f>
        <v>0</v>
      </c>
      <c r="AX259">
        <f>IF(AQ259=1,AW259,1)</f>
        <v>0</v>
      </c>
      <c r="AY259">
        <f>IF(AP259=1,AW259,1)</f>
        <v>0</v>
      </c>
      <c r="AZ259">
        <f>IF(AND(AT259=1,ISNUMBER(AW259)),$AW259,1)</f>
        <v>0</v>
      </c>
      <c r="BA259">
        <f>IF(AND(AU259=1,ISNUMBER(AW259)),$AW259,1)</f>
        <v>0</v>
      </c>
      <c r="BB259">
        <f>IF(ISNUMBER(AB259),INDEX(AllCollegeMoney, MATCH(N259,AllCollegeNCES,0)),0)</f>
        <v>0</v>
      </c>
      <c r="BC259">
        <f>IF(AND(AT259=1,ISNUMBER(AW259),BB259=1),$AW259,1)</f>
        <v>0</v>
      </c>
      <c r="BD259">
        <f>IF(AND(AU259=1,ISNUMBER(AW259),BB259=1),$AW259,1)</f>
        <v>0</v>
      </c>
      <c r="BE259">
        <f>IF(ISNUMBER(AB259),INDEX(AllCollegeILPub, MATCH(N259,AllCollegeNCES,0)),0)</f>
        <v>0</v>
      </c>
      <c r="BF259">
        <f>IF(AN259=ReachLabel,AS259,0)</f>
        <v>0</v>
      </c>
      <c r="BG259">
        <f>IF(AN259=MatchLabel,AS259,0)</f>
        <v>0</v>
      </c>
      <c r="BH259">
        <f>IF(AN259=SafetyLabel,AS259,0)</f>
        <v>0</v>
      </c>
      <c r="BI259">
        <f>IF(AN259=SecureLabel,AS259,0)</f>
        <v>0</v>
      </c>
      <c r="BJ259">
        <f>IF(AN259=SureThingLabel,AS259,0)</f>
        <v>0</v>
      </c>
      <c r="BK259">
        <f>MAX(BF259:BJ259)</f>
        <v>0</v>
      </c>
      <c r="BL259">
        <f>MAX(BG259:BJ259)</f>
        <v>0</v>
      </c>
      <c r="BM259">
        <f>MAX(BH259:BJ259)</f>
        <v>0</v>
      </c>
      <c r="BN259">
        <f>IF(AND(AN259=ReachLabel,BB259=1),AS259,0)</f>
        <v>0</v>
      </c>
      <c r="BO259">
        <f>IF(AND(AN259=MatchLabel,BB259=1),AS259,0)</f>
        <v>0</v>
      </c>
      <c r="BP259">
        <f>IF(AND(AN259=SafetyLabel,BB259=1),AS259,0)</f>
        <v>0</v>
      </c>
      <c r="BQ259">
        <f>IF(AND(AN259=SecureLabel,BB259=1),AS259,0)</f>
        <v>0</v>
      </c>
      <c r="BR259">
        <f>IF(AND(AN259=SureThingLabel,BB259=1),AS259,0)</f>
        <v>0</v>
      </c>
      <c r="BS259">
        <f>MAX(BN259:BR259)</f>
        <v>0</v>
      </c>
      <c r="BT259">
        <f>MAX(BO259:BR259)</f>
        <v>0</v>
      </c>
      <c r="BU259">
        <f>MAX(BP259:BR259)</f>
        <v>0</v>
      </c>
      <c r="BV259">
        <f>IF(ISNUMBER(AB259),INDEX(AllCollegeChicago, MATCH(N259,AllCollegeNCES,0))*BB259,0)</f>
        <v>0</v>
      </c>
      <c r="BW259">
        <f>IF(ISNUMBER(AB259),INDEX(AllCollegeMoneyCode, MATCH(N259,AllCollegeNCES,0)),"?")</f>
        <v>0</v>
      </c>
      <c r="BX259">
        <f>IF(OR(BW259="---",BW259="--",BW259="+/--",BW259="+/---"),1,0)</f>
        <v>0</v>
      </c>
      <c r="BY259">
        <f>BB259*AR259*AT259</f>
        <v>0</v>
      </c>
    </row>
    <row r="260" spans="1:77">
      <c r="A260" t="s">
        <v>96</v>
      </c>
      <c r="B260">
        <v>23020881</v>
      </c>
      <c r="C260" t="s">
        <v>306</v>
      </c>
      <c r="D260" t="s">
        <v>307</v>
      </c>
      <c r="E260" t="s">
        <v>446</v>
      </c>
      <c r="F260" t="s">
        <v>505</v>
      </c>
      <c r="G260" t="s">
        <v>448</v>
      </c>
      <c r="H260" t="s">
        <v>449</v>
      </c>
      <c r="I260" t="s">
        <v>450</v>
      </c>
      <c r="J260" t="s">
        <v>450</v>
      </c>
      <c r="K260">
        <v>0</v>
      </c>
      <c r="L260" t="s">
        <v>446</v>
      </c>
      <c r="M260" t="s">
        <v>446</v>
      </c>
      <c r="N260">
        <v>149231</v>
      </c>
      <c r="O260">
        <f>INDEX(Counselor,MATCH(B260,KidIDs,0))</f>
        <v>0</v>
      </c>
      <c r="P260">
        <f>INDEX(Advisors,MATCH(B260,KidIDs,0))</f>
        <v>0</v>
      </c>
      <c r="Q260">
        <f>INDEX(Cohort,MATCH(B260,KidIDs,0))</f>
        <v>0</v>
      </c>
      <c r="R260">
        <f>INDEX(AllCollegeBarrons,MATCH(N260,AllCollegeNCES,0))</f>
        <v>0</v>
      </c>
      <c r="S260">
        <f>INDEX(KidGPAs,MATCH(B260,KidIDs,0))</f>
        <v>0</v>
      </c>
      <c r="T260">
        <f>INDEX(KidSATs,MATCH(B260,KidIDs,0))</f>
        <v>0</v>
      </c>
      <c r="U260">
        <f>INDEX(Strats,MATCH(B260,KidIDs,0))</f>
        <v>0</v>
      </c>
      <c r="V260">
        <f>INDEX(KidRace,MATCH(B260,KidIDs,0))</f>
        <v>0</v>
      </c>
      <c r="W260">
        <f>IF(OR(V260="M",V260="I"),"H",IF(V260="P","A",V260))</f>
        <v>0</v>
      </c>
      <c r="X260">
        <f>INDEX(StudentTargets,MATCH(B260,KidIDs,0))</f>
        <v>0</v>
      </c>
      <c r="Y260">
        <f>INDEX(ReachStudentTargets,MATCH(B260,KidIDs,0))</f>
        <v>0</v>
      </c>
      <c r="Z260">
        <f>IF(OR(M260="Posse"),1,0)</f>
        <v>0</v>
      </c>
      <c r="AA260">
        <f>IF(ISNUMBER(INDEX(AllCollegeGR, MATCH(N260,AllCollegeNCES,0))),ROUND(INDEX(AllCollegeGR, MATCH(N260,AllCollegeNCES,0))+Z260*IF(INDEX(AllCollegeGR, MATCH(N260,AllCollegeNCES,0))&gt;0.7,(1-INDEX(AllCollegeGR, MATCH(N260,AllCollegeNCES,0)))/2,0.15),2),INDEX(AllCollegeGR, MATCH(N260,AllCollegeNCES,0)))</f>
        <v>0</v>
      </c>
      <c r="AB260">
        <f>IF(ISNUMBER(INDEX(AllCollegeAAHGR, MATCH(N260,AllCollegeNCES,0))),ROUND(INDEX(AllCollegeAAHGR, MATCH(N260,AllCollegeNCES,0))+Z260*IF(INDEX(AllCollegeAAHGR, MATCH(N260,AllCollegeNCES,0))&gt;0.7,(1-INDEX(AllCollegeAAHGR, MATCH(N260,AllCollegeNCES,0)))/2,0.15),2),INDEX(AllCollegeAAHGR, MATCH(N260,AllCollegeNCES,0)))</f>
        <v>0</v>
      </c>
      <c r="AC260">
        <f>IF(OR(W260="H",W260="B"),INDEX(AllCollegeSAT25, MATCH(N260,AllCollegeNCES,0)),INDEX(AllCollegeSAT50, MATCH(N260,AllCollegeNCES,0)))</f>
        <v>0</v>
      </c>
      <c r="AD260">
        <f>INDEX(CustomWeightsGPA,MATCH(W260&amp;":"&amp;N260,CustomWeightsIndex,0))</f>
        <v>0</v>
      </c>
      <c r="AE260">
        <f>INDEX(CustomWeightsSAT,MATCH(W260&amp;":"&amp;N260,CustomWeightsIndex,0))</f>
        <v>0</v>
      </c>
      <c r="AF260">
        <f>INDEX(CustomWeightsIntercept,MATCH(W260&amp;":"&amp;N260,CustomWeightsIndex,0))</f>
        <v>0</v>
      </c>
      <c r="AG260">
        <f>AD260*S260+AE260*T260+AF260</f>
        <v>0</v>
      </c>
      <c r="AH260">
        <f>INDEX(CoefficientsGPA,MATCH(W260&amp;":"&amp;R260,CoefficientsIndex,0))</f>
        <v>0</v>
      </c>
      <c r="AI260">
        <f>INDEX(CoefficientsSAT,MATCH(W260&amp;":"&amp;R260,CoefficientsIndex,0))</f>
        <v>0</v>
      </c>
      <c r="AJ260">
        <f>INDEX(CoefficientsIntercept,MATCH(W260&amp;":"&amp;R260,CoefficientsIndex,0))</f>
        <v>0</v>
      </c>
      <c r="AK260">
        <f>AH260*S260+(T260-AC260)*AI260+AJ260</f>
        <v>0</v>
      </c>
      <c r="AL260">
        <f>IF(ISNUMBER(AG260),AG260,AK260)</f>
        <v>0</v>
      </c>
      <c r="AM260">
        <f>IF(ISNUMBER(AL260),IF(ISNUMBER(AH260),IF(AND(AH260=1,AI260=1,AJ260=1),100,MIN(99,ROUND(100*EXP(AL260)/(1+EXP(AL260)),2))),MIN(99,ROUND(100*EXP(AL260)/(1+EXP(AL260)),2))),IF(ISTEXT(R260),IF(LEFT(R260,1)="2",100,"N/A"),"N/A"))</f>
        <v>0</v>
      </c>
      <c r="AN260">
        <f>IF(ISNUMBER(AM260),IF(AM260&gt;=99,IF(OR(U260=10,U260=11),MatchLabel,SureThingLabel),IF(AM260&gt;=95,SecureLabel,IF(AM260&gt;=80,SafetyLabel,IF(AM260&gt;=50,MatchLabel,IF(AM260&gt;=20,ReachLabel,IF(AM260&gt;=10,LongshotLabel,HailMaryLabel)))))),"Other")</f>
        <v>0</v>
      </c>
      <c r="AO260">
        <f>IF(OR(I260="accepted",I260="cond. accept",I260="summer admit"),IF(J260="yes","CHOICE!","Accepted!"),IF(I260="guar. transfer","Guar. Xfer",IF(I260="denied","Denied",IF(K260=1,"Waitlist",IF(L260=1,"Deferred",IF(G260="pending","Pending",IF(OR(G260="initial materials submitted",G260="mid-year submitted",G260="final submitted"),"Submitted",IF(H260="interest","Interest","?"))))))))</f>
        <v>0</v>
      </c>
      <c r="AP260">
        <f>IF(OR(AN260=ReachLabel,AN260=LongshotLabel,AN260=HailMaryLabel),1,0)</f>
        <v>0</v>
      </c>
      <c r="AQ260">
        <f>IF(OR(AP260=1,AN260=MatchLabel),1,0)</f>
        <v>0</v>
      </c>
      <c r="AR260">
        <f>IF(OR(AN260=MatchLabel,AN260=SafetyLabel,AN260=SecureLabel,AN260=SureThingLabel),1,0)</f>
        <v>0</v>
      </c>
      <c r="AS260">
        <f>IF(OR(W260="H",W260="B",W260="I",W260="M"),IF(ISNUMBER(AB260),ROUND(AB260,2),0),IF(ISNUMBER(AA260),ROUND(AA260,2),0))</f>
        <v>0</v>
      </c>
      <c r="AT260">
        <f>IF(AS260&gt;=X260,1,0)</f>
        <v>0</v>
      </c>
      <c r="AU260">
        <f>IF(AS260&gt;=Y260,1,0)</f>
        <v>0</v>
      </c>
      <c r="AV260">
        <f>IF(AS260&lt;(X260-0.10),1,0)</f>
        <v>0</v>
      </c>
      <c r="AW260">
        <f>1-AM260/100</f>
        <v>0</v>
      </c>
      <c r="AX260">
        <f>IF(AQ260=1,AW260,1)</f>
        <v>0</v>
      </c>
      <c r="AY260">
        <f>IF(AP260=1,AW260,1)</f>
        <v>0</v>
      </c>
      <c r="AZ260">
        <f>IF(AND(AT260=1,ISNUMBER(AW260)),$AW260,1)</f>
        <v>0</v>
      </c>
      <c r="BA260">
        <f>IF(AND(AU260=1,ISNUMBER(AW260)),$AW260,1)</f>
        <v>0</v>
      </c>
      <c r="BB260">
        <f>IF(ISNUMBER(AB260),INDEX(AllCollegeMoney, MATCH(N260,AllCollegeNCES,0)),0)</f>
        <v>0</v>
      </c>
      <c r="BC260">
        <f>IF(AND(AT260=1,ISNUMBER(AW260),BB260=1),$AW260,1)</f>
        <v>0</v>
      </c>
      <c r="BD260">
        <f>IF(AND(AU260=1,ISNUMBER(AW260),BB260=1),$AW260,1)</f>
        <v>0</v>
      </c>
      <c r="BE260">
        <f>IF(ISNUMBER(AB260),INDEX(AllCollegeILPub, MATCH(N260,AllCollegeNCES,0)),0)</f>
        <v>0</v>
      </c>
      <c r="BF260">
        <f>IF(AN260=ReachLabel,AS260,0)</f>
        <v>0</v>
      </c>
      <c r="BG260">
        <f>IF(AN260=MatchLabel,AS260,0)</f>
        <v>0</v>
      </c>
      <c r="BH260">
        <f>IF(AN260=SafetyLabel,AS260,0)</f>
        <v>0</v>
      </c>
      <c r="BI260">
        <f>IF(AN260=SecureLabel,AS260,0)</f>
        <v>0</v>
      </c>
      <c r="BJ260">
        <f>IF(AN260=SureThingLabel,AS260,0)</f>
        <v>0</v>
      </c>
      <c r="BK260">
        <f>MAX(BF260:BJ260)</f>
        <v>0</v>
      </c>
      <c r="BL260">
        <f>MAX(BG260:BJ260)</f>
        <v>0</v>
      </c>
      <c r="BM260">
        <f>MAX(BH260:BJ260)</f>
        <v>0</v>
      </c>
      <c r="BN260">
        <f>IF(AND(AN260=ReachLabel,BB260=1),AS260,0)</f>
        <v>0</v>
      </c>
      <c r="BO260">
        <f>IF(AND(AN260=MatchLabel,BB260=1),AS260,0)</f>
        <v>0</v>
      </c>
      <c r="BP260">
        <f>IF(AND(AN260=SafetyLabel,BB260=1),AS260,0)</f>
        <v>0</v>
      </c>
      <c r="BQ260">
        <f>IF(AND(AN260=SecureLabel,BB260=1),AS260,0)</f>
        <v>0</v>
      </c>
      <c r="BR260">
        <f>IF(AND(AN260=SureThingLabel,BB260=1),AS260,0)</f>
        <v>0</v>
      </c>
      <c r="BS260">
        <f>MAX(BN260:BR260)</f>
        <v>0</v>
      </c>
      <c r="BT260">
        <f>MAX(BO260:BR260)</f>
        <v>0</v>
      </c>
      <c r="BU260">
        <f>MAX(BP260:BR260)</f>
        <v>0</v>
      </c>
      <c r="BV260">
        <f>IF(ISNUMBER(AB260),INDEX(AllCollegeChicago, MATCH(N260,AllCollegeNCES,0))*BB260,0)</f>
        <v>0</v>
      </c>
      <c r="BW260">
        <f>IF(ISNUMBER(AB260),INDEX(AllCollegeMoneyCode, MATCH(N260,AllCollegeNCES,0)),"?")</f>
        <v>0</v>
      </c>
      <c r="BX260">
        <f>IF(OR(BW260="---",BW260="--",BW260="+/--",BW260="+/---"),1,0)</f>
        <v>0</v>
      </c>
      <c r="BY260">
        <f>BB260*AR260*AT260</f>
        <v>0</v>
      </c>
    </row>
    <row r="261" spans="1:77">
      <c r="A261" t="s">
        <v>96</v>
      </c>
      <c r="B261">
        <v>23036214</v>
      </c>
      <c r="C261" t="s">
        <v>141</v>
      </c>
      <c r="D261" t="s">
        <v>142</v>
      </c>
      <c r="E261" t="s">
        <v>446</v>
      </c>
      <c r="F261" t="s">
        <v>539</v>
      </c>
      <c r="G261" t="s">
        <v>448</v>
      </c>
      <c r="H261" t="s">
        <v>449</v>
      </c>
      <c r="I261" t="s">
        <v>450</v>
      </c>
      <c r="J261" t="s">
        <v>450</v>
      </c>
      <c r="K261">
        <v>0</v>
      </c>
      <c r="L261" t="s">
        <v>446</v>
      </c>
      <c r="M261" t="s">
        <v>446</v>
      </c>
      <c r="N261">
        <v>173258</v>
      </c>
      <c r="O261">
        <f>INDEX(Counselor,MATCH(B261,KidIDs,0))</f>
        <v>0</v>
      </c>
      <c r="P261">
        <f>INDEX(Advisors,MATCH(B261,KidIDs,0))</f>
        <v>0</v>
      </c>
      <c r="Q261">
        <f>INDEX(Cohort,MATCH(B261,KidIDs,0))</f>
        <v>0</v>
      </c>
      <c r="R261">
        <f>INDEX(AllCollegeBarrons,MATCH(N261,AllCollegeNCES,0))</f>
        <v>0</v>
      </c>
      <c r="S261">
        <f>INDEX(KidGPAs,MATCH(B261,KidIDs,0))</f>
        <v>0</v>
      </c>
      <c r="T261">
        <f>INDEX(KidSATs,MATCH(B261,KidIDs,0))</f>
        <v>0</v>
      </c>
      <c r="U261">
        <f>INDEX(Strats,MATCH(B261,KidIDs,0))</f>
        <v>0</v>
      </c>
      <c r="V261">
        <f>INDEX(KidRace,MATCH(B261,KidIDs,0))</f>
        <v>0</v>
      </c>
      <c r="W261">
        <f>IF(OR(V261="M",V261="I"),"H",IF(V261="P","A",V261))</f>
        <v>0</v>
      </c>
      <c r="X261">
        <f>INDEX(StudentTargets,MATCH(B261,KidIDs,0))</f>
        <v>0</v>
      </c>
      <c r="Y261">
        <f>INDEX(ReachStudentTargets,MATCH(B261,KidIDs,0))</f>
        <v>0</v>
      </c>
      <c r="Z261">
        <f>IF(OR(M261="Posse"),1,0)</f>
        <v>0</v>
      </c>
      <c r="AA261">
        <f>IF(ISNUMBER(INDEX(AllCollegeGR, MATCH(N261,AllCollegeNCES,0))),ROUND(INDEX(AllCollegeGR, MATCH(N261,AllCollegeNCES,0))+Z261*IF(INDEX(AllCollegeGR, MATCH(N261,AllCollegeNCES,0))&gt;0.7,(1-INDEX(AllCollegeGR, MATCH(N261,AllCollegeNCES,0)))/2,0.15),2),INDEX(AllCollegeGR, MATCH(N261,AllCollegeNCES,0)))</f>
        <v>0</v>
      </c>
      <c r="AB261">
        <f>IF(ISNUMBER(INDEX(AllCollegeAAHGR, MATCH(N261,AllCollegeNCES,0))),ROUND(INDEX(AllCollegeAAHGR, MATCH(N261,AllCollegeNCES,0))+Z261*IF(INDEX(AllCollegeAAHGR, MATCH(N261,AllCollegeNCES,0))&gt;0.7,(1-INDEX(AllCollegeAAHGR, MATCH(N261,AllCollegeNCES,0)))/2,0.15),2),INDEX(AllCollegeAAHGR, MATCH(N261,AllCollegeNCES,0)))</f>
        <v>0</v>
      </c>
      <c r="AC261">
        <f>IF(OR(W261="H",W261="B"),INDEX(AllCollegeSAT25, MATCH(N261,AllCollegeNCES,0)),INDEX(AllCollegeSAT50, MATCH(N261,AllCollegeNCES,0)))</f>
        <v>0</v>
      </c>
      <c r="AD261">
        <f>INDEX(CustomWeightsGPA,MATCH(W261&amp;":"&amp;N261,CustomWeightsIndex,0))</f>
        <v>0</v>
      </c>
      <c r="AE261">
        <f>INDEX(CustomWeightsSAT,MATCH(W261&amp;":"&amp;N261,CustomWeightsIndex,0))</f>
        <v>0</v>
      </c>
      <c r="AF261">
        <f>INDEX(CustomWeightsIntercept,MATCH(W261&amp;":"&amp;N261,CustomWeightsIndex,0))</f>
        <v>0</v>
      </c>
      <c r="AG261">
        <f>AD261*S261+AE261*T261+AF261</f>
        <v>0</v>
      </c>
      <c r="AH261">
        <f>INDEX(CoefficientsGPA,MATCH(W261&amp;":"&amp;R261,CoefficientsIndex,0))</f>
        <v>0</v>
      </c>
      <c r="AI261">
        <f>INDEX(CoefficientsSAT,MATCH(W261&amp;":"&amp;R261,CoefficientsIndex,0))</f>
        <v>0</v>
      </c>
      <c r="AJ261">
        <f>INDEX(CoefficientsIntercept,MATCH(W261&amp;":"&amp;R261,CoefficientsIndex,0))</f>
        <v>0</v>
      </c>
      <c r="AK261">
        <f>AH261*S261+(T261-AC261)*AI261+AJ261</f>
        <v>0</v>
      </c>
      <c r="AL261">
        <f>IF(ISNUMBER(AG261),AG261,AK261)</f>
        <v>0</v>
      </c>
      <c r="AM261">
        <f>IF(ISNUMBER(AL261),IF(ISNUMBER(AH261),IF(AND(AH261=1,AI261=1,AJ261=1),100,MIN(99,ROUND(100*EXP(AL261)/(1+EXP(AL261)),2))),MIN(99,ROUND(100*EXP(AL261)/(1+EXP(AL261)),2))),IF(ISTEXT(R261),IF(LEFT(R261,1)="2",100,"N/A"),"N/A"))</f>
        <v>0</v>
      </c>
      <c r="AN261">
        <f>IF(ISNUMBER(AM261),IF(AM261&gt;=99,IF(OR(U261=10,U261=11),MatchLabel,SureThingLabel),IF(AM261&gt;=95,SecureLabel,IF(AM261&gt;=80,SafetyLabel,IF(AM261&gt;=50,MatchLabel,IF(AM261&gt;=20,ReachLabel,IF(AM261&gt;=10,LongshotLabel,HailMaryLabel)))))),"Other")</f>
        <v>0</v>
      </c>
      <c r="AO261">
        <f>IF(OR(I261="accepted",I261="cond. accept",I261="summer admit"),IF(J261="yes","CHOICE!","Accepted!"),IF(I261="guar. transfer","Guar. Xfer",IF(I261="denied","Denied",IF(K261=1,"Waitlist",IF(L261=1,"Deferred",IF(G261="pending","Pending",IF(OR(G261="initial materials submitted",G261="mid-year submitted",G261="final submitted"),"Submitted",IF(H261="interest","Interest","?"))))))))</f>
        <v>0</v>
      </c>
      <c r="AP261">
        <f>IF(OR(AN261=ReachLabel,AN261=LongshotLabel,AN261=HailMaryLabel),1,0)</f>
        <v>0</v>
      </c>
      <c r="AQ261">
        <f>IF(OR(AP261=1,AN261=MatchLabel),1,0)</f>
        <v>0</v>
      </c>
      <c r="AR261">
        <f>IF(OR(AN261=MatchLabel,AN261=SafetyLabel,AN261=SecureLabel,AN261=SureThingLabel),1,0)</f>
        <v>0</v>
      </c>
      <c r="AS261">
        <f>IF(OR(W261="H",W261="B",W261="I",W261="M"),IF(ISNUMBER(AB261),ROUND(AB261,2),0),IF(ISNUMBER(AA261),ROUND(AA261,2),0))</f>
        <v>0</v>
      </c>
      <c r="AT261">
        <f>IF(AS261&gt;=X261,1,0)</f>
        <v>0</v>
      </c>
      <c r="AU261">
        <f>IF(AS261&gt;=Y261,1,0)</f>
        <v>0</v>
      </c>
      <c r="AV261">
        <f>IF(AS261&lt;(X261-0.10),1,0)</f>
        <v>0</v>
      </c>
      <c r="AW261">
        <f>1-AM261/100</f>
        <v>0</v>
      </c>
      <c r="AX261">
        <f>IF(AQ261=1,AW261,1)</f>
        <v>0</v>
      </c>
      <c r="AY261">
        <f>IF(AP261=1,AW261,1)</f>
        <v>0</v>
      </c>
      <c r="AZ261">
        <f>IF(AND(AT261=1,ISNUMBER(AW261)),$AW261,1)</f>
        <v>0</v>
      </c>
      <c r="BA261">
        <f>IF(AND(AU261=1,ISNUMBER(AW261)),$AW261,1)</f>
        <v>0</v>
      </c>
      <c r="BB261">
        <f>IF(ISNUMBER(AB261),INDEX(AllCollegeMoney, MATCH(N261,AllCollegeNCES,0)),0)</f>
        <v>0</v>
      </c>
      <c r="BC261">
        <f>IF(AND(AT261=1,ISNUMBER(AW261),BB261=1),$AW261,1)</f>
        <v>0</v>
      </c>
      <c r="BD261">
        <f>IF(AND(AU261=1,ISNUMBER(AW261),BB261=1),$AW261,1)</f>
        <v>0</v>
      </c>
      <c r="BE261">
        <f>IF(ISNUMBER(AB261),INDEX(AllCollegeILPub, MATCH(N261,AllCollegeNCES,0)),0)</f>
        <v>0</v>
      </c>
      <c r="BF261">
        <f>IF(AN261=ReachLabel,AS261,0)</f>
        <v>0</v>
      </c>
      <c r="BG261">
        <f>IF(AN261=MatchLabel,AS261,0)</f>
        <v>0</v>
      </c>
      <c r="BH261">
        <f>IF(AN261=SafetyLabel,AS261,0)</f>
        <v>0</v>
      </c>
      <c r="BI261">
        <f>IF(AN261=SecureLabel,AS261,0)</f>
        <v>0</v>
      </c>
      <c r="BJ261">
        <f>IF(AN261=SureThingLabel,AS261,0)</f>
        <v>0</v>
      </c>
      <c r="BK261">
        <f>MAX(BF261:BJ261)</f>
        <v>0</v>
      </c>
      <c r="BL261">
        <f>MAX(BG261:BJ261)</f>
        <v>0</v>
      </c>
      <c r="BM261">
        <f>MAX(BH261:BJ261)</f>
        <v>0</v>
      </c>
      <c r="BN261">
        <f>IF(AND(AN261=ReachLabel,BB261=1),AS261,0)</f>
        <v>0</v>
      </c>
      <c r="BO261">
        <f>IF(AND(AN261=MatchLabel,BB261=1),AS261,0)</f>
        <v>0</v>
      </c>
      <c r="BP261">
        <f>IF(AND(AN261=SafetyLabel,BB261=1),AS261,0)</f>
        <v>0</v>
      </c>
      <c r="BQ261">
        <f>IF(AND(AN261=SecureLabel,BB261=1),AS261,0)</f>
        <v>0</v>
      </c>
      <c r="BR261">
        <f>IF(AND(AN261=SureThingLabel,BB261=1),AS261,0)</f>
        <v>0</v>
      </c>
      <c r="BS261">
        <f>MAX(BN261:BR261)</f>
        <v>0</v>
      </c>
      <c r="BT261">
        <f>MAX(BO261:BR261)</f>
        <v>0</v>
      </c>
      <c r="BU261">
        <f>MAX(BP261:BR261)</f>
        <v>0</v>
      </c>
      <c r="BV261">
        <f>IF(ISNUMBER(AB261),INDEX(AllCollegeChicago, MATCH(N261,AllCollegeNCES,0))*BB261,0)</f>
        <v>0</v>
      </c>
      <c r="BW261">
        <f>IF(ISNUMBER(AB261),INDEX(AllCollegeMoneyCode, MATCH(N261,AllCollegeNCES,0)),"?")</f>
        <v>0</v>
      </c>
      <c r="BX261">
        <f>IF(OR(BW261="---",BW261="--",BW261="+/--",BW261="+/---"),1,0)</f>
        <v>0</v>
      </c>
      <c r="BY261">
        <f>BB261*AR261*AT261</f>
        <v>0</v>
      </c>
    </row>
    <row r="262" spans="1:77">
      <c r="A262" t="s">
        <v>96</v>
      </c>
      <c r="B262">
        <v>23036214</v>
      </c>
      <c r="C262" t="s">
        <v>141</v>
      </c>
      <c r="D262" t="s">
        <v>142</v>
      </c>
      <c r="E262" t="s">
        <v>446</v>
      </c>
      <c r="F262" t="s">
        <v>483</v>
      </c>
      <c r="G262" t="s">
        <v>448</v>
      </c>
      <c r="H262" t="s">
        <v>449</v>
      </c>
      <c r="I262" t="s">
        <v>450</v>
      </c>
      <c r="J262" t="s">
        <v>450</v>
      </c>
      <c r="K262">
        <v>0</v>
      </c>
      <c r="L262" t="s">
        <v>446</v>
      </c>
      <c r="M262" t="s">
        <v>446</v>
      </c>
      <c r="N262">
        <v>212577</v>
      </c>
      <c r="O262">
        <f>INDEX(Counselor,MATCH(B262,KidIDs,0))</f>
        <v>0</v>
      </c>
      <c r="P262">
        <f>INDEX(Advisors,MATCH(B262,KidIDs,0))</f>
        <v>0</v>
      </c>
      <c r="Q262">
        <f>INDEX(Cohort,MATCH(B262,KidIDs,0))</f>
        <v>0</v>
      </c>
      <c r="R262">
        <f>INDEX(AllCollegeBarrons,MATCH(N262,AllCollegeNCES,0))</f>
        <v>0</v>
      </c>
      <c r="S262">
        <f>INDEX(KidGPAs,MATCH(B262,KidIDs,0))</f>
        <v>0</v>
      </c>
      <c r="T262">
        <f>INDEX(KidSATs,MATCH(B262,KidIDs,0))</f>
        <v>0</v>
      </c>
      <c r="U262">
        <f>INDEX(Strats,MATCH(B262,KidIDs,0))</f>
        <v>0</v>
      </c>
      <c r="V262">
        <f>INDEX(KidRace,MATCH(B262,KidIDs,0))</f>
        <v>0</v>
      </c>
      <c r="W262">
        <f>IF(OR(V262="M",V262="I"),"H",IF(V262="P","A",V262))</f>
        <v>0</v>
      </c>
      <c r="X262">
        <f>INDEX(StudentTargets,MATCH(B262,KidIDs,0))</f>
        <v>0</v>
      </c>
      <c r="Y262">
        <f>INDEX(ReachStudentTargets,MATCH(B262,KidIDs,0))</f>
        <v>0</v>
      </c>
      <c r="Z262">
        <f>IF(OR(M262="Posse"),1,0)</f>
        <v>0</v>
      </c>
      <c r="AA262">
        <f>IF(ISNUMBER(INDEX(AllCollegeGR, MATCH(N262,AllCollegeNCES,0))),ROUND(INDEX(AllCollegeGR, MATCH(N262,AllCollegeNCES,0))+Z262*IF(INDEX(AllCollegeGR, MATCH(N262,AllCollegeNCES,0))&gt;0.7,(1-INDEX(AllCollegeGR, MATCH(N262,AllCollegeNCES,0)))/2,0.15),2),INDEX(AllCollegeGR, MATCH(N262,AllCollegeNCES,0)))</f>
        <v>0</v>
      </c>
      <c r="AB262">
        <f>IF(ISNUMBER(INDEX(AllCollegeAAHGR, MATCH(N262,AllCollegeNCES,0))),ROUND(INDEX(AllCollegeAAHGR, MATCH(N262,AllCollegeNCES,0))+Z262*IF(INDEX(AllCollegeAAHGR, MATCH(N262,AllCollegeNCES,0))&gt;0.7,(1-INDEX(AllCollegeAAHGR, MATCH(N262,AllCollegeNCES,0)))/2,0.15),2),INDEX(AllCollegeAAHGR, MATCH(N262,AllCollegeNCES,0)))</f>
        <v>0</v>
      </c>
      <c r="AC262">
        <f>IF(OR(W262="H",W262="B"),INDEX(AllCollegeSAT25, MATCH(N262,AllCollegeNCES,0)),INDEX(AllCollegeSAT50, MATCH(N262,AllCollegeNCES,0)))</f>
        <v>0</v>
      </c>
      <c r="AD262">
        <f>INDEX(CustomWeightsGPA,MATCH(W262&amp;":"&amp;N262,CustomWeightsIndex,0))</f>
        <v>0</v>
      </c>
      <c r="AE262">
        <f>INDEX(CustomWeightsSAT,MATCH(W262&amp;":"&amp;N262,CustomWeightsIndex,0))</f>
        <v>0</v>
      </c>
      <c r="AF262">
        <f>INDEX(CustomWeightsIntercept,MATCH(W262&amp;":"&amp;N262,CustomWeightsIndex,0))</f>
        <v>0</v>
      </c>
      <c r="AG262">
        <f>AD262*S262+AE262*T262+AF262</f>
        <v>0</v>
      </c>
      <c r="AH262">
        <f>INDEX(CoefficientsGPA,MATCH(W262&amp;":"&amp;R262,CoefficientsIndex,0))</f>
        <v>0</v>
      </c>
      <c r="AI262">
        <f>INDEX(CoefficientsSAT,MATCH(W262&amp;":"&amp;R262,CoefficientsIndex,0))</f>
        <v>0</v>
      </c>
      <c r="AJ262">
        <f>INDEX(CoefficientsIntercept,MATCH(W262&amp;":"&amp;R262,CoefficientsIndex,0))</f>
        <v>0</v>
      </c>
      <c r="AK262">
        <f>AH262*S262+(T262-AC262)*AI262+AJ262</f>
        <v>0</v>
      </c>
      <c r="AL262">
        <f>IF(ISNUMBER(AG262),AG262,AK262)</f>
        <v>0</v>
      </c>
      <c r="AM262">
        <f>IF(ISNUMBER(AL262),IF(ISNUMBER(AH262),IF(AND(AH262=1,AI262=1,AJ262=1),100,MIN(99,ROUND(100*EXP(AL262)/(1+EXP(AL262)),2))),MIN(99,ROUND(100*EXP(AL262)/(1+EXP(AL262)),2))),IF(ISTEXT(R262),IF(LEFT(R262,1)="2",100,"N/A"),"N/A"))</f>
        <v>0</v>
      </c>
      <c r="AN262">
        <f>IF(ISNUMBER(AM262),IF(AM262&gt;=99,IF(OR(U262=10,U262=11),MatchLabel,SureThingLabel),IF(AM262&gt;=95,SecureLabel,IF(AM262&gt;=80,SafetyLabel,IF(AM262&gt;=50,MatchLabel,IF(AM262&gt;=20,ReachLabel,IF(AM262&gt;=10,LongshotLabel,HailMaryLabel)))))),"Other")</f>
        <v>0</v>
      </c>
      <c r="AO262">
        <f>IF(OR(I262="accepted",I262="cond. accept",I262="summer admit"),IF(J262="yes","CHOICE!","Accepted!"),IF(I262="guar. transfer","Guar. Xfer",IF(I262="denied","Denied",IF(K262=1,"Waitlist",IF(L262=1,"Deferred",IF(G262="pending","Pending",IF(OR(G262="initial materials submitted",G262="mid-year submitted",G262="final submitted"),"Submitted",IF(H262="interest","Interest","?"))))))))</f>
        <v>0</v>
      </c>
      <c r="AP262">
        <f>IF(OR(AN262=ReachLabel,AN262=LongshotLabel,AN262=HailMaryLabel),1,0)</f>
        <v>0</v>
      </c>
      <c r="AQ262">
        <f>IF(OR(AP262=1,AN262=MatchLabel),1,0)</f>
        <v>0</v>
      </c>
      <c r="AR262">
        <f>IF(OR(AN262=MatchLabel,AN262=SafetyLabel,AN262=SecureLabel,AN262=SureThingLabel),1,0)</f>
        <v>0</v>
      </c>
      <c r="AS262">
        <f>IF(OR(W262="H",W262="B",W262="I",W262="M"),IF(ISNUMBER(AB262),ROUND(AB262,2),0),IF(ISNUMBER(AA262),ROUND(AA262,2),0))</f>
        <v>0</v>
      </c>
      <c r="AT262">
        <f>IF(AS262&gt;=X262,1,0)</f>
        <v>0</v>
      </c>
      <c r="AU262">
        <f>IF(AS262&gt;=Y262,1,0)</f>
        <v>0</v>
      </c>
      <c r="AV262">
        <f>IF(AS262&lt;(X262-0.10),1,0)</f>
        <v>0</v>
      </c>
      <c r="AW262">
        <f>1-AM262/100</f>
        <v>0</v>
      </c>
      <c r="AX262">
        <f>IF(AQ262=1,AW262,1)</f>
        <v>0</v>
      </c>
      <c r="AY262">
        <f>IF(AP262=1,AW262,1)</f>
        <v>0</v>
      </c>
      <c r="AZ262">
        <f>IF(AND(AT262=1,ISNUMBER(AW262)),$AW262,1)</f>
        <v>0</v>
      </c>
      <c r="BA262">
        <f>IF(AND(AU262=1,ISNUMBER(AW262)),$AW262,1)</f>
        <v>0</v>
      </c>
      <c r="BB262">
        <f>IF(ISNUMBER(AB262),INDEX(AllCollegeMoney, MATCH(N262,AllCollegeNCES,0)),0)</f>
        <v>0</v>
      </c>
      <c r="BC262">
        <f>IF(AND(AT262=1,ISNUMBER(AW262),BB262=1),$AW262,1)</f>
        <v>0</v>
      </c>
      <c r="BD262">
        <f>IF(AND(AU262=1,ISNUMBER(AW262),BB262=1),$AW262,1)</f>
        <v>0</v>
      </c>
      <c r="BE262">
        <f>IF(ISNUMBER(AB262),INDEX(AllCollegeILPub, MATCH(N262,AllCollegeNCES,0)),0)</f>
        <v>0</v>
      </c>
      <c r="BF262">
        <f>IF(AN262=ReachLabel,AS262,0)</f>
        <v>0</v>
      </c>
      <c r="BG262">
        <f>IF(AN262=MatchLabel,AS262,0)</f>
        <v>0</v>
      </c>
      <c r="BH262">
        <f>IF(AN262=SafetyLabel,AS262,0)</f>
        <v>0</v>
      </c>
      <c r="BI262">
        <f>IF(AN262=SecureLabel,AS262,0)</f>
        <v>0</v>
      </c>
      <c r="BJ262">
        <f>IF(AN262=SureThingLabel,AS262,0)</f>
        <v>0</v>
      </c>
      <c r="BK262">
        <f>MAX(BF262:BJ262)</f>
        <v>0</v>
      </c>
      <c r="BL262">
        <f>MAX(BG262:BJ262)</f>
        <v>0</v>
      </c>
      <c r="BM262">
        <f>MAX(BH262:BJ262)</f>
        <v>0</v>
      </c>
      <c r="BN262">
        <f>IF(AND(AN262=ReachLabel,BB262=1),AS262,0)</f>
        <v>0</v>
      </c>
      <c r="BO262">
        <f>IF(AND(AN262=MatchLabel,BB262=1),AS262,0)</f>
        <v>0</v>
      </c>
      <c r="BP262">
        <f>IF(AND(AN262=SafetyLabel,BB262=1),AS262,0)</f>
        <v>0</v>
      </c>
      <c r="BQ262">
        <f>IF(AND(AN262=SecureLabel,BB262=1),AS262,0)</f>
        <v>0</v>
      </c>
      <c r="BR262">
        <f>IF(AND(AN262=SureThingLabel,BB262=1),AS262,0)</f>
        <v>0</v>
      </c>
      <c r="BS262">
        <f>MAX(BN262:BR262)</f>
        <v>0</v>
      </c>
      <c r="BT262">
        <f>MAX(BO262:BR262)</f>
        <v>0</v>
      </c>
      <c r="BU262">
        <f>MAX(BP262:BR262)</f>
        <v>0</v>
      </c>
      <c r="BV262">
        <f>IF(ISNUMBER(AB262),INDEX(AllCollegeChicago, MATCH(N262,AllCollegeNCES,0))*BB262,0)</f>
        <v>0</v>
      </c>
      <c r="BW262">
        <f>IF(ISNUMBER(AB262),INDEX(AllCollegeMoneyCode, MATCH(N262,AllCollegeNCES,0)),"?")</f>
        <v>0</v>
      </c>
      <c r="BX262">
        <f>IF(OR(BW262="---",BW262="--",BW262="+/--",BW262="+/---"),1,0)</f>
        <v>0</v>
      </c>
      <c r="BY262">
        <f>BB262*AR262*AT262</f>
        <v>0</v>
      </c>
    </row>
    <row r="263" spans="1:77">
      <c r="A263" t="s">
        <v>96</v>
      </c>
      <c r="B263">
        <v>23036214</v>
      </c>
      <c r="C263" t="s">
        <v>141</v>
      </c>
      <c r="D263" t="s">
        <v>142</v>
      </c>
      <c r="E263" t="s">
        <v>446</v>
      </c>
      <c r="F263" t="s">
        <v>512</v>
      </c>
      <c r="G263" t="s">
        <v>479</v>
      </c>
      <c r="H263" t="s">
        <v>449</v>
      </c>
      <c r="I263" t="s">
        <v>450</v>
      </c>
      <c r="J263" t="s">
        <v>450</v>
      </c>
      <c r="K263">
        <v>0</v>
      </c>
      <c r="L263" t="s">
        <v>446</v>
      </c>
      <c r="M263" t="s">
        <v>446</v>
      </c>
      <c r="N263">
        <v>150400</v>
      </c>
      <c r="O263">
        <f>INDEX(Counselor,MATCH(B263,KidIDs,0))</f>
        <v>0</v>
      </c>
      <c r="P263">
        <f>INDEX(Advisors,MATCH(B263,KidIDs,0))</f>
        <v>0</v>
      </c>
      <c r="Q263">
        <f>INDEX(Cohort,MATCH(B263,KidIDs,0))</f>
        <v>0</v>
      </c>
      <c r="R263">
        <f>INDEX(AllCollegeBarrons,MATCH(N263,AllCollegeNCES,0))</f>
        <v>0</v>
      </c>
      <c r="S263">
        <f>INDEX(KidGPAs,MATCH(B263,KidIDs,0))</f>
        <v>0</v>
      </c>
      <c r="T263">
        <f>INDEX(KidSATs,MATCH(B263,KidIDs,0))</f>
        <v>0</v>
      </c>
      <c r="U263">
        <f>INDEX(Strats,MATCH(B263,KidIDs,0))</f>
        <v>0</v>
      </c>
      <c r="V263">
        <f>INDEX(KidRace,MATCH(B263,KidIDs,0))</f>
        <v>0</v>
      </c>
      <c r="W263">
        <f>IF(OR(V263="M",V263="I"),"H",IF(V263="P","A",V263))</f>
        <v>0</v>
      </c>
      <c r="X263">
        <f>INDEX(StudentTargets,MATCH(B263,KidIDs,0))</f>
        <v>0</v>
      </c>
      <c r="Y263">
        <f>INDEX(ReachStudentTargets,MATCH(B263,KidIDs,0))</f>
        <v>0</v>
      </c>
      <c r="Z263">
        <f>IF(OR(M263="Posse"),1,0)</f>
        <v>0</v>
      </c>
      <c r="AA263">
        <f>IF(ISNUMBER(INDEX(AllCollegeGR, MATCH(N263,AllCollegeNCES,0))),ROUND(INDEX(AllCollegeGR, MATCH(N263,AllCollegeNCES,0))+Z263*IF(INDEX(AllCollegeGR, MATCH(N263,AllCollegeNCES,0))&gt;0.7,(1-INDEX(AllCollegeGR, MATCH(N263,AllCollegeNCES,0)))/2,0.15),2),INDEX(AllCollegeGR, MATCH(N263,AllCollegeNCES,0)))</f>
        <v>0</v>
      </c>
      <c r="AB263">
        <f>IF(ISNUMBER(INDEX(AllCollegeAAHGR, MATCH(N263,AllCollegeNCES,0))),ROUND(INDEX(AllCollegeAAHGR, MATCH(N263,AllCollegeNCES,0))+Z263*IF(INDEX(AllCollegeAAHGR, MATCH(N263,AllCollegeNCES,0))&gt;0.7,(1-INDEX(AllCollegeAAHGR, MATCH(N263,AllCollegeNCES,0)))/2,0.15),2),INDEX(AllCollegeAAHGR, MATCH(N263,AllCollegeNCES,0)))</f>
        <v>0</v>
      </c>
      <c r="AC263">
        <f>IF(OR(W263="H",W263="B"),INDEX(AllCollegeSAT25, MATCH(N263,AllCollegeNCES,0)),INDEX(AllCollegeSAT50, MATCH(N263,AllCollegeNCES,0)))</f>
        <v>0</v>
      </c>
      <c r="AD263">
        <f>INDEX(CustomWeightsGPA,MATCH(W263&amp;":"&amp;N263,CustomWeightsIndex,0))</f>
        <v>0</v>
      </c>
      <c r="AE263">
        <f>INDEX(CustomWeightsSAT,MATCH(W263&amp;":"&amp;N263,CustomWeightsIndex,0))</f>
        <v>0</v>
      </c>
      <c r="AF263">
        <f>INDEX(CustomWeightsIntercept,MATCH(W263&amp;":"&amp;N263,CustomWeightsIndex,0))</f>
        <v>0</v>
      </c>
      <c r="AG263">
        <f>AD263*S263+AE263*T263+AF263</f>
        <v>0</v>
      </c>
      <c r="AH263">
        <f>INDEX(CoefficientsGPA,MATCH(W263&amp;":"&amp;R263,CoefficientsIndex,0))</f>
        <v>0</v>
      </c>
      <c r="AI263">
        <f>INDEX(CoefficientsSAT,MATCH(W263&amp;":"&amp;R263,CoefficientsIndex,0))</f>
        <v>0</v>
      </c>
      <c r="AJ263">
        <f>INDEX(CoefficientsIntercept,MATCH(W263&amp;":"&amp;R263,CoefficientsIndex,0))</f>
        <v>0</v>
      </c>
      <c r="AK263">
        <f>AH263*S263+(T263-AC263)*AI263+AJ263</f>
        <v>0</v>
      </c>
      <c r="AL263">
        <f>IF(ISNUMBER(AG263),AG263,AK263)</f>
        <v>0</v>
      </c>
      <c r="AM263">
        <f>IF(ISNUMBER(AL263),IF(ISNUMBER(AH263),IF(AND(AH263=1,AI263=1,AJ263=1),100,MIN(99,ROUND(100*EXP(AL263)/(1+EXP(AL263)),2))),MIN(99,ROUND(100*EXP(AL263)/(1+EXP(AL263)),2))),IF(ISTEXT(R263),IF(LEFT(R263,1)="2",100,"N/A"),"N/A"))</f>
        <v>0</v>
      </c>
      <c r="AN263">
        <f>IF(ISNUMBER(AM263),IF(AM263&gt;=99,IF(OR(U263=10,U263=11),MatchLabel,SureThingLabel),IF(AM263&gt;=95,SecureLabel,IF(AM263&gt;=80,SafetyLabel,IF(AM263&gt;=50,MatchLabel,IF(AM263&gt;=20,ReachLabel,IF(AM263&gt;=10,LongshotLabel,HailMaryLabel)))))),"Other")</f>
        <v>0</v>
      </c>
      <c r="AO263">
        <f>IF(OR(I263="accepted",I263="cond. accept",I263="summer admit"),IF(J263="yes","CHOICE!","Accepted!"),IF(I263="guar. transfer","Guar. Xfer",IF(I263="denied","Denied",IF(K263=1,"Waitlist",IF(L263=1,"Deferred",IF(G263="pending","Pending",IF(OR(G263="initial materials submitted",G263="mid-year submitted",G263="final submitted"),"Submitted",IF(H263="interest","Interest","?"))))))))</f>
        <v>0</v>
      </c>
      <c r="AP263">
        <f>IF(OR(AN263=ReachLabel,AN263=LongshotLabel,AN263=HailMaryLabel),1,0)</f>
        <v>0</v>
      </c>
      <c r="AQ263">
        <f>IF(OR(AP263=1,AN263=MatchLabel),1,0)</f>
        <v>0</v>
      </c>
      <c r="AR263">
        <f>IF(OR(AN263=MatchLabel,AN263=SafetyLabel,AN263=SecureLabel,AN263=SureThingLabel),1,0)</f>
        <v>0</v>
      </c>
      <c r="AS263">
        <f>IF(OR(W263="H",W263="B",W263="I",W263="M"),IF(ISNUMBER(AB263),ROUND(AB263,2),0),IF(ISNUMBER(AA263),ROUND(AA263,2),0))</f>
        <v>0</v>
      </c>
      <c r="AT263">
        <f>IF(AS263&gt;=X263,1,0)</f>
        <v>0</v>
      </c>
      <c r="AU263">
        <f>IF(AS263&gt;=Y263,1,0)</f>
        <v>0</v>
      </c>
      <c r="AV263">
        <f>IF(AS263&lt;(X263-0.10),1,0)</f>
        <v>0</v>
      </c>
      <c r="AW263">
        <f>1-AM263/100</f>
        <v>0</v>
      </c>
      <c r="AX263">
        <f>IF(AQ263=1,AW263,1)</f>
        <v>0</v>
      </c>
      <c r="AY263">
        <f>IF(AP263=1,AW263,1)</f>
        <v>0</v>
      </c>
      <c r="AZ263">
        <f>IF(AND(AT263=1,ISNUMBER(AW263)),$AW263,1)</f>
        <v>0</v>
      </c>
      <c r="BA263">
        <f>IF(AND(AU263=1,ISNUMBER(AW263)),$AW263,1)</f>
        <v>0</v>
      </c>
      <c r="BB263">
        <f>IF(ISNUMBER(AB263),INDEX(AllCollegeMoney, MATCH(N263,AllCollegeNCES,0)),0)</f>
        <v>0</v>
      </c>
      <c r="BC263">
        <f>IF(AND(AT263=1,ISNUMBER(AW263),BB263=1),$AW263,1)</f>
        <v>0</v>
      </c>
      <c r="BD263">
        <f>IF(AND(AU263=1,ISNUMBER(AW263),BB263=1),$AW263,1)</f>
        <v>0</v>
      </c>
      <c r="BE263">
        <f>IF(ISNUMBER(AB263),INDEX(AllCollegeILPub, MATCH(N263,AllCollegeNCES,0)),0)</f>
        <v>0</v>
      </c>
      <c r="BF263">
        <f>IF(AN263=ReachLabel,AS263,0)</f>
        <v>0</v>
      </c>
      <c r="BG263">
        <f>IF(AN263=MatchLabel,AS263,0)</f>
        <v>0</v>
      </c>
      <c r="BH263">
        <f>IF(AN263=SafetyLabel,AS263,0)</f>
        <v>0</v>
      </c>
      <c r="BI263">
        <f>IF(AN263=SecureLabel,AS263,0)</f>
        <v>0</v>
      </c>
      <c r="BJ263">
        <f>IF(AN263=SureThingLabel,AS263,0)</f>
        <v>0</v>
      </c>
      <c r="BK263">
        <f>MAX(BF263:BJ263)</f>
        <v>0</v>
      </c>
      <c r="BL263">
        <f>MAX(BG263:BJ263)</f>
        <v>0</v>
      </c>
      <c r="BM263">
        <f>MAX(BH263:BJ263)</f>
        <v>0</v>
      </c>
      <c r="BN263">
        <f>IF(AND(AN263=ReachLabel,BB263=1),AS263,0)</f>
        <v>0</v>
      </c>
      <c r="BO263">
        <f>IF(AND(AN263=MatchLabel,BB263=1),AS263,0)</f>
        <v>0</v>
      </c>
      <c r="BP263">
        <f>IF(AND(AN263=SafetyLabel,BB263=1),AS263,0)</f>
        <v>0</v>
      </c>
      <c r="BQ263">
        <f>IF(AND(AN263=SecureLabel,BB263=1),AS263,0)</f>
        <v>0</v>
      </c>
      <c r="BR263">
        <f>IF(AND(AN263=SureThingLabel,BB263=1),AS263,0)</f>
        <v>0</v>
      </c>
      <c r="BS263">
        <f>MAX(BN263:BR263)</f>
        <v>0</v>
      </c>
      <c r="BT263">
        <f>MAX(BO263:BR263)</f>
        <v>0</v>
      </c>
      <c r="BU263">
        <f>MAX(BP263:BR263)</f>
        <v>0</v>
      </c>
      <c r="BV263">
        <f>IF(ISNUMBER(AB263),INDEX(AllCollegeChicago, MATCH(N263,AllCollegeNCES,0))*BB263,0)</f>
        <v>0</v>
      </c>
      <c r="BW263">
        <f>IF(ISNUMBER(AB263),INDEX(AllCollegeMoneyCode, MATCH(N263,AllCollegeNCES,0)),"?")</f>
        <v>0</v>
      </c>
      <c r="BX263">
        <f>IF(OR(BW263="---",BW263="--",BW263="+/--",BW263="+/---"),1,0)</f>
        <v>0</v>
      </c>
      <c r="BY263">
        <f>BB263*AR263*AT263</f>
        <v>0</v>
      </c>
    </row>
    <row r="264" spans="1:77">
      <c r="A264" t="s">
        <v>96</v>
      </c>
      <c r="B264">
        <v>23036214</v>
      </c>
      <c r="C264" t="s">
        <v>141</v>
      </c>
      <c r="D264" t="s">
        <v>142</v>
      </c>
      <c r="E264" t="s">
        <v>446</v>
      </c>
      <c r="F264" t="s">
        <v>484</v>
      </c>
      <c r="G264" t="s">
        <v>448</v>
      </c>
      <c r="H264" t="s">
        <v>449</v>
      </c>
      <c r="I264" t="s">
        <v>450</v>
      </c>
      <c r="J264" t="s">
        <v>450</v>
      </c>
      <c r="K264">
        <v>0</v>
      </c>
      <c r="L264" t="s">
        <v>446</v>
      </c>
      <c r="M264" t="s">
        <v>446</v>
      </c>
      <c r="N264">
        <v>213385</v>
      </c>
      <c r="O264">
        <f>INDEX(Counselor,MATCH(B264,KidIDs,0))</f>
        <v>0</v>
      </c>
      <c r="P264">
        <f>INDEX(Advisors,MATCH(B264,KidIDs,0))</f>
        <v>0</v>
      </c>
      <c r="Q264">
        <f>INDEX(Cohort,MATCH(B264,KidIDs,0))</f>
        <v>0</v>
      </c>
      <c r="R264">
        <f>INDEX(AllCollegeBarrons,MATCH(N264,AllCollegeNCES,0))</f>
        <v>0</v>
      </c>
      <c r="S264">
        <f>INDEX(KidGPAs,MATCH(B264,KidIDs,0))</f>
        <v>0</v>
      </c>
      <c r="T264">
        <f>INDEX(KidSATs,MATCH(B264,KidIDs,0))</f>
        <v>0</v>
      </c>
      <c r="U264">
        <f>INDEX(Strats,MATCH(B264,KidIDs,0))</f>
        <v>0</v>
      </c>
      <c r="V264">
        <f>INDEX(KidRace,MATCH(B264,KidIDs,0))</f>
        <v>0</v>
      </c>
      <c r="W264">
        <f>IF(OR(V264="M",V264="I"),"H",IF(V264="P","A",V264))</f>
        <v>0</v>
      </c>
      <c r="X264">
        <f>INDEX(StudentTargets,MATCH(B264,KidIDs,0))</f>
        <v>0</v>
      </c>
      <c r="Y264">
        <f>INDEX(ReachStudentTargets,MATCH(B264,KidIDs,0))</f>
        <v>0</v>
      </c>
      <c r="Z264">
        <f>IF(OR(M264="Posse"),1,0)</f>
        <v>0</v>
      </c>
      <c r="AA264">
        <f>IF(ISNUMBER(INDEX(AllCollegeGR, MATCH(N264,AllCollegeNCES,0))),ROUND(INDEX(AllCollegeGR, MATCH(N264,AllCollegeNCES,0))+Z264*IF(INDEX(AllCollegeGR, MATCH(N264,AllCollegeNCES,0))&gt;0.7,(1-INDEX(AllCollegeGR, MATCH(N264,AllCollegeNCES,0)))/2,0.15),2),INDEX(AllCollegeGR, MATCH(N264,AllCollegeNCES,0)))</f>
        <v>0</v>
      </c>
      <c r="AB264">
        <f>IF(ISNUMBER(INDEX(AllCollegeAAHGR, MATCH(N264,AllCollegeNCES,0))),ROUND(INDEX(AllCollegeAAHGR, MATCH(N264,AllCollegeNCES,0))+Z264*IF(INDEX(AllCollegeAAHGR, MATCH(N264,AllCollegeNCES,0))&gt;0.7,(1-INDEX(AllCollegeAAHGR, MATCH(N264,AllCollegeNCES,0)))/2,0.15),2),INDEX(AllCollegeAAHGR, MATCH(N264,AllCollegeNCES,0)))</f>
        <v>0</v>
      </c>
      <c r="AC264">
        <f>IF(OR(W264="H",W264="B"),INDEX(AllCollegeSAT25, MATCH(N264,AllCollegeNCES,0)),INDEX(AllCollegeSAT50, MATCH(N264,AllCollegeNCES,0)))</f>
        <v>0</v>
      </c>
      <c r="AD264">
        <f>INDEX(CustomWeightsGPA,MATCH(W264&amp;":"&amp;N264,CustomWeightsIndex,0))</f>
        <v>0</v>
      </c>
      <c r="AE264">
        <f>INDEX(CustomWeightsSAT,MATCH(W264&amp;":"&amp;N264,CustomWeightsIndex,0))</f>
        <v>0</v>
      </c>
      <c r="AF264">
        <f>INDEX(CustomWeightsIntercept,MATCH(W264&amp;":"&amp;N264,CustomWeightsIndex,0))</f>
        <v>0</v>
      </c>
      <c r="AG264">
        <f>AD264*S264+AE264*T264+AF264</f>
        <v>0</v>
      </c>
      <c r="AH264">
        <f>INDEX(CoefficientsGPA,MATCH(W264&amp;":"&amp;R264,CoefficientsIndex,0))</f>
        <v>0</v>
      </c>
      <c r="AI264">
        <f>INDEX(CoefficientsSAT,MATCH(W264&amp;":"&amp;R264,CoefficientsIndex,0))</f>
        <v>0</v>
      </c>
      <c r="AJ264">
        <f>INDEX(CoefficientsIntercept,MATCH(W264&amp;":"&amp;R264,CoefficientsIndex,0))</f>
        <v>0</v>
      </c>
      <c r="AK264">
        <f>AH264*S264+(T264-AC264)*AI264+AJ264</f>
        <v>0</v>
      </c>
      <c r="AL264">
        <f>IF(ISNUMBER(AG264),AG264,AK264)</f>
        <v>0</v>
      </c>
      <c r="AM264">
        <f>IF(ISNUMBER(AL264),IF(ISNUMBER(AH264),IF(AND(AH264=1,AI264=1,AJ264=1),100,MIN(99,ROUND(100*EXP(AL264)/(1+EXP(AL264)),2))),MIN(99,ROUND(100*EXP(AL264)/(1+EXP(AL264)),2))),IF(ISTEXT(R264),IF(LEFT(R264,1)="2",100,"N/A"),"N/A"))</f>
        <v>0</v>
      </c>
      <c r="AN264">
        <f>IF(ISNUMBER(AM264),IF(AM264&gt;=99,IF(OR(U264=10,U264=11),MatchLabel,SureThingLabel),IF(AM264&gt;=95,SecureLabel,IF(AM264&gt;=80,SafetyLabel,IF(AM264&gt;=50,MatchLabel,IF(AM264&gt;=20,ReachLabel,IF(AM264&gt;=10,LongshotLabel,HailMaryLabel)))))),"Other")</f>
        <v>0</v>
      </c>
      <c r="AO264">
        <f>IF(OR(I264="accepted",I264="cond. accept",I264="summer admit"),IF(J264="yes","CHOICE!","Accepted!"),IF(I264="guar. transfer","Guar. Xfer",IF(I264="denied","Denied",IF(K264=1,"Waitlist",IF(L264=1,"Deferred",IF(G264="pending","Pending",IF(OR(G264="initial materials submitted",G264="mid-year submitted",G264="final submitted"),"Submitted",IF(H264="interest","Interest","?"))))))))</f>
        <v>0</v>
      </c>
      <c r="AP264">
        <f>IF(OR(AN264=ReachLabel,AN264=LongshotLabel,AN264=HailMaryLabel),1,0)</f>
        <v>0</v>
      </c>
      <c r="AQ264">
        <f>IF(OR(AP264=1,AN264=MatchLabel),1,0)</f>
        <v>0</v>
      </c>
      <c r="AR264">
        <f>IF(OR(AN264=MatchLabel,AN264=SafetyLabel,AN264=SecureLabel,AN264=SureThingLabel),1,0)</f>
        <v>0</v>
      </c>
      <c r="AS264">
        <f>IF(OR(W264="H",W264="B",W264="I",W264="M"),IF(ISNUMBER(AB264),ROUND(AB264,2),0),IF(ISNUMBER(AA264),ROUND(AA264,2),0))</f>
        <v>0</v>
      </c>
      <c r="AT264">
        <f>IF(AS264&gt;=X264,1,0)</f>
        <v>0</v>
      </c>
      <c r="AU264">
        <f>IF(AS264&gt;=Y264,1,0)</f>
        <v>0</v>
      </c>
      <c r="AV264">
        <f>IF(AS264&lt;(X264-0.10),1,0)</f>
        <v>0</v>
      </c>
      <c r="AW264">
        <f>1-AM264/100</f>
        <v>0</v>
      </c>
      <c r="AX264">
        <f>IF(AQ264=1,AW264,1)</f>
        <v>0</v>
      </c>
      <c r="AY264">
        <f>IF(AP264=1,AW264,1)</f>
        <v>0</v>
      </c>
      <c r="AZ264">
        <f>IF(AND(AT264=1,ISNUMBER(AW264)),$AW264,1)</f>
        <v>0</v>
      </c>
      <c r="BA264">
        <f>IF(AND(AU264=1,ISNUMBER(AW264)),$AW264,1)</f>
        <v>0</v>
      </c>
      <c r="BB264">
        <f>IF(ISNUMBER(AB264),INDEX(AllCollegeMoney, MATCH(N264,AllCollegeNCES,0)),0)</f>
        <v>0</v>
      </c>
      <c r="BC264">
        <f>IF(AND(AT264=1,ISNUMBER(AW264),BB264=1),$AW264,1)</f>
        <v>0</v>
      </c>
      <c r="BD264">
        <f>IF(AND(AU264=1,ISNUMBER(AW264),BB264=1),$AW264,1)</f>
        <v>0</v>
      </c>
      <c r="BE264">
        <f>IF(ISNUMBER(AB264),INDEX(AllCollegeILPub, MATCH(N264,AllCollegeNCES,0)),0)</f>
        <v>0</v>
      </c>
      <c r="BF264">
        <f>IF(AN264=ReachLabel,AS264,0)</f>
        <v>0</v>
      </c>
      <c r="BG264">
        <f>IF(AN264=MatchLabel,AS264,0)</f>
        <v>0</v>
      </c>
      <c r="BH264">
        <f>IF(AN264=SafetyLabel,AS264,0)</f>
        <v>0</v>
      </c>
      <c r="BI264">
        <f>IF(AN264=SecureLabel,AS264,0)</f>
        <v>0</v>
      </c>
      <c r="BJ264">
        <f>IF(AN264=SureThingLabel,AS264,0)</f>
        <v>0</v>
      </c>
      <c r="BK264">
        <f>MAX(BF264:BJ264)</f>
        <v>0</v>
      </c>
      <c r="BL264">
        <f>MAX(BG264:BJ264)</f>
        <v>0</v>
      </c>
      <c r="BM264">
        <f>MAX(BH264:BJ264)</f>
        <v>0</v>
      </c>
      <c r="BN264">
        <f>IF(AND(AN264=ReachLabel,BB264=1),AS264,0)</f>
        <v>0</v>
      </c>
      <c r="BO264">
        <f>IF(AND(AN264=MatchLabel,BB264=1),AS264,0)</f>
        <v>0</v>
      </c>
      <c r="BP264">
        <f>IF(AND(AN264=SafetyLabel,BB264=1),AS264,0)</f>
        <v>0</v>
      </c>
      <c r="BQ264">
        <f>IF(AND(AN264=SecureLabel,BB264=1),AS264,0)</f>
        <v>0</v>
      </c>
      <c r="BR264">
        <f>IF(AND(AN264=SureThingLabel,BB264=1),AS264,0)</f>
        <v>0</v>
      </c>
      <c r="BS264">
        <f>MAX(BN264:BR264)</f>
        <v>0</v>
      </c>
      <c r="BT264">
        <f>MAX(BO264:BR264)</f>
        <v>0</v>
      </c>
      <c r="BU264">
        <f>MAX(BP264:BR264)</f>
        <v>0</v>
      </c>
      <c r="BV264">
        <f>IF(ISNUMBER(AB264),INDEX(AllCollegeChicago, MATCH(N264,AllCollegeNCES,0))*BB264,0)</f>
        <v>0</v>
      </c>
      <c r="BW264">
        <f>IF(ISNUMBER(AB264),INDEX(AllCollegeMoneyCode, MATCH(N264,AllCollegeNCES,0)),"?")</f>
        <v>0</v>
      </c>
      <c r="BX264">
        <f>IF(OR(BW264="---",BW264="--",BW264="+/--",BW264="+/---"),1,0)</f>
        <v>0</v>
      </c>
      <c r="BY264">
        <f>BB264*AR264*AT264</f>
        <v>0</v>
      </c>
    </row>
    <row r="265" spans="1:77">
      <c r="A265" t="s">
        <v>96</v>
      </c>
      <c r="B265">
        <v>23036214</v>
      </c>
      <c r="C265" t="s">
        <v>141</v>
      </c>
      <c r="D265" t="s">
        <v>142</v>
      </c>
      <c r="E265" t="s">
        <v>446</v>
      </c>
      <c r="F265" t="s">
        <v>523</v>
      </c>
      <c r="G265" t="s">
        <v>448</v>
      </c>
      <c r="H265" t="s">
        <v>449</v>
      </c>
      <c r="I265" t="s">
        <v>450</v>
      </c>
      <c r="J265" t="s">
        <v>450</v>
      </c>
      <c r="K265">
        <v>0</v>
      </c>
      <c r="L265" t="s">
        <v>446</v>
      </c>
      <c r="M265" t="s">
        <v>446</v>
      </c>
      <c r="N265">
        <v>120254</v>
      </c>
      <c r="O265">
        <f>INDEX(Counselor,MATCH(B265,KidIDs,0))</f>
        <v>0</v>
      </c>
      <c r="P265">
        <f>INDEX(Advisors,MATCH(B265,KidIDs,0))</f>
        <v>0</v>
      </c>
      <c r="Q265">
        <f>INDEX(Cohort,MATCH(B265,KidIDs,0))</f>
        <v>0</v>
      </c>
      <c r="R265">
        <f>INDEX(AllCollegeBarrons,MATCH(N265,AllCollegeNCES,0))</f>
        <v>0</v>
      </c>
      <c r="S265">
        <f>INDEX(KidGPAs,MATCH(B265,KidIDs,0))</f>
        <v>0</v>
      </c>
      <c r="T265">
        <f>INDEX(KidSATs,MATCH(B265,KidIDs,0))</f>
        <v>0</v>
      </c>
      <c r="U265">
        <f>INDEX(Strats,MATCH(B265,KidIDs,0))</f>
        <v>0</v>
      </c>
      <c r="V265">
        <f>INDEX(KidRace,MATCH(B265,KidIDs,0))</f>
        <v>0</v>
      </c>
      <c r="W265">
        <f>IF(OR(V265="M",V265="I"),"H",IF(V265="P","A",V265))</f>
        <v>0</v>
      </c>
      <c r="X265">
        <f>INDEX(StudentTargets,MATCH(B265,KidIDs,0))</f>
        <v>0</v>
      </c>
      <c r="Y265">
        <f>INDEX(ReachStudentTargets,MATCH(B265,KidIDs,0))</f>
        <v>0</v>
      </c>
      <c r="Z265">
        <f>IF(OR(M265="Posse"),1,0)</f>
        <v>0</v>
      </c>
      <c r="AA265">
        <f>IF(ISNUMBER(INDEX(AllCollegeGR, MATCH(N265,AllCollegeNCES,0))),ROUND(INDEX(AllCollegeGR, MATCH(N265,AllCollegeNCES,0))+Z265*IF(INDEX(AllCollegeGR, MATCH(N265,AllCollegeNCES,0))&gt;0.7,(1-INDEX(AllCollegeGR, MATCH(N265,AllCollegeNCES,0)))/2,0.15),2),INDEX(AllCollegeGR, MATCH(N265,AllCollegeNCES,0)))</f>
        <v>0</v>
      </c>
      <c r="AB265">
        <f>IF(ISNUMBER(INDEX(AllCollegeAAHGR, MATCH(N265,AllCollegeNCES,0))),ROUND(INDEX(AllCollegeAAHGR, MATCH(N265,AllCollegeNCES,0))+Z265*IF(INDEX(AllCollegeAAHGR, MATCH(N265,AllCollegeNCES,0))&gt;0.7,(1-INDEX(AllCollegeAAHGR, MATCH(N265,AllCollegeNCES,0)))/2,0.15),2),INDEX(AllCollegeAAHGR, MATCH(N265,AllCollegeNCES,0)))</f>
        <v>0</v>
      </c>
      <c r="AC265">
        <f>IF(OR(W265="H",W265="B"),INDEX(AllCollegeSAT25, MATCH(N265,AllCollegeNCES,0)),INDEX(AllCollegeSAT50, MATCH(N265,AllCollegeNCES,0)))</f>
        <v>0</v>
      </c>
      <c r="AD265">
        <f>INDEX(CustomWeightsGPA,MATCH(W265&amp;":"&amp;N265,CustomWeightsIndex,0))</f>
        <v>0</v>
      </c>
      <c r="AE265">
        <f>INDEX(CustomWeightsSAT,MATCH(W265&amp;":"&amp;N265,CustomWeightsIndex,0))</f>
        <v>0</v>
      </c>
      <c r="AF265">
        <f>INDEX(CustomWeightsIntercept,MATCH(W265&amp;":"&amp;N265,CustomWeightsIndex,0))</f>
        <v>0</v>
      </c>
      <c r="AG265">
        <f>AD265*S265+AE265*T265+AF265</f>
        <v>0</v>
      </c>
      <c r="AH265">
        <f>INDEX(CoefficientsGPA,MATCH(W265&amp;":"&amp;R265,CoefficientsIndex,0))</f>
        <v>0</v>
      </c>
      <c r="AI265">
        <f>INDEX(CoefficientsSAT,MATCH(W265&amp;":"&amp;R265,CoefficientsIndex,0))</f>
        <v>0</v>
      </c>
      <c r="AJ265">
        <f>INDEX(CoefficientsIntercept,MATCH(W265&amp;":"&amp;R265,CoefficientsIndex,0))</f>
        <v>0</v>
      </c>
      <c r="AK265">
        <f>AH265*S265+(T265-AC265)*AI265+AJ265</f>
        <v>0</v>
      </c>
      <c r="AL265">
        <f>IF(ISNUMBER(AG265),AG265,AK265)</f>
        <v>0</v>
      </c>
      <c r="AM265">
        <f>IF(ISNUMBER(AL265),IF(ISNUMBER(AH265),IF(AND(AH265=1,AI265=1,AJ265=1),100,MIN(99,ROUND(100*EXP(AL265)/(1+EXP(AL265)),2))),MIN(99,ROUND(100*EXP(AL265)/(1+EXP(AL265)),2))),IF(ISTEXT(R265),IF(LEFT(R265,1)="2",100,"N/A"),"N/A"))</f>
        <v>0</v>
      </c>
      <c r="AN265">
        <f>IF(ISNUMBER(AM265),IF(AM265&gt;=99,IF(OR(U265=10,U265=11),MatchLabel,SureThingLabel),IF(AM265&gt;=95,SecureLabel,IF(AM265&gt;=80,SafetyLabel,IF(AM265&gt;=50,MatchLabel,IF(AM265&gt;=20,ReachLabel,IF(AM265&gt;=10,LongshotLabel,HailMaryLabel)))))),"Other")</f>
        <v>0</v>
      </c>
      <c r="AO265">
        <f>IF(OR(I265="accepted",I265="cond. accept",I265="summer admit"),IF(J265="yes","CHOICE!","Accepted!"),IF(I265="guar. transfer","Guar. Xfer",IF(I265="denied","Denied",IF(K265=1,"Waitlist",IF(L265=1,"Deferred",IF(G265="pending","Pending",IF(OR(G265="initial materials submitted",G265="mid-year submitted",G265="final submitted"),"Submitted",IF(H265="interest","Interest","?"))))))))</f>
        <v>0</v>
      </c>
      <c r="AP265">
        <f>IF(OR(AN265=ReachLabel,AN265=LongshotLabel,AN265=HailMaryLabel),1,0)</f>
        <v>0</v>
      </c>
      <c r="AQ265">
        <f>IF(OR(AP265=1,AN265=MatchLabel),1,0)</f>
        <v>0</v>
      </c>
      <c r="AR265">
        <f>IF(OR(AN265=MatchLabel,AN265=SafetyLabel,AN265=SecureLabel,AN265=SureThingLabel),1,0)</f>
        <v>0</v>
      </c>
      <c r="AS265">
        <f>IF(OR(W265="H",W265="B",W265="I",W265="M"),IF(ISNUMBER(AB265),ROUND(AB265,2),0),IF(ISNUMBER(AA265),ROUND(AA265,2),0))</f>
        <v>0</v>
      </c>
      <c r="AT265">
        <f>IF(AS265&gt;=X265,1,0)</f>
        <v>0</v>
      </c>
      <c r="AU265">
        <f>IF(AS265&gt;=Y265,1,0)</f>
        <v>0</v>
      </c>
      <c r="AV265">
        <f>IF(AS265&lt;(X265-0.10),1,0)</f>
        <v>0</v>
      </c>
      <c r="AW265">
        <f>1-AM265/100</f>
        <v>0</v>
      </c>
      <c r="AX265">
        <f>IF(AQ265=1,AW265,1)</f>
        <v>0</v>
      </c>
      <c r="AY265">
        <f>IF(AP265=1,AW265,1)</f>
        <v>0</v>
      </c>
      <c r="AZ265">
        <f>IF(AND(AT265=1,ISNUMBER(AW265)),$AW265,1)</f>
        <v>0</v>
      </c>
      <c r="BA265">
        <f>IF(AND(AU265=1,ISNUMBER(AW265)),$AW265,1)</f>
        <v>0</v>
      </c>
      <c r="BB265">
        <f>IF(ISNUMBER(AB265),INDEX(AllCollegeMoney, MATCH(N265,AllCollegeNCES,0)),0)</f>
        <v>0</v>
      </c>
      <c r="BC265">
        <f>IF(AND(AT265=1,ISNUMBER(AW265),BB265=1),$AW265,1)</f>
        <v>0</v>
      </c>
      <c r="BD265">
        <f>IF(AND(AU265=1,ISNUMBER(AW265),BB265=1),$AW265,1)</f>
        <v>0</v>
      </c>
      <c r="BE265">
        <f>IF(ISNUMBER(AB265),INDEX(AllCollegeILPub, MATCH(N265,AllCollegeNCES,0)),0)</f>
        <v>0</v>
      </c>
      <c r="BF265">
        <f>IF(AN265=ReachLabel,AS265,0)</f>
        <v>0</v>
      </c>
      <c r="BG265">
        <f>IF(AN265=MatchLabel,AS265,0)</f>
        <v>0</v>
      </c>
      <c r="BH265">
        <f>IF(AN265=SafetyLabel,AS265,0)</f>
        <v>0</v>
      </c>
      <c r="BI265">
        <f>IF(AN265=SecureLabel,AS265,0)</f>
        <v>0</v>
      </c>
      <c r="BJ265">
        <f>IF(AN265=SureThingLabel,AS265,0)</f>
        <v>0</v>
      </c>
      <c r="BK265">
        <f>MAX(BF265:BJ265)</f>
        <v>0</v>
      </c>
      <c r="BL265">
        <f>MAX(BG265:BJ265)</f>
        <v>0</v>
      </c>
      <c r="BM265">
        <f>MAX(BH265:BJ265)</f>
        <v>0</v>
      </c>
      <c r="BN265">
        <f>IF(AND(AN265=ReachLabel,BB265=1),AS265,0)</f>
        <v>0</v>
      </c>
      <c r="BO265">
        <f>IF(AND(AN265=MatchLabel,BB265=1),AS265,0)</f>
        <v>0</v>
      </c>
      <c r="BP265">
        <f>IF(AND(AN265=SafetyLabel,BB265=1),AS265,0)</f>
        <v>0</v>
      </c>
      <c r="BQ265">
        <f>IF(AND(AN265=SecureLabel,BB265=1),AS265,0)</f>
        <v>0</v>
      </c>
      <c r="BR265">
        <f>IF(AND(AN265=SureThingLabel,BB265=1),AS265,0)</f>
        <v>0</v>
      </c>
      <c r="BS265">
        <f>MAX(BN265:BR265)</f>
        <v>0</v>
      </c>
      <c r="BT265">
        <f>MAX(BO265:BR265)</f>
        <v>0</v>
      </c>
      <c r="BU265">
        <f>MAX(BP265:BR265)</f>
        <v>0</v>
      </c>
      <c r="BV265">
        <f>IF(ISNUMBER(AB265),INDEX(AllCollegeChicago, MATCH(N265,AllCollegeNCES,0))*BB265,0)</f>
        <v>0</v>
      </c>
      <c r="BW265">
        <f>IF(ISNUMBER(AB265),INDEX(AllCollegeMoneyCode, MATCH(N265,AllCollegeNCES,0)),"?")</f>
        <v>0</v>
      </c>
      <c r="BX265">
        <f>IF(OR(BW265="---",BW265="--",BW265="+/--",BW265="+/---"),1,0)</f>
        <v>0</v>
      </c>
      <c r="BY265">
        <f>BB265*AR265*AT265</f>
        <v>0</v>
      </c>
    </row>
    <row r="266" spans="1:77">
      <c r="A266" t="s">
        <v>96</v>
      </c>
      <c r="B266">
        <v>23036214</v>
      </c>
      <c r="C266" t="s">
        <v>141</v>
      </c>
      <c r="D266" t="s">
        <v>142</v>
      </c>
      <c r="E266" t="s">
        <v>446</v>
      </c>
      <c r="F266" t="s">
        <v>486</v>
      </c>
      <c r="G266" t="s">
        <v>448</v>
      </c>
      <c r="H266" t="s">
        <v>449</v>
      </c>
      <c r="I266" t="s">
        <v>450</v>
      </c>
      <c r="J266" t="s">
        <v>450</v>
      </c>
      <c r="K266">
        <v>0</v>
      </c>
      <c r="L266" t="s">
        <v>446</v>
      </c>
      <c r="M266" t="s">
        <v>446</v>
      </c>
      <c r="N266">
        <v>206589</v>
      </c>
      <c r="O266">
        <f>INDEX(Counselor,MATCH(B266,KidIDs,0))</f>
        <v>0</v>
      </c>
      <c r="P266">
        <f>INDEX(Advisors,MATCH(B266,KidIDs,0))</f>
        <v>0</v>
      </c>
      <c r="Q266">
        <f>INDEX(Cohort,MATCH(B266,KidIDs,0))</f>
        <v>0</v>
      </c>
      <c r="R266">
        <f>INDEX(AllCollegeBarrons,MATCH(N266,AllCollegeNCES,0))</f>
        <v>0</v>
      </c>
      <c r="S266">
        <f>INDEX(KidGPAs,MATCH(B266,KidIDs,0))</f>
        <v>0</v>
      </c>
      <c r="T266">
        <f>INDEX(KidSATs,MATCH(B266,KidIDs,0))</f>
        <v>0</v>
      </c>
      <c r="U266">
        <f>INDEX(Strats,MATCH(B266,KidIDs,0))</f>
        <v>0</v>
      </c>
      <c r="V266">
        <f>INDEX(KidRace,MATCH(B266,KidIDs,0))</f>
        <v>0</v>
      </c>
      <c r="W266">
        <f>IF(OR(V266="M",V266="I"),"H",IF(V266="P","A",V266))</f>
        <v>0</v>
      </c>
      <c r="X266">
        <f>INDEX(StudentTargets,MATCH(B266,KidIDs,0))</f>
        <v>0</v>
      </c>
      <c r="Y266">
        <f>INDEX(ReachStudentTargets,MATCH(B266,KidIDs,0))</f>
        <v>0</v>
      </c>
      <c r="Z266">
        <f>IF(OR(M266="Posse"),1,0)</f>
        <v>0</v>
      </c>
      <c r="AA266">
        <f>IF(ISNUMBER(INDEX(AllCollegeGR, MATCH(N266,AllCollegeNCES,0))),ROUND(INDEX(AllCollegeGR, MATCH(N266,AllCollegeNCES,0))+Z266*IF(INDEX(AllCollegeGR, MATCH(N266,AllCollegeNCES,0))&gt;0.7,(1-INDEX(AllCollegeGR, MATCH(N266,AllCollegeNCES,0)))/2,0.15),2),INDEX(AllCollegeGR, MATCH(N266,AllCollegeNCES,0)))</f>
        <v>0</v>
      </c>
      <c r="AB266">
        <f>IF(ISNUMBER(INDEX(AllCollegeAAHGR, MATCH(N266,AllCollegeNCES,0))),ROUND(INDEX(AllCollegeAAHGR, MATCH(N266,AllCollegeNCES,0))+Z266*IF(INDEX(AllCollegeAAHGR, MATCH(N266,AllCollegeNCES,0))&gt;0.7,(1-INDEX(AllCollegeAAHGR, MATCH(N266,AllCollegeNCES,0)))/2,0.15),2),INDEX(AllCollegeAAHGR, MATCH(N266,AllCollegeNCES,0)))</f>
        <v>0</v>
      </c>
      <c r="AC266">
        <f>IF(OR(W266="H",W266="B"),INDEX(AllCollegeSAT25, MATCH(N266,AllCollegeNCES,0)),INDEX(AllCollegeSAT50, MATCH(N266,AllCollegeNCES,0)))</f>
        <v>0</v>
      </c>
      <c r="AD266">
        <f>INDEX(CustomWeightsGPA,MATCH(W266&amp;":"&amp;N266,CustomWeightsIndex,0))</f>
        <v>0</v>
      </c>
      <c r="AE266">
        <f>INDEX(CustomWeightsSAT,MATCH(W266&amp;":"&amp;N266,CustomWeightsIndex,0))</f>
        <v>0</v>
      </c>
      <c r="AF266">
        <f>INDEX(CustomWeightsIntercept,MATCH(W266&amp;":"&amp;N266,CustomWeightsIndex,0))</f>
        <v>0</v>
      </c>
      <c r="AG266">
        <f>AD266*S266+AE266*T266+AF266</f>
        <v>0</v>
      </c>
      <c r="AH266">
        <f>INDEX(CoefficientsGPA,MATCH(W266&amp;":"&amp;R266,CoefficientsIndex,0))</f>
        <v>0</v>
      </c>
      <c r="AI266">
        <f>INDEX(CoefficientsSAT,MATCH(W266&amp;":"&amp;R266,CoefficientsIndex,0))</f>
        <v>0</v>
      </c>
      <c r="AJ266">
        <f>INDEX(CoefficientsIntercept,MATCH(W266&amp;":"&amp;R266,CoefficientsIndex,0))</f>
        <v>0</v>
      </c>
      <c r="AK266">
        <f>AH266*S266+(T266-AC266)*AI266+AJ266</f>
        <v>0</v>
      </c>
      <c r="AL266">
        <f>IF(ISNUMBER(AG266),AG266,AK266)</f>
        <v>0</v>
      </c>
      <c r="AM266">
        <f>IF(ISNUMBER(AL266),IF(ISNUMBER(AH266),IF(AND(AH266=1,AI266=1,AJ266=1),100,MIN(99,ROUND(100*EXP(AL266)/(1+EXP(AL266)),2))),MIN(99,ROUND(100*EXP(AL266)/(1+EXP(AL266)),2))),IF(ISTEXT(R266),IF(LEFT(R266,1)="2",100,"N/A"),"N/A"))</f>
        <v>0</v>
      </c>
      <c r="AN266">
        <f>IF(ISNUMBER(AM266),IF(AM266&gt;=99,IF(OR(U266=10,U266=11),MatchLabel,SureThingLabel),IF(AM266&gt;=95,SecureLabel,IF(AM266&gt;=80,SafetyLabel,IF(AM266&gt;=50,MatchLabel,IF(AM266&gt;=20,ReachLabel,IF(AM266&gt;=10,LongshotLabel,HailMaryLabel)))))),"Other")</f>
        <v>0</v>
      </c>
      <c r="AO266">
        <f>IF(OR(I266="accepted",I266="cond. accept",I266="summer admit"),IF(J266="yes","CHOICE!","Accepted!"),IF(I266="guar. transfer","Guar. Xfer",IF(I266="denied","Denied",IF(K266=1,"Waitlist",IF(L266=1,"Deferred",IF(G266="pending","Pending",IF(OR(G266="initial materials submitted",G266="mid-year submitted",G266="final submitted"),"Submitted",IF(H266="interest","Interest","?"))))))))</f>
        <v>0</v>
      </c>
      <c r="AP266">
        <f>IF(OR(AN266=ReachLabel,AN266=LongshotLabel,AN266=HailMaryLabel),1,0)</f>
        <v>0</v>
      </c>
      <c r="AQ266">
        <f>IF(OR(AP266=1,AN266=MatchLabel),1,0)</f>
        <v>0</v>
      </c>
      <c r="AR266">
        <f>IF(OR(AN266=MatchLabel,AN266=SafetyLabel,AN266=SecureLabel,AN266=SureThingLabel),1,0)</f>
        <v>0</v>
      </c>
      <c r="AS266">
        <f>IF(OR(W266="H",W266="B",W266="I",W266="M"),IF(ISNUMBER(AB266),ROUND(AB266,2),0),IF(ISNUMBER(AA266),ROUND(AA266,2),0))</f>
        <v>0</v>
      </c>
      <c r="AT266">
        <f>IF(AS266&gt;=X266,1,0)</f>
        <v>0</v>
      </c>
      <c r="AU266">
        <f>IF(AS266&gt;=Y266,1,0)</f>
        <v>0</v>
      </c>
      <c r="AV266">
        <f>IF(AS266&lt;(X266-0.10),1,0)</f>
        <v>0</v>
      </c>
      <c r="AW266">
        <f>1-AM266/100</f>
        <v>0</v>
      </c>
      <c r="AX266">
        <f>IF(AQ266=1,AW266,1)</f>
        <v>0</v>
      </c>
      <c r="AY266">
        <f>IF(AP266=1,AW266,1)</f>
        <v>0</v>
      </c>
      <c r="AZ266">
        <f>IF(AND(AT266=1,ISNUMBER(AW266)),$AW266,1)</f>
        <v>0</v>
      </c>
      <c r="BA266">
        <f>IF(AND(AU266=1,ISNUMBER(AW266)),$AW266,1)</f>
        <v>0</v>
      </c>
      <c r="BB266">
        <f>IF(ISNUMBER(AB266),INDEX(AllCollegeMoney, MATCH(N266,AllCollegeNCES,0)),0)</f>
        <v>0</v>
      </c>
      <c r="BC266">
        <f>IF(AND(AT266=1,ISNUMBER(AW266),BB266=1),$AW266,1)</f>
        <v>0</v>
      </c>
      <c r="BD266">
        <f>IF(AND(AU266=1,ISNUMBER(AW266),BB266=1),$AW266,1)</f>
        <v>0</v>
      </c>
      <c r="BE266">
        <f>IF(ISNUMBER(AB266),INDEX(AllCollegeILPub, MATCH(N266,AllCollegeNCES,0)),0)</f>
        <v>0</v>
      </c>
      <c r="BF266">
        <f>IF(AN266=ReachLabel,AS266,0)</f>
        <v>0</v>
      </c>
      <c r="BG266">
        <f>IF(AN266=MatchLabel,AS266,0)</f>
        <v>0</v>
      </c>
      <c r="BH266">
        <f>IF(AN266=SafetyLabel,AS266,0)</f>
        <v>0</v>
      </c>
      <c r="BI266">
        <f>IF(AN266=SecureLabel,AS266,0)</f>
        <v>0</v>
      </c>
      <c r="BJ266">
        <f>IF(AN266=SureThingLabel,AS266,0)</f>
        <v>0</v>
      </c>
      <c r="BK266">
        <f>MAX(BF266:BJ266)</f>
        <v>0</v>
      </c>
      <c r="BL266">
        <f>MAX(BG266:BJ266)</f>
        <v>0</v>
      </c>
      <c r="BM266">
        <f>MAX(BH266:BJ266)</f>
        <v>0</v>
      </c>
      <c r="BN266">
        <f>IF(AND(AN266=ReachLabel,BB266=1),AS266,0)</f>
        <v>0</v>
      </c>
      <c r="BO266">
        <f>IF(AND(AN266=MatchLabel,BB266=1),AS266,0)</f>
        <v>0</v>
      </c>
      <c r="BP266">
        <f>IF(AND(AN266=SafetyLabel,BB266=1),AS266,0)</f>
        <v>0</v>
      </c>
      <c r="BQ266">
        <f>IF(AND(AN266=SecureLabel,BB266=1),AS266,0)</f>
        <v>0</v>
      </c>
      <c r="BR266">
        <f>IF(AND(AN266=SureThingLabel,BB266=1),AS266,0)</f>
        <v>0</v>
      </c>
      <c r="BS266">
        <f>MAX(BN266:BR266)</f>
        <v>0</v>
      </c>
      <c r="BT266">
        <f>MAX(BO266:BR266)</f>
        <v>0</v>
      </c>
      <c r="BU266">
        <f>MAX(BP266:BR266)</f>
        <v>0</v>
      </c>
      <c r="BV266">
        <f>IF(ISNUMBER(AB266),INDEX(AllCollegeChicago, MATCH(N266,AllCollegeNCES,0))*BB266,0)</f>
        <v>0</v>
      </c>
      <c r="BW266">
        <f>IF(ISNUMBER(AB266),INDEX(AllCollegeMoneyCode, MATCH(N266,AllCollegeNCES,0)),"?")</f>
        <v>0</v>
      </c>
      <c r="BX266">
        <f>IF(OR(BW266="---",BW266="--",BW266="+/--",BW266="+/---"),1,0)</f>
        <v>0</v>
      </c>
      <c r="BY266">
        <f>BB266*AR266*AT266</f>
        <v>0</v>
      </c>
    </row>
    <row r="267" spans="1:77">
      <c r="A267" t="s">
        <v>96</v>
      </c>
      <c r="B267">
        <v>23036214</v>
      </c>
      <c r="C267" t="s">
        <v>141</v>
      </c>
      <c r="D267" t="s">
        <v>142</v>
      </c>
      <c r="E267" t="s">
        <v>446</v>
      </c>
      <c r="F267" t="s">
        <v>487</v>
      </c>
      <c r="G267" t="s">
        <v>448</v>
      </c>
      <c r="H267" t="s">
        <v>449</v>
      </c>
      <c r="I267" t="s">
        <v>450</v>
      </c>
      <c r="J267" t="s">
        <v>450</v>
      </c>
      <c r="K267">
        <v>0</v>
      </c>
      <c r="L267" t="s">
        <v>446</v>
      </c>
      <c r="M267" t="s">
        <v>446</v>
      </c>
      <c r="N267">
        <v>174844</v>
      </c>
      <c r="O267">
        <f>INDEX(Counselor,MATCH(B267,KidIDs,0))</f>
        <v>0</v>
      </c>
      <c r="P267">
        <f>INDEX(Advisors,MATCH(B267,KidIDs,0))</f>
        <v>0</v>
      </c>
      <c r="Q267">
        <f>INDEX(Cohort,MATCH(B267,KidIDs,0))</f>
        <v>0</v>
      </c>
      <c r="R267">
        <f>INDEX(AllCollegeBarrons,MATCH(N267,AllCollegeNCES,0))</f>
        <v>0</v>
      </c>
      <c r="S267">
        <f>INDEX(KidGPAs,MATCH(B267,KidIDs,0))</f>
        <v>0</v>
      </c>
      <c r="T267">
        <f>INDEX(KidSATs,MATCH(B267,KidIDs,0))</f>
        <v>0</v>
      </c>
      <c r="U267">
        <f>INDEX(Strats,MATCH(B267,KidIDs,0))</f>
        <v>0</v>
      </c>
      <c r="V267">
        <f>INDEX(KidRace,MATCH(B267,KidIDs,0))</f>
        <v>0</v>
      </c>
      <c r="W267">
        <f>IF(OR(V267="M",V267="I"),"H",IF(V267="P","A",V267))</f>
        <v>0</v>
      </c>
      <c r="X267">
        <f>INDEX(StudentTargets,MATCH(B267,KidIDs,0))</f>
        <v>0</v>
      </c>
      <c r="Y267">
        <f>INDEX(ReachStudentTargets,MATCH(B267,KidIDs,0))</f>
        <v>0</v>
      </c>
      <c r="Z267">
        <f>IF(OR(M267="Posse"),1,0)</f>
        <v>0</v>
      </c>
      <c r="AA267">
        <f>IF(ISNUMBER(INDEX(AllCollegeGR, MATCH(N267,AllCollegeNCES,0))),ROUND(INDEX(AllCollegeGR, MATCH(N267,AllCollegeNCES,0))+Z267*IF(INDEX(AllCollegeGR, MATCH(N267,AllCollegeNCES,0))&gt;0.7,(1-INDEX(AllCollegeGR, MATCH(N267,AllCollegeNCES,0)))/2,0.15),2),INDEX(AllCollegeGR, MATCH(N267,AllCollegeNCES,0)))</f>
        <v>0</v>
      </c>
      <c r="AB267">
        <f>IF(ISNUMBER(INDEX(AllCollegeAAHGR, MATCH(N267,AllCollegeNCES,0))),ROUND(INDEX(AllCollegeAAHGR, MATCH(N267,AllCollegeNCES,0))+Z267*IF(INDEX(AllCollegeAAHGR, MATCH(N267,AllCollegeNCES,0))&gt;0.7,(1-INDEX(AllCollegeAAHGR, MATCH(N267,AllCollegeNCES,0)))/2,0.15),2),INDEX(AllCollegeAAHGR, MATCH(N267,AllCollegeNCES,0)))</f>
        <v>0</v>
      </c>
      <c r="AC267">
        <f>IF(OR(W267="H",W267="B"),INDEX(AllCollegeSAT25, MATCH(N267,AllCollegeNCES,0)),INDEX(AllCollegeSAT50, MATCH(N267,AllCollegeNCES,0)))</f>
        <v>0</v>
      </c>
      <c r="AD267">
        <f>INDEX(CustomWeightsGPA,MATCH(W267&amp;":"&amp;N267,CustomWeightsIndex,0))</f>
        <v>0</v>
      </c>
      <c r="AE267">
        <f>INDEX(CustomWeightsSAT,MATCH(W267&amp;":"&amp;N267,CustomWeightsIndex,0))</f>
        <v>0</v>
      </c>
      <c r="AF267">
        <f>INDEX(CustomWeightsIntercept,MATCH(W267&amp;":"&amp;N267,CustomWeightsIndex,0))</f>
        <v>0</v>
      </c>
      <c r="AG267">
        <f>AD267*S267+AE267*T267+AF267</f>
        <v>0</v>
      </c>
      <c r="AH267">
        <f>INDEX(CoefficientsGPA,MATCH(W267&amp;":"&amp;R267,CoefficientsIndex,0))</f>
        <v>0</v>
      </c>
      <c r="AI267">
        <f>INDEX(CoefficientsSAT,MATCH(W267&amp;":"&amp;R267,CoefficientsIndex,0))</f>
        <v>0</v>
      </c>
      <c r="AJ267">
        <f>INDEX(CoefficientsIntercept,MATCH(W267&amp;":"&amp;R267,CoefficientsIndex,0))</f>
        <v>0</v>
      </c>
      <c r="AK267">
        <f>AH267*S267+(T267-AC267)*AI267+AJ267</f>
        <v>0</v>
      </c>
      <c r="AL267">
        <f>IF(ISNUMBER(AG267),AG267,AK267)</f>
        <v>0</v>
      </c>
      <c r="AM267">
        <f>IF(ISNUMBER(AL267),IF(ISNUMBER(AH267),IF(AND(AH267=1,AI267=1,AJ267=1),100,MIN(99,ROUND(100*EXP(AL267)/(1+EXP(AL267)),2))),MIN(99,ROUND(100*EXP(AL267)/(1+EXP(AL267)),2))),IF(ISTEXT(R267),IF(LEFT(R267,1)="2",100,"N/A"),"N/A"))</f>
        <v>0</v>
      </c>
      <c r="AN267">
        <f>IF(ISNUMBER(AM267),IF(AM267&gt;=99,IF(OR(U267=10,U267=11),MatchLabel,SureThingLabel),IF(AM267&gt;=95,SecureLabel,IF(AM267&gt;=80,SafetyLabel,IF(AM267&gt;=50,MatchLabel,IF(AM267&gt;=20,ReachLabel,IF(AM267&gt;=10,LongshotLabel,HailMaryLabel)))))),"Other")</f>
        <v>0</v>
      </c>
      <c r="AO267">
        <f>IF(OR(I267="accepted",I267="cond. accept",I267="summer admit"),IF(J267="yes","CHOICE!","Accepted!"),IF(I267="guar. transfer","Guar. Xfer",IF(I267="denied","Denied",IF(K267=1,"Waitlist",IF(L267=1,"Deferred",IF(G267="pending","Pending",IF(OR(G267="initial materials submitted",G267="mid-year submitted",G267="final submitted"),"Submitted",IF(H267="interest","Interest","?"))))))))</f>
        <v>0</v>
      </c>
      <c r="AP267">
        <f>IF(OR(AN267=ReachLabel,AN267=LongshotLabel,AN267=HailMaryLabel),1,0)</f>
        <v>0</v>
      </c>
      <c r="AQ267">
        <f>IF(OR(AP267=1,AN267=MatchLabel),1,0)</f>
        <v>0</v>
      </c>
      <c r="AR267">
        <f>IF(OR(AN267=MatchLabel,AN267=SafetyLabel,AN267=SecureLabel,AN267=SureThingLabel),1,0)</f>
        <v>0</v>
      </c>
      <c r="AS267">
        <f>IF(OR(W267="H",W267="B",W267="I",W267="M"),IF(ISNUMBER(AB267),ROUND(AB267,2),0),IF(ISNUMBER(AA267),ROUND(AA267,2),0))</f>
        <v>0</v>
      </c>
      <c r="AT267">
        <f>IF(AS267&gt;=X267,1,0)</f>
        <v>0</v>
      </c>
      <c r="AU267">
        <f>IF(AS267&gt;=Y267,1,0)</f>
        <v>0</v>
      </c>
      <c r="AV267">
        <f>IF(AS267&lt;(X267-0.10),1,0)</f>
        <v>0</v>
      </c>
      <c r="AW267">
        <f>1-AM267/100</f>
        <v>0</v>
      </c>
      <c r="AX267">
        <f>IF(AQ267=1,AW267,1)</f>
        <v>0</v>
      </c>
      <c r="AY267">
        <f>IF(AP267=1,AW267,1)</f>
        <v>0</v>
      </c>
      <c r="AZ267">
        <f>IF(AND(AT267=1,ISNUMBER(AW267)),$AW267,1)</f>
        <v>0</v>
      </c>
      <c r="BA267">
        <f>IF(AND(AU267=1,ISNUMBER(AW267)),$AW267,1)</f>
        <v>0</v>
      </c>
      <c r="BB267">
        <f>IF(ISNUMBER(AB267),INDEX(AllCollegeMoney, MATCH(N267,AllCollegeNCES,0)),0)</f>
        <v>0</v>
      </c>
      <c r="BC267">
        <f>IF(AND(AT267=1,ISNUMBER(AW267),BB267=1),$AW267,1)</f>
        <v>0</v>
      </c>
      <c r="BD267">
        <f>IF(AND(AU267=1,ISNUMBER(AW267),BB267=1),$AW267,1)</f>
        <v>0</v>
      </c>
      <c r="BE267">
        <f>IF(ISNUMBER(AB267),INDEX(AllCollegeILPub, MATCH(N267,AllCollegeNCES,0)),0)</f>
        <v>0</v>
      </c>
      <c r="BF267">
        <f>IF(AN267=ReachLabel,AS267,0)</f>
        <v>0</v>
      </c>
      <c r="BG267">
        <f>IF(AN267=MatchLabel,AS267,0)</f>
        <v>0</v>
      </c>
      <c r="BH267">
        <f>IF(AN267=SafetyLabel,AS267,0)</f>
        <v>0</v>
      </c>
      <c r="BI267">
        <f>IF(AN267=SecureLabel,AS267,0)</f>
        <v>0</v>
      </c>
      <c r="BJ267">
        <f>IF(AN267=SureThingLabel,AS267,0)</f>
        <v>0</v>
      </c>
      <c r="BK267">
        <f>MAX(BF267:BJ267)</f>
        <v>0</v>
      </c>
      <c r="BL267">
        <f>MAX(BG267:BJ267)</f>
        <v>0</v>
      </c>
      <c r="BM267">
        <f>MAX(BH267:BJ267)</f>
        <v>0</v>
      </c>
      <c r="BN267">
        <f>IF(AND(AN267=ReachLabel,BB267=1),AS267,0)</f>
        <v>0</v>
      </c>
      <c r="BO267">
        <f>IF(AND(AN267=MatchLabel,BB267=1),AS267,0)</f>
        <v>0</v>
      </c>
      <c r="BP267">
        <f>IF(AND(AN267=SafetyLabel,BB267=1),AS267,0)</f>
        <v>0</v>
      </c>
      <c r="BQ267">
        <f>IF(AND(AN267=SecureLabel,BB267=1),AS267,0)</f>
        <v>0</v>
      </c>
      <c r="BR267">
        <f>IF(AND(AN267=SureThingLabel,BB267=1),AS267,0)</f>
        <v>0</v>
      </c>
      <c r="BS267">
        <f>MAX(BN267:BR267)</f>
        <v>0</v>
      </c>
      <c r="BT267">
        <f>MAX(BO267:BR267)</f>
        <v>0</v>
      </c>
      <c r="BU267">
        <f>MAX(BP267:BR267)</f>
        <v>0</v>
      </c>
      <c r="BV267">
        <f>IF(ISNUMBER(AB267),INDEX(AllCollegeChicago, MATCH(N267,AllCollegeNCES,0))*BB267,0)</f>
        <v>0</v>
      </c>
      <c r="BW267">
        <f>IF(ISNUMBER(AB267),INDEX(AllCollegeMoneyCode, MATCH(N267,AllCollegeNCES,0)),"?")</f>
        <v>0</v>
      </c>
      <c r="BX267">
        <f>IF(OR(BW267="---",BW267="--",BW267="+/--",BW267="+/---"),1,0)</f>
        <v>0</v>
      </c>
      <c r="BY267">
        <f>BB267*AR267*AT267</f>
        <v>0</v>
      </c>
    </row>
    <row r="268" spans="1:77">
      <c r="A268" t="s">
        <v>96</v>
      </c>
      <c r="B268">
        <v>23036214</v>
      </c>
      <c r="C268" t="s">
        <v>141</v>
      </c>
      <c r="D268" t="s">
        <v>142</v>
      </c>
      <c r="E268" t="s">
        <v>446</v>
      </c>
      <c r="F268" t="s">
        <v>447</v>
      </c>
      <c r="G268" t="s">
        <v>448</v>
      </c>
      <c r="H268" t="s">
        <v>449</v>
      </c>
      <c r="I268" t="s">
        <v>450</v>
      </c>
      <c r="J268" t="s">
        <v>450</v>
      </c>
      <c r="K268">
        <v>0</v>
      </c>
      <c r="L268" t="s">
        <v>446</v>
      </c>
      <c r="M268" t="s">
        <v>446</v>
      </c>
      <c r="N268">
        <v>148496</v>
      </c>
      <c r="O268">
        <f>INDEX(Counselor,MATCH(B268,KidIDs,0))</f>
        <v>0</v>
      </c>
      <c r="P268">
        <f>INDEX(Advisors,MATCH(B268,KidIDs,0))</f>
        <v>0</v>
      </c>
      <c r="Q268">
        <f>INDEX(Cohort,MATCH(B268,KidIDs,0))</f>
        <v>0</v>
      </c>
      <c r="R268">
        <f>INDEX(AllCollegeBarrons,MATCH(N268,AllCollegeNCES,0))</f>
        <v>0</v>
      </c>
      <c r="S268">
        <f>INDEX(KidGPAs,MATCH(B268,KidIDs,0))</f>
        <v>0</v>
      </c>
      <c r="T268">
        <f>INDEX(KidSATs,MATCH(B268,KidIDs,0))</f>
        <v>0</v>
      </c>
      <c r="U268">
        <f>INDEX(Strats,MATCH(B268,KidIDs,0))</f>
        <v>0</v>
      </c>
      <c r="V268">
        <f>INDEX(KidRace,MATCH(B268,KidIDs,0))</f>
        <v>0</v>
      </c>
      <c r="W268">
        <f>IF(OR(V268="M",V268="I"),"H",IF(V268="P","A",V268))</f>
        <v>0</v>
      </c>
      <c r="X268">
        <f>INDEX(StudentTargets,MATCH(B268,KidIDs,0))</f>
        <v>0</v>
      </c>
      <c r="Y268">
        <f>INDEX(ReachStudentTargets,MATCH(B268,KidIDs,0))</f>
        <v>0</v>
      </c>
      <c r="Z268">
        <f>IF(OR(M268="Posse"),1,0)</f>
        <v>0</v>
      </c>
      <c r="AA268">
        <f>IF(ISNUMBER(INDEX(AllCollegeGR, MATCH(N268,AllCollegeNCES,0))),ROUND(INDEX(AllCollegeGR, MATCH(N268,AllCollegeNCES,0))+Z268*IF(INDEX(AllCollegeGR, MATCH(N268,AllCollegeNCES,0))&gt;0.7,(1-INDEX(AllCollegeGR, MATCH(N268,AllCollegeNCES,0)))/2,0.15),2),INDEX(AllCollegeGR, MATCH(N268,AllCollegeNCES,0)))</f>
        <v>0</v>
      </c>
      <c r="AB268">
        <f>IF(ISNUMBER(INDEX(AllCollegeAAHGR, MATCH(N268,AllCollegeNCES,0))),ROUND(INDEX(AllCollegeAAHGR, MATCH(N268,AllCollegeNCES,0))+Z268*IF(INDEX(AllCollegeAAHGR, MATCH(N268,AllCollegeNCES,0))&gt;0.7,(1-INDEX(AllCollegeAAHGR, MATCH(N268,AllCollegeNCES,0)))/2,0.15),2),INDEX(AllCollegeAAHGR, MATCH(N268,AllCollegeNCES,0)))</f>
        <v>0</v>
      </c>
      <c r="AC268">
        <f>IF(OR(W268="H",W268="B"),INDEX(AllCollegeSAT25, MATCH(N268,AllCollegeNCES,0)),INDEX(AllCollegeSAT50, MATCH(N268,AllCollegeNCES,0)))</f>
        <v>0</v>
      </c>
      <c r="AD268">
        <f>INDEX(CustomWeightsGPA,MATCH(W268&amp;":"&amp;N268,CustomWeightsIndex,0))</f>
        <v>0</v>
      </c>
      <c r="AE268">
        <f>INDEX(CustomWeightsSAT,MATCH(W268&amp;":"&amp;N268,CustomWeightsIndex,0))</f>
        <v>0</v>
      </c>
      <c r="AF268">
        <f>INDEX(CustomWeightsIntercept,MATCH(W268&amp;":"&amp;N268,CustomWeightsIndex,0))</f>
        <v>0</v>
      </c>
      <c r="AG268">
        <f>AD268*S268+AE268*T268+AF268</f>
        <v>0</v>
      </c>
      <c r="AH268">
        <f>INDEX(CoefficientsGPA,MATCH(W268&amp;":"&amp;R268,CoefficientsIndex,0))</f>
        <v>0</v>
      </c>
      <c r="AI268">
        <f>INDEX(CoefficientsSAT,MATCH(W268&amp;":"&amp;R268,CoefficientsIndex,0))</f>
        <v>0</v>
      </c>
      <c r="AJ268">
        <f>INDEX(CoefficientsIntercept,MATCH(W268&amp;":"&amp;R268,CoefficientsIndex,0))</f>
        <v>0</v>
      </c>
      <c r="AK268">
        <f>AH268*S268+(T268-AC268)*AI268+AJ268</f>
        <v>0</v>
      </c>
      <c r="AL268">
        <f>IF(ISNUMBER(AG268),AG268,AK268)</f>
        <v>0</v>
      </c>
      <c r="AM268">
        <f>IF(ISNUMBER(AL268),IF(ISNUMBER(AH268),IF(AND(AH268=1,AI268=1,AJ268=1),100,MIN(99,ROUND(100*EXP(AL268)/(1+EXP(AL268)),2))),MIN(99,ROUND(100*EXP(AL268)/(1+EXP(AL268)),2))),IF(ISTEXT(R268),IF(LEFT(R268,1)="2",100,"N/A"),"N/A"))</f>
        <v>0</v>
      </c>
      <c r="AN268">
        <f>IF(ISNUMBER(AM268),IF(AM268&gt;=99,IF(OR(U268=10,U268=11),MatchLabel,SureThingLabel),IF(AM268&gt;=95,SecureLabel,IF(AM268&gt;=80,SafetyLabel,IF(AM268&gt;=50,MatchLabel,IF(AM268&gt;=20,ReachLabel,IF(AM268&gt;=10,LongshotLabel,HailMaryLabel)))))),"Other")</f>
        <v>0</v>
      </c>
      <c r="AO268">
        <f>IF(OR(I268="accepted",I268="cond. accept",I268="summer admit"),IF(J268="yes","CHOICE!","Accepted!"),IF(I268="guar. transfer","Guar. Xfer",IF(I268="denied","Denied",IF(K268=1,"Waitlist",IF(L268=1,"Deferred",IF(G268="pending","Pending",IF(OR(G268="initial materials submitted",G268="mid-year submitted",G268="final submitted"),"Submitted",IF(H268="interest","Interest","?"))))))))</f>
        <v>0</v>
      </c>
      <c r="AP268">
        <f>IF(OR(AN268=ReachLabel,AN268=LongshotLabel,AN268=HailMaryLabel),1,0)</f>
        <v>0</v>
      </c>
      <c r="AQ268">
        <f>IF(OR(AP268=1,AN268=MatchLabel),1,0)</f>
        <v>0</v>
      </c>
      <c r="AR268">
        <f>IF(OR(AN268=MatchLabel,AN268=SafetyLabel,AN268=SecureLabel,AN268=SureThingLabel),1,0)</f>
        <v>0</v>
      </c>
      <c r="AS268">
        <f>IF(OR(W268="H",W268="B",W268="I",W268="M"),IF(ISNUMBER(AB268),ROUND(AB268,2),0),IF(ISNUMBER(AA268),ROUND(AA268,2),0))</f>
        <v>0</v>
      </c>
      <c r="AT268">
        <f>IF(AS268&gt;=X268,1,0)</f>
        <v>0</v>
      </c>
      <c r="AU268">
        <f>IF(AS268&gt;=Y268,1,0)</f>
        <v>0</v>
      </c>
      <c r="AV268">
        <f>IF(AS268&lt;(X268-0.10),1,0)</f>
        <v>0</v>
      </c>
      <c r="AW268">
        <f>1-AM268/100</f>
        <v>0</v>
      </c>
      <c r="AX268">
        <f>IF(AQ268=1,AW268,1)</f>
        <v>0</v>
      </c>
      <c r="AY268">
        <f>IF(AP268=1,AW268,1)</f>
        <v>0</v>
      </c>
      <c r="AZ268">
        <f>IF(AND(AT268=1,ISNUMBER(AW268)),$AW268,1)</f>
        <v>0</v>
      </c>
      <c r="BA268">
        <f>IF(AND(AU268=1,ISNUMBER(AW268)),$AW268,1)</f>
        <v>0</v>
      </c>
      <c r="BB268">
        <f>IF(ISNUMBER(AB268),INDEX(AllCollegeMoney, MATCH(N268,AllCollegeNCES,0)),0)</f>
        <v>0</v>
      </c>
      <c r="BC268">
        <f>IF(AND(AT268=1,ISNUMBER(AW268),BB268=1),$AW268,1)</f>
        <v>0</v>
      </c>
      <c r="BD268">
        <f>IF(AND(AU268=1,ISNUMBER(AW268),BB268=1),$AW268,1)</f>
        <v>0</v>
      </c>
      <c r="BE268">
        <f>IF(ISNUMBER(AB268),INDEX(AllCollegeILPub, MATCH(N268,AllCollegeNCES,0)),0)</f>
        <v>0</v>
      </c>
      <c r="BF268">
        <f>IF(AN268=ReachLabel,AS268,0)</f>
        <v>0</v>
      </c>
      <c r="BG268">
        <f>IF(AN268=MatchLabel,AS268,0)</f>
        <v>0</v>
      </c>
      <c r="BH268">
        <f>IF(AN268=SafetyLabel,AS268,0)</f>
        <v>0</v>
      </c>
      <c r="BI268">
        <f>IF(AN268=SecureLabel,AS268,0)</f>
        <v>0</v>
      </c>
      <c r="BJ268">
        <f>IF(AN268=SureThingLabel,AS268,0)</f>
        <v>0</v>
      </c>
      <c r="BK268">
        <f>MAX(BF268:BJ268)</f>
        <v>0</v>
      </c>
      <c r="BL268">
        <f>MAX(BG268:BJ268)</f>
        <v>0</v>
      </c>
      <c r="BM268">
        <f>MAX(BH268:BJ268)</f>
        <v>0</v>
      </c>
      <c r="BN268">
        <f>IF(AND(AN268=ReachLabel,BB268=1),AS268,0)</f>
        <v>0</v>
      </c>
      <c r="BO268">
        <f>IF(AND(AN268=MatchLabel,BB268=1),AS268,0)</f>
        <v>0</v>
      </c>
      <c r="BP268">
        <f>IF(AND(AN268=SafetyLabel,BB268=1),AS268,0)</f>
        <v>0</v>
      </c>
      <c r="BQ268">
        <f>IF(AND(AN268=SecureLabel,BB268=1),AS268,0)</f>
        <v>0</v>
      </c>
      <c r="BR268">
        <f>IF(AND(AN268=SureThingLabel,BB268=1),AS268,0)</f>
        <v>0</v>
      </c>
      <c r="BS268">
        <f>MAX(BN268:BR268)</f>
        <v>0</v>
      </c>
      <c r="BT268">
        <f>MAX(BO268:BR268)</f>
        <v>0</v>
      </c>
      <c r="BU268">
        <f>MAX(BP268:BR268)</f>
        <v>0</v>
      </c>
      <c r="BV268">
        <f>IF(ISNUMBER(AB268),INDEX(AllCollegeChicago, MATCH(N268,AllCollegeNCES,0))*BB268,0)</f>
        <v>0</v>
      </c>
      <c r="BW268">
        <f>IF(ISNUMBER(AB268),INDEX(AllCollegeMoneyCode, MATCH(N268,AllCollegeNCES,0)),"?")</f>
        <v>0</v>
      </c>
      <c r="BX268">
        <f>IF(OR(BW268="---",BW268="--",BW268="+/--",BW268="+/---"),1,0)</f>
        <v>0</v>
      </c>
      <c r="BY268">
        <f>BB268*AR268*AT268</f>
        <v>0</v>
      </c>
    </row>
    <row r="269" spans="1:77">
      <c r="A269" t="s">
        <v>96</v>
      </c>
      <c r="B269">
        <v>23036214</v>
      </c>
      <c r="C269" t="s">
        <v>141</v>
      </c>
      <c r="D269" t="s">
        <v>142</v>
      </c>
      <c r="E269" t="s">
        <v>446</v>
      </c>
      <c r="F269" t="s">
        <v>476</v>
      </c>
      <c r="G269" t="s">
        <v>479</v>
      </c>
      <c r="H269" t="s">
        <v>449</v>
      </c>
      <c r="I269" t="s">
        <v>450</v>
      </c>
      <c r="J269" t="s">
        <v>450</v>
      </c>
      <c r="K269">
        <v>0</v>
      </c>
      <c r="L269" t="s">
        <v>446</v>
      </c>
      <c r="M269" t="s">
        <v>446</v>
      </c>
      <c r="N269">
        <v>213668</v>
      </c>
      <c r="O269">
        <f>INDEX(Counselor,MATCH(B269,KidIDs,0))</f>
        <v>0</v>
      </c>
      <c r="P269">
        <f>INDEX(Advisors,MATCH(B269,KidIDs,0))</f>
        <v>0</v>
      </c>
      <c r="Q269">
        <f>INDEX(Cohort,MATCH(B269,KidIDs,0))</f>
        <v>0</v>
      </c>
      <c r="R269">
        <f>INDEX(AllCollegeBarrons,MATCH(N269,AllCollegeNCES,0))</f>
        <v>0</v>
      </c>
      <c r="S269">
        <f>INDEX(KidGPAs,MATCH(B269,KidIDs,0))</f>
        <v>0</v>
      </c>
      <c r="T269">
        <f>INDEX(KidSATs,MATCH(B269,KidIDs,0))</f>
        <v>0</v>
      </c>
      <c r="U269">
        <f>INDEX(Strats,MATCH(B269,KidIDs,0))</f>
        <v>0</v>
      </c>
      <c r="V269">
        <f>INDEX(KidRace,MATCH(B269,KidIDs,0))</f>
        <v>0</v>
      </c>
      <c r="W269">
        <f>IF(OR(V269="M",V269="I"),"H",IF(V269="P","A",V269))</f>
        <v>0</v>
      </c>
      <c r="X269">
        <f>INDEX(StudentTargets,MATCH(B269,KidIDs,0))</f>
        <v>0</v>
      </c>
      <c r="Y269">
        <f>INDEX(ReachStudentTargets,MATCH(B269,KidIDs,0))</f>
        <v>0</v>
      </c>
      <c r="Z269">
        <f>IF(OR(M269="Posse"),1,0)</f>
        <v>0</v>
      </c>
      <c r="AA269">
        <f>IF(ISNUMBER(INDEX(AllCollegeGR, MATCH(N269,AllCollegeNCES,0))),ROUND(INDEX(AllCollegeGR, MATCH(N269,AllCollegeNCES,0))+Z269*IF(INDEX(AllCollegeGR, MATCH(N269,AllCollegeNCES,0))&gt;0.7,(1-INDEX(AllCollegeGR, MATCH(N269,AllCollegeNCES,0)))/2,0.15),2),INDEX(AllCollegeGR, MATCH(N269,AllCollegeNCES,0)))</f>
        <v>0</v>
      </c>
      <c r="AB269">
        <f>IF(ISNUMBER(INDEX(AllCollegeAAHGR, MATCH(N269,AllCollegeNCES,0))),ROUND(INDEX(AllCollegeAAHGR, MATCH(N269,AllCollegeNCES,0))+Z269*IF(INDEX(AllCollegeAAHGR, MATCH(N269,AllCollegeNCES,0))&gt;0.7,(1-INDEX(AllCollegeAAHGR, MATCH(N269,AllCollegeNCES,0)))/2,0.15),2),INDEX(AllCollegeAAHGR, MATCH(N269,AllCollegeNCES,0)))</f>
        <v>0</v>
      </c>
      <c r="AC269">
        <f>IF(OR(W269="H",W269="B"),INDEX(AllCollegeSAT25, MATCH(N269,AllCollegeNCES,0)),INDEX(AllCollegeSAT50, MATCH(N269,AllCollegeNCES,0)))</f>
        <v>0</v>
      </c>
      <c r="AD269">
        <f>INDEX(CustomWeightsGPA,MATCH(W269&amp;":"&amp;N269,CustomWeightsIndex,0))</f>
        <v>0</v>
      </c>
      <c r="AE269">
        <f>INDEX(CustomWeightsSAT,MATCH(W269&amp;":"&amp;N269,CustomWeightsIndex,0))</f>
        <v>0</v>
      </c>
      <c r="AF269">
        <f>INDEX(CustomWeightsIntercept,MATCH(W269&amp;":"&amp;N269,CustomWeightsIndex,0))</f>
        <v>0</v>
      </c>
      <c r="AG269">
        <f>AD269*S269+AE269*T269+AF269</f>
        <v>0</v>
      </c>
      <c r="AH269">
        <f>INDEX(CoefficientsGPA,MATCH(W269&amp;":"&amp;R269,CoefficientsIndex,0))</f>
        <v>0</v>
      </c>
      <c r="AI269">
        <f>INDEX(CoefficientsSAT,MATCH(W269&amp;":"&amp;R269,CoefficientsIndex,0))</f>
        <v>0</v>
      </c>
      <c r="AJ269">
        <f>INDEX(CoefficientsIntercept,MATCH(W269&amp;":"&amp;R269,CoefficientsIndex,0))</f>
        <v>0</v>
      </c>
      <c r="AK269">
        <f>AH269*S269+(T269-AC269)*AI269+AJ269</f>
        <v>0</v>
      </c>
      <c r="AL269">
        <f>IF(ISNUMBER(AG269),AG269,AK269)</f>
        <v>0</v>
      </c>
      <c r="AM269">
        <f>IF(ISNUMBER(AL269),IF(ISNUMBER(AH269),IF(AND(AH269=1,AI269=1,AJ269=1),100,MIN(99,ROUND(100*EXP(AL269)/(1+EXP(AL269)),2))),MIN(99,ROUND(100*EXP(AL269)/(1+EXP(AL269)),2))),IF(ISTEXT(R269),IF(LEFT(R269,1)="2",100,"N/A"),"N/A"))</f>
        <v>0</v>
      </c>
      <c r="AN269">
        <f>IF(ISNUMBER(AM269),IF(AM269&gt;=99,IF(OR(U269=10,U269=11),MatchLabel,SureThingLabel),IF(AM269&gt;=95,SecureLabel,IF(AM269&gt;=80,SafetyLabel,IF(AM269&gt;=50,MatchLabel,IF(AM269&gt;=20,ReachLabel,IF(AM269&gt;=10,LongshotLabel,HailMaryLabel)))))),"Other")</f>
        <v>0</v>
      </c>
      <c r="AO269">
        <f>IF(OR(I269="accepted",I269="cond. accept",I269="summer admit"),IF(J269="yes","CHOICE!","Accepted!"),IF(I269="guar. transfer","Guar. Xfer",IF(I269="denied","Denied",IF(K269=1,"Waitlist",IF(L269=1,"Deferred",IF(G269="pending","Pending",IF(OR(G269="initial materials submitted",G269="mid-year submitted",G269="final submitted"),"Submitted",IF(H269="interest","Interest","?"))))))))</f>
        <v>0</v>
      </c>
      <c r="AP269">
        <f>IF(OR(AN269=ReachLabel,AN269=LongshotLabel,AN269=HailMaryLabel),1,0)</f>
        <v>0</v>
      </c>
      <c r="AQ269">
        <f>IF(OR(AP269=1,AN269=MatchLabel),1,0)</f>
        <v>0</v>
      </c>
      <c r="AR269">
        <f>IF(OR(AN269=MatchLabel,AN269=SafetyLabel,AN269=SecureLabel,AN269=SureThingLabel),1,0)</f>
        <v>0</v>
      </c>
      <c r="AS269">
        <f>IF(OR(W269="H",W269="B",W269="I",W269="M"),IF(ISNUMBER(AB269),ROUND(AB269,2),0),IF(ISNUMBER(AA269),ROUND(AA269,2),0))</f>
        <v>0</v>
      </c>
      <c r="AT269">
        <f>IF(AS269&gt;=X269,1,0)</f>
        <v>0</v>
      </c>
      <c r="AU269">
        <f>IF(AS269&gt;=Y269,1,0)</f>
        <v>0</v>
      </c>
      <c r="AV269">
        <f>IF(AS269&lt;(X269-0.10),1,0)</f>
        <v>0</v>
      </c>
      <c r="AW269">
        <f>1-AM269/100</f>
        <v>0</v>
      </c>
      <c r="AX269">
        <f>IF(AQ269=1,AW269,1)</f>
        <v>0</v>
      </c>
      <c r="AY269">
        <f>IF(AP269=1,AW269,1)</f>
        <v>0</v>
      </c>
      <c r="AZ269">
        <f>IF(AND(AT269=1,ISNUMBER(AW269)),$AW269,1)</f>
        <v>0</v>
      </c>
      <c r="BA269">
        <f>IF(AND(AU269=1,ISNUMBER(AW269)),$AW269,1)</f>
        <v>0</v>
      </c>
      <c r="BB269">
        <f>IF(ISNUMBER(AB269),INDEX(AllCollegeMoney, MATCH(N269,AllCollegeNCES,0)),0)</f>
        <v>0</v>
      </c>
      <c r="BC269">
        <f>IF(AND(AT269=1,ISNUMBER(AW269),BB269=1),$AW269,1)</f>
        <v>0</v>
      </c>
      <c r="BD269">
        <f>IF(AND(AU269=1,ISNUMBER(AW269),BB269=1),$AW269,1)</f>
        <v>0</v>
      </c>
      <c r="BE269">
        <f>IF(ISNUMBER(AB269),INDEX(AllCollegeILPub, MATCH(N269,AllCollegeNCES,0)),0)</f>
        <v>0</v>
      </c>
      <c r="BF269">
        <f>IF(AN269=ReachLabel,AS269,0)</f>
        <v>0</v>
      </c>
      <c r="BG269">
        <f>IF(AN269=MatchLabel,AS269,0)</f>
        <v>0</v>
      </c>
      <c r="BH269">
        <f>IF(AN269=SafetyLabel,AS269,0)</f>
        <v>0</v>
      </c>
      <c r="BI269">
        <f>IF(AN269=SecureLabel,AS269,0)</f>
        <v>0</v>
      </c>
      <c r="BJ269">
        <f>IF(AN269=SureThingLabel,AS269,0)</f>
        <v>0</v>
      </c>
      <c r="BK269">
        <f>MAX(BF269:BJ269)</f>
        <v>0</v>
      </c>
      <c r="BL269">
        <f>MAX(BG269:BJ269)</f>
        <v>0</v>
      </c>
      <c r="BM269">
        <f>MAX(BH269:BJ269)</f>
        <v>0</v>
      </c>
      <c r="BN269">
        <f>IF(AND(AN269=ReachLabel,BB269=1),AS269,0)</f>
        <v>0</v>
      </c>
      <c r="BO269">
        <f>IF(AND(AN269=MatchLabel,BB269=1),AS269,0)</f>
        <v>0</v>
      </c>
      <c r="BP269">
        <f>IF(AND(AN269=SafetyLabel,BB269=1),AS269,0)</f>
        <v>0</v>
      </c>
      <c r="BQ269">
        <f>IF(AND(AN269=SecureLabel,BB269=1),AS269,0)</f>
        <v>0</v>
      </c>
      <c r="BR269">
        <f>IF(AND(AN269=SureThingLabel,BB269=1),AS269,0)</f>
        <v>0</v>
      </c>
      <c r="BS269">
        <f>MAX(BN269:BR269)</f>
        <v>0</v>
      </c>
      <c r="BT269">
        <f>MAX(BO269:BR269)</f>
        <v>0</v>
      </c>
      <c r="BU269">
        <f>MAX(BP269:BR269)</f>
        <v>0</v>
      </c>
      <c r="BV269">
        <f>IF(ISNUMBER(AB269),INDEX(AllCollegeChicago, MATCH(N269,AllCollegeNCES,0))*BB269,0)</f>
        <v>0</v>
      </c>
      <c r="BW269">
        <f>IF(ISNUMBER(AB269),INDEX(AllCollegeMoneyCode, MATCH(N269,AllCollegeNCES,0)),"?")</f>
        <v>0</v>
      </c>
      <c r="BX269">
        <f>IF(OR(BW269="---",BW269="--",BW269="+/--",BW269="+/---"),1,0)</f>
        <v>0</v>
      </c>
      <c r="BY269">
        <f>BB269*AR269*AT269</f>
        <v>0</v>
      </c>
    </row>
    <row r="270" spans="1:77">
      <c r="A270" t="s">
        <v>96</v>
      </c>
      <c r="B270">
        <v>23036214</v>
      </c>
      <c r="C270" t="s">
        <v>141</v>
      </c>
      <c r="D270" t="s">
        <v>142</v>
      </c>
      <c r="E270" t="s">
        <v>446</v>
      </c>
      <c r="F270" t="s">
        <v>477</v>
      </c>
      <c r="G270" t="s">
        <v>448</v>
      </c>
      <c r="H270" t="s">
        <v>449</v>
      </c>
      <c r="I270" t="s">
        <v>450</v>
      </c>
      <c r="J270" t="s">
        <v>450</v>
      </c>
      <c r="K270">
        <v>0</v>
      </c>
      <c r="L270" t="s">
        <v>446</v>
      </c>
      <c r="M270" t="s">
        <v>446</v>
      </c>
      <c r="N270">
        <v>146427</v>
      </c>
      <c r="O270">
        <f>INDEX(Counselor,MATCH(B270,KidIDs,0))</f>
        <v>0</v>
      </c>
      <c r="P270">
        <f>INDEX(Advisors,MATCH(B270,KidIDs,0))</f>
        <v>0</v>
      </c>
      <c r="Q270">
        <f>INDEX(Cohort,MATCH(B270,KidIDs,0))</f>
        <v>0</v>
      </c>
      <c r="R270">
        <f>INDEX(AllCollegeBarrons,MATCH(N270,AllCollegeNCES,0))</f>
        <v>0</v>
      </c>
      <c r="S270">
        <f>INDEX(KidGPAs,MATCH(B270,KidIDs,0))</f>
        <v>0</v>
      </c>
      <c r="T270">
        <f>INDEX(KidSATs,MATCH(B270,KidIDs,0))</f>
        <v>0</v>
      </c>
      <c r="U270">
        <f>INDEX(Strats,MATCH(B270,KidIDs,0))</f>
        <v>0</v>
      </c>
      <c r="V270">
        <f>INDEX(KidRace,MATCH(B270,KidIDs,0))</f>
        <v>0</v>
      </c>
      <c r="W270">
        <f>IF(OR(V270="M",V270="I"),"H",IF(V270="P","A",V270))</f>
        <v>0</v>
      </c>
      <c r="X270">
        <f>INDEX(StudentTargets,MATCH(B270,KidIDs,0))</f>
        <v>0</v>
      </c>
      <c r="Y270">
        <f>INDEX(ReachStudentTargets,MATCH(B270,KidIDs,0))</f>
        <v>0</v>
      </c>
      <c r="Z270">
        <f>IF(OR(M270="Posse"),1,0)</f>
        <v>0</v>
      </c>
      <c r="AA270">
        <f>IF(ISNUMBER(INDEX(AllCollegeGR, MATCH(N270,AllCollegeNCES,0))),ROUND(INDEX(AllCollegeGR, MATCH(N270,AllCollegeNCES,0))+Z270*IF(INDEX(AllCollegeGR, MATCH(N270,AllCollegeNCES,0))&gt;0.7,(1-INDEX(AllCollegeGR, MATCH(N270,AllCollegeNCES,0)))/2,0.15),2),INDEX(AllCollegeGR, MATCH(N270,AllCollegeNCES,0)))</f>
        <v>0</v>
      </c>
      <c r="AB270">
        <f>IF(ISNUMBER(INDEX(AllCollegeAAHGR, MATCH(N270,AllCollegeNCES,0))),ROUND(INDEX(AllCollegeAAHGR, MATCH(N270,AllCollegeNCES,0))+Z270*IF(INDEX(AllCollegeAAHGR, MATCH(N270,AllCollegeNCES,0))&gt;0.7,(1-INDEX(AllCollegeAAHGR, MATCH(N270,AllCollegeNCES,0)))/2,0.15),2),INDEX(AllCollegeAAHGR, MATCH(N270,AllCollegeNCES,0)))</f>
        <v>0</v>
      </c>
      <c r="AC270">
        <f>IF(OR(W270="H",W270="B"),INDEX(AllCollegeSAT25, MATCH(N270,AllCollegeNCES,0)),INDEX(AllCollegeSAT50, MATCH(N270,AllCollegeNCES,0)))</f>
        <v>0</v>
      </c>
      <c r="AD270">
        <f>INDEX(CustomWeightsGPA,MATCH(W270&amp;":"&amp;N270,CustomWeightsIndex,0))</f>
        <v>0</v>
      </c>
      <c r="AE270">
        <f>INDEX(CustomWeightsSAT,MATCH(W270&amp;":"&amp;N270,CustomWeightsIndex,0))</f>
        <v>0</v>
      </c>
      <c r="AF270">
        <f>INDEX(CustomWeightsIntercept,MATCH(W270&amp;":"&amp;N270,CustomWeightsIndex,0))</f>
        <v>0</v>
      </c>
      <c r="AG270">
        <f>AD270*S270+AE270*T270+AF270</f>
        <v>0</v>
      </c>
      <c r="AH270">
        <f>INDEX(CoefficientsGPA,MATCH(W270&amp;":"&amp;R270,CoefficientsIndex,0))</f>
        <v>0</v>
      </c>
      <c r="AI270">
        <f>INDEX(CoefficientsSAT,MATCH(W270&amp;":"&amp;R270,CoefficientsIndex,0))</f>
        <v>0</v>
      </c>
      <c r="AJ270">
        <f>INDEX(CoefficientsIntercept,MATCH(W270&amp;":"&amp;R270,CoefficientsIndex,0))</f>
        <v>0</v>
      </c>
      <c r="AK270">
        <f>AH270*S270+(T270-AC270)*AI270+AJ270</f>
        <v>0</v>
      </c>
      <c r="AL270">
        <f>IF(ISNUMBER(AG270),AG270,AK270)</f>
        <v>0</v>
      </c>
      <c r="AM270">
        <f>IF(ISNUMBER(AL270),IF(ISNUMBER(AH270),IF(AND(AH270=1,AI270=1,AJ270=1),100,MIN(99,ROUND(100*EXP(AL270)/(1+EXP(AL270)),2))),MIN(99,ROUND(100*EXP(AL270)/(1+EXP(AL270)),2))),IF(ISTEXT(R270),IF(LEFT(R270,1)="2",100,"N/A"),"N/A"))</f>
        <v>0</v>
      </c>
      <c r="AN270">
        <f>IF(ISNUMBER(AM270),IF(AM270&gt;=99,IF(OR(U270=10,U270=11),MatchLabel,SureThingLabel),IF(AM270&gt;=95,SecureLabel,IF(AM270&gt;=80,SafetyLabel,IF(AM270&gt;=50,MatchLabel,IF(AM270&gt;=20,ReachLabel,IF(AM270&gt;=10,LongshotLabel,HailMaryLabel)))))),"Other")</f>
        <v>0</v>
      </c>
      <c r="AO270">
        <f>IF(OR(I270="accepted",I270="cond. accept",I270="summer admit"),IF(J270="yes","CHOICE!","Accepted!"),IF(I270="guar. transfer","Guar. Xfer",IF(I270="denied","Denied",IF(K270=1,"Waitlist",IF(L270=1,"Deferred",IF(G270="pending","Pending",IF(OR(G270="initial materials submitted",G270="mid-year submitted",G270="final submitted"),"Submitted",IF(H270="interest","Interest","?"))))))))</f>
        <v>0</v>
      </c>
      <c r="AP270">
        <f>IF(OR(AN270=ReachLabel,AN270=LongshotLabel,AN270=HailMaryLabel),1,0)</f>
        <v>0</v>
      </c>
      <c r="AQ270">
        <f>IF(OR(AP270=1,AN270=MatchLabel),1,0)</f>
        <v>0</v>
      </c>
      <c r="AR270">
        <f>IF(OR(AN270=MatchLabel,AN270=SafetyLabel,AN270=SecureLabel,AN270=SureThingLabel),1,0)</f>
        <v>0</v>
      </c>
      <c r="AS270">
        <f>IF(OR(W270="H",W270="B",W270="I",W270="M"),IF(ISNUMBER(AB270),ROUND(AB270,2),0),IF(ISNUMBER(AA270),ROUND(AA270,2),0))</f>
        <v>0</v>
      </c>
      <c r="AT270">
        <f>IF(AS270&gt;=X270,1,0)</f>
        <v>0</v>
      </c>
      <c r="AU270">
        <f>IF(AS270&gt;=Y270,1,0)</f>
        <v>0</v>
      </c>
      <c r="AV270">
        <f>IF(AS270&lt;(X270-0.10),1,0)</f>
        <v>0</v>
      </c>
      <c r="AW270">
        <f>1-AM270/100</f>
        <v>0</v>
      </c>
      <c r="AX270">
        <f>IF(AQ270=1,AW270,1)</f>
        <v>0</v>
      </c>
      <c r="AY270">
        <f>IF(AP270=1,AW270,1)</f>
        <v>0</v>
      </c>
      <c r="AZ270">
        <f>IF(AND(AT270=1,ISNUMBER(AW270)),$AW270,1)</f>
        <v>0</v>
      </c>
      <c r="BA270">
        <f>IF(AND(AU270=1,ISNUMBER(AW270)),$AW270,1)</f>
        <v>0</v>
      </c>
      <c r="BB270">
        <f>IF(ISNUMBER(AB270),INDEX(AllCollegeMoney, MATCH(N270,AllCollegeNCES,0)),0)</f>
        <v>0</v>
      </c>
      <c r="BC270">
        <f>IF(AND(AT270=1,ISNUMBER(AW270),BB270=1),$AW270,1)</f>
        <v>0</v>
      </c>
      <c r="BD270">
        <f>IF(AND(AU270=1,ISNUMBER(AW270),BB270=1),$AW270,1)</f>
        <v>0</v>
      </c>
      <c r="BE270">
        <f>IF(ISNUMBER(AB270),INDEX(AllCollegeILPub, MATCH(N270,AllCollegeNCES,0)),0)</f>
        <v>0</v>
      </c>
      <c r="BF270">
        <f>IF(AN270=ReachLabel,AS270,0)</f>
        <v>0</v>
      </c>
      <c r="BG270">
        <f>IF(AN270=MatchLabel,AS270,0)</f>
        <v>0</v>
      </c>
      <c r="BH270">
        <f>IF(AN270=SafetyLabel,AS270,0)</f>
        <v>0</v>
      </c>
      <c r="BI270">
        <f>IF(AN270=SecureLabel,AS270,0)</f>
        <v>0</v>
      </c>
      <c r="BJ270">
        <f>IF(AN270=SureThingLabel,AS270,0)</f>
        <v>0</v>
      </c>
      <c r="BK270">
        <f>MAX(BF270:BJ270)</f>
        <v>0</v>
      </c>
      <c r="BL270">
        <f>MAX(BG270:BJ270)</f>
        <v>0</v>
      </c>
      <c r="BM270">
        <f>MAX(BH270:BJ270)</f>
        <v>0</v>
      </c>
      <c r="BN270">
        <f>IF(AND(AN270=ReachLabel,BB270=1),AS270,0)</f>
        <v>0</v>
      </c>
      <c r="BO270">
        <f>IF(AND(AN270=MatchLabel,BB270=1),AS270,0)</f>
        <v>0</v>
      </c>
      <c r="BP270">
        <f>IF(AND(AN270=SafetyLabel,BB270=1),AS270,0)</f>
        <v>0</v>
      </c>
      <c r="BQ270">
        <f>IF(AND(AN270=SecureLabel,BB270=1),AS270,0)</f>
        <v>0</v>
      </c>
      <c r="BR270">
        <f>IF(AND(AN270=SureThingLabel,BB270=1),AS270,0)</f>
        <v>0</v>
      </c>
      <c r="BS270">
        <f>MAX(BN270:BR270)</f>
        <v>0</v>
      </c>
      <c r="BT270">
        <f>MAX(BO270:BR270)</f>
        <v>0</v>
      </c>
      <c r="BU270">
        <f>MAX(BP270:BR270)</f>
        <v>0</v>
      </c>
      <c r="BV270">
        <f>IF(ISNUMBER(AB270),INDEX(AllCollegeChicago, MATCH(N270,AllCollegeNCES,0))*BB270,0)</f>
        <v>0</v>
      </c>
      <c r="BW270">
        <f>IF(ISNUMBER(AB270),INDEX(AllCollegeMoneyCode, MATCH(N270,AllCollegeNCES,0)),"?")</f>
        <v>0</v>
      </c>
      <c r="BX270">
        <f>IF(OR(BW270="---",BW270="--",BW270="+/--",BW270="+/---"),1,0)</f>
        <v>0</v>
      </c>
      <c r="BY270">
        <f>BB270*AR270*AT270</f>
        <v>0</v>
      </c>
    </row>
    <row r="271" spans="1:77">
      <c r="A271" t="s">
        <v>96</v>
      </c>
      <c r="B271">
        <v>23036214</v>
      </c>
      <c r="C271" t="s">
        <v>141</v>
      </c>
      <c r="D271" t="s">
        <v>142</v>
      </c>
      <c r="E271" t="s">
        <v>446</v>
      </c>
      <c r="F271" t="s">
        <v>478</v>
      </c>
      <c r="G271" t="s">
        <v>479</v>
      </c>
      <c r="H271" t="s">
        <v>449</v>
      </c>
      <c r="I271" t="s">
        <v>450</v>
      </c>
      <c r="J271" t="s">
        <v>450</v>
      </c>
      <c r="K271">
        <v>0</v>
      </c>
      <c r="L271" t="s">
        <v>446</v>
      </c>
      <c r="M271" t="s">
        <v>446</v>
      </c>
      <c r="N271">
        <v>168546</v>
      </c>
      <c r="O271">
        <f>INDEX(Counselor,MATCH(B271,KidIDs,0))</f>
        <v>0</v>
      </c>
      <c r="P271">
        <f>INDEX(Advisors,MATCH(B271,KidIDs,0))</f>
        <v>0</v>
      </c>
      <c r="Q271">
        <f>INDEX(Cohort,MATCH(B271,KidIDs,0))</f>
        <v>0</v>
      </c>
      <c r="R271">
        <f>INDEX(AllCollegeBarrons,MATCH(N271,AllCollegeNCES,0))</f>
        <v>0</v>
      </c>
      <c r="S271">
        <f>INDEX(KidGPAs,MATCH(B271,KidIDs,0))</f>
        <v>0</v>
      </c>
      <c r="T271">
        <f>INDEX(KidSATs,MATCH(B271,KidIDs,0))</f>
        <v>0</v>
      </c>
      <c r="U271">
        <f>INDEX(Strats,MATCH(B271,KidIDs,0))</f>
        <v>0</v>
      </c>
      <c r="V271">
        <f>INDEX(KidRace,MATCH(B271,KidIDs,0))</f>
        <v>0</v>
      </c>
      <c r="W271">
        <f>IF(OR(V271="M",V271="I"),"H",IF(V271="P","A",V271))</f>
        <v>0</v>
      </c>
      <c r="X271">
        <f>INDEX(StudentTargets,MATCH(B271,KidIDs,0))</f>
        <v>0</v>
      </c>
      <c r="Y271">
        <f>INDEX(ReachStudentTargets,MATCH(B271,KidIDs,0))</f>
        <v>0</v>
      </c>
      <c r="Z271">
        <f>IF(OR(M271="Posse"),1,0)</f>
        <v>0</v>
      </c>
      <c r="AA271">
        <f>IF(ISNUMBER(INDEX(AllCollegeGR, MATCH(N271,AllCollegeNCES,0))),ROUND(INDEX(AllCollegeGR, MATCH(N271,AllCollegeNCES,0))+Z271*IF(INDEX(AllCollegeGR, MATCH(N271,AllCollegeNCES,0))&gt;0.7,(1-INDEX(AllCollegeGR, MATCH(N271,AllCollegeNCES,0)))/2,0.15),2),INDEX(AllCollegeGR, MATCH(N271,AllCollegeNCES,0)))</f>
        <v>0</v>
      </c>
      <c r="AB271">
        <f>IF(ISNUMBER(INDEX(AllCollegeAAHGR, MATCH(N271,AllCollegeNCES,0))),ROUND(INDEX(AllCollegeAAHGR, MATCH(N271,AllCollegeNCES,0))+Z271*IF(INDEX(AllCollegeAAHGR, MATCH(N271,AllCollegeNCES,0))&gt;0.7,(1-INDEX(AllCollegeAAHGR, MATCH(N271,AllCollegeNCES,0)))/2,0.15),2),INDEX(AllCollegeAAHGR, MATCH(N271,AllCollegeNCES,0)))</f>
        <v>0</v>
      </c>
      <c r="AC271">
        <f>IF(OR(W271="H",W271="B"),INDEX(AllCollegeSAT25, MATCH(N271,AllCollegeNCES,0)),INDEX(AllCollegeSAT50, MATCH(N271,AllCollegeNCES,0)))</f>
        <v>0</v>
      </c>
      <c r="AD271">
        <f>INDEX(CustomWeightsGPA,MATCH(W271&amp;":"&amp;N271,CustomWeightsIndex,0))</f>
        <v>0</v>
      </c>
      <c r="AE271">
        <f>INDEX(CustomWeightsSAT,MATCH(W271&amp;":"&amp;N271,CustomWeightsIndex,0))</f>
        <v>0</v>
      </c>
      <c r="AF271">
        <f>INDEX(CustomWeightsIntercept,MATCH(W271&amp;":"&amp;N271,CustomWeightsIndex,0))</f>
        <v>0</v>
      </c>
      <c r="AG271">
        <f>AD271*S271+AE271*T271+AF271</f>
        <v>0</v>
      </c>
      <c r="AH271">
        <f>INDEX(CoefficientsGPA,MATCH(W271&amp;":"&amp;R271,CoefficientsIndex,0))</f>
        <v>0</v>
      </c>
      <c r="AI271">
        <f>INDEX(CoefficientsSAT,MATCH(W271&amp;":"&amp;R271,CoefficientsIndex,0))</f>
        <v>0</v>
      </c>
      <c r="AJ271">
        <f>INDEX(CoefficientsIntercept,MATCH(W271&amp;":"&amp;R271,CoefficientsIndex,0))</f>
        <v>0</v>
      </c>
      <c r="AK271">
        <f>AH271*S271+(T271-AC271)*AI271+AJ271</f>
        <v>0</v>
      </c>
      <c r="AL271">
        <f>IF(ISNUMBER(AG271),AG271,AK271)</f>
        <v>0</v>
      </c>
      <c r="AM271">
        <f>IF(ISNUMBER(AL271),IF(ISNUMBER(AH271),IF(AND(AH271=1,AI271=1,AJ271=1),100,MIN(99,ROUND(100*EXP(AL271)/(1+EXP(AL271)),2))),MIN(99,ROUND(100*EXP(AL271)/(1+EXP(AL271)),2))),IF(ISTEXT(R271),IF(LEFT(R271,1)="2",100,"N/A"),"N/A"))</f>
        <v>0</v>
      </c>
      <c r="AN271">
        <f>IF(ISNUMBER(AM271),IF(AM271&gt;=99,IF(OR(U271=10,U271=11),MatchLabel,SureThingLabel),IF(AM271&gt;=95,SecureLabel,IF(AM271&gt;=80,SafetyLabel,IF(AM271&gt;=50,MatchLabel,IF(AM271&gt;=20,ReachLabel,IF(AM271&gt;=10,LongshotLabel,HailMaryLabel)))))),"Other")</f>
        <v>0</v>
      </c>
      <c r="AO271">
        <f>IF(OR(I271="accepted",I271="cond. accept",I271="summer admit"),IF(J271="yes","CHOICE!","Accepted!"),IF(I271="guar. transfer","Guar. Xfer",IF(I271="denied","Denied",IF(K271=1,"Waitlist",IF(L271=1,"Deferred",IF(G271="pending","Pending",IF(OR(G271="initial materials submitted",G271="mid-year submitted",G271="final submitted"),"Submitted",IF(H271="interest","Interest","?"))))))))</f>
        <v>0</v>
      </c>
      <c r="AP271">
        <f>IF(OR(AN271=ReachLabel,AN271=LongshotLabel,AN271=HailMaryLabel),1,0)</f>
        <v>0</v>
      </c>
      <c r="AQ271">
        <f>IF(OR(AP271=1,AN271=MatchLabel),1,0)</f>
        <v>0</v>
      </c>
      <c r="AR271">
        <f>IF(OR(AN271=MatchLabel,AN271=SafetyLabel,AN271=SecureLabel,AN271=SureThingLabel),1,0)</f>
        <v>0</v>
      </c>
      <c r="AS271">
        <f>IF(OR(W271="H",W271="B",W271="I",W271="M"),IF(ISNUMBER(AB271),ROUND(AB271,2),0),IF(ISNUMBER(AA271),ROUND(AA271,2),0))</f>
        <v>0</v>
      </c>
      <c r="AT271">
        <f>IF(AS271&gt;=X271,1,0)</f>
        <v>0</v>
      </c>
      <c r="AU271">
        <f>IF(AS271&gt;=Y271,1,0)</f>
        <v>0</v>
      </c>
      <c r="AV271">
        <f>IF(AS271&lt;(X271-0.10),1,0)</f>
        <v>0</v>
      </c>
      <c r="AW271">
        <f>1-AM271/100</f>
        <v>0</v>
      </c>
      <c r="AX271">
        <f>IF(AQ271=1,AW271,1)</f>
        <v>0</v>
      </c>
      <c r="AY271">
        <f>IF(AP271=1,AW271,1)</f>
        <v>0</v>
      </c>
      <c r="AZ271">
        <f>IF(AND(AT271=1,ISNUMBER(AW271)),$AW271,1)</f>
        <v>0</v>
      </c>
      <c r="BA271">
        <f>IF(AND(AU271=1,ISNUMBER(AW271)),$AW271,1)</f>
        <v>0</v>
      </c>
      <c r="BB271">
        <f>IF(ISNUMBER(AB271),INDEX(AllCollegeMoney, MATCH(N271,AllCollegeNCES,0)),0)</f>
        <v>0</v>
      </c>
      <c r="BC271">
        <f>IF(AND(AT271=1,ISNUMBER(AW271),BB271=1),$AW271,1)</f>
        <v>0</v>
      </c>
      <c r="BD271">
        <f>IF(AND(AU271=1,ISNUMBER(AW271),BB271=1),$AW271,1)</f>
        <v>0</v>
      </c>
      <c r="BE271">
        <f>IF(ISNUMBER(AB271),INDEX(AllCollegeILPub, MATCH(N271,AllCollegeNCES,0)),0)</f>
        <v>0</v>
      </c>
      <c r="BF271">
        <f>IF(AN271=ReachLabel,AS271,0)</f>
        <v>0</v>
      </c>
      <c r="BG271">
        <f>IF(AN271=MatchLabel,AS271,0)</f>
        <v>0</v>
      </c>
      <c r="BH271">
        <f>IF(AN271=SafetyLabel,AS271,0)</f>
        <v>0</v>
      </c>
      <c r="BI271">
        <f>IF(AN271=SecureLabel,AS271,0)</f>
        <v>0</v>
      </c>
      <c r="BJ271">
        <f>IF(AN271=SureThingLabel,AS271,0)</f>
        <v>0</v>
      </c>
      <c r="BK271">
        <f>MAX(BF271:BJ271)</f>
        <v>0</v>
      </c>
      <c r="BL271">
        <f>MAX(BG271:BJ271)</f>
        <v>0</v>
      </c>
      <c r="BM271">
        <f>MAX(BH271:BJ271)</f>
        <v>0</v>
      </c>
      <c r="BN271">
        <f>IF(AND(AN271=ReachLabel,BB271=1),AS271,0)</f>
        <v>0</v>
      </c>
      <c r="BO271">
        <f>IF(AND(AN271=MatchLabel,BB271=1),AS271,0)</f>
        <v>0</v>
      </c>
      <c r="BP271">
        <f>IF(AND(AN271=SafetyLabel,BB271=1),AS271,0)</f>
        <v>0</v>
      </c>
      <c r="BQ271">
        <f>IF(AND(AN271=SecureLabel,BB271=1),AS271,0)</f>
        <v>0</v>
      </c>
      <c r="BR271">
        <f>IF(AND(AN271=SureThingLabel,BB271=1),AS271,0)</f>
        <v>0</v>
      </c>
      <c r="BS271">
        <f>MAX(BN271:BR271)</f>
        <v>0</v>
      </c>
      <c r="BT271">
        <f>MAX(BO271:BR271)</f>
        <v>0</v>
      </c>
      <c r="BU271">
        <f>MAX(BP271:BR271)</f>
        <v>0</v>
      </c>
      <c r="BV271">
        <f>IF(ISNUMBER(AB271),INDEX(AllCollegeChicago, MATCH(N271,AllCollegeNCES,0))*BB271,0)</f>
        <v>0</v>
      </c>
      <c r="BW271">
        <f>IF(ISNUMBER(AB271),INDEX(AllCollegeMoneyCode, MATCH(N271,AllCollegeNCES,0)),"?")</f>
        <v>0</v>
      </c>
      <c r="BX271">
        <f>IF(OR(BW271="---",BW271="--",BW271="+/--",BW271="+/---"),1,0)</f>
        <v>0</v>
      </c>
      <c r="BY271">
        <f>BB271*AR271*AT271</f>
        <v>0</v>
      </c>
    </row>
    <row r="272" spans="1:77">
      <c r="A272" t="s">
        <v>96</v>
      </c>
      <c r="B272">
        <v>23036214</v>
      </c>
      <c r="C272" t="s">
        <v>141</v>
      </c>
      <c r="D272" t="s">
        <v>142</v>
      </c>
      <c r="E272" t="s">
        <v>446</v>
      </c>
      <c r="F272" t="s">
        <v>518</v>
      </c>
      <c r="G272" t="s">
        <v>448</v>
      </c>
      <c r="H272" t="s">
        <v>449</v>
      </c>
      <c r="I272" t="s">
        <v>450</v>
      </c>
      <c r="J272" t="s">
        <v>450</v>
      </c>
      <c r="K272">
        <v>0</v>
      </c>
      <c r="L272" t="s">
        <v>446</v>
      </c>
      <c r="M272" t="s">
        <v>446</v>
      </c>
      <c r="N272">
        <v>145725</v>
      </c>
      <c r="O272">
        <f>INDEX(Counselor,MATCH(B272,KidIDs,0))</f>
        <v>0</v>
      </c>
      <c r="P272">
        <f>INDEX(Advisors,MATCH(B272,KidIDs,0))</f>
        <v>0</v>
      </c>
      <c r="Q272">
        <f>INDEX(Cohort,MATCH(B272,KidIDs,0))</f>
        <v>0</v>
      </c>
      <c r="R272">
        <f>INDEX(AllCollegeBarrons,MATCH(N272,AllCollegeNCES,0))</f>
        <v>0</v>
      </c>
      <c r="S272">
        <f>INDEX(KidGPAs,MATCH(B272,KidIDs,0))</f>
        <v>0</v>
      </c>
      <c r="T272">
        <f>INDEX(KidSATs,MATCH(B272,KidIDs,0))</f>
        <v>0</v>
      </c>
      <c r="U272">
        <f>INDEX(Strats,MATCH(B272,KidIDs,0))</f>
        <v>0</v>
      </c>
      <c r="V272">
        <f>INDEX(KidRace,MATCH(B272,KidIDs,0))</f>
        <v>0</v>
      </c>
      <c r="W272">
        <f>IF(OR(V272="M",V272="I"),"H",IF(V272="P","A",V272))</f>
        <v>0</v>
      </c>
      <c r="X272">
        <f>INDEX(StudentTargets,MATCH(B272,KidIDs,0))</f>
        <v>0</v>
      </c>
      <c r="Y272">
        <f>INDEX(ReachStudentTargets,MATCH(B272,KidIDs,0))</f>
        <v>0</v>
      </c>
      <c r="Z272">
        <f>IF(OR(M272="Posse"),1,0)</f>
        <v>0</v>
      </c>
      <c r="AA272">
        <f>IF(ISNUMBER(INDEX(AllCollegeGR, MATCH(N272,AllCollegeNCES,0))),ROUND(INDEX(AllCollegeGR, MATCH(N272,AllCollegeNCES,0))+Z272*IF(INDEX(AllCollegeGR, MATCH(N272,AllCollegeNCES,0))&gt;0.7,(1-INDEX(AllCollegeGR, MATCH(N272,AllCollegeNCES,0)))/2,0.15),2),INDEX(AllCollegeGR, MATCH(N272,AllCollegeNCES,0)))</f>
        <v>0</v>
      </c>
      <c r="AB272">
        <f>IF(ISNUMBER(INDEX(AllCollegeAAHGR, MATCH(N272,AllCollegeNCES,0))),ROUND(INDEX(AllCollegeAAHGR, MATCH(N272,AllCollegeNCES,0))+Z272*IF(INDEX(AllCollegeAAHGR, MATCH(N272,AllCollegeNCES,0))&gt;0.7,(1-INDEX(AllCollegeAAHGR, MATCH(N272,AllCollegeNCES,0)))/2,0.15),2),INDEX(AllCollegeAAHGR, MATCH(N272,AllCollegeNCES,0)))</f>
        <v>0</v>
      </c>
      <c r="AC272">
        <f>IF(OR(W272="H",W272="B"),INDEX(AllCollegeSAT25, MATCH(N272,AllCollegeNCES,0)),INDEX(AllCollegeSAT50, MATCH(N272,AllCollegeNCES,0)))</f>
        <v>0</v>
      </c>
      <c r="AD272">
        <f>INDEX(CustomWeightsGPA,MATCH(W272&amp;":"&amp;N272,CustomWeightsIndex,0))</f>
        <v>0</v>
      </c>
      <c r="AE272">
        <f>INDEX(CustomWeightsSAT,MATCH(W272&amp;":"&amp;N272,CustomWeightsIndex,0))</f>
        <v>0</v>
      </c>
      <c r="AF272">
        <f>INDEX(CustomWeightsIntercept,MATCH(W272&amp;":"&amp;N272,CustomWeightsIndex,0))</f>
        <v>0</v>
      </c>
      <c r="AG272">
        <f>AD272*S272+AE272*T272+AF272</f>
        <v>0</v>
      </c>
      <c r="AH272">
        <f>INDEX(CoefficientsGPA,MATCH(W272&amp;":"&amp;R272,CoefficientsIndex,0))</f>
        <v>0</v>
      </c>
      <c r="AI272">
        <f>INDEX(CoefficientsSAT,MATCH(W272&amp;":"&amp;R272,CoefficientsIndex,0))</f>
        <v>0</v>
      </c>
      <c r="AJ272">
        <f>INDEX(CoefficientsIntercept,MATCH(W272&amp;":"&amp;R272,CoefficientsIndex,0))</f>
        <v>0</v>
      </c>
      <c r="AK272">
        <f>AH272*S272+(T272-AC272)*AI272+AJ272</f>
        <v>0</v>
      </c>
      <c r="AL272">
        <f>IF(ISNUMBER(AG272),AG272,AK272)</f>
        <v>0</v>
      </c>
      <c r="AM272">
        <f>IF(ISNUMBER(AL272),IF(ISNUMBER(AH272),IF(AND(AH272=1,AI272=1,AJ272=1),100,MIN(99,ROUND(100*EXP(AL272)/(1+EXP(AL272)),2))),MIN(99,ROUND(100*EXP(AL272)/(1+EXP(AL272)),2))),IF(ISTEXT(R272),IF(LEFT(R272,1)="2",100,"N/A"),"N/A"))</f>
        <v>0</v>
      </c>
      <c r="AN272">
        <f>IF(ISNUMBER(AM272),IF(AM272&gt;=99,IF(OR(U272=10,U272=11),MatchLabel,SureThingLabel),IF(AM272&gt;=95,SecureLabel,IF(AM272&gt;=80,SafetyLabel,IF(AM272&gt;=50,MatchLabel,IF(AM272&gt;=20,ReachLabel,IF(AM272&gt;=10,LongshotLabel,HailMaryLabel)))))),"Other")</f>
        <v>0</v>
      </c>
      <c r="AO272">
        <f>IF(OR(I272="accepted",I272="cond. accept",I272="summer admit"),IF(J272="yes","CHOICE!","Accepted!"),IF(I272="guar. transfer","Guar. Xfer",IF(I272="denied","Denied",IF(K272=1,"Waitlist",IF(L272=1,"Deferred",IF(G272="pending","Pending",IF(OR(G272="initial materials submitted",G272="mid-year submitted",G272="final submitted"),"Submitted",IF(H272="interest","Interest","?"))))))))</f>
        <v>0</v>
      </c>
      <c r="AP272">
        <f>IF(OR(AN272=ReachLabel,AN272=LongshotLabel,AN272=HailMaryLabel),1,0)</f>
        <v>0</v>
      </c>
      <c r="AQ272">
        <f>IF(OR(AP272=1,AN272=MatchLabel),1,0)</f>
        <v>0</v>
      </c>
      <c r="AR272">
        <f>IF(OR(AN272=MatchLabel,AN272=SafetyLabel,AN272=SecureLabel,AN272=SureThingLabel),1,0)</f>
        <v>0</v>
      </c>
      <c r="AS272">
        <f>IF(OR(W272="H",W272="B",W272="I",W272="M"),IF(ISNUMBER(AB272),ROUND(AB272,2),0),IF(ISNUMBER(AA272),ROUND(AA272,2),0))</f>
        <v>0</v>
      </c>
      <c r="AT272">
        <f>IF(AS272&gt;=X272,1,0)</f>
        <v>0</v>
      </c>
      <c r="AU272">
        <f>IF(AS272&gt;=Y272,1,0)</f>
        <v>0</v>
      </c>
      <c r="AV272">
        <f>IF(AS272&lt;(X272-0.10),1,0)</f>
        <v>0</v>
      </c>
      <c r="AW272">
        <f>1-AM272/100</f>
        <v>0</v>
      </c>
      <c r="AX272">
        <f>IF(AQ272=1,AW272,1)</f>
        <v>0</v>
      </c>
      <c r="AY272">
        <f>IF(AP272=1,AW272,1)</f>
        <v>0</v>
      </c>
      <c r="AZ272">
        <f>IF(AND(AT272=1,ISNUMBER(AW272)),$AW272,1)</f>
        <v>0</v>
      </c>
      <c r="BA272">
        <f>IF(AND(AU272=1,ISNUMBER(AW272)),$AW272,1)</f>
        <v>0</v>
      </c>
      <c r="BB272">
        <f>IF(ISNUMBER(AB272),INDEX(AllCollegeMoney, MATCH(N272,AllCollegeNCES,0)),0)</f>
        <v>0</v>
      </c>
      <c r="BC272">
        <f>IF(AND(AT272=1,ISNUMBER(AW272),BB272=1),$AW272,1)</f>
        <v>0</v>
      </c>
      <c r="BD272">
        <f>IF(AND(AU272=1,ISNUMBER(AW272),BB272=1),$AW272,1)</f>
        <v>0</v>
      </c>
      <c r="BE272">
        <f>IF(ISNUMBER(AB272),INDEX(AllCollegeILPub, MATCH(N272,AllCollegeNCES,0)),0)</f>
        <v>0</v>
      </c>
      <c r="BF272">
        <f>IF(AN272=ReachLabel,AS272,0)</f>
        <v>0</v>
      </c>
      <c r="BG272">
        <f>IF(AN272=MatchLabel,AS272,0)</f>
        <v>0</v>
      </c>
      <c r="BH272">
        <f>IF(AN272=SafetyLabel,AS272,0)</f>
        <v>0</v>
      </c>
      <c r="BI272">
        <f>IF(AN272=SecureLabel,AS272,0)</f>
        <v>0</v>
      </c>
      <c r="BJ272">
        <f>IF(AN272=SureThingLabel,AS272,0)</f>
        <v>0</v>
      </c>
      <c r="BK272">
        <f>MAX(BF272:BJ272)</f>
        <v>0</v>
      </c>
      <c r="BL272">
        <f>MAX(BG272:BJ272)</f>
        <v>0</v>
      </c>
      <c r="BM272">
        <f>MAX(BH272:BJ272)</f>
        <v>0</v>
      </c>
      <c r="BN272">
        <f>IF(AND(AN272=ReachLabel,BB272=1),AS272,0)</f>
        <v>0</v>
      </c>
      <c r="BO272">
        <f>IF(AND(AN272=MatchLabel,BB272=1),AS272,0)</f>
        <v>0</v>
      </c>
      <c r="BP272">
        <f>IF(AND(AN272=SafetyLabel,BB272=1),AS272,0)</f>
        <v>0</v>
      </c>
      <c r="BQ272">
        <f>IF(AND(AN272=SecureLabel,BB272=1),AS272,0)</f>
        <v>0</v>
      </c>
      <c r="BR272">
        <f>IF(AND(AN272=SureThingLabel,BB272=1),AS272,0)</f>
        <v>0</v>
      </c>
      <c r="BS272">
        <f>MAX(BN272:BR272)</f>
        <v>0</v>
      </c>
      <c r="BT272">
        <f>MAX(BO272:BR272)</f>
        <v>0</v>
      </c>
      <c r="BU272">
        <f>MAX(BP272:BR272)</f>
        <v>0</v>
      </c>
      <c r="BV272">
        <f>IF(ISNUMBER(AB272),INDEX(AllCollegeChicago, MATCH(N272,AllCollegeNCES,0))*BB272,0)</f>
        <v>0</v>
      </c>
      <c r="BW272">
        <f>IF(ISNUMBER(AB272),INDEX(AllCollegeMoneyCode, MATCH(N272,AllCollegeNCES,0)),"?")</f>
        <v>0</v>
      </c>
      <c r="BX272">
        <f>IF(OR(BW272="---",BW272="--",BW272="+/--",BW272="+/---"),1,0)</f>
        <v>0</v>
      </c>
      <c r="BY272">
        <f>BB272*AR272*AT272</f>
        <v>0</v>
      </c>
    </row>
    <row r="273" spans="1:77">
      <c r="A273" t="s">
        <v>96</v>
      </c>
      <c r="B273">
        <v>23036214</v>
      </c>
      <c r="C273" t="s">
        <v>141</v>
      </c>
      <c r="D273" t="s">
        <v>142</v>
      </c>
      <c r="E273" t="s">
        <v>446</v>
      </c>
      <c r="F273" t="s">
        <v>465</v>
      </c>
      <c r="G273" t="s">
        <v>448</v>
      </c>
      <c r="H273" t="s">
        <v>449</v>
      </c>
      <c r="I273" t="s">
        <v>450</v>
      </c>
      <c r="J273" t="s">
        <v>450</v>
      </c>
      <c r="K273">
        <v>0</v>
      </c>
      <c r="L273" t="s">
        <v>446</v>
      </c>
      <c r="M273" t="s">
        <v>446</v>
      </c>
      <c r="N273">
        <v>145600</v>
      </c>
      <c r="O273">
        <f>INDEX(Counselor,MATCH(B273,KidIDs,0))</f>
        <v>0</v>
      </c>
      <c r="P273">
        <f>INDEX(Advisors,MATCH(B273,KidIDs,0))</f>
        <v>0</v>
      </c>
      <c r="Q273">
        <f>INDEX(Cohort,MATCH(B273,KidIDs,0))</f>
        <v>0</v>
      </c>
      <c r="R273">
        <f>INDEX(AllCollegeBarrons,MATCH(N273,AllCollegeNCES,0))</f>
        <v>0</v>
      </c>
      <c r="S273">
        <f>INDEX(KidGPAs,MATCH(B273,KidIDs,0))</f>
        <v>0</v>
      </c>
      <c r="T273">
        <f>INDEX(KidSATs,MATCH(B273,KidIDs,0))</f>
        <v>0</v>
      </c>
      <c r="U273">
        <f>INDEX(Strats,MATCH(B273,KidIDs,0))</f>
        <v>0</v>
      </c>
      <c r="V273">
        <f>INDEX(KidRace,MATCH(B273,KidIDs,0))</f>
        <v>0</v>
      </c>
      <c r="W273">
        <f>IF(OR(V273="M",V273="I"),"H",IF(V273="P","A",V273))</f>
        <v>0</v>
      </c>
      <c r="X273">
        <f>INDEX(StudentTargets,MATCH(B273,KidIDs,0))</f>
        <v>0</v>
      </c>
      <c r="Y273">
        <f>INDEX(ReachStudentTargets,MATCH(B273,KidIDs,0))</f>
        <v>0</v>
      </c>
      <c r="Z273">
        <f>IF(OR(M273="Posse"),1,0)</f>
        <v>0</v>
      </c>
      <c r="AA273">
        <f>IF(ISNUMBER(INDEX(AllCollegeGR, MATCH(N273,AllCollegeNCES,0))),ROUND(INDEX(AllCollegeGR, MATCH(N273,AllCollegeNCES,0))+Z273*IF(INDEX(AllCollegeGR, MATCH(N273,AllCollegeNCES,0))&gt;0.7,(1-INDEX(AllCollegeGR, MATCH(N273,AllCollegeNCES,0)))/2,0.15),2),INDEX(AllCollegeGR, MATCH(N273,AllCollegeNCES,0)))</f>
        <v>0</v>
      </c>
      <c r="AB273">
        <f>IF(ISNUMBER(INDEX(AllCollegeAAHGR, MATCH(N273,AllCollegeNCES,0))),ROUND(INDEX(AllCollegeAAHGR, MATCH(N273,AllCollegeNCES,0))+Z273*IF(INDEX(AllCollegeAAHGR, MATCH(N273,AllCollegeNCES,0))&gt;0.7,(1-INDEX(AllCollegeAAHGR, MATCH(N273,AllCollegeNCES,0)))/2,0.15),2),INDEX(AllCollegeAAHGR, MATCH(N273,AllCollegeNCES,0)))</f>
        <v>0</v>
      </c>
      <c r="AC273">
        <f>IF(OR(W273="H",W273="B"),INDEX(AllCollegeSAT25, MATCH(N273,AllCollegeNCES,0)),INDEX(AllCollegeSAT50, MATCH(N273,AllCollegeNCES,0)))</f>
        <v>0</v>
      </c>
      <c r="AD273">
        <f>INDEX(CustomWeightsGPA,MATCH(W273&amp;":"&amp;N273,CustomWeightsIndex,0))</f>
        <v>0</v>
      </c>
      <c r="AE273">
        <f>INDEX(CustomWeightsSAT,MATCH(W273&amp;":"&amp;N273,CustomWeightsIndex,0))</f>
        <v>0</v>
      </c>
      <c r="AF273">
        <f>INDEX(CustomWeightsIntercept,MATCH(W273&amp;":"&amp;N273,CustomWeightsIndex,0))</f>
        <v>0</v>
      </c>
      <c r="AG273">
        <f>AD273*S273+AE273*T273+AF273</f>
        <v>0</v>
      </c>
      <c r="AH273">
        <f>INDEX(CoefficientsGPA,MATCH(W273&amp;":"&amp;R273,CoefficientsIndex,0))</f>
        <v>0</v>
      </c>
      <c r="AI273">
        <f>INDEX(CoefficientsSAT,MATCH(W273&amp;":"&amp;R273,CoefficientsIndex,0))</f>
        <v>0</v>
      </c>
      <c r="AJ273">
        <f>INDEX(CoefficientsIntercept,MATCH(W273&amp;":"&amp;R273,CoefficientsIndex,0))</f>
        <v>0</v>
      </c>
      <c r="AK273">
        <f>AH273*S273+(T273-AC273)*AI273+AJ273</f>
        <v>0</v>
      </c>
      <c r="AL273">
        <f>IF(ISNUMBER(AG273),AG273,AK273)</f>
        <v>0</v>
      </c>
      <c r="AM273">
        <f>IF(ISNUMBER(AL273),IF(ISNUMBER(AH273),IF(AND(AH273=1,AI273=1,AJ273=1),100,MIN(99,ROUND(100*EXP(AL273)/(1+EXP(AL273)),2))),MIN(99,ROUND(100*EXP(AL273)/(1+EXP(AL273)),2))),IF(ISTEXT(R273),IF(LEFT(R273,1)="2",100,"N/A"),"N/A"))</f>
        <v>0</v>
      </c>
      <c r="AN273">
        <f>IF(ISNUMBER(AM273),IF(AM273&gt;=99,IF(OR(U273=10,U273=11),MatchLabel,SureThingLabel),IF(AM273&gt;=95,SecureLabel,IF(AM273&gt;=80,SafetyLabel,IF(AM273&gt;=50,MatchLabel,IF(AM273&gt;=20,ReachLabel,IF(AM273&gt;=10,LongshotLabel,HailMaryLabel)))))),"Other")</f>
        <v>0</v>
      </c>
      <c r="AO273">
        <f>IF(OR(I273="accepted",I273="cond. accept",I273="summer admit"),IF(J273="yes","CHOICE!","Accepted!"),IF(I273="guar. transfer","Guar. Xfer",IF(I273="denied","Denied",IF(K273=1,"Waitlist",IF(L273=1,"Deferred",IF(G273="pending","Pending",IF(OR(G273="initial materials submitted",G273="mid-year submitted",G273="final submitted"),"Submitted",IF(H273="interest","Interest","?"))))))))</f>
        <v>0</v>
      </c>
      <c r="AP273">
        <f>IF(OR(AN273=ReachLabel,AN273=LongshotLabel,AN273=HailMaryLabel),1,0)</f>
        <v>0</v>
      </c>
      <c r="AQ273">
        <f>IF(OR(AP273=1,AN273=MatchLabel),1,0)</f>
        <v>0</v>
      </c>
      <c r="AR273">
        <f>IF(OR(AN273=MatchLabel,AN273=SafetyLabel,AN273=SecureLabel,AN273=SureThingLabel),1,0)</f>
        <v>0</v>
      </c>
      <c r="AS273">
        <f>IF(OR(W273="H",W273="B",W273="I",W273="M"),IF(ISNUMBER(AB273),ROUND(AB273,2),0),IF(ISNUMBER(AA273),ROUND(AA273,2),0))</f>
        <v>0</v>
      </c>
      <c r="AT273">
        <f>IF(AS273&gt;=X273,1,0)</f>
        <v>0</v>
      </c>
      <c r="AU273">
        <f>IF(AS273&gt;=Y273,1,0)</f>
        <v>0</v>
      </c>
      <c r="AV273">
        <f>IF(AS273&lt;(X273-0.10),1,0)</f>
        <v>0</v>
      </c>
      <c r="AW273">
        <f>1-AM273/100</f>
        <v>0</v>
      </c>
      <c r="AX273">
        <f>IF(AQ273=1,AW273,1)</f>
        <v>0</v>
      </c>
      <c r="AY273">
        <f>IF(AP273=1,AW273,1)</f>
        <v>0</v>
      </c>
      <c r="AZ273">
        <f>IF(AND(AT273=1,ISNUMBER(AW273)),$AW273,1)</f>
        <v>0</v>
      </c>
      <c r="BA273">
        <f>IF(AND(AU273=1,ISNUMBER(AW273)),$AW273,1)</f>
        <v>0</v>
      </c>
      <c r="BB273">
        <f>IF(ISNUMBER(AB273),INDEX(AllCollegeMoney, MATCH(N273,AllCollegeNCES,0)),0)</f>
        <v>0</v>
      </c>
      <c r="BC273">
        <f>IF(AND(AT273=1,ISNUMBER(AW273),BB273=1),$AW273,1)</f>
        <v>0</v>
      </c>
      <c r="BD273">
        <f>IF(AND(AU273=1,ISNUMBER(AW273),BB273=1),$AW273,1)</f>
        <v>0</v>
      </c>
      <c r="BE273">
        <f>IF(ISNUMBER(AB273),INDEX(AllCollegeILPub, MATCH(N273,AllCollegeNCES,0)),0)</f>
        <v>0</v>
      </c>
      <c r="BF273">
        <f>IF(AN273=ReachLabel,AS273,0)</f>
        <v>0</v>
      </c>
      <c r="BG273">
        <f>IF(AN273=MatchLabel,AS273,0)</f>
        <v>0</v>
      </c>
      <c r="BH273">
        <f>IF(AN273=SafetyLabel,AS273,0)</f>
        <v>0</v>
      </c>
      <c r="BI273">
        <f>IF(AN273=SecureLabel,AS273,0)</f>
        <v>0</v>
      </c>
      <c r="BJ273">
        <f>IF(AN273=SureThingLabel,AS273,0)</f>
        <v>0</v>
      </c>
      <c r="BK273">
        <f>MAX(BF273:BJ273)</f>
        <v>0</v>
      </c>
      <c r="BL273">
        <f>MAX(BG273:BJ273)</f>
        <v>0</v>
      </c>
      <c r="BM273">
        <f>MAX(BH273:BJ273)</f>
        <v>0</v>
      </c>
      <c r="BN273">
        <f>IF(AND(AN273=ReachLabel,BB273=1),AS273,0)</f>
        <v>0</v>
      </c>
      <c r="BO273">
        <f>IF(AND(AN273=MatchLabel,BB273=1),AS273,0)</f>
        <v>0</v>
      </c>
      <c r="BP273">
        <f>IF(AND(AN273=SafetyLabel,BB273=1),AS273,0)</f>
        <v>0</v>
      </c>
      <c r="BQ273">
        <f>IF(AND(AN273=SecureLabel,BB273=1),AS273,0)</f>
        <v>0</v>
      </c>
      <c r="BR273">
        <f>IF(AND(AN273=SureThingLabel,BB273=1),AS273,0)</f>
        <v>0</v>
      </c>
      <c r="BS273">
        <f>MAX(BN273:BR273)</f>
        <v>0</v>
      </c>
      <c r="BT273">
        <f>MAX(BO273:BR273)</f>
        <v>0</v>
      </c>
      <c r="BU273">
        <f>MAX(BP273:BR273)</f>
        <v>0</v>
      </c>
      <c r="BV273">
        <f>IF(ISNUMBER(AB273),INDEX(AllCollegeChicago, MATCH(N273,AllCollegeNCES,0))*BB273,0)</f>
        <v>0</v>
      </c>
      <c r="BW273">
        <f>IF(ISNUMBER(AB273),INDEX(AllCollegeMoneyCode, MATCH(N273,AllCollegeNCES,0)),"?")</f>
        <v>0</v>
      </c>
      <c r="BX273">
        <f>IF(OR(BW273="---",BW273="--",BW273="+/--",BW273="+/---"),1,0)</f>
        <v>0</v>
      </c>
      <c r="BY273">
        <f>BB273*AR273*AT273</f>
        <v>0</v>
      </c>
    </row>
    <row r="274" spans="1:77">
      <c r="A274" t="s">
        <v>96</v>
      </c>
      <c r="B274">
        <v>23036214</v>
      </c>
      <c r="C274" t="s">
        <v>141</v>
      </c>
      <c r="D274" t="s">
        <v>142</v>
      </c>
      <c r="E274" t="s">
        <v>446</v>
      </c>
      <c r="F274" t="s">
        <v>481</v>
      </c>
      <c r="G274" t="s">
        <v>448</v>
      </c>
      <c r="H274" t="s">
        <v>449</v>
      </c>
      <c r="I274" t="s">
        <v>450</v>
      </c>
      <c r="J274" t="s">
        <v>450</v>
      </c>
      <c r="K274">
        <v>0</v>
      </c>
      <c r="L274" t="s">
        <v>446</v>
      </c>
      <c r="M274" t="s">
        <v>446</v>
      </c>
      <c r="N274">
        <v>153834</v>
      </c>
      <c r="O274">
        <f>INDEX(Counselor,MATCH(B274,KidIDs,0))</f>
        <v>0</v>
      </c>
      <c r="P274">
        <f>INDEX(Advisors,MATCH(B274,KidIDs,0))</f>
        <v>0</v>
      </c>
      <c r="Q274">
        <f>INDEX(Cohort,MATCH(B274,KidIDs,0))</f>
        <v>0</v>
      </c>
      <c r="R274">
        <f>INDEX(AllCollegeBarrons,MATCH(N274,AllCollegeNCES,0))</f>
        <v>0</v>
      </c>
      <c r="S274">
        <f>INDEX(KidGPAs,MATCH(B274,KidIDs,0))</f>
        <v>0</v>
      </c>
      <c r="T274">
        <f>INDEX(KidSATs,MATCH(B274,KidIDs,0))</f>
        <v>0</v>
      </c>
      <c r="U274">
        <f>INDEX(Strats,MATCH(B274,KidIDs,0))</f>
        <v>0</v>
      </c>
      <c r="V274">
        <f>INDEX(KidRace,MATCH(B274,KidIDs,0))</f>
        <v>0</v>
      </c>
      <c r="W274">
        <f>IF(OR(V274="M",V274="I"),"H",IF(V274="P","A",V274))</f>
        <v>0</v>
      </c>
      <c r="X274">
        <f>INDEX(StudentTargets,MATCH(B274,KidIDs,0))</f>
        <v>0</v>
      </c>
      <c r="Y274">
        <f>INDEX(ReachStudentTargets,MATCH(B274,KidIDs,0))</f>
        <v>0</v>
      </c>
      <c r="Z274">
        <f>IF(OR(M274="Posse"),1,0)</f>
        <v>0</v>
      </c>
      <c r="AA274">
        <f>IF(ISNUMBER(INDEX(AllCollegeGR, MATCH(N274,AllCollegeNCES,0))),ROUND(INDEX(AllCollegeGR, MATCH(N274,AllCollegeNCES,0))+Z274*IF(INDEX(AllCollegeGR, MATCH(N274,AllCollegeNCES,0))&gt;0.7,(1-INDEX(AllCollegeGR, MATCH(N274,AllCollegeNCES,0)))/2,0.15),2),INDEX(AllCollegeGR, MATCH(N274,AllCollegeNCES,0)))</f>
        <v>0</v>
      </c>
      <c r="AB274">
        <f>IF(ISNUMBER(INDEX(AllCollegeAAHGR, MATCH(N274,AllCollegeNCES,0))),ROUND(INDEX(AllCollegeAAHGR, MATCH(N274,AllCollegeNCES,0))+Z274*IF(INDEX(AllCollegeAAHGR, MATCH(N274,AllCollegeNCES,0))&gt;0.7,(1-INDEX(AllCollegeAAHGR, MATCH(N274,AllCollegeNCES,0)))/2,0.15),2),INDEX(AllCollegeAAHGR, MATCH(N274,AllCollegeNCES,0)))</f>
        <v>0</v>
      </c>
      <c r="AC274">
        <f>IF(OR(W274="H",W274="B"),INDEX(AllCollegeSAT25, MATCH(N274,AllCollegeNCES,0)),INDEX(AllCollegeSAT50, MATCH(N274,AllCollegeNCES,0)))</f>
        <v>0</v>
      </c>
      <c r="AD274">
        <f>INDEX(CustomWeightsGPA,MATCH(W274&amp;":"&amp;N274,CustomWeightsIndex,0))</f>
        <v>0</v>
      </c>
      <c r="AE274">
        <f>INDEX(CustomWeightsSAT,MATCH(W274&amp;":"&amp;N274,CustomWeightsIndex,0))</f>
        <v>0</v>
      </c>
      <c r="AF274">
        <f>INDEX(CustomWeightsIntercept,MATCH(W274&amp;":"&amp;N274,CustomWeightsIndex,0))</f>
        <v>0</v>
      </c>
      <c r="AG274">
        <f>AD274*S274+AE274*T274+AF274</f>
        <v>0</v>
      </c>
      <c r="AH274">
        <f>INDEX(CoefficientsGPA,MATCH(W274&amp;":"&amp;R274,CoefficientsIndex,0))</f>
        <v>0</v>
      </c>
      <c r="AI274">
        <f>INDEX(CoefficientsSAT,MATCH(W274&amp;":"&amp;R274,CoefficientsIndex,0))</f>
        <v>0</v>
      </c>
      <c r="AJ274">
        <f>INDEX(CoefficientsIntercept,MATCH(W274&amp;":"&amp;R274,CoefficientsIndex,0))</f>
        <v>0</v>
      </c>
      <c r="AK274">
        <f>AH274*S274+(T274-AC274)*AI274+AJ274</f>
        <v>0</v>
      </c>
      <c r="AL274">
        <f>IF(ISNUMBER(AG274),AG274,AK274)</f>
        <v>0</v>
      </c>
      <c r="AM274">
        <f>IF(ISNUMBER(AL274),IF(ISNUMBER(AH274),IF(AND(AH274=1,AI274=1,AJ274=1),100,MIN(99,ROUND(100*EXP(AL274)/(1+EXP(AL274)),2))),MIN(99,ROUND(100*EXP(AL274)/(1+EXP(AL274)),2))),IF(ISTEXT(R274),IF(LEFT(R274,1)="2",100,"N/A"),"N/A"))</f>
        <v>0</v>
      </c>
      <c r="AN274">
        <f>IF(ISNUMBER(AM274),IF(AM274&gt;=99,IF(OR(U274=10,U274=11),MatchLabel,SureThingLabel),IF(AM274&gt;=95,SecureLabel,IF(AM274&gt;=80,SafetyLabel,IF(AM274&gt;=50,MatchLabel,IF(AM274&gt;=20,ReachLabel,IF(AM274&gt;=10,LongshotLabel,HailMaryLabel)))))),"Other")</f>
        <v>0</v>
      </c>
      <c r="AO274">
        <f>IF(OR(I274="accepted",I274="cond. accept",I274="summer admit"),IF(J274="yes","CHOICE!","Accepted!"),IF(I274="guar. transfer","Guar. Xfer",IF(I274="denied","Denied",IF(K274=1,"Waitlist",IF(L274=1,"Deferred",IF(G274="pending","Pending",IF(OR(G274="initial materials submitted",G274="mid-year submitted",G274="final submitted"),"Submitted",IF(H274="interest","Interest","?"))))))))</f>
        <v>0</v>
      </c>
      <c r="AP274">
        <f>IF(OR(AN274=ReachLabel,AN274=LongshotLabel,AN274=HailMaryLabel),1,0)</f>
        <v>0</v>
      </c>
      <c r="AQ274">
        <f>IF(OR(AP274=1,AN274=MatchLabel),1,0)</f>
        <v>0</v>
      </c>
      <c r="AR274">
        <f>IF(OR(AN274=MatchLabel,AN274=SafetyLabel,AN274=SecureLabel,AN274=SureThingLabel),1,0)</f>
        <v>0</v>
      </c>
      <c r="AS274">
        <f>IF(OR(W274="H",W274="B",W274="I",W274="M"),IF(ISNUMBER(AB274),ROUND(AB274,2),0),IF(ISNUMBER(AA274),ROUND(AA274,2),0))</f>
        <v>0</v>
      </c>
      <c r="AT274">
        <f>IF(AS274&gt;=X274,1,0)</f>
        <v>0</v>
      </c>
      <c r="AU274">
        <f>IF(AS274&gt;=Y274,1,0)</f>
        <v>0</v>
      </c>
      <c r="AV274">
        <f>IF(AS274&lt;(X274-0.10),1,0)</f>
        <v>0</v>
      </c>
      <c r="AW274">
        <f>1-AM274/100</f>
        <v>0</v>
      </c>
      <c r="AX274">
        <f>IF(AQ274=1,AW274,1)</f>
        <v>0</v>
      </c>
      <c r="AY274">
        <f>IF(AP274=1,AW274,1)</f>
        <v>0</v>
      </c>
      <c r="AZ274">
        <f>IF(AND(AT274=1,ISNUMBER(AW274)),$AW274,1)</f>
        <v>0</v>
      </c>
      <c r="BA274">
        <f>IF(AND(AU274=1,ISNUMBER(AW274)),$AW274,1)</f>
        <v>0</v>
      </c>
      <c r="BB274">
        <f>IF(ISNUMBER(AB274),INDEX(AllCollegeMoney, MATCH(N274,AllCollegeNCES,0)),0)</f>
        <v>0</v>
      </c>
      <c r="BC274">
        <f>IF(AND(AT274=1,ISNUMBER(AW274),BB274=1),$AW274,1)</f>
        <v>0</v>
      </c>
      <c r="BD274">
        <f>IF(AND(AU274=1,ISNUMBER(AW274),BB274=1),$AW274,1)</f>
        <v>0</v>
      </c>
      <c r="BE274">
        <f>IF(ISNUMBER(AB274),INDEX(AllCollegeILPub, MATCH(N274,AllCollegeNCES,0)),0)</f>
        <v>0</v>
      </c>
      <c r="BF274">
        <f>IF(AN274=ReachLabel,AS274,0)</f>
        <v>0</v>
      </c>
      <c r="BG274">
        <f>IF(AN274=MatchLabel,AS274,0)</f>
        <v>0</v>
      </c>
      <c r="BH274">
        <f>IF(AN274=SafetyLabel,AS274,0)</f>
        <v>0</v>
      </c>
      <c r="BI274">
        <f>IF(AN274=SecureLabel,AS274,0)</f>
        <v>0</v>
      </c>
      <c r="BJ274">
        <f>IF(AN274=SureThingLabel,AS274,0)</f>
        <v>0</v>
      </c>
      <c r="BK274">
        <f>MAX(BF274:BJ274)</f>
        <v>0</v>
      </c>
      <c r="BL274">
        <f>MAX(BG274:BJ274)</f>
        <v>0</v>
      </c>
      <c r="BM274">
        <f>MAX(BH274:BJ274)</f>
        <v>0</v>
      </c>
      <c r="BN274">
        <f>IF(AND(AN274=ReachLabel,BB274=1),AS274,0)</f>
        <v>0</v>
      </c>
      <c r="BO274">
        <f>IF(AND(AN274=MatchLabel,BB274=1),AS274,0)</f>
        <v>0</v>
      </c>
      <c r="BP274">
        <f>IF(AND(AN274=SafetyLabel,BB274=1),AS274,0)</f>
        <v>0</v>
      </c>
      <c r="BQ274">
        <f>IF(AND(AN274=SecureLabel,BB274=1),AS274,0)</f>
        <v>0</v>
      </c>
      <c r="BR274">
        <f>IF(AND(AN274=SureThingLabel,BB274=1),AS274,0)</f>
        <v>0</v>
      </c>
      <c r="BS274">
        <f>MAX(BN274:BR274)</f>
        <v>0</v>
      </c>
      <c r="BT274">
        <f>MAX(BO274:BR274)</f>
        <v>0</v>
      </c>
      <c r="BU274">
        <f>MAX(BP274:BR274)</f>
        <v>0</v>
      </c>
      <c r="BV274">
        <f>IF(ISNUMBER(AB274),INDEX(AllCollegeChicago, MATCH(N274,AllCollegeNCES,0))*BB274,0)</f>
        <v>0</v>
      </c>
      <c r="BW274">
        <f>IF(ISNUMBER(AB274),INDEX(AllCollegeMoneyCode, MATCH(N274,AllCollegeNCES,0)),"?")</f>
        <v>0</v>
      </c>
      <c r="BX274">
        <f>IF(OR(BW274="---",BW274="--",BW274="+/--",BW274="+/---"),1,0)</f>
        <v>0</v>
      </c>
      <c r="BY274">
        <f>BB274*AR274*AT274</f>
        <v>0</v>
      </c>
    </row>
    <row r="275" spans="1:77">
      <c r="A275" t="s">
        <v>96</v>
      </c>
      <c r="B275">
        <v>23036214</v>
      </c>
      <c r="C275" t="s">
        <v>141</v>
      </c>
      <c r="D275" t="s">
        <v>142</v>
      </c>
      <c r="E275" t="s">
        <v>446</v>
      </c>
      <c r="F275" t="s">
        <v>529</v>
      </c>
      <c r="G275" t="s">
        <v>448</v>
      </c>
      <c r="H275" t="s">
        <v>449</v>
      </c>
      <c r="I275" t="s">
        <v>450</v>
      </c>
      <c r="J275" t="s">
        <v>450</v>
      </c>
      <c r="K275">
        <v>0</v>
      </c>
      <c r="L275" t="s">
        <v>446</v>
      </c>
      <c r="M275" t="s">
        <v>446</v>
      </c>
      <c r="N275">
        <v>145691</v>
      </c>
      <c r="O275">
        <f>INDEX(Counselor,MATCH(B275,KidIDs,0))</f>
        <v>0</v>
      </c>
      <c r="P275">
        <f>INDEX(Advisors,MATCH(B275,KidIDs,0))</f>
        <v>0</v>
      </c>
      <c r="Q275">
        <f>INDEX(Cohort,MATCH(B275,KidIDs,0))</f>
        <v>0</v>
      </c>
      <c r="R275">
        <f>INDEX(AllCollegeBarrons,MATCH(N275,AllCollegeNCES,0))</f>
        <v>0</v>
      </c>
      <c r="S275">
        <f>INDEX(KidGPAs,MATCH(B275,KidIDs,0))</f>
        <v>0</v>
      </c>
      <c r="T275">
        <f>INDEX(KidSATs,MATCH(B275,KidIDs,0))</f>
        <v>0</v>
      </c>
      <c r="U275">
        <f>INDEX(Strats,MATCH(B275,KidIDs,0))</f>
        <v>0</v>
      </c>
      <c r="V275">
        <f>INDEX(KidRace,MATCH(B275,KidIDs,0))</f>
        <v>0</v>
      </c>
      <c r="W275">
        <f>IF(OR(V275="M",V275="I"),"H",IF(V275="P","A",V275))</f>
        <v>0</v>
      </c>
      <c r="X275">
        <f>INDEX(StudentTargets,MATCH(B275,KidIDs,0))</f>
        <v>0</v>
      </c>
      <c r="Y275">
        <f>INDEX(ReachStudentTargets,MATCH(B275,KidIDs,0))</f>
        <v>0</v>
      </c>
      <c r="Z275">
        <f>IF(OR(M275="Posse"),1,0)</f>
        <v>0</v>
      </c>
      <c r="AA275">
        <f>IF(ISNUMBER(INDEX(AllCollegeGR, MATCH(N275,AllCollegeNCES,0))),ROUND(INDEX(AllCollegeGR, MATCH(N275,AllCollegeNCES,0))+Z275*IF(INDEX(AllCollegeGR, MATCH(N275,AllCollegeNCES,0))&gt;0.7,(1-INDEX(AllCollegeGR, MATCH(N275,AllCollegeNCES,0)))/2,0.15),2),INDEX(AllCollegeGR, MATCH(N275,AllCollegeNCES,0)))</f>
        <v>0</v>
      </c>
      <c r="AB275">
        <f>IF(ISNUMBER(INDEX(AllCollegeAAHGR, MATCH(N275,AllCollegeNCES,0))),ROUND(INDEX(AllCollegeAAHGR, MATCH(N275,AllCollegeNCES,0))+Z275*IF(INDEX(AllCollegeAAHGR, MATCH(N275,AllCollegeNCES,0))&gt;0.7,(1-INDEX(AllCollegeAAHGR, MATCH(N275,AllCollegeNCES,0)))/2,0.15),2),INDEX(AllCollegeAAHGR, MATCH(N275,AllCollegeNCES,0)))</f>
        <v>0</v>
      </c>
      <c r="AC275">
        <f>IF(OR(W275="H",W275="B"),INDEX(AllCollegeSAT25, MATCH(N275,AllCollegeNCES,0)),INDEX(AllCollegeSAT50, MATCH(N275,AllCollegeNCES,0)))</f>
        <v>0</v>
      </c>
      <c r="AD275">
        <f>INDEX(CustomWeightsGPA,MATCH(W275&amp;":"&amp;N275,CustomWeightsIndex,0))</f>
        <v>0</v>
      </c>
      <c r="AE275">
        <f>INDEX(CustomWeightsSAT,MATCH(W275&amp;":"&amp;N275,CustomWeightsIndex,0))</f>
        <v>0</v>
      </c>
      <c r="AF275">
        <f>INDEX(CustomWeightsIntercept,MATCH(W275&amp;":"&amp;N275,CustomWeightsIndex,0))</f>
        <v>0</v>
      </c>
      <c r="AG275">
        <f>AD275*S275+AE275*T275+AF275</f>
        <v>0</v>
      </c>
      <c r="AH275">
        <f>INDEX(CoefficientsGPA,MATCH(W275&amp;":"&amp;R275,CoefficientsIndex,0))</f>
        <v>0</v>
      </c>
      <c r="AI275">
        <f>INDEX(CoefficientsSAT,MATCH(W275&amp;":"&amp;R275,CoefficientsIndex,0))</f>
        <v>0</v>
      </c>
      <c r="AJ275">
        <f>INDEX(CoefficientsIntercept,MATCH(W275&amp;":"&amp;R275,CoefficientsIndex,0))</f>
        <v>0</v>
      </c>
      <c r="AK275">
        <f>AH275*S275+(T275-AC275)*AI275+AJ275</f>
        <v>0</v>
      </c>
      <c r="AL275">
        <f>IF(ISNUMBER(AG275),AG275,AK275)</f>
        <v>0</v>
      </c>
      <c r="AM275">
        <f>IF(ISNUMBER(AL275),IF(ISNUMBER(AH275),IF(AND(AH275=1,AI275=1,AJ275=1),100,MIN(99,ROUND(100*EXP(AL275)/(1+EXP(AL275)),2))),MIN(99,ROUND(100*EXP(AL275)/(1+EXP(AL275)),2))),IF(ISTEXT(R275),IF(LEFT(R275,1)="2",100,"N/A"),"N/A"))</f>
        <v>0</v>
      </c>
      <c r="AN275">
        <f>IF(ISNUMBER(AM275),IF(AM275&gt;=99,IF(OR(U275=10,U275=11),MatchLabel,SureThingLabel),IF(AM275&gt;=95,SecureLabel,IF(AM275&gt;=80,SafetyLabel,IF(AM275&gt;=50,MatchLabel,IF(AM275&gt;=20,ReachLabel,IF(AM275&gt;=10,LongshotLabel,HailMaryLabel)))))),"Other")</f>
        <v>0</v>
      </c>
      <c r="AO275">
        <f>IF(OR(I275="accepted",I275="cond. accept",I275="summer admit"),IF(J275="yes","CHOICE!","Accepted!"),IF(I275="guar. transfer","Guar. Xfer",IF(I275="denied","Denied",IF(K275=1,"Waitlist",IF(L275=1,"Deferred",IF(G275="pending","Pending",IF(OR(G275="initial materials submitted",G275="mid-year submitted",G275="final submitted"),"Submitted",IF(H275="interest","Interest","?"))))))))</f>
        <v>0</v>
      </c>
      <c r="AP275">
        <f>IF(OR(AN275=ReachLabel,AN275=LongshotLabel,AN275=HailMaryLabel),1,0)</f>
        <v>0</v>
      </c>
      <c r="AQ275">
        <f>IF(OR(AP275=1,AN275=MatchLabel),1,0)</f>
        <v>0</v>
      </c>
      <c r="AR275">
        <f>IF(OR(AN275=MatchLabel,AN275=SafetyLabel,AN275=SecureLabel,AN275=SureThingLabel),1,0)</f>
        <v>0</v>
      </c>
      <c r="AS275">
        <f>IF(OR(W275="H",W275="B",W275="I",W275="M"),IF(ISNUMBER(AB275),ROUND(AB275,2),0),IF(ISNUMBER(AA275),ROUND(AA275,2),0))</f>
        <v>0</v>
      </c>
      <c r="AT275">
        <f>IF(AS275&gt;=X275,1,0)</f>
        <v>0</v>
      </c>
      <c r="AU275">
        <f>IF(AS275&gt;=Y275,1,0)</f>
        <v>0</v>
      </c>
      <c r="AV275">
        <f>IF(AS275&lt;(X275-0.10),1,0)</f>
        <v>0</v>
      </c>
      <c r="AW275">
        <f>1-AM275/100</f>
        <v>0</v>
      </c>
      <c r="AX275">
        <f>IF(AQ275=1,AW275,1)</f>
        <v>0</v>
      </c>
      <c r="AY275">
        <f>IF(AP275=1,AW275,1)</f>
        <v>0</v>
      </c>
      <c r="AZ275">
        <f>IF(AND(AT275=1,ISNUMBER(AW275)),$AW275,1)</f>
        <v>0</v>
      </c>
      <c r="BA275">
        <f>IF(AND(AU275=1,ISNUMBER(AW275)),$AW275,1)</f>
        <v>0</v>
      </c>
      <c r="BB275">
        <f>IF(ISNUMBER(AB275),INDEX(AllCollegeMoney, MATCH(N275,AllCollegeNCES,0)),0)</f>
        <v>0</v>
      </c>
      <c r="BC275">
        <f>IF(AND(AT275=1,ISNUMBER(AW275),BB275=1),$AW275,1)</f>
        <v>0</v>
      </c>
      <c r="BD275">
        <f>IF(AND(AU275=1,ISNUMBER(AW275),BB275=1),$AW275,1)</f>
        <v>0</v>
      </c>
      <c r="BE275">
        <f>IF(ISNUMBER(AB275),INDEX(AllCollegeILPub, MATCH(N275,AllCollegeNCES,0)),0)</f>
        <v>0</v>
      </c>
      <c r="BF275">
        <f>IF(AN275=ReachLabel,AS275,0)</f>
        <v>0</v>
      </c>
      <c r="BG275">
        <f>IF(AN275=MatchLabel,AS275,0)</f>
        <v>0</v>
      </c>
      <c r="BH275">
        <f>IF(AN275=SafetyLabel,AS275,0)</f>
        <v>0</v>
      </c>
      <c r="BI275">
        <f>IF(AN275=SecureLabel,AS275,0)</f>
        <v>0</v>
      </c>
      <c r="BJ275">
        <f>IF(AN275=SureThingLabel,AS275,0)</f>
        <v>0</v>
      </c>
      <c r="BK275">
        <f>MAX(BF275:BJ275)</f>
        <v>0</v>
      </c>
      <c r="BL275">
        <f>MAX(BG275:BJ275)</f>
        <v>0</v>
      </c>
      <c r="BM275">
        <f>MAX(BH275:BJ275)</f>
        <v>0</v>
      </c>
      <c r="BN275">
        <f>IF(AND(AN275=ReachLabel,BB275=1),AS275,0)</f>
        <v>0</v>
      </c>
      <c r="BO275">
        <f>IF(AND(AN275=MatchLabel,BB275=1),AS275,0)</f>
        <v>0</v>
      </c>
      <c r="BP275">
        <f>IF(AND(AN275=SafetyLabel,BB275=1),AS275,0)</f>
        <v>0</v>
      </c>
      <c r="BQ275">
        <f>IF(AND(AN275=SecureLabel,BB275=1),AS275,0)</f>
        <v>0</v>
      </c>
      <c r="BR275">
        <f>IF(AND(AN275=SureThingLabel,BB275=1),AS275,0)</f>
        <v>0</v>
      </c>
      <c r="BS275">
        <f>MAX(BN275:BR275)</f>
        <v>0</v>
      </c>
      <c r="BT275">
        <f>MAX(BO275:BR275)</f>
        <v>0</v>
      </c>
      <c r="BU275">
        <f>MAX(BP275:BR275)</f>
        <v>0</v>
      </c>
      <c r="BV275">
        <f>IF(ISNUMBER(AB275),INDEX(AllCollegeChicago, MATCH(N275,AllCollegeNCES,0))*BB275,0)</f>
        <v>0</v>
      </c>
      <c r="BW275">
        <f>IF(ISNUMBER(AB275),INDEX(AllCollegeMoneyCode, MATCH(N275,AllCollegeNCES,0)),"?")</f>
        <v>0</v>
      </c>
      <c r="BX275">
        <f>IF(OR(BW275="---",BW275="--",BW275="+/--",BW275="+/---"),1,0)</f>
        <v>0</v>
      </c>
      <c r="BY275">
        <f>BB275*AR275*AT275</f>
        <v>0</v>
      </c>
    </row>
    <row r="276" spans="1:77">
      <c r="A276" t="s">
        <v>96</v>
      </c>
      <c r="B276">
        <v>23036214</v>
      </c>
      <c r="C276" t="s">
        <v>141</v>
      </c>
      <c r="D276" t="s">
        <v>142</v>
      </c>
      <c r="E276" t="s">
        <v>446</v>
      </c>
      <c r="F276" t="s">
        <v>506</v>
      </c>
      <c r="G276" t="s">
        <v>448</v>
      </c>
      <c r="H276" t="s">
        <v>449</v>
      </c>
      <c r="I276" t="s">
        <v>450</v>
      </c>
      <c r="J276" t="s">
        <v>450</v>
      </c>
      <c r="K276">
        <v>0</v>
      </c>
      <c r="L276" t="s">
        <v>446</v>
      </c>
      <c r="M276" t="s">
        <v>446</v>
      </c>
      <c r="N276">
        <v>147679</v>
      </c>
      <c r="O276">
        <f>INDEX(Counselor,MATCH(B276,KidIDs,0))</f>
        <v>0</v>
      </c>
      <c r="P276">
        <f>INDEX(Advisors,MATCH(B276,KidIDs,0))</f>
        <v>0</v>
      </c>
      <c r="Q276">
        <f>INDEX(Cohort,MATCH(B276,KidIDs,0))</f>
        <v>0</v>
      </c>
      <c r="R276">
        <f>INDEX(AllCollegeBarrons,MATCH(N276,AllCollegeNCES,0))</f>
        <v>0</v>
      </c>
      <c r="S276">
        <f>INDEX(KidGPAs,MATCH(B276,KidIDs,0))</f>
        <v>0</v>
      </c>
      <c r="T276">
        <f>INDEX(KidSATs,MATCH(B276,KidIDs,0))</f>
        <v>0</v>
      </c>
      <c r="U276">
        <f>INDEX(Strats,MATCH(B276,KidIDs,0))</f>
        <v>0</v>
      </c>
      <c r="V276">
        <f>INDEX(KidRace,MATCH(B276,KidIDs,0))</f>
        <v>0</v>
      </c>
      <c r="W276">
        <f>IF(OR(V276="M",V276="I"),"H",IF(V276="P","A",V276))</f>
        <v>0</v>
      </c>
      <c r="X276">
        <f>INDEX(StudentTargets,MATCH(B276,KidIDs,0))</f>
        <v>0</v>
      </c>
      <c r="Y276">
        <f>INDEX(ReachStudentTargets,MATCH(B276,KidIDs,0))</f>
        <v>0</v>
      </c>
      <c r="Z276">
        <f>IF(OR(M276="Posse"),1,0)</f>
        <v>0</v>
      </c>
      <c r="AA276">
        <f>IF(ISNUMBER(INDEX(AllCollegeGR, MATCH(N276,AllCollegeNCES,0))),ROUND(INDEX(AllCollegeGR, MATCH(N276,AllCollegeNCES,0))+Z276*IF(INDEX(AllCollegeGR, MATCH(N276,AllCollegeNCES,0))&gt;0.7,(1-INDEX(AllCollegeGR, MATCH(N276,AllCollegeNCES,0)))/2,0.15),2),INDEX(AllCollegeGR, MATCH(N276,AllCollegeNCES,0)))</f>
        <v>0</v>
      </c>
      <c r="AB276">
        <f>IF(ISNUMBER(INDEX(AllCollegeAAHGR, MATCH(N276,AllCollegeNCES,0))),ROUND(INDEX(AllCollegeAAHGR, MATCH(N276,AllCollegeNCES,0))+Z276*IF(INDEX(AllCollegeAAHGR, MATCH(N276,AllCollegeNCES,0))&gt;0.7,(1-INDEX(AllCollegeAAHGR, MATCH(N276,AllCollegeNCES,0)))/2,0.15),2),INDEX(AllCollegeAAHGR, MATCH(N276,AllCollegeNCES,0)))</f>
        <v>0</v>
      </c>
      <c r="AC276">
        <f>IF(OR(W276="H",W276="B"),INDEX(AllCollegeSAT25, MATCH(N276,AllCollegeNCES,0)),INDEX(AllCollegeSAT50, MATCH(N276,AllCollegeNCES,0)))</f>
        <v>0</v>
      </c>
      <c r="AD276">
        <f>INDEX(CustomWeightsGPA,MATCH(W276&amp;":"&amp;N276,CustomWeightsIndex,0))</f>
        <v>0</v>
      </c>
      <c r="AE276">
        <f>INDEX(CustomWeightsSAT,MATCH(W276&amp;":"&amp;N276,CustomWeightsIndex,0))</f>
        <v>0</v>
      </c>
      <c r="AF276">
        <f>INDEX(CustomWeightsIntercept,MATCH(W276&amp;":"&amp;N276,CustomWeightsIndex,0))</f>
        <v>0</v>
      </c>
      <c r="AG276">
        <f>AD276*S276+AE276*T276+AF276</f>
        <v>0</v>
      </c>
      <c r="AH276">
        <f>INDEX(CoefficientsGPA,MATCH(W276&amp;":"&amp;R276,CoefficientsIndex,0))</f>
        <v>0</v>
      </c>
      <c r="AI276">
        <f>INDEX(CoefficientsSAT,MATCH(W276&amp;":"&amp;R276,CoefficientsIndex,0))</f>
        <v>0</v>
      </c>
      <c r="AJ276">
        <f>INDEX(CoefficientsIntercept,MATCH(W276&amp;":"&amp;R276,CoefficientsIndex,0))</f>
        <v>0</v>
      </c>
      <c r="AK276">
        <f>AH276*S276+(T276-AC276)*AI276+AJ276</f>
        <v>0</v>
      </c>
      <c r="AL276">
        <f>IF(ISNUMBER(AG276),AG276,AK276)</f>
        <v>0</v>
      </c>
      <c r="AM276">
        <f>IF(ISNUMBER(AL276),IF(ISNUMBER(AH276),IF(AND(AH276=1,AI276=1,AJ276=1),100,MIN(99,ROUND(100*EXP(AL276)/(1+EXP(AL276)),2))),MIN(99,ROUND(100*EXP(AL276)/(1+EXP(AL276)),2))),IF(ISTEXT(R276),IF(LEFT(R276,1)="2",100,"N/A"),"N/A"))</f>
        <v>0</v>
      </c>
      <c r="AN276">
        <f>IF(ISNUMBER(AM276),IF(AM276&gt;=99,IF(OR(U276=10,U276=11),MatchLabel,SureThingLabel),IF(AM276&gt;=95,SecureLabel,IF(AM276&gt;=80,SafetyLabel,IF(AM276&gt;=50,MatchLabel,IF(AM276&gt;=20,ReachLabel,IF(AM276&gt;=10,LongshotLabel,HailMaryLabel)))))),"Other")</f>
        <v>0</v>
      </c>
      <c r="AO276">
        <f>IF(OR(I276="accepted",I276="cond. accept",I276="summer admit"),IF(J276="yes","CHOICE!","Accepted!"),IF(I276="guar. transfer","Guar. Xfer",IF(I276="denied","Denied",IF(K276=1,"Waitlist",IF(L276=1,"Deferred",IF(G276="pending","Pending",IF(OR(G276="initial materials submitted",G276="mid-year submitted",G276="final submitted"),"Submitted",IF(H276="interest","Interest","?"))))))))</f>
        <v>0</v>
      </c>
      <c r="AP276">
        <f>IF(OR(AN276=ReachLabel,AN276=LongshotLabel,AN276=HailMaryLabel),1,0)</f>
        <v>0</v>
      </c>
      <c r="AQ276">
        <f>IF(OR(AP276=1,AN276=MatchLabel),1,0)</f>
        <v>0</v>
      </c>
      <c r="AR276">
        <f>IF(OR(AN276=MatchLabel,AN276=SafetyLabel,AN276=SecureLabel,AN276=SureThingLabel),1,0)</f>
        <v>0</v>
      </c>
      <c r="AS276">
        <f>IF(OR(W276="H",W276="B",W276="I",W276="M"),IF(ISNUMBER(AB276),ROUND(AB276,2),0),IF(ISNUMBER(AA276),ROUND(AA276,2),0))</f>
        <v>0</v>
      </c>
      <c r="AT276">
        <f>IF(AS276&gt;=X276,1,0)</f>
        <v>0</v>
      </c>
      <c r="AU276">
        <f>IF(AS276&gt;=Y276,1,0)</f>
        <v>0</v>
      </c>
      <c r="AV276">
        <f>IF(AS276&lt;(X276-0.10),1,0)</f>
        <v>0</v>
      </c>
      <c r="AW276">
        <f>1-AM276/100</f>
        <v>0</v>
      </c>
      <c r="AX276">
        <f>IF(AQ276=1,AW276,1)</f>
        <v>0</v>
      </c>
      <c r="AY276">
        <f>IF(AP276=1,AW276,1)</f>
        <v>0</v>
      </c>
      <c r="AZ276">
        <f>IF(AND(AT276=1,ISNUMBER(AW276)),$AW276,1)</f>
        <v>0</v>
      </c>
      <c r="BA276">
        <f>IF(AND(AU276=1,ISNUMBER(AW276)),$AW276,1)</f>
        <v>0</v>
      </c>
      <c r="BB276">
        <f>IF(ISNUMBER(AB276),INDEX(AllCollegeMoney, MATCH(N276,AllCollegeNCES,0)),0)</f>
        <v>0</v>
      </c>
      <c r="BC276">
        <f>IF(AND(AT276=1,ISNUMBER(AW276),BB276=1),$AW276,1)</f>
        <v>0</v>
      </c>
      <c r="BD276">
        <f>IF(AND(AU276=1,ISNUMBER(AW276),BB276=1),$AW276,1)</f>
        <v>0</v>
      </c>
      <c r="BE276">
        <f>IF(ISNUMBER(AB276),INDEX(AllCollegeILPub, MATCH(N276,AllCollegeNCES,0)),0)</f>
        <v>0</v>
      </c>
      <c r="BF276">
        <f>IF(AN276=ReachLabel,AS276,0)</f>
        <v>0</v>
      </c>
      <c r="BG276">
        <f>IF(AN276=MatchLabel,AS276,0)</f>
        <v>0</v>
      </c>
      <c r="BH276">
        <f>IF(AN276=SafetyLabel,AS276,0)</f>
        <v>0</v>
      </c>
      <c r="BI276">
        <f>IF(AN276=SecureLabel,AS276,0)</f>
        <v>0</v>
      </c>
      <c r="BJ276">
        <f>IF(AN276=SureThingLabel,AS276,0)</f>
        <v>0</v>
      </c>
      <c r="BK276">
        <f>MAX(BF276:BJ276)</f>
        <v>0</v>
      </c>
      <c r="BL276">
        <f>MAX(BG276:BJ276)</f>
        <v>0</v>
      </c>
      <c r="BM276">
        <f>MAX(BH276:BJ276)</f>
        <v>0</v>
      </c>
      <c r="BN276">
        <f>IF(AND(AN276=ReachLabel,BB276=1),AS276,0)</f>
        <v>0</v>
      </c>
      <c r="BO276">
        <f>IF(AND(AN276=MatchLabel,BB276=1),AS276,0)</f>
        <v>0</v>
      </c>
      <c r="BP276">
        <f>IF(AND(AN276=SafetyLabel,BB276=1),AS276,0)</f>
        <v>0</v>
      </c>
      <c r="BQ276">
        <f>IF(AND(AN276=SecureLabel,BB276=1),AS276,0)</f>
        <v>0</v>
      </c>
      <c r="BR276">
        <f>IF(AND(AN276=SureThingLabel,BB276=1),AS276,0)</f>
        <v>0</v>
      </c>
      <c r="BS276">
        <f>MAX(BN276:BR276)</f>
        <v>0</v>
      </c>
      <c r="BT276">
        <f>MAX(BO276:BR276)</f>
        <v>0</v>
      </c>
      <c r="BU276">
        <f>MAX(BP276:BR276)</f>
        <v>0</v>
      </c>
      <c r="BV276">
        <f>IF(ISNUMBER(AB276),INDEX(AllCollegeChicago, MATCH(N276,AllCollegeNCES,0))*BB276,0)</f>
        <v>0</v>
      </c>
      <c r="BW276">
        <f>IF(ISNUMBER(AB276),INDEX(AllCollegeMoneyCode, MATCH(N276,AllCollegeNCES,0)),"?")</f>
        <v>0</v>
      </c>
      <c r="BX276">
        <f>IF(OR(BW276="---",BW276="--",BW276="+/--",BW276="+/---"),1,0)</f>
        <v>0</v>
      </c>
      <c r="BY276">
        <f>BB276*AR276*AT276</f>
        <v>0</v>
      </c>
    </row>
    <row r="277" spans="1:77">
      <c r="A277" t="s">
        <v>96</v>
      </c>
      <c r="B277">
        <v>23036214</v>
      </c>
      <c r="C277" t="s">
        <v>141</v>
      </c>
      <c r="D277" t="s">
        <v>142</v>
      </c>
      <c r="E277" t="s">
        <v>446</v>
      </c>
      <c r="F277" t="s">
        <v>453</v>
      </c>
      <c r="G277" t="s">
        <v>448</v>
      </c>
      <c r="H277" t="s">
        <v>449</v>
      </c>
      <c r="I277" t="s">
        <v>450</v>
      </c>
      <c r="J277" t="s">
        <v>450</v>
      </c>
      <c r="K277">
        <v>0</v>
      </c>
      <c r="L277" t="s">
        <v>446</v>
      </c>
      <c r="M277" t="s">
        <v>454</v>
      </c>
      <c r="N277">
        <v>150774</v>
      </c>
      <c r="O277">
        <f>INDEX(Counselor,MATCH(B277,KidIDs,0))</f>
        <v>0</v>
      </c>
      <c r="P277">
        <f>INDEX(Advisors,MATCH(B277,KidIDs,0))</f>
        <v>0</v>
      </c>
      <c r="Q277">
        <f>INDEX(Cohort,MATCH(B277,KidIDs,0))</f>
        <v>0</v>
      </c>
      <c r="R277">
        <f>INDEX(AllCollegeBarrons,MATCH(N277,AllCollegeNCES,0))</f>
        <v>0</v>
      </c>
      <c r="S277">
        <f>INDEX(KidGPAs,MATCH(B277,KidIDs,0))</f>
        <v>0</v>
      </c>
      <c r="T277">
        <f>INDEX(KidSATs,MATCH(B277,KidIDs,0))</f>
        <v>0</v>
      </c>
      <c r="U277">
        <f>INDEX(Strats,MATCH(B277,KidIDs,0))</f>
        <v>0</v>
      </c>
      <c r="V277">
        <f>INDEX(KidRace,MATCH(B277,KidIDs,0))</f>
        <v>0</v>
      </c>
      <c r="W277">
        <f>IF(OR(V277="M",V277="I"),"H",IF(V277="P","A",V277))</f>
        <v>0</v>
      </c>
      <c r="X277">
        <f>INDEX(StudentTargets,MATCH(B277,KidIDs,0))</f>
        <v>0</v>
      </c>
      <c r="Y277">
        <f>INDEX(ReachStudentTargets,MATCH(B277,KidIDs,0))</f>
        <v>0</v>
      </c>
      <c r="Z277">
        <f>IF(OR(M277="Posse"),1,0)</f>
        <v>0</v>
      </c>
      <c r="AA277">
        <f>IF(ISNUMBER(INDEX(AllCollegeGR, MATCH(N277,AllCollegeNCES,0))),ROUND(INDEX(AllCollegeGR, MATCH(N277,AllCollegeNCES,0))+Z277*IF(INDEX(AllCollegeGR, MATCH(N277,AllCollegeNCES,0))&gt;0.7,(1-INDEX(AllCollegeGR, MATCH(N277,AllCollegeNCES,0)))/2,0.15),2),INDEX(AllCollegeGR, MATCH(N277,AllCollegeNCES,0)))</f>
        <v>0</v>
      </c>
      <c r="AB277">
        <f>IF(ISNUMBER(INDEX(AllCollegeAAHGR, MATCH(N277,AllCollegeNCES,0))),ROUND(INDEX(AllCollegeAAHGR, MATCH(N277,AllCollegeNCES,0))+Z277*IF(INDEX(AllCollegeAAHGR, MATCH(N277,AllCollegeNCES,0))&gt;0.7,(1-INDEX(AllCollegeAAHGR, MATCH(N277,AllCollegeNCES,0)))/2,0.15),2),INDEX(AllCollegeAAHGR, MATCH(N277,AllCollegeNCES,0)))</f>
        <v>0</v>
      </c>
      <c r="AC277">
        <f>IF(OR(W277="H",W277="B"),INDEX(AllCollegeSAT25, MATCH(N277,AllCollegeNCES,0)),INDEX(AllCollegeSAT50, MATCH(N277,AllCollegeNCES,0)))</f>
        <v>0</v>
      </c>
      <c r="AD277">
        <f>INDEX(CustomWeightsGPA,MATCH(W277&amp;":"&amp;N277,CustomWeightsIndex,0))</f>
        <v>0</v>
      </c>
      <c r="AE277">
        <f>INDEX(CustomWeightsSAT,MATCH(W277&amp;":"&amp;N277,CustomWeightsIndex,0))</f>
        <v>0</v>
      </c>
      <c r="AF277">
        <f>INDEX(CustomWeightsIntercept,MATCH(W277&amp;":"&amp;N277,CustomWeightsIndex,0))</f>
        <v>0</v>
      </c>
      <c r="AG277">
        <f>AD277*S277+AE277*T277+AF277</f>
        <v>0</v>
      </c>
      <c r="AH277">
        <f>INDEX(CoefficientsGPA,MATCH(W277&amp;":"&amp;R277,CoefficientsIndex,0))</f>
        <v>0</v>
      </c>
      <c r="AI277">
        <f>INDEX(CoefficientsSAT,MATCH(W277&amp;":"&amp;R277,CoefficientsIndex,0))</f>
        <v>0</v>
      </c>
      <c r="AJ277">
        <f>INDEX(CoefficientsIntercept,MATCH(W277&amp;":"&amp;R277,CoefficientsIndex,0))</f>
        <v>0</v>
      </c>
      <c r="AK277">
        <f>AH277*S277+(T277-AC277)*AI277+AJ277</f>
        <v>0</v>
      </c>
      <c r="AL277">
        <f>IF(ISNUMBER(AG277),AG277,AK277)</f>
        <v>0</v>
      </c>
      <c r="AM277">
        <f>IF(ISNUMBER(AL277),IF(ISNUMBER(AH277),IF(AND(AH277=1,AI277=1,AJ277=1),100,MIN(99,ROUND(100*EXP(AL277)/(1+EXP(AL277)),2))),MIN(99,ROUND(100*EXP(AL277)/(1+EXP(AL277)),2))),IF(ISTEXT(R277),IF(LEFT(R277,1)="2",100,"N/A"),"N/A"))</f>
        <v>0</v>
      </c>
      <c r="AN277">
        <f>IF(ISNUMBER(AM277),IF(AM277&gt;=99,IF(OR(U277=10,U277=11),MatchLabel,SureThingLabel),IF(AM277&gt;=95,SecureLabel,IF(AM277&gt;=80,SafetyLabel,IF(AM277&gt;=50,MatchLabel,IF(AM277&gt;=20,ReachLabel,IF(AM277&gt;=10,LongshotLabel,HailMaryLabel)))))),"Other")</f>
        <v>0</v>
      </c>
      <c r="AO277">
        <f>IF(OR(I277="accepted",I277="cond. accept",I277="summer admit"),IF(J277="yes","CHOICE!","Accepted!"),IF(I277="guar. transfer","Guar. Xfer",IF(I277="denied","Denied",IF(K277=1,"Waitlist",IF(L277=1,"Deferred",IF(G277="pending","Pending",IF(OR(G277="initial materials submitted",G277="mid-year submitted",G277="final submitted"),"Submitted",IF(H277="interest","Interest","?"))))))))</f>
        <v>0</v>
      </c>
      <c r="AP277">
        <f>IF(OR(AN277=ReachLabel,AN277=LongshotLabel,AN277=HailMaryLabel),1,0)</f>
        <v>0</v>
      </c>
      <c r="AQ277">
        <f>IF(OR(AP277=1,AN277=MatchLabel),1,0)</f>
        <v>0</v>
      </c>
      <c r="AR277">
        <f>IF(OR(AN277=MatchLabel,AN277=SafetyLabel,AN277=SecureLabel,AN277=SureThingLabel),1,0)</f>
        <v>0</v>
      </c>
      <c r="AS277">
        <f>IF(OR(W277="H",W277="B",W277="I",W277="M"),IF(ISNUMBER(AB277),ROUND(AB277,2),0),IF(ISNUMBER(AA277),ROUND(AA277,2),0))</f>
        <v>0</v>
      </c>
      <c r="AT277">
        <f>IF(AS277&gt;=X277,1,0)</f>
        <v>0</v>
      </c>
      <c r="AU277">
        <f>IF(AS277&gt;=Y277,1,0)</f>
        <v>0</v>
      </c>
      <c r="AV277">
        <f>IF(AS277&lt;(X277-0.10),1,0)</f>
        <v>0</v>
      </c>
      <c r="AW277">
        <f>1-AM277/100</f>
        <v>0</v>
      </c>
      <c r="AX277">
        <f>IF(AQ277=1,AW277,1)</f>
        <v>0</v>
      </c>
      <c r="AY277">
        <f>IF(AP277=1,AW277,1)</f>
        <v>0</v>
      </c>
      <c r="AZ277">
        <f>IF(AND(AT277=1,ISNUMBER(AW277)),$AW277,1)</f>
        <v>0</v>
      </c>
      <c r="BA277">
        <f>IF(AND(AU277=1,ISNUMBER(AW277)),$AW277,1)</f>
        <v>0</v>
      </c>
      <c r="BB277">
        <f>IF(ISNUMBER(AB277),INDEX(AllCollegeMoney, MATCH(N277,AllCollegeNCES,0)),0)</f>
        <v>0</v>
      </c>
      <c r="BC277">
        <f>IF(AND(AT277=1,ISNUMBER(AW277),BB277=1),$AW277,1)</f>
        <v>0</v>
      </c>
      <c r="BD277">
        <f>IF(AND(AU277=1,ISNUMBER(AW277),BB277=1),$AW277,1)</f>
        <v>0</v>
      </c>
      <c r="BE277">
        <f>IF(ISNUMBER(AB277),INDEX(AllCollegeILPub, MATCH(N277,AllCollegeNCES,0)),0)</f>
        <v>0</v>
      </c>
      <c r="BF277">
        <f>IF(AN277=ReachLabel,AS277,0)</f>
        <v>0</v>
      </c>
      <c r="BG277">
        <f>IF(AN277=MatchLabel,AS277,0)</f>
        <v>0</v>
      </c>
      <c r="BH277">
        <f>IF(AN277=SafetyLabel,AS277,0)</f>
        <v>0</v>
      </c>
      <c r="BI277">
        <f>IF(AN277=SecureLabel,AS277,0)</f>
        <v>0</v>
      </c>
      <c r="BJ277">
        <f>IF(AN277=SureThingLabel,AS277,0)</f>
        <v>0</v>
      </c>
      <c r="BK277">
        <f>MAX(BF277:BJ277)</f>
        <v>0</v>
      </c>
      <c r="BL277">
        <f>MAX(BG277:BJ277)</f>
        <v>0</v>
      </c>
      <c r="BM277">
        <f>MAX(BH277:BJ277)</f>
        <v>0</v>
      </c>
      <c r="BN277">
        <f>IF(AND(AN277=ReachLabel,BB277=1),AS277,0)</f>
        <v>0</v>
      </c>
      <c r="BO277">
        <f>IF(AND(AN277=MatchLabel,BB277=1),AS277,0)</f>
        <v>0</v>
      </c>
      <c r="BP277">
        <f>IF(AND(AN277=SafetyLabel,BB277=1),AS277,0)</f>
        <v>0</v>
      </c>
      <c r="BQ277">
        <f>IF(AND(AN277=SecureLabel,BB277=1),AS277,0)</f>
        <v>0</v>
      </c>
      <c r="BR277">
        <f>IF(AND(AN277=SureThingLabel,BB277=1),AS277,0)</f>
        <v>0</v>
      </c>
      <c r="BS277">
        <f>MAX(BN277:BR277)</f>
        <v>0</v>
      </c>
      <c r="BT277">
        <f>MAX(BO277:BR277)</f>
        <v>0</v>
      </c>
      <c r="BU277">
        <f>MAX(BP277:BR277)</f>
        <v>0</v>
      </c>
      <c r="BV277">
        <f>IF(ISNUMBER(AB277),INDEX(AllCollegeChicago, MATCH(N277,AllCollegeNCES,0))*BB277,0)</f>
        <v>0</v>
      </c>
      <c r="BW277">
        <f>IF(ISNUMBER(AB277),INDEX(AllCollegeMoneyCode, MATCH(N277,AllCollegeNCES,0)),"?")</f>
        <v>0</v>
      </c>
      <c r="BX277">
        <f>IF(OR(BW277="---",BW277="--",BW277="+/--",BW277="+/---"),1,0)</f>
        <v>0</v>
      </c>
      <c r="BY277">
        <f>BB277*AR277*AT277</f>
        <v>0</v>
      </c>
    </row>
    <row r="278" spans="1:77">
      <c r="A278" t="s">
        <v>96</v>
      </c>
      <c r="B278">
        <v>23036214</v>
      </c>
      <c r="C278" t="s">
        <v>141</v>
      </c>
      <c r="D278" t="s">
        <v>142</v>
      </c>
      <c r="E278" t="s">
        <v>446</v>
      </c>
      <c r="F278" t="s">
        <v>536</v>
      </c>
      <c r="G278" t="s">
        <v>448</v>
      </c>
      <c r="H278" t="s">
        <v>449</v>
      </c>
      <c r="I278" t="s">
        <v>450</v>
      </c>
      <c r="J278" t="s">
        <v>450</v>
      </c>
      <c r="K278">
        <v>0</v>
      </c>
      <c r="L278" t="s">
        <v>446</v>
      </c>
      <c r="M278" t="s">
        <v>446</v>
      </c>
      <c r="N278">
        <v>239628</v>
      </c>
      <c r="O278">
        <f>INDEX(Counselor,MATCH(B278,KidIDs,0))</f>
        <v>0</v>
      </c>
      <c r="P278">
        <f>INDEX(Advisors,MATCH(B278,KidIDs,0))</f>
        <v>0</v>
      </c>
      <c r="Q278">
        <f>INDEX(Cohort,MATCH(B278,KidIDs,0))</f>
        <v>0</v>
      </c>
      <c r="R278">
        <f>INDEX(AllCollegeBarrons,MATCH(N278,AllCollegeNCES,0))</f>
        <v>0</v>
      </c>
      <c r="S278">
        <f>INDEX(KidGPAs,MATCH(B278,KidIDs,0))</f>
        <v>0</v>
      </c>
      <c r="T278">
        <f>INDEX(KidSATs,MATCH(B278,KidIDs,0))</f>
        <v>0</v>
      </c>
      <c r="U278">
        <f>INDEX(Strats,MATCH(B278,KidIDs,0))</f>
        <v>0</v>
      </c>
      <c r="V278">
        <f>INDEX(KidRace,MATCH(B278,KidIDs,0))</f>
        <v>0</v>
      </c>
      <c r="W278">
        <f>IF(OR(V278="M",V278="I"),"H",IF(V278="P","A",V278))</f>
        <v>0</v>
      </c>
      <c r="X278">
        <f>INDEX(StudentTargets,MATCH(B278,KidIDs,0))</f>
        <v>0</v>
      </c>
      <c r="Y278">
        <f>INDEX(ReachStudentTargets,MATCH(B278,KidIDs,0))</f>
        <v>0</v>
      </c>
      <c r="Z278">
        <f>IF(OR(M278="Posse"),1,0)</f>
        <v>0</v>
      </c>
      <c r="AA278">
        <f>IF(ISNUMBER(INDEX(AllCollegeGR, MATCH(N278,AllCollegeNCES,0))),ROUND(INDEX(AllCollegeGR, MATCH(N278,AllCollegeNCES,0))+Z278*IF(INDEX(AllCollegeGR, MATCH(N278,AllCollegeNCES,0))&gt;0.7,(1-INDEX(AllCollegeGR, MATCH(N278,AllCollegeNCES,0)))/2,0.15),2),INDEX(AllCollegeGR, MATCH(N278,AllCollegeNCES,0)))</f>
        <v>0</v>
      </c>
      <c r="AB278">
        <f>IF(ISNUMBER(INDEX(AllCollegeAAHGR, MATCH(N278,AllCollegeNCES,0))),ROUND(INDEX(AllCollegeAAHGR, MATCH(N278,AllCollegeNCES,0))+Z278*IF(INDEX(AllCollegeAAHGR, MATCH(N278,AllCollegeNCES,0))&gt;0.7,(1-INDEX(AllCollegeAAHGR, MATCH(N278,AllCollegeNCES,0)))/2,0.15),2),INDEX(AllCollegeAAHGR, MATCH(N278,AllCollegeNCES,0)))</f>
        <v>0</v>
      </c>
      <c r="AC278">
        <f>IF(OR(W278="H",W278="B"),INDEX(AllCollegeSAT25, MATCH(N278,AllCollegeNCES,0)),INDEX(AllCollegeSAT50, MATCH(N278,AllCollegeNCES,0)))</f>
        <v>0</v>
      </c>
      <c r="AD278">
        <f>INDEX(CustomWeightsGPA,MATCH(W278&amp;":"&amp;N278,CustomWeightsIndex,0))</f>
        <v>0</v>
      </c>
      <c r="AE278">
        <f>INDEX(CustomWeightsSAT,MATCH(W278&amp;":"&amp;N278,CustomWeightsIndex,0))</f>
        <v>0</v>
      </c>
      <c r="AF278">
        <f>INDEX(CustomWeightsIntercept,MATCH(W278&amp;":"&amp;N278,CustomWeightsIndex,0))</f>
        <v>0</v>
      </c>
      <c r="AG278">
        <f>AD278*S278+AE278*T278+AF278</f>
        <v>0</v>
      </c>
      <c r="AH278">
        <f>INDEX(CoefficientsGPA,MATCH(W278&amp;":"&amp;R278,CoefficientsIndex,0))</f>
        <v>0</v>
      </c>
      <c r="AI278">
        <f>INDEX(CoefficientsSAT,MATCH(W278&amp;":"&amp;R278,CoefficientsIndex,0))</f>
        <v>0</v>
      </c>
      <c r="AJ278">
        <f>INDEX(CoefficientsIntercept,MATCH(W278&amp;":"&amp;R278,CoefficientsIndex,0))</f>
        <v>0</v>
      </c>
      <c r="AK278">
        <f>AH278*S278+(T278-AC278)*AI278+AJ278</f>
        <v>0</v>
      </c>
      <c r="AL278">
        <f>IF(ISNUMBER(AG278),AG278,AK278)</f>
        <v>0</v>
      </c>
      <c r="AM278">
        <f>IF(ISNUMBER(AL278),IF(ISNUMBER(AH278),IF(AND(AH278=1,AI278=1,AJ278=1),100,MIN(99,ROUND(100*EXP(AL278)/(1+EXP(AL278)),2))),MIN(99,ROUND(100*EXP(AL278)/(1+EXP(AL278)),2))),IF(ISTEXT(R278),IF(LEFT(R278,1)="2",100,"N/A"),"N/A"))</f>
        <v>0</v>
      </c>
      <c r="AN278">
        <f>IF(ISNUMBER(AM278),IF(AM278&gt;=99,IF(OR(U278=10,U278=11),MatchLabel,SureThingLabel),IF(AM278&gt;=95,SecureLabel,IF(AM278&gt;=80,SafetyLabel,IF(AM278&gt;=50,MatchLabel,IF(AM278&gt;=20,ReachLabel,IF(AM278&gt;=10,LongshotLabel,HailMaryLabel)))))),"Other")</f>
        <v>0</v>
      </c>
      <c r="AO278">
        <f>IF(OR(I278="accepted",I278="cond. accept",I278="summer admit"),IF(J278="yes","CHOICE!","Accepted!"),IF(I278="guar. transfer","Guar. Xfer",IF(I278="denied","Denied",IF(K278=1,"Waitlist",IF(L278=1,"Deferred",IF(G278="pending","Pending",IF(OR(G278="initial materials submitted",G278="mid-year submitted",G278="final submitted"),"Submitted",IF(H278="interest","Interest","?"))))))))</f>
        <v>0</v>
      </c>
      <c r="AP278">
        <f>IF(OR(AN278=ReachLabel,AN278=LongshotLabel,AN278=HailMaryLabel),1,0)</f>
        <v>0</v>
      </c>
      <c r="AQ278">
        <f>IF(OR(AP278=1,AN278=MatchLabel),1,0)</f>
        <v>0</v>
      </c>
      <c r="AR278">
        <f>IF(OR(AN278=MatchLabel,AN278=SafetyLabel,AN278=SecureLabel,AN278=SureThingLabel),1,0)</f>
        <v>0</v>
      </c>
      <c r="AS278">
        <f>IF(OR(W278="H",W278="B",W278="I",W278="M"),IF(ISNUMBER(AB278),ROUND(AB278,2),0),IF(ISNUMBER(AA278),ROUND(AA278,2),0))</f>
        <v>0</v>
      </c>
      <c r="AT278">
        <f>IF(AS278&gt;=X278,1,0)</f>
        <v>0</v>
      </c>
      <c r="AU278">
        <f>IF(AS278&gt;=Y278,1,0)</f>
        <v>0</v>
      </c>
      <c r="AV278">
        <f>IF(AS278&lt;(X278-0.10),1,0)</f>
        <v>0</v>
      </c>
      <c r="AW278">
        <f>1-AM278/100</f>
        <v>0</v>
      </c>
      <c r="AX278">
        <f>IF(AQ278=1,AW278,1)</f>
        <v>0</v>
      </c>
      <c r="AY278">
        <f>IF(AP278=1,AW278,1)</f>
        <v>0</v>
      </c>
      <c r="AZ278">
        <f>IF(AND(AT278=1,ISNUMBER(AW278)),$AW278,1)</f>
        <v>0</v>
      </c>
      <c r="BA278">
        <f>IF(AND(AU278=1,ISNUMBER(AW278)),$AW278,1)</f>
        <v>0</v>
      </c>
      <c r="BB278">
        <f>IF(ISNUMBER(AB278),INDEX(AllCollegeMoney, MATCH(N278,AllCollegeNCES,0)),0)</f>
        <v>0</v>
      </c>
      <c r="BC278">
        <f>IF(AND(AT278=1,ISNUMBER(AW278),BB278=1),$AW278,1)</f>
        <v>0</v>
      </c>
      <c r="BD278">
        <f>IF(AND(AU278=1,ISNUMBER(AW278),BB278=1),$AW278,1)</f>
        <v>0</v>
      </c>
      <c r="BE278">
        <f>IF(ISNUMBER(AB278),INDEX(AllCollegeILPub, MATCH(N278,AllCollegeNCES,0)),0)</f>
        <v>0</v>
      </c>
      <c r="BF278">
        <f>IF(AN278=ReachLabel,AS278,0)</f>
        <v>0</v>
      </c>
      <c r="BG278">
        <f>IF(AN278=MatchLabel,AS278,0)</f>
        <v>0</v>
      </c>
      <c r="BH278">
        <f>IF(AN278=SafetyLabel,AS278,0)</f>
        <v>0</v>
      </c>
      <c r="BI278">
        <f>IF(AN278=SecureLabel,AS278,0)</f>
        <v>0</v>
      </c>
      <c r="BJ278">
        <f>IF(AN278=SureThingLabel,AS278,0)</f>
        <v>0</v>
      </c>
      <c r="BK278">
        <f>MAX(BF278:BJ278)</f>
        <v>0</v>
      </c>
      <c r="BL278">
        <f>MAX(BG278:BJ278)</f>
        <v>0</v>
      </c>
      <c r="BM278">
        <f>MAX(BH278:BJ278)</f>
        <v>0</v>
      </c>
      <c r="BN278">
        <f>IF(AND(AN278=ReachLabel,BB278=1),AS278,0)</f>
        <v>0</v>
      </c>
      <c r="BO278">
        <f>IF(AND(AN278=MatchLabel,BB278=1),AS278,0)</f>
        <v>0</v>
      </c>
      <c r="BP278">
        <f>IF(AND(AN278=SafetyLabel,BB278=1),AS278,0)</f>
        <v>0</v>
      </c>
      <c r="BQ278">
        <f>IF(AND(AN278=SecureLabel,BB278=1),AS278,0)</f>
        <v>0</v>
      </c>
      <c r="BR278">
        <f>IF(AND(AN278=SureThingLabel,BB278=1),AS278,0)</f>
        <v>0</v>
      </c>
      <c r="BS278">
        <f>MAX(BN278:BR278)</f>
        <v>0</v>
      </c>
      <c r="BT278">
        <f>MAX(BO278:BR278)</f>
        <v>0</v>
      </c>
      <c r="BU278">
        <f>MAX(BP278:BR278)</f>
        <v>0</v>
      </c>
      <c r="BV278">
        <f>IF(ISNUMBER(AB278),INDEX(AllCollegeChicago, MATCH(N278,AllCollegeNCES,0))*BB278,0)</f>
        <v>0</v>
      </c>
      <c r="BW278">
        <f>IF(ISNUMBER(AB278),INDEX(AllCollegeMoneyCode, MATCH(N278,AllCollegeNCES,0)),"?")</f>
        <v>0</v>
      </c>
      <c r="BX278">
        <f>IF(OR(BW278="---",BW278="--",BW278="+/--",BW278="+/---"),1,0)</f>
        <v>0</v>
      </c>
      <c r="BY278">
        <f>BB278*AR278*AT278</f>
        <v>0</v>
      </c>
    </row>
    <row r="279" spans="1:77">
      <c r="A279" t="s">
        <v>96</v>
      </c>
      <c r="B279">
        <v>23036214</v>
      </c>
      <c r="C279" t="s">
        <v>141</v>
      </c>
      <c r="D279" t="s">
        <v>142</v>
      </c>
      <c r="E279" t="s">
        <v>446</v>
      </c>
      <c r="F279" t="s">
        <v>526</v>
      </c>
      <c r="G279" t="s">
        <v>448</v>
      </c>
      <c r="H279" t="s">
        <v>449</v>
      </c>
      <c r="I279" t="s">
        <v>450</v>
      </c>
      <c r="J279" t="s">
        <v>450</v>
      </c>
      <c r="K279">
        <v>0</v>
      </c>
      <c r="L279" t="s">
        <v>446</v>
      </c>
      <c r="M279" t="s">
        <v>446</v>
      </c>
      <c r="N279">
        <v>147341</v>
      </c>
      <c r="O279">
        <f>INDEX(Counselor,MATCH(B279,KidIDs,0))</f>
        <v>0</v>
      </c>
      <c r="P279">
        <f>INDEX(Advisors,MATCH(B279,KidIDs,0))</f>
        <v>0</v>
      </c>
      <c r="Q279">
        <f>INDEX(Cohort,MATCH(B279,KidIDs,0))</f>
        <v>0</v>
      </c>
      <c r="R279">
        <f>INDEX(AllCollegeBarrons,MATCH(N279,AllCollegeNCES,0))</f>
        <v>0</v>
      </c>
      <c r="S279">
        <f>INDEX(KidGPAs,MATCH(B279,KidIDs,0))</f>
        <v>0</v>
      </c>
      <c r="T279">
        <f>INDEX(KidSATs,MATCH(B279,KidIDs,0))</f>
        <v>0</v>
      </c>
      <c r="U279">
        <f>INDEX(Strats,MATCH(B279,KidIDs,0))</f>
        <v>0</v>
      </c>
      <c r="V279">
        <f>INDEX(KidRace,MATCH(B279,KidIDs,0))</f>
        <v>0</v>
      </c>
      <c r="W279">
        <f>IF(OR(V279="M",V279="I"),"H",IF(V279="P","A",V279))</f>
        <v>0</v>
      </c>
      <c r="X279">
        <f>INDEX(StudentTargets,MATCH(B279,KidIDs,0))</f>
        <v>0</v>
      </c>
      <c r="Y279">
        <f>INDEX(ReachStudentTargets,MATCH(B279,KidIDs,0))</f>
        <v>0</v>
      </c>
      <c r="Z279">
        <f>IF(OR(M279="Posse"),1,0)</f>
        <v>0</v>
      </c>
      <c r="AA279">
        <f>IF(ISNUMBER(INDEX(AllCollegeGR, MATCH(N279,AllCollegeNCES,0))),ROUND(INDEX(AllCollegeGR, MATCH(N279,AllCollegeNCES,0))+Z279*IF(INDEX(AllCollegeGR, MATCH(N279,AllCollegeNCES,0))&gt;0.7,(1-INDEX(AllCollegeGR, MATCH(N279,AllCollegeNCES,0)))/2,0.15),2),INDEX(AllCollegeGR, MATCH(N279,AllCollegeNCES,0)))</f>
        <v>0</v>
      </c>
      <c r="AB279">
        <f>IF(ISNUMBER(INDEX(AllCollegeAAHGR, MATCH(N279,AllCollegeNCES,0))),ROUND(INDEX(AllCollegeAAHGR, MATCH(N279,AllCollegeNCES,0))+Z279*IF(INDEX(AllCollegeAAHGR, MATCH(N279,AllCollegeNCES,0))&gt;0.7,(1-INDEX(AllCollegeAAHGR, MATCH(N279,AllCollegeNCES,0)))/2,0.15),2),INDEX(AllCollegeAAHGR, MATCH(N279,AllCollegeNCES,0)))</f>
        <v>0</v>
      </c>
      <c r="AC279">
        <f>IF(OR(W279="H",W279="B"),INDEX(AllCollegeSAT25, MATCH(N279,AllCollegeNCES,0)),INDEX(AllCollegeSAT50, MATCH(N279,AllCollegeNCES,0)))</f>
        <v>0</v>
      </c>
      <c r="AD279">
        <f>INDEX(CustomWeightsGPA,MATCH(W279&amp;":"&amp;N279,CustomWeightsIndex,0))</f>
        <v>0</v>
      </c>
      <c r="AE279">
        <f>INDEX(CustomWeightsSAT,MATCH(W279&amp;":"&amp;N279,CustomWeightsIndex,0))</f>
        <v>0</v>
      </c>
      <c r="AF279">
        <f>INDEX(CustomWeightsIntercept,MATCH(W279&amp;":"&amp;N279,CustomWeightsIndex,0))</f>
        <v>0</v>
      </c>
      <c r="AG279">
        <f>AD279*S279+AE279*T279+AF279</f>
        <v>0</v>
      </c>
      <c r="AH279">
        <f>INDEX(CoefficientsGPA,MATCH(W279&amp;":"&amp;R279,CoefficientsIndex,0))</f>
        <v>0</v>
      </c>
      <c r="AI279">
        <f>INDEX(CoefficientsSAT,MATCH(W279&amp;":"&amp;R279,CoefficientsIndex,0))</f>
        <v>0</v>
      </c>
      <c r="AJ279">
        <f>INDEX(CoefficientsIntercept,MATCH(W279&amp;":"&amp;R279,CoefficientsIndex,0))</f>
        <v>0</v>
      </c>
      <c r="AK279">
        <f>AH279*S279+(T279-AC279)*AI279+AJ279</f>
        <v>0</v>
      </c>
      <c r="AL279">
        <f>IF(ISNUMBER(AG279),AG279,AK279)</f>
        <v>0</v>
      </c>
      <c r="AM279">
        <f>IF(ISNUMBER(AL279),IF(ISNUMBER(AH279),IF(AND(AH279=1,AI279=1,AJ279=1),100,MIN(99,ROUND(100*EXP(AL279)/(1+EXP(AL279)),2))),MIN(99,ROUND(100*EXP(AL279)/(1+EXP(AL279)),2))),IF(ISTEXT(R279),IF(LEFT(R279,1)="2",100,"N/A"),"N/A"))</f>
        <v>0</v>
      </c>
      <c r="AN279">
        <f>IF(ISNUMBER(AM279),IF(AM279&gt;=99,IF(OR(U279=10,U279=11),MatchLabel,SureThingLabel),IF(AM279&gt;=95,SecureLabel,IF(AM279&gt;=80,SafetyLabel,IF(AM279&gt;=50,MatchLabel,IF(AM279&gt;=20,ReachLabel,IF(AM279&gt;=10,LongshotLabel,HailMaryLabel)))))),"Other")</f>
        <v>0</v>
      </c>
      <c r="AO279">
        <f>IF(OR(I279="accepted",I279="cond. accept",I279="summer admit"),IF(J279="yes","CHOICE!","Accepted!"),IF(I279="guar. transfer","Guar. Xfer",IF(I279="denied","Denied",IF(K279=1,"Waitlist",IF(L279=1,"Deferred",IF(G279="pending","Pending",IF(OR(G279="initial materials submitted",G279="mid-year submitted",G279="final submitted"),"Submitted",IF(H279="interest","Interest","?"))))))))</f>
        <v>0</v>
      </c>
      <c r="AP279">
        <f>IF(OR(AN279=ReachLabel,AN279=LongshotLabel,AN279=HailMaryLabel),1,0)</f>
        <v>0</v>
      </c>
      <c r="AQ279">
        <f>IF(OR(AP279=1,AN279=MatchLabel),1,0)</f>
        <v>0</v>
      </c>
      <c r="AR279">
        <f>IF(OR(AN279=MatchLabel,AN279=SafetyLabel,AN279=SecureLabel,AN279=SureThingLabel),1,0)</f>
        <v>0</v>
      </c>
      <c r="AS279">
        <f>IF(OR(W279="H",W279="B",W279="I",W279="M"),IF(ISNUMBER(AB279),ROUND(AB279,2),0),IF(ISNUMBER(AA279),ROUND(AA279,2),0))</f>
        <v>0</v>
      </c>
      <c r="AT279">
        <f>IF(AS279&gt;=X279,1,0)</f>
        <v>0</v>
      </c>
      <c r="AU279">
        <f>IF(AS279&gt;=Y279,1,0)</f>
        <v>0</v>
      </c>
      <c r="AV279">
        <f>IF(AS279&lt;(X279-0.10),1,0)</f>
        <v>0</v>
      </c>
      <c r="AW279">
        <f>1-AM279/100</f>
        <v>0</v>
      </c>
      <c r="AX279">
        <f>IF(AQ279=1,AW279,1)</f>
        <v>0</v>
      </c>
      <c r="AY279">
        <f>IF(AP279=1,AW279,1)</f>
        <v>0</v>
      </c>
      <c r="AZ279">
        <f>IF(AND(AT279=1,ISNUMBER(AW279)),$AW279,1)</f>
        <v>0</v>
      </c>
      <c r="BA279">
        <f>IF(AND(AU279=1,ISNUMBER(AW279)),$AW279,1)</f>
        <v>0</v>
      </c>
      <c r="BB279">
        <f>IF(ISNUMBER(AB279),INDEX(AllCollegeMoney, MATCH(N279,AllCollegeNCES,0)),0)</f>
        <v>0</v>
      </c>
      <c r="BC279">
        <f>IF(AND(AT279=1,ISNUMBER(AW279),BB279=1),$AW279,1)</f>
        <v>0</v>
      </c>
      <c r="BD279">
        <f>IF(AND(AU279=1,ISNUMBER(AW279),BB279=1),$AW279,1)</f>
        <v>0</v>
      </c>
      <c r="BE279">
        <f>IF(ISNUMBER(AB279),INDEX(AllCollegeILPub, MATCH(N279,AllCollegeNCES,0)),0)</f>
        <v>0</v>
      </c>
      <c r="BF279">
        <f>IF(AN279=ReachLabel,AS279,0)</f>
        <v>0</v>
      </c>
      <c r="BG279">
        <f>IF(AN279=MatchLabel,AS279,0)</f>
        <v>0</v>
      </c>
      <c r="BH279">
        <f>IF(AN279=SafetyLabel,AS279,0)</f>
        <v>0</v>
      </c>
      <c r="BI279">
        <f>IF(AN279=SecureLabel,AS279,0)</f>
        <v>0</v>
      </c>
      <c r="BJ279">
        <f>IF(AN279=SureThingLabel,AS279,0)</f>
        <v>0</v>
      </c>
      <c r="BK279">
        <f>MAX(BF279:BJ279)</f>
        <v>0</v>
      </c>
      <c r="BL279">
        <f>MAX(BG279:BJ279)</f>
        <v>0</v>
      </c>
      <c r="BM279">
        <f>MAX(BH279:BJ279)</f>
        <v>0</v>
      </c>
      <c r="BN279">
        <f>IF(AND(AN279=ReachLabel,BB279=1),AS279,0)</f>
        <v>0</v>
      </c>
      <c r="BO279">
        <f>IF(AND(AN279=MatchLabel,BB279=1),AS279,0)</f>
        <v>0</v>
      </c>
      <c r="BP279">
        <f>IF(AND(AN279=SafetyLabel,BB279=1),AS279,0)</f>
        <v>0</v>
      </c>
      <c r="BQ279">
        <f>IF(AND(AN279=SecureLabel,BB279=1),AS279,0)</f>
        <v>0</v>
      </c>
      <c r="BR279">
        <f>IF(AND(AN279=SureThingLabel,BB279=1),AS279,0)</f>
        <v>0</v>
      </c>
      <c r="BS279">
        <f>MAX(BN279:BR279)</f>
        <v>0</v>
      </c>
      <c r="BT279">
        <f>MAX(BO279:BR279)</f>
        <v>0</v>
      </c>
      <c r="BU279">
        <f>MAX(BP279:BR279)</f>
        <v>0</v>
      </c>
      <c r="BV279">
        <f>IF(ISNUMBER(AB279),INDEX(AllCollegeChicago, MATCH(N279,AllCollegeNCES,0))*BB279,0)</f>
        <v>0</v>
      </c>
      <c r="BW279">
        <f>IF(ISNUMBER(AB279),INDEX(AllCollegeMoneyCode, MATCH(N279,AllCollegeNCES,0)),"?")</f>
        <v>0</v>
      </c>
      <c r="BX279">
        <f>IF(OR(BW279="---",BW279="--",BW279="+/--",BW279="+/---"),1,0)</f>
        <v>0</v>
      </c>
      <c r="BY279">
        <f>BB279*AR279*AT279</f>
        <v>0</v>
      </c>
    </row>
    <row r="280" spans="1:77">
      <c r="A280" t="s">
        <v>96</v>
      </c>
      <c r="B280">
        <v>23038357</v>
      </c>
      <c r="C280" t="s">
        <v>309</v>
      </c>
      <c r="D280" t="s">
        <v>310</v>
      </c>
      <c r="E280" t="s">
        <v>446</v>
      </c>
      <c r="F280" t="s">
        <v>491</v>
      </c>
      <c r="G280" t="s">
        <v>448</v>
      </c>
      <c r="H280" t="s">
        <v>449</v>
      </c>
      <c r="I280" t="s">
        <v>450</v>
      </c>
      <c r="J280" t="s">
        <v>450</v>
      </c>
      <c r="K280">
        <v>0</v>
      </c>
      <c r="L280" t="s">
        <v>446</v>
      </c>
      <c r="M280" t="s">
        <v>446</v>
      </c>
      <c r="N280">
        <v>152080</v>
      </c>
      <c r="O280">
        <f>INDEX(Counselor,MATCH(B280,KidIDs,0))</f>
        <v>0</v>
      </c>
      <c r="P280">
        <f>INDEX(Advisors,MATCH(B280,KidIDs,0))</f>
        <v>0</v>
      </c>
      <c r="Q280">
        <f>INDEX(Cohort,MATCH(B280,KidIDs,0))</f>
        <v>0</v>
      </c>
      <c r="R280">
        <f>INDEX(AllCollegeBarrons,MATCH(N280,AllCollegeNCES,0))</f>
        <v>0</v>
      </c>
      <c r="S280">
        <f>INDEX(KidGPAs,MATCH(B280,KidIDs,0))</f>
        <v>0</v>
      </c>
      <c r="T280">
        <f>INDEX(KidSATs,MATCH(B280,KidIDs,0))</f>
        <v>0</v>
      </c>
      <c r="U280">
        <f>INDEX(Strats,MATCH(B280,KidIDs,0))</f>
        <v>0</v>
      </c>
      <c r="V280">
        <f>INDEX(KidRace,MATCH(B280,KidIDs,0))</f>
        <v>0</v>
      </c>
      <c r="W280">
        <f>IF(OR(V280="M",V280="I"),"H",IF(V280="P","A",V280))</f>
        <v>0</v>
      </c>
      <c r="X280">
        <f>INDEX(StudentTargets,MATCH(B280,KidIDs,0))</f>
        <v>0</v>
      </c>
      <c r="Y280">
        <f>INDEX(ReachStudentTargets,MATCH(B280,KidIDs,0))</f>
        <v>0</v>
      </c>
      <c r="Z280">
        <f>IF(OR(M280="Posse"),1,0)</f>
        <v>0</v>
      </c>
      <c r="AA280">
        <f>IF(ISNUMBER(INDEX(AllCollegeGR, MATCH(N280,AllCollegeNCES,0))),ROUND(INDEX(AllCollegeGR, MATCH(N280,AllCollegeNCES,0))+Z280*IF(INDEX(AllCollegeGR, MATCH(N280,AllCollegeNCES,0))&gt;0.7,(1-INDEX(AllCollegeGR, MATCH(N280,AllCollegeNCES,0)))/2,0.15),2),INDEX(AllCollegeGR, MATCH(N280,AllCollegeNCES,0)))</f>
        <v>0</v>
      </c>
      <c r="AB280">
        <f>IF(ISNUMBER(INDEX(AllCollegeAAHGR, MATCH(N280,AllCollegeNCES,0))),ROUND(INDEX(AllCollegeAAHGR, MATCH(N280,AllCollegeNCES,0))+Z280*IF(INDEX(AllCollegeAAHGR, MATCH(N280,AllCollegeNCES,0))&gt;0.7,(1-INDEX(AllCollegeAAHGR, MATCH(N280,AllCollegeNCES,0)))/2,0.15),2),INDEX(AllCollegeAAHGR, MATCH(N280,AllCollegeNCES,0)))</f>
        <v>0</v>
      </c>
      <c r="AC280">
        <f>IF(OR(W280="H",W280="B"),INDEX(AllCollegeSAT25, MATCH(N280,AllCollegeNCES,0)),INDEX(AllCollegeSAT50, MATCH(N280,AllCollegeNCES,0)))</f>
        <v>0</v>
      </c>
      <c r="AD280">
        <f>INDEX(CustomWeightsGPA,MATCH(W280&amp;":"&amp;N280,CustomWeightsIndex,0))</f>
        <v>0</v>
      </c>
      <c r="AE280">
        <f>INDEX(CustomWeightsSAT,MATCH(W280&amp;":"&amp;N280,CustomWeightsIndex,0))</f>
        <v>0</v>
      </c>
      <c r="AF280">
        <f>INDEX(CustomWeightsIntercept,MATCH(W280&amp;":"&amp;N280,CustomWeightsIndex,0))</f>
        <v>0</v>
      </c>
      <c r="AG280">
        <f>AD280*S280+AE280*T280+AF280</f>
        <v>0</v>
      </c>
      <c r="AH280">
        <f>INDEX(CoefficientsGPA,MATCH(W280&amp;":"&amp;R280,CoefficientsIndex,0))</f>
        <v>0</v>
      </c>
      <c r="AI280">
        <f>INDEX(CoefficientsSAT,MATCH(W280&amp;":"&amp;R280,CoefficientsIndex,0))</f>
        <v>0</v>
      </c>
      <c r="AJ280">
        <f>INDEX(CoefficientsIntercept,MATCH(W280&amp;":"&amp;R280,CoefficientsIndex,0))</f>
        <v>0</v>
      </c>
      <c r="AK280">
        <f>AH280*S280+(T280-AC280)*AI280+AJ280</f>
        <v>0</v>
      </c>
      <c r="AL280">
        <f>IF(ISNUMBER(AG280),AG280,AK280)</f>
        <v>0</v>
      </c>
      <c r="AM280">
        <f>IF(ISNUMBER(AL280),IF(ISNUMBER(AH280),IF(AND(AH280=1,AI280=1,AJ280=1),100,MIN(99,ROUND(100*EXP(AL280)/(1+EXP(AL280)),2))),MIN(99,ROUND(100*EXP(AL280)/(1+EXP(AL280)),2))),IF(ISTEXT(R280),IF(LEFT(R280,1)="2",100,"N/A"),"N/A"))</f>
        <v>0</v>
      </c>
      <c r="AN280">
        <f>IF(ISNUMBER(AM280),IF(AM280&gt;=99,IF(OR(U280=10,U280=11),MatchLabel,SureThingLabel),IF(AM280&gt;=95,SecureLabel,IF(AM280&gt;=80,SafetyLabel,IF(AM280&gt;=50,MatchLabel,IF(AM280&gt;=20,ReachLabel,IF(AM280&gt;=10,LongshotLabel,HailMaryLabel)))))),"Other")</f>
        <v>0</v>
      </c>
      <c r="AO280">
        <f>IF(OR(I280="accepted",I280="cond. accept",I280="summer admit"),IF(J280="yes","CHOICE!","Accepted!"),IF(I280="guar. transfer","Guar. Xfer",IF(I280="denied","Denied",IF(K280=1,"Waitlist",IF(L280=1,"Deferred",IF(G280="pending","Pending",IF(OR(G280="initial materials submitted",G280="mid-year submitted",G280="final submitted"),"Submitted",IF(H280="interest","Interest","?"))))))))</f>
        <v>0</v>
      </c>
      <c r="AP280">
        <f>IF(OR(AN280=ReachLabel,AN280=LongshotLabel,AN280=HailMaryLabel),1,0)</f>
        <v>0</v>
      </c>
      <c r="AQ280">
        <f>IF(OR(AP280=1,AN280=MatchLabel),1,0)</f>
        <v>0</v>
      </c>
      <c r="AR280">
        <f>IF(OR(AN280=MatchLabel,AN280=SafetyLabel,AN280=SecureLabel,AN280=SureThingLabel),1,0)</f>
        <v>0</v>
      </c>
      <c r="AS280">
        <f>IF(OR(W280="H",W280="B",W280="I",W280="M"),IF(ISNUMBER(AB280),ROUND(AB280,2),0),IF(ISNUMBER(AA280),ROUND(AA280,2),0))</f>
        <v>0</v>
      </c>
      <c r="AT280">
        <f>IF(AS280&gt;=X280,1,0)</f>
        <v>0</v>
      </c>
      <c r="AU280">
        <f>IF(AS280&gt;=Y280,1,0)</f>
        <v>0</v>
      </c>
      <c r="AV280">
        <f>IF(AS280&lt;(X280-0.10),1,0)</f>
        <v>0</v>
      </c>
      <c r="AW280">
        <f>1-AM280/100</f>
        <v>0</v>
      </c>
      <c r="AX280">
        <f>IF(AQ280=1,AW280,1)</f>
        <v>0</v>
      </c>
      <c r="AY280">
        <f>IF(AP280=1,AW280,1)</f>
        <v>0</v>
      </c>
      <c r="AZ280">
        <f>IF(AND(AT280=1,ISNUMBER(AW280)),$AW280,1)</f>
        <v>0</v>
      </c>
      <c r="BA280">
        <f>IF(AND(AU280=1,ISNUMBER(AW280)),$AW280,1)</f>
        <v>0</v>
      </c>
      <c r="BB280">
        <f>IF(ISNUMBER(AB280),INDEX(AllCollegeMoney, MATCH(N280,AllCollegeNCES,0)),0)</f>
        <v>0</v>
      </c>
      <c r="BC280">
        <f>IF(AND(AT280=1,ISNUMBER(AW280),BB280=1),$AW280,1)</f>
        <v>0</v>
      </c>
      <c r="BD280">
        <f>IF(AND(AU280=1,ISNUMBER(AW280),BB280=1),$AW280,1)</f>
        <v>0</v>
      </c>
      <c r="BE280">
        <f>IF(ISNUMBER(AB280),INDEX(AllCollegeILPub, MATCH(N280,AllCollegeNCES,0)),0)</f>
        <v>0</v>
      </c>
      <c r="BF280">
        <f>IF(AN280=ReachLabel,AS280,0)</f>
        <v>0</v>
      </c>
      <c r="BG280">
        <f>IF(AN280=MatchLabel,AS280,0)</f>
        <v>0</v>
      </c>
      <c r="BH280">
        <f>IF(AN280=SafetyLabel,AS280,0)</f>
        <v>0</v>
      </c>
      <c r="BI280">
        <f>IF(AN280=SecureLabel,AS280,0)</f>
        <v>0</v>
      </c>
      <c r="BJ280">
        <f>IF(AN280=SureThingLabel,AS280,0)</f>
        <v>0</v>
      </c>
      <c r="BK280">
        <f>MAX(BF280:BJ280)</f>
        <v>0</v>
      </c>
      <c r="BL280">
        <f>MAX(BG280:BJ280)</f>
        <v>0</v>
      </c>
      <c r="BM280">
        <f>MAX(BH280:BJ280)</f>
        <v>0</v>
      </c>
      <c r="BN280">
        <f>IF(AND(AN280=ReachLabel,BB280=1),AS280,0)</f>
        <v>0</v>
      </c>
      <c r="BO280">
        <f>IF(AND(AN280=MatchLabel,BB280=1),AS280,0)</f>
        <v>0</v>
      </c>
      <c r="BP280">
        <f>IF(AND(AN280=SafetyLabel,BB280=1),AS280,0)</f>
        <v>0</v>
      </c>
      <c r="BQ280">
        <f>IF(AND(AN280=SecureLabel,BB280=1),AS280,0)</f>
        <v>0</v>
      </c>
      <c r="BR280">
        <f>IF(AND(AN280=SureThingLabel,BB280=1),AS280,0)</f>
        <v>0</v>
      </c>
      <c r="BS280">
        <f>MAX(BN280:BR280)</f>
        <v>0</v>
      </c>
      <c r="BT280">
        <f>MAX(BO280:BR280)</f>
        <v>0</v>
      </c>
      <c r="BU280">
        <f>MAX(BP280:BR280)</f>
        <v>0</v>
      </c>
      <c r="BV280">
        <f>IF(ISNUMBER(AB280),INDEX(AllCollegeChicago, MATCH(N280,AllCollegeNCES,0))*BB280,0)</f>
        <v>0</v>
      </c>
      <c r="BW280">
        <f>IF(ISNUMBER(AB280),INDEX(AllCollegeMoneyCode, MATCH(N280,AllCollegeNCES,0)),"?")</f>
        <v>0</v>
      </c>
      <c r="BX280">
        <f>IF(OR(BW280="---",BW280="--",BW280="+/--",BW280="+/---"),1,0)</f>
        <v>0</v>
      </c>
      <c r="BY280">
        <f>BB280*AR280*AT280</f>
        <v>0</v>
      </c>
    </row>
    <row r="281" spans="1:77">
      <c r="A281" t="s">
        <v>96</v>
      </c>
      <c r="B281">
        <v>23038357</v>
      </c>
      <c r="C281" t="s">
        <v>309</v>
      </c>
      <c r="D281" t="s">
        <v>310</v>
      </c>
      <c r="E281" t="s">
        <v>446</v>
      </c>
      <c r="F281" t="s">
        <v>493</v>
      </c>
      <c r="G281" t="s">
        <v>448</v>
      </c>
      <c r="H281" t="s">
        <v>449</v>
      </c>
      <c r="I281" t="s">
        <v>450</v>
      </c>
      <c r="J281" t="s">
        <v>450</v>
      </c>
      <c r="K281">
        <v>0</v>
      </c>
      <c r="L281" t="s">
        <v>446</v>
      </c>
      <c r="M281" t="s">
        <v>446</v>
      </c>
      <c r="N281">
        <v>147767</v>
      </c>
      <c r="O281">
        <f>INDEX(Counselor,MATCH(B281,KidIDs,0))</f>
        <v>0</v>
      </c>
      <c r="P281">
        <f>INDEX(Advisors,MATCH(B281,KidIDs,0))</f>
        <v>0</v>
      </c>
      <c r="Q281">
        <f>INDEX(Cohort,MATCH(B281,KidIDs,0))</f>
        <v>0</v>
      </c>
      <c r="R281">
        <f>INDEX(AllCollegeBarrons,MATCH(N281,AllCollegeNCES,0))</f>
        <v>0</v>
      </c>
      <c r="S281">
        <f>INDEX(KidGPAs,MATCH(B281,KidIDs,0))</f>
        <v>0</v>
      </c>
      <c r="T281">
        <f>INDEX(KidSATs,MATCH(B281,KidIDs,0))</f>
        <v>0</v>
      </c>
      <c r="U281">
        <f>INDEX(Strats,MATCH(B281,KidIDs,0))</f>
        <v>0</v>
      </c>
      <c r="V281">
        <f>INDEX(KidRace,MATCH(B281,KidIDs,0))</f>
        <v>0</v>
      </c>
      <c r="W281">
        <f>IF(OR(V281="M",V281="I"),"H",IF(V281="P","A",V281))</f>
        <v>0</v>
      </c>
      <c r="X281">
        <f>INDEX(StudentTargets,MATCH(B281,KidIDs,0))</f>
        <v>0</v>
      </c>
      <c r="Y281">
        <f>INDEX(ReachStudentTargets,MATCH(B281,KidIDs,0))</f>
        <v>0</v>
      </c>
      <c r="Z281">
        <f>IF(OR(M281="Posse"),1,0)</f>
        <v>0</v>
      </c>
      <c r="AA281">
        <f>IF(ISNUMBER(INDEX(AllCollegeGR, MATCH(N281,AllCollegeNCES,0))),ROUND(INDEX(AllCollegeGR, MATCH(N281,AllCollegeNCES,0))+Z281*IF(INDEX(AllCollegeGR, MATCH(N281,AllCollegeNCES,0))&gt;0.7,(1-INDEX(AllCollegeGR, MATCH(N281,AllCollegeNCES,0)))/2,0.15),2),INDEX(AllCollegeGR, MATCH(N281,AllCollegeNCES,0)))</f>
        <v>0</v>
      </c>
      <c r="AB281">
        <f>IF(ISNUMBER(INDEX(AllCollegeAAHGR, MATCH(N281,AllCollegeNCES,0))),ROUND(INDEX(AllCollegeAAHGR, MATCH(N281,AllCollegeNCES,0))+Z281*IF(INDEX(AllCollegeAAHGR, MATCH(N281,AllCollegeNCES,0))&gt;0.7,(1-INDEX(AllCollegeAAHGR, MATCH(N281,AllCollegeNCES,0)))/2,0.15),2),INDEX(AllCollegeAAHGR, MATCH(N281,AllCollegeNCES,0)))</f>
        <v>0</v>
      </c>
      <c r="AC281">
        <f>IF(OR(W281="H",W281="B"),INDEX(AllCollegeSAT25, MATCH(N281,AllCollegeNCES,0)),INDEX(AllCollegeSAT50, MATCH(N281,AllCollegeNCES,0)))</f>
        <v>0</v>
      </c>
      <c r="AD281">
        <f>INDEX(CustomWeightsGPA,MATCH(W281&amp;":"&amp;N281,CustomWeightsIndex,0))</f>
        <v>0</v>
      </c>
      <c r="AE281">
        <f>INDEX(CustomWeightsSAT,MATCH(W281&amp;":"&amp;N281,CustomWeightsIndex,0))</f>
        <v>0</v>
      </c>
      <c r="AF281">
        <f>INDEX(CustomWeightsIntercept,MATCH(W281&amp;":"&amp;N281,CustomWeightsIndex,0))</f>
        <v>0</v>
      </c>
      <c r="AG281">
        <f>AD281*S281+AE281*T281+AF281</f>
        <v>0</v>
      </c>
      <c r="AH281">
        <f>INDEX(CoefficientsGPA,MATCH(W281&amp;":"&amp;R281,CoefficientsIndex,0))</f>
        <v>0</v>
      </c>
      <c r="AI281">
        <f>INDEX(CoefficientsSAT,MATCH(W281&amp;":"&amp;R281,CoefficientsIndex,0))</f>
        <v>0</v>
      </c>
      <c r="AJ281">
        <f>INDEX(CoefficientsIntercept,MATCH(W281&amp;":"&amp;R281,CoefficientsIndex,0))</f>
        <v>0</v>
      </c>
      <c r="AK281">
        <f>AH281*S281+(T281-AC281)*AI281+AJ281</f>
        <v>0</v>
      </c>
      <c r="AL281">
        <f>IF(ISNUMBER(AG281),AG281,AK281)</f>
        <v>0</v>
      </c>
      <c r="AM281">
        <f>IF(ISNUMBER(AL281),IF(ISNUMBER(AH281),IF(AND(AH281=1,AI281=1,AJ281=1),100,MIN(99,ROUND(100*EXP(AL281)/(1+EXP(AL281)),2))),MIN(99,ROUND(100*EXP(AL281)/(1+EXP(AL281)),2))),IF(ISTEXT(R281),IF(LEFT(R281,1)="2",100,"N/A"),"N/A"))</f>
        <v>0</v>
      </c>
      <c r="AN281">
        <f>IF(ISNUMBER(AM281),IF(AM281&gt;=99,IF(OR(U281=10,U281=11),MatchLabel,SureThingLabel),IF(AM281&gt;=95,SecureLabel,IF(AM281&gt;=80,SafetyLabel,IF(AM281&gt;=50,MatchLabel,IF(AM281&gt;=20,ReachLabel,IF(AM281&gt;=10,LongshotLabel,HailMaryLabel)))))),"Other")</f>
        <v>0</v>
      </c>
      <c r="AO281">
        <f>IF(OR(I281="accepted",I281="cond. accept",I281="summer admit"),IF(J281="yes","CHOICE!","Accepted!"),IF(I281="guar. transfer","Guar. Xfer",IF(I281="denied","Denied",IF(K281=1,"Waitlist",IF(L281=1,"Deferred",IF(G281="pending","Pending",IF(OR(G281="initial materials submitted",G281="mid-year submitted",G281="final submitted"),"Submitted",IF(H281="interest","Interest","?"))))))))</f>
        <v>0</v>
      </c>
      <c r="AP281">
        <f>IF(OR(AN281=ReachLabel,AN281=LongshotLabel,AN281=HailMaryLabel),1,0)</f>
        <v>0</v>
      </c>
      <c r="AQ281">
        <f>IF(OR(AP281=1,AN281=MatchLabel),1,0)</f>
        <v>0</v>
      </c>
      <c r="AR281">
        <f>IF(OR(AN281=MatchLabel,AN281=SafetyLabel,AN281=SecureLabel,AN281=SureThingLabel),1,0)</f>
        <v>0</v>
      </c>
      <c r="AS281">
        <f>IF(OR(W281="H",W281="B",W281="I",W281="M"),IF(ISNUMBER(AB281),ROUND(AB281,2),0),IF(ISNUMBER(AA281),ROUND(AA281,2),0))</f>
        <v>0</v>
      </c>
      <c r="AT281">
        <f>IF(AS281&gt;=X281,1,0)</f>
        <v>0</v>
      </c>
      <c r="AU281">
        <f>IF(AS281&gt;=Y281,1,0)</f>
        <v>0</v>
      </c>
      <c r="AV281">
        <f>IF(AS281&lt;(X281-0.10),1,0)</f>
        <v>0</v>
      </c>
      <c r="AW281">
        <f>1-AM281/100</f>
        <v>0</v>
      </c>
      <c r="AX281">
        <f>IF(AQ281=1,AW281,1)</f>
        <v>0</v>
      </c>
      <c r="AY281">
        <f>IF(AP281=1,AW281,1)</f>
        <v>0</v>
      </c>
      <c r="AZ281">
        <f>IF(AND(AT281=1,ISNUMBER(AW281)),$AW281,1)</f>
        <v>0</v>
      </c>
      <c r="BA281">
        <f>IF(AND(AU281=1,ISNUMBER(AW281)),$AW281,1)</f>
        <v>0</v>
      </c>
      <c r="BB281">
        <f>IF(ISNUMBER(AB281),INDEX(AllCollegeMoney, MATCH(N281,AllCollegeNCES,0)),0)</f>
        <v>0</v>
      </c>
      <c r="BC281">
        <f>IF(AND(AT281=1,ISNUMBER(AW281),BB281=1),$AW281,1)</f>
        <v>0</v>
      </c>
      <c r="BD281">
        <f>IF(AND(AU281=1,ISNUMBER(AW281),BB281=1),$AW281,1)</f>
        <v>0</v>
      </c>
      <c r="BE281">
        <f>IF(ISNUMBER(AB281),INDEX(AllCollegeILPub, MATCH(N281,AllCollegeNCES,0)),0)</f>
        <v>0</v>
      </c>
      <c r="BF281">
        <f>IF(AN281=ReachLabel,AS281,0)</f>
        <v>0</v>
      </c>
      <c r="BG281">
        <f>IF(AN281=MatchLabel,AS281,0)</f>
        <v>0</v>
      </c>
      <c r="BH281">
        <f>IF(AN281=SafetyLabel,AS281,0)</f>
        <v>0</v>
      </c>
      <c r="BI281">
        <f>IF(AN281=SecureLabel,AS281,0)</f>
        <v>0</v>
      </c>
      <c r="BJ281">
        <f>IF(AN281=SureThingLabel,AS281,0)</f>
        <v>0</v>
      </c>
      <c r="BK281">
        <f>MAX(BF281:BJ281)</f>
        <v>0</v>
      </c>
      <c r="BL281">
        <f>MAX(BG281:BJ281)</f>
        <v>0</v>
      </c>
      <c r="BM281">
        <f>MAX(BH281:BJ281)</f>
        <v>0</v>
      </c>
      <c r="BN281">
        <f>IF(AND(AN281=ReachLabel,BB281=1),AS281,0)</f>
        <v>0</v>
      </c>
      <c r="BO281">
        <f>IF(AND(AN281=MatchLabel,BB281=1),AS281,0)</f>
        <v>0</v>
      </c>
      <c r="BP281">
        <f>IF(AND(AN281=SafetyLabel,BB281=1),AS281,0)</f>
        <v>0</v>
      </c>
      <c r="BQ281">
        <f>IF(AND(AN281=SecureLabel,BB281=1),AS281,0)</f>
        <v>0</v>
      </c>
      <c r="BR281">
        <f>IF(AND(AN281=SureThingLabel,BB281=1),AS281,0)</f>
        <v>0</v>
      </c>
      <c r="BS281">
        <f>MAX(BN281:BR281)</f>
        <v>0</v>
      </c>
      <c r="BT281">
        <f>MAX(BO281:BR281)</f>
        <v>0</v>
      </c>
      <c r="BU281">
        <f>MAX(BP281:BR281)</f>
        <v>0</v>
      </c>
      <c r="BV281">
        <f>IF(ISNUMBER(AB281),INDEX(AllCollegeChicago, MATCH(N281,AllCollegeNCES,0))*BB281,0)</f>
        <v>0</v>
      </c>
      <c r="BW281">
        <f>IF(ISNUMBER(AB281),INDEX(AllCollegeMoneyCode, MATCH(N281,AllCollegeNCES,0)),"?")</f>
        <v>0</v>
      </c>
      <c r="BX281">
        <f>IF(OR(BW281="---",BW281="--",BW281="+/--",BW281="+/---"),1,0)</f>
        <v>0</v>
      </c>
      <c r="BY281">
        <f>BB281*AR281*AT281</f>
        <v>0</v>
      </c>
    </row>
    <row r="282" spans="1:77">
      <c r="A282" t="s">
        <v>96</v>
      </c>
      <c r="B282">
        <v>23038357</v>
      </c>
      <c r="C282" t="s">
        <v>309</v>
      </c>
      <c r="D282" t="s">
        <v>310</v>
      </c>
      <c r="E282" t="s">
        <v>446</v>
      </c>
      <c r="F282" t="s">
        <v>475</v>
      </c>
      <c r="G282" t="s">
        <v>479</v>
      </c>
      <c r="H282" t="s">
        <v>449</v>
      </c>
      <c r="I282" t="s">
        <v>450</v>
      </c>
      <c r="J282" t="s">
        <v>450</v>
      </c>
      <c r="K282">
        <v>0</v>
      </c>
      <c r="L282" t="s">
        <v>446</v>
      </c>
      <c r="M282" t="s">
        <v>446</v>
      </c>
      <c r="N282">
        <v>145637</v>
      </c>
      <c r="O282">
        <f>INDEX(Counselor,MATCH(B282,KidIDs,0))</f>
        <v>0</v>
      </c>
      <c r="P282">
        <f>INDEX(Advisors,MATCH(B282,KidIDs,0))</f>
        <v>0</v>
      </c>
      <c r="Q282">
        <f>INDEX(Cohort,MATCH(B282,KidIDs,0))</f>
        <v>0</v>
      </c>
      <c r="R282">
        <f>INDEX(AllCollegeBarrons,MATCH(N282,AllCollegeNCES,0))</f>
        <v>0</v>
      </c>
      <c r="S282">
        <f>INDEX(KidGPAs,MATCH(B282,KidIDs,0))</f>
        <v>0</v>
      </c>
      <c r="T282">
        <f>INDEX(KidSATs,MATCH(B282,KidIDs,0))</f>
        <v>0</v>
      </c>
      <c r="U282">
        <f>INDEX(Strats,MATCH(B282,KidIDs,0))</f>
        <v>0</v>
      </c>
      <c r="V282">
        <f>INDEX(KidRace,MATCH(B282,KidIDs,0))</f>
        <v>0</v>
      </c>
      <c r="W282">
        <f>IF(OR(V282="M",V282="I"),"H",IF(V282="P","A",V282))</f>
        <v>0</v>
      </c>
      <c r="X282">
        <f>INDEX(StudentTargets,MATCH(B282,KidIDs,0))</f>
        <v>0</v>
      </c>
      <c r="Y282">
        <f>INDEX(ReachStudentTargets,MATCH(B282,KidIDs,0))</f>
        <v>0</v>
      </c>
      <c r="Z282">
        <f>IF(OR(M282="Posse"),1,0)</f>
        <v>0</v>
      </c>
      <c r="AA282">
        <f>IF(ISNUMBER(INDEX(AllCollegeGR, MATCH(N282,AllCollegeNCES,0))),ROUND(INDEX(AllCollegeGR, MATCH(N282,AllCollegeNCES,0))+Z282*IF(INDEX(AllCollegeGR, MATCH(N282,AllCollegeNCES,0))&gt;0.7,(1-INDEX(AllCollegeGR, MATCH(N282,AllCollegeNCES,0)))/2,0.15),2),INDEX(AllCollegeGR, MATCH(N282,AllCollegeNCES,0)))</f>
        <v>0</v>
      </c>
      <c r="AB282">
        <f>IF(ISNUMBER(INDEX(AllCollegeAAHGR, MATCH(N282,AllCollegeNCES,0))),ROUND(INDEX(AllCollegeAAHGR, MATCH(N282,AllCollegeNCES,0))+Z282*IF(INDEX(AllCollegeAAHGR, MATCH(N282,AllCollegeNCES,0))&gt;0.7,(1-INDEX(AllCollegeAAHGR, MATCH(N282,AllCollegeNCES,0)))/2,0.15),2),INDEX(AllCollegeAAHGR, MATCH(N282,AllCollegeNCES,0)))</f>
        <v>0</v>
      </c>
      <c r="AC282">
        <f>IF(OR(W282="H",W282="B"),INDEX(AllCollegeSAT25, MATCH(N282,AllCollegeNCES,0)),INDEX(AllCollegeSAT50, MATCH(N282,AllCollegeNCES,0)))</f>
        <v>0</v>
      </c>
      <c r="AD282">
        <f>INDEX(CustomWeightsGPA,MATCH(W282&amp;":"&amp;N282,CustomWeightsIndex,0))</f>
        <v>0</v>
      </c>
      <c r="AE282">
        <f>INDEX(CustomWeightsSAT,MATCH(W282&amp;":"&amp;N282,CustomWeightsIndex,0))</f>
        <v>0</v>
      </c>
      <c r="AF282">
        <f>INDEX(CustomWeightsIntercept,MATCH(W282&amp;":"&amp;N282,CustomWeightsIndex,0))</f>
        <v>0</v>
      </c>
      <c r="AG282">
        <f>AD282*S282+AE282*T282+AF282</f>
        <v>0</v>
      </c>
      <c r="AH282">
        <f>INDEX(CoefficientsGPA,MATCH(W282&amp;":"&amp;R282,CoefficientsIndex,0))</f>
        <v>0</v>
      </c>
      <c r="AI282">
        <f>INDEX(CoefficientsSAT,MATCH(W282&amp;":"&amp;R282,CoefficientsIndex,0))</f>
        <v>0</v>
      </c>
      <c r="AJ282">
        <f>INDEX(CoefficientsIntercept,MATCH(W282&amp;":"&amp;R282,CoefficientsIndex,0))</f>
        <v>0</v>
      </c>
      <c r="AK282">
        <f>AH282*S282+(T282-AC282)*AI282+AJ282</f>
        <v>0</v>
      </c>
      <c r="AL282">
        <f>IF(ISNUMBER(AG282),AG282,AK282)</f>
        <v>0</v>
      </c>
      <c r="AM282">
        <f>IF(ISNUMBER(AL282),IF(ISNUMBER(AH282),IF(AND(AH282=1,AI282=1,AJ282=1),100,MIN(99,ROUND(100*EXP(AL282)/(1+EXP(AL282)),2))),MIN(99,ROUND(100*EXP(AL282)/(1+EXP(AL282)),2))),IF(ISTEXT(R282),IF(LEFT(R282,1)="2",100,"N/A"),"N/A"))</f>
        <v>0</v>
      </c>
      <c r="AN282">
        <f>IF(ISNUMBER(AM282),IF(AM282&gt;=99,IF(OR(U282=10,U282=11),MatchLabel,SureThingLabel),IF(AM282&gt;=95,SecureLabel,IF(AM282&gt;=80,SafetyLabel,IF(AM282&gt;=50,MatchLabel,IF(AM282&gt;=20,ReachLabel,IF(AM282&gt;=10,LongshotLabel,HailMaryLabel)))))),"Other")</f>
        <v>0</v>
      </c>
      <c r="AO282">
        <f>IF(OR(I282="accepted",I282="cond. accept",I282="summer admit"),IF(J282="yes","CHOICE!","Accepted!"),IF(I282="guar. transfer","Guar. Xfer",IF(I282="denied","Denied",IF(K282=1,"Waitlist",IF(L282=1,"Deferred",IF(G282="pending","Pending",IF(OR(G282="initial materials submitted",G282="mid-year submitted",G282="final submitted"),"Submitted",IF(H282="interest","Interest","?"))))))))</f>
        <v>0</v>
      </c>
      <c r="AP282">
        <f>IF(OR(AN282=ReachLabel,AN282=LongshotLabel,AN282=HailMaryLabel),1,0)</f>
        <v>0</v>
      </c>
      <c r="AQ282">
        <f>IF(OR(AP282=1,AN282=MatchLabel),1,0)</f>
        <v>0</v>
      </c>
      <c r="AR282">
        <f>IF(OR(AN282=MatchLabel,AN282=SafetyLabel,AN282=SecureLabel,AN282=SureThingLabel),1,0)</f>
        <v>0</v>
      </c>
      <c r="AS282">
        <f>IF(OR(W282="H",W282="B",W282="I",W282="M"),IF(ISNUMBER(AB282),ROUND(AB282,2),0),IF(ISNUMBER(AA282),ROUND(AA282,2),0))</f>
        <v>0</v>
      </c>
      <c r="AT282">
        <f>IF(AS282&gt;=X282,1,0)</f>
        <v>0</v>
      </c>
      <c r="AU282">
        <f>IF(AS282&gt;=Y282,1,0)</f>
        <v>0</v>
      </c>
      <c r="AV282">
        <f>IF(AS282&lt;(X282-0.10),1,0)</f>
        <v>0</v>
      </c>
      <c r="AW282">
        <f>1-AM282/100</f>
        <v>0</v>
      </c>
      <c r="AX282">
        <f>IF(AQ282=1,AW282,1)</f>
        <v>0</v>
      </c>
      <c r="AY282">
        <f>IF(AP282=1,AW282,1)</f>
        <v>0</v>
      </c>
      <c r="AZ282">
        <f>IF(AND(AT282=1,ISNUMBER(AW282)),$AW282,1)</f>
        <v>0</v>
      </c>
      <c r="BA282">
        <f>IF(AND(AU282=1,ISNUMBER(AW282)),$AW282,1)</f>
        <v>0</v>
      </c>
      <c r="BB282">
        <f>IF(ISNUMBER(AB282),INDEX(AllCollegeMoney, MATCH(N282,AllCollegeNCES,0)),0)</f>
        <v>0</v>
      </c>
      <c r="BC282">
        <f>IF(AND(AT282=1,ISNUMBER(AW282),BB282=1),$AW282,1)</f>
        <v>0</v>
      </c>
      <c r="BD282">
        <f>IF(AND(AU282=1,ISNUMBER(AW282),BB282=1),$AW282,1)</f>
        <v>0</v>
      </c>
      <c r="BE282">
        <f>IF(ISNUMBER(AB282),INDEX(AllCollegeILPub, MATCH(N282,AllCollegeNCES,0)),0)</f>
        <v>0</v>
      </c>
      <c r="BF282">
        <f>IF(AN282=ReachLabel,AS282,0)</f>
        <v>0</v>
      </c>
      <c r="BG282">
        <f>IF(AN282=MatchLabel,AS282,0)</f>
        <v>0</v>
      </c>
      <c r="BH282">
        <f>IF(AN282=SafetyLabel,AS282,0)</f>
        <v>0</v>
      </c>
      <c r="BI282">
        <f>IF(AN282=SecureLabel,AS282,0)</f>
        <v>0</v>
      </c>
      <c r="BJ282">
        <f>IF(AN282=SureThingLabel,AS282,0)</f>
        <v>0</v>
      </c>
      <c r="BK282">
        <f>MAX(BF282:BJ282)</f>
        <v>0</v>
      </c>
      <c r="BL282">
        <f>MAX(BG282:BJ282)</f>
        <v>0</v>
      </c>
      <c r="BM282">
        <f>MAX(BH282:BJ282)</f>
        <v>0</v>
      </c>
      <c r="BN282">
        <f>IF(AND(AN282=ReachLabel,BB282=1),AS282,0)</f>
        <v>0</v>
      </c>
      <c r="BO282">
        <f>IF(AND(AN282=MatchLabel,BB282=1),AS282,0)</f>
        <v>0</v>
      </c>
      <c r="BP282">
        <f>IF(AND(AN282=SafetyLabel,BB282=1),AS282,0)</f>
        <v>0</v>
      </c>
      <c r="BQ282">
        <f>IF(AND(AN282=SecureLabel,BB282=1),AS282,0)</f>
        <v>0</v>
      </c>
      <c r="BR282">
        <f>IF(AND(AN282=SureThingLabel,BB282=1),AS282,0)</f>
        <v>0</v>
      </c>
      <c r="BS282">
        <f>MAX(BN282:BR282)</f>
        <v>0</v>
      </c>
      <c r="BT282">
        <f>MAX(BO282:BR282)</f>
        <v>0</v>
      </c>
      <c r="BU282">
        <f>MAX(BP282:BR282)</f>
        <v>0</v>
      </c>
      <c r="BV282">
        <f>IF(ISNUMBER(AB282),INDEX(AllCollegeChicago, MATCH(N282,AllCollegeNCES,0))*BB282,0)</f>
        <v>0</v>
      </c>
      <c r="BW282">
        <f>IF(ISNUMBER(AB282),INDEX(AllCollegeMoneyCode, MATCH(N282,AllCollegeNCES,0)),"?")</f>
        <v>0</v>
      </c>
      <c r="BX282">
        <f>IF(OR(BW282="---",BW282="--",BW282="+/--",BW282="+/---"),1,0)</f>
        <v>0</v>
      </c>
      <c r="BY282">
        <f>BB282*AR282*AT282</f>
        <v>0</v>
      </c>
    </row>
    <row r="283" spans="1:77">
      <c r="A283" t="s">
        <v>96</v>
      </c>
      <c r="B283">
        <v>23038357</v>
      </c>
      <c r="C283" t="s">
        <v>309</v>
      </c>
      <c r="D283" t="s">
        <v>310</v>
      </c>
      <c r="E283" t="s">
        <v>446</v>
      </c>
      <c r="F283" t="s">
        <v>447</v>
      </c>
      <c r="G283" t="s">
        <v>479</v>
      </c>
      <c r="H283" t="s">
        <v>449</v>
      </c>
      <c r="I283" t="s">
        <v>450</v>
      </c>
      <c r="J283" t="s">
        <v>450</v>
      </c>
      <c r="K283">
        <v>0</v>
      </c>
      <c r="L283" t="s">
        <v>446</v>
      </c>
      <c r="M283" t="s">
        <v>446</v>
      </c>
      <c r="N283">
        <v>148496</v>
      </c>
      <c r="O283">
        <f>INDEX(Counselor,MATCH(B283,KidIDs,0))</f>
        <v>0</v>
      </c>
      <c r="P283">
        <f>INDEX(Advisors,MATCH(B283,KidIDs,0))</f>
        <v>0</v>
      </c>
      <c r="Q283">
        <f>INDEX(Cohort,MATCH(B283,KidIDs,0))</f>
        <v>0</v>
      </c>
      <c r="R283">
        <f>INDEX(AllCollegeBarrons,MATCH(N283,AllCollegeNCES,0))</f>
        <v>0</v>
      </c>
      <c r="S283">
        <f>INDEX(KidGPAs,MATCH(B283,KidIDs,0))</f>
        <v>0</v>
      </c>
      <c r="T283">
        <f>INDEX(KidSATs,MATCH(B283,KidIDs,0))</f>
        <v>0</v>
      </c>
      <c r="U283">
        <f>INDEX(Strats,MATCH(B283,KidIDs,0))</f>
        <v>0</v>
      </c>
      <c r="V283">
        <f>INDEX(KidRace,MATCH(B283,KidIDs,0))</f>
        <v>0</v>
      </c>
      <c r="W283">
        <f>IF(OR(V283="M",V283="I"),"H",IF(V283="P","A",V283))</f>
        <v>0</v>
      </c>
      <c r="X283">
        <f>INDEX(StudentTargets,MATCH(B283,KidIDs,0))</f>
        <v>0</v>
      </c>
      <c r="Y283">
        <f>INDEX(ReachStudentTargets,MATCH(B283,KidIDs,0))</f>
        <v>0</v>
      </c>
      <c r="Z283">
        <f>IF(OR(M283="Posse"),1,0)</f>
        <v>0</v>
      </c>
      <c r="AA283">
        <f>IF(ISNUMBER(INDEX(AllCollegeGR, MATCH(N283,AllCollegeNCES,0))),ROUND(INDEX(AllCollegeGR, MATCH(N283,AllCollegeNCES,0))+Z283*IF(INDEX(AllCollegeGR, MATCH(N283,AllCollegeNCES,0))&gt;0.7,(1-INDEX(AllCollegeGR, MATCH(N283,AllCollegeNCES,0)))/2,0.15),2),INDEX(AllCollegeGR, MATCH(N283,AllCollegeNCES,0)))</f>
        <v>0</v>
      </c>
      <c r="AB283">
        <f>IF(ISNUMBER(INDEX(AllCollegeAAHGR, MATCH(N283,AllCollegeNCES,0))),ROUND(INDEX(AllCollegeAAHGR, MATCH(N283,AllCollegeNCES,0))+Z283*IF(INDEX(AllCollegeAAHGR, MATCH(N283,AllCollegeNCES,0))&gt;0.7,(1-INDEX(AllCollegeAAHGR, MATCH(N283,AllCollegeNCES,0)))/2,0.15),2),INDEX(AllCollegeAAHGR, MATCH(N283,AllCollegeNCES,0)))</f>
        <v>0</v>
      </c>
      <c r="AC283">
        <f>IF(OR(W283="H",W283="B"),INDEX(AllCollegeSAT25, MATCH(N283,AllCollegeNCES,0)),INDEX(AllCollegeSAT50, MATCH(N283,AllCollegeNCES,0)))</f>
        <v>0</v>
      </c>
      <c r="AD283">
        <f>INDEX(CustomWeightsGPA,MATCH(W283&amp;":"&amp;N283,CustomWeightsIndex,0))</f>
        <v>0</v>
      </c>
      <c r="AE283">
        <f>INDEX(CustomWeightsSAT,MATCH(W283&amp;":"&amp;N283,CustomWeightsIndex,0))</f>
        <v>0</v>
      </c>
      <c r="AF283">
        <f>INDEX(CustomWeightsIntercept,MATCH(W283&amp;":"&amp;N283,CustomWeightsIndex,0))</f>
        <v>0</v>
      </c>
      <c r="AG283">
        <f>AD283*S283+AE283*T283+AF283</f>
        <v>0</v>
      </c>
      <c r="AH283">
        <f>INDEX(CoefficientsGPA,MATCH(W283&amp;":"&amp;R283,CoefficientsIndex,0))</f>
        <v>0</v>
      </c>
      <c r="AI283">
        <f>INDEX(CoefficientsSAT,MATCH(W283&amp;":"&amp;R283,CoefficientsIndex,0))</f>
        <v>0</v>
      </c>
      <c r="AJ283">
        <f>INDEX(CoefficientsIntercept,MATCH(W283&amp;":"&amp;R283,CoefficientsIndex,0))</f>
        <v>0</v>
      </c>
      <c r="AK283">
        <f>AH283*S283+(T283-AC283)*AI283+AJ283</f>
        <v>0</v>
      </c>
      <c r="AL283">
        <f>IF(ISNUMBER(AG283),AG283,AK283)</f>
        <v>0</v>
      </c>
      <c r="AM283">
        <f>IF(ISNUMBER(AL283),IF(ISNUMBER(AH283),IF(AND(AH283=1,AI283=1,AJ283=1),100,MIN(99,ROUND(100*EXP(AL283)/(1+EXP(AL283)),2))),MIN(99,ROUND(100*EXP(AL283)/(1+EXP(AL283)),2))),IF(ISTEXT(R283),IF(LEFT(R283,1)="2",100,"N/A"),"N/A"))</f>
        <v>0</v>
      </c>
      <c r="AN283">
        <f>IF(ISNUMBER(AM283),IF(AM283&gt;=99,IF(OR(U283=10,U283=11),MatchLabel,SureThingLabel),IF(AM283&gt;=95,SecureLabel,IF(AM283&gt;=80,SafetyLabel,IF(AM283&gt;=50,MatchLabel,IF(AM283&gt;=20,ReachLabel,IF(AM283&gt;=10,LongshotLabel,HailMaryLabel)))))),"Other")</f>
        <v>0</v>
      </c>
      <c r="AO283">
        <f>IF(OR(I283="accepted",I283="cond. accept",I283="summer admit"),IF(J283="yes","CHOICE!","Accepted!"),IF(I283="guar. transfer","Guar. Xfer",IF(I283="denied","Denied",IF(K283=1,"Waitlist",IF(L283=1,"Deferred",IF(G283="pending","Pending",IF(OR(G283="initial materials submitted",G283="mid-year submitted",G283="final submitted"),"Submitted",IF(H283="interest","Interest","?"))))))))</f>
        <v>0</v>
      </c>
      <c r="AP283">
        <f>IF(OR(AN283=ReachLabel,AN283=LongshotLabel,AN283=HailMaryLabel),1,0)</f>
        <v>0</v>
      </c>
      <c r="AQ283">
        <f>IF(OR(AP283=1,AN283=MatchLabel),1,0)</f>
        <v>0</v>
      </c>
      <c r="AR283">
        <f>IF(OR(AN283=MatchLabel,AN283=SafetyLabel,AN283=SecureLabel,AN283=SureThingLabel),1,0)</f>
        <v>0</v>
      </c>
      <c r="AS283">
        <f>IF(OR(W283="H",W283="B",W283="I",W283="M"),IF(ISNUMBER(AB283),ROUND(AB283,2),0),IF(ISNUMBER(AA283),ROUND(AA283,2),0))</f>
        <v>0</v>
      </c>
      <c r="AT283">
        <f>IF(AS283&gt;=X283,1,0)</f>
        <v>0</v>
      </c>
      <c r="AU283">
        <f>IF(AS283&gt;=Y283,1,0)</f>
        <v>0</v>
      </c>
      <c r="AV283">
        <f>IF(AS283&lt;(X283-0.10),1,0)</f>
        <v>0</v>
      </c>
      <c r="AW283">
        <f>1-AM283/100</f>
        <v>0</v>
      </c>
      <c r="AX283">
        <f>IF(AQ283=1,AW283,1)</f>
        <v>0</v>
      </c>
      <c r="AY283">
        <f>IF(AP283=1,AW283,1)</f>
        <v>0</v>
      </c>
      <c r="AZ283">
        <f>IF(AND(AT283=1,ISNUMBER(AW283)),$AW283,1)</f>
        <v>0</v>
      </c>
      <c r="BA283">
        <f>IF(AND(AU283=1,ISNUMBER(AW283)),$AW283,1)</f>
        <v>0</v>
      </c>
      <c r="BB283">
        <f>IF(ISNUMBER(AB283),INDEX(AllCollegeMoney, MATCH(N283,AllCollegeNCES,0)),0)</f>
        <v>0</v>
      </c>
      <c r="BC283">
        <f>IF(AND(AT283=1,ISNUMBER(AW283),BB283=1),$AW283,1)</f>
        <v>0</v>
      </c>
      <c r="BD283">
        <f>IF(AND(AU283=1,ISNUMBER(AW283),BB283=1),$AW283,1)</f>
        <v>0</v>
      </c>
      <c r="BE283">
        <f>IF(ISNUMBER(AB283),INDEX(AllCollegeILPub, MATCH(N283,AllCollegeNCES,0)),0)</f>
        <v>0</v>
      </c>
      <c r="BF283">
        <f>IF(AN283=ReachLabel,AS283,0)</f>
        <v>0</v>
      </c>
      <c r="BG283">
        <f>IF(AN283=MatchLabel,AS283,0)</f>
        <v>0</v>
      </c>
      <c r="BH283">
        <f>IF(AN283=SafetyLabel,AS283,0)</f>
        <v>0</v>
      </c>
      <c r="BI283">
        <f>IF(AN283=SecureLabel,AS283,0)</f>
        <v>0</v>
      </c>
      <c r="BJ283">
        <f>IF(AN283=SureThingLabel,AS283,0)</f>
        <v>0</v>
      </c>
      <c r="BK283">
        <f>MAX(BF283:BJ283)</f>
        <v>0</v>
      </c>
      <c r="BL283">
        <f>MAX(BG283:BJ283)</f>
        <v>0</v>
      </c>
      <c r="BM283">
        <f>MAX(BH283:BJ283)</f>
        <v>0</v>
      </c>
      <c r="BN283">
        <f>IF(AND(AN283=ReachLabel,BB283=1),AS283,0)</f>
        <v>0</v>
      </c>
      <c r="BO283">
        <f>IF(AND(AN283=MatchLabel,BB283=1),AS283,0)</f>
        <v>0</v>
      </c>
      <c r="BP283">
        <f>IF(AND(AN283=SafetyLabel,BB283=1),AS283,0)</f>
        <v>0</v>
      </c>
      <c r="BQ283">
        <f>IF(AND(AN283=SecureLabel,BB283=1),AS283,0)</f>
        <v>0</v>
      </c>
      <c r="BR283">
        <f>IF(AND(AN283=SureThingLabel,BB283=1),AS283,0)</f>
        <v>0</v>
      </c>
      <c r="BS283">
        <f>MAX(BN283:BR283)</f>
        <v>0</v>
      </c>
      <c r="BT283">
        <f>MAX(BO283:BR283)</f>
        <v>0</v>
      </c>
      <c r="BU283">
        <f>MAX(BP283:BR283)</f>
        <v>0</v>
      </c>
      <c r="BV283">
        <f>IF(ISNUMBER(AB283),INDEX(AllCollegeChicago, MATCH(N283,AllCollegeNCES,0))*BB283,0)</f>
        <v>0</v>
      </c>
      <c r="BW283">
        <f>IF(ISNUMBER(AB283),INDEX(AllCollegeMoneyCode, MATCH(N283,AllCollegeNCES,0)),"?")</f>
        <v>0</v>
      </c>
      <c r="BX283">
        <f>IF(OR(BW283="---",BW283="--",BW283="+/--",BW283="+/---"),1,0)</f>
        <v>0</v>
      </c>
      <c r="BY283">
        <f>BB283*AR283*AT283</f>
        <v>0</v>
      </c>
    </row>
    <row r="284" spans="1:77">
      <c r="A284" t="s">
        <v>96</v>
      </c>
      <c r="B284">
        <v>23038357</v>
      </c>
      <c r="C284" t="s">
        <v>309</v>
      </c>
      <c r="D284" t="s">
        <v>310</v>
      </c>
      <c r="E284" t="s">
        <v>446</v>
      </c>
      <c r="F284" t="s">
        <v>540</v>
      </c>
      <c r="G284" t="s">
        <v>479</v>
      </c>
      <c r="H284" t="s">
        <v>449</v>
      </c>
      <c r="I284" t="s">
        <v>450</v>
      </c>
      <c r="J284" t="s">
        <v>450</v>
      </c>
      <c r="K284">
        <v>0</v>
      </c>
      <c r="L284" t="s">
        <v>446</v>
      </c>
      <c r="M284" t="s">
        <v>446</v>
      </c>
      <c r="N284">
        <v>152390</v>
      </c>
      <c r="O284">
        <f>INDEX(Counselor,MATCH(B284,KidIDs,0))</f>
        <v>0</v>
      </c>
      <c r="P284">
        <f>INDEX(Advisors,MATCH(B284,KidIDs,0))</f>
        <v>0</v>
      </c>
      <c r="Q284">
        <f>INDEX(Cohort,MATCH(B284,KidIDs,0))</f>
        <v>0</v>
      </c>
      <c r="R284">
        <f>INDEX(AllCollegeBarrons,MATCH(N284,AllCollegeNCES,0))</f>
        <v>0</v>
      </c>
      <c r="S284">
        <f>INDEX(KidGPAs,MATCH(B284,KidIDs,0))</f>
        <v>0</v>
      </c>
      <c r="T284">
        <f>INDEX(KidSATs,MATCH(B284,KidIDs,0))</f>
        <v>0</v>
      </c>
      <c r="U284">
        <f>INDEX(Strats,MATCH(B284,KidIDs,0))</f>
        <v>0</v>
      </c>
      <c r="V284">
        <f>INDEX(KidRace,MATCH(B284,KidIDs,0))</f>
        <v>0</v>
      </c>
      <c r="W284">
        <f>IF(OR(V284="M",V284="I"),"H",IF(V284="P","A",V284))</f>
        <v>0</v>
      </c>
      <c r="X284">
        <f>INDEX(StudentTargets,MATCH(B284,KidIDs,0))</f>
        <v>0</v>
      </c>
      <c r="Y284">
        <f>INDEX(ReachStudentTargets,MATCH(B284,KidIDs,0))</f>
        <v>0</v>
      </c>
      <c r="Z284">
        <f>IF(OR(M284="Posse"),1,0)</f>
        <v>0</v>
      </c>
      <c r="AA284">
        <f>IF(ISNUMBER(INDEX(AllCollegeGR, MATCH(N284,AllCollegeNCES,0))),ROUND(INDEX(AllCollegeGR, MATCH(N284,AllCollegeNCES,0))+Z284*IF(INDEX(AllCollegeGR, MATCH(N284,AllCollegeNCES,0))&gt;0.7,(1-INDEX(AllCollegeGR, MATCH(N284,AllCollegeNCES,0)))/2,0.15),2),INDEX(AllCollegeGR, MATCH(N284,AllCollegeNCES,0)))</f>
        <v>0</v>
      </c>
      <c r="AB284">
        <f>IF(ISNUMBER(INDEX(AllCollegeAAHGR, MATCH(N284,AllCollegeNCES,0))),ROUND(INDEX(AllCollegeAAHGR, MATCH(N284,AllCollegeNCES,0))+Z284*IF(INDEX(AllCollegeAAHGR, MATCH(N284,AllCollegeNCES,0))&gt;0.7,(1-INDEX(AllCollegeAAHGR, MATCH(N284,AllCollegeNCES,0)))/2,0.15),2),INDEX(AllCollegeAAHGR, MATCH(N284,AllCollegeNCES,0)))</f>
        <v>0</v>
      </c>
      <c r="AC284">
        <f>IF(OR(W284="H",W284="B"),INDEX(AllCollegeSAT25, MATCH(N284,AllCollegeNCES,0)),INDEX(AllCollegeSAT50, MATCH(N284,AllCollegeNCES,0)))</f>
        <v>0</v>
      </c>
      <c r="AD284">
        <f>INDEX(CustomWeightsGPA,MATCH(W284&amp;":"&amp;N284,CustomWeightsIndex,0))</f>
        <v>0</v>
      </c>
      <c r="AE284">
        <f>INDEX(CustomWeightsSAT,MATCH(W284&amp;":"&amp;N284,CustomWeightsIndex,0))</f>
        <v>0</v>
      </c>
      <c r="AF284">
        <f>INDEX(CustomWeightsIntercept,MATCH(W284&amp;":"&amp;N284,CustomWeightsIndex,0))</f>
        <v>0</v>
      </c>
      <c r="AG284">
        <f>AD284*S284+AE284*T284+AF284</f>
        <v>0</v>
      </c>
      <c r="AH284">
        <f>INDEX(CoefficientsGPA,MATCH(W284&amp;":"&amp;R284,CoefficientsIndex,0))</f>
        <v>0</v>
      </c>
      <c r="AI284">
        <f>INDEX(CoefficientsSAT,MATCH(W284&amp;":"&amp;R284,CoefficientsIndex,0))</f>
        <v>0</v>
      </c>
      <c r="AJ284">
        <f>INDEX(CoefficientsIntercept,MATCH(W284&amp;":"&amp;R284,CoefficientsIndex,0))</f>
        <v>0</v>
      </c>
      <c r="AK284">
        <f>AH284*S284+(T284-AC284)*AI284+AJ284</f>
        <v>0</v>
      </c>
      <c r="AL284">
        <f>IF(ISNUMBER(AG284),AG284,AK284)</f>
        <v>0</v>
      </c>
      <c r="AM284">
        <f>IF(ISNUMBER(AL284),IF(ISNUMBER(AH284),IF(AND(AH284=1,AI284=1,AJ284=1),100,MIN(99,ROUND(100*EXP(AL284)/(1+EXP(AL284)),2))),MIN(99,ROUND(100*EXP(AL284)/(1+EXP(AL284)),2))),IF(ISTEXT(R284),IF(LEFT(R284,1)="2",100,"N/A"),"N/A"))</f>
        <v>0</v>
      </c>
      <c r="AN284">
        <f>IF(ISNUMBER(AM284),IF(AM284&gt;=99,IF(OR(U284=10,U284=11),MatchLabel,SureThingLabel),IF(AM284&gt;=95,SecureLabel,IF(AM284&gt;=80,SafetyLabel,IF(AM284&gt;=50,MatchLabel,IF(AM284&gt;=20,ReachLabel,IF(AM284&gt;=10,LongshotLabel,HailMaryLabel)))))),"Other")</f>
        <v>0</v>
      </c>
      <c r="AO284">
        <f>IF(OR(I284="accepted",I284="cond. accept",I284="summer admit"),IF(J284="yes","CHOICE!","Accepted!"),IF(I284="guar. transfer","Guar. Xfer",IF(I284="denied","Denied",IF(K284=1,"Waitlist",IF(L284=1,"Deferred",IF(G284="pending","Pending",IF(OR(G284="initial materials submitted",G284="mid-year submitted",G284="final submitted"),"Submitted",IF(H284="interest","Interest","?"))))))))</f>
        <v>0</v>
      </c>
      <c r="AP284">
        <f>IF(OR(AN284=ReachLabel,AN284=LongshotLabel,AN284=HailMaryLabel),1,0)</f>
        <v>0</v>
      </c>
      <c r="AQ284">
        <f>IF(OR(AP284=1,AN284=MatchLabel),1,0)</f>
        <v>0</v>
      </c>
      <c r="AR284">
        <f>IF(OR(AN284=MatchLabel,AN284=SafetyLabel,AN284=SecureLabel,AN284=SureThingLabel),1,0)</f>
        <v>0</v>
      </c>
      <c r="AS284">
        <f>IF(OR(W284="H",W284="B",W284="I",W284="M"),IF(ISNUMBER(AB284),ROUND(AB284,2),0),IF(ISNUMBER(AA284),ROUND(AA284,2),0))</f>
        <v>0</v>
      </c>
      <c r="AT284">
        <f>IF(AS284&gt;=X284,1,0)</f>
        <v>0</v>
      </c>
      <c r="AU284">
        <f>IF(AS284&gt;=Y284,1,0)</f>
        <v>0</v>
      </c>
      <c r="AV284">
        <f>IF(AS284&lt;(X284-0.10),1,0)</f>
        <v>0</v>
      </c>
      <c r="AW284">
        <f>1-AM284/100</f>
        <v>0</v>
      </c>
      <c r="AX284">
        <f>IF(AQ284=1,AW284,1)</f>
        <v>0</v>
      </c>
      <c r="AY284">
        <f>IF(AP284=1,AW284,1)</f>
        <v>0</v>
      </c>
      <c r="AZ284">
        <f>IF(AND(AT284=1,ISNUMBER(AW284)),$AW284,1)</f>
        <v>0</v>
      </c>
      <c r="BA284">
        <f>IF(AND(AU284=1,ISNUMBER(AW284)),$AW284,1)</f>
        <v>0</v>
      </c>
      <c r="BB284">
        <f>IF(ISNUMBER(AB284),INDEX(AllCollegeMoney, MATCH(N284,AllCollegeNCES,0)),0)</f>
        <v>0</v>
      </c>
      <c r="BC284">
        <f>IF(AND(AT284=1,ISNUMBER(AW284),BB284=1),$AW284,1)</f>
        <v>0</v>
      </c>
      <c r="BD284">
        <f>IF(AND(AU284=1,ISNUMBER(AW284),BB284=1),$AW284,1)</f>
        <v>0</v>
      </c>
      <c r="BE284">
        <f>IF(ISNUMBER(AB284),INDEX(AllCollegeILPub, MATCH(N284,AllCollegeNCES,0)),0)</f>
        <v>0</v>
      </c>
      <c r="BF284">
        <f>IF(AN284=ReachLabel,AS284,0)</f>
        <v>0</v>
      </c>
      <c r="BG284">
        <f>IF(AN284=MatchLabel,AS284,0)</f>
        <v>0</v>
      </c>
      <c r="BH284">
        <f>IF(AN284=SafetyLabel,AS284,0)</f>
        <v>0</v>
      </c>
      <c r="BI284">
        <f>IF(AN284=SecureLabel,AS284,0)</f>
        <v>0</v>
      </c>
      <c r="BJ284">
        <f>IF(AN284=SureThingLabel,AS284,0)</f>
        <v>0</v>
      </c>
      <c r="BK284">
        <f>MAX(BF284:BJ284)</f>
        <v>0</v>
      </c>
      <c r="BL284">
        <f>MAX(BG284:BJ284)</f>
        <v>0</v>
      </c>
      <c r="BM284">
        <f>MAX(BH284:BJ284)</f>
        <v>0</v>
      </c>
      <c r="BN284">
        <f>IF(AND(AN284=ReachLabel,BB284=1),AS284,0)</f>
        <v>0</v>
      </c>
      <c r="BO284">
        <f>IF(AND(AN284=MatchLabel,BB284=1),AS284,0)</f>
        <v>0</v>
      </c>
      <c r="BP284">
        <f>IF(AND(AN284=SafetyLabel,BB284=1),AS284,0)</f>
        <v>0</v>
      </c>
      <c r="BQ284">
        <f>IF(AND(AN284=SecureLabel,BB284=1),AS284,0)</f>
        <v>0</v>
      </c>
      <c r="BR284">
        <f>IF(AND(AN284=SureThingLabel,BB284=1),AS284,0)</f>
        <v>0</v>
      </c>
      <c r="BS284">
        <f>MAX(BN284:BR284)</f>
        <v>0</v>
      </c>
      <c r="BT284">
        <f>MAX(BO284:BR284)</f>
        <v>0</v>
      </c>
      <c r="BU284">
        <f>MAX(BP284:BR284)</f>
        <v>0</v>
      </c>
      <c r="BV284">
        <f>IF(ISNUMBER(AB284),INDEX(AllCollegeChicago, MATCH(N284,AllCollegeNCES,0))*BB284,0)</f>
        <v>0</v>
      </c>
      <c r="BW284">
        <f>IF(ISNUMBER(AB284),INDEX(AllCollegeMoneyCode, MATCH(N284,AllCollegeNCES,0)),"?")</f>
        <v>0</v>
      </c>
      <c r="BX284">
        <f>IF(OR(BW284="---",BW284="--",BW284="+/--",BW284="+/---"),1,0)</f>
        <v>0</v>
      </c>
      <c r="BY284">
        <f>BB284*AR284*AT284</f>
        <v>0</v>
      </c>
    </row>
    <row r="285" spans="1:77">
      <c r="A285" t="s">
        <v>96</v>
      </c>
      <c r="B285">
        <v>23038357</v>
      </c>
      <c r="C285" t="s">
        <v>309</v>
      </c>
      <c r="D285" t="s">
        <v>310</v>
      </c>
      <c r="E285" t="s">
        <v>446</v>
      </c>
      <c r="F285" t="s">
        <v>477</v>
      </c>
      <c r="G285" t="s">
        <v>479</v>
      </c>
      <c r="H285" t="s">
        <v>449</v>
      </c>
      <c r="I285" t="s">
        <v>450</v>
      </c>
      <c r="J285" t="s">
        <v>450</v>
      </c>
      <c r="K285">
        <v>0</v>
      </c>
      <c r="L285" t="s">
        <v>446</v>
      </c>
      <c r="M285" t="s">
        <v>446</v>
      </c>
      <c r="N285">
        <v>146427</v>
      </c>
      <c r="O285">
        <f>INDEX(Counselor,MATCH(B285,KidIDs,0))</f>
        <v>0</v>
      </c>
      <c r="P285">
        <f>INDEX(Advisors,MATCH(B285,KidIDs,0))</f>
        <v>0</v>
      </c>
      <c r="Q285">
        <f>INDEX(Cohort,MATCH(B285,KidIDs,0))</f>
        <v>0</v>
      </c>
      <c r="R285">
        <f>INDEX(AllCollegeBarrons,MATCH(N285,AllCollegeNCES,0))</f>
        <v>0</v>
      </c>
      <c r="S285">
        <f>INDEX(KidGPAs,MATCH(B285,KidIDs,0))</f>
        <v>0</v>
      </c>
      <c r="T285">
        <f>INDEX(KidSATs,MATCH(B285,KidIDs,0))</f>
        <v>0</v>
      </c>
      <c r="U285">
        <f>INDEX(Strats,MATCH(B285,KidIDs,0))</f>
        <v>0</v>
      </c>
      <c r="V285">
        <f>INDEX(KidRace,MATCH(B285,KidIDs,0))</f>
        <v>0</v>
      </c>
      <c r="W285">
        <f>IF(OR(V285="M",V285="I"),"H",IF(V285="P","A",V285))</f>
        <v>0</v>
      </c>
      <c r="X285">
        <f>INDEX(StudentTargets,MATCH(B285,KidIDs,0))</f>
        <v>0</v>
      </c>
      <c r="Y285">
        <f>INDEX(ReachStudentTargets,MATCH(B285,KidIDs,0))</f>
        <v>0</v>
      </c>
      <c r="Z285">
        <f>IF(OR(M285="Posse"),1,0)</f>
        <v>0</v>
      </c>
      <c r="AA285">
        <f>IF(ISNUMBER(INDEX(AllCollegeGR, MATCH(N285,AllCollegeNCES,0))),ROUND(INDEX(AllCollegeGR, MATCH(N285,AllCollegeNCES,0))+Z285*IF(INDEX(AllCollegeGR, MATCH(N285,AllCollegeNCES,0))&gt;0.7,(1-INDEX(AllCollegeGR, MATCH(N285,AllCollegeNCES,0)))/2,0.15),2),INDEX(AllCollegeGR, MATCH(N285,AllCollegeNCES,0)))</f>
        <v>0</v>
      </c>
      <c r="AB285">
        <f>IF(ISNUMBER(INDEX(AllCollegeAAHGR, MATCH(N285,AllCollegeNCES,0))),ROUND(INDEX(AllCollegeAAHGR, MATCH(N285,AllCollegeNCES,0))+Z285*IF(INDEX(AllCollegeAAHGR, MATCH(N285,AllCollegeNCES,0))&gt;0.7,(1-INDEX(AllCollegeAAHGR, MATCH(N285,AllCollegeNCES,0)))/2,0.15),2),INDEX(AllCollegeAAHGR, MATCH(N285,AllCollegeNCES,0)))</f>
        <v>0</v>
      </c>
      <c r="AC285">
        <f>IF(OR(W285="H",W285="B"),INDEX(AllCollegeSAT25, MATCH(N285,AllCollegeNCES,0)),INDEX(AllCollegeSAT50, MATCH(N285,AllCollegeNCES,0)))</f>
        <v>0</v>
      </c>
      <c r="AD285">
        <f>INDEX(CustomWeightsGPA,MATCH(W285&amp;":"&amp;N285,CustomWeightsIndex,0))</f>
        <v>0</v>
      </c>
      <c r="AE285">
        <f>INDEX(CustomWeightsSAT,MATCH(W285&amp;":"&amp;N285,CustomWeightsIndex,0))</f>
        <v>0</v>
      </c>
      <c r="AF285">
        <f>INDEX(CustomWeightsIntercept,MATCH(W285&amp;":"&amp;N285,CustomWeightsIndex,0))</f>
        <v>0</v>
      </c>
      <c r="AG285">
        <f>AD285*S285+AE285*T285+AF285</f>
        <v>0</v>
      </c>
      <c r="AH285">
        <f>INDEX(CoefficientsGPA,MATCH(W285&amp;":"&amp;R285,CoefficientsIndex,0))</f>
        <v>0</v>
      </c>
      <c r="AI285">
        <f>INDEX(CoefficientsSAT,MATCH(W285&amp;":"&amp;R285,CoefficientsIndex,0))</f>
        <v>0</v>
      </c>
      <c r="AJ285">
        <f>INDEX(CoefficientsIntercept,MATCH(W285&amp;":"&amp;R285,CoefficientsIndex,0))</f>
        <v>0</v>
      </c>
      <c r="AK285">
        <f>AH285*S285+(T285-AC285)*AI285+AJ285</f>
        <v>0</v>
      </c>
      <c r="AL285">
        <f>IF(ISNUMBER(AG285),AG285,AK285)</f>
        <v>0</v>
      </c>
      <c r="AM285">
        <f>IF(ISNUMBER(AL285),IF(ISNUMBER(AH285),IF(AND(AH285=1,AI285=1,AJ285=1),100,MIN(99,ROUND(100*EXP(AL285)/(1+EXP(AL285)),2))),MIN(99,ROUND(100*EXP(AL285)/(1+EXP(AL285)),2))),IF(ISTEXT(R285),IF(LEFT(R285,1)="2",100,"N/A"),"N/A"))</f>
        <v>0</v>
      </c>
      <c r="AN285">
        <f>IF(ISNUMBER(AM285),IF(AM285&gt;=99,IF(OR(U285=10,U285=11),MatchLabel,SureThingLabel),IF(AM285&gt;=95,SecureLabel,IF(AM285&gt;=80,SafetyLabel,IF(AM285&gt;=50,MatchLabel,IF(AM285&gt;=20,ReachLabel,IF(AM285&gt;=10,LongshotLabel,HailMaryLabel)))))),"Other")</f>
        <v>0</v>
      </c>
      <c r="AO285">
        <f>IF(OR(I285="accepted",I285="cond. accept",I285="summer admit"),IF(J285="yes","CHOICE!","Accepted!"),IF(I285="guar. transfer","Guar. Xfer",IF(I285="denied","Denied",IF(K285=1,"Waitlist",IF(L285=1,"Deferred",IF(G285="pending","Pending",IF(OR(G285="initial materials submitted",G285="mid-year submitted",G285="final submitted"),"Submitted",IF(H285="interest","Interest","?"))))))))</f>
        <v>0</v>
      </c>
      <c r="AP285">
        <f>IF(OR(AN285=ReachLabel,AN285=LongshotLabel,AN285=HailMaryLabel),1,0)</f>
        <v>0</v>
      </c>
      <c r="AQ285">
        <f>IF(OR(AP285=1,AN285=MatchLabel),1,0)</f>
        <v>0</v>
      </c>
      <c r="AR285">
        <f>IF(OR(AN285=MatchLabel,AN285=SafetyLabel,AN285=SecureLabel,AN285=SureThingLabel),1,0)</f>
        <v>0</v>
      </c>
      <c r="AS285">
        <f>IF(OR(W285="H",W285="B",W285="I",W285="M"),IF(ISNUMBER(AB285),ROUND(AB285,2),0),IF(ISNUMBER(AA285),ROUND(AA285,2),0))</f>
        <v>0</v>
      </c>
      <c r="AT285">
        <f>IF(AS285&gt;=X285,1,0)</f>
        <v>0</v>
      </c>
      <c r="AU285">
        <f>IF(AS285&gt;=Y285,1,0)</f>
        <v>0</v>
      </c>
      <c r="AV285">
        <f>IF(AS285&lt;(X285-0.10),1,0)</f>
        <v>0</v>
      </c>
      <c r="AW285">
        <f>1-AM285/100</f>
        <v>0</v>
      </c>
      <c r="AX285">
        <f>IF(AQ285=1,AW285,1)</f>
        <v>0</v>
      </c>
      <c r="AY285">
        <f>IF(AP285=1,AW285,1)</f>
        <v>0</v>
      </c>
      <c r="AZ285">
        <f>IF(AND(AT285=1,ISNUMBER(AW285)),$AW285,1)</f>
        <v>0</v>
      </c>
      <c r="BA285">
        <f>IF(AND(AU285=1,ISNUMBER(AW285)),$AW285,1)</f>
        <v>0</v>
      </c>
      <c r="BB285">
        <f>IF(ISNUMBER(AB285),INDEX(AllCollegeMoney, MATCH(N285,AllCollegeNCES,0)),0)</f>
        <v>0</v>
      </c>
      <c r="BC285">
        <f>IF(AND(AT285=1,ISNUMBER(AW285),BB285=1),$AW285,1)</f>
        <v>0</v>
      </c>
      <c r="BD285">
        <f>IF(AND(AU285=1,ISNUMBER(AW285),BB285=1),$AW285,1)</f>
        <v>0</v>
      </c>
      <c r="BE285">
        <f>IF(ISNUMBER(AB285),INDEX(AllCollegeILPub, MATCH(N285,AllCollegeNCES,0)),0)</f>
        <v>0</v>
      </c>
      <c r="BF285">
        <f>IF(AN285=ReachLabel,AS285,0)</f>
        <v>0</v>
      </c>
      <c r="BG285">
        <f>IF(AN285=MatchLabel,AS285,0)</f>
        <v>0</v>
      </c>
      <c r="BH285">
        <f>IF(AN285=SafetyLabel,AS285,0)</f>
        <v>0</v>
      </c>
      <c r="BI285">
        <f>IF(AN285=SecureLabel,AS285,0)</f>
        <v>0</v>
      </c>
      <c r="BJ285">
        <f>IF(AN285=SureThingLabel,AS285,0)</f>
        <v>0</v>
      </c>
      <c r="BK285">
        <f>MAX(BF285:BJ285)</f>
        <v>0</v>
      </c>
      <c r="BL285">
        <f>MAX(BG285:BJ285)</f>
        <v>0</v>
      </c>
      <c r="BM285">
        <f>MAX(BH285:BJ285)</f>
        <v>0</v>
      </c>
      <c r="BN285">
        <f>IF(AND(AN285=ReachLabel,BB285=1),AS285,0)</f>
        <v>0</v>
      </c>
      <c r="BO285">
        <f>IF(AND(AN285=MatchLabel,BB285=1),AS285,0)</f>
        <v>0</v>
      </c>
      <c r="BP285">
        <f>IF(AND(AN285=SafetyLabel,BB285=1),AS285,0)</f>
        <v>0</v>
      </c>
      <c r="BQ285">
        <f>IF(AND(AN285=SecureLabel,BB285=1),AS285,0)</f>
        <v>0</v>
      </c>
      <c r="BR285">
        <f>IF(AND(AN285=SureThingLabel,BB285=1),AS285,0)</f>
        <v>0</v>
      </c>
      <c r="BS285">
        <f>MAX(BN285:BR285)</f>
        <v>0</v>
      </c>
      <c r="BT285">
        <f>MAX(BO285:BR285)</f>
        <v>0</v>
      </c>
      <c r="BU285">
        <f>MAX(BP285:BR285)</f>
        <v>0</v>
      </c>
      <c r="BV285">
        <f>IF(ISNUMBER(AB285),INDEX(AllCollegeChicago, MATCH(N285,AllCollegeNCES,0))*BB285,0)</f>
        <v>0</v>
      </c>
      <c r="BW285">
        <f>IF(ISNUMBER(AB285),INDEX(AllCollegeMoneyCode, MATCH(N285,AllCollegeNCES,0)),"?")</f>
        <v>0</v>
      </c>
      <c r="BX285">
        <f>IF(OR(BW285="---",BW285="--",BW285="+/--",BW285="+/---"),1,0)</f>
        <v>0</v>
      </c>
      <c r="BY285">
        <f>BB285*AR285*AT285</f>
        <v>0</v>
      </c>
    </row>
    <row r="286" spans="1:77">
      <c r="A286" t="s">
        <v>96</v>
      </c>
      <c r="B286">
        <v>23038357</v>
      </c>
      <c r="C286" t="s">
        <v>309</v>
      </c>
      <c r="D286" t="s">
        <v>310</v>
      </c>
      <c r="E286" t="s">
        <v>446</v>
      </c>
      <c r="F286" t="s">
        <v>535</v>
      </c>
      <c r="G286" t="s">
        <v>479</v>
      </c>
      <c r="H286" t="s">
        <v>449</v>
      </c>
      <c r="I286" t="s">
        <v>450</v>
      </c>
      <c r="J286" t="s">
        <v>450</v>
      </c>
      <c r="K286">
        <v>0</v>
      </c>
      <c r="L286" t="s">
        <v>446</v>
      </c>
      <c r="M286" t="s">
        <v>446</v>
      </c>
      <c r="N286">
        <v>146719</v>
      </c>
      <c r="O286">
        <f>INDEX(Counselor,MATCH(B286,KidIDs,0))</f>
        <v>0</v>
      </c>
      <c r="P286">
        <f>INDEX(Advisors,MATCH(B286,KidIDs,0))</f>
        <v>0</v>
      </c>
      <c r="Q286">
        <f>INDEX(Cohort,MATCH(B286,KidIDs,0))</f>
        <v>0</v>
      </c>
      <c r="R286">
        <f>INDEX(AllCollegeBarrons,MATCH(N286,AllCollegeNCES,0))</f>
        <v>0</v>
      </c>
      <c r="S286">
        <f>INDEX(KidGPAs,MATCH(B286,KidIDs,0))</f>
        <v>0</v>
      </c>
      <c r="T286">
        <f>INDEX(KidSATs,MATCH(B286,KidIDs,0))</f>
        <v>0</v>
      </c>
      <c r="U286">
        <f>INDEX(Strats,MATCH(B286,KidIDs,0))</f>
        <v>0</v>
      </c>
      <c r="V286">
        <f>INDEX(KidRace,MATCH(B286,KidIDs,0))</f>
        <v>0</v>
      </c>
      <c r="W286">
        <f>IF(OR(V286="M",V286="I"),"H",IF(V286="P","A",V286))</f>
        <v>0</v>
      </c>
      <c r="X286">
        <f>INDEX(StudentTargets,MATCH(B286,KidIDs,0))</f>
        <v>0</v>
      </c>
      <c r="Y286">
        <f>INDEX(ReachStudentTargets,MATCH(B286,KidIDs,0))</f>
        <v>0</v>
      </c>
      <c r="Z286">
        <f>IF(OR(M286="Posse"),1,0)</f>
        <v>0</v>
      </c>
      <c r="AA286">
        <f>IF(ISNUMBER(INDEX(AllCollegeGR, MATCH(N286,AllCollegeNCES,0))),ROUND(INDEX(AllCollegeGR, MATCH(N286,AllCollegeNCES,0))+Z286*IF(INDEX(AllCollegeGR, MATCH(N286,AllCollegeNCES,0))&gt;0.7,(1-INDEX(AllCollegeGR, MATCH(N286,AllCollegeNCES,0)))/2,0.15),2),INDEX(AllCollegeGR, MATCH(N286,AllCollegeNCES,0)))</f>
        <v>0</v>
      </c>
      <c r="AB286">
        <f>IF(ISNUMBER(INDEX(AllCollegeAAHGR, MATCH(N286,AllCollegeNCES,0))),ROUND(INDEX(AllCollegeAAHGR, MATCH(N286,AllCollegeNCES,0))+Z286*IF(INDEX(AllCollegeAAHGR, MATCH(N286,AllCollegeNCES,0))&gt;0.7,(1-INDEX(AllCollegeAAHGR, MATCH(N286,AllCollegeNCES,0)))/2,0.15),2),INDEX(AllCollegeAAHGR, MATCH(N286,AllCollegeNCES,0)))</f>
        <v>0</v>
      </c>
      <c r="AC286">
        <f>IF(OR(W286="H",W286="B"),INDEX(AllCollegeSAT25, MATCH(N286,AllCollegeNCES,0)),INDEX(AllCollegeSAT50, MATCH(N286,AllCollegeNCES,0)))</f>
        <v>0</v>
      </c>
      <c r="AD286">
        <f>INDEX(CustomWeightsGPA,MATCH(W286&amp;":"&amp;N286,CustomWeightsIndex,0))</f>
        <v>0</v>
      </c>
      <c r="AE286">
        <f>INDEX(CustomWeightsSAT,MATCH(W286&amp;":"&amp;N286,CustomWeightsIndex,0))</f>
        <v>0</v>
      </c>
      <c r="AF286">
        <f>INDEX(CustomWeightsIntercept,MATCH(W286&amp;":"&amp;N286,CustomWeightsIndex,0))</f>
        <v>0</v>
      </c>
      <c r="AG286">
        <f>AD286*S286+AE286*T286+AF286</f>
        <v>0</v>
      </c>
      <c r="AH286">
        <f>INDEX(CoefficientsGPA,MATCH(W286&amp;":"&amp;R286,CoefficientsIndex,0))</f>
        <v>0</v>
      </c>
      <c r="AI286">
        <f>INDEX(CoefficientsSAT,MATCH(W286&amp;":"&amp;R286,CoefficientsIndex,0))</f>
        <v>0</v>
      </c>
      <c r="AJ286">
        <f>INDEX(CoefficientsIntercept,MATCH(W286&amp;":"&amp;R286,CoefficientsIndex,0))</f>
        <v>0</v>
      </c>
      <c r="AK286">
        <f>AH286*S286+(T286-AC286)*AI286+AJ286</f>
        <v>0</v>
      </c>
      <c r="AL286">
        <f>IF(ISNUMBER(AG286),AG286,AK286)</f>
        <v>0</v>
      </c>
      <c r="AM286">
        <f>IF(ISNUMBER(AL286),IF(ISNUMBER(AH286),IF(AND(AH286=1,AI286=1,AJ286=1),100,MIN(99,ROUND(100*EXP(AL286)/(1+EXP(AL286)),2))),MIN(99,ROUND(100*EXP(AL286)/(1+EXP(AL286)),2))),IF(ISTEXT(R286),IF(LEFT(R286,1)="2",100,"N/A"),"N/A"))</f>
        <v>0</v>
      </c>
      <c r="AN286">
        <f>IF(ISNUMBER(AM286),IF(AM286&gt;=99,IF(OR(U286=10,U286=11),MatchLabel,SureThingLabel),IF(AM286&gt;=95,SecureLabel,IF(AM286&gt;=80,SafetyLabel,IF(AM286&gt;=50,MatchLabel,IF(AM286&gt;=20,ReachLabel,IF(AM286&gt;=10,LongshotLabel,HailMaryLabel)))))),"Other")</f>
        <v>0</v>
      </c>
      <c r="AO286">
        <f>IF(OR(I286="accepted",I286="cond. accept",I286="summer admit"),IF(J286="yes","CHOICE!","Accepted!"),IF(I286="guar. transfer","Guar. Xfer",IF(I286="denied","Denied",IF(K286=1,"Waitlist",IF(L286=1,"Deferred",IF(G286="pending","Pending",IF(OR(G286="initial materials submitted",G286="mid-year submitted",G286="final submitted"),"Submitted",IF(H286="interest","Interest","?"))))))))</f>
        <v>0</v>
      </c>
      <c r="AP286">
        <f>IF(OR(AN286=ReachLabel,AN286=LongshotLabel,AN286=HailMaryLabel),1,0)</f>
        <v>0</v>
      </c>
      <c r="AQ286">
        <f>IF(OR(AP286=1,AN286=MatchLabel),1,0)</f>
        <v>0</v>
      </c>
      <c r="AR286">
        <f>IF(OR(AN286=MatchLabel,AN286=SafetyLabel,AN286=SecureLabel,AN286=SureThingLabel),1,0)</f>
        <v>0</v>
      </c>
      <c r="AS286">
        <f>IF(OR(W286="H",W286="B",W286="I",W286="M"),IF(ISNUMBER(AB286),ROUND(AB286,2),0),IF(ISNUMBER(AA286),ROUND(AA286,2),0))</f>
        <v>0</v>
      </c>
      <c r="AT286">
        <f>IF(AS286&gt;=X286,1,0)</f>
        <v>0</v>
      </c>
      <c r="AU286">
        <f>IF(AS286&gt;=Y286,1,0)</f>
        <v>0</v>
      </c>
      <c r="AV286">
        <f>IF(AS286&lt;(X286-0.10),1,0)</f>
        <v>0</v>
      </c>
      <c r="AW286">
        <f>1-AM286/100</f>
        <v>0</v>
      </c>
      <c r="AX286">
        <f>IF(AQ286=1,AW286,1)</f>
        <v>0</v>
      </c>
      <c r="AY286">
        <f>IF(AP286=1,AW286,1)</f>
        <v>0</v>
      </c>
      <c r="AZ286">
        <f>IF(AND(AT286=1,ISNUMBER(AW286)),$AW286,1)</f>
        <v>0</v>
      </c>
      <c r="BA286">
        <f>IF(AND(AU286=1,ISNUMBER(AW286)),$AW286,1)</f>
        <v>0</v>
      </c>
      <c r="BB286">
        <f>IF(ISNUMBER(AB286),INDEX(AllCollegeMoney, MATCH(N286,AllCollegeNCES,0)),0)</f>
        <v>0</v>
      </c>
      <c r="BC286">
        <f>IF(AND(AT286=1,ISNUMBER(AW286),BB286=1),$AW286,1)</f>
        <v>0</v>
      </c>
      <c r="BD286">
        <f>IF(AND(AU286=1,ISNUMBER(AW286),BB286=1),$AW286,1)</f>
        <v>0</v>
      </c>
      <c r="BE286">
        <f>IF(ISNUMBER(AB286),INDEX(AllCollegeILPub, MATCH(N286,AllCollegeNCES,0)),0)</f>
        <v>0</v>
      </c>
      <c r="BF286">
        <f>IF(AN286=ReachLabel,AS286,0)</f>
        <v>0</v>
      </c>
      <c r="BG286">
        <f>IF(AN286=MatchLabel,AS286,0)</f>
        <v>0</v>
      </c>
      <c r="BH286">
        <f>IF(AN286=SafetyLabel,AS286,0)</f>
        <v>0</v>
      </c>
      <c r="BI286">
        <f>IF(AN286=SecureLabel,AS286,0)</f>
        <v>0</v>
      </c>
      <c r="BJ286">
        <f>IF(AN286=SureThingLabel,AS286,0)</f>
        <v>0</v>
      </c>
      <c r="BK286">
        <f>MAX(BF286:BJ286)</f>
        <v>0</v>
      </c>
      <c r="BL286">
        <f>MAX(BG286:BJ286)</f>
        <v>0</v>
      </c>
      <c r="BM286">
        <f>MAX(BH286:BJ286)</f>
        <v>0</v>
      </c>
      <c r="BN286">
        <f>IF(AND(AN286=ReachLabel,BB286=1),AS286,0)</f>
        <v>0</v>
      </c>
      <c r="BO286">
        <f>IF(AND(AN286=MatchLabel,BB286=1),AS286,0)</f>
        <v>0</v>
      </c>
      <c r="BP286">
        <f>IF(AND(AN286=SafetyLabel,BB286=1),AS286,0)</f>
        <v>0</v>
      </c>
      <c r="BQ286">
        <f>IF(AND(AN286=SecureLabel,BB286=1),AS286,0)</f>
        <v>0</v>
      </c>
      <c r="BR286">
        <f>IF(AND(AN286=SureThingLabel,BB286=1),AS286,0)</f>
        <v>0</v>
      </c>
      <c r="BS286">
        <f>MAX(BN286:BR286)</f>
        <v>0</v>
      </c>
      <c r="BT286">
        <f>MAX(BO286:BR286)</f>
        <v>0</v>
      </c>
      <c r="BU286">
        <f>MAX(BP286:BR286)</f>
        <v>0</v>
      </c>
      <c r="BV286">
        <f>IF(ISNUMBER(AB286),INDEX(AllCollegeChicago, MATCH(N286,AllCollegeNCES,0))*BB286,0)</f>
        <v>0</v>
      </c>
      <c r="BW286">
        <f>IF(ISNUMBER(AB286),INDEX(AllCollegeMoneyCode, MATCH(N286,AllCollegeNCES,0)),"?")</f>
        <v>0</v>
      </c>
      <c r="BX286">
        <f>IF(OR(BW286="---",BW286="--",BW286="+/--",BW286="+/---"),1,0)</f>
        <v>0</v>
      </c>
      <c r="BY286">
        <f>BB286*AR286*AT286</f>
        <v>0</v>
      </c>
    </row>
    <row r="287" spans="1:77">
      <c r="A287" t="s">
        <v>96</v>
      </c>
      <c r="B287">
        <v>23038357</v>
      </c>
      <c r="C287" t="s">
        <v>309</v>
      </c>
      <c r="D287" t="s">
        <v>310</v>
      </c>
      <c r="E287" t="s">
        <v>446</v>
      </c>
      <c r="F287" t="s">
        <v>489</v>
      </c>
      <c r="G287" t="s">
        <v>479</v>
      </c>
      <c r="H287" t="s">
        <v>449</v>
      </c>
      <c r="I287" t="s">
        <v>450</v>
      </c>
      <c r="J287" t="s">
        <v>450</v>
      </c>
      <c r="K287">
        <v>0</v>
      </c>
      <c r="L287" t="s">
        <v>446</v>
      </c>
      <c r="M287" t="s">
        <v>446</v>
      </c>
      <c r="N287">
        <v>170301</v>
      </c>
      <c r="O287">
        <f>INDEX(Counselor,MATCH(B287,KidIDs,0))</f>
        <v>0</v>
      </c>
      <c r="P287">
        <f>INDEX(Advisors,MATCH(B287,KidIDs,0))</f>
        <v>0</v>
      </c>
      <c r="Q287">
        <f>INDEX(Cohort,MATCH(B287,KidIDs,0))</f>
        <v>0</v>
      </c>
      <c r="R287">
        <f>INDEX(AllCollegeBarrons,MATCH(N287,AllCollegeNCES,0))</f>
        <v>0</v>
      </c>
      <c r="S287">
        <f>INDEX(KidGPAs,MATCH(B287,KidIDs,0))</f>
        <v>0</v>
      </c>
      <c r="T287">
        <f>INDEX(KidSATs,MATCH(B287,KidIDs,0))</f>
        <v>0</v>
      </c>
      <c r="U287">
        <f>INDEX(Strats,MATCH(B287,KidIDs,0))</f>
        <v>0</v>
      </c>
      <c r="V287">
        <f>INDEX(KidRace,MATCH(B287,KidIDs,0))</f>
        <v>0</v>
      </c>
      <c r="W287">
        <f>IF(OR(V287="M",V287="I"),"H",IF(V287="P","A",V287))</f>
        <v>0</v>
      </c>
      <c r="X287">
        <f>INDEX(StudentTargets,MATCH(B287,KidIDs,0))</f>
        <v>0</v>
      </c>
      <c r="Y287">
        <f>INDEX(ReachStudentTargets,MATCH(B287,KidIDs,0))</f>
        <v>0</v>
      </c>
      <c r="Z287">
        <f>IF(OR(M287="Posse"),1,0)</f>
        <v>0</v>
      </c>
      <c r="AA287">
        <f>IF(ISNUMBER(INDEX(AllCollegeGR, MATCH(N287,AllCollegeNCES,0))),ROUND(INDEX(AllCollegeGR, MATCH(N287,AllCollegeNCES,0))+Z287*IF(INDEX(AllCollegeGR, MATCH(N287,AllCollegeNCES,0))&gt;0.7,(1-INDEX(AllCollegeGR, MATCH(N287,AllCollegeNCES,0)))/2,0.15),2),INDEX(AllCollegeGR, MATCH(N287,AllCollegeNCES,0)))</f>
        <v>0</v>
      </c>
      <c r="AB287">
        <f>IF(ISNUMBER(INDEX(AllCollegeAAHGR, MATCH(N287,AllCollegeNCES,0))),ROUND(INDEX(AllCollegeAAHGR, MATCH(N287,AllCollegeNCES,0))+Z287*IF(INDEX(AllCollegeAAHGR, MATCH(N287,AllCollegeNCES,0))&gt;0.7,(1-INDEX(AllCollegeAAHGR, MATCH(N287,AllCollegeNCES,0)))/2,0.15),2),INDEX(AllCollegeAAHGR, MATCH(N287,AllCollegeNCES,0)))</f>
        <v>0</v>
      </c>
      <c r="AC287">
        <f>IF(OR(W287="H",W287="B"),INDEX(AllCollegeSAT25, MATCH(N287,AllCollegeNCES,0)),INDEX(AllCollegeSAT50, MATCH(N287,AllCollegeNCES,0)))</f>
        <v>0</v>
      </c>
      <c r="AD287">
        <f>INDEX(CustomWeightsGPA,MATCH(W287&amp;":"&amp;N287,CustomWeightsIndex,0))</f>
        <v>0</v>
      </c>
      <c r="AE287">
        <f>INDEX(CustomWeightsSAT,MATCH(W287&amp;":"&amp;N287,CustomWeightsIndex,0))</f>
        <v>0</v>
      </c>
      <c r="AF287">
        <f>INDEX(CustomWeightsIntercept,MATCH(W287&amp;":"&amp;N287,CustomWeightsIndex,0))</f>
        <v>0</v>
      </c>
      <c r="AG287">
        <f>AD287*S287+AE287*T287+AF287</f>
        <v>0</v>
      </c>
      <c r="AH287">
        <f>INDEX(CoefficientsGPA,MATCH(W287&amp;":"&amp;R287,CoefficientsIndex,0))</f>
        <v>0</v>
      </c>
      <c r="AI287">
        <f>INDEX(CoefficientsSAT,MATCH(W287&amp;":"&amp;R287,CoefficientsIndex,0))</f>
        <v>0</v>
      </c>
      <c r="AJ287">
        <f>INDEX(CoefficientsIntercept,MATCH(W287&amp;":"&amp;R287,CoefficientsIndex,0))</f>
        <v>0</v>
      </c>
      <c r="AK287">
        <f>AH287*S287+(T287-AC287)*AI287+AJ287</f>
        <v>0</v>
      </c>
      <c r="AL287">
        <f>IF(ISNUMBER(AG287),AG287,AK287)</f>
        <v>0</v>
      </c>
      <c r="AM287">
        <f>IF(ISNUMBER(AL287),IF(ISNUMBER(AH287),IF(AND(AH287=1,AI287=1,AJ287=1),100,MIN(99,ROUND(100*EXP(AL287)/(1+EXP(AL287)),2))),MIN(99,ROUND(100*EXP(AL287)/(1+EXP(AL287)),2))),IF(ISTEXT(R287),IF(LEFT(R287,1)="2",100,"N/A"),"N/A"))</f>
        <v>0</v>
      </c>
      <c r="AN287">
        <f>IF(ISNUMBER(AM287),IF(AM287&gt;=99,IF(OR(U287=10,U287=11),MatchLabel,SureThingLabel),IF(AM287&gt;=95,SecureLabel,IF(AM287&gt;=80,SafetyLabel,IF(AM287&gt;=50,MatchLabel,IF(AM287&gt;=20,ReachLabel,IF(AM287&gt;=10,LongshotLabel,HailMaryLabel)))))),"Other")</f>
        <v>0</v>
      </c>
      <c r="AO287">
        <f>IF(OR(I287="accepted",I287="cond. accept",I287="summer admit"),IF(J287="yes","CHOICE!","Accepted!"),IF(I287="guar. transfer","Guar. Xfer",IF(I287="denied","Denied",IF(K287=1,"Waitlist",IF(L287=1,"Deferred",IF(G287="pending","Pending",IF(OR(G287="initial materials submitted",G287="mid-year submitted",G287="final submitted"),"Submitted",IF(H287="interest","Interest","?"))))))))</f>
        <v>0</v>
      </c>
      <c r="AP287">
        <f>IF(OR(AN287=ReachLabel,AN287=LongshotLabel,AN287=HailMaryLabel),1,0)</f>
        <v>0</v>
      </c>
      <c r="AQ287">
        <f>IF(OR(AP287=1,AN287=MatchLabel),1,0)</f>
        <v>0</v>
      </c>
      <c r="AR287">
        <f>IF(OR(AN287=MatchLabel,AN287=SafetyLabel,AN287=SecureLabel,AN287=SureThingLabel),1,0)</f>
        <v>0</v>
      </c>
      <c r="AS287">
        <f>IF(OR(W287="H",W287="B",W287="I",W287="M"),IF(ISNUMBER(AB287),ROUND(AB287,2),0),IF(ISNUMBER(AA287),ROUND(AA287,2),0))</f>
        <v>0</v>
      </c>
      <c r="AT287">
        <f>IF(AS287&gt;=X287,1,0)</f>
        <v>0</v>
      </c>
      <c r="AU287">
        <f>IF(AS287&gt;=Y287,1,0)</f>
        <v>0</v>
      </c>
      <c r="AV287">
        <f>IF(AS287&lt;(X287-0.10),1,0)</f>
        <v>0</v>
      </c>
      <c r="AW287">
        <f>1-AM287/100</f>
        <v>0</v>
      </c>
      <c r="AX287">
        <f>IF(AQ287=1,AW287,1)</f>
        <v>0</v>
      </c>
      <c r="AY287">
        <f>IF(AP287=1,AW287,1)</f>
        <v>0</v>
      </c>
      <c r="AZ287">
        <f>IF(AND(AT287=1,ISNUMBER(AW287)),$AW287,1)</f>
        <v>0</v>
      </c>
      <c r="BA287">
        <f>IF(AND(AU287=1,ISNUMBER(AW287)),$AW287,1)</f>
        <v>0</v>
      </c>
      <c r="BB287">
        <f>IF(ISNUMBER(AB287),INDEX(AllCollegeMoney, MATCH(N287,AllCollegeNCES,0)),0)</f>
        <v>0</v>
      </c>
      <c r="BC287">
        <f>IF(AND(AT287=1,ISNUMBER(AW287),BB287=1),$AW287,1)</f>
        <v>0</v>
      </c>
      <c r="BD287">
        <f>IF(AND(AU287=1,ISNUMBER(AW287),BB287=1),$AW287,1)</f>
        <v>0</v>
      </c>
      <c r="BE287">
        <f>IF(ISNUMBER(AB287),INDEX(AllCollegeILPub, MATCH(N287,AllCollegeNCES,0)),0)</f>
        <v>0</v>
      </c>
      <c r="BF287">
        <f>IF(AN287=ReachLabel,AS287,0)</f>
        <v>0</v>
      </c>
      <c r="BG287">
        <f>IF(AN287=MatchLabel,AS287,0)</f>
        <v>0</v>
      </c>
      <c r="BH287">
        <f>IF(AN287=SafetyLabel,AS287,0)</f>
        <v>0</v>
      </c>
      <c r="BI287">
        <f>IF(AN287=SecureLabel,AS287,0)</f>
        <v>0</v>
      </c>
      <c r="BJ287">
        <f>IF(AN287=SureThingLabel,AS287,0)</f>
        <v>0</v>
      </c>
      <c r="BK287">
        <f>MAX(BF287:BJ287)</f>
        <v>0</v>
      </c>
      <c r="BL287">
        <f>MAX(BG287:BJ287)</f>
        <v>0</v>
      </c>
      <c r="BM287">
        <f>MAX(BH287:BJ287)</f>
        <v>0</v>
      </c>
      <c r="BN287">
        <f>IF(AND(AN287=ReachLabel,BB287=1),AS287,0)</f>
        <v>0</v>
      </c>
      <c r="BO287">
        <f>IF(AND(AN287=MatchLabel,BB287=1),AS287,0)</f>
        <v>0</v>
      </c>
      <c r="BP287">
        <f>IF(AND(AN287=SafetyLabel,BB287=1),AS287,0)</f>
        <v>0</v>
      </c>
      <c r="BQ287">
        <f>IF(AND(AN287=SecureLabel,BB287=1),AS287,0)</f>
        <v>0</v>
      </c>
      <c r="BR287">
        <f>IF(AND(AN287=SureThingLabel,BB287=1),AS287,0)</f>
        <v>0</v>
      </c>
      <c r="BS287">
        <f>MAX(BN287:BR287)</f>
        <v>0</v>
      </c>
      <c r="BT287">
        <f>MAX(BO287:BR287)</f>
        <v>0</v>
      </c>
      <c r="BU287">
        <f>MAX(BP287:BR287)</f>
        <v>0</v>
      </c>
      <c r="BV287">
        <f>IF(ISNUMBER(AB287),INDEX(AllCollegeChicago, MATCH(N287,AllCollegeNCES,0))*BB287,0)</f>
        <v>0</v>
      </c>
      <c r="BW287">
        <f>IF(ISNUMBER(AB287),INDEX(AllCollegeMoneyCode, MATCH(N287,AllCollegeNCES,0)),"?")</f>
        <v>0</v>
      </c>
      <c r="BX287">
        <f>IF(OR(BW287="---",BW287="--",BW287="+/--",BW287="+/---"),1,0)</f>
        <v>0</v>
      </c>
      <c r="BY287">
        <f>BB287*AR287*AT287</f>
        <v>0</v>
      </c>
    </row>
    <row r="288" spans="1:77">
      <c r="A288" t="s">
        <v>96</v>
      </c>
      <c r="B288">
        <v>23038357</v>
      </c>
      <c r="C288" t="s">
        <v>309</v>
      </c>
      <c r="D288" t="s">
        <v>310</v>
      </c>
      <c r="E288" t="s">
        <v>446</v>
      </c>
      <c r="F288" t="s">
        <v>518</v>
      </c>
      <c r="G288" t="s">
        <v>479</v>
      </c>
      <c r="H288" t="s">
        <v>449</v>
      </c>
      <c r="I288" t="s">
        <v>450</v>
      </c>
      <c r="J288" t="s">
        <v>450</v>
      </c>
      <c r="K288">
        <v>0</v>
      </c>
      <c r="L288" t="s">
        <v>446</v>
      </c>
      <c r="M288" t="s">
        <v>446</v>
      </c>
      <c r="N288">
        <v>145725</v>
      </c>
      <c r="O288">
        <f>INDEX(Counselor,MATCH(B288,KidIDs,0))</f>
        <v>0</v>
      </c>
      <c r="P288">
        <f>INDEX(Advisors,MATCH(B288,KidIDs,0))</f>
        <v>0</v>
      </c>
      <c r="Q288">
        <f>INDEX(Cohort,MATCH(B288,KidIDs,0))</f>
        <v>0</v>
      </c>
      <c r="R288">
        <f>INDEX(AllCollegeBarrons,MATCH(N288,AllCollegeNCES,0))</f>
        <v>0</v>
      </c>
      <c r="S288">
        <f>INDEX(KidGPAs,MATCH(B288,KidIDs,0))</f>
        <v>0</v>
      </c>
      <c r="T288">
        <f>INDEX(KidSATs,MATCH(B288,KidIDs,0))</f>
        <v>0</v>
      </c>
      <c r="U288">
        <f>INDEX(Strats,MATCH(B288,KidIDs,0))</f>
        <v>0</v>
      </c>
      <c r="V288">
        <f>INDEX(KidRace,MATCH(B288,KidIDs,0))</f>
        <v>0</v>
      </c>
      <c r="W288">
        <f>IF(OR(V288="M",V288="I"),"H",IF(V288="P","A",V288))</f>
        <v>0</v>
      </c>
      <c r="X288">
        <f>INDEX(StudentTargets,MATCH(B288,KidIDs,0))</f>
        <v>0</v>
      </c>
      <c r="Y288">
        <f>INDEX(ReachStudentTargets,MATCH(B288,KidIDs,0))</f>
        <v>0</v>
      </c>
      <c r="Z288">
        <f>IF(OR(M288="Posse"),1,0)</f>
        <v>0</v>
      </c>
      <c r="AA288">
        <f>IF(ISNUMBER(INDEX(AllCollegeGR, MATCH(N288,AllCollegeNCES,0))),ROUND(INDEX(AllCollegeGR, MATCH(N288,AllCollegeNCES,0))+Z288*IF(INDEX(AllCollegeGR, MATCH(N288,AllCollegeNCES,0))&gt;0.7,(1-INDEX(AllCollegeGR, MATCH(N288,AllCollegeNCES,0)))/2,0.15),2),INDEX(AllCollegeGR, MATCH(N288,AllCollegeNCES,0)))</f>
        <v>0</v>
      </c>
      <c r="AB288">
        <f>IF(ISNUMBER(INDEX(AllCollegeAAHGR, MATCH(N288,AllCollegeNCES,0))),ROUND(INDEX(AllCollegeAAHGR, MATCH(N288,AllCollegeNCES,0))+Z288*IF(INDEX(AllCollegeAAHGR, MATCH(N288,AllCollegeNCES,0))&gt;0.7,(1-INDEX(AllCollegeAAHGR, MATCH(N288,AllCollegeNCES,0)))/2,0.15),2),INDEX(AllCollegeAAHGR, MATCH(N288,AllCollegeNCES,0)))</f>
        <v>0</v>
      </c>
      <c r="AC288">
        <f>IF(OR(W288="H",W288="B"),INDEX(AllCollegeSAT25, MATCH(N288,AllCollegeNCES,0)),INDEX(AllCollegeSAT50, MATCH(N288,AllCollegeNCES,0)))</f>
        <v>0</v>
      </c>
      <c r="AD288">
        <f>INDEX(CustomWeightsGPA,MATCH(W288&amp;":"&amp;N288,CustomWeightsIndex,0))</f>
        <v>0</v>
      </c>
      <c r="AE288">
        <f>INDEX(CustomWeightsSAT,MATCH(W288&amp;":"&amp;N288,CustomWeightsIndex,0))</f>
        <v>0</v>
      </c>
      <c r="AF288">
        <f>INDEX(CustomWeightsIntercept,MATCH(W288&amp;":"&amp;N288,CustomWeightsIndex,0))</f>
        <v>0</v>
      </c>
      <c r="AG288">
        <f>AD288*S288+AE288*T288+AF288</f>
        <v>0</v>
      </c>
      <c r="AH288">
        <f>INDEX(CoefficientsGPA,MATCH(W288&amp;":"&amp;R288,CoefficientsIndex,0))</f>
        <v>0</v>
      </c>
      <c r="AI288">
        <f>INDEX(CoefficientsSAT,MATCH(W288&amp;":"&amp;R288,CoefficientsIndex,0))</f>
        <v>0</v>
      </c>
      <c r="AJ288">
        <f>INDEX(CoefficientsIntercept,MATCH(W288&amp;":"&amp;R288,CoefficientsIndex,0))</f>
        <v>0</v>
      </c>
      <c r="AK288">
        <f>AH288*S288+(T288-AC288)*AI288+AJ288</f>
        <v>0</v>
      </c>
      <c r="AL288">
        <f>IF(ISNUMBER(AG288),AG288,AK288)</f>
        <v>0</v>
      </c>
      <c r="AM288">
        <f>IF(ISNUMBER(AL288),IF(ISNUMBER(AH288),IF(AND(AH288=1,AI288=1,AJ288=1),100,MIN(99,ROUND(100*EXP(AL288)/(1+EXP(AL288)),2))),MIN(99,ROUND(100*EXP(AL288)/(1+EXP(AL288)),2))),IF(ISTEXT(R288),IF(LEFT(R288,1)="2",100,"N/A"),"N/A"))</f>
        <v>0</v>
      </c>
      <c r="AN288">
        <f>IF(ISNUMBER(AM288),IF(AM288&gt;=99,IF(OR(U288=10,U288=11),MatchLabel,SureThingLabel),IF(AM288&gt;=95,SecureLabel,IF(AM288&gt;=80,SafetyLabel,IF(AM288&gt;=50,MatchLabel,IF(AM288&gt;=20,ReachLabel,IF(AM288&gt;=10,LongshotLabel,HailMaryLabel)))))),"Other")</f>
        <v>0</v>
      </c>
      <c r="AO288">
        <f>IF(OR(I288="accepted",I288="cond. accept",I288="summer admit"),IF(J288="yes","CHOICE!","Accepted!"),IF(I288="guar. transfer","Guar. Xfer",IF(I288="denied","Denied",IF(K288=1,"Waitlist",IF(L288=1,"Deferred",IF(G288="pending","Pending",IF(OR(G288="initial materials submitted",G288="mid-year submitted",G288="final submitted"),"Submitted",IF(H288="interest","Interest","?"))))))))</f>
        <v>0</v>
      </c>
      <c r="AP288">
        <f>IF(OR(AN288=ReachLabel,AN288=LongshotLabel,AN288=HailMaryLabel),1,0)</f>
        <v>0</v>
      </c>
      <c r="AQ288">
        <f>IF(OR(AP288=1,AN288=MatchLabel),1,0)</f>
        <v>0</v>
      </c>
      <c r="AR288">
        <f>IF(OR(AN288=MatchLabel,AN288=SafetyLabel,AN288=SecureLabel,AN288=SureThingLabel),1,0)</f>
        <v>0</v>
      </c>
      <c r="AS288">
        <f>IF(OR(W288="H",W288="B",W288="I",W288="M"),IF(ISNUMBER(AB288),ROUND(AB288,2),0),IF(ISNUMBER(AA288),ROUND(AA288,2),0))</f>
        <v>0</v>
      </c>
      <c r="AT288">
        <f>IF(AS288&gt;=X288,1,0)</f>
        <v>0</v>
      </c>
      <c r="AU288">
        <f>IF(AS288&gt;=Y288,1,0)</f>
        <v>0</v>
      </c>
      <c r="AV288">
        <f>IF(AS288&lt;(X288-0.10),1,0)</f>
        <v>0</v>
      </c>
      <c r="AW288">
        <f>1-AM288/100</f>
        <v>0</v>
      </c>
      <c r="AX288">
        <f>IF(AQ288=1,AW288,1)</f>
        <v>0</v>
      </c>
      <c r="AY288">
        <f>IF(AP288=1,AW288,1)</f>
        <v>0</v>
      </c>
      <c r="AZ288">
        <f>IF(AND(AT288=1,ISNUMBER(AW288)),$AW288,1)</f>
        <v>0</v>
      </c>
      <c r="BA288">
        <f>IF(AND(AU288=1,ISNUMBER(AW288)),$AW288,1)</f>
        <v>0</v>
      </c>
      <c r="BB288">
        <f>IF(ISNUMBER(AB288),INDEX(AllCollegeMoney, MATCH(N288,AllCollegeNCES,0)),0)</f>
        <v>0</v>
      </c>
      <c r="BC288">
        <f>IF(AND(AT288=1,ISNUMBER(AW288),BB288=1),$AW288,1)</f>
        <v>0</v>
      </c>
      <c r="BD288">
        <f>IF(AND(AU288=1,ISNUMBER(AW288),BB288=1),$AW288,1)</f>
        <v>0</v>
      </c>
      <c r="BE288">
        <f>IF(ISNUMBER(AB288),INDEX(AllCollegeILPub, MATCH(N288,AllCollegeNCES,0)),0)</f>
        <v>0</v>
      </c>
      <c r="BF288">
        <f>IF(AN288=ReachLabel,AS288,0)</f>
        <v>0</v>
      </c>
      <c r="BG288">
        <f>IF(AN288=MatchLabel,AS288,0)</f>
        <v>0</v>
      </c>
      <c r="BH288">
        <f>IF(AN288=SafetyLabel,AS288,0)</f>
        <v>0</v>
      </c>
      <c r="BI288">
        <f>IF(AN288=SecureLabel,AS288,0)</f>
        <v>0</v>
      </c>
      <c r="BJ288">
        <f>IF(AN288=SureThingLabel,AS288,0)</f>
        <v>0</v>
      </c>
      <c r="BK288">
        <f>MAX(BF288:BJ288)</f>
        <v>0</v>
      </c>
      <c r="BL288">
        <f>MAX(BG288:BJ288)</f>
        <v>0</v>
      </c>
      <c r="BM288">
        <f>MAX(BH288:BJ288)</f>
        <v>0</v>
      </c>
      <c r="BN288">
        <f>IF(AND(AN288=ReachLabel,BB288=1),AS288,0)</f>
        <v>0</v>
      </c>
      <c r="BO288">
        <f>IF(AND(AN288=MatchLabel,BB288=1),AS288,0)</f>
        <v>0</v>
      </c>
      <c r="BP288">
        <f>IF(AND(AN288=SafetyLabel,BB288=1),AS288,0)</f>
        <v>0</v>
      </c>
      <c r="BQ288">
        <f>IF(AND(AN288=SecureLabel,BB288=1),AS288,0)</f>
        <v>0</v>
      </c>
      <c r="BR288">
        <f>IF(AND(AN288=SureThingLabel,BB288=1),AS288,0)</f>
        <v>0</v>
      </c>
      <c r="BS288">
        <f>MAX(BN288:BR288)</f>
        <v>0</v>
      </c>
      <c r="BT288">
        <f>MAX(BO288:BR288)</f>
        <v>0</v>
      </c>
      <c r="BU288">
        <f>MAX(BP288:BR288)</f>
        <v>0</v>
      </c>
      <c r="BV288">
        <f>IF(ISNUMBER(AB288),INDEX(AllCollegeChicago, MATCH(N288,AllCollegeNCES,0))*BB288,0)</f>
        <v>0</v>
      </c>
      <c r="BW288">
        <f>IF(ISNUMBER(AB288),INDEX(AllCollegeMoneyCode, MATCH(N288,AllCollegeNCES,0)),"?")</f>
        <v>0</v>
      </c>
      <c r="BX288">
        <f>IF(OR(BW288="---",BW288="--",BW288="+/--",BW288="+/---"),1,0)</f>
        <v>0</v>
      </c>
      <c r="BY288">
        <f>BB288*AR288*AT288</f>
        <v>0</v>
      </c>
    </row>
    <row r="289" spans="1:77">
      <c r="A289" t="s">
        <v>96</v>
      </c>
      <c r="B289">
        <v>23038357</v>
      </c>
      <c r="C289" t="s">
        <v>309</v>
      </c>
      <c r="D289" t="s">
        <v>310</v>
      </c>
      <c r="E289" t="s">
        <v>446</v>
      </c>
      <c r="F289" t="s">
        <v>465</v>
      </c>
      <c r="G289" t="s">
        <v>448</v>
      </c>
      <c r="H289" t="s">
        <v>449</v>
      </c>
      <c r="I289" t="s">
        <v>450</v>
      </c>
      <c r="J289" t="s">
        <v>450</v>
      </c>
      <c r="K289">
        <v>0</v>
      </c>
      <c r="L289" t="s">
        <v>446</v>
      </c>
      <c r="M289" t="s">
        <v>446</v>
      </c>
      <c r="N289">
        <v>145600</v>
      </c>
      <c r="O289">
        <f>INDEX(Counselor,MATCH(B289,KidIDs,0))</f>
        <v>0</v>
      </c>
      <c r="P289">
        <f>INDEX(Advisors,MATCH(B289,KidIDs,0))</f>
        <v>0</v>
      </c>
      <c r="Q289">
        <f>INDEX(Cohort,MATCH(B289,KidIDs,0))</f>
        <v>0</v>
      </c>
      <c r="R289">
        <f>INDEX(AllCollegeBarrons,MATCH(N289,AllCollegeNCES,0))</f>
        <v>0</v>
      </c>
      <c r="S289">
        <f>INDEX(KidGPAs,MATCH(B289,KidIDs,0))</f>
        <v>0</v>
      </c>
      <c r="T289">
        <f>INDEX(KidSATs,MATCH(B289,KidIDs,0))</f>
        <v>0</v>
      </c>
      <c r="U289">
        <f>INDEX(Strats,MATCH(B289,KidIDs,0))</f>
        <v>0</v>
      </c>
      <c r="V289">
        <f>INDEX(KidRace,MATCH(B289,KidIDs,0))</f>
        <v>0</v>
      </c>
      <c r="W289">
        <f>IF(OR(V289="M",V289="I"),"H",IF(V289="P","A",V289))</f>
        <v>0</v>
      </c>
      <c r="X289">
        <f>INDEX(StudentTargets,MATCH(B289,KidIDs,0))</f>
        <v>0</v>
      </c>
      <c r="Y289">
        <f>INDEX(ReachStudentTargets,MATCH(B289,KidIDs,0))</f>
        <v>0</v>
      </c>
      <c r="Z289">
        <f>IF(OR(M289="Posse"),1,0)</f>
        <v>0</v>
      </c>
      <c r="AA289">
        <f>IF(ISNUMBER(INDEX(AllCollegeGR, MATCH(N289,AllCollegeNCES,0))),ROUND(INDEX(AllCollegeGR, MATCH(N289,AllCollegeNCES,0))+Z289*IF(INDEX(AllCollegeGR, MATCH(N289,AllCollegeNCES,0))&gt;0.7,(1-INDEX(AllCollegeGR, MATCH(N289,AllCollegeNCES,0)))/2,0.15),2),INDEX(AllCollegeGR, MATCH(N289,AllCollegeNCES,0)))</f>
        <v>0</v>
      </c>
      <c r="AB289">
        <f>IF(ISNUMBER(INDEX(AllCollegeAAHGR, MATCH(N289,AllCollegeNCES,0))),ROUND(INDEX(AllCollegeAAHGR, MATCH(N289,AllCollegeNCES,0))+Z289*IF(INDEX(AllCollegeAAHGR, MATCH(N289,AllCollegeNCES,0))&gt;0.7,(1-INDEX(AllCollegeAAHGR, MATCH(N289,AllCollegeNCES,0)))/2,0.15),2),INDEX(AllCollegeAAHGR, MATCH(N289,AllCollegeNCES,0)))</f>
        <v>0</v>
      </c>
      <c r="AC289">
        <f>IF(OR(W289="H",W289="B"),INDEX(AllCollegeSAT25, MATCH(N289,AllCollegeNCES,0)),INDEX(AllCollegeSAT50, MATCH(N289,AllCollegeNCES,0)))</f>
        <v>0</v>
      </c>
      <c r="AD289">
        <f>INDEX(CustomWeightsGPA,MATCH(W289&amp;":"&amp;N289,CustomWeightsIndex,0))</f>
        <v>0</v>
      </c>
      <c r="AE289">
        <f>INDEX(CustomWeightsSAT,MATCH(W289&amp;":"&amp;N289,CustomWeightsIndex,0))</f>
        <v>0</v>
      </c>
      <c r="AF289">
        <f>INDEX(CustomWeightsIntercept,MATCH(W289&amp;":"&amp;N289,CustomWeightsIndex,0))</f>
        <v>0</v>
      </c>
      <c r="AG289">
        <f>AD289*S289+AE289*T289+AF289</f>
        <v>0</v>
      </c>
      <c r="AH289">
        <f>INDEX(CoefficientsGPA,MATCH(W289&amp;":"&amp;R289,CoefficientsIndex,0))</f>
        <v>0</v>
      </c>
      <c r="AI289">
        <f>INDEX(CoefficientsSAT,MATCH(W289&amp;":"&amp;R289,CoefficientsIndex,0))</f>
        <v>0</v>
      </c>
      <c r="AJ289">
        <f>INDEX(CoefficientsIntercept,MATCH(W289&amp;":"&amp;R289,CoefficientsIndex,0))</f>
        <v>0</v>
      </c>
      <c r="AK289">
        <f>AH289*S289+(T289-AC289)*AI289+AJ289</f>
        <v>0</v>
      </c>
      <c r="AL289">
        <f>IF(ISNUMBER(AG289),AG289,AK289)</f>
        <v>0</v>
      </c>
      <c r="AM289">
        <f>IF(ISNUMBER(AL289),IF(ISNUMBER(AH289),IF(AND(AH289=1,AI289=1,AJ289=1),100,MIN(99,ROUND(100*EXP(AL289)/(1+EXP(AL289)),2))),MIN(99,ROUND(100*EXP(AL289)/(1+EXP(AL289)),2))),IF(ISTEXT(R289),IF(LEFT(R289,1)="2",100,"N/A"),"N/A"))</f>
        <v>0</v>
      </c>
      <c r="AN289">
        <f>IF(ISNUMBER(AM289),IF(AM289&gt;=99,IF(OR(U289=10,U289=11),MatchLabel,SureThingLabel),IF(AM289&gt;=95,SecureLabel,IF(AM289&gt;=80,SafetyLabel,IF(AM289&gt;=50,MatchLabel,IF(AM289&gt;=20,ReachLabel,IF(AM289&gt;=10,LongshotLabel,HailMaryLabel)))))),"Other")</f>
        <v>0</v>
      </c>
      <c r="AO289">
        <f>IF(OR(I289="accepted",I289="cond. accept",I289="summer admit"),IF(J289="yes","CHOICE!","Accepted!"),IF(I289="guar. transfer","Guar. Xfer",IF(I289="denied","Denied",IF(K289=1,"Waitlist",IF(L289=1,"Deferred",IF(G289="pending","Pending",IF(OR(G289="initial materials submitted",G289="mid-year submitted",G289="final submitted"),"Submitted",IF(H289="interest","Interest","?"))))))))</f>
        <v>0</v>
      </c>
      <c r="AP289">
        <f>IF(OR(AN289=ReachLabel,AN289=LongshotLabel,AN289=HailMaryLabel),1,0)</f>
        <v>0</v>
      </c>
      <c r="AQ289">
        <f>IF(OR(AP289=1,AN289=MatchLabel),1,0)</f>
        <v>0</v>
      </c>
      <c r="AR289">
        <f>IF(OR(AN289=MatchLabel,AN289=SafetyLabel,AN289=SecureLabel,AN289=SureThingLabel),1,0)</f>
        <v>0</v>
      </c>
      <c r="AS289">
        <f>IF(OR(W289="H",W289="B",W289="I",W289="M"),IF(ISNUMBER(AB289),ROUND(AB289,2),0),IF(ISNUMBER(AA289),ROUND(AA289,2),0))</f>
        <v>0</v>
      </c>
      <c r="AT289">
        <f>IF(AS289&gt;=X289,1,0)</f>
        <v>0</v>
      </c>
      <c r="AU289">
        <f>IF(AS289&gt;=Y289,1,0)</f>
        <v>0</v>
      </c>
      <c r="AV289">
        <f>IF(AS289&lt;(X289-0.10),1,0)</f>
        <v>0</v>
      </c>
      <c r="AW289">
        <f>1-AM289/100</f>
        <v>0</v>
      </c>
      <c r="AX289">
        <f>IF(AQ289=1,AW289,1)</f>
        <v>0</v>
      </c>
      <c r="AY289">
        <f>IF(AP289=1,AW289,1)</f>
        <v>0</v>
      </c>
      <c r="AZ289">
        <f>IF(AND(AT289=1,ISNUMBER(AW289)),$AW289,1)</f>
        <v>0</v>
      </c>
      <c r="BA289">
        <f>IF(AND(AU289=1,ISNUMBER(AW289)),$AW289,1)</f>
        <v>0</v>
      </c>
      <c r="BB289">
        <f>IF(ISNUMBER(AB289),INDEX(AllCollegeMoney, MATCH(N289,AllCollegeNCES,0)),0)</f>
        <v>0</v>
      </c>
      <c r="BC289">
        <f>IF(AND(AT289=1,ISNUMBER(AW289),BB289=1),$AW289,1)</f>
        <v>0</v>
      </c>
      <c r="BD289">
        <f>IF(AND(AU289=1,ISNUMBER(AW289),BB289=1),$AW289,1)</f>
        <v>0</v>
      </c>
      <c r="BE289">
        <f>IF(ISNUMBER(AB289),INDEX(AllCollegeILPub, MATCH(N289,AllCollegeNCES,0)),0)</f>
        <v>0</v>
      </c>
      <c r="BF289">
        <f>IF(AN289=ReachLabel,AS289,0)</f>
        <v>0</v>
      </c>
      <c r="BG289">
        <f>IF(AN289=MatchLabel,AS289,0)</f>
        <v>0</v>
      </c>
      <c r="BH289">
        <f>IF(AN289=SafetyLabel,AS289,0)</f>
        <v>0</v>
      </c>
      <c r="BI289">
        <f>IF(AN289=SecureLabel,AS289,0)</f>
        <v>0</v>
      </c>
      <c r="BJ289">
        <f>IF(AN289=SureThingLabel,AS289,0)</f>
        <v>0</v>
      </c>
      <c r="BK289">
        <f>MAX(BF289:BJ289)</f>
        <v>0</v>
      </c>
      <c r="BL289">
        <f>MAX(BG289:BJ289)</f>
        <v>0</v>
      </c>
      <c r="BM289">
        <f>MAX(BH289:BJ289)</f>
        <v>0</v>
      </c>
      <c r="BN289">
        <f>IF(AND(AN289=ReachLabel,BB289=1),AS289,0)</f>
        <v>0</v>
      </c>
      <c r="BO289">
        <f>IF(AND(AN289=MatchLabel,BB289=1),AS289,0)</f>
        <v>0</v>
      </c>
      <c r="BP289">
        <f>IF(AND(AN289=SafetyLabel,BB289=1),AS289,0)</f>
        <v>0</v>
      </c>
      <c r="BQ289">
        <f>IF(AND(AN289=SecureLabel,BB289=1),AS289,0)</f>
        <v>0</v>
      </c>
      <c r="BR289">
        <f>IF(AND(AN289=SureThingLabel,BB289=1),AS289,0)</f>
        <v>0</v>
      </c>
      <c r="BS289">
        <f>MAX(BN289:BR289)</f>
        <v>0</v>
      </c>
      <c r="BT289">
        <f>MAX(BO289:BR289)</f>
        <v>0</v>
      </c>
      <c r="BU289">
        <f>MAX(BP289:BR289)</f>
        <v>0</v>
      </c>
      <c r="BV289">
        <f>IF(ISNUMBER(AB289),INDEX(AllCollegeChicago, MATCH(N289,AllCollegeNCES,0))*BB289,0)</f>
        <v>0</v>
      </c>
      <c r="BW289">
        <f>IF(ISNUMBER(AB289),INDEX(AllCollegeMoneyCode, MATCH(N289,AllCollegeNCES,0)),"?")</f>
        <v>0</v>
      </c>
      <c r="BX289">
        <f>IF(OR(BW289="---",BW289="--",BW289="+/--",BW289="+/---"),1,0)</f>
        <v>0</v>
      </c>
      <c r="BY289">
        <f>BB289*AR289*AT289</f>
        <v>0</v>
      </c>
    </row>
    <row r="290" spans="1:77">
      <c r="A290" t="s">
        <v>96</v>
      </c>
      <c r="B290">
        <v>23038357</v>
      </c>
      <c r="C290" t="s">
        <v>309</v>
      </c>
      <c r="D290" t="s">
        <v>310</v>
      </c>
      <c r="E290" t="s">
        <v>446</v>
      </c>
      <c r="F290" t="s">
        <v>541</v>
      </c>
      <c r="G290" t="s">
        <v>479</v>
      </c>
      <c r="H290" t="s">
        <v>449</v>
      </c>
      <c r="I290" t="s">
        <v>450</v>
      </c>
      <c r="J290" t="s">
        <v>450</v>
      </c>
      <c r="K290">
        <v>0</v>
      </c>
      <c r="L290" t="s">
        <v>446</v>
      </c>
      <c r="M290" t="s">
        <v>446</v>
      </c>
      <c r="N290">
        <v>148627</v>
      </c>
      <c r="O290">
        <f>INDEX(Counselor,MATCH(B290,KidIDs,0))</f>
        <v>0</v>
      </c>
      <c r="P290">
        <f>INDEX(Advisors,MATCH(B290,KidIDs,0))</f>
        <v>0</v>
      </c>
      <c r="Q290">
        <f>INDEX(Cohort,MATCH(B290,KidIDs,0))</f>
        <v>0</v>
      </c>
      <c r="R290">
        <f>INDEX(AllCollegeBarrons,MATCH(N290,AllCollegeNCES,0))</f>
        <v>0</v>
      </c>
      <c r="S290">
        <f>INDEX(KidGPAs,MATCH(B290,KidIDs,0))</f>
        <v>0</v>
      </c>
      <c r="T290">
        <f>INDEX(KidSATs,MATCH(B290,KidIDs,0))</f>
        <v>0</v>
      </c>
      <c r="U290">
        <f>INDEX(Strats,MATCH(B290,KidIDs,0))</f>
        <v>0</v>
      </c>
      <c r="V290">
        <f>INDEX(KidRace,MATCH(B290,KidIDs,0))</f>
        <v>0</v>
      </c>
      <c r="W290">
        <f>IF(OR(V290="M",V290="I"),"H",IF(V290="P","A",V290))</f>
        <v>0</v>
      </c>
      <c r="X290">
        <f>INDEX(StudentTargets,MATCH(B290,KidIDs,0))</f>
        <v>0</v>
      </c>
      <c r="Y290">
        <f>INDEX(ReachStudentTargets,MATCH(B290,KidIDs,0))</f>
        <v>0</v>
      </c>
      <c r="Z290">
        <f>IF(OR(M290="Posse"),1,0)</f>
        <v>0</v>
      </c>
      <c r="AA290">
        <f>IF(ISNUMBER(INDEX(AllCollegeGR, MATCH(N290,AllCollegeNCES,0))),ROUND(INDEX(AllCollegeGR, MATCH(N290,AllCollegeNCES,0))+Z290*IF(INDEX(AllCollegeGR, MATCH(N290,AllCollegeNCES,0))&gt;0.7,(1-INDEX(AllCollegeGR, MATCH(N290,AllCollegeNCES,0)))/2,0.15),2),INDEX(AllCollegeGR, MATCH(N290,AllCollegeNCES,0)))</f>
        <v>0</v>
      </c>
      <c r="AB290">
        <f>IF(ISNUMBER(INDEX(AllCollegeAAHGR, MATCH(N290,AllCollegeNCES,0))),ROUND(INDEX(AllCollegeAAHGR, MATCH(N290,AllCollegeNCES,0))+Z290*IF(INDEX(AllCollegeAAHGR, MATCH(N290,AllCollegeNCES,0))&gt;0.7,(1-INDEX(AllCollegeAAHGR, MATCH(N290,AllCollegeNCES,0)))/2,0.15),2),INDEX(AllCollegeAAHGR, MATCH(N290,AllCollegeNCES,0)))</f>
        <v>0</v>
      </c>
      <c r="AC290">
        <f>IF(OR(W290="H",W290="B"),INDEX(AllCollegeSAT25, MATCH(N290,AllCollegeNCES,0)),INDEX(AllCollegeSAT50, MATCH(N290,AllCollegeNCES,0)))</f>
        <v>0</v>
      </c>
      <c r="AD290">
        <f>INDEX(CustomWeightsGPA,MATCH(W290&amp;":"&amp;N290,CustomWeightsIndex,0))</f>
        <v>0</v>
      </c>
      <c r="AE290">
        <f>INDEX(CustomWeightsSAT,MATCH(W290&amp;":"&amp;N290,CustomWeightsIndex,0))</f>
        <v>0</v>
      </c>
      <c r="AF290">
        <f>INDEX(CustomWeightsIntercept,MATCH(W290&amp;":"&amp;N290,CustomWeightsIndex,0))</f>
        <v>0</v>
      </c>
      <c r="AG290">
        <f>AD290*S290+AE290*T290+AF290</f>
        <v>0</v>
      </c>
      <c r="AH290">
        <f>INDEX(CoefficientsGPA,MATCH(W290&amp;":"&amp;R290,CoefficientsIndex,0))</f>
        <v>0</v>
      </c>
      <c r="AI290">
        <f>INDEX(CoefficientsSAT,MATCH(W290&amp;":"&amp;R290,CoefficientsIndex,0))</f>
        <v>0</v>
      </c>
      <c r="AJ290">
        <f>INDEX(CoefficientsIntercept,MATCH(W290&amp;":"&amp;R290,CoefficientsIndex,0))</f>
        <v>0</v>
      </c>
      <c r="AK290">
        <f>AH290*S290+(T290-AC290)*AI290+AJ290</f>
        <v>0</v>
      </c>
      <c r="AL290">
        <f>IF(ISNUMBER(AG290),AG290,AK290)</f>
        <v>0</v>
      </c>
      <c r="AM290">
        <f>IF(ISNUMBER(AL290),IF(ISNUMBER(AH290),IF(AND(AH290=1,AI290=1,AJ290=1),100,MIN(99,ROUND(100*EXP(AL290)/(1+EXP(AL290)),2))),MIN(99,ROUND(100*EXP(AL290)/(1+EXP(AL290)),2))),IF(ISTEXT(R290),IF(LEFT(R290,1)="2",100,"N/A"),"N/A"))</f>
        <v>0</v>
      </c>
      <c r="AN290">
        <f>IF(ISNUMBER(AM290),IF(AM290&gt;=99,IF(OR(U290=10,U290=11),MatchLabel,SureThingLabel),IF(AM290&gt;=95,SecureLabel,IF(AM290&gt;=80,SafetyLabel,IF(AM290&gt;=50,MatchLabel,IF(AM290&gt;=20,ReachLabel,IF(AM290&gt;=10,LongshotLabel,HailMaryLabel)))))),"Other")</f>
        <v>0</v>
      </c>
      <c r="AO290">
        <f>IF(OR(I290="accepted",I290="cond. accept",I290="summer admit"),IF(J290="yes","CHOICE!","Accepted!"),IF(I290="guar. transfer","Guar. Xfer",IF(I290="denied","Denied",IF(K290=1,"Waitlist",IF(L290=1,"Deferred",IF(G290="pending","Pending",IF(OR(G290="initial materials submitted",G290="mid-year submitted",G290="final submitted"),"Submitted",IF(H290="interest","Interest","?"))))))))</f>
        <v>0</v>
      </c>
      <c r="AP290">
        <f>IF(OR(AN290=ReachLabel,AN290=LongshotLabel,AN290=HailMaryLabel),1,0)</f>
        <v>0</v>
      </c>
      <c r="AQ290">
        <f>IF(OR(AP290=1,AN290=MatchLabel),1,0)</f>
        <v>0</v>
      </c>
      <c r="AR290">
        <f>IF(OR(AN290=MatchLabel,AN290=SafetyLabel,AN290=SecureLabel,AN290=SureThingLabel),1,0)</f>
        <v>0</v>
      </c>
      <c r="AS290">
        <f>IF(OR(W290="H",W290="B",W290="I",W290="M"),IF(ISNUMBER(AB290),ROUND(AB290,2),0),IF(ISNUMBER(AA290),ROUND(AA290,2),0))</f>
        <v>0</v>
      </c>
      <c r="AT290">
        <f>IF(AS290&gt;=X290,1,0)</f>
        <v>0</v>
      </c>
      <c r="AU290">
        <f>IF(AS290&gt;=Y290,1,0)</f>
        <v>0</v>
      </c>
      <c r="AV290">
        <f>IF(AS290&lt;(X290-0.10),1,0)</f>
        <v>0</v>
      </c>
      <c r="AW290">
        <f>1-AM290/100</f>
        <v>0</v>
      </c>
      <c r="AX290">
        <f>IF(AQ290=1,AW290,1)</f>
        <v>0</v>
      </c>
      <c r="AY290">
        <f>IF(AP290=1,AW290,1)</f>
        <v>0</v>
      </c>
      <c r="AZ290">
        <f>IF(AND(AT290=1,ISNUMBER(AW290)),$AW290,1)</f>
        <v>0</v>
      </c>
      <c r="BA290">
        <f>IF(AND(AU290=1,ISNUMBER(AW290)),$AW290,1)</f>
        <v>0</v>
      </c>
      <c r="BB290">
        <f>IF(ISNUMBER(AB290),INDEX(AllCollegeMoney, MATCH(N290,AllCollegeNCES,0)),0)</f>
        <v>0</v>
      </c>
      <c r="BC290">
        <f>IF(AND(AT290=1,ISNUMBER(AW290),BB290=1),$AW290,1)</f>
        <v>0</v>
      </c>
      <c r="BD290">
        <f>IF(AND(AU290=1,ISNUMBER(AW290),BB290=1),$AW290,1)</f>
        <v>0</v>
      </c>
      <c r="BE290">
        <f>IF(ISNUMBER(AB290),INDEX(AllCollegeILPub, MATCH(N290,AllCollegeNCES,0)),0)</f>
        <v>0</v>
      </c>
      <c r="BF290">
        <f>IF(AN290=ReachLabel,AS290,0)</f>
        <v>0</v>
      </c>
      <c r="BG290">
        <f>IF(AN290=MatchLabel,AS290,0)</f>
        <v>0</v>
      </c>
      <c r="BH290">
        <f>IF(AN290=SafetyLabel,AS290,0)</f>
        <v>0</v>
      </c>
      <c r="BI290">
        <f>IF(AN290=SecureLabel,AS290,0)</f>
        <v>0</v>
      </c>
      <c r="BJ290">
        <f>IF(AN290=SureThingLabel,AS290,0)</f>
        <v>0</v>
      </c>
      <c r="BK290">
        <f>MAX(BF290:BJ290)</f>
        <v>0</v>
      </c>
      <c r="BL290">
        <f>MAX(BG290:BJ290)</f>
        <v>0</v>
      </c>
      <c r="BM290">
        <f>MAX(BH290:BJ290)</f>
        <v>0</v>
      </c>
      <c r="BN290">
        <f>IF(AND(AN290=ReachLabel,BB290=1),AS290,0)</f>
        <v>0</v>
      </c>
      <c r="BO290">
        <f>IF(AND(AN290=MatchLabel,BB290=1),AS290,0)</f>
        <v>0</v>
      </c>
      <c r="BP290">
        <f>IF(AND(AN290=SafetyLabel,BB290=1),AS290,0)</f>
        <v>0</v>
      </c>
      <c r="BQ290">
        <f>IF(AND(AN290=SecureLabel,BB290=1),AS290,0)</f>
        <v>0</v>
      </c>
      <c r="BR290">
        <f>IF(AND(AN290=SureThingLabel,BB290=1),AS290,0)</f>
        <v>0</v>
      </c>
      <c r="BS290">
        <f>MAX(BN290:BR290)</f>
        <v>0</v>
      </c>
      <c r="BT290">
        <f>MAX(BO290:BR290)</f>
        <v>0</v>
      </c>
      <c r="BU290">
        <f>MAX(BP290:BR290)</f>
        <v>0</v>
      </c>
      <c r="BV290">
        <f>IF(ISNUMBER(AB290),INDEX(AllCollegeChicago, MATCH(N290,AllCollegeNCES,0))*BB290,0)</f>
        <v>0</v>
      </c>
      <c r="BW290">
        <f>IF(ISNUMBER(AB290),INDEX(AllCollegeMoneyCode, MATCH(N290,AllCollegeNCES,0)),"?")</f>
        <v>0</v>
      </c>
      <c r="BX290">
        <f>IF(OR(BW290="---",BW290="--",BW290="+/--",BW290="+/---"),1,0)</f>
        <v>0</v>
      </c>
      <c r="BY290">
        <f>BB290*AR290*AT290</f>
        <v>0</v>
      </c>
    </row>
    <row r="291" spans="1:77">
      <c r="A291" t="s">
        <v>96</v>
      </c>
      <c r="B291">
        <v>23038357</v>
      </c>
      <c r="C291" t="s">
        <v>309</v>
      </c>
      <c r="D291" t="s">
        <v>310</v>
      </c>
      <c r="E291" t="s">
        <v>446</v>
      </c>
      <c r="F291" t="s">
        <v>458</v>
      </c>
      <c r="G291" t="s">
        <v>479</v>
      </c>
      <c r="H291" t="s">
        <v>449</v>
      </c>
      <c r="I291" t="s">
        <v>450</v>
      </c>
      <c r="J291" t="s">
        <v>450</v>
      </c>
      <c r="K291">
        <v>0</v>
      </c>
      <c r="L291" t="s">
        <v>446</v>
      </c>
      <c r="M291" t="s">
        <v>446</v>
      </c>
      <c r="N291">
        <v>144892</v>
      </c>
      <c r="O291">
        <f>INDEX(Counselor,MATCH(B291,KidIDs,0))</f>
        <v>0</v>
      </c>
      <c r="P291">
        <f>INDEX(Advisors,MATCH(B291,KidIDs,0))</f>
        <v>0</v>
      </c>
      <c r="Q291">
        <f>INDEX(Cohort,MATCH(B291,KidIDs,0))</f>
        <v>0</v>
      </c>
      <c r="R291">
        <f>INDEX(AllCollegeBarrons,MATCH(N291,AllCollegeNCES,0))</f>
        <v>0</v>
      </c>
      <c r="S291">
        <f>INDEX(KidGPAs,MATCH(B291,KidIDs,0))</f>
        <v>0</v>
      </c>
      <c r="T291">
        <f>INDEX(KidSATs,MATCH(B291,KidIDs,0))</f>
        <v>0</v>
      </c>
      <c r="U291">
        <f>INDEX(Strats,MATCH(B291,KidIDs,0))</f>
        <v>0</v>
      </c>
      <c r="V291">
        <f>INDEX(KidRace,MATCH(B291,KidIDs,0))</f>
        <v>0</v>
      </c>
      <c r="W291">
        <f>IF(OR(V291="M",V291="I"),"H",IF(V291="P","A",V291))</f>
        <v>0</v>
      </c>
      <c r="X291">
        <f>INDEX(StudentTargets,MATCH(B291,KidIDs,0))</f>
        <v>0</v>
      </c>
      <c r="Y291">
        <f>INDEX(ReachStudentTargets,MATCH(B291,KidIDs,0))</f>
        <v>0</v>
      </c>
      <c r="Z291">
        <f>IF(OR(M291="Posse"),1,0)</f>
        <v>0</v>
      </c>
      <c r="AA291">
        <f>IF(ISNUMBER(INDEX(AllCollegeGR, MATCH(N291,AllCollegeNCES,0))),ROUND(INDEX(AllCollegeGR, MATCH(N291,AllCollegeNCES,0))+Z291*IF(INDEX(AllCollegeGR, MATCH(N291,AllCollegeNCES,0))&gt;0.7,(1-INDEX(AllCollegeGR, MATCH(N291,AllCollegeNCES,0)))/2,0.15),2),INDEX(AllCollegeGR, MATCH(N291,AllCollegeNCES,0)))</f>
        <v>0</v>
      </c>
      <c r="AB291">
        <f>IF(ISNUMBER(INDEX(AllCollegeAAHGR, MATCH(N291,AllCollegeNCES,0))),ROUND(INDEX(AllCollegeAAHGR, MATCH(N291,AllCollegeNCES,0))+Z291*IF(INDEX(AllCollegeAAHGR, MATCH(N291,AllCollegeNCES,0))&gt;0.7,(1-INDEX(AllCollegeAAHGR, MATCH(N291,AllCollegeNCES,0)))/2,0.15),2),INDEX(AllCollegeAAHGR, MATCH(N291,AllCollegeNCES,0)))</f>
        <v>0</v>
      </c>
      <c r="AC291">
        <f>IF(OR(W291="H",W291="B"),INDEX(AllCollegeSAT25, MATCH(N291,AllCollegeNCES,0)),INDEX(AllCollegeSAT50, MATCH(N291,AllCollegeNCES,0)))</f>
        <v>0</v>
      </c>
      <c r="AD291">
        <f>INDEX(CustomWeightsGPA,MATCH(W291&amp;":"&amp;N291,CustomWeightsIndex,0))</f>
        <v>0</v>
      </c>
      <c r="AE291">
        <f>INDEX(CustomWeightsSAT,MATCH(W291&amp;":"&amp;N291,CustomWeightsIndex,0))</f>
        <v>0</v>
      </c>
      <c r="AF291">
        <f>INDEX(CustomWeightsIntercept,MATCH(W291&amp;":"&amp;N291,CustomWeightsIndex,0))</f>
        <v>0</v>
      </c>
      <c r="AG291">
        <f>AD291*S291+AE291*T291+AF291</f>
        <v>0</v>
      </c>
      <c r="AH291">
        <f>INDEX(CoefficientsGPA,MATCH(W291&amp;":"&amp;R291,CoefficientsIndex,0))</f>
        <v>0</v>
      </c>
      <c r="AI291">
        <f>INDEX(CoefficientsSAT,MATCH(W291&amp;":"&amp;R291,CoefficientsIndex,0))</f>
        <v>0</v>
      </c>
      <c r="AJ291">
        <f>INDEX(CoefficientsIntercept,MATCH(W291&amp;":"&amp;R291,CoefficientsIndex,0))</f>
        <v>0</v>
      </c>
      <c r="AK291">
        <f>AH291*S291+(T291-AC291)*AI291+AJ291</f>
        <v>0</v>
      </c>
      <c r="AL291">
        <f>IF(ISNUMBER(AG291),AG291,AK291)</f>
        <v>0</v>
      </c>
      <c r="AM291">
        <f>IF(ISNUMBER(AL291),IF(ISNUMBER(AH291),IF(AND(AH291=1,AI291=1,AJ291=1),100,MIN(99,ROUND(100*EXP(AL291)/(1+EXP(AL291)),2))),MIN(99,ROUND(100*EXP(AL291)/(1+EXP(AL291)),2))),IF(ISTEXT(R291),IF(LEFT(R291,1)="2",100,"N/A"),"N/A"))</f>
        <v>0</v>
      </c>
      <c r="AN291">
        <f>IF(ISNUMBER(AM291),IF(AM291&gt;=99,IF(OR(U291=10,U291=11),MatchLabel,SureThingLabel),IF(AM291&gt;=95,SecureLabel,IF(AM291&gt;=80,SafetyLabel,IF(AM291&gt;=50,MatchLabel,IF(AM291&gt;=20,ReachLabel,IF(AM291&gt;=10,LongshotLabel,HailMaryLabel)))))),"Other")</f>
        <v>0</v>
      </c>
      <c r="AO291">
        <f>IF(OR(I291="accepted",I291="cond. accept",I291="summer admit"),IF(J291="yes","CHOICE!","Accepted!"),IF(I291="guar. transfer","Guar. Xfer",IF(I291="denied","Denied",IF(K291=1,"Waitlist",IF(L291=1,"Deferred",IF(G291="pending","Pending",IF(OR(G291="initial materials submitted",G291="mid-year submitted",G291="final submitted"),"Submitted",IF(H291="interest","Interest","?"))))))))</f>
        <v>0</v>
      </c>
      <c r="AP291">
        <f>IF(OR(AN291=ReachLabel,AN291=LongshotLabel,AN291=HailMaryLabel),1,0)</f>
        <v>0</v>
      </c>
      <c r="AQ291">
        <f>IF(OR(AP291=1,AN291=MatchLabel),1,0)</f>
        <v>0</v>
      </c>
      <c r="AR291">
        <f>IF(OR(AN291=MatchLabel,AN291=SafetyLabel,AN291=SecureLabel,AN291=SureThingLabel),1,0)</f>
        <v>0</v>
      </c>
      <c r="AS291">
        <f>IF(OR(W291="H",W291="B",W291="I",W291="M"),IF(ISNUMBER(AB291),ROUND(AB291,2),0),IF(ISNUMBER(AA291),ROUND(AA291,2),0))</f>
        <v>0</v>
      </c>
      <c r="AT291">
        <f>IF(AS291&gt;=X291,1,0)</f>
        <v>0</v>
      </c>
      <c r="AU291">
        <f>IF(AS291&gt;=Y291,1,0)</f>
        <v>0</v>
      </c>
      <c r="AV291">
        <f>IF(AS291&lt;(X291-0.10),1,0)</f>
        <v>0</v>
      </c>
      <c r="AW291">
        <f>1-AM291/100</f>
        <v>0</v>
      </c>
      <c r="AX291">
        <f>IF(AQ291=1,AW291,1)</f>
        <v>0</v>
      </c>
      <c r="AY291">
        <f>IF(AP291=1,AW291,1)</f>
        <v>0</v>
      </c>
      <c r="AZ291">
        <f>IF(AND(AT291=1,ISNUMBER(AW291)),$AW291,1)</f>
        <v>0</v>
      </c>
      <c r="BA291">
        <f>IF(AND(AU291=1,ISNUMBER(AW291)),$AW291,1)</f>
        <v>0</v>
      </c>
      <c r="BB291">
        <f>IF(ISNUMBER(AB291),INDEX(AllCollegeMoney, MATCH(N291,AllCollegeNCES,0)),0)</f>
        <v>0</v>
      </c>
      <c r="BC291">
        <f>IF(AND(AT291=1,ISNUMBER(AW291),BB291=1),$AW291,1)</f>
        <v>0</v>
      </c>
      <c r="BD291">
        <f>IF(AND(AU291=1,ISNUMBER(AW291),BB291=1),$AW291,1)</f>
        <v>0</v>
      </c>
      <c r="BE291">
        <f>IF(ISNUMBER(AB291),INDEX(AllCollegeILPub, MATCH(N291,AllCollegeNCES,0)),0)</f>
        <v>0</v>
      </c>
      <c r="BF291">
        <f>IF(AN291=ReachLabel,AS291,0)</f>
        <v>0</v>
      </c>
      <c r="BG291">
        <f>IF(AN291=MatchLabel,AS291,0)</f>
        <v>0</v>
      </c>
      <c r="BH291">
        <f>IF(AN291=SafetyLabel,AS291,0)</f>
        <v>0</v>
      </c>
      <c r="BI291">
        <f>IF(AN291=SecureLabel,AS291,0)</f>
        <v>0</v>
      </c>
      <c r="BJ291">
        <f>IF(AN291=SureThingLabel,AS291,0)</f>
        <v>0</v>
      </c>
      <c r="BK291">
        <f>MAX(BF291:BJ291)</f>
        <v>0</v>
      </c>
      <c r="BL291">
        <f>MAX(BG291:BJ291)</f>
        <v>0</v>
      </c>
      <c r="BM291">
        <f>MAX(BH291:BJ291)</f>
        <v>0</v>
      </c>
      <c r="BN291">
        <f>IF(AND(AN291=ReachLabel,BB291=1),AS291,0)</f>
        <v>0</v>
      </c>
      <c r="BO291">
        <f>IF(AND(AN291=MatchLabel,BB291=1),AS291,0)</f>
        <v>0</v>
      </c>
      <c r="BP291">
        <f>IF(AND(AN291=SafetyLabel,BB291=1),AS291,0)</f>
        <v>0</v>
      </c>
      <c r="BQ291">
        <f>IF(AND(AN291=SecureLabel,BB291=1),AS291,0)</f>
        <v>0</v>
      </c>
      <c r="BR291">
        <f>IF(AND(AN291=SureThingLabel,BB291=1),AS291,0)</f>
        <v>0</v>
      </c>
      <c r="BS291">
        <f>MAX(BN291:BR291)</f>
        <v>0</v>
      </c>
      <c r="BT291">
        <f>MAX(BO291:BR291)</f>
        <v>0</v>
      </c>
      <c r="BU291">
        <f>MAX(BP291:BR291)</f>
        <v>0</v>
      </c>
      <c r="BV291">
        <f>IF(ISNUMBER(AB291),INDEX(AllCollegeChicago, MATCH(N291,AllCollegeNCES,0))*BB291,0)</f>
        <v>0</v>
      </c>
      <c r="BW291">
        <f>IF(ISNUMBER(AB291),INDEX(AllCollegeMoneyCode, MATCH(N291,AllCollegeNCES,0)),"?")</f>
        <v>0</v>
      </c>
      <c r="BX291">
        <f>IF(OR(BW291="---",BW291="--",BW291="+/--",BW291="+/---"),1,0)</f>
        <v>0</v>
      </c>
      <c r="BY291">
        <f>BB291*AR291*AT291</f>
        <v>0</v>
      </c>
    </row>
    <row r="292" spans="1:77">
      <c r="A292" t="s">
        <v>96</v>
      </c>
      <c r="B292">
        <v>23050586</v>
      </c>
      <c r="C292" t="s">
        <v>168</v>
      </c>
      <c r="D292" t="s">
        <v>169</v>
      </c>
      <c r="E292" t="s">
        <v>446</v>
      </c>
      <c r="F292" t="s">
        <v>512</v>
      </c>
      <c r="G292" t="s">
        <v>448</v>
      </c>
      <c r="H292" t="s">
        <v>449</v>
      </c>
      <c r="I292" t="s">
        <v>450</v>
      </c>
      <c r="J292" t="s">
        <v>450</v>
      </c>
      <c r="K292">
        <v>0</v>
      </c>
      <c r="L292" t="s">
        <v>446</v>
      </c>
      <c r="M292" t="s">
        <v>446</v>
      </c>
      <c r="N292">
        <v>150400</v>
      </c>
      <c r="O292">
        <f>INDEX(Counselor,MATCH(B292,KidIDs,0))</f>
        <v>0</v>
      </c>
      <c r="P292">
        <f>INDEX(Advisors,MATCH(B292,KidIDs,0))</f>
        <v>0</v>
      </c>
      <c r="Q292">
        <f>INDEX(Cohort,MATCH(B292,KidIDs,0))</f>
        <v>0</v>
      </c>
      <c r="R292">
        <f>INDEX(AllCollegeBarrons,MATCH(N292,AllCollegeNCES,0))</f>
        <v>0</v>
      </c>
      <c r="S292">
        <f>INDEX(KidGPAs,MATCH(B292,KidIDs,0))</f>
        <v>0</v>
      </c>
      <c r="T292">
        <f>INDEX(KidSATs,MATCH(B292,KidIDs,0))</f>
        <v>0</v>
      </c>
      <c r="U292">
        <f>INDEX(Strats,MATCH(B292,KidIDs,0))</f>
        <v>0</v>
      </c>
      <c r="V292">
        <f>INDEX(KidRace,MATCH(B292,KidIDs,0))</f>
        <v>0</v>
      </c>
      <c r="W292">
        <f>IF(OR(V292="M",V292="I"),"H",IF(V292="P","A",V292))</f>
        <v>0</v>
      </c>
      <c r="X292">
        <f>INDEX(StudentTargets,MATCH(B292,KidIDs,0))</f>
        <v>0</v>
      </c>
      <c r="Y292">
        <f>INDEX(ReachStudentTargets,MATCH(B292,KidIDs,0))</f>
        <v>0</v>
      </c>
      <c r="Z292">
        <f>IF(OR(M292="Posse"),1,0)</f>
        <v>0</v>
      </c>
      <c r="AA292">
        <f>IF(ISNUMBER(INDEX(AllCollegeGR, MATCH(N292,AllCollegeNCES,0))),ROUND(INDEX(AllCollegeGR, MATCH(N292,AllCollegeNCES,0))+Z292*IF(INDEX(AllCollegeGR, MATCH(N292,AllCollegeNCES,0))&gt;0.7,(1-INDEX(AllCollegeGR, MATCH(N292,AllCollegeNCES,0)))/2,0.15),2),INDEX(AllCollegeGR, MATCH(N292,AllCollegeNCES,0)))</f>
        <v>0</v>
      </c>
      <c r="AB292">
        <f>IF(ISNUMBER(INDEX(AllCollegeAAHGR, MATCH(N292,AllCollegeNCES,0))),ROUND(INDEX(AllCollegeAAHGR, MATCH(N292,AllCollegeNCES,0))+Z292*IF(INDEX(AllCollegeAAHGR, MATCH(N292,AllCollegeNCES,0))&gt;0.7,(1-INDEX(AllCollegeAAHGR, MATCH(N292,AllCollegeNCES,0)))/2,0.15),2),INDEX(AllCollegeAAHGR, MATCH(N292,AllCollegeNCES,0)))</f>
        <v>0</v>
      </c>
      <c r="AC292">
        <f>IF(OR(W292="H",W292="B"),INDEX(AllCollegeSAT25, MATCH(N292,AllCollegeNCES,0)),INDEX(AllCollegeSAT50, MATCH(N292,AllCollegeNCES,0)))</f>
        <v>0</v>
      </c>
      <c r="AD292">
        <f>INDEX(CustomWeightsGPA,MATCH(W292&amp;":"&amp;N292,CustomWeightsIndex,0))</f>
        <v>0</v>
      </c>
      <c r="AE292">
        <f>INDEX(CustomWeightsSAT,MATCH(W292&amp;":"&amp;N292,CustomWeightsIndex,0))</f>
        <v>0</v>
      </c>
      <c r="AF292">
        <f>INDEX(CustomWeightsIntercept,MATCH(W292&amp;":"&amp;N292,CustomWeightsIndex,0))</f>
        <v>0</v>
      </c>
      <c r="AG292">
        <f>AD292*S292+AE292*T292+AF292</f>
        <v>0</v>
      </c>
      <c r="AH292">
        <f>INDEX(CoefficientsGPA,MATCH(W292&amp;":"&amp;R292,CoefficientsIndex,0))</f>
        <v>0</v>
      </c>
      <c r="AI292">
        <f>INDEX(CoefficientsSAT,MATCH(W292&amp;":"&amp;R292,CoefficientsIndex,0))</f>
        <v>0</v>
      </c>
      <c r="AJ292">
        <f>INDEX(CoefficientsIntercept,MATCH(W292&amp;":"&amp;R292,CoefficientsIndex,0))</f>
        <v>0</v>
      </c>
      <c r="AK292">
        <f>AH292*S292+(T292-AC292)*AI292+AJ292</f>
        <v>0</v>
      </c>
      <c r="AL292">
        <f>IF(ISNUMBER(AG292),AG292,AK292)</f>
        <v>0</v>
      </c>
      <c r="AM292">
        <f>IF(ISNUMBER(AL292),IF(ISNUMBER(AH292),IF(AND(AH292=1,AI292=1,AJ292=1),100,MIN(99,ROUND(100*EXP(AL292)/(1+EXP(AL292)),2))),MIN(99,ROUND(100*EXP(AL292)/(1+EXP(AL292)),2))),IF(ISTEXT(R292),IF(LEFT(R292,1)="2",100,"N/A"),"N/A"))</f>
        <v>0</v>
      </c>
      <c r="AN292">
        <f>IF(ISNUMBER(AM292),IF(AM292&gt;=99,IF(OR(U292=10,U292=11),MatchLabel,SureThingLabel),IF(AM292&gt;=95,SecureLabel,IF(AM292&gt;=80,SafetyLabel,IF(AM292&gt;=50,MatchLabel,IF(AM292&gt;=20,ReachLabel,IF(AM292&gt;=10,LongshotLabel,HailMaryLabel)))))),"Other")</f>
        <v>0</v>
      </c>
      <c r="AO292">
        <f>IF(OR(I292="accepted",I292="cond. accept",I292="summer admit"),IF(J292="yes","CHOICE!","Accepted!"),IF(I292="guar. transfer","Guar. Xfer",IF(I292="denied","Denied",IF(K292=1,"Waitlist",IF(L292=1,"Deferred",IF(G292="pending","Pending",IF(OR(G292="initial materials submitted",G292="mid-year submitted",G292="final submitted"),"Submitted",IF(H292="interest","Interest","?"))))))))</f>
        <v>0</v>
      </c>
      <c r="AP292">
        <f>IF(OR(AN292=ReachLabel,AN292=LongshotLabel,AN292=HailMaryLabel),1,0)</f>
        <v>0</v>
      </c>
      <c r="AQ292">
        <f>IF(OR(AP292=1,AN292=MatchLabel),1,0)</f>
        <v>0</v>
      </c>
      <c r="AR292">
        <f>IF(OR(AN292=MatchLabel,AN292=SafetyLabel,AN292=SecureLabel,AN292=SureThingLabel),1,0)</f>
        <v>0</v>
      </c>
      <c r="AS292">
        <f>IF(OR(W292="H",W292="B",W292="I",W292="M"),IF(ISNUMBER(AB292),ROUND(AB292,2),0),IF(ISNUMBER(AA292),ROUND(AA292,2),0))</f>
        <v>0</v>
      </c>
      <c r="AT292">
        <f>IF(AS292&gt;=X292,1,0)</f>
        <v>0</v>
      </c>
      <c r="AU292">
        <f>IF(AS292&gt;=Y292,1,0)</f>
        <v>0</v>
      </c>
      <c r="AV292">
        <f>IF(AS292&lt;(X292-0.10),1,0)</f>
        <v>0</v>
      </c>
      <c r="AW292">
        <f>1-AM292/100</f>
        <v>0</v>
      </c>
      <c r="AX292">
        <f>IF(AQ292=1,AW292,1)</f>
        <v>0</v>
      </c>
      <c r="AY292">
        <f>IF(AP292=1,AW292,1)</f>
        <v>0</v>
      </c>
      <c r="AZ292">
        <f>IF(AND(AT292=1,ISNUMBER(AW292)),$AW292,1)</f>
        <v>0</v>
      </c>
      <c r="BA292">
        <f>IF(AND(AU292=1,ISNUMBER(AW292)),$AW292,1)</f>
        <v>0</v>
      </c>
      <c r="BB292">
        <f>IF(ISNUMBER(AB292),INDEX(AllCollegeMoney, MATCH(N292,AllCollegeNCES,0)),0)</f>
        <v>0</v>
      </c>
      <c r="BC292">
        <f>IF(AND(AT292=1,ISNUMBER(AW292),BB292=1),$AW292,1)</f>
        <v>0</v>
      </c>
      <c r="BD292">
        <f>IF(AND(AU292=1,ISNUMBER(AW292),BB292=1),$AW292,1)</f>
        <v>0</v>
      </c>
      <c r="BE292">
        <f>IF(ISNUMBER(AB292),INDEX(AllCollegeILPub, MATCH(N292,AllCollegeNCES,0)),0)</f>
        <v>0</v>
      </c>
      <c r="BF292">
        <f>IF(AN292=ReachLabel,AS292,0)</f>
        <v>0</v>
      </c>
      <c r="BG292">
        <f>IF(AN292=MatchLabel,AS292,0)</f>
        <v>0</v>
      </c>
      <c r="BH292">
        <f>IF(AN292=SafetyLabel,AS292,0)</f>
        <v>0</v>
      </c>
      <c r="BI292">
        <f>IF(AN292=SecureLabel,AS292,0)</f>
        <v>0</v>
      </c>
      <c r="BJ292">
        <f>IF(AN292=SureThingLabel,AS292,0)</f>
        <v>0</v>
      </c>
      <c r="BK292">
        <f>MAX(BF292:BJ292)</f>
        <v>0</v>
      </c>
      <c r="BL292">
        <f>MAX(BG292:BJ292)</f>
        <v>0</v>
      </c>
      <c r="BM292">
        <f>MAX(BH292:BJ292)</f>
        <v>0</v>
      </c>
      <c r="BN292">
        <f>IF(AND(AN292=ReachLabel,BB292=1),AS292,0)</f>
        <v>0</v>
      </c>
      <c r="BO292">
        <f>IF(AND(AN292=MatchLabel,BB292=1),AS292,0)</f>
        <v>0</v>
      </c>
      <c r="BP292">
        <f>IF(AND(AN292=SafetyLabel,BB292=1),AS292,0)</f>
        <v>0</v>
      </c>
      <c r="BQ292">
        <f>IF(AND(AN292=SecureLabel,BB292=1),AS292,0)</f>
        <v>0</v>
      </c>
      <c r="BR292">
        <f>IF(AND(AN292=SureThingLabel,BB292=1),AS292,0)</f>
        <v>0</v>
      </c>
      <c r="BS292">
        <f>MAX(BN292:BR292)</f>
        <v>0</v>
      </c>
      <c r="BT292">
        <f>MAX(BO292:BR292)</f>
        <v>0</v>
      </c>
      <c r="BU292">
        <f>MAX(BP292:BR292)</f>
        <v>0</v>
      </c>
      <c r="BV292">
        <f>IF(ISNUMBER(AB292),INDEX(AllCollegeChicago, MATCH(N292,AllCollegeNCES,0))*BB292,0)</f>
        <v>0</v>
      </c>
      <c r="BW292">
        <f>IF(ISNUMBER(AB292),INDEX(AllCollegeMoneyCode, MATCH(N292,AllCollegeNCES,0)),"?")</f>
        <v>0</v>
      </c>
      <c r="BX292">
        <f>IF(OR(BW292="---",BW292="--",BW292="+/--",BW292="+/---"),1,0)</f>
        <v>0</v>
      </c>
      <c r="BY292">
        <f>BB292*AR292*AT292</f>
        <v>0</v>
      </c>
    </row>
    <row r="293" spans="1:77">
      <c r="A293" t="s">
        <v>96</v>
      </c>
      <c r="B293">
        <v>23050586</v>
      </c>
      <c r="C293" t="s">
        <v>168</v>
      </c>
      <c r="D293" t="s">
        <v>169</v>
      </c>
      <c r="E293" t="s">
        <v>446</v>
      </c>
      <c r="F293" t="s">
        <v>542</v>
      </c>
      <c r="G293" t="s">
        <v>543</v>
      </c>
      <c r="H293" t="s">
        <v>543</v>
      </c>
      <c r="I293" t="s">
        <v>544</v>
      </c>
      <c r="J293" t="s">
        <v>446</v>
      </c>
      <c r="K293" t="s">
        <v>446</v>
      </c>
      <c r="L293" t="s">
        <v>446</v>
      </c>
      <c r="M293" t="s">
        <v>446</v>
      </c>
      <c r="N293">
        <v>150400</v>
      </c>
      <c r="O293">
        <f>INDEX(Counselor,MATCH(B293,KidIDs,0))</f>
        <v>0</v>
      </c>
      <c r="P293">
        <f>INDEX(Advisors,MATCH(B293,KidIDs,0))</f>
        <v>0</v>
      </c>
      <c r="Q293">
        <f>INDEX(Cohort,MATCH(B293,KidIDs,0))</f>
        <v>0</v>
      </c>
      <c r="R293">
        <f>INDEX(AllCollegeBarrons,MATCH(N293,AllCollegeNCES,0))</f>
        <v>0</v>
      </c>
      <c r="S293">
        <f>INDEX(KidGPAs,MATCH(B293,KidIDs,0))</f>
        <v>0</v>
      </c>
      <c r="T293">
        <f>INDEX(KidSATs,MATCH(B293,KidIDs,0))</f>
        <v>0</v>
      </c>
      <c r="U293">
        <f>INDEX(Strats,MATCH(B293,KidIDs,0))</f>
        <v>0</v>
      </c>
      <c r="V293">
        <f>INDEX(KidRace,MATCH(B293,KidIDs,0))</f>
        <v>0</v>
      </c>
      <c r="W293">
        <f>IF(OR(V293="M",V293="I"),"H",IF(V293="P","A",V293))</f>
        <v>0</v>
      </c>
      <c r="X293">
        <f>INDEX(StudentTargets,MATCH(B293,KidIDs,0))</f>
        <v>0</v>
      </c>
      <c r="Y293">
        <f>INDEX(ReachStudentTargets,MATCH(B293,KidIDs,0))</f>
        <v>0</v>
      </c>
      <c r="Z293">
        <f>IF(OR(M293="Posse"),1,0)</f>
        <v>0</v>
      </c>
      <c r="AA293">
        <f>IF(ISNUMBER(INDEX(AllCollegeGR, MATCH(N293,AllCollegeNCES,0))),ROUND(INDEX(AllCollegeGR, MATCH(N293,AllCollegeNCES,0))+Z293*IF(INDEX(AllCollegeGR, MATCH(N293,AllCollegeNCES,0))&gt;0.7,(1-INDEX(AllCollegeGR, MATCH(N293,AllCollegeNCES,0)))/2,0.15),2),INDEX(AllCollegeGR, MATCH(N293,AllCollegeNCES,0)))</f>
        <v>0</v>
      </c>
      <c r="AB293">
        <f>IF(ISNUMBER(INDEX(AllCollegeAAHGR, MATCH(N293,AllCollegeNCES,0))),ROUND(INDEX(AllCollegeAAHGR, MATCH(N293,AllCollegeNCES,0))+Z293*IF(INDEX(AllCollegeAAHGR, MATCH(N293,AllCollegeNCES,0))&gt;0.7,(1-INDEX(AllCollegeAAHGR, MATCH(N293,AllCollegeNCES,0)))/2,0.15),2),INDEX(AllCollegeAAHGR, MATCH(N293,AllCollegeNCES,0)))</f>
        <v>0</v>
      </c>
      <c r="AC293">
        <f>IF(OR(W293="H",W293="B"),INDEX(AllCollegeSAT25, MATCH(N293,AllCollegeNCES,0)),INDEX(AllCollegeSAT50, MATCH(N293,AllCollegeNCES,0)))</f>
        <v>0</v>
      </c>
      <c r="AD293">
        <f>INDEX(CustomWeightsGPA,MATCH(W293&amp;":"&amp;N293,CustomWeightsIndex,0))</f>
        <v>0</v>
      </c>
      <c r="AE293">
        <f>INDEX(CustomWeightsSAT,MATCH(W293&amp;":"&amp;N293,CustomWeightsIndex,0))</f>
        <v>0</v>
      </c>
      <c r="AF293">
        <f>INDEX(CustomWeightsIntercept,MATCH(W293&amp;":"&amp;N293,CustomWeightsIndex,0))</f>
        <v>0</v>
      </c>
      <c r="AG293">
        <f>AD293*S293+AE293*T293+AF293</f>
        <v>0</v>
      </c>
      <c r="AH293">
        <f>INDEX(CoefficientsGPA,MATCH(W293&amp;":"&amp;R293,CoefficientsIndex,0))</f>
        <v>0</v>
      </c>
      <c r="AI293">
        <f>INDEX(CoefficientsSAT,MATCH(W293&amp;":"&amp;R293,CoefficientsIndex,0))</f>
        <v>0</v>
      </c>
      <c r="AJ293">
        <f>INDEX(CoefficientsIntercept,MATCH(W293&amp;":"&amp;R293,CoefficientsIndex,0))</f>
        <v>0</v>
      </c>
      <c r="AK293">
        <f>AH293*S293+(T293-AC293)*AI293+AJ293</f>
        <v>0</v>
      </c>
      <c r="AL293">
        <f>IF(ISNUMBER(AG293),AG293,AK293)</f>
        <v>0</v>
      </c>
      <c r="AM293">
        <f>IF(ISNUMBER(AL293),IF(ISNUMBER(AH293),IF(AND(AH293=1,AI293=1,AJ293=1),100,MIN(99,ROUND(100*EXP(AL293)/(1+EXP(AL293)),2))),MIN(99,ROUND(100*EXP(AL293)/(1+EXP(AL293)),2))),IF(ISTEXT(R293),IF(LEFT(R293,1)="2",100,"N/A"),"N/A"))</f>
        <v>0</v>
      </c>
      <c r="AN293">
        <f>IF(ISNUMBER(AM293),IF(AM293&gt;=99,IF(OR(U293=10,U293=11),MatchLabel,SureThingLabel),IF(AM293&gt;=95,SecureLabel,IF(AM293&gt;=80,SafetyLabel,IF(AM293&gt;=50,MatchLabel,IF(AM293&gt;=20,ReachLabel,IF(AM293&gt;=10,LongshotLabel,HailMaryLabel)))))),"Other")</f>
        <v>0</v>
      </c>
      <c r="AO293">
        <f>IF(OR(I293="accepted",I293="cond. accept",I293="summer admit"),IF(J293="yes","CHOICE!","Accepted!"),IF(I293="guar. transfer","Guar. Xfer",IF(I293="denied","Denied",IF(K293=1,"Waitlist",IF(L293=1,"Deferred",IF(G293="pending","Pending",IF(OR(G293="initial materials submitted",G293="mid-year submitted",G293="final submitted"),"Submitted",IF(H293="interest","Interest","?"))))))))</f>
        <v>0</v>
      </c>
      <c r="AP293">
        <f>IF(OR(AN293=ReachLabel,AN293=LongshotLabel,AN293=HailMaryLabel),1,0)</f>
        <v>0</v>
      </c>
      <c r="AQ293">
        <f>IF(OR(AP293=1,AN293=MatchLabel),1,0)</f>
        <v>0</v>
      </c>
      <c r="AR293">
        <f>IF(OR(AN293=MatchLabel,AN293=SafetyLabel,AN293=SecureLabel,AN293=SureThingLabel),1,0)</f>
        <v>0</v>
      </c>
      <c r="AS293">
        <f>IF(OR(W293="H",W293="B",W293="I",W293="M"),IF(ISNUMBER(AB293),ROUND(AB293,2),0),IF(ISNUMBER(AA293),ROUND(AA293,2),0))</f>
        <v>0</v>
      </c>
      <c r="AT293">
        <f>IF(AS293&gt;=X293,1,0)</f>
        <v>0</v>
      </c>
      <c r="AU293">
        <f>IF(AS293&gt;=Y293,1,0)</f>
        <v>0</v>
      </c>
      <c r="AV293">
        <f>IF(AS293&lt;(X293-0.10),1,0)</f>
        <v>0</v>
      </c>
      <c r="AW293">
        <f>1-AM293/100</f>
        <v>0</v>
      </c>
      <c r="AX293">
        <f>IF(AQ293=1,AW293,1)</f>
        <v>0</v>
      </c>
      <c r="AY293">
        <f>IF(AP293=1,AW293,1)</f>
        <v>0</v>
      </c>
      <c r="AZ293">
        <f>IF(AND(AT293=1,ISNUMBER(AW293)),$AW293,1)</f>
        <v>0</v>
      </c>
      <c r="BA293">
        <f>IF(AND(AU293=1,ISNUMBER(AW293)),$AW293,1)</f>
        <v>0</v>
      </c>
      <c r="BB293">
        <f>IF(ISNUMBER(AB293),INDEX(AllCollegeMoney, MATCH(N293,AllCollegeNCES,0)),0)</f>
        <v>0</v>
      </c>
      <c r="BC293">
        <f>IF(AND(AT293=1,ISNUMBER(AW293),BB293=1),$AW293,1)</f>
        <v>0</v>
      </c>
      <c r="BD293">
        <f>IF(AND(AU293=1,ISNUMBER(AW293),BB293=1),$AW293,1)</f>
        <v>0</v>
      </c>
      <c r="BE293">
        <f>IF(ISNUMBER(AB293),INDEX(AllCollegeILPub, MATCH(N293,AllCollegeNCES,0)),0)</f>
        <v>0</v>
      </c>
      <c r="BF293">
        <f>IF(AN293=ReachLabel,AS293,0)</f>
        <v>0</v>
      </c>
      <c r="BG293">
        <f>IF(AN293=MatchLabel,AS293,0)</f>
        <v>0</v>
      </c>
      <c r="BH293">
        <f>IF(AN293=SafetyLabel,AS293,0)</f>
        <v>0</v>
      </c>
      <c r="BI293">
        <f>IF(AN293=SecureLabel,AS293,0)</f>
        <v>0</v>
      </c>
      <c r="BJ293">
        <f>IF(AN293=SureThingLabel,AS293,0)</f>
        <v>0</v>
      </c>
      <c r="BK293">
        <f>MAX(BF293:BJ293)</f>
        <v>0</v>
      </c>
      <c r="BL293">
        <f>MAX(BG293:BJ293)</f>
        <v>0</v>
      </c>
      <c r="BM293">
        <f>MAX(BH293:BJ293)</f>
        <v>0</v>
      </c>
      <c r="BN293">
        <f>IF(AND(AN293=ReachLabel,BB293=1),AS293,0)</f>
        <v>0</v>
      </c>
      <c r="BO293">
        <f>IF(AND(AN293=MatchLabel,BB293=1),AS293,0)</f>
        <v>0</v>
      </c>
      <c r="BP293">
        <f>IF(AND(AN293=SafetyLabel,BB293=1),AS293,0)</f>
        <v>0</v>
      </c>
      <c r="BQ293">
        <f>IF(AND(AN293=SecureLabel,BB293=1),AS293,0)</f>
        <v>0</v>
      </c>
      <c r="BR293">
        <f>IF(AND(AN293=SureThingLabel,BB293=1),AS293,0)</f>
        <v>0</v>
      </c>
      <c r="BS293">
        <f>MAX(BN293:BR293)</f>
        <v>0</v>
      </c>
      <c r="BT293">
        <f>MAX(BO293:BR293)</f>
        <v>0</v>
      </c>
      <c r="BU293">
        <f>MAX(BP293:BR293)</f>
        <v>0</v>
      </c>
      <c r="BV293">
        <f>IF(ISNUMBER(AB293),INDEX(AllCollegeChicago, MATCH(N293,AllCollegeNCES,0))*BB293,0)</f>
        <v>0</v>
      </c>
      <c r="BW293">
        <f>IF(ISNUMBER(AB293),INDEX(AllCollegeMoneyCode, MATCH(N293,AllCollegeNCES,0)),"?")</f>
        <v>0</v>
      </c>
      <c r="BX293">
        <f>IF(OR(BW293="---",BW293="--",BW293="+/--",BW293="+/---"),1,0)</f>
        <v>0</v>
      </c>
      <c r="BY293">
        <f>BB293*AR293*AT293</f>
        <v>0</v>
      </c>
    </row>
    <row r="294" spans="1:77">
      <c r="A294" t="s">
        <v>96</v>
      </c>
      <c r="B294">
        <v>23050586</v>
      </c>
      <c r="C294" t="s">
        <v>168</v>
      </c>
      <c r="D294" t="s">
        <v>169</v>
      </c>
      <c r="E294" t="s">
        <v>446</v>
      </c>
      <c r="F294" t="s">
        <v>486</v>
      </c>
      <c r="G294" t="s">
        <v>448</v>
      </c>
      <c r="H294" t="s">
        <v>449</v>
      </c>
      <c r="I294" t="s">
        <v>450</v>
      </c>
      <c r="J294" t="s">
        <v>450</v>
      </c>
      <c r="K294">
        <v>0</v>
      </c>
      <c r="L294" t="s">
        <v>446</v>
      </c>
      <c r="M294" t="s">
        <v>446</v>
      </c>
      <c r="N294">
        <v>206589</v>
      </c>
      <c r="O294">
        <f>INDEX(Counselor,MATCH(B294,KidIDs,0))</f>
        <v>0</v>
      </c>
      <c r="P294">
        <f>INDEX(Advisors,MATCH(B294,KidIDs,0))</f>
        <v>0</v>
      </c>
      <c r="Q294">
        <f>INDEX(Cohort,MATCH(B294,KidIDs,0))</f>
        <v>0</v>
      </c>
      <c r="R294">
        <f>INDEX(AllCollegeBarrons,MATCH(N294,AllCollegeNCES,0))</f>
        <v>0</v>
      </c>
      <c r="S294">
        <f>INDEX(KidGPAs,MATCH(B294,KidIDs,0))</f>
        <v>0</v>
      </c>
      <c r="T294">
        <f>INDEX(KidSATs,MATCH(B294,KidIDs,0))</f>
        <v>0</v>
      </c>
      <c r="U294">
        <f>INDEX(Strats,MATCH(B294,KidIDs,0))</f>
        <v>0</v>
      </c>
      <c r="V294">
        <f>INDEX(KidRace,MATCH(B294,KidIDs,0))</f>
        <v>0</v>
      </c>
      <c r="W294">
        <f>IF(OR(V294="M",V294="I"),"H",IF(V294="P","A",V294))</f>
        <v>0</v>
      </c>
      <c r="X294">
        <f>INDEX(StudentTargets,MATCH(B294,KidIDs,0))</f>
        <v>0</v>
      </c>
      <c r="Y294">
        <f>INDEX(ReachStudentTargets,MATCH(B294,KidIDs,0))</f>
        <v>0</v>
      </c>
      <c r="Z294">
        <f>IF(OR(M294="Posse"),1,0)</f>
        <v>0</v>
      </c>
      <c r="AA294">
        <f>IF(ISNUMBER(INDEX(AllCollegeGR, MATCH(N294,AllCollegeNCES,0))),ROUND(INDEX(AllCollegeGR, MATCH(N294,AllCollegeNCES,0))+Z294*IF(INDEX(AllCollegeGR, MATCH(N294,AllCollegeNCES,0))&gt;0.7,(1-INDEX(AllCollegeGR, MATCH(N294,AllCollegeNCES,0)))/2,0.15),2),INDEX(AllCollegeGR, MATCH(N294,AllCollegeNCES,0)))</f>
        <v>0</v>
      </c>
      <c r="AB294">
        <f>IF(ISNUMBER(INDEX(AllCollegeAAHGR, MATCH(N294,AllCollegeNCES,0))),ROUND(INDEX(AllCollegeAAHGR, MATCH(N294,AllCollegeNCES,0))+Z294*IF(INDEX(AllCollegeAAHGR, MATCH(N294,AllCollegeNCES,0))&gt;0.7,(1-INDEX(AllCollegeAAHGR, MATCH(N294,AllCollegeNCES,0)))/2,0.15),2),INDEX(AllCollegeAAHGR, MATCH(N294,AllCollegeNCES,0)))</f>
        <v>0</v>
      </c>
      <c r="AC294">
        <f>IF(OR(W294="H",W294="B"),INDEX(AllCollegeSAT25, MATCH(N294,AllCollegeNCES,0)),INDEX(AllCollegeSAT50, MATCH(N294,AllCollegeNCES,0)))</f>
        <v>0</v>
      </c>
      <c r="AD294">
        <f>INDEX(CustomWeightsGPA,MATCH(W294&amp;":"&amp;N294,CustomWeightsIndex,0))</f>
        <v>0</v>
      </c>
      <c r="AE294">
        <f>INDEX(CustomWeightsSAT,MATCH(W294&amp;":"&amp;N294,CustomWeightsIndex,0))</f>
        <v>0</v>
      </c>
      <c r="AF294">
        <f>INDEX(CustomWeightsIntercept,MATCH(W294&amp;":"&amp;N294,CustomWeightsIndex,0))</f>
        <v>0</v>
      </c>
      <c r="AG294">
        <f>AD294*S294+AE294*T294+AF294</f>
        <v>0</v>
      </c>
      <c r="AH294">
        <f>INDEX(CoefficientsGPA,MATCH(W294&amp;":"&amp;R294,CoefficientsIndex,0))</f>
        <v>0</v>
      </c>
      <c r="AI294">
        <f>INDEX(CoefficientsSAT,MATCH(W294&amp;":"&amp;R294,CoefficientsIndex,0))</f>
        <v>0</v>
      </c>
      <c r="AJ294">
        <f>INDEX(CoefficientsIntercept,MATCH(W294&amp;":"&amp;R294,CoefficientsIndex,0))</f>
        <v>0</v>
      </c>
      <c r="AK294">
        <f>AH294*S294+(T294-AC294)*AI294+AJ294</f>
        <v>0</v>
      </c>
      <c r="AL294">
        <f>IF(ISNUMBER(AG294),AG294,AK294)</f>
        <v>0</v>
      </c>
      <c r="AM294">
        <f>IF(ISNUMBER(AL294),IF(ISNUMBER(AH294),IF(AND(AH294=1,AI294=1,AJ294=1),100,MIN(99,ROUND(100*EXP(AL294)/(1+EXP(AL294)),2))),MIN(99,ROUND(100*EXP(AL294)/(1+EXP(AL294)),2))),IF(ISTEXT(R294),IF(LEFT(R294,1)="2",100,"N/A"),"N/A"))</f>
        <v>0</v>
      </c>
      <c r="AN294">
        <f>IF(ISNUMBER(AM294),IF(AM294&gt;=99,IF(OR(U294=10,U294=11),MatchLabel,SureThingLabel),IF(AM294&gt;=95,SecureLabel,IF(AM294&gt;=80,SafetyLabel,IF(AM294&gt;=50,MatchLabel,IF(AM294&gt;=20,ReachLabel,IF(AM294&gt;=10,LongshotLabel,HailMaryLabel)))))),"Other")</f>
        <v>0</v>
      </c>
      <c r="AO294">
        <f>IF(OR(I294="accepted",I294="cond. accept",I294="summer admit"),IF(J294="yes","CHOICE!","Accepted!"),IF(I294="guar. transfer","Guar. Xfer",IF(I294="denied","Denied",IF(K294=1,"Waitlist",IF(L294=1,"Deferred",IF(G294="pending","Pending",IF(OR(G294="initial materials submitted",G294="mid-year submitted",G294="final submitted"),"Submitted",IF(H294="interest","Interest","?"))))))))</f>
        <v>0</v>
      </c>
      <c r="AP294">
        <f>IF(OR(AN294=ReachLabel,AN294=LongshotLabel,AN294=HailMaryLabel),1,0)</f>
        <v>0</v>
      </c>
      <c r="AQ294">
        <f>IF(OR(AP294=1,AN294=MatchLabel),1,0)</f>
        <v>0</v>
      </c>
      <c r="AR294">
        <f>IF(OR(AN294=MatchLabel,AN294=SafetyLabel,AN294=SecureLabel,AN294=SureThingLabel),1,0)</f>
        <v>0</v>
      </c>
      <c r="AS294">
        <f>IF(OR(W294="H",W294="B",W294="I",W294="M"),IF(ISNUMBER(AB294),ROUND(AB294,2),0),IF(ISNUMBER(AA294),ROUND(AA294,2),0))</f>
        <v>0</v>
      </c>
      <c r="AT294">
        <f>IF(AS294&gt;=X294,1,0)</f>
        <v>0</v>
      </c>
      <c r="AU294">
        <f>IF(AS294&gt;=Y294,1,0)</f>
        <v>0</v>
      </c>
      <c r="AV294">
        <f>IF(AS294&lt;(X294-0.10),1,0)</f>
        <v>0</v>
      </c>
      <c r="AW294">
        <f>1-AM294/100</f>
        <v>0</v>
      </c>
      <c r="AX294">
        <f>IF(AQ294=1,AW294,1)</f>
        <v>0</v>
      </c>
      <c r="AY294">
        <f>IF(AP294=1,AW294,1)</f>
        <v>0</v>
      </c>
      <c r="AZ294">
        <f>IF(AND(AT294=1,ISNUMBER(AW294)),$AW294,1)</f>
        <v>0</v>
      </c>
      <c r="BA294">
        <f>IF(AND(AU294=1,ISNUMBER(AW294)),$AW294,1)</f>
        <v>0</v>
      </c>
      <c r="BB294">
        <f>IF(ISNUMBER(AB294),INDEX(AllCollegeMoney, MATCH(N294,AllCollegeNCES,0)),0)</f>
        <v>0</v>
      </c>
      <c r="BC294">
        <f>IF(AND(AT294=1,ISNUMBER(AW294),BB294=1),$AW294,1)</f>
        <v>0</v>
      </c>
      <c r="BD294">
        <f>IF(AND(AU294=1,ISNUMBER(AW294),BB294=1),$AW294,1)</f>
        <v>0</v>
      </c>
      <c r="BE294">
        <f>IF(ISNUMBER(AB294),INDEX(AllCollegeILPub, MATCH(N294,AllCollegeNCES,0)),0)</f>
        <v>0</v>
      </c>
      <c r="BF294">
        <f>IF(AN294=ReachLabel,AS294,0)</f>
        <v>0</v>
      </c>
      <c r="BG294">
        <f>IF(AN294=MatchLabel,AS294,0)</f>
        <v>0</v>
      </c>
      <c r="BH294">
        <f>IF(AN294=SafetyLabel,AS294,0)</f>
        <v>0</v>
      </c>
      <c r="BI294">
        <f>IF(AN294=SecureLabel,AS294,0)</f>
        <v>0</v>
      </c>
      <c r="BJ294">
        <f>IF(AN294=SureThingLabel,AS294,0)</f>
        <v>0</v>
      </c>
      <c r="BK294">
        <f>MAX(BF294:BJ294)</f>
        <v>0</v>
      </c>
      <c r="BL294">
        <f>MAX(BG294:BJ294)</f>
        <v>0</v>
      </c>
      <c r="BM294">
        <f>MAX(BH294:BJ294)</f>
        <v>0</v>
      </c>
      <c r="BN294">
        <f>IF(AND(AN294=ReachLabel,BB294=1),AS294,0)</f>
        <v>0</v>
      </c>
      <c r="BO294">
        <f>IF(AND(AN294=MatchLabel,BB294=1),AS294,0)</f>
        <v>0</v>
      </c>
      <c r="BP294">
        <f>IF(AND(AN294=SafetyLabel,BB294=1),AS294,0)</f>
        <v>0</v>
      </c>
      <c r="BQ294">
        <f>IF(AND(AN294=SecureLabel,BB294=1),AS294,0)</f>
        <v>0</v>
      </c>
      <c r="BR294">
        <f>IF(AND(AN294=SureThingLabel,BB294=1),AS294,0)</f>
        <v>0</v>
      </c>
      <c r="BS294">
        <f>MAX(BN294:BR294)</f>
        <v>0</v>
      </c>
      <c r="BT294">
        <f>MAX(BO294:BR294)</f>
        <v>0</v>
      </c>
      <c r="BU294">
        <f>MAX(BP294:BR294)</f>
        <v>0</v>
      </c>
      <c r="BV294">
        <f>IF(ISNUMBER(AB294),INDEX(AllCollegeChicago, MATCH(N294,AllCollegeNCES,0))*BB294,0)</f>
        <v>0</v>
      </c>
      <c r="BW294">
        <f>IF(ISNUMBER(AB294),INDEX(AllCollegeMoneyCode, MATCH(N294,AllCollegeNCES,0)),"?")</f>
        <v>0</v>
      </c>
      <c r="BX294">
        <f>IF(OR(BW294="---",BW294="--",BW294="+/--",BW294="+/---"),1,0)</f>
        <v>0</v>
      </c>
      <c r="BY294">
        <f>BB294*AR294*AT294</f>
        <v>0</v>
      </c>
    </row>
    <row r="295" spans="1:77">
      <c r="A295" t="s">
        <v>96</v>
      </c>
      <c r="B295">
        <v>23050586</v>
      </c>
      <c r="C295" t="s">
        <v>168</v>
      </c>
      <c r="D295" t="s">
        <v>169</v>
      </c>
      <c r="E295" t="s">
        <v>446</v>
      </c>
      <c r="F295" t="s">
        <v>545</v>
      </c>
      <c r="G295" t="s">
        <v>543</v>
      </c>
      <c r="H295" t="s">
        <v>543</v>
      </c>
      <c r="I295" t="s">
        <v>544</v>
      </c>
      <c r="J295" t="s">
        <v>446</v>
      </c>
      <c r="K295" t="s">
        <v>446</v>
      </c>
      <c r="L295" t="s">
        <v>446</v>
      </c>
      <c r="M295" t="s">
        <v>446</v>
      </c>
      <c r="N295">
        <v>206589</v>
      </c>
      <c r="O295">
        <f>INDEX(Counselor,MATCH(B295,KidIDs,0))</f>
        <v>0</v>
      </c>
      <c r="P295">
        <f>INDEX(Advisors,MATCH(B295,KidIDs,0))</f>
        <v>0</v>
      </c>
      <c r="Q295">
        <f>INDEX(Cohort,MATCH(B295,KidIDs,0))</f>
        <v>0</v>
      </c>
      <c r="R295">
        <f>INDEX(AllCollegeBarrons,MATCH(N295,AllCollegeNCES,0))</f>
        <v>0</v>
      </c>
      <c r="S295">
        <f>INDEX(KidGPAs,MATCH(B295,KidIDs,0))</f>
        <v>0</v>
      </c>
      <c r="T295">
        <f>INDEX(KidSATs,MATCH(B295,KidIDs,0))</f>
        <v>0</v>
      </c>
      <c r="U295">
        <f>INDEX(Strats,MATCH(B295,KidIDs,0))</f>
        <v>0</v>
      </c>
      <c r="V295">
        <f>INDEX(KidRace,MATCH(B295,KidIDs,0))</f>
        <v>0</v>
      </c>
      <c r="W295">
        <f>IF(OR(V295="M",V295="I"),"H",IF(V295="P","A",V295))</f>
        <v>0</v>
      </c>
      <c r="X295">
        <f>INDEX(StudentTargets,MATCH(B295,KidIDs,0))</f>
        <v>0</v>
      </c>
      <c r="Y295">
        <f>INDEX(ReachStudentTargets,MATCH(B295,KidIDs,0))</f>
        <v>0</v>
      </c>
      <c r="Z295">
        <f>IF(OR(M295="Posse"),1,0)</f>
        <v>0</v>
      </c>
      <c r="AA295">
        <f>IF(ISNUMBER(INDEX(AllCollegeGR, MATCH(N295,AllCollegeNCES,0))),ROUND(INDEX(AllCollegeGR, MATCH(N295,AllCollegeNCES,0))+Z295*IF(INDEX(AllCollegeGR, MATCH(N295,AllCollegeNCES,0))&gt;0.7,(1-INDEX(AllCollegeGR, MATCH(N295,AllCollegeNCES,0)))/2,0.15),2),INDEX(AllCollegeGR, MATCH(N295,AllCollegeNCES,0)))</f>
        <v>0</v>
      </c>
      <c r="AB295">
        <f>IF(ISNUMBER(INDEX(AllCollegeAAHGR, MATCH(N295,AllCollegeNCES,0))),ROUND(INDEX(AllCollegeAAHGR, MATCH(N295,AllCollegeNCES,0))+Z295*IF(INDEX(AllCollegeAAHGR, MATCH(N295,AllCollegeNCES,0))&gt;0.7,(1-INDEX(AllCollegeAAHGR, MATCH(N295,AllCollegeNCES,0)))/2,0.15),2),INDEX(AllCollegeAAHGR, MATCH(N295,AllCollegeNCES,0)))</f>
        <v>0</v>
      </c>
      <c r="AC295">
        <f>IF(OR(W295="H",W295="B"),INDEX(AllCollegeSAT25, MATCH(N295,AllCollegeNCES,0)),INDEX(AllCollegeSAT50, MATCH(N295,AllCollegeNCES,0)))</f>
        <v>0</v>
      </c>
      <c r="AD295">
        <f>INDEX(CustomWeightsGPA,MATCH(W295&amp;":"&amp;N295,CustomWeightsIndex,0))</f>
        <v>0</v>
      </c>
      <c r="AE295">
        <f>INDEX(CustomWeightsSAT,MATCH(W295&amp;":"&amp;N295,CustomWeightsIndex,0))</f>
        <v>0</v>
      </c>
      <c r="AF295">
        <f>INDEX(CustomWeightsIntercept,MATCH(W295&amp;":"&amp;N295,CustomWeightsIndex,0))</f>
        <v>0</v>
      </c>
      <c r="AG295">
        <f>AD295*S295+AE295*T295+AF295</f>
        <v>0</v>
      </c>
      <c r="AH295">
        <f>INDEX(CoefficientsGPA,MATCH(W295&amp;":"&amp;R295,CoefficientsIndex,0))</f>
        <v>0</v>
      </c>
      <c r="AI295">
        <f>INDEX(CoefficientsSAT,MATCH(W295&amp;":"&amp;R295,CoefficientsIndex,0))</f>
        <v>0</v>
      </c>
      <c r="AJ295">
        <f>INDEX(CoefficientsIntercept,MATCH(W295&amp;":"&amp;R295,CoefficientsIndex,0))</f>
        <v>0</v>
      </c>
      <c r="AK295">
        <f>AH295*S295+(T295-AC295)*AI295+AJ295</f>
        <v>0</v>
      </c>
      <c r="AL295">
        <f>IF(ISNUMBER(AG295),AG295,AK295)</f>
        <v>0</v>
      </c>
      <c r="AM295">
        <f>IF(ISNUMBER(AL295),IF(ISNUMBER(AH295),IF(AND(AH295=1,AI295=1,AJ295=1),100,MIN(99,ROUND(100*EXP(AL295)/(1+EXP(AL295)),2))),MIN(99,ROUND(100*EXP(AL295)/(1+EXP(AL295)),2))),IF(ISTEXT(R295),IF(LEFT(R295,1)="2",100,"N/A"),"N/A"))</f>
        <v>0</v>
      </c>
      <c r="AN295">
        <f>IF(ISNUMBER(AM295),IF(AM295&gt;=99,IF(OR(U295=10,U295=11),MatchLabel,SureThingLabel),IF(AM295&gt;=95,SecureLabel,IF(AM295&gt;=80,SafetyLabel,IF(AM295&gt;=50,MatchLabel,IF(AM295&gt;=20,ReachLabel,IF(AM295&gt;=10,LongshotLabel,HailMaryLabel)))))),"Other")</f>
        <v>0</v>
      </c>
      <c r="AO295">
        <f>IF(OR(I295="accepted",I295="cond. accept",I295="summer admit"),IF(J295="yes","CHOICE!","Accepted!"),IF(I295="guar. transfer","Guar. Xfer",IF(I295="denied","Denied",IF(K295=1,"Waitlist",IF(L295=1,"Deferred",IF(G295="pending","Pending",IF(OR(G295="initial materials submitted",G295="mid-year submitted",G295="final submitted"),"Submitted",IF(H295="interest","Interest","?"))))))))</f>
        <v>0</v>
      </c>
      <c r="AP295">
        <f>IF(OR(AN295=ReachLabel,AN295=LongshotLabel,AN295=HailMaryLabel),1,0)</f>
        <v>0</v>
      </c>
      <c r="AQ295">
        <f>IF(OR(AP295=1,AN295=MatchLabel),1,0)</f>
        <v>0</v>
      </c>
      <c r="AR295">
        <f>IF(OR(AN295=MatchLabel,AN295=SafetyLabel,AN295=SecureLabel,AN295=SureThingLabel),1,0)</f>
        <v>0</v>
      </c>
      <c r="AS295">
        <f>IF(OR(W295="H",W295="B",W295="I",W295="M"),IF(ISNUMBER(AB295),ROUND(AB295,2),0),IF(ISNUMBER(AA295),ROUND(AA295,2),0))</f>
        <v>0</v>
      </c>
      <c r="AT295">
        <f>IF(AS295&gt;=X295,1,0)</f>
        <v>0</v>
      </c>
      <c r="AU295">
        <f>IF(AS295&gt;=Y295,1,0)</f>
        <v>0</v>
      </c>
      <c r="AV295">
        <f>IF(AS295&lt;(X295-0.10),1,0)</f>
        <v>0</v>
      </c>
      <c r="AW295">
        <f>1-AM295/100</f>
        <v>0</v>
      </c>
      <c r="AX295">
        <f>IF(AQ295=1,AW295,1)</f>
        <v>0</v>
      </c>
      <c r="AY295">
        <f>IF(AP295=1,AW295,1)</f>
        <v>0</v>
      </c>
      <c r="AZ295">
        <f>IF(AND(AT295=1,ISNUMBER(AW295)),$AW295,1)</f>
        <v>0</v>
      </c>
      <c r="BA295">
        <f>IF(AND(AU295=1,ISNUMBER(AW295)),$AW295,1)</f>
        <v>0</v>
      </c>
      <c r="BB295">
        <f>IF(ISNUMBER(AB295),INDEX(AllCollegeMoney, MATCH(N295,AllCollegeNCES,0)),0)</f>
        <v>0</v>
      </c>
      <c r="BC295">
        <f>IF(AND(AT295=1,ISNUMBER(AW295),BB295=1),$AW295,1)</f>
        <v>0</v>
      </c>
      <c r="BD295">
        <f>IF(AND(AU295=1,ISNUMBER(AW295),BB295=1),$AW295,1)</f>
        <v>0</v>
      </c>
      <c r="BE295">
        <f>IF(ISNUMBER(AB295),INDEX(AllCollegeILPub, MATCH(N295,AllCollegeNCES,0)),0)</f>
        <v>0</v>
      </c>
      <c r="BF295">
        <f>IF(AN295=ReachLabel,AS295,0)</f>
        <v>0</v>
      </c>
      <c r="BG295">
        <f>IF(AN295=MatchLabel,AS295,0)</f>
        <v>0</v>
      </c>
      <c r="BH295">
        <f>IF(AN295=SafetyLabel,AS295,0)</f>
        <v>0</v>
      </c>
      <c r="BI295">
        <f>IF(AN295=SecureLabel,AS295,0)</f>
        <v>0</v>
      </c>
      <c r="BJ295">
        <f>IF(AN295=SureThingLabel,AS295,0)</f>
        <v>0</v>
      </c>
      <c r="BK295">
        <f>MAX(BF295:BJ295)</f>
        <v>0</v>
      </c>
      <c r="BL295">
        <f>MAX(BG295:BJ295)</f>
        <v>0</v>
      </c>
      <c r="BM295">
        <f>MAX(BH295:BJ295)</f>
        <v>0</v>
      </c>
      <c r="BN295">
        <f>IF(AND(AN295=ReachLabel,BB295=1),AS295,0)</f>
        <v>0</v>
      </c>
      <c r="BO295">
        <f>IF(AND(AN295=MatchLabel,BB295=1),AS295,0)</f>
        <v>0</v>
      </c>
      <c r="BP295">
        <f>IF(AND(AN295=SafetyLabel,BB295=1),AS295,0)</f>
        <v>0</v>
      </c>
      <c r="BQ295">
        <f>IF(AND(AN295=SecureLabel,BB295=1),AS295,0)</f>
        <v>0</v>
      </c>
      <c r="BR295">
        <f>IF(AND(AN295=SureThingLabel,BB295=1),AS295,0)</f>
        <v>0</v>
      </c>
      <c r="BS295">
        <f>MAX(BN295:BR295)</f>
        <v>0</v>
      </c>
      <c r="BT295">
        <f>MAX(BO295:BR295)</f>
        <v>0</v>
      </c>
      <c r="BU295">
        <f>MAX(BP295:BR295)</f>
        <v>0</v>
      </c>
      <c r="BV295">
        <f>IF(ISNUMBER(AB295),INDEX(AllCollegeChicago, MATCH(N295,AllCollegeNCES,0))*BB295,0)</f>
        <v>0</v>
      </c>
      <c r="BW295">
        <f>IF(ISNUMBER(AB295),INDEX(AllCollegeMoneyCode, MATCH(N295,AllCollegeNCES,0)),"?")</f>
        <v>0</v>
      </c>
      <c r="BX295">
        <f>IF(OR(BW295="---",BW295="--",BW295="+/--",BW295="+/---"),1,0)</f>
        <v>0</v>
      </c>
      <c r="BY295">
        <f>BB295*AR295*AT295</f>
        <v>0</v>
      </c>
    </row>
    <row r="296" spans="1:77">
      <c r="A296" t="s">
        <v>96</v>
      </c>
      <c r="B296">
        <v>23050586</v>
      </c>
      <c r="C296" t="s">
        <v>168</v>
      </c>
      <c r="D296" t="s">
        <v>169</v>
      </c>
      <c r="E296" t="s">
        <v>446</v>
      </c>
      <c r="F296" t="s">
        <v>447</v>
      </c>
      <c r="G296" t="s">
        <v>479</v>
      </c>
      <c r="H296" t="s">
        <v>449</v>
      </c>
      <c r="I296" t="s">
        <v>450</v>
      </c>
      <c r="J296" t="s">
        <v>450</v>
      </c>
      <c r="K296">
        <v>0</v>
      </c>
      <c r="L296" t="s">
        <v>446</v>
      </c>
      <c r="M296" t="s">
        <v>446</v>
      </c>
      <c r="N296">
        <v>148496</v>
      </c>
      <c r="O296">
        <f>INDEX(Counselor,MATCH(B296,KidIDs,0))</f>
        <v>0</v>
      </c>
      <c r="P296">
        <f>INDEX(Advisors,MATCH(B296,KidIDs,0))</f>
        <v>0</v>
      </c>
      <c r="Q296">
        <f>INDEX(Cohort,MATCH(B296,KidIDs,0))</f>
        <v>0</v>
      </c>
      <c r="R296">
        <f>INDEX(AllCollegeBarrons,MATCH(N296,AllCollegeNCES,0))</f>
        <v>0</v>
      </c>
      <c r="S296">
        <f>INDEX(KidGPAs,MATCH(B296,KidIDs,0))</f>
        <v>0</v>
      </c>
      <c r="T296">
        <f>INDEX(KidSATs,MATCH(B296,KidIDs,0))</f>
        <v>0</v>
      </c>
      <c r="U296">
        <f>INDEX(Strats,MATCH(B296,KidIDs,0))</f>
        <v>0</v>
      </c>
      <c r="V296">
        <f>INDEX(KidRace,MATCH(B296,KidIDs,0))</f>
        <v>0</v>
      </c>
      <c r="W296">
        <f>IF(OR(V296="M",V296="I"),"H",IF(V296="P","A",V296))</f>
        <v>0</v>
      </c>
      <c r="X296">
        <f>INDEX(StudentTargets,MATCH(B296,KidIDs,0))</f>
        <v>0</v>
      </c>
      <c r="Y296">
        <f>INDEX(ReachStudentTargets,MATCH(B296,KidIDs,0))</f>
        <v>0</v>
      </c>
      <c r="Z296">
        <f>IF(OR(M296="Posse"),1,0)</f>
        <v>0</v>
      </c>
      <c r="AA296">
        <f>IF(ISNUMBER(INDEX(AllCollegeGR, MATCH(N296,AllCollegeNCES,0))),ROUND(INDEX(AllCollegeGR, MATCH(N296,AllCollegeNCES,0))+Z296*IF(INDEX(AllCollegeGR, MATCH(N296,AllCollegeNCES,0))&gt;0.7,(1-INDEX(AllCollegeGR, MATCH(N296,AllCollegeNCES,0)))/2,0.15),2),INDEX(AllCollegeGR, MATCH(N296,AllCollegeNCES,0)))</f>
        <v>0</v>
      </c>
      <c r="AB296">
        <f>IF(ISNUMBER(INDEX(AllCollegeAAHGR, MATCH(N296,AllCollegeNCES,0))),ROUND(INDEX(AllCollegeAAHGR, MATCH(N296,AllCollegeNCES,0))+Z296*IF(INDEX(AllCollegeAAHGR, MATCH(N296,AllCollegeNCES,0))&gt;0.7,(1-INDEX(AllCollegeAAHGR, MATCH(N296,AllCollegeNCES,0)))/2,0.15),2),INDEX(AllCollegeAAHGR, MATCH(N296,AllCollegeNCES,0)))</f>
        <v>0</v>
      </c>
      <c r="AC296">
        <f>IF(OR(W296="H",W296="B"),INDEX(AllCollegeSAT25, MATCH(N296,AllCollegeNCES,0)),INDEX(AllCollegeSAT50, MATCH(N296,AllCollegeNCES,0)))</f>
        <v>0</v>
      </c>
      <c r="AD296">
        <f>INDEX(CustomWeightsGPA,MATCH(W296&amp;":"&amp;N296,CustomWeightsIndex,0))</f>
        <v>0</v>
      </c>
      <c r="AE296">
        <f>INDEX(CustomWeightsSAT,MATCH(W296&amp;":"&amp;N296,CustomWeightsIndex,0))</f>
        <v>0</v>
      </c>
      <c r="AF296">
        <f>INDEX(CustomWeightsIntercept,MATCH(W296&amp;":"&amp;N296,CustomWeightsIndex,0))</f>
        <v>0</v>
      </c>
      <c r="AG296">
        <f>AD296*S296+AE296*T296+AF296</f>
        <v>0</v>
      </c>
      <c r="AH296">
        <f>INDEX(CoefficientsGPA,MATCH(W296&amp;":"&amp;R296,CoefficientsIndex,0))</f>
        <v>0</v>
      </c>
      <c r="AI296">
        <f>INDEX(CoefficientsSAT,MATCH(W296&amp;":"&amp;R296,CoefficientsIndex,0))</f>
        <v>0</v>
      </c>
      <c r="AJ296">
        <f>INDEX(CoefficientsIntercept,MATCH(W296&amp;":"&amp;R296,CoefficientsIndex,0))</f>
        <v>0</v>
      </c>
      <c r="AK296">
        <f>AH296*S296+(T296-AC296)*AI296+AJ296</f>
        <v>0</v>
      </c>
      <c r="AL296">
        <f>IF(ISNUMBER(AG296),AG296,AK296)</f>
        <v>0</v>
      </c>
      <c r="AM296">
        <f>IF(ISNUMBER(AL296),IF(ISNUMBER(AH296),IF(AND(AH296=1,AI296=1,AJ296=1),100,MIN(99,ROUND(100*EXP(AL296)/(1+EXP(AL296)),2))),MIN(99,ROUND(100*EXP(AL296)/(1+EXP(AL296)),2))),IF(ISTEXT(R296),IF(LEFT(R296,1)="2",100,"N/A"),"N/A"))</f>
        <v>0</v>
      </c>
      <c r="AN296">
        <f>IF(ISNUMBER(AM296),IF(AM296&gt;=99,IF(OR(U296=10,U296=11),MatchLabel,SureThingLabel),IF(AM296&gt;=95,SecureLabel,IF(AM296&gt;=80,SafetyLabel,IF(AM296&gt;=50,MatchLabel,IF(AM296&gt;=20,ReachLabel,IF(AM296&gt;=10,LongshotLabel,HailMaryLabel)))))),"Other")</f>
        <v>0</v>
      </c>
      <c r="AO296">
        <f>IF(OR(I296="accepted",I296="cond. accept",I296="summer admit"),IF(J296="yes","CHOICE!","Accepted!"),IF(I296="guar. transfer","Guar. Xfer",IF(I296="denied","Denied",IF(K296=1,"Waitlist",IF(L296=1,"Deferred",IF(G296="pending","Pending",IF(OR(G296="initial materials submitted",G296="mid-year submitted",G296="final submitted"),"Submitted",IF(H296="interest","Interest","?"))))))))</f>
        <v>0</v>
      </c>
      <c r="AP296">
        <f>IF(OR(AN296=ReachLabel,AN296=LongshotLabel,AN296=HailMaryLabel),1,0)</f>
        <v>0</v>
      </c>
      <c r="AQ296">
        <f>IF(OR(AP296=1,AN296=MatchLabel),1,0)</f>
        <v>0</v>
      </c>
      <c r="AR296">
        <f>IF(OR(AN296=MatchLabel,AN296=SafetyLabel,AN296=SecureLabel,AN296=SureThingLabel),1,0)</f>
        <v>0</v>
      </c>
      <c r="AS296">
        <f>IF(OR(W296="H",W296="B",W296="I",W296="M"),IF(ISNUMBER(AB296),ROUND(AB296,2),0),IF(ISNUMBER(AA296),ROUND(AA296,2),0))</f>
        <v>0</v>
      </c>
      <c r="AT296">
        <f>IF(AS296&gt;=X296,1,0)</f>
        <v>0</v>
      </c>
      <c r="AU296">
        <f>IF(AS296&gt;=Y296,1,0)</f>
        <v>0</v>
      </c>
      <c r="AV296">
        <f>IF(AS296&lt;(X296-0.10),1,0)</f>
        <v>0</v>
      </c>
      <c r="AW296">
        <f>1-AM296/100</f>
        <v>0</v>
      </c>
      <c r="AX296">
        <f>IF(AQ296=1,AW296,1)</f>
        <v>0</v>
      </c>
      <c r="AY296">
        <f>IF(AP296=1,AW296,1)</f>
        <v>0</v>
      </c>
      <c r="AZ296">
        <f>IF(AND(AT296=1,ISNUMBER(AW296)),$AW296,1)</f>
        <v>0</v>
      </c>
      <c r="BA296">
        <f>IF(AND(AU296=1,ISNUMBER(AW296)),$AW296,1)</f>
        <v>0</v>
      </c>
      <c r="BB296">
        <f>IF(ISNUMBER(AB296),INDEX(AllCollegeMoney, MATCH(N296,AllCollegeNCES,0)),0)</f>
        <v>0</v>
      </c>
      <c r="BC296">
        <f>IF(AND(AT296=1,ISNUMBER(AW296),BB296=1),$AW296,1)</f>
        <v>0</v>
      </c>
      <c r="BD296">
        <f>IF(AND(AU296=1,ISNUMBER(AW296),BB296=1),$AW296,1)</f>
        <v>0</v>
      </c>
      <c r="BE296">
        <f>IF(ISNUMBER(AB296),INDEX(AllCollegeILPub, MATCH(N296,AllCollegeNCES,0)),0)</f>
        <v>0</v>
      </c>
      <c r="BF296">
        <f>IF(AN296=ReachLabel,AS296,0)</f>
        <v>0</v>
      </c>
      <c r="BG296">
        <f>IF(AN296=MatchLabel,AS296,0)</f>
        <v>0</v>
      </c>
      <c r="BH296">
        <f>IF(AN296=SafetyLabel,AS296,0)</f>
        <v>0</v>
      </c>
      <c r="BI296">
        <f>IF(AN296=SecureLabel,AS296,0)</f>
        <v>0</v>
      </c>
      <c r="BJ296">
        <f>IF(AN296=SureThingLabel,AS296,0)</f>
        <v>0</v>
      </c>
      <c r="BK296">
        <f>MAX(BF296:BJ296)</f>
        <v>0</v>
      </c>
      <c r="BL296">
        <f>MAX(BG296:BJ296)</f>
        <v>0</v>
      </c>
      <c r="BM296">
        <f>MAX(BH296:BJ296)</f>
        <v>0</v>
      </c>
      <c r="BN296">
        <f>IF(AND(AN296=ReachLabel,BB296=1),AS296,0)</f>
        <v>0</v>
      </c>
      <c r="BO296">
        <f>IF(AND(AN296=MatchLabel,BB296=1),AS296,0)</f>
        <v>0</v>
      </c>
      <c r="BP296">
        <f>IF(AND(AN296=SafetyLabel,BB296=1),AS296,0)</f>
        <v>0</v>
      </c>
      <c r="BQ296">
        <f>IF(AND(AN296=SecureLabel,BB296=1),AS296,0)</f>
        <v>0</v>
      </c>
      <c r="BR296">
        <f>IF(AND(AN296=SureThingLabel,BB296=1),AS296,0)</f>
        <v>0</v>
      </c>
      <c r="BS296">
        <f>MAX(BN296:BR296)</f>
        <v>0</v>
      </c>
      <c r="BT296">
        <f>MAX(BO296:BR296)</f>
        <v>0</v>
      </c>
      <c r="BU296">
        <f>MAX(BP296:BR296)</f>
        <v>0</v>
      </c>
      <c r="BV296">
        <f>IF(ISNUMBER(AB296),INDEX(AllCollegeChicago, MATCH(N296,AllCollegeNCES,0))*BB296,0)</f>
        <v>0</v>
      </c>
      <c r="BW296">
        <f>IF(ISNUMBER(AB296),INDEX(AllCollegeMoneyCode, MATCH(N296,AllCollegeNCES,0)),"?")</f>
        <v>0</v>
      </c>
      <c r="BX296">
        <f>IF(OR(BW296="---",BW296="--",BW296="+/--",BW296="+/---"),1,0)</f>
        <v>0</v>
      </c>
      <c r="BY296">
        <f>BB296*AR296*AT296</f>
        <v>0</v>
      </c>
    </row>
    <row r="297" spans="1:77">
      <c r="A297" t="s">
        <v>96</v>
      </c>
      <c r="B297">
        <v>23050586</v>
      </c>
      <c r="C297" t="s">
        <v>168</v>
      </c>
      <c r="D297" t="s">
        <v>169</v>
      </c>
      <c r="E297" t="s">
        <v>446</v>
      </c>
      <c r="F297" t="s">
        <v>476</v>
      </c>
      <c r="G297" t="s">
        <v>479</v>
      </c>
      <c r="H297" t="s">
        <v>449</v>
      </c>
      <c r="I297" t="s">
        <v>450</v>
      </c>
      <c r="J297" t="s">
        <v>450</v>
      </c>
      <c r="K297">
        <v>0</v>
      </c>
      <c r="L297" t="s">
        <v>446</v>
      </c>
      <c r="M297" t="s">
        <v>446</v>
      </c>
      <c r="N297">
        <v>213668</v>
      </c>
      <c r="O297">
        <f>INDEX(Counselor,MATCH(B297,KidIDs,0))</f>
        <v>0</v>
      </c>
      <c r="P297">
        <f>INDEX(Advisors,MATCH(B297,KidIDs,0))</f>
        <v>0</v>
      </c>
      <c r="Q297">
        <f>INDEX(Cohort,MATCH(B297,KidIDs,0))</f>
        <v>0</v>
      </c>
      <c r="R297">
        <f>INDEX(AllCollegeBarrons,MATCH(N297,AllCollegeNCES,0))</f>
        <v>0</v>
      </c>
      <c r="S297">
        <f>INDEX(KidGPAs,MATCH(B297,KidIDs,0))</f>
        <v>0</v>
      </c>
      <c r="T297">
        <f>INDEX(KidSATs,MATCH(B297,KidIDs,0))</f>
        <v>0</v>
      </c>
      <c r="U297">
        <f>INDEX(Strats,MATCH(B297,KidIDs,0))</f>
        <v>0</v>
      </c>
      <c r="V297">
        <f>INDEX(KidRace,MATCH(B297,KidIDs,0))</f>
        <v>0</v>
      </c>
      <c r="W297">
        <f>IF(OR(V297="M",V297="I"),"H",IF(V297="P","A",V297))</f>
        <v>0</v>
      </c>
      <c r="X297">
        <f>INDEX(StudentTargets,MATCH(B297,KidIDs,0))</f>
        <v>0</v>
      </c>
      <c r="Y297">
        <f>INDEX(ReachStudentTargets,MATCH(B297,KidIDs,0))</f>
        <v>0</v>
      </c>
      <c r="Z297">
        <f>IF(OR(M297="Posse"),1,0)</f>
        <v>0</v>
      </c>
      <c r="AA297">
        <f>IF(ISNUMBER(INDEX(AllCollegeGR, MATCH(N297,AllCollegeNCES,0))),ROUND(INDEX(AllCollegeGR, MATCH(N297,AllCollegeNCES,0))+Z297*IF(INDEX(AllCollegeGR, MATCH(N297,AllCollegeNCES,0))&gt;0.7,(1-INDEX(AllCollegeGR, MATCH(N297,AllCollegeNCES,0)))/2,0.15),2),INDEX(AllCollegeGR, MATCH(N297,AllCollegeNCES,0)))</f>
        <v>0</v>
      </c>
      <c r="AB297">
        <f>IF(ISNUMBER(INDEX(AllCollegeAAHGR, MATCH(N297,AllCollegeNCES,0))),ROUND(INDEX(AllCollegeAAHGR, MATCH(N297,AllCollegeNCES,0))+Z297*IF(INDEX(AllCollegeAAHGR, MATCH(N297,AllCollegeNCES,0))&gt;0.7,(1-INDEX(AllCollegeAAHGR, MATCH(N297,AllCollegeNCES,0)))/2,0.15),2),INDEX(AllCollegeAAHGR, MATCH(N297,AllCollegeNCES,0)))</f>
        <v>0</v>
      </c>
      <c r="AC297">
        <f>IF(OR(W297="H",W297="B"),INDEX(AllCollegeSAT25, MATCH(N297,AllCollegeNCES,0)),INDEX(AllCollegeSAT50, MATCH(N297,AllCollegeNCES,0)))</f>
        <v>0</v>
      </c>
      <c r="AD297">
        <f>INDEX(CustomWeightsGPA,MATCH(W297&amp;":"&amp;N297,CustomWeightsIndex,0))</f>
        <v>0</v>
      </c>
      <c r="AE297">
        <f>INDEX(CustomWeightsSAT,MATCH(W297&amp;":"&amp;N297,CustomWeightsIndex,0))</f>
        <v>0</v>
      </c>
      <c r="AF297">
        <f>INDEX(CustomWeightsIntercept,MATCH(W297&amp;":"&amp;N297,CustomWeightsIndex,0))</f>
        <v>0</v>
      </c>
      <c r="AG297">
        <f>AD297*S297+AE297*T297+AF297</f>
        <v>0</v>
      </c>
      <c r="AH297">
        <f>INDEX(CoefficientsGPA,MATCH(W297&amp;":"&amp;R297,CoefficientsIndex,0))</f>
        <v>0</v>
      </c>
      <c r="AI297">
        <f>INDEX(CoefficientsSAT,MATCH(W297&amp;":"&amp;R297,CoefficientsIndex,0))</f>
        <v>0</v>
      </c>
      <c r="AJ297">
        <f>INDEX(CoefficientsIntercept,MATCH(W297&amp;":"&amp;R297,CoefficientsIndex,0))</f>
        <v>0</v>
      </c>
      <c r="AK297">
        <f>AH297*S297+(T297-AC297)*AI297+AJ297</f>
        <v>0</v>
      </c>
      <c r="AL297">
        <f>IF(ISNUMBER(AG297),AG297,AK297)</f>
        <v>0</v>
      </c>
      <c r="AM297">
        <f>IF(ISNUMBER(AL297),IF(ISNUMBER(AH297),IF(AND(AH297=1,AI297=1,AJ297=1),100,MIN(99,ROUND(100*EXP(AL297)/(1+EXP(AL297)),2))),MIN(99,ROUND(100*EXP(AL297)/(1+EXP(AL297)),2))),IF(ISTEXT(R297),IF(LEFT(R297,1)="2",100,"N/A"),"N/A"))</f>
        <v>0</v>
      </c>
      <c r="AN297">
        <f>IF(ISNUMBER(AM297),IF(AM297&gt;=99,IF(OR(U297=10,U297=11),MatchLabel,SureThingLabel),IF(AM297&gt;=95,SecureLabel,IF(AM297&gt;=80,SafetyLabel,IF(AM297&gt;=50,MatchLabel,IF(AM297&gt;=20,ReachLabel,IF(AM297&gt;=10,LongshotLabel,HailMaryLabel)))))),"Other")</f>
        <v>0</v>
      </c>
      <c r="AO297">
        <f>IF(OR(I297="accepted",I297="cond. accept",I297="summer admit"),IF(J297="yes","CHOICE!","Accepted!"),IF(I297="guar. transfer","Guar. Xfer",IF(I297="denied","Denied",IF(K297=1,"Waitlist",IF(L297=1,"Deferred",IF(G297="pending","Pending",IF(OR(G297="initial materials submitted",G297="mid-year submitted",G297="final submitted"),"Submitted",IF(H297="interest","Interest","?"))))))))</f>
        <v>0</v>
      </c>
      <c r="AP297">
        <f>IF(OR(AN297=ReachLabel,AN297=LongshotLabel,AN297=HailMaryLabel),1,0)</f>
        <v>0</v>
      </c>
      <c r="AQ297">
        <f>IF(OR(AP297=1,AN297=MatchLabel),1,0)</f>
        <v>0</v>
      </c>
      <c r="AR297">
        <f>IF(OR(AN297=MatchLabel,AN297=SafetyLabel,AN297=SecureLabel,AN297=SureThingLabel),1,0)</f>
        <v>0</v>
      </c>
      <c r="AS297">
        <f>IF(OR(W297="H",W297="B",W297="I",W297="M"),IF(ISNUMBER(AB297),ROUND(AB297,2),0),IF(ISNUMBER(AA297),ROUND(AA297,2),0))</f>
        <v>0</v>
      </c>
      <c r="AT297">
        <f>IF(AS297&gt;=X297,1,0)</f>
        <v>0</v>
      </c>
      <c r="AU297">
        <f>IF(AS297&gt;=Y297,1,0)</f>
        <v>0</v>
      </c>
      <c r="AV297">
        <f>IF(AS297&lt;(X297-0.10),1,0)</f>
        <v>0</v>
      </c>
      <c r="AW297">
        <f>1-AM297/100</f>
        <v>0</v>
      </c>
      <c r="AX297">
        <f>IF(AQ297=1,AW297,1)</f>
        <v>0</v>
      </c>
      <c r="AY297">
        <f>IF(AP297=1,AW297,1)</f>
        <v>0</v>
      </c>
      <c r="AZ297">
        <f>IF(AND(AT297=1,ISNUMBER(AW297)),$AW297,1)</f>
        <v>0</v>
      </c>
      <c r="BA297">
        <f>IF(AND(AU297=1,ISNUMBER(AW297)),$AW297,1)</f>
        <v>0</v>
      </c>
      <c r="BB297">
        <f>IF(ISNUMBER(AB297),INDEX(AllCollegeMoney, MATCH(N297,AllCollegeNCES,0)),0)</f>
        <v>0</v>
      </c>
      <c r="BC297">
        <f>IF(AND(AT297=1,ISNUMBER(AW297),BB297=1),$AW297,1)</f>
        <v>0</v>
      </c>
      <c r="BD297">
        <f>IF(AND(AU297=1,ISNUMBER(AW297),BB297=1),$AW297,1)</f>
        <v>0</v>
      </c>
      <c r="BE297">
        <f>IF(ISNUMBER(AB297),INDEX(AllCollegeILPub, MATCH(N297,AllCollegeNCES,0)),0)</f>
        <v>0</v>
      </c>
      <c r="BF297">
        <f>IF(AN297=ReachLabel,AS297,0)</f>
        <v>0</v>
      </c>
      <c r="BG297">
        <f>IF(AN297=MatchLabel,AS297,0)</f>
        <v>0</v>
      </c>
      <c r="BH297">
        <f>IF(AN297=SafetyLabel,AS297,0)</f>
        <v>0</v>
      </c>
      <c r="BI297">
        <f>IF(AN297=SecureLabel,AS297,0)</f>
        <v>0</v>
      </c>
      <c r="BJ297">
        <f>IF(AN297=SureThingLabel,AS297,0)</f>
        <v>0</v>
      </c>
      <c r="BK297">
        <f>MAX(BF297:BJ297)</f>
        <v>0</v>
      </c>
      <c r="BL297">
        <f>MAX(BG297:BJ297)</f>
        <v>0</v>
      </c>
      <c r="BM297">
        <f>MAX(BH297:BJ297)</f>
        <v>0</v>
      </c>
      <c r="BN297">
        <f>IF(AND(AN297=ReachLabel,BB297=1),AS297,0)</f>
        <v>0</v>
      </c>
      <c r="BO297">
        <f>IF(AND(AN297=MatchLabel,BB297=1),AS297,0)</f>
        <v>0</v>
      </c>
      <c r="BP297">
        <f>IF(AND(AN297=SafetyLabel,BB297=1),AS297,0)</f>
        <v>0</v>
      </c>
      <c r="BQ297">
        <f>IF(AND(AN297=SecureLabel,BB297=1),AS297,0)</f>
        <v>0</v>
      </c>
      <c r="BR297">
        <f>IF(AND(AN297=SureThingLabel,BB297=1),AS297,0)</f>
        <v>0</v>
      </c>
      <c r="BS297">
        <f>MAX(BN297:BR297)</f>
        <v>0</v>
      </c>
      <c r="BT297">
        <f>MAX(BO297:BR297)</f>
        <v>0</v>
      </c>
      <c r="BU297">
        <f>MAX(BP297:BR297)</f>
        <v>0</v>
      </c>
      <c r="BV297">
        <f>IF(ISNUMBER(AB297),INDEX(AllCollegeChicago, MATCH(N297,AllCollegeNCES,0))*BB297,0)</f>
        <v>0</v>
      </c>
      <c r="BW297">
        <f>IF(ISNUMBER(AB297),INDEX(AllCollegeMoneyCode, MATCH(N297,AllCollegeNCES,0)),"?")</f>
        <v>0</v>
      </c>
      <c r="BX297">
        <f>IF(OR(BW297="---",BW297="--",BW297="+/--",BW297="+/---"),1,0)</f>
        <v>0</v>
      </c>
      <c r="BY297">
        <f>BB297*AR297*AT297</f>
        <v>0</v>
      </c>
    </row>
    <row r="298" spans="1:77">
      <c r="A298" t="s">
        <v>96</v>
      </c>
      <c r="B298">
        <v>23050586</v>
      </c>
      <c r="C298" t="s">
        <v>168</v>
      </c>
      <c r="D298" t="s">
        <v>169</v>
      </c>
      <c r="E298" t="s">
        <v>446</v>
      </c>
      <c r="F298" t="s">
        <v>546</v>
      </c>
      <c r="G298" t="s">
        <v>543</v>
      </c>
      <c r="H298" t="s">
        <v>543</v>
      </c>
      <c r="I298" t="s">
        <v>544</v>
      </c>
      <c r="J298" t="s">
        <v>446</v>
      </c>
      <c r="K298" t="s">
        <v>446</v>
      </c>
      <c r="L298" t="s">
        <v>446</v>
      </c>
      <c r="M298" t="s">
        <v>446</v>
      </c>
      <c r="N298">
        <v>146427</v>
      </c>
      <c r="O298">
        <f>INDEX(Counselor,MATCH(B298,KidIDs,0))</f>
        <v>0</v>
      </c>
      <c r="P298">
        <f>INDEX(Advisors,MATCH(B298,KidIDs,0))</f>
        <v>0</v>
      </c>
      <c r="Q298">
        <f>INDEX(Cohort,MATCH(B298,KidIDs,0))</f>
        <v>0</v>
      </c>
      <c r="R298">
        <f>INDEX(AllCollegeBarrons,MATCH(N298,AllCollegeNCES,0))</f>
        <v>0</v>
      </c>
      <c r="S298">
        <f>INDEX(KidGPAs,MATCH(B298,KidIDs,0))</f>
        <v>0</v>
      </c>
      <c r="T298">
        <f>INDEX(KidSATs,MATCH(B298,KidIDs,0))</f>
        <v>0</v>
      </c>
      <c r="U298">
        <f>INDEX(Strats,MATCH(B298,KidIDs,0))</f>
        <v>0</v>
      </c>
      <c r="V298">
        <f>INDEX(KidRace,MATCH(B298,KidIDs,0))</f>
        <v>0</v>
      </c>
      <c r="W298">
        <f>IF(OR(V298="M",V298="I"),"H",IF(V298="P","A",V298))</f>
        <v>0</v>
      </c>
      <c r="X298">
        <f>INDEX(StudentTargets,MATCH(B298,KidIDs,0))</f>
        <v>0</v>
      </c>
      <c r="Y298">
        <f>INDEX(ReachStudentTargets,MATCH(B298,KidIDs,0))</f>
        <v>0</v>
      </c>
      <c r="Z298">
        <f>IF(OR(M298="Posse"),1,0)</f>
        <v>0</v>
      </c>
      <c r="AA298">
        <f>IF(ISNUMBER(INDEX(AllCollegeGR, MATCH(N298,AllCollegeNCES,0))),ROUND(INDEX(AllCollegeGR, MATCH(N298,AllCollegeNCES,0))+Z298*IF(INDEX(AllCollegeGR, MATCH(N298,AllCollegeNCES,0))&gt;0.7,(1-INDEX(AllCollegeGR, MATCH(N298,AllCollegeNCES,0)))/2,0.15),2),INDEX(AllCollegeGR, MATCH(N298,AllCollegeNCES,0)))</f>
        <v>0</v>
      </c>
      <c r="AB298">
        <f>IF(ISNUMBER(INDEX(AllCollegeAAHGR, MATCH(N298,AllCollegeNCES,0))),ROUND(INDEX(AllCollegeAAHGR, MATCH(N298,AllCollegeNCES,0))+Z298*IF(INDEX(AllCollegeAAHGR, MATCH(N298,AllCollegeNCES,0))&gt;0.7,(1-INDEX(AllCollegeAAHGR, MATCH(N298,AllCollegeNCES,0)))/2,0.15),2),INDEX(AllCollegeAAHGR, MATCH(N298,AllCollegeNCES,0)))</f>
        <v>0</v>
      </c>
      <c r="AC298">
        <f>IF(OR(W298="H",W298="B"),INDEX(AllCollegeSAT25, MATCH(N298,AllCollegeNCES,0)),INDEX(AllCollegeSAT50, MATCH(N298,AllCollegeNCES,0)))</f>
        <v>0</v>
      </c>
      <c r="AD298">
        <f>INDEX(CustomWeightsGPA,MATCH(W298&amp;":"&amp;N298,CustomWeightsIndex,0))</f>
        <v>0</v>
      </c>
      <c r="AE298">
        <f>INDEX(CustomWeightsSAT,MATCH(W298&amp;":"&amp;N298,CustomWeightsIndex,0))</f>
        <v>0</v>
      </c>
      <c r="AF298">
        <f>INDEX(CustomWeightsIntercept,MATCH(W298&amp;":"&amp;N298,CustomWeightsIndex,0))</f>
        <v>0</v>
      </c>
      <c r="AG298">
        <f>AD298*S298+AE298*T298+AF298</f>
        <v>0</v>
      </c>
      <c r="AH298">
        <f>INDEX(CoefficientsGPA,MATCH(W298&amp;":"&amp;R298,CoefficientsIndex,0))</f>
        <v>0</v>
      </c>
      <c r="AI298">
        <f>INDEX(CoefficientsSAT,MATCH(W298&amp;":"&amp;R298,CoefficientsIndex,0))</f>
        <v>0</v>
      </c>
      <c r="AJ298">
        <f>INDEX(CoefficientsIntercept,MATCH(W298&amp;":"&amp;R298,CoefficientsIndex,0))</f>
        <v>0</v>
      </c>
      <c r="AK298">
        <f>AH298*S298+(T298-AC298)*AI298+AJ298</f>
        <v>0</v>
      </c>
      <c r="AL298">
        <f>IF(ISNUMBER(AG298),AG298,AK298)</f>
        <v>0</v>
      </c>
      <c r="AM298">
        <f>IF(ISNUMBER(AL298),IF(ISNUMBER(AH298),IF(AND(AH298=1,AI298=1,AJ298=1),100,MIN(99,ROUND(100*EXP(AL298)/(1+EXP(AL298)),2))),MIN(99,ROUND(100*EXP(AL298)/(1+EXP(AL298)),2))),IF(ISTEXT(R298),IF(LEFT(R298,1)="2",100,"N/A"),"N/A"))</f>
        <v>0</v>
      </c>
      <c r="AN298">
        <f>IF(ISNUMBER(AM298),IF(AM298&gt;=99,IF(OR(U298=10,U298=11),MatchLabel,SureThingLabel),IF(AM298&gt;=95,SecureLabel,IF(AM298&gt;=80,SafetyLabel,IF(AM298&gt;=50,MatchLabel,IF(AM298&gt;=20,ReachLabel,IF(AM298&gt;=10,LongshotLabel,HailMaryLabel)))))),"Other")</f>
        <v>0</v>
      </c>
      <c r="AO298">
        <f>IF(OR(I298="accepted",I298="cond. accept",I298="summer admit"),IF(J298="yes","CHOICE!","Accepted!"),IF(I298="guar. transfer","Guar. Xfer",IF(I298="denied","Denied",IF(K298=1,"Waitlist",IF(L298=1,"Deferred",IF(G298="pending","Pending",IF(OR(G298="initial materials submitted",G298="mid-year submitted",G298="final submitted"),"Submitted",IF(H298="interest","Interest","?"))))))))</f>
        <v>0</v>
      </c>
      <c r="AP298">
        <f>IF(OR(AN298=ReachLabel,AN298=LongshotLabel,AN298=HailMaryLabel),1,0)</f>
        <v>0</v>
      </c>
      <c r="AQ298">
        <f>IF(OR(AP298=1,AN298=MatchLabel),1,0)</f>
        <v>0</v>
      </c>
      <c r="AR298">
        <f>IF(OR(AN298=MatchLabel,AN298=SafetyLabel,AN298=SecureLabel,AN298=SureThingLabel),1,0)</f>
        <v>0</v>
      </c>
      <c r="AS298">
        <f>IF(OR(W298="H",W298="B",W298="I",W298="M"),IF(ISNUMBER(AB298),ROUND(AB298,2),0),IF(ISNUMBER(AA298),ROUND(AA298,2),0))</f>
        <v>0</v>
      </c>
      <c r="AT298">
        <f>IF(AS298&gt;=X298,1,0)</f>
        <v>0</v>
      </c>
      <c r="AU298">
        <f>IF(AS298&gt;=Y298,1,0)</f>
        <v>0</v>
      </c>
      <c r="AV298">
        <f>IF(AS298&lt;(X298-0.10),1,0)</f>
        <v>0</v>
      </c>
      <c r="AW298">
        <f>1-AM298/100</f>
        <v>0</v>
      </c>
      <c r="AX298">
        <f>IF(AQ298=1,AW298,1)</f>
        <v>0</v>
      </c>
      <c r="AY298">
        <f>IF(AP298=1,AW298,1)</f>
        <v>0</v>
      </c>
      <c r="AZ298">
        <f>IF(AND(AT298=1,ISNUMBER(AW298)),$AW298,1)</f>
        <v>0</v>
      </c>
      <c r="BA298">
        <f>IF(AND(AU298=1,ISNUMBER(AW298)),$AW298,1)</f>
        <v>0</v>
      </c>
      <c r="BB298">
        <f>IF(ISNUMBER(AB298),INDEX(AllCollegeMoney, MATCH(N298,AllCollegeNCES,0)),0)</f>
        <v>0</v>
      </c>
      <c r="BC298">
        <f>IF(AND(AT298=1,ISNUMBER(AW298),BB298=1),$AW298,1)</f>
        <v>0</v>
      </c>
      <c r="BD298">
        <f>IF(AND(AU298=1,ISNUMBER(AW298),BB298=1),$AW298,1)</f>
        <v>0</v>
      </c>
      <c r="BE298">
        <f>IF(ISNUMBER(AB298),INDEX(AllCollegeILPub, MATCH(N298,AllCollegeNCES,0)),0)</f>
        <v>0</v>
      </c>
      <c r="BF298">
        <f>IF(AN298=ReachLabel,AS298,0)</f>
        <v>0</v>
      </c>
      <c r="BG298">
        <f>IF(AN298=MatchLabel,AS298,0)</f>
        <v>0</v>
      </c>
      <c r="BH298">
        <f>IF(AN298=SafetyLabel,AS298,0)</f>
        <v>0</v>
      </c>
      <c r="BI298">
        <f>IF(AN298=SecureLabel,AS298,0)</f>
        <v>0</v>
      </c>
      <c r="BJ298">
        <f>IF(AN298=SureThingLabel,AS298,0)</f>
        <v>0</v>
      </c>
      <c r="BK298">
        <f>MAX(BF298:BJ298)</f>
        <v>0</v>
      </c>
      <c r="BL298">
        <f>MAX(BG298:BJ298)</f>
        <v>0</v>
      </c>
      <c r="BM298">
        <f>MAX(BH298:BJ298)</f>
        <v>0</v>
      </c>
      <c r="BN298">
        <f>IF(AND(AN298=ReachLabel,BB298=1),AS298,0)</f>
        <v>0</v>
      </c>
      <c r="BO298">
        <f>IF(AND(AN298=MatchLabel,BB298=1),AS298,0)</f>
        <v>0</v>
      </c>
      <c r="BP298">
        <f>IF(AND(AN298=SafetyLabel,BB298=1),AS298,0)</f>
        <v>0</v>
      </c>
      <c r="BQ298">
        <f>IF(AND(AN298=SecureLabel,BB298=1),AS298,0)</f>
        <v>0</v>
      </c>
      <c r="BR298">
        <f>IF(AND(AN298=SureThingLabel,BB298=1),AS298,0)</f>
        <v>0</v>
      </c>
      <c r="BS298">
        <f>MAX(BN298:BR298)</f>
        <v>0</v>
      </c>
      <c r="BT298">
        <f>MAX(BO298:BR298)</f>
        <v>0</v>
      </c>
      <c r="BU298">
        <f>MAX(BP298:BR298)</f>
        <v>0</v>
      </c>
      <c r="BV298">
        <f>IF(ISNUMBER(AB298),INDEX(AllCollegeChicago, MATCH(N298,AllCollegeNCES,0))*BB298,0)</f>
        <v>0</v>
      </c>
      <c r="BW298">
        <f>IF(ISNUMBER(AB298),INDEX(AllCollegeMoneyCode, MATCH(N298,AllCollegeNCES,0)),"?")</f>
        <v>0</v>
      </c>
      <c r="BX298">
        <f>IF(OR(BW298="---",BW298="--",BW298="+/--",BW298="+/---"),1,0)</f>
        <v>0</v>
      </c>
      <c r="BY298">
        <f>BB298*AR298*AT298</f>
        <v>0</v>
      </c>
    </row>
    <row r="299" spans="1:77">
      <c r="A299" t="s">
        <v>96</v>
      </c>
      <c r="B299">
        <v>23050586</v>
      </c>
      <c r="C299" t="s">
        <v>168</v>
      </c>
      <c r="D299" t="s">
        <v>169</v>
      </c>
      <c r="E299" t="s">
        <v>446</v>
      </c>
      <c r="F299" t="s">
        <v>489</v>
      </c>
      <c r="G299" t="s">
        <v>448</v>
      </c>
      <c r="H299" t="s">
        <v>449</v>
      </c>
      <c r="I299" t="s">
        <v>450</v>
      </c>
      <c r="J299" t="s">
        <v>450</v>
      </c>
      <c r="K299">
        <v>0</v>
      </c>
      <c r="L299" t="s">
        <v>446</v>
      </c>
      <c r="M299" t="s">
        <v>446</v>
      </c>
      <c r="N299">
        <v>170301</v>
      </c>
      <c r="O299">
        <f>INDEX(Counselor,MATCH(B299,KidIDs,0))</f>
        <v>0</v>
      </c>
      <c r="P299">
        <f>INDEX(Advisors,MATCH(B299,KidIDs,0))</f>
        <v>0</v>
      </c>
      <c r="Q299">
        <f>INDEX(Cohort,MATCH(B299,KidIDs,0))</f>
        <v>0</v>
      </c>
      <c r="R299">
        <f>INDEX(AllCollegeBarrons,MATCH(N299,AllCollegeNCES,0))</f>
        <v>0</v>
      </c>
      <c r="S299">
        <f>INDEX(KidGPAs,MATCH(B299,KidIDs,0))</f>
        <v>0</v>
      </c>
      <c r="T299">
        <f>INDEX(KidSATs,MATCH(B299,KidIDs,0))</f>
        <v>0</v>
      </c>
      <c r="U299">
        <f>INDEX(Strats,MATCH(B299,KidIDs,0))</f>
        <v>0</v>
      </c>
      <c r="V299">
        <f>INDEX(KidRace,MATCH(B299,KidIDs,0))</f>
        <v>0</v>
      </c>
      <c r="W299">
        <f>IF(OR(V299="M",V299="I"),"H",IF(V299="P","A",V299))</f>
        <v>0</v>
      </c>
      <c r="X299">
        <f>INDEX(StudentTargets,MATCH(B299,KidIDs,0))</f>
        <v>0</v>
      </c>
      <c r="Y299">
        <f>INDEX(ReachStudentTargets,MATCH(B299,KidIDs,0))</f>
        <v>0</v>
      </c>
      <c r="Z299">
        <f>IF(OR(M299="Posse"),1,0)</f>
        <v>0</v>
      </c>
      <c r="AA299">
        <f>IF(ISNUMBER(INDEX(AllCollegeGR, MATCH(N299,AllCollegeNCES,0))),ROUND(INDEX(AllCollegeGR, MATCH(N299,AllCollegeNCES,0))+Z299*IF(INDEX(AllCollegeGR, MATCH(N299,AllCollegeNCES,0))&gt;0.7,(1-INDEX(AllCollegeGR, MATCH(N299,AllCollegeNCES,0)))/2,0.15),2),INDEX(AllCollegeGR, MATCH(N299,AllCollegeNCES,0)))</f>
        <v>0</v>
      </c>
      <c r="AB299">
        <f>IF(ISNUMBER(INDEX(AllCollegeAAHGR, MATCH(N299,AllCollegeNCES,0))),ROUND(INDEX(AllCollegeAAHGR, MATCH(N299,AllCollegeNCES,0))+Z299*IF(INDEX(AllCollegeAAHGR, MATCH(N299,AllCollegeNCES,0))&gt;0.7,(1-INDEX(AllCollegeAAHGR, MATCH(N299,AllCollegeNCES,0)))/2,0.15),2),INDEX(AllCollegeAAHGR, MATCH(N299,AllCollegeNCES,0)))</f>
        <v>0</v>
      </c>
      <c r="AC299">
        <f>IF(OR(W299="H",W299="B"),INDEX(AllCollegeSAT25, MATCH(N299,AllCollegeNCES,0)),INDEX(AllCollegeSAT50, MATCH(N299,AllCollegeNCES,0)))</f>
        <v>0</v>
      </c>
      <c r="AD299">
        <f>INDEX(CustomWeightsGPA,MATCH(W299&amp;":"&amp;N299,CustomWeightsIndex,0))</f>
        <v>0</v>
      </c>
      <c r="AE299">
        <f>INDEX(CustomWeightsSAT,MATCH(W299&amp;":"&amp;N299,CustomWeightsIndex,0))</f>
        <v>0</v>
      </c>
      <c r="AF299">
        <f>INDEX(CustomWeightsIntercept,MATCH(W299&amp;":"&amp;N299,CustomWeightsIndex,0))</f>
        <v>0</v>
      </c>
      <c r="AG299">
        <f>AD299*S299+AE299*T299+AF299</f>
        <v>0</v>
      </c>
      <c r="AH299">
        <f>INDEX(CoefficientsGPA,MATCH(W299&amp;":"&amp;R299,CoefficientsIndex,0))</f>
        <v>0</v>
      </c>
      <c r="AI299">
        <f>INDEX(CoefficientsSAT,MATCH(W299&amp;":"&amp;R299,CoefficientsIndex,0))</f>
        <v>0</v>
      </c>
      <c r="AJ299">
        <f>INDEX(CoefficientsIntercept,MATCH(W299&amp;":"&amp;R299,CoefficientsIndex,0))</f>
        <v>0</v>
      </c>
      <c r="AK299">
        <f>AH299*S299+(T299-AC299)*AI299+AJ299</f>
        <v>0</v>
      </c>
      <c r="AL299">
        <f>IF(ISNUMBER(AG299),AG299,AK299)</f>
        <v>0</v>
      </c>
      <c r="AM299">
        <f>IF(ISNUMBER(AL299),IF(ISNUMBER(AH299),IF(AND(AH299=1,AI299=1,AJ299=1),100,MIN(99,ROUND(100*EXP(AL299)/(1+EXP(AL299)),2))),MIN(99,ROUND(100*EXP(AL299)/(1+EXP(AL299)),2))),IF(ISTEXT(R299),IF(LEFT(R299,1)="2",100,"N/A"),"N/A"))</f>
        <v>0</v>
      </c>
      <c r="AN299">
        <f>IF(ISNUMBER(AM299),IF(AM299&gt;=99,IF(OR(U299=10,U299=11),MatchLabel,SureThingLabel),IF(AM299&gt;=95,SecureLabel,IF(AM299&gt;=80,SafetyLabel,IF(AM299&gt;=50,MatchLabel,IF(AM299&gt;=20,ReachLabel,IF(AM299&gt;=10,LongshotLabel,HailMaryLabel)))))),"Other")</f>
        <v>0</v>
      </c>
      <c r="AO299">
        <f>IF(OR(I299="accepted",I299="cond. accept",I299="summer admit"),IF(J299="yes","CHOICE!","Accepted!"),IF(I299="guar. transfer","Guar. Xfer",IF(I299="denied","Denied",IF(K299=1,"Waitlist",IF(L299=1,"Deferred",IF(G299="pending","Pending",IF(OR(G299="initial materials submitted",G299="mid-year submitted",G299="final submitted"),"Submitted",IF(H299="interest","Interest","?"))))))))</f>
        <v>0</v>
      </c>
      <c r="AP299">
        <f>IF(OR(AN299=ReachLabel,AN299=LongshotLabel,AN299=HailMaryLabel),1,0)</f>
        <v>0</v>
      </c>
      <c r="AQ299">
        <f>IF(OR(AP299=1,AN299=MatchLabel),1,0)</f>
        <v>0</v>
      </c>
      <c r="AR299">
        <f>IF(OR(AN299=MatchLabel,AN299=SafetyLabel,AN299=SecureLabel,AN299=SureThingLabel),1,0)</f>
        <v>0</v>
      </c>
      <c r="AS299">
        <f>IF(OR(W299="H",W299="B",W299="I",W299="M"),IF(ISNUMBER(AB299),ROUND(AB299,2),0),IF(ISNUMBER(AA299),ROUND(AA299,2),0))</f>
        <v>0</v>
      </c>
      <c r="AT299">
        <f>IF(AS299&gt;=X299,1,0)</f>
        <v>0</v>
      </c>
      <c r="AU299">
        <f>IF(AS299&gt;=Y299,1,0)</f>
        <v>0</v>
      </c>
      <c r="AV299">
        <f>IF(AS299&lt;(X299-0.10),1,0)</f>
        <v>0</v>
      </c>
      <c r="AW299">
        <f>1-AM299/100</f>
        <v>0</v>
      </c>
      <c r="AX299">
        <f>IF(AQ299=1,AW299,1)</f>
        <v>0</v>
      </c>
      <c r="AY299">
        <f>IF(AP299=1,AW299,1)</f>
        <v>0</v>
      </c>
      <c r="AZ299">
        <f>IF(AND(AT299=1,ISNUMBER(AW299)),$AW299,1)</f>
        <v>0</v>
      </c>
      <c r="BA299">
        <f>IF(AND(AU299=1,ISNUMBER(AW299)),$AW299,1)</f>
        <v>0</v>
      </c>
      <c r="BB299">
        <f>IF(ISNUMBER(AB299),INDEX(AllCollegeMoney, MATCH(N299,AllCollegeNCES,0)),0)</f>
        <v>0</v>
      </c>
      <c r="BC299">
        <f>IF(AND(AT299=1,ISNUMBER(AW299),BB299=1),$AW299,1)</f>
        <v>0</v>
      </c>
      <c r="BD299">
        <f>IF(AND(AU299=1,ISNUMBER(AW299),BB299=1),$AW299,1)</f>
        <v>0</v>
      </c>
      <c r="BE299">
        <f>IF(ISNUMBER(AB299),INDEX(AllCollegeILPub, MATCH(N299,AllCollegeNCES,0)),0)</f>
        <v>0</v>
      </c>
      <c r="BF299">
        <f>IF(AN299=ReachLabel,AS299,0)</f>
        <v>0</v>
      </c>
      <c r="BG299">
        <f>IF(AN299=MatchLabel,AS299,0)</f>
        <v>0</v>
      </c>
      <c r="BH299">
        <f>IF(AN299=SafetyLabel,AS299,0)</f>
        <v>0</v>
      </c>
      <c r="BI299">
        <f>IF(AN299=SecureLabel,AS299,0)</f>
        <v>0</v>
      </c>
      <c r="BJ299">
        <f>IF(AN299=SureThingLabel,AS299,0)</f>
        <v>0</v>
      </c>
      <c r="BK299">
        <f>MAX(BF299:BJ299)</f>
        <v>0</v>
      </c>
      <c r="BL299">
        <f>MAX(BG299:BJ299)</f>
        <v>0</v>
      </c>
      <c r="BM299">
        <f>MAX(BH299:BJ299)</f>
        <v>0</v>
      </c>
      <c r="BN299">
        <f>IF(AND(AN299=ReachLabel,BB299=1),AS299,0)</f>
        <v>0</v>
      </c>
      <c r="BO299">
        <f>IF(AND(AN299=MatchLabel,BB299=1),AS299,0)</f>
        <v>0</v>
      </c>
      <c r="BP299">
        <f>IF(AND(AN299=SafetyLabel,BB299=1),AS299,0)</f>
        <v>0</v>
      </c>
      <c r="BQ299">
        <f>IF(AND(AN299=SecureLabel,BB299=1),AS299,0)</f>
        <v>0</v>
      </c>
      <c r="BR299">
        <f>IF(AND(AN299=SureThingLabel,BB299=1),AS299,0)</f>
        <v>0</v>
      </c>
      <c r="BS299">
        <f>MAX(BN299:BR299)</f>
        <v>0</v>
      </c>
      <c r="BT299">
        <f>MAX(BO299:BR299)</f>
        <v>0</v>
      </c>
      <c r="BU299">
        <f>MAX(BP299:BR299)</f>
        <v>0</v>
      </c>
      <c r="BV299">
        <f>IF(ISNUMBER(AB299),INDEX(AllCollegeChicago, MATCH(N299,AllCollegeNCES,0))*BB299,0)</f>
        <v>0</v>
      </c>
      <c r="BW299">
        <f>IF(ISNUMBER(AB299),INDEX(AllCollegeMoneyCode, MATCH(N299,AllCollegeNCES,0)),"?")</f>
        <v>0</v>
      </c>
      <c r="BX299">
        <f>IF(OR(BW299="---",BW299="--",BW299="+/--",BW299="+/---"),1,0)</f>
        <v>0</v>
      </c>
      <c r="BY299">
        <f>BB299*AR299*AT299</f>
        <v>0</v>
      </c>
    </row>
    <row r="300" spans="1:77">
      <c r="A300" t="s">
        <v>96</v>
      </c>
      <c r="B300">
        <v>23050586</v>
      </c>
      <c r="C300" t="s">
        <v>168</v>
      </c>
      <c r="D300" t="s">
        <v>169</v>
      </c>
      <c r="E300" t="s">
        <v>446</v>
      </c>
      <c r="F300" t="s">
        <v>547</v>
      </c>
      <c r="G300" t="s">
        <v>543</v>
      </c>
      <c r="H300" t="s">
        <v>543</v>
      </c>
      <c r="I300" t="s">
        <v>544</v>
      </c>
      <c r="J300" t="s">
        <v>446</v>
      </c>
      <c r="K300" t="s">
        <v>446</v>
      </c>
      <c r="L300" t="s">
        <v>446</v>
      </c>
      <c r="M300" t="s">
        <v>446</v>
      </c>
      <c r="N300">
        <v>170301</v>
      </c>
      <c r="O300">
        <f>INDEX(Counselor,MATCH(B300,KidIDs,0))</f>
        <v>0</v>
      </c>
      <c r="P300">
        <f>INDEX(Advisors,MATCH(B300,KidIDs,0))</f>
        <v>0</v>
      </c>
      <c r="Q300">
        <f>INDEX(Cohort,MATCH(B300,KidIDs,0))</f>
        <v>0</v>
      </c>
      <c r="R300">
        <f>INDEX(AllCollegeBarrons,MATCH(N300,AllCollegeNCES,0))</f>
        <v>0</v>
      </c>
      <c r="S300">
        <f>INDEX(KidGPAs,MATCH(B300,KidIDs,0))</f>
        <v>0</v>
      </c>
      <c r="T300">
        <f>INDEX(KidSATs,MATCH(B300,KidIDs,0))</f>
        <v>0</v>
      </c>
      <c r="U300">
        <f>INDEX(Strats,MATCH(B300,KidIDs,0))</f>
        <v>0</v>
      </c>
      <c r="V300">
        <f>INDEX(KidRace,MATCH(B300,KidIDs,0))</f>
        <v>0</v>
      </c>
      <c r="W300">
        <f>IF(OR(V300="M",V300="I"),"H",IF(V300="P","A",V300))</f>
        <v>0</v>
      </c>
      <c r="X300">
        <f>INDEX(StudentTargets,MATCH(B300,KidIDs,0))</f>
        <v>0</v>
      </c>
      <c r="Y300">
        <f>INDEX(ReachStudentTargets,MATCH(B300,KidIDs,0))</f>
        <v>0</v>
      </c>
      <c r="Z300">
        <f>IF(OR(M300="Posse"),1,0)</f>
        <v>0</v>
      </c>
      <c r="AA300">
        <f>IF(ISNUMBER(INDEX(AllCollegeGR, MATCH(N300,AllCollegeNCES,0))),ROUND(INDEX(AllCollegeGR, MATCH(N300,AllCollegeNCES,0))+Z300*IF(INDEX(AllCollegeGR, MATCH(N300,AllCollegeNCES,0))&gt;0.7,(1-INDEX(AllCollegeGR, MATCH(N300,AllCollegeNCES,0)))/2,0.15),2),INDEX(AllCollegeGR, MATCH(N300,AllCollegeNCES,0)))</f>
        <v>0</v>
      </c>
      <c r="AB300">
        <f>IF(ISNUMBER(INDEX(AllCollegeAAHGR, MATCH(N300,AllCollegeNCES,0))),ROUND(INDEX(AllCollegeAAHGR, MATCH(N300,AllCollegeNCES,0))+Z300*IF(INDEX(AllCollegeAAHGR, MATCH(N300,AllCollegeNCES,0))&gt;0.7,(1-INDEX(AllCollegeAAHGR, MATCH(N300,AllCollegeNCES,0)))/2,0.15),2),INDEX(AllCollegeAAHGR, MATCH(N300,AllCollegeNCES,0)))</f>
        <v>0</v>
      </c>
      <c r="AC300">
        <f>IF(OR(W300="H",W300="B"),INDEX(AllCollegeSAT25, MATCH(N300,AllCollegeNCES,0)),INDEX(AllCollegeSAT50, MATCH(N300,AllCollegeNCES,0)))</f>
        <v>0</v>
      </c>
      <c r="AD300">
        <f>INDEX(CustomWeightsGPA,MATCH(W300&amp;":"&amp;N300,CustomWeightsIndex,0))</f>
        <v>0</v>
      </c>
      <c r="AE300">
        <f>INDEX(CustomWeightsSAT,MATCH(W300&amp;":"&amp;N300,CustomWeightsIndex,0))</f>
        <v>0</v>
      </c>
      <c r="AF300">
        <f>INDEX(CustomWeightsIntercept,MATCH(W300&amp;":"&amp;N300,CustomWeightsIndex,0))</f>
        <v>0</v>
      </c>
      <c r="AG300">
        <f>AD300*S300+AE300*T300+AF300</f>
        <v>0</v>
      </c>
      <c r="AH300">
        <f>INDEX(CoefficientsGPA,MATCH(W300&amp;":"&amp;R300,CoefficientsIndex,0))</f>
        <v>0</v>
      </c>
      <c r="AI300">
        <f>INDEX(CoefficientsSAT,MATCH(W300&amp;":"&amp;R300,CoefficientsIndex,0))</f>
        <v>0</v>
      </c>
      <c r="AJ300">
        <f>INDEX(CoefficientsIntercept,MATCH(W300&amp;":"&amp;R300,CoefficientsIndex,0))</f>
        <v>0</v>
      </c>
      <c r="AK300">
        <f>AH300*S300+(T300-AC300)*AI300+AJ300</f>
        <v>0</v>
      </c>
      <c r="AL300">
        <f>IF(ISNUMBER(AG300),AG300,AK300)</f>
        <v>0</v>
      </c>
      <c r="AM300">
        <f>IF(ISNUMBER(AL300),IF(ISNUMBER(AH300),IF(AND(AH300=1,AI300=1,AJ300=1),100,MIN(99,ROUND(100*EXP(AL300)/(1+EXP(AL300)),2))),MIN(99,ROUND(100*EXP(AL300)/(1+EXP(AL300)),2))),IF(ISTEXT(R300),IF(LEFT(R300,1)="2",100,"N/A"),"N/A"))</f>
        <v>0</v>
      </c>
      <c r="AN300">
        <f>IF(ISNUMBER(AM300),IF(AM300&gt;=99,IF(OR(U300=10,U300=11),MatchLabel,SureThingLabel),IF(AM300&gt;=95,SecureLabel,IF(AM300&gt;=80,SafetyLabel,IF(AM300&gt;=50,MatchLabel,IF(AM300&gt;=20,ReachLabel,IF(AM300&gt;=10,LongshotLabel,HailMaryLabel)))))),"Other")</f>
        <v>0</v>
      </c>
      <c r="AO300">
        <f>IF(OR(I300="accepted",I300="cond. accept",I300="summer admit"),IF(J300="yes","CHOICE!","Accepted!"),IF(I300="guar. transfer","Guar. Xfer",IF(I300="denied","Denied",IF(K300=1,"Waitlist",IF(L300=1,"Deferred",IF(G300="pending","Pending",IF(OR(G300="initial materials submitted",G300="mid-year submitted",G300="final submitted"),"Submitted",IF(H300="interest","Interest","?"))))))))</f>
        <v>0</v>
      </c>
      <c r="AP300">
        <f>IF(OR(AN300=ReachLabel,AN300=LongshotLabel,AN300=HailMaryLabel),1,0)</f>
        <v>0</v>
      </c>
      <c r="AQ300">
        <f>IF(OR(AP300=1,AN300=MatchLabel),1,0)</f>
        <v>0</v>
      </c>
      <c r="AR300">
        <f>IF(OR(AN300=MatchLabel,AN300=SafetyLabel,AN300=SecureLabel,AN300=SureThingLabel),1,0)</f>
        <v>0</v>
      </c>
      <c r="AS300">
        <f>IF(OR(W300="H",W300="B",W300="I",W300="M"),IF(ISNUMBER(AB300),ROUND(AB300,2),0),IF(ISNUMBER(AA300),ROUND(AA300,2),0))</f>
        <v>0</v>
      </c>
      <c r="AT300">
        <f>IF(AS300&gt;=X300,1,0)</f>
        <v>0</v>
      </c>
      <c r="AU300">
        <f>IF(AS300&gt;=Y300,1,0)</f>
        <v>0</v>
      </c>
      <c r="AV300">
        <f>IF(AS300&lt;(X300-0.10),1,0)</f>
        <v>0</v>
      </c>
      <c r="AW300">
        <f>1-AM300/100</f>
        <v>0</v>
      </c>
      <c r="AX300">
        <f>IF(AQ300=1,AW300,1)</f>
        <v>0</v>
      </c>
      <c r="AY300">
        <f>IF(AP300=1,AW300,1)</f>
        <v>0</v>
      </c>
      <c r="AZ300">
        <f>IF(AND(AT300=1,ISNUMBER(AW300)),$AW300,1)</f>
        <v>0</v>
      </c>
      <c r="BA300">
        <f>IF(AND(AU300=1,ISNUMBER(AW300)),$AW300,1)</f>
        <v>0</v>
      </c>
      <c r="BB300">
        <f>IF(ISNUMBER(AB300),INDEX(AllCollegeMoney, MATCH(N300,AllCollegeNCES,0)),0)</f>
        <v>0</v>
      </c>
      <c r="BC300">
        <f>IF(AND(AT300=1,ISNUMBER(AW300),BB300=1),$AW300,1)</f>
        <v>0</v>
      </c>
      <c r="BD300">
        <f>IF(AND(AU300=1,ISNUMBER(AW300),BB300=1),$AW300,1)</f>
        <v>0</v>
      </c>
      <c r="BE300">
        <f>IF(ISNUMBER(AB300),INDEX(AllCollegeILPub, MATCH(N300,AllCollegeNCES,0)),0)</f>
        <v>0</v>
      </c>
      <c r="BF300">
        <f>IF(AN300=ReachLabel,AS300,0)</f>
        <v>0</v>
      </c>
      <c r="BG300">
        <f>IF(AN300=MatchLabel,AS300,0)</f>
        <v>0</v>
      </c>
      <c r="BH300">
        <f>IF(AN300=SafetyLabel,AS300,0)</f>
        <v>0</v>
      </c>
      <c r="BI300">
        <f>IF(AN300=SecureLabel,AS300,0)</f>
        <v>0</v>
      </c>
      <c r="BJ300">
        <f>IF(AN300=SureThingLabel,AS300,0)</f>
        <v>0</v>
      </c>
      <c r="BK300">
        <f>MAX(BF300:BJ300)</f>
        <v>0</v>
      </c>
      <c r="BL300">
        <f>MAX(BG300:BJ300)</f>
        <v>0</v>
      </c>
      <c r="BM300">
        <f>MAX(BH300:BJ300)</f>
        <v>0</v>
      </c>
      <c r="BN300">
        <f>IF(AND(AN300=ReachLabel,BB300=1),AS300,0)</f>
        <v>0</v>
      </c>
      <c r="BO300">
        <f>IF(AND(AN300=MatchLabel,BB300=1),AS300,0)</f>
        <v>0</v>
      </c>
      <c r="BP300">
        <f>IF(AND(AN300=SafetyLabel,BB300=1),AS300,0)</f>
        <v>0</v>
      </c>
      <c r="BQ300">
        <f>IF(AND(AN300=SecureLabel,BB300=1),AS300,0)</f>
        <v>0</v>
      </c>
      <c r="BR300">
        <f>IF(AND(AN300=SureThingLabel,BB300=1),AS300,0)</f>
        <v>0</v>
      </c>
      <c r="BS300">
        <f>MAX(BN300:BR300)</f>
        <v>0</v>
      </c>
      <c r="BT300">
        <f>MAX(BO300:BR300)</f>
        <v>0</v>
      </c>
      <c r="BU300">
        <f>MAX(BP300:BR300)</f>
        <v>0</v>
      </c>
      <c r="BV300">
        <f>IF(ISNUMBER(AB300),INDEX(AllCollegeChicago, MATCH(N300,AllCollegeNCES,0))*BB300,0)</f>
        <v>0</v>
      </c>
      <c r="BW300">
        <f>IF(ISNUMBER(AB300),INDEX(AllCollegeMoneyCode, MATCH(N300,AllCollegeNCES,0)),"?")</f>
        <v>0</v>
      </c>
      <c r="BX300">
        <f>IF(OR(BW300="---",BW300="--",BW300="+/--",BW300="+/---"),1,0)</f>
        <v>0</v>
      </c>
      <c r="BY300">
        <f>BB300*AR300*AT300</f>
        <v>0</v>
      </c>
    </row>
    <row r="301" spans="1:77">
      <c r="A301" t="s">
        <v>96</v>
      </c>
      <c r="B301">
        <v>23050586</v>
      </c>
      <c r="C301" t="s">
        <v>168</v>
      </c>
      <c r="D301" t="s">
        <v>169</v>
      </c>
      <c r="E301" t="s">
        <v>446</v>
      </c>
      <c r="F301" t="s">
        <v>478</v>
      </c>
      <c r="G301" t="s">
        <v>448</v>
      </c>
      <c r="H301" t="s">
        <v>449</v>
      </c>
      <c r="I301" t="s">
        <v>450</v>
      </c>
      <c r="J301" t="s">
        <v>450</v>
      </c>
      <c r="K301">
        <v>0</v>
      </c>
      <c r="L301" t="s">
        <v>446</v>
      </c>
      <c r="M301" t="s">
        <v>446</v>
      </c>
      <c r="N301">
        <v>168546</v>
      </c>
      <c r="O301">
        <f>INDEX(Counselor,MATCH(B301,KidIDs,0))</f>
        <v>0</v>
      </c>
      <c r="P301">
        <f>INDEX(Advisors,MATCH(B301,KidIDs,0))</f>
        <v>0</v>
      </c>
      <c r="Q301">
        <f>INDEX(Cohort,MATCH(B301,KidIDs,0))</f>
        <v>0</v>
      </c>
      <c r="R301">
        <f>INDEX(AllCollegeBarrons,MATCH(N301,AllCollegeNCES,0))</f>
        <v>0</v>
      </c>
      <c r="S301">
        <f>INDEX(KidGPAs,MATCH(B301,KidIDs,0))</f>
        <v>0</v>
      </c>
      <c r="T301">
        <f>INDEX(KidSATs,MATCH(B301,KidIDs,0))</f>
        <v>0</v>
      </c>
      <c r="U301">
        <f>INDEX(Strats,MATCH(B301,KidIDs,0))</f>
        <v>0</v>
      </c>
      <c r="V301">
        <f>INDEX(KidRace,MATCH(B301,KidIDs,0))</f>
        <v>0</v>
      </c>
      <c r="W301">
        <f>IF(OR(V301="M",V301="I"),"H",IF(V301="P","A",V301))</f>
        <v>0</v>
      </c>
      <c r="X301">
        <f>INDEX(StudentTargets,MATCH(B301,KidIDs,0))</f>
        <v>0</v>
      </c>
      <c r="Y301">
        <f>INDEX(ReachStudentTargets,MATCH(B301,KidIDs,0))</f>
        <v>0</v>
      </c>
      <c r="Z301">
        <f>IF(OR(M301="Posse"),1,0)</f>
        <v>0</v>
      </c>
      <c r="AA301">
        <f>IF(ISNUMBER(INDEX(AllCollegeGR, MATCH(N301,AllCollegeNCES,0))),ROUND(INDEX(AllCollegeGR, MATCH(N301,AllCollegeNCES,0))+Z301*IF(INDEX(AllCollegeGR, MATCH(N301,AllCollegeNCES,0))&gt;0.7,(1-INDEX(AllCollegeGR, MATCH(N301,AllCollegeNCES,0)))/2,0.15),2),INDEX(AllCollegeGR, MATCH(N301,AllCollegeNCES,0)))</f>
        <v>0</v>
      </c>
      <c r="AB301">
        <f>IF(ISNUMBER(INDEX(AllCollegeAAHGR, MATCH(N301,AllCollegeNCES,0))),ROUND(INDEX(AllCollegeAAHGR, MATCH(N301,AllCollegeNCES,0))+Z301*IF(INDEX(AllCollegeAAHGR, MATCH(N301,AllCollegeNCES,0))&gt;0.7,(1-INDEX(AllCollegeAAHGR, MATCH(N301,AllCollegeNCES,0)))/2,0.15),2),INDEX(AllCollegeAAHGR, MATCH(N301,AllCollegeNCES,0)))</f>
        <v>0</v>
      </c>
      <c r="AC301">
        <f>IF(OR(W301="H",W301="B"),INDEX(AllCollegeSAT25, MATCH(N301,AllCollegeNCES,0)),INDEX(AllCollegeSAT50, MATCH(N301,AllCollegeNCES,0)))</f>
        <v>0</v>
      </c>
      <c r="AD301">
        <f>INDEX(CustomWeightsGPA,MATCH(W301&amp;":"&amp;N301,CustomWeightsIndex,0))</f>
        <v>0</v>
      </c>
      <c r="AE301">
        <f>INDEX(CustomWeightsSAT,MATCH(W301&amp;":"&amp;N301,CustomWeightsIndex,0))</f>
        <v>0</v>
      </c>
      <c r="AF301">
        <f>INDEX(CustomWeightsIntercept,MATCH(W301&amp;":"&amp;N301,CustomWeightsIndex,0))</f>
        <v>0</v>
      </c>
      <c r="AG301">
        <f>AD301*S301+AE301*T301+AF301</f>
        <v>0</v>
      </c>
      <c r="AH301">
        <f>INDEX(CoefficientsGPA,MATCH(W301&amp;":"&amp;R301,CoefficientsIndex,0))</f>
        <v>0</v>
      </c>
      <c r="AI301">
        <f>INDEX(CoefficientsSAT,MATCH(W301&amp;":"&amp;R301,CoefficientsIndex,0))</f>
        <v>0</v>
      </c>
      <c r="AJ301">
        <f>INDEX(CoefficientsIntercept,MATCH(W301&amp;":"&amp;R301,CoefficientsIndex,0))</f>
        <v>0</v>
      </c>
      <c r="AK301">
        <f>AH301*S301+(T301-AC301)*AI301+AJ301</f>
        <v>0</v>
      </c>
      <c r="AL301">
        <f>IF(ISNUMBER(AG301),AG301,AK301)</f>
        <v>0</v>
      </c>
      <c r="AM301">
        <f>IF(ISNUMBER(AL301),IF(ISNUMBER(AH301),IF(AND(AH301=1,AI301=1,AJ301=1),100,MIN(99,ROUND(100*EXP(AL301)/(1+EXP(AL301)),2))),MIN(99,ROUND(100*EXP(AL301)/(1+EXP(AL301)),2))),IF(ISTEXT(R301),IF(LEFT(R301,1)="2",100,"N/A"),"N/A"))</f>
        <v>0</v>
      </c>
      <c r="AN301">
        <f>IF(ISNUMBER(AM301),IF(AM301&gt;=99,IF(OR(U301=10,U301=11),MatchLabel,SureThingLabel),IF(AM301&gt;=95,SecureLabel,IF(AM301&gt;=80,SafetyLabel,IF(AM301&gt;=50,MatchLabel,IF(AM301&gt;=20,ReachLabel,IF(AM301&gt;=10,LongshotLabel,HailMaryLabel)))))),"Other")</f>
        <v>0</v>
      </c>
      <c r="AO301">
        <f>IF(OR(I301="accepted",I301="cond. accept",I301="summer admit"),IF(J301="yes","CHOICE!","Accepted!"),IF(I301="guar. transfer","Guar. Xfer",IF(I301="denied","Denied",IF(K301=1,"Waitlist",IF(L301=1,"Deferred",IF(G301="pending","Pending",IF(OR(G301="initial materials submitted",G301="mid-year submitted",G301="final submitted"),"Submitted",IF(H301="interest","Interest","?"))))))))</f>
        <v>0</v>
      </c>
      <c r="AP301">
        <f>IF(OR(AN301=ReachLabel,AN301=LongshotLabel,AN301=HailMaryLabel),1,0)</f>
        <v>0</v>
      </c>
      <c r="AQ301">
        <f>IF(OR(AP301=1,AN301=MatchLabel),1,0)</f>
        <v>0</v>
      </c>
      <c r="AR301">
        <f>IF(OR(AN301=MatchLabel,AN301=SafetyLabel,AN301=SecureLabel,AN301=SureThingLabel),1,0)</f>
        <v>0</v>
      </c>
      <c r="AS301">
        <f>IF(OR(W301="H",W301="B",W301="I",W301="M"),IF(ISNUMBER(AB301),ROUND(AB301,2),0),IF(ISNUMBER(AA301),ROUND(AA301,2),0))</f>
        <v>0</v>
      </c>
      <c r="AT301">
        <f>IF(AS301&gt;=X301,1,0)</f>
        <v>0</v>
      </c>
      <c r="AU301">
        <f>IF(AS301&gt;=Y301,1,0)</f>
        <v>0</v>
      </c>
      <c r="AV301">
        <f>IF(AS301&lt;(X301-0.10),1,0)</f>
        <v>0</v>
      </c>
      <c r="AW301">
        <f>1-AM301/100</f>
        <v>0</v>
      </c>
      <c r="AX301">
        <f>IF(AQ301=1,AW301,1)</f>
        <v>0</v>
      </c>
      <c r="AY301">
        <f>IF(AP301=1,AW301,1)</f>
        <v>0</v>
      </c>
      <c r="AZ301">
        <f>IF(AND(AT301=1,ISNUMBER(AW301)),$AW301,1)</f>
        <v>0</v>
      </c>
      <c r="BA301">
        <f>IF(AND(AU301=1,ISNUMBER(AW301)),$AW301,1)</f>
        <v>0</v>
      </c>
      <c r="BB301">
        <f>IF(ISNUMBER(AB301),INDEX(AllCollegeMoney, MATCH(N301,AllCollegeNCES,0)),0)</f>
        <v>0</v>
      </c>
      <c r="BC301">
        <f>IF(AND(AT301=1,ISNUMBER(AW301),BB301=1),$AW301,1)</f>
        <v>0</v>
      </c>
      <c r="BD301">
        <f>IF(AND(AU301=1,ISNUMBER(AW301),BB301=1),$AW301,1)</f>
        <v>0</v>
      </c>
      <c r="BE301">
        <f>IF(ISNUMBER(AB301),INDEX(AllCollegeILPub, MATCH(N301,AllCollegeNCES,0)),0)</f>
        <v>0</v>
      </c>
      <c r="BF301">
        <f>IF(AN301=ReachLabel,AS301,0)</f>
        <v>0</v>
      </c>
      <c r="BG301">
        <f>IF(AN301=MatchLabel,AS301,0)</f>
        <v>0</v>
      </c>
      <c r="BH301">
        <f>IF(AN301=SafetyLabel,AS301,0)</f>
        <v>0</v>
      </c>
      <c r="BI301">
        <f>IF(AN301=SecureLabel,AS301,0)</f>
        <v>0</v>
      </c>
      <c r="BJ301">
        <f>IF(AN301=SureThingLabel,AS301,0)</f>
        <v>0</v>
      </c>
      <c r="BK301">
        <f>MAX(BF301:BJ301)</f>
        <v>0</v>
      </c>
      <c r="BL301">
        <f>MAX(BG301:BJ301)</f>
        <v>0</v>
      </c>
      <c r="BM301">
        <f>MAX(BH301:BJ301)</f>
        <v>0</v>
      </c>
      <c r="BN301">
        <f>IF(AND(AN301=ReachLabel,BB301=1),AS301,0)</f>
        <v>0</v>
      </c>
      <c r="BO301">
        <f>IF(AND(AN301=MatchLabel,BB301=1),AS301,0)</f>
        <v>0</v>
      </c>
      <c r="BP301">
        <f>IF(AND(AN301=SafetyLabel,BB301=1),AS301,0)</f>
        <v>0</v>
      </c>
      <c r="BQ301">
        <f>IF(AND(AN301=SecureLabel,BB301=1),AS301,0)</f>
        <v>0</v>
      </c>
      <c r="BR301">
        <f>IF(AND(AN301=SureThingLabel,BB301=1),AS301,0)</f>
        <v>0</v>
      </c>
      <c r="BS301">
        <f>MAX(BN301:BR301)</f>
        <v>0</v>
      </c>
      <c r="BT301">
        <f>MAX(BO301:BR301)</f>
        <v>0</v>
      </c>
      <c r="BU301">
        <f>MAX(BP301:BR301)</f>
        <v>0</v>
      </c>
      <c r="BV301">
        <f>IF(ISNUMBER(AB301),INDEX(AllCollegeChicago, MATCH(N301,AllCollegeNCES,0))*BB301,0)</f>
        <v>0</v>
      </c>
      <c r="BW301">
        <f>IF(ISNUMBER(AB301),INDEX(AllCollegeMoneyCode, MATCH(N301,AllCollegeNCES,0)),"?")</f>
        <v>0</v>
      </c>
      <c r="BX301">
        <f>IF(OR(BW301="---",BW301="--",BW301="+/--",BW301="+/---"),1,0)</f>
        <v>0</v>
      </c>
      <c r="BY301">
        <f>BB301*AR301*AT301</f>
        <v>0</v>
      </c>
    </row>
    <row r="302" spans="1:77">
      <c r="A302" t="s">
        <v>96</v>
      </c>
      <c r="B302">
        <v>23050586</v>
      </c>
      <c r="C302" t="s">
        <v>168</v>
      </c>
      <c r="D302" t="s">
        <v>169</v>
      </c>
      <c r="E302" t="s">
        <v>446</v>
      </c>
      <c r="F302" t="s">
        <v>548</v>
      </c>
      <c r="G302" t="s">
        <v>543</v>
      </c>
      <c r="H302" t="s">
        <v>543</v>
      </c>
      <c r="I302" t="s">
        <v>544</v>
      </c>
      <c r="J302" t="s">
        <v>446</v>
      </c>
      <c r="K302" t="s">
        <v>446</v>
      </c>
      <c r="L302" t="s">
        <v>446</v>
      </c>
      <c r="M302" t="s">
        <v>446</v>
      </c>
      <c r="N302">
        <v>168546</v>
      </c>
      <c r="O302">
        <f>INDEX(Counselor,MATCH(B302,KidIDs,0))</f>
        <v>0</v>
      </c>
      <c r="P302">
        <f>INDEX(Advisors,MATCH(B302,KidIDs,0))</f>
        <v>0</v>
      </c>
      <c r="Q302">
        <f>INDEX(Cohort,MATCH(B302,KidIDs,0))</f>
        <v>0</v>
      </c>
      <c r="R302">
        <f>INDEX(AllCollegeBarrons,MATCH(N302,AllCollegeNCES,0))</f>
        <v>0</v>
      </c>
      <c r="S302">
        <f>INDEX(KidGPAs,MATCH(B302,KidIDs,0))</f>
        <v>0</v>
      </c>
      <c r="T302">
        <f>INDEX(KidSATs,MATCH(B302,KidIDs,0))</f>
        <v>0</v>
      </c>
      <c r="U302">
        <f>INDEX(Strats,MATCH(B302,KidIDs,0))</f>
        <v>0</v>
      </c>
      <c r="V302">
        <f>INDEX(KidRace,MATCH(B302,KidIDs,0))</f>
        <v>0</v>
      </c>
      <c r="W302">
        <f>IF(OR(V302="M",V302="I"),"H",IF(V302="P","A",V302))</f>
        <v>0</v>
      </c>
      <c r="X302">
        <f>INDEX(StudentTargets,MATCH(B302,KidIDs,0))</f>
        <v>0</v>
      </c>
      <c r="Y302">
        <f>INDEX(ReachStudentTargets,MATCH(B302,KidIDs,0))</f>
        <v>0</v>
      </c>
      <c r="Z302">
        <f>IF(OR(M302="Posse"),1,0)</f>
        <v>0</v>
      </c>
      <c r="AA302">
        <f>IF(ISNUMBER(INDEX(AllCollegeGR, MATCH(N302,AllCollegeNCES,0))),ROUND(INDEX(AllCollegeGR, MATCH(N302,AllCollegeNCES,0))+Z302*IF(INDEX(AllCollegeGR, MATCH(N302,AllCollegeNCES,0))&gt;0.7,(1-INDEX(AllCollegeGR, MATCH(N302,AllCollegeNCES,0)))/2,0.15),2),INDEX(AllCollegeGR, MATCH(N302,AllCollegeNCES,0)))</f>
        <v>0</v>
      </c>
      <c r="AB302">
        <f>IF(ISNUMBER(INDEX(AllCollegeAAHGR, MATCH(N302,AllCollegeNCES,0))),ROUND(INDEX(AllCollegeAAHGR, MATCH(N302,AllCollegeNCES,0))+Z302*IF(INDEX(AllCollegeAAHGR, MATCH(N302,AllCollegeNCES,0))&gt;0.7,(1-INDEX(AllCollegeAAHGR, MATCH(N302,AllCollegeNCES,0)))/2,0.15),2),INDEX(AllCollegeAAHGR, MATCH(N302,AllCollegeNCES,0)))</f>
        <v>0</v>
      </c>
      <c r="AC302">
        <f>IF(OR(W302="H",W302="B"),INDEX(AllCollegeSAT25, MATCH(N302,AllCollegeNCES,0)),INDEX(AllCollegeSAT50, MATCH(N302,AllCollegeNCES,0)))</f>
        <v>0</v>
      </c>
      <c r="AD302">
        <f>INDEX(CustomWeightsGPA,MATCH(W302&amp;":"&amp;N302,CustomWeightsIndex,0))</f>
        <v>0</v>
      </c>
      <c r="AE302">
        <f>INDEX(CustomWeightsSAT,MATCH(W302&amp;":"&amp;N302,CustomWeightsIndex,0))</f>
        <v>0</v>
      </c>
      <c r="AF302">
        <f>INDEX(CustomWeightsIntercept,MATCH(W302&amp;":"&amp;N302,CustomWeightsIndex,0))</f>
        <v>0</v>
      </c>
      <c r="AG302">
        <f>AD302*S302+AE302*T302+AF302</f>
        <v>0</v>
      </c>
      <c r="AH302">
        <f>INDEX(CoefficientsGPA,MATCH(W302&amp;":"&amp;R302,CoefficientsIndex,0))</f>
        <v>0</v>
      </c>
      <c r="AI302">
        <f>INDEX(CoefficientsSAT,MATCH(W302&amp;":"&amp;R302,CoefficientsIndex,0))</f>
        <v>0</v>
      </c>
      <c r="AJ302">
        <f>INDEX(CoefficientsIntercept,MATCH(W302&amp;":"&amp;R302,CoefficientsIndex,0))</f>
        <v>0</v>
      </c>
      <c r="AK302">
        <f>AH302*S302+(T302-AC302)*AI302+AJ302</f>
        <v>0</v>
      </c>
      <c r="AL302">
        <f>IF(ISNUMBER(AG302),AG302,AK302)</f>
        <v>0</v>
      </c>
      <c r="AM302">
        <f>IF(ISNUMBER(AL302),IF(ISNUMBER(AH302),IF(AND(AH302=1,AI302=1,AJ302=1),100,MIN(99,ROUND(100*EXP(AL302)/(1+EXP(AL302)),2))),MIN(99,ROUND(100*EXP(AL302)/(1+EXP(AL302)),2))),IF(ISTEXT(R302),IF(LEFT(R302,1)="2",100,"N/A"),"N/A"))</f>
        <v>0</v>
      </c>
      <c r="AN302">
        <f>IF(ISNUMBER(AM302),IF(AM302&gt;=99,IF(OR(U302=10,U302=11),MatchLabel,SureThingLabel),IF(AM302&gt;=95,SecureLabel,IF(AM302&gt;=80,SafetyLabel,IF(AM302&gt;=50,MatchLabel,IF(AM302&gt;=20,ReachLabel,IF(AM302&gt;=10,LongshotLabel,HailMaryLabel)))))),"Other")</f>
        <v>0</v>
      </c>
      <c r="AO302">
        <f>IF(OR(I302="accepted",I302="cond. accept",I302="summer admit"),IF(J302="yes","CHOICE!","Accepted!"),IF(I302="guar. transfer","Guar. Xfer",IF(I302="denied","Denied",IF(K302=1,"Waitlist",IF(L302=1,"Deferred",IF(G302="pending","Pending",IF(OR(G302="initial materials submitted",G302="mid-year submitted",G302="final submitted"),"Submitted",IF(H302="interest","Interest","?"))))))))</f>
        <v>0</v>
      </c>
      <c r="AP302">
        <f>IF(OR(AN302=ReachLabel,AN302=LongshotLabel,AN302=HailMaryLabel),1,0)</f>
        <v>0</v>
      </c>
      <c r="AQ302">
        <f>IF(OR(AP302=1,AN302=MatchLabel),1,0)</f>
        <v>0</v>
      </c>
      <c r="AR302">
        <f>IF(OR(AN302=MatchLabel,AN302=SafetyLabel,AN302=SecureLabel,AN302=SureThingLabel),1,0)</f>
        <v>0</v>
      </c>
      <c r="AS302">
        <f>IF(OR(W302="H",W302="B",W302="I",W302="M"),IF(ISNUMBER(AB302),ROUND(AB302,2),0),IF(ISNUMBER(AA302),ROUND(AA302,2),0))</f>
        <v>0</v>
      </c>
      <c r="AT302">
        <f>IF(AS302&gt;=X302,1,0)</f>
        <v>0</v>
      </c>
      <c r="AU302">
        <f>IF(AS302&gt;=Y302,1,0)</f>
        <v>0</v>
      </c>
      <c r="AV302">
        <f>IF(AS302&lt;(X302-0.10),1,0)</f>
        <v>0</v>
      </c>
      <c r="AW302">
        <f>1-AM302/100</f>
        <v>0</v>
      </c>
      <c r="AX302">
        <f>IF(AQ302=1,AW302,1)</f>
        <v>0</v>
      </c>
      <c r="AY302">
        <f>IF(AP302=1,AW302,1)</f>
        <v>0</v>
      </c>
      <c r="AZ302">
        <f>IF(AND(AT302=1,ISNUMBER(AW302)),$AW302,1)</f>
        <v>0</v>
      </c>
      <c r="BA302">
        <f>IF(AND(AU302=1,ISNUMBER(AW302)),$AW302,1)</f>
        <v>0</v>
      </c>
      <c r="BB302">
        <f>IF(ISNUMBER(AB302),INDEX(AllCollegeMoney, MATCH(N302,AllCollegeNCES,0)),0)</f>
        <v>0</v>
      </c>
      <c r="BC302">
        <f>IF(AND(AT302=1,ISNUMBER(AW302),BB302=1),$AW302,1)</f>
        <v>0</v>
      </c>
      <c r="BD302">
        <f>IF(AND(AU302=1,ISNUMBER(AW302),BB302=1),$AW302,1)</f>
        <v>0</v>
      </c>
      <c r="BE302">
        <f>IF(ISNUMBER(AB302),INDEX(AllCollegeILPub, MATCH(N302,AllCollegeNCES,0)),0)</f>
        <v>0</v>
      </c>
      <c r="BF302">
        <f>IF(AN302=ReachLabel,AS302,0)</f>
        <v>0</v>
      </c>
      <c r="BG302">
        <f>IF(AN302=MatchLabel,AS302,0)</f>
        <v>0</v>
      </c>
      <c r="BH302">
        <f>IF(AN302=SafetyLabel,AS302,0)</f>
        <v>0</v>
      </c>
      <c r="BI302">
        <f>IF(AN302=SecureLabel,AS302,0)</f>
        <v>0</v>
      </c>
      <c r="BJ302">
        <f>IF(AN302=SureThingLabel,AS302,0)</f>
        <v>0</v>
      </c>
      <c r="BK302">
        <f>MAX(BF302:BJ302)</f>
        <v>0</v>
      </c>
      <c r="BL302">
        <f>MAX(BG302:BJ302)</f>
        <v>0</v>
      </c>
      <c r="BM302">
        <f>MAX(BH302:BJ302)</f>
        <v>0</v>
      </c>
      <c r="BN302">
        <f>IF(AND(AN302=ReachLabel,BB302=1),AS302,0)</f>
        <v>0</v>
      </c>
      <c r="BO302">
        <f>IF(AND(AN302=MatchLabel,BB302=1),AS302,0)</f>
        <v>0</v>
      </c>
      <c r="BP302">
        <f>IF(AND(AN302=SafetyLabel,BB302=1),AS302,0)</f>
        <v>0</v>
      </c>
      <c r="BQ302">
        <f>IF(AND(AN302=SecureLabel,BB302=1),AS302,0)</f>
        <v>0</v>
      </c>
      <c r="BR302">
        <f>IF(AND(AN302=SureThingLabel,BB302=1),AS302,0)</f>
        <v>0</v>
      </c>
      <c r="BS302">
        <f>MAX(BN302:BR302)</f>
        <v>0</v>
      </c>
      <c r="BT302">
        <f>MAX(BO302:BR302)</f>
        <v>0</v>
      </c>
      <c r="BU302">
        <f>MAX(BP302:BR302)</f>
        <v>0</v>
      </c>
      <c r="BV302">
        <f>IF(ISNUMBER(AB302),INDEX(AllCollegeChicago, MATCH(N302,AllCollegeNCES,0))*BB302,0)</f>
        <v>0</v>
      </c>
      <c r="BW302">
        <f>IF(ISNUMBER(AB302),INDEX(AllCollegeMoneyCode, MATCH(N302,AllCollegeNCES,0)),"?")</f>
        <v>0</v>
      </c>
      <c r="BX302">
        <f>IF(OR(BW302="---",BW302="--",BW302="+/--",BW302="+/---"),1,0)</f>
        <v>0</v>
      </c>
      <c r="BY302">
        <f>BB302*AR302*AT302</f>
        <v>0</v>
      </c>
    </row>
    <row r="303" spans="1:77">
      <c r="A303" t="s">
        <v>96</v>
      </c>
      <c r="B303">
        <v>23050586</v>
      </c>
      <c r="C303" t="s">
        <v>168</v>
      </c>
      <c r="D303" t="s">
        <v>169</v>
      </c>
      <c r="E303" t="s">
        <v>446</v>
      </c>
      <c r="F303" t="s">
        <v>518</v>
      </c>
      <c r="G303" t="s">
        <v>448</v>
      </c>
      <c r="H303" t="s">
        <v>449</v>
      </c>
      <c r="I303" t="s">
        <v>450</v>
      </c>
      <c r="J303" t="s">
        <v>450</v>
      </c>
      <c r="K303">
        <v>0</v>
      </c>
      <c r="L303" t="s">
        <v>446</v>
      </c>
      <c r="M303" t="s">
        <v>446</v>
      </c>
      <c r="N303">
        <v>145725</v>
      </c>
      <c r="O303">
        <f>INDEX(Counselor,MATCH(B303,KidIDs,0))</f>
        <v>0</v>
      </c>
      <c r="P303">
        <f>INDEX(Advisors,MATCH(B303,KidIDs,0))</f>
        <v>0</v>
      </c>
      <c r="Q303">
        <f>INDEX(Cohort,MATCH(B303,KidIDs,0))</f>
        <v>0</v>
      </c>
      <c r="R303">
        <f>INDEX(AllCollegeBarrons,MATCH(N303,AllCollegeNCES,0))</f>
        <v>0</v>
      </c>
      <c r="S303">
        <f>INDEX(KidGPAs,MATCH(B303,KidIDs,0))</f>
        <v>0</v>
      </c>
      <c r="T303">
        <f>INDEX(KidSATs,MATCH(B303,KidIDs,0))</f>
        <v>0</v>
      </c>
      <c r="U303">
        <f>INDEX(Strats,MATCH(B303,KidIDs,0))</f>
        <v>0</v>
      </c>
      <c r="V303">
        <f>INDEX(KidRace,MATCH(B303,KidIDs,0))</f>
        <v>0</v>
      </c>
      <c r="W303">
        <f>IF(OR(V303="M",V303="I"),"H",IF(V303="P","A",V303))</f>
        <v>0</v>
      </c>
      <c r="X303">
        <f>INDEX(StudentTargets,MATCH(B303,KidIDs,0))</f>
        <v>0</v>
      </c>
      <c r="Y303">
        <f>INDEX(ReachStudentTargets,MATCH(B303,KidIDs,0))</f>
        <v>0</v>
      </c>
      <c r="Z303">
        <f>IF(OR(M303="Posse"),1,0)</f>
        <v>0</v>
      </c>
      <c r="AA303">
        <f>IF(ISNUMBER(INDEX(AllCollegeGR, MATCH(N303,AllCollegeNCES,0))),ROUND(INDEX(AllCollegeGR, MATCH(N303,AllCollegeNCES,0))+Z303*IF(INDEX(AllCollegeGR, MATCH(N303,AllCollegeNCES,0))&gt;0.7,(1-INDEX(AllCollegeGR, MATCH(N303,AllCollegeNCES,0)))/2,0.15),2),INDEX(AllCollegeGR, MATCH(N303,AllCollegeNCES,0)))</f>
        <v>0</v>
      </c>
      <c r="AB303">
        <f>IF(ISNUMBER(INDEX(AllCollegeAAHGR, MATCH(N303,AllCollegeNCES,0))),ROUND(INDEX(AllCollegeAAHGR, MATCH(N303,AllCollegeNCES,0))+Z303*IF(INDEX(AllCollegeAAHGR, MATCH(N303,AllCollegeNCES,0))&gt;0.7,(1-INDEX(AllCollegeAAHGR, MATCH(N303,AllCollegeNCES,0)))/2,0.15),2),INDEX(AllCollegeAAHGR, MATCH(N303,AllCollegeNCES,0)))</f>
        <v>0</v>
      </c>
      <c r="AC303">
        <f>IF(OR(W303="H",W303="B"),INDEX(AllCollegeSAT25, MATCH(N303,AllCollegeNCES,0)),INDEX(AllCollegeSAT50, MATCH(N303,AllCollegeNCES,0)))</f>
        <v>0</v>
      </c>
      <c r="AD303">
        <f>INDEX(CustomWeightsGPA,MATCH(W303&amp;":"&amp;N303,CustomWeightsIndex,0))</f>
        <v>0</v>
      </c>
      <c r="AE303">
        <f>INDEX(CustomWeightsSAT,MATCH(W303&amp;":"&amp;N303,CustomWeightsIndex,0))</f>
        <v>0</v>
      </c>
      <c r="AF303">
        <f>INDEX(CustomWeightsIntercept,MATCH(W303&amp;":"&amp;N303,CustomWeightsIndex,0))</f>
        <v>0</v>
      </c>
      <c r="AG303">
        <f>AD303*S303+AE303*T303+AF303</f>
        <v>0</v>
      </c>
      <c r="AH303">
        <f>INDEX(CoefficientsGPA,MATCH(W303&amp;":"&amp;R303,CoefficientsIndex,0))</f>
        <v>0</v>
      </c>
      <c r="AI303">
        <f>INDEX(CoefficientsSAT,MATCH(W303&amp;":"&amp;R303,CoefficientsIndex,0))</f>
        <v>0</v>
      </c>
      <c r="AJ303">
        <f>INDEX(CoefficientsIntercept,MATCH(W303&amp;":"&amp;R303,CoefficientsIndex,0))</f>
        <v>0</v>
      </c>
      <c r="AK303">
        <f>AH303*S303+(T303-AC303)*AI303+AJ303</f>
        <v>0</v>
      </c>
      <c r="AL303">
        <f>IF(ISNUMBER(AG303),AG303,AK303)</f>
        <v>0</v>
      </c>
      <c r="AM303">
        <f>IF(ISNUMBER(AL303),IF(ISNUMBER(AH303),IF(AND(AH303=1,AI303=1,AJ303=1),100,MIN(99,ROUND(100*EXP(AL303)/(1+EXP(AL303)),2))),MIN(99,ROUND(100*EXP(AL303)/(1+EXP(AL303)),2))),IF(ISTEXT(R303),IF(LEFT(R303,1)="2",100,"N/A"),"N/A"))</f>
        <v>0</v>
      </c>
      <c r="AN303">
        <f>IF(ISNUMBER(AM303),IF(AM303&gt;=99,IF(OR(U303=10,U303=11),MatchLabel,SureThingLabel),IF(AM303&gt;=95,SecureLabel,IF(AM303&gt;=80,SafetyLabel,IF(AM303&gt;=50,MatchLabel,IF(AM303&gt;=20,ReachLabel,IF(AM303&gt;=10,LongshotLabel,HailMaryLabel)))))),"Other")</f>
        <v>0</v>
      </c>
      <c r="AO303">
        <f>IF(OR(I303="accepted",I303="cond. accept",I303="summer admit"),IF(J303="yes","CHOICE!","Accepted!"),IF(I303="guar. transfer","Guar. Xfer",IF(I303="denied","Denied",IF(K303=1,"Waitlist",IF(L303=1,"Deferred",IF(G303="pending","Pending",IF(OR(G303="initial materials submitted",G303="mid-year submitted",G303="final submitted"),"Submitted",IF(H303="interest","Interest","?"))))))))</f>
        <v>0</v>
      </c>
      <c r="AP303">
        <f>IF(OR(AN303=ReachLabel,AN303=LongshotLabel,AN303=HailMaryLabel),1,0)</f>
        <v>0</v>
      </c>
      <c r="AQ303">
        <f>IF(OR(AP303=1,AN303=MatchLabel),1,0)</f>
        <v>0</v>
      </c>
      <c r="AR303">
        <f>IF(OR(AN303=MatchLabel,AN303=SafetyLabel,AN303=SecureLabel,AN303=SureThingLabel),1,0)</f>
        <v>0</v>
      </c>
      <c r="AS303">
        <f>IF(OR(W303="H",W303="B",W303="I",W303="M"),IF(ISNUMBER(AB303),ROUND(AB303,2),0),IF(ISNUMBER(AA303),ROUND(AA303,2),0))</f>
        <v>0</v>
      </c>
      <c r="AT303">
        <f>IF(AS303&gt;=X303,1,0)</f>
        <v>0</v>
      </c>
      <c r="AU303">
        <f>IF(AS303&gt;=Y303,1,0)</f>
        <v>0</v>
      </c>
      <c r="AV303">
        <f>IF(AS303&lt;(X303-0.10),1,0)</f>
        <v>0</v>
      </c>
      <c r="AW303">
        <f>1-AM303/100</f>
        <v>0</v>
      </c>
      <c r="AX303">
        <f>IF(AQ303=1,AW303,1)</f>
        <v>0</v>
      </c>
      <c r="AY303">
        <f>IF(AP303=1,AW303,1)</f>
        <v>0</v>
      </c>
      <c r="AZ303">
        <f>IF(AND(AT303=1,ISNUMBER(AW303)),$AW303,1)</f>
        <v>0</v>
      </c>
      <c r="BA303">
        <f>IF(AND(AU303=1,ISNUMBER(AW303)),$AW303,1)</f>
        <v>0</v>
      </c>
      <c r="BB303">
        <f>IF(ISNUMBER(AB303),INDEX(AllCollegeMoney, MATCH(N303,AllCollegeNCES,0)),0)</f>
        <v>0</v>
      </c>
      <c r="BC303">
        <f>IF(AND(AT303=1,ISNUMBER(AW303),BB303=1),$AW303,1)</f>
        <v>0</v>
      </c>
      <c r="BD303">
        <f>IF(AND(AU303=1,ISNUMBER(AW303),BB303=1),$AW303,1)</f>
        <v>0</v>
      </c>
      <c r="BE303">
        <f>IF(ISNUMBER(AB303),INDEX(AllCollegeILPub, MATCH(N303,AllCollegeNCES,0)),0)</f>
        <v>0</v>
      </c>
      <c r="BF303">
        <f>IF(AN303=ReachLabel,AS303,0)</f>
        <v>0</v>
      </c>
      <c r="BG303">
        <f>IF(AN303=MatchLabel,AS303,0)</f>
        <v>0</v>
      </c>
      <c r="BH303">
        <f>IF(AN303=SafetyLabel,AS303,0)</f>
        <v>0</v>
      </c>
      <c r="BI303">
        <f>IF(AN303=SecureLabel,AS303,0)</f>
        <v>0</v>
      </c>
      <c r="BJ303">
        <f>IF(AN303=SureThingLabel,AS303,0)</f>
        <v>0</v>
      </c>
      <c r="BK303">
        <f>MAX(BF303:BJ303)</f>
        <v>0</v>
      </c>
      <c r="BL303">
        <f>MAX(BG303:BJ303)</f>
        <v>0</v>
      </c>
      <c r="BM303">
        <f>MAX(BH303:BJ303)</f>
        <v>0</v>
      </c>
      <c r="BN303">
        <f>IF(AND(AN303=ReachLabel,BB303=1),AS303,0)</f>
        <v>0</v>
      </c>
      <c r="BO303">
        <f>IF(AND(AN303=MatchLabel,BB303=1),AS303,0)</f>
        <v>0</v>
      </c>
      <c r="BP303">
        <f>IF(AND(AN303=SafetyLabel,BB303=1),AS303,0)</f>
        <v>0</v>
      </c>
      <c r="BQ303">
        <f>IF(AND(AN303=SecureLabel,BB303=1),AS303,0)</f>
        <v>0</v>
      </c>
      <c r="BR303">
        <f>IF(AND(AN303=SureThingLabel,BB303=1),AS303,0)</f>
        <v>0</v>
      </c>
      <c r="BS303">
        <f>MAX(BN303:BR303)</f>
        <v>0</v>
      </c>
      <c r="BT303">
        <f>MAX(BO303:BR303)</f>
        <v>0</v>
      </c>
      <c r="BU303">
        <f>MAX(BP303:BR303)</f>
        <v>0</v>
      </c>
      <c r="BV303">
        <f>IF(ISNUMBER(AB303),INDEX(AllCollegeChicago, MATCH(N303,AllCollegeNCES,0))*BB303,0)</f>
        <v>0</v>
      </c>
      <c r="BW303">
        <f>IF(ISNUMBER(AB303),INDEX(AllCollegeMoneyCode, MATCH(N303,AllCollegeNCES,0)),"?")</f>
        <v>0</v>
      </c>
      <c r="BX303">
        <f>IF(OR(BW303="---",BW303="--",BW303="+/--",BW303="+/---"),1,0)</f>
        <v>0</v>
      </c>
      <c r="BY303">
        <f>BB303*AR303*AT303</f>
        <v>0</v>
      </c>
    </row>
    <row r="304" spans="1:77">
      <c r="A304" t="s">
        <v>96</v>
      </c>
      <c r="B304">
        <v>23050586</v>
      </c>
      <c r="C304" t="s">
        <v>168</v>
      </c>
      <c r="D304" t="s">
        <v>169</v>
      </c>
      <c r="E304" t="s">
        <v>446</v>
      </c>
      <c r="F304" t="s">
        <v>465</v>
      </c>
      <c r="G304" t="s">
        <v>448</v>
      </c>
      <c r="H304" t="s">
        <v>449</v>
      </c>
      <c r="I304" t="s">
        <v>450</v>
      </c>
      <c r="J304" t="s">
        <v>450</v>
      </c>
      <c r="K304">
        <v>0</v>
      </c>
      <c r="L304" t="s">
        <v>446</v>
      </c>
      <c r="M304" t="s">
        <v>446</v>
      </c>
      <c r="N304">
        <v>145600</v>
      </c>
      <c r="O304">
        <f>INDEX(Counselor,MATCH(B304,KidIDs,0))</f>
        <v>0</v>
      </c>
      <c r="P304">
        <f>INDEX(Advisors,MATCH(B304,KidIDs,0))</f>
        <v>0</v>
      </c>
      <c r="Q304">
        <f>INDEX(Cohort,MATCH(B304,KidIDs,0))</f>
        <v>0</v>
      </c>
      <c r="R304">
        <f>INDEX(AllCollegeBarrons,MATCH(N304,AllCollegeNCES,0))</f>
        <v>0</v>
      </c>
      <c r="S304">
        <f>INDEX(KidGPAs,MATCH(B304,KidIDs,0))</f>
        <v>0</v>
      </c>
      <c r="T304">
        <f>INDEX(KidSATs,MATCH(B304,KidIDs,0))</f>
        <v>0</v>
      </c>
      <c r="U304">
        <f>INDEX(Strats,MATCH(B304,KidIDs,0))</f>
        <v>0</v>
      </c>
      <c r="V304">
        <f>INDEX(KidRace,MATCH(B304,KidIDs,0))</f>
        <v>0</v>
      </c>
      <c r="W304">
        <f>IF(OR(V304="M",V304="I"),"H",IF(V304="P","A",V304))</f>
        <v>0</v>
      </c>
      <c r="X304">
        <f>INDEX(StudentTargets,MATCH(B304,KidIDs,0))</f>
        <v>0</v>
      </c>
      <c r="Y304">
        <f>INDEX(ReachStudentTargets,MATCH(B304,KidIDs,0))</f>
        <v>0</v>
      </c>
      <c r="Z304">
        <f>IF(OR(M304="Posse"),1,0)</f>
        <v>0</v>
      </c>
      <c r="AA304">
        <f>IF(ISNUMBER(INDEX(AllCollegeGR, MATCH(N304,AllCollegeNCES,0))),ROUND(INDEX(AllCollegeGR, MATCH(N304,AllCollegeNCES,0))+Z304*IF(INDEX(AllCollegeGR, MATCH(N304,AllCollegeNCES,0))&gt;0.7,(1-INDEX(AllCollegeGR, MATCH(N304,AllCollegeNCES,0)))/2,0.15),2),INDEX(AllCollegeGR, MATCH(N304,AllCollegeNCES,0)))</f>
        <v>0</v>
      </c>
      <c r="AB304">
        <f>IF(ISNUMBER(INDEX(AllCollegeAAHGR, MATCH(N304,AllCollegeNCES,0))),ROUND(INDEX(AllCollegeAAHGR, MATCH(N304,AllCollegeNCES,0))+Z304*IF(INDEX(AllCollegeAAHGR, MATCH(N304,AllCollegeNCES,0))&gt;0.7,(1-INDEX(AllCollegeAAHGR, MATCH(N304,AllCollegeNCES,0)))/2,0.15),2),INDEX(AllCollegeAAHGR, MATCH(N304,AllCollegeNCES,0)))</f>
        <v>0</v>
      </c>
      <c r="AC304">
        <f>IF(OR(W304="H",W304="B"),INDEX(AllCollegeSAT25, MATCH(N304,AllCollegeNCES,0)),INDEX(AllCollegeSAT50, MATCH(N304,AllCollegeNCES,0)))</f>
        <v>0</v>
      </c>
      <c r="AD304">
        <f>INDEX(CustomWeightsGPA,MATCH(W304&amp;":"&amp;N304,CustomWeightsIndex,0))</f>
        <v>0</v>
      </c>
      <c r="AE304">
        <f>INDEX(CustomWeightsSAT,MATCH(W304&amp;":"&amp;N304,CustomWeightsIndex,0))</f>
        <v>0</v>
      </c>
      <c r="AF304">
        <f>INDEX(CustomWeightsIntercept,MATCH(W304&amp;":"&amp;N304,CustomWeightsIndex,0))</f>
        <v>0</v>
      </c>
      <c r="AG304">
        <f>AD304*S304+AE304*T304+AF304</f>
        <v>0</v>
      </c>
      <c r="AH304">
        <f>INDEX(CoefficientsGPA,MATCH(W304&amp;":"&amp;R304,CoefficientsIndex,0))</f>
        <v>0</v>
      </c>
      <c r="AI304">
        <f>INDEX(CoefficientsSAT,MATCH(W304&amp;":"&amp;R304,CoefficientsIndex,0))</f>
        <v>0</v>
      </c>
      <c r="AJ304">
        <f>INDEX(CoefficientsIntercept,MATCH(W304&amp;":"&amp;R304,CoefficientsIndex,0))</f>
        <v>0</v>
      </c>
      <c r="AK304">
        <f>AH304*S304+(T304-AC304)*AI304+AJ304</f>
        <v>0</v>
      </c>
      <c r="AL304">
        <f>IF(ISNUMBER(AG304),AG304,AK304)</f>
        <v>0</v>
      </c>
      <c r="AM304">
        <f>IF(ISNUMBER(AL304),IF(ISNUMBER(AH304),IF(AND(AH304=1,AI304=1,AJ304=1),100,MIN(99,ROUND(100*EXP(AL304)/(1+EXP(AL304)),2))),MIN(99,ROUND(100*EXP(AL304)/(1+EXP(AL304)),2))),IF(ISTEXT(R304),IF(LEFT(R304,1)="2",100,"N/A"),"N/A"))</f>
        <v>0</v>
      </c>
      <c r="AN304">
        <f>IF(ISNUMBER(AM304),IF(AM304&gt;=99,IF(OR(U304=10,U304=11),MatchLabel,SureThingLabel),IF(AM304&gt;=95,SecureLabel,IF(AM304&gt;=80,SafetyLabel,IF(AM304&gt;=50,MatchLabel,IF(AM304&gt;=20,ReachLabel,IF(AM304&gt;=10,LongshotLabel,HailMaryLabel)))))),"Other")</f>
        <v>0</v>
      </c>
      <c r="AO304">
        <f>IF(OR(I304="accepted",I304="cond. accept",I304="summer admit"),IF(J304="yes","CHOICE!","Accepted!"),IF(I304="guar. transfer","Guar. Xfer",IF(I304="denied","Denied",IF(K304=1,"Waitlist",IF(L304=1,"Deferred",IF(G304="pending","Pending",IF(OR(G304="initial materials submitted",G304="mid-year submitted",G304="final submitted"),"Submitted",IF(H304="interest","Interest","?"))))))))</f>
        <v>0</v>
      </c>
      <c r="AP304">
        <f>IF(OR(AN304=ReachLabel,AN304=LongshotLabel,AN304=HailMaryLabel),1,0)</f>
        <v>0</v>
      </c>
      <c r="AQ304">
        <f>IF(OR(AP304=1,AN304=MatchLabel),1,0)</f>
        <v>0</v>
      </c>
      <c r="AR304">
        <f>IF(OR(AN304=MatchLabel,AN304=SafetyLabel,AN304=SecureLabel,AN304=SureThingLabel),1,0)</f>
        <v>0</v>
      </c>
      <c r="AS304">
        <f>IF(OR(W304="H",W304="B",W304="I",W304="M"),IF(ISNUMBER(AB304),ROUND(AB304,2),0),IF(ISNUMBER(AA304),ROUND(AA304,2),0))</f>
        <v>0</v>
      </c>
      <c r="AT304">
        <f>IF(AS304&gt;=X304,1,0)</f>
        <v>0</v>
      </c>
      <c r="AU304">
        <f>IF(AS304&gt;=Y304,1,0)</f>
        <v>0</v>
      </c>
      <c r="AV304">
        <f>IF(AS304&lt;(X304-0.10),1,0)</f>
        <v>0</v>
      </c>
      <c r="AW304">
        <f>1-AM304/100</f>
        <v>0</v>
      </c>
      <c r="AX304">
        <f>IF(AQ304=1,AW304,1)</f>
        <v>0</v>
      </c>
      <c r="AY304">
        <f>IF(AP304=1,AW304,1)</f>
        <v>0</v>
      </c>
      <c r="AZ304">
        <f>IF(AND(AT304=1,ISNUMBER(AW304)),$AW304,1)</f>
        <v>0</v>
      </c>
      <c r="BA304">
        <f>IF(AND(AU304=1,ISNUMBER(AW304)),$AW304,1)</f>
        <v>0</v>
      </c>
      <c r="BB304">
        <f>IF(ISNUMBER(AB304),INDEX(AllCollegeMoney, MATCH(N304,AllCollegeNCES,0)),0)</f>
        <v>0</v>
      </c>
      <c r="BC304">
        <f>IF(AND(AT304=1,ISNUMBER(AW304),BB304=1),$AW304,1)</f>
        <v>0</v>
      </c>
      <c r="BD304">
        <f>IF(AND(AU304=1,ISNUMBER(AW304),BB304=1),$AW304,1)</f>
        <v>0</v>
      </c>
      <c r="BE304">
        <f>IF(ISNUMBER(AB304),INDEX(AllCollegeILPub, MATCH(N304,AllCollegeNCES,0)),0)</f>
        <v>0</v>
      </c>
      <c r="BF304">
        <f>IF(AN304=ReachLabel,AS304,0)</f>
        <v>0</v>
      </c>
      <c r="BG304">
        <f>IF(AN304=MatchLabel,AS304,0)</f>
        <v>0</v>
      </c>
      <c r="BH304">
        <f>IF(AN304=SafetyLabel,AS304,0)</f>
        <v>0</v>
      </c>
      <c r="BI304">
        <f>IF(AN304=SecureLabel,AS304,0)</f>
        <v>0</v>
      </c>
      <c r="BJ304">
        <f>IF(AN304=SureThingLabel,AS304,0)</f>
        <v>0</v>
      </c>
      <c r="BK304">
        <f>MAX(BF304:BJ304)</f>
        <v>0</v>
      </c>
      <c r="BL304">
        <f>MAX(BG304:BJ304)</f>
        <v>0</v>
      </c>
      <c r="BM304">
        <f>MAX(BH304:BJ304)</f>
        <v>0</v>
      </c>
      <c r="BN304">
        <f>IF(AND(AN304=ReachLabel,BB304=1),AS304,0)</f>
        <v>0</v>
      </c>
      <c r="BO304">
        <f>IF(AND(AN304=MatchLabel,BB304=1),AS304,0)</f>
        <v>0</v>
      </c>
      <c r="BP304">
        <f>IF(AND(AN304=SafetyLabel,BB304=1),AS304,0)</f>
        <v>0</v>
      </c>
      <c r="BQ304">
        <f>IF(AND(AN304=SecureLabel,BB304=1),AS304,0)</f>
        <v>0</v>
      </c>
      <c r="BR304">
        <f>IF(AND(AN304=SureThingLabel,BB304=1),AS304,0)</f>
        <v>0</v>
      </c>
      <c r="BS304">
        <f>MAX(BN304:BR304)</f>
        <v>0</v>
      </c>
      <c r="BT304">
        <f>MAX(BO304:BR304)</f>
        <v>0</v>
      </c>
      <c r="BU304">
        <f>MAX(BP304:BR304)</f>
        <v>0</v>
      </c>
      <c r="BV304">
        <f>IF(ISNUMBER(AB304),INDEX(AllCollegeChicago, MATCH(N304,AllCollegeNCES,0))*BB304,0)</f>
        <v>0</v>
      </c>
      <c r="BW304">
        <f>IF(ISNUMBER(AB304),INDEX(AllCollegeMoneyCode, MATCH(N304,AllCollegeNCES,0)),"?")</f>
        <v>0</v>
      </c>
      <c r="BX304">
        <f>IF(OR(BW304="---",BW304="--",BW304="+/--",BW304="+/---"),1,0)</f>
        <v>0</v>
      </c>
      <c r="BY304">
        <f>BB304*AR304*AT304</f>
        <v>0</v>
      </c>
    </row>
    <row r="305" spans="1:77">
      <c r="A305" t="s">
        <v>96</v>
      </c>
      <c r="B305">
        <v>23050586</v>
      </c>
      <c r="C305" t="s">
        <v>168</v>
      </c>
      <c r="D305" t="s">
        <v>169</v>
      </c>
      <c r="E305" t="s">
        <v>446</v>
      </c>
      <c r="F305" t="s">
        <v>549</v>
      </c>
      <c r="G305" t="s">
        <v>543</v>
      </c>
      <c r="H305" t="s">
        <v>543</v>
      </c>
      <c r="I305" t="s">
        <v>544</v>
      </c>
      <c r="J305" t="s">
        <v>446</v>
      </c>
      <c r="K305" t="s">
        <v>446</v>
      </c>
      <c r="L305" t="s">
        <v>446</v>
      </c>
      <c r="M305" t="s">
        <v>446</v>
      </c>
      <c r="N305">
        <v>145725</v>
      </c>
      <c r="O305">
        <f>INDEX(Counselor,MATCH(B305,KidIDs,0))</f>
        <v>0</v>
      </c>
      <c r="P305">
        <f>INDEX(Advisors,MATCH(B305,KidIDs,0))</f>
        <v>0</v>
      </c>
      <c r="Q305">
        <f>INDEX(Cohort,MATCH(B305,KidIDs,0))</f>
        <v>0</v>
      </c>
      <c r="R305">
        <f>INDEX(AllCollegeBarrons,MATCH(N305,AllCollegeNCES,0))</f>
        <v>0</v>
      </c>
      <c r="S305">
        <f>INDEX(KidGPAs,MATCH(B305,KidIDs,0))</f>
        <v>0</v>
      </c>
      <c r="T305">
        <f>INDEX(KidSATs,MATCH(B305,KidIDs,0))</f>
        <v>0</v>
      </c>
      <c r="U305">
        <f>INDEX(Strats,MATCH(B305,KidIDs,0))</f>
        <v>0</v>
      </c>
      <c r="V305">
        <f>INDEX(KidRace,MATCH(B305,KidIDs,0))</f>
        <v>0</v>
      </c>
      <c r="W305">
        <f>IF(OR(V305="M",V305="I"),"H",IF(V305="P","A",V305))</f>
        <v>0</v>
      </c>
      <c r="X305">
        <f>INDEX(StudentTargets,MATCH(B305,KidIDs,0))</f>
        <v>0</v>
      </c>
      <c r="Y305">
        <f>INDEX(ReachStudentTargets,MATCH(B305,KidIDs,0))</f>
        <v>0</v>
      </c>
      <c r="Z305">
        <f>IF(OR(M305="Posse"),1,0)</f>
        <v>0</v>
      </c>
      <c r="AA305">
        <f>IF(ISNUMBER(INDEX(AllCollegeGR, MATCH(N305,AllCollegeNCES,0))),ROUND(INDEX(AllCollegeGR, MATCH(N305,AllCollegeNCES,0))+Z305*IF(INDEX(AllCollegeGR, MATCH(N305,AllCollegeNCES,0))&gt;0.7,(1-INDEX(AllCollegeGR, MATCH(N305,AllCollegeNCES,0)))/2,0.15),2),INDEX(AllCollegeGR, MATCH(N305,AllCollegeNCES,0)))</f>
        <v>0</v>
      </c>
      <c r="AB305">
        <f>IF(ISNUMBER(INDEX(AllCollegeAAHGR, MATCH(N305,AllCollegeNCES,0))),ROUND(INDEX(AllCollegeAAHGR, MATCH(N305,AllCollegeNCES,0))+Z305*IF(INDEX(AllCollegeAAHGR, MATCH(N305,AllCollegeNCES,0))&gt;0.7,(1-INDEX(AllCollegeAAHGR, MATCH(N305,AllCollegeNCES,0)))/2,0.15),2),INDEX(AllCollegeAAHGR, MATCH(N305,AllCollegeNCES,0)))</f>
        <v>0</v>
      </c>
      <c r="AC305">
        <f>IF(OR(W305="H",W305="B"),INDEX(AllCollegeSAT25, MATCH(N305,AllCollegeNCES,0)),INDEX(AllCollegeSAT50, MATCH(N305,AllCollegeNCES,0)))</f>
        <v>0</v>
      </c>
      <c r="AD305">
        <f>INDEX(CustomWeightsGPA,MATCH(W305&amp;":"&amp;N305,CustomWeightsIndex,0))</f>
        <v>0</v>
      </c>
      <c r="AE305">
        <f>INDEX(CustomWeightsSAT,MATCH(W305&amp;":"&amp;N305,CustomWeightsIndex,0))</f>
        <v>0</v>
      </c>
      <c r="AF305">
        <f>INDEX(CustomWeightsIntercept,MATCH(W305&amp;":"&amp;N305,CustomWeightsIndex,0))</f>
        <v>0</v>
      </c>
      <c r="AG305">
        <f>AD305*S305+AE305*T305+AF305</f>
        <v>0</v>
      </c>
      <c r="AH305">
        <f>INDEX(CoefficientsGPA,MATCH(W305&amp;":"&amp;R305,CoefficientsIndex,0))</f>
        <v>0</v>
      </c>
      <c r="AI305">
        <f>INDEX(CoefficientsSAT,MATCH(W305&amp;":"&amp;R305,CoefficientsIndex,0))</f>
        <v>0</v>
      </c>
      <c r="AJ305">
        <f>INDEX(CoefficientsIntercept,MATCH(W305&amp;":"&amp;R305,CoefficientsIndex,0))</f>
        <v>0</v>
      </c>
      <c r="AK305">
        <f>AH305*S305+(T305-AC305)*AI305+AJ305</f>
        <v>0</v>
      </c>
      <c r="AL305">
        <f>IF(ISNUMBER(AG305),AG305,AK305)</f>
        <v>0</v>
      </c>
      <c r="AM305">
        <f>IF(ISNUMBER(AL305),IF(ISNUMBER(AH305),IF(AND(AH305=1,AI305=1,AJ305=1),100,MIN(99,ROUND(100*EXP(AL305)/(1+EXP(AL305)),2))),MIN(99,ROUND(100*EXP(AL305)/(1+EXP(AL305)),2))),IF(ISTEXT(R305),IF(LEFT(R305,1)="2",100,"N/A"),"N/A"))</f>
        <v>0</v>
      </c>
      <c r="AN305">
        <f>IF(ISNUMBER(AM305),IF(AM305&gt;=99,IF(OR(U305=10,U305=11),MatchLabel,SureThingLabel),IF(AM305&gt;=95,SecureLabel,IF(AM305&gt;=80,SafetyLabel,IF(AM305&gt;=50,MatchLabel,IF(AM305&gt;=20,ReachLabel,IF(AM305&gt;=10,LongshotLabel,HailMaryLabel)))))),"Other")</f>
        <v>0</v>
      </c>
      <c r="AO305">
        <f>IF(OR(I305="accepted",I305="cond. accept",I305="summer admit"),IF(J305="yes","CHOICE!","Accepted!"),IF(I305="guar. transfer","Guar. Xfer",IF(I305="denied","Denied",IF(K305=1,"Waitlist",IF(L305=1,"Deferred",IF(G305="pending","Pending",IF(OR(G305="initial materials submitted",G305="mid-year submitted",G305="final submitted"),"Submitted",IF(H305="interest","Interest","?"))))))))</f>
        <v>0</v>
      </c>
      <c r="AP305">
        <f>IF(OR(AN305=ReachLabel,AN305=LongshotLabel,AN305=HailMaryLabel),1,0)</f>
        <v>0</v>
      </c>
      <c r="AQ305">
        <f>IF(OR(AP305=1,AN305=MatchLabel),1,0)</f>
        <v>0</v>
      </c>
      <c r="AR305">
        <f>IF(OR(AN305=MatchLabel,AN305=SafetyLabel,AN305=SecureLabel,AN305=SureThingLabel),1,0)</f>
        <v>0</v>
      </c>
      <c r="AS305">
        <f>IF(OR(W305="H",W305="B",W305="I",W305="M"),IF(ISNUMBER(AB305),ROUND(AB305,2),0),IF(ISNUMBER(AA305),ROUND(AA305,2),0))</f>
        <v>0</v>
      </c>
      <c r="AT305">
        <f>IF(AS305&gt;=X305,1,0)</f>
        <v>0</v>
      </c>
      <c r="AU305">
        <f>IF(AS305&gt;=Y305,1,0)</f>
        <v>0</v>
      </c>
      <c r="AV305">
        <f>IF(AS305&lt;(X305-0.10),1,0)</f>
        <v>0</v>
      </c>
      <c r="AW305">
        <f>1-AM305/100</f>
        <v>0</v>
      </c>
      <c r="AX305">
        <f>IF(AQ305=1,AW305,1)</f>
        <v>0</v>
      </c>
      <c r="AY305">
        <f>IF(AP305=1,AW305,1)</f>
        <v>0</v>
      </c>
      <c r="AZ305">
        <f>IF(AND(AT305=1,ISNUMBER(AW305)),$AW305,1)</f>
        <v>0</v>
      </c>
      <c r="BA305">
        <f>IF(AND(AU305=1,ISNUMBER(AW305)),$AW305,1)</f>
        <v>0</v>
      </c>
      <c r="BB305">
        <f>IF(ISNUMBER(AB305),INDEX(AllCollegeMoney, MATCH(N305,AllCollegeNCES,0)),0)</f>
        <v>0</v>
      </c>
      <c r="BC305">
        <f>IF(AND(AT305=1,ISNUMBER(AW305),BB305=1),$AW305,1)</f>
        <v>0</v>
      </c>
      <c r="BD305">
        <f>IF(AND(AU305=1,ISNUMBER(AW305),BB305=1),$AW305,1)</f>
        <v>0</v>
      </c>
      <c r="BE305">
        <f>IF(ISNUMBER(AB305),INDEX(AllCollegeILPub, MATCH(N305,AllCollegeNCES,0)),0)</f>
        <v>0</v>
      </c>
      <c r="BF305">
        <f>IF(AN305=ReachLabel,AS305,0)</f>
        <v>0</v>
      </c>
      <c r="BG305">
        <f>IF(AN305=MatchLabel,AS305,0)</f>
        <v>0</v>
      </c>
      <c r="BH305">
        <f>IF(AN305=SafetyLabel,AS305,0)</f>
        <v>0</v>
      </c>
      <c r="BI305">
        <f>IF(AN305=SecureLabel,AS305,0)</f>
        <v>0</v>
      </c>
      <c r="BJ305">
        <f>IF(AN305=SureThingLabel,AS305,0)</f>
        <v>0</v>
      </c>
      <c r="BK305">
        <f>MAX(BF305:BJ305)</f>
        <v>0</v>
      </c>
      <c r="BL305">
        <f>MAX(BG305:BJ305)</f>
        <v>0</v>
      </c>
      <c r="BM305">
        <f>MAX(BH305:BJ305)</f>
        <v>0</v>
      </c>
      <c r="BN305">
        <f>IF(AND(AN305=ReachLabel,BB305=1),AS305,0)</f>
        <v>0</v>
      </c>
      <c r="BO305">
        <f>IF(AND(AN305=MatchLabel,BB305=1),AS305,0)</f>
        <v>0</v>
      </c>
      <c r="BP305">
        <f>IF(AND(AN305=SafetyLabel,BB305=1),AS305,0)</f>
        <v>0</v>
      </c>
      <c r="BQ305">
        <f>IF(AND(AN305=SecureLabel,BB305=1),AS305,0)</f>
        <v>0</v>
      </c>
      <c r="BR305">
        <f>IF(AND(AN305=SureThingLabel,BB305=1),AS305,0)</f>
        <v>0</v>
      </c>
      <c r="BS305">
        <f>MAX(BN305:BR305)</f>
        <v>0</v>
      </c>
      <c r="BT305">
        <f>MAX(BO305:BR305)</f>
        <v>0</v>
      </c>
      <c r="BU305">
        <f>MAX(BP305:BR305)</f>
        <v>0</v>
      </c>
      <c r="BV305">
        <f>IF(ISNUMBER(AB305),INDEX(AllCollegeChicago, MATCH(N305,AllCollegeNCES,0))*BB305,0)</f>
        <v>0</v>
      </c>
      <c r="BW305">
        <f>IF(ISNUMBER(AB305),INDEX(AllCollegeMoneyCode, MATCH(N305,AllCollegeNCES,0)),"?")</f>
        <v>0</v>
      </c>
      <c r="BX305">
        <f>IF(OR(BW305="---",BW305="--",BW305="+/--",BW305="+/---"),1,0)</f>
        <v>0</v>
      </c>
      <c r="BY305">
        <f>BB305*AR305*AT305</f>
        <v>0</v>
      </c>
    </row>
    <row r="306" spans="1:77">
      <c r="A306" t="s">
        <v>96</v>
      </c>
      <c r="B306">
        <v>23050586</v>
      </c>
      <c r="C306" t="s">
        <v>168</v>
      </c>
      <c r="D306" t="s">
        <v>169</v>
      </c>
      <c r="E306" t="s">
        <v>446</v>
      </c>
      <c r="F306" t="s">
        <v>481</v>
      </c>
      <c r="G306" t="s">
        <v>448</v>
      </c>
      <c r="H306" t="s">
        <v>449</v>
      </c>
      <c r="I306" t="s">
        <v>450</v>
      </c>
      <c r="J306" t="s">
        <v>450</v>
      </c>
      <c r="K306">
        <v>0</v>
      </c>
      <c r="L306" t="s">
        <v>446</v>
      </c>
      <c r="M306" t="s">
        <v>446</v>
      </c>
      <c r="N306">
        <v>153834</v>
      </c>
      <c r="O306">
        <f>INDEX(Counselor,MATCH(B306,KidIDs,0))</f>
        <v>0</v>
      </c>
      <c r="P306">
        <f>INDEX(Advisors,MATCH(B306,KidIDs,0))</f>
        <v>0</v>
      </c>
      <c r="Q306">
        <f>INDEX(Cohort,MATCH(B306,KidIDs,0))</f>
        <v>0</v>
      </c>
      <c r="R306">
        <f>INDEX(AllCollegeBarrons,MATCH(N306,AllCollegeNCES,0))</f>
        <v>0</v>
      </c>
      <c r="S306">
        <f>INDEX(KidGPAs,MATCH(B306,KidIDs,0))</f>
        <v>0</v>
      </c>
      <c r="T306">
        <f>INDEX(KidSATs,MATCH(B306,KidIDs,0))</f>
        <v>0</v>
      </c>
      <c r="U306">
        <f>INDEX(Strats,MATCH(B306,KidIDs,0))</f>
        <v>0</v>
      </c>
      <c r="V306">
        <f>INDEX(KidRace,MATCH(B306,KidIDs,0))</f>
        <v>0</v>
      </c>
      <c r="W306">
        <f>IF(OR(V306="M",V306="I"),"H",IF(V306="P","A",V306))</f>
        <v>0</v>
      </c>
      <c r="X306">
        <f>INDEX(StudentTargets,MATCH(B306,KidIDs,0))</f>
        <v>0</v>
      </c>
      <c r="Y306">
        <f>INDEX(ReachStudentTargets,MATCH(B306,KidIDs,0))</f>
        <v>0</v>
      </c>
      <c r="Z306">
        <f>IF(OR(M306="Posse"),1,0)</f>
        <v>0</v>
      </c>
      <c r="AA306">
        <f>IF(ISNUMBER(INDEX(AllCollegeGR, MATCH(N306,AllCollegeNCES,0))),ROUND(INDEX(AllCollegeGR, MATCH(N306,AllCollegeNCES,0))+Z306*IF(INDEX(AllCollegeGR, MATCH(N306,AllCollegeNCES,0))&gt;0.7,(1-INDEX(AllCollegeGR, MATCH(N306,AllCollegeNCES,0)))/2,0.15),2),INDEX(AllCollegeGR, MATCH(N306,AllCollegeNCES,0)))</f>
        <v>0</v>
      </c>
      <c r="AB306">
        <f>IF(ISNUMBER(INDEX(AllCollegeAAHGR, MATCH(N306,AllCollegeNCES,0))),ROUND(INDEX(AllCollegeAAHGR, MATCH(N306,AllCollegeNCES,0))+Z306*IF(INDEX(AllCollegeAAHGR, MATCH(N306,AllCollegeNCES,0))&gt;0.7,(1-INDEX(AllCollegeAAHGR, MATCH(N306,AllCollegeNCES,0)))/2,0.15),2),INDEX(AllCollegeAAHGR, MATCH(N306,AllCollegeNCES,0)))</f>
        <v>0</v>
      </c>
      <c r="AC306">
        <f>IF(OR(W306="H",W306="B"),INDEX(AllCollegeSAT25, MATCH(N306,AllCollegeNCES,0)),INDEX(AllCollegeSAT50, MATCH(N306,AllCollegeNCES,0)))</f>
        <v>0</v>
      </c>
      <c r="AD306">
        <f>INDEX(CustomWeightsGPA,MATCH(W306&amp;":"&amp;N306,CustomWeightsIndex,0))</f>
        <v>0</v>
      </c>
      <c r="AE306">
        <f>INDEX(CustomWeightsSAT,MATCH(W306&amp;":"&amp;N306,CustomWeightsIndex,0))</f>
        <v>0</v>
      </c>
      <c r="AF306">
        <f>INDEX(CustomWeightsIntercept,MATCH(W306&amp;":"&amp;N306,CustomWeightsIndex,0))</f>
        <v>0</v>
      </c>
      <c r="AG306">
        <f>AD306*S306+AE306*T306+AF306</f>
        <v>0</v>
      </c>
      <c r="AH306">
        <f>INDEX(CoefficientsGPA,MATCH(W306&amp;":"&amp;R306,CoefficientsIndex,0))</f>
        <v>0</v>
      </c>
      <c r="AI306">
        <f>INDEX(CoefficientsSAT,MATCH(W306&amp;":"&amp;R306,CoefficientsIndex,0))</f>
        <v>0</v>
      </c>
      <c r="AJ306">
        <f>INDEX(CoefficientsIntercept,MATCH(W306&amp;":"&amp;R306,CoefficientsIndex,0))</f>
        <v>0</v>
      </c>
      <c r="AK306">
        <f>AH306*S306+(T306-AC306)*AI306+AJ306</f>
        <v>0</v>
      </c>
      <c r="AL306">
        <f>IF(ISNUMBER(AG306),AG306,AK306)</f>
        <v>0</v>
      </c>
      <c r="AM306">
        <f>IF(ISNUMBER(AL306),IF(ISNUMBER(AH306),IF(AND(AH306=1,AI306=1,AJ306=1),100,MIN(99,ROUND(100*EXP(AL306)/(1+EXP(AL306)),2))),MIN(99,ROUND(100*EXP(AL306)/(1+EXP(AL306)),2))),IF(ISTEXT(R306),IF(LEFT(R306,1)="2",100,"N/A"),"N/A"))</f>
        <v>0</v>
      </c>
      <c r="AN306">
        <f>IF(ISNUMBER(AM306),IF(AM306&gt;=99,IF(OR(U306=10,U306=11),MatchLabel,SureThingLabel),IF(AM306&gt;=95,SecureLabel,IF(AM306&gt;=80,SafetyLabel,IF(AM306&gt;=50,MatchLabel,IF(AM306&gt;=20,ReachLabel,IF(AM306&gt;=10,LongshotLabel,HailMaryLabel)))))),"Other")</f>
        <v>0</v>
      </c>
      <c r="AO306">
        <f>IF(OR(I306="accepted",I306="cond. accept",I306="summer admit"),IF(J306="yes","CHOICE!","Accepted!"),IF(I306="guar. transfer","Guar. Xfer",IF(I306="denied","Denied",IF(K306=1,"Waitlist",IF(L306=1,"Deferred",IF(G306="pending","Pending",IF(OR(G306="initial materials submitted",G306="mid-year submitted",G306="final submitted"),"Submitted",IF(H306="interest","Interest","?"))))))))</f>
        <v>0</v>
      </c>
      <c r="AP306">
        <f>IF(OR(AN306=ReachLabel,AN306=LongshotLabel,AN306=HailMaryLabel),1,0)</f>
        <v>0</v>
      </c>
      <c r="AQ306">
        <f>IF(OR(AP306=1,AN306=MatchLabel),1,0)</f>
        <v>0</v>
      </c>
      <c r="AR306">
        <f>IF(OR(AN306=MatchLabel,AN306=SafetyLabel,AN306=SecureLabel,AN306=SureThingLabel),1,0)</f>
        <v>0</v>
      </c>
      <c r="AS306">
        <f>IF(OR(W306="H",W306="B",W306="I",W306="M"),IF(ISNUMBER(AB306),ROUND(AB306,2),0),IF(ISNUMBER(AA306),ROUND(AA306,2),0))</f>
        <v>0</v>
      </c>
      <c r="AT306">
        <f>IF(AS306&gt;=X306,1,0)</f>
        <v>0</v>
      </c>
      <c r="AU306">
        <f>IF(AS306&gt;=Y306,1,0)</f>
        <v>0</v>
      </c>
      <c r="AV306">
        <f>IF(AS306&lt;(X306-0.10),1,0)</f>
        <v>0</v>
      </c>
      <c r="AW306">
        <f>1-AM306/100</f>
        <v>0</v>
      </c>
      <c r="AX306">
        <f>IF(AQ306=1,AW306,1)</f>
        <v>0</v>
      </c>
      <c r="AY306">
        <f>IF(AP306=1,AW306,1)</f>
        <v>0</v>
      </c>
      <c r="AZ306">
        <f>IF(AND(AT306=1,ISNUMBER(AW306)),$AW306,1)</f>
        <v>0</v>
      </c>
      <c r="BA306">
        <f>IF(AND(AU306=1,ISNUMBER(AW306)),$AW306,1)</f>
        <v>0</v>
      </c>
      <c r="BB306">
        <f>IF(ISNUMBER(AB306),INDEX(AllCollegeMoney, MATCH(N306,AllCollegeNCES,0)),0)</f>
        <v>0</v>
      </c>
      <c r="BC306">
        <f>IF(AND(AT306=1,ISNUMBER(AW306),BB306=1),$AW306,1)</f>
        <v>0</v>
      </c>
      <c r="BD306">
        <f>IF(AND(AU306=1,ISNUMBER(AW306),BB306=1),$AW306,1)</f>
        <v>0</v>
      </c>
      <c r="BE306">
        <f>IF(ISNUMBER(AB306),INDEX(AllCollegeILPub, MATCH(N306,AllCollegeNCES,0)),0)</f>
        <v>0</v>
      </c>
      <c r="BF306">
        <f>IF(AN306=ReachLabel,AS306,0)</f>
        <v>0</v>
      </c>
      <c r="BG306">
        <f>IF(AN306=MatchLabel,AS306,0)</f>
        <v>0</v>
      </c>
      <c r="BH306">
        <f>IF(AN306=SafetyLabel,AS306,0)</f>
        <v>0</v>
      </c>
      <c r="BI306">
        <f>IF(AN306=SecureLabel,AS306,0)</f>
        <v>0</v>
      </c>
      <c r="BJ306">
        <f>IF(AN306=SureThingLabel,AS306,0)</f>
        <v>0</v>
      </c>
      <c r="BK306">
        <f>MAX(BF306:BJ306)</f>
        <v>0</v>
      </c>
      <c r="BL306">
        <f>MAX(BG306:BJ306)</f>
        <v>0</v>
      </c>
      <c r="BM306">
        <f>MAX(BH306:BJ306)</f>
        <v>0</v>
      </c>
      <c r="BN306">
        <f>IF(AND(AN306=ReachLabel,BB306=1),AS306,0)</f>
        <v>0</v>
      </c>
      <c r="BO306">
        <f>IF(AND(AN306=MatchLabel,BB306=1),AS306,0)</f>
        <v>0</v>
      </c>
      <c r="BP306">
        <f>IF(AND(AN306=SafetyLabel,BB306=1),AS306,0)</f>
        <v>0</v>
      </c>
      <c r="BQ306">
        <f>IF(AND(AN306=SecureLabel,BB306=1),AS306,0)</f>
        <v>0</v>
      </c>
      <c r="BR306">
        <f>IF(AND(AN306=SureThingLabel,BB306=1),AS306,0)</f>
        <v>0</v>
      </c>
      <c r="BS306">
        <f>MAX(BN306:BR306)</f>
        <v>0</v>
      </c>
      <c r="BT306">
        <f>MAX(BO306:BR306)</f>
        <v>0</v>
      </c>
      <c r="BU306">
        <f>MAX(BP306:BR306)</f>
        <v>0</v>
      </c>
      <c r="BV306">
        <f>IF(ISNUMBER(AB306),INDEX(AllCollegeChicago, MATCH(N306,AllCollegeNCES,0))*BB306,0)</f>
        <v>0</v>
      </c>
      <c r="BW306">
        <f>IF(ISNUMBER(AB306),INDEX(AllCollegeMoneyCode, MATCH(N306,AllCollegeNCES,0)),"?")</f>
        <v>0</v>
      </c>
      <c r="BX306">
        <f>IF(OR(BW306="---",BW306="--",BW306="+/--",BW306="+/---"),1,0)</f>
        <v>0</v>
      </c>
      <c r="BY306">
        <f>BB306*AR306*AT306</f>
        <v>0</v>
      </c>
    </row>
    <row r="307" spans="1:77">
      <c r="A307" t="s">
        <v>96</v>
      </c>
      <c r="B307">
        <v>23050586</v>
      </c>
      <c r="C307" t="s">
        <v>168</v>
      </c>
      <c r="D307" t="s">
        <v>169</v>
      </c>
      <c r="E307" t="s">
        <v>446</v>
      </c>
      <c r="F307" t="s">
        <v>529</v>
      </c>
      <c r="G307" t="s">
        <v>448</v>
      </c>
      <c r="H307" t="s">
        <v>449</v>
      </c>
      <c r="I307" t="s">
        <v>450</v>
      </c>
      <c r="J307" t="s">
        <v>450</v>
      </c>
      <c r="K307">
        <v>0</v>
      </c>
      <c r="L307" t="s">
        <v>446</v>
      </c>
      <c r="M307" t="s">
        <v>446</v>
      </c>
      <c r="N307">
        <v>145691</v>
      </c>
      <c r="O307">
        <f>INDEX(Counselor,MATCH(B307,KidIDs,0))</f>
        <v>0</v>
      </c>
      <c r="P307">
        <f>INDEX(Advisors,MATCH(B307,KidIDs,0))</f>
        <v>0</v>
      </c>
      <c r="Q307">
        <f>INDEX(Cohort,MATCH(B307,KidIDs,0))</f>
        <v>0</v>
      </c>
      <c r="R307">
        <f>INDEX(AllCollegeBarrons,MATCH(N307,AllCollegeNCES,0))</f>
        <v>0</v>
      </c>
      <c r="S307">
        <f>INDEX(KidGPAs,MATCH(B307,KidIDs,0))</f>
        <v>0</v>
      </c>
      <c r="T307">
        <f>INDEX(KidSATs,MATCH(B307,KidIDs,0))</f>
        <v>0</v>
      </c>
      <c r="U307">
        <f>INDEX(Strats,MATCH(B307,KidIDs,0))</f>
        <v>0</v>
      </c>
      <c r="V307">
        <f>INDEX(KidRace,MATCH(B307,KidIDs,0))</f>
        <v>0</v>
      </c>
      <c r="W307">
        <f>IF(OR(V307="M",V307="I"),"H",IF(V307="P","A",V307))</f>
        <v>0</v>
      </c>
      <c r="X307">
        <f>INDEX(StudentTargets,MATCH(B307,KidIDs,0))</f>
        <v>0</v>
      </c>
      <c r="Y307">
        <f>INDEX(ReachStudentTargets,MATCH(B307,KidIDs,0))</f>
        <v>0</v>
      </c>
      <c r="Z307">
        <f>IF(OR(M307="Posse"),1,0)</f>
        <v>0</v>
      </c>
      <c r="AA307">
        <f>IF(ISNUMBER(INDEX(AllCollegeGR, MATCH(N307,AllCollegeNCES,0))),ROUND(INDEX(AllCollegeGR, MATCH(N307,AllCollegeNCES,0))+Z307*IF(INDEX(AllCollegeGR, MATCH(N307,AllCollegeNCES,0))&gt;0.7,(1-INDEX(AllCollegeGR, MATCH(N307,AllCollegeNCES,0)))/2,0.15),2),INDEX(AllCollegeGR, MATCH(N307,AllCollegeNCES,0)))</f>
        <v>0</v>
      </c>
      <c r="AB307">
        <f>IF(ISNUMBER(INDEX(AllCollegeAAHGR, MATCH(N307,AllCollegeNCES,0))),ROUND(INDEX(AllCollegeAAHGR, MATCH(N307,AllCollegeNCES,0))+Z307*IF(INDEX(AllCollegeAAHGR, MATCH(N307,AllCollegeNCES,0))&gt;0.7,(1-INDEX(AllCollegeAAHGR, MATCH(N307,AllCollegeNCES,0)))/2,0.15),2),INDEX(AllCollegeAAHGR, MATCH(N307,AllCollegeNCES,0)))</f>
        <v>0</v>
      </c>
      <c r="AC307">
        <f>IF(OR(W307="H",W307="B"),INDEX(AllCollegeSAT25, MATCH(N307,AllCollegeNCES,0)),INDEX(AllCollegeSAT50, MATCH(N307,AllCollegeNCES,0)))</f>
        <v>0</v>
      </c>
      <c r="AD307">
        <f>INDEX(CustomWeightsGPA,MATCH(W307&amp;":"&amp;N307,CustomWeightsIndex,0))</f>
        <v>0</v>
      </c>
      <c r="AE307">
        <f>INDEX(CustomWeightsSAT,MATCH(W307&amp;":"&amp;N307,CustomWeightsIndex,0))</f>
        <v>0</v>
      </c>
      <c r="AF307">
        <f>INDEX(CustomWeightsIntercept,MATCH(W307&amp;":"&amp;N307,CustomWeightsIndex,0))</f>
        <v>0</v>
      </c>
      <c r="AG307">
        <f>AD307*S307+AE307*T307+AF307</f>
        <v>0</v>
      </c>
      <c r="AH307">
        <f>INDEX(CoefficientsGPA,MATCH(W307&amp;":"&amp;R307,CoefficientsIndex,0))</f>
        <v>0</v>
      </c>
      <c r="AI307">
        <f>INDEX(CoefficientsSAT,MATCH(W307&amp;":"&amp;R307,CoefficientsIndex,0))</f>
        <v>0</v>
      </c>
      <c r="AJ307">
        <f>INDEX(CoefficientsIntercept,MATCH(W307&amp;":"&amp;R307,CoefficientsIndex,0))</f>
        <v>0</v>
      </c>
      <c r="AK307">
        <f>AH307*S307+(T307-AC307)*AI307+AJ307</f>
        <v>0</v>
      </c>
      <c r="AL307">
        <f>IF(ISNUMBER(AG307),AG307,AK307)</f>
        <v>0</v>
      </c>
      <c r="AM307">
        <f>IF(ISNUMBER(AL307),IF(ISNUMBER(AH307),IF(AND(AH307=1,AI307=1,AJ307=1),100,MIN(99,ROUND(100*EXP(AL307)/(1+EXP(AL307)),2))),MIN(99,ROUND(100*EXP(AL307)/(1+EXP(AL307)),2))),IF(ISTEXT(R307),IF(LEFT(R307,1)="2",100,"N/A"),"N/A"))</f>
        <v>0</v>
      </c>
      <c r="AN307">
        <f>IF(ISNUMBER(AM307),IF(AM307&gt;=99,IF(OR(U307=10,U307=11),MatchLabel,SureThingLabel),IF(AM307&gt;=95,SecureLabel,IF(AM307&gt;=80,SafetyLabel,IF(AM307&gt;=50,MatchLabel,IF(AM307&gt;=20,ReachLabel,IF(AM307&gt;=10,LongshotLabel,HailMaryLabel)))))),"Other")</f>
        <v>0</v>
      </c>
      <c r="AO307">
        <f>IF(OR(I307="accepted",I307="cond. accept",I307="summer admit"),IF(J307="yes","CHOICE!","Accepted!"),IF(I307="guar. transfer","Guar. Xfer",IF(I307="denied","Denied",IF(K307=1,"Waitlist",IF(L307=1,"Deferred",IF(G307="pending","Pending",IF(OR(G307="initial materials submitted",G307="mid-year submitted",G307="final submitted"),"Submitted",IF(H307="interest","Interest","?"))))))))</f>
        <v>0</v>
      </c>
      <c r="AP307">
        <f>IF(OR(AN307=ReachLabel,AN307=LongshotLabel,AN307=HailMaryLabel),1,0)</f>
        <v>0</v>
      </c>
      <c r="AQ307">
        <f>IF(OR(AP307=1,AN307=MatchLabel),1,0)</f>
        <v>0</v>
      </c>
      <c r="AR307">
        <f>IF(OR(AN307=MatchLabel,AN307=SafetyLabel,AN307=SecureLabel,AN307=SureThingLabel),1,0)</f>
        <v>0</v>
      </c>
      <c r="AS307">
        <f>IF(OR(W307="H",W307="B",W307="I",W307="M"),IF(ISNUMBER(AB307),ROUND(AB307,2),0),IF(ISNUMBER(AA307),ROUND(AA307,2),0))</f>
        <v>0</v>
      </c>
      <c r="AT307">
        <f>IF(AS307&gt;=X307,1,0)</f>
        <v>0</v>
      </c>
      <c r="AU307">
        <f>IF(AS307&gt;=Y307,1,0)</f>
        <v>0</v>
      </c>
      <c r="AV307">
        <f>IF(AS307&lt;(X307-0.10),1,0)</f>
        <v>0</v>
      </c>
      <c r="AW307">
        <f>1-AM307/100</f>
        <v>0</v>
      </c>
      <c r="AX307">
        <f>IF(AQ307=1,AW307,1)</f>
        <v>0</v>
      </c>
      <c r="AY307">
        <f>IF(AP307=1,AW307,1)</f>
        <v>0</v>
      </c>
      <c r="AZ307">
        <f>IF(AND(AT307=1,ISNUMBER(AW307)),$AW307,1)</f>
        <v>0</v>
      </c>
      <c r="BA307">
        <f>IF(AND(AU307=1,ISNUMBER(AW307)),$AW307,1)</f>
        <v>0</v>
      </c>
      <c r="BB307">
        <f>IF(ISNUMBER(AB307),INDEX(AllCollegeMoney, MATCH(N307,AllCollegeNCES,0)),0)</f>
        <v>0</v>
      </c>
      <c r="BC307">
        <f>IF(AND(AT307=1,ISNUMBER(AW307),BB307=1),$AW307,1)</f>
        <v>0</v>
      </c>
      <c r="BD307">
        <f>IF(AND(AU307=1,ISNUMBER(AW307),BB307=1),$AW307,1)</f>
        <v>0</v>
      </c>
      <c r="BE307">
        <f>IF(ISNUMBER(AB307),INDEX(AllCollegeILPub, MATCH(N307,AllCollegeNCES,0)),0)</f>
        <v>0</v>
      </c>
      <c r="BF307">
        <f>IF(AN307=ReachLabel,AS307,0)</f>
        <v>0</v>
      </c>
      <c r="BG307">
        <f>IF(AN307=MatchLabel,AS307,0)</f>
        <v>0</v>
      </c>
      <c r="BH307">
        <f>IF(AN307=SafetyLabel,AS307,0)</f>
        <v>0</v>
      </c>
      <c r="BI307">
        <f>IF(AN307=SecureLabel,AS307,0)</f>
        <v>0</v>
      </c>
      <c r="BJ307">
        <f>IF(AN307=SureThingLabel,AS307,0)</f>
        <v>0</v>
      </c>
      <c r="BK307">
        <f>MAX(BF307:BJ307)</f>
        <v>0</v>
      </c>
      <c r="BL307">
        <f>MAX(BG307:BJ307)</f>
        <v>0</v>
      </c>
      <c r="BM307">
        <f>MAX(BH307:BJ307)</f>
        <v>0</v>
      </c>
      <c r="BN307">
        <f>IF(AND(AN307=ReachLabel,BB307=1),AS307,0)</f>
        <v>0</v>
      </c>
      <c r="BO307">
        <f>IF(AND(AN307=MatchLabel,BB307=1),AS307,0)</f>
        <v>0</v>
      </c>
      <c r="BP307">
        <f>IF(AND(AN307=SafetyLabel,BB307=1),AS307,0)</f>
        <v>0</v>
      </c>
      <c r="BQ307">
        <f>IF(AND(AN307=SecureLabel,BB307=1),AS307,0)</f>
        <v>0</v>
      </c>
      <c r="BR307">
        <f>IF(AND(AN307=SureThingLabel,BB307=1),AS307,0)</f>
        <v>0</v>
      </c>
      <c r="BS307">
        <f>MAX(BN307:BR307)</f>
        <v>0</v>
      </c>
      <c r="BT307">
        <f>MAX(BO307:BR307)</f>
        <v>0</v>
      </c>
      <c r="BU307">
        <f>MAX(BP307:BR307)</f>
        <v>0</v>
      </c>
      <c r="BV307">
        <f>IF(ISNUMBER(AB307),INDEX(AllCollegeChicago, MATCH(N307,AllCollegeNCES,0))*BB307,0)</f>
        <v>0</v>
      </c>
      <c r="BW307">
        <f>IF(ISNUMBER(AB307),INDEX(AllCollegeMoneyCode, MATCH(N307,AllCollegeNCES,0)),"?")</f>
        <v>0</v>
      </c>
      <c r="BX307">
        <f>IF(OR(BW307="---",BW307="--",BW307="+/--",BW307="+/---"),1,0)</f>
        <v>0</v>
      </c>
      <c r="BY307">
        <f>BB307*AR307*AT307</f>
        <v>0</v>
      </c>
    </row>
    <row r="308" spans="1:77">
      <c r="A308" t="s">
        <v>96</v>
      </c>
      <c r="B308">
        <v>23050586</v>
      </c>
      <c r="C308" t="s">
        <v>168</v>
      </c>
      <c r="D308" t="s">
        <v>169</v>
      </c>
      <c r="E308" t="s">
        <v>446</v>
      </c>
      <c r="F308" t="s">
        <v>506</v>
      </c>
      <c r="G308" t="s">
        <v>448</v>
      </c>
      <c r="H308" t="s">
        <v>449</v>
      </c>
      <c r="I308" t="s">
        <v>450</v>
      </c>
      <c r="J308" t="s">
        <v>450</v>
      </c>
      <c r="K308">
        <v>0</v>
      </c>
      <c r="L308" t="s">
        <v>446</v>
      </c>
      <c r="M308" t="s">
        <v>446</v>
      </c>
      <c r="N308">
        <v>147679</v>
      </c>
      <c r="O308">
        <f>INDEX(Counselor,MATCH(B308,KidIDs,0))</f>
        <v>0</v>
      </c>
      <c r="P308">
        <f>INDEX(Advisors,MATCH(B308,KidIDs,0))</f>
        <v>0</v>
      </c>
      <c r="Q308">
        <f>INDEX(Cohort,MATCH(B308,KidIDs,0))</f>
        <v>0</v>
      </c>
      <c r="R308">
        <f>INDEX(AllCollegeBarrons,MATCH(N308,AllCollegeNCES,0))</f>
        <v>0</v>
      </c>
      <c r="S308">
        <f>INDEX(KidGPAs,MATCH(B308,KidIDs,0))</f>
        <v>0</v>
      </c>
      <c r="T308">
        <f>INDEX(KidSATs,MATCH(B308,KidIDs,0))</f>
        <v>0</v>
      </c>
      <c r="U308">
        <f>INDEX(Strats,MATCH(B308,KidIDs,0))</f>
        <v>0</v>
      </c>
      <c r="V308">
        <f>INDEX(KidRace,MATCH(B308,KidIDs,0))</f>
        <v>0</v>
      </c>
      <c r="W308">
        <f>IF(OR(V308="M",V308="I"),"H",IF(V308="P","A",V308))</f>
        <v>0</v>
      </c>
      <c r="X308">
        <f>INDEX(StudentTargets,MATCH(B308,KidIDs,0))</f>
        <v>0</v>
      </c>
      <c r="Y308">
        <f>INDEX(ReachStudentTargets,MATCH(B308,KidIDs,0))</f>
        <v>0</v>
      </c>
      <c r="Z308">
        <f>IF(OR(M308="Posse"),1,0)</f>
        <v>0</v>
      </c>
      <c r="AA308">
        <f>IF(ISNUMBER(INDEX(AllCollegeGR, MATCH(N308,AllCollegeNCES,0))),ROUND(INDEX(AllCollegeGR, MATCH(N308,AllCollegeNCES,0))+Z308*IF(INDEX(AllCollegeGR, MATCH(N308,AllCollegeNCES,0))&gt;0.7,(1-INDEX(AllCollegeGR, MATCH(N308,AllCollegeNCES,0)))/2,0.15),2),INDEX(AllCollegeGR, MATCH(N308,AllCollegeNCES,0)))</f>
        <v>0</v>
      </c>
      <c r="AB308">
        <f>IF(ISNUMBER(INDEX(AllCollegeAAHGR, MATCH(N308,AllCollegeNCES,0))),ROUND(INDEX(AllCollegeAAHGR, MATCH(N308,AllCollegeNCES,0))+Z308*IF(INDEX(AllCollegeAAHGR, MATCH(N308,AllCollegeNCES,0))&gt;0.7,(1-INDEX(AllCollegeAAHGR, MATCH(N308,AllCollegeNCES,0)))/2,0.15),2),INDEX(AllCollegeAAHGR, MATCH(N308,AllCollegeNCES,0)))</f>
        <v>0</v>
      </c>
      <c r="AC308">
        <f>IF(OR(W308="H",W308="B"),INDEX(AllCollegeSAT25, MATCH(N308,AllCollegeNCES,0)),INDEX(AllCollegeSAT50, MATCH(N308,AllCollegeNCES,0)))</f>
        <v>0</v>
      </c>
      <c r="AD308">
        <f>INDEX(CustomWeightsGPA,MATCH(W308&amp;":"&amp;N308,CustomWeightsIndex,0))</f>
        <v>0</v>
      </c>
      <c r="AE308">
        <f>INDEX(CustomWeightsSAT,MATCH(W308&amp;":"&amp;N308,CustomWeightsIndex,0))</f>
        <v>0</v>
      </c>
      <c r="AF308">
        <f>INDEX(CustomWeightsIntercept,MATCH(W308&amp;":"&amp;N308,CustomWeightsIndex,0))</f>
        <v>0</v>
      </c>
      <c r="AG308">
        <f>AD308*S308+AE308*T308+AF308</f>
        <v>0</v>
      </c>
      <c r="AH308">
        <f>INDEX(CoefficientsGPA,MATCH(W308&amp;":"&amp;R308,CoefficientsIndex,0))</f>
        <v>0</v>
      </c>
      <c r="AI308">
        <f>INDEX(CoefficientsSAT,MATCH(W308&amp;":"&amp;R308,CoefficientsIndex,0))</f>
        <v>0</v>
      </c>
      <c r="AJ308">
        <f>INDEX(CoefficientsIntercept,MATCH(W308&amp;":"&amp;R308,CoefficientsIndex,0))</f>
        <v>0</v>
      </c>
      <c r="AK308">
        <f>AH308*S308+(T308-AC308)*AI308+AJ308</f>
        <v>0</v>
      </c>
      <c r="AL308">
        <f>IF(ISNUMBER(AG308),AG308,AK308)</f>
        <v>0</v>
      </c>
      <c r="AM308">
        <f>IF(ISNUMBER(AL308),IF(ISNUMBER(AH308),IF(AND(AH308=1,AI308=1,AJ308=1),100,MIN(99,ROUND(100*EXP(AL308)/(1+EXP(AL308)),2))),MIN(99,ROUND(100*EXP(AL308)/(1+EXP(AL308)),2))),IF(ISTEXT(R308),IF(LEFT(R308,1)="2",100,"N/A"),"N/A"))</f>
        <v>0</v>
      </c>
      <c r="AN308">
        <f>IF(ISNUMBER(AM308),IF(AM308&gt;=99,IF(OR(U308=10,U308=11),MatchLabel,SureThingLabel),IF(AM308&gt;=95,SecureLabel,IF(AM308&gt;=80,SafetyLabel,IF(AM308&gt;=50,MatchLabel,IF(AM308&gt;=20,ReachLabel,IF(AM308&gt;=10,LongshotLabel,HailMaryLabel)))))),"Other")</f>
        <v>0</v>
      </c>
      <c r="AO308">
        <f>IF(OR(I308="accepted",I308="cond. accept",I308="summer admit"),IF(J308="yes","CHOICE!","Accepted!"),IF(I308="guar. transfer","Guar. Xfer",IF(I308="denied","Denied",IF(K308=1,"Waitlist",IF(L308=1,"Deferred",IF(G308="pending","Pending",IF(OR(G308="initial materials submitted",G308="mid-year submitted",G308="final submitted"),"Submitted",IF(H308="interest","Interest","?"))))))))</f>
        <v>0</v>
      </c>
      <c r="AP308">
        <f>IF(OR(AN308=ReachLabel,AN308=LongshotLabel,AN308=HailMaryLabel),1,0)</f>
        <v>0</v>
      </c>
      <c r="AQ308">
        <f>IF(OR(AP308=1,AN308=MatchLabel),1,0)</f>
        <v>0</v>
      </c>
      <c r="AR308">
        <f>IF(OR(AN308=MatchLabel,AN308=SafetyLabel,AN308=SecureLabel,AN308=SureThingLabel),1,0)</f>
        <v>0</v>
      </c>
      <c r="AS308">
        <f>IF(OR(W308="H",W308="B",W308="I",W308="M"),IF(ISNUMBER(AB308),ROUND(AB308,2),0),IF(ISNUMBER(AA308),ROUND(AA308,2),0))</f>
        <v>0</v>
      </c>
      <c r="AT308">
        <f>IF(AS308&gt;=X308,1,0)</f>
        <v>0</v>
      </c>
      <c r="AU308">
        <f>IF(AS308&gt;=Y308,1,0)</f>
        <v>0</v>
      </c>
      <c r="AV308">
        <f>IF(AS308&lt;(X308-0.10),1,0)</f>
        <v>0</v>
      </c>
      <c r="AW308">
        <f>1-AM308/100</f>
        <v>0</v>
      </c>
      <c r="AX308">
        <f>IF(AQ308=1,AW308,1)</f>
        <v>0</v>
      </c>
      <c r="AY308">
        <f>IF(AP308=1,AW308,1)</f>
        <v>0</v>
      </c>
      <c r="AZ308">
        <f>IF(AND(AT308=1,ISNUMBER(AW308)),$AW308,1)</f>
        <v>0</v>
      </c>
      <c r="BA308">
        <f>IF(AND(AU308=1,ISNUMBER(AW308)),$AW308,1)</f>
        <v>0</v>
      </c>
      <c r="BB308">
        <f>IF(ISNUMBER(AB308),INDEX(AllCollegeMoney, MATCH(N308,AllCollegeNCES,0)),0)</f>
        <v>0</v>
      </c>
      <c r="BC308">
        <f>IF(AND(AT308=1,ISNUMBER(AW308),BB308=1),$AW308,1)</f>
        <v>0</v>
      </c>
      <c r="BD308">
        <f>IF(AND(AU308=1,ISNUMBER(AW308),BB308=1),$AW308,1)</f>
        <v>0</v>
      </c>
      <c r="BE308">
        <f>IF(ISNUMBER(AB308),INDEX(AllCollegeILPub, MATCH(N308,AllCollegeNCES,0)),0)</f>
        <v>0</v>
      </c>
      <c r="BF308">
        <f>IF(AN308=ReachLabel,AS308,0)</f>
        <v>0</v>
      </c>
      <c r="BG308">
        <f>IF(AN308=MatchLabel,AS308,0)</f>
        <v>0</v>
      </c>
      <c r="BH308">
        <f>IF(AN308=SafetyLabel,AS308,0)</f>
        <v>0</v>
      </c>
      <c r="BI308">
        <f>IF(AN308=SecureLabel,AS308,0)</f>
        <v>0</v>
      </c>
      <c r="BJ308">
        <f>IF(AN308=SureThingLabel,AS308,0)</f>
        <v>0</v>
      </c>
      <c r="BK308">
        <f>MAX(BF308:BJ308)</f>
        <v>0</v>
      </c>
      <c r="BL308">
        <f>MAX(BG308:BJ308)</f>
        <v>0</v>
      </c>
      <c r="BM308">
        <f>MAX(BH308:BJ308)</f>
        <v>0</v>
      </c>
      <c r="BN308">
        <f>IF(AND(AN308=ReachLabel,BB308=1),AS308,0)</f>
        <v>0</v>
      </c>
      <c r="BO308">
        <f>IF(AND(AN308=MatchLabel,BB308=1),AS308,0)</f>
        <v>0</v>
      </c>
      <c r="BP308">
        <f>IF(AND(AN308=SafetyLabel,BB308=1),AS308,0)</f>
        <v>0</v>
      </c>
      <c r="BQ308">
        <f>IF(AND(AN308=SecureLabel,BB308=1),AS308,0)</f>
        <v>0</v>
      </c>
      <c r="BR308">
        <f>IF(AND(AN308=SureThingLabel,BB308=1),AS308,0)</f>
        <v>0</v>
      </c>
      <c r="BS308">
        <f>MAX(BN308:BR308)</f>
        <v>0</v>
      </c>
      <c r="BT308">
        <f>MAX(BO308:BR308)</f>
        <v>0</v>
      </c>
      <c r="BU308">
        <f>MAX(BP308:BR308)</f>
        <v>0</v>
      </c>
      <c r="BV308">
        <f>IF(ISNUMBER(AB308),INDEX(AllCollegeChicago, MATCH(N308,AllCollegeNCES,0))*BB308,0)</f>
        <v>0</v>
      </c>
      <c r="BW308">
        <f>IF(ISNUMBER(AB308),INDEX(AllCollegeMoneyCode, MATCH(N308,AllCollegeNCES,0)),"?")</f>
        <v>0</v>
      </c>
      <c r="BX308">
        <f>IF(OR(BW308="---",BW308="--",BW308="+/--",BW308="+/---"),1,0)</f>
        <v>0</v>
      </c>
      <c r="BY308">
        <f>BB308*AR308*AT308</f>
        <v>0</v>
      </c>
    </row>
    <row r="309" spans="1:77">
      <c r="A309" t="s">
        <v>96</v>
      </c>
      <c r="B309">
        <v>23050586</v>
      </c>
      <c r="C309" t="s">
        <v>168</v>
      </c>
      <c r="D309" t="s">
        <v>169</v>
      </c>
      <c r="E309" t="s">
        <v>446</v>
      </c>
      <c r="F309" t="s">
        <v>550</v>
      </c>
      <c r="G309" t="s">
        <v>543</v>
      </c>
      <c r="H309" t="s">
        <v>543</v>
      </c>
      <c r="I309" t="s">
        <v>544</v>
      </c>
      <c r="J309" t="s">
        <v>446</v>
      </c>
      <c r="K309" t="s">
        <v>446</v>
      </c>
      <c r="L309" t="s">
        <v>446</v>
      </c>
      <c r="M309" t="s">
        <v>446</v>
      </c>
      <c r="N309">
        <v>145691</v>
      </c>
      <c r="O309">
        <f>INDEX(Counselor,MATCH(B309,KidIDs,0))</f>
        <v>0</v>
      </c>
      <c r="P309">
        <f>INDEX(Advisors,MATCH(B309,KidIDs,0))</f>
        <v>0</v>
      </c>
      <c r="Q309">
        <f>INDEX(Cohort,MATCH(B309,KidIDs,0))</f>
        <v>0</v>
      </c>
      <c r="R309">
        <f>INDEX(AllCollegeBarrons,MATCH(N309,AllCollegeNCES,0))</f>
        <v>0</v>
      </c>
      <c r="S309">
        <f>INDEX(KidGPAs,MATCH(B309,KidIDs,0))</f>
        <v>0</v>
      </c>
      <c r="T309">
        <f>INDEX(KidSATs,MATCH(B309,KidIDs,0))</f>
        <v>0</v>
      </c>
      <c r="U309">
        <f>INDEX(Strats,MATCH(B309,KidIDs,0))</f>
        <v>0</v>
      </c>
      <c r="V309">
        <f>INDEX(KidRace,MATCH(B309,KidIDs,0))</f>
        <v>0</v>
      </c>
      <c r="W309">
        <f>IF(OR(V309="M",V309="I"),"H",IF(V309="P","A",V309))</f>
        <v>0</v>
      </c>
      <c r="X309">
        <f>INDEX(StudentTargets,MATCH(B309,KidIDs,0))</f>
        <v>0</v>
      </c>
      <c r="Y309">
        <f>INDEX(ReachStudentTargets,MATCH(B309,KidIDs,0))</f>
        <v>0</v>
      </c>
      <c r="Z309">
        <f>IF(OR(M309="Posse"),1,0)</f>
        <v>0</v>
      </c>
      <c r="AA309">
        <f>IF(ISNUMBER(INDEX(AllCollegeGR, MATCH(N309,AllCollegeNCES,0))),ROUND(INDEX(AllCollegeGR, MATCH(N309,AllCollegeNCES,0))+Z309*IF(INDEX(AllCollegeGR, MATCH(N309,AllCollegeNCES,0))&gt;0.7,(1-INDEX(AllCollegeGR, MATCH(N309,AllCollegeNCES,0)))/2,0.15),2),INDEX(AllCollegeGR, MATCH(N309,AllCollegeNCES,0)))</f>
        <v>0</v>
      </c>
      <c r="AB309">
        <f>IF(ISNUMBER(INDEX(AllCollegeAAHGR, MATCH(N309,AllCollegeNCES,0))),ROUND(INDEX(AllCollegeAAHGR, MATCH(N309,AllCollegeNCES,0))+Z309*IF(INDEX(AllCollegeAAHGR, MATCH(N309,AllCollegeNCES,0))&gt;0.7,(1-INDEX(AllCollegeAAHGR, MATCH(N309,AllCollegeNCES,0)))/2,0.15),2),INDEX(AllCollegeAAHGR, MATCH(N309,AllCollegeNCES,0)))</f>
        <v>0</v>
      </c>
      <c r="AC309">
        <f>IF(OR(W309="H",W309="B"),INDEX(AllCollegeSAT25, MATCH(N309,AllCollegeNCES,0)),INDEX(AllCollegeSAT50, MATCH(N309,AllCollegeNCES,0)))</f>
        <v>0</v>
      </c>
      <c r="AD309">
        <f>INDEX(CustomWeightsGPA,MATCH(W309&amp;":"&amp;N309,CustomWeightsIndex,0))</f>
        <v>0</v>
      </c>
      <c r="AE309">
        <f>INDEX(CustomWeightsSAT,MATCH(W309&amp;":"&amp;N309,CustomWeightsIndex,0))</f>
        <v>0</v>
      </c>
      <c r="AF309">
        <f>INDEX(CustomWeightsIntercept,MATCH(W309&amp;":"&amp;N309,CustomWeightsIndex,0))</f>
        <v>0</v>
      </c>
      <c r="AG309">
        <f>AD309*S309+AE309*T309+AF309</f>
        <v>0</v>
      </c>
      <c r="AH309">
        <f>INDEX(CoefficientsGPA,MATCH(W309&amp;":"&amp;R309,CoefficientsIndex,0))</f>
        <v>0</v>
      </c>
      <c r="AI309">
        <f>INDEX(CoefficientsSAT,MATCH(W309&amp;":"&amp;R309,CoefficientsIndex,0))</f>
        <v>0</v>
      </c>
      <c r="AJ309">
        <f>INDEX(CoefficientsIntercept,MATCH(W309&amp;":"&amp;R309,CoefficientsIndex,0))</f>
        <v>0</v>
      </c>
      <c r="AK309">
        <f>AH309*S309+(T309-AC309)*AI309+AJ309</f>
        <v>0</v>
      </c>
      <c r="AL309">
        <f>IF(ISNUMBER(AG309),AG309,AK309)</f>
        <v>0</v>
      </c>
      <c r="AM309">
        <f>IF(ISNUMBER(AL309),IF(ISNUMBER(AH309),IF(AND(AH309=1,AI309=1,AJ309=1),100,MIN(99,ROUND(100*EXP(AL309)/(1+EXP(AL309)),2))),MIN(99,ROUND(100*EXP(AL309)/(1+EXP(AL309)),2))),IF(ISTEXT(R309),IF(LEFT(R309,1)="2",100,"N/A"),"N/A"))</f>
        <v>0</v>
      </c>
      <c r="AN309">
        <f>IF(ISNUMBER(AM309),IF(AM309&gt;=99,IF(OR(U309=10,U309=11),MatchLabel,SureThingLabel),IF(AM309&gt;=95,SecureLabel,IF(AM309&gt;=80,SafetyLabel,IF(AM309&gt;=50,MatchLabel,IF(AM309&gt;=20,ReachLabel,IF(AM309&gt;=10,LongshotLabel,HailMaryLabel)))))),"Other")</f>
        <v>0</v>
      </c>
      <c r="AO309">
        <f>IF(OR(I309="accepted",I309="cond. accept",I309="summer admit"),IF(J309="yes","CHOICE!","Accepted!"),IF(I309="guar. transfer","Guar. Xfer",IF(I309="denied","Denied",IF(K309=1,"Waitlist",IF(L309=1,"Deferred",IF(G309="pending","Pending",IF(OR(G309="initial materials submitted",G309="mid-year submitted",G309="final submitted"),"Submitted",IF(H309="interest","Interest","?"))))))))</f>
        <v>0</v>
      </c>
      <c r="AP309">
        <f>IF(OR(AN309=ReachLabel,AN309=LongshotLabel,AN309=HailMaryLabel),1,0)</f>
        <v>0</v>
      </c>
      <c r="AQ309">
        <f>IF(OR(AP309=1,AN309=MatchLabel),1,0)</f>
        <v>0</v>
      </c>
      <c r="AR309">
        <f>IF(OR(AN309=MatchLabel,AN309=SafetyLabel,AN309=SecureLabel,AN309=SureThingLabel),1,0)</f>
        <v>0</v>
      </c>
      <c r="AS309">
        <f>IF(OR(W309="H",W309="B",W309="I",W309="M"),IF(ISNUMBER(AB309),ROUND(AB309,2),0),IF(ISNUMBER(AA309),ROUND(AA309,2),0))</f>
        <v>0</v>
      </c>
      <c r="AT309">
        <f>IF(AS309&gt;=X309,1,0)</f>
        <v>0</v>
      </c>
      <c r="AU309">
        <f>IF(AS309&gt;=Y309,1,0)</f>
        <v>0</v>
      </c>
      <c r="AV309">
        <f>IF(AS309&lt;(X309-0.10),1,0)</f>
        <v>0</v>
      </c>
      <c r="AW309">
        <f>1-AM309/100</f>
        <v>0</v>
      </c>
      <c r="AX309">
        <f>IF(AQ309=1,AW309,1)</f>
        <v>0</v>
      </c>
      <c r="AY309">
        <f>IF(AP309=1,AW309,1)</f>
        <v>0</v>
      </c>
      <c r="AZ309">
        <f>IF(AND(AT309=1,ISNUMBER(AW309)),$AW309,1)</f>
        <v>0</v>
      </c>
      <c r="BA309">
        <f>IF(AND(AU309=1,ISNUMBER(AW309)),$AW309,1)</f>
        <v>0</v>
      </c>
      <c r="BB309">
        <f>IF(ISNUMBER(AB309),INDEX(AllCollegeMoney, MATCH(N309,AllCollegeNCES,0)),0)</f>
        <v>0</v>
      </c>
      <c r="BC309">
        <f>IF(AND(AT309=1,ISNUMBER(AW309),BB309=1),$AW309,1)</f>
        <v>0</v>
      </c>
      <c r="BD309">
        <f>IF(AND(AU309=1,ISNUMBER(AW309),BB309=1),$AW309,1)</f>
        <v>0</v>
      </c>
      <c r="BE309">
        <f>IF(ISNUMBER(AB309),INDEX(AllCollegeILPub, MATCH(N309,AllCollegeNCES,0)),0)</f>
        <v>0</v>
      </c>
      <c r="BF309">
        <f>IF(AN309=ReachLabel,AS309,0)</f>
        <v>0</v>
      </c>
      <c r="BG309">
        <f>IF(AN309=MatchLabel,AS309,0)</f>
        <v>0</v>
      </c>
      <c r="BH309">
        <f>IF(AN309=SafetyLabel,AS309,0)</f>
        <v>0</v>
      </c>
      <c r="BI309">
        <f>IF(AN309=SecureLabel,AS309,0)</f>
        <v>0</v>
      </c>
      <c r="BJ309">
        <f>IF(AN309=SureThingLabel,AS309,0)</f>
        <v>0</v>
      </c>
      <c r="BK309">
        <f>MAX(BF309:BJ309)</f>
        <v>0</v>
      </c>
      <c r="BL309">
        <f>MAX(BG309:BJ309)</f>
        <v>0</v>
      </c>
      <c r="BM309">
        <f>MAX(BH309:BJ309)</f>
        <v>0</v>
      </c>
      <c r="BN309">
        <f>IF(AND(AN309=ReachLabel,BB309=1),AS309,0)</f>
        <v>0</v>
      </c>
      <c r="BO309">
        <f>IF(AND(AN309=MatchLabel,BB309=1),AS309,0)</f>
        <v>0</v>
      </c>
      <c r="BP309">
        <f>IF(AND(AN309=SafetyLabel,BB309=1),AS309,0)</f>
        <v>0</v>
      </c>
      <c r="BQ309">
        <f>IF(AND(AN309=SecureLabel,BB309=1),AS309,0)</f>
        <v>0</v>
      </c>
      <c r="BR309">
        <f>IF(AND(AN309=SureThingLabel,BB309=1),AS309,0)</f>
        <v>0</v>
      </c>
      <c r="BS309">
        <f>MAX(BN309:BR309)</f>
        <v>0</v>
      </c>
      <c r="BT309">
        <f>MAX(BO309:BR309)</f>
        <v>0</v>
      </c>
      <c r="BU309">
        <f>MAX(BP309:BR309)</f>
        <v>0</v>
      </c>
      <c r="BV309">
        <f>IF(ISNUMBER(AB309),INDEX(AllCollegeChicago, MATCH(N309,AllCollegeNCES,0))*BB309,0)</f>
        <v>0</v>
      </c>
      <c r="BW309">
        <f>IF(ISNUMBER(AB309),INDEX(AllCollegeMoneyCode, MATCH(N309,AllCollegeNCES,0)),"?")</f>
        <v>0</v>
      </c>
      <c r="BX309">
        <f>IF(OR(BW309="---",BW309="--",BW309="+/--",BW309="+/---"),1,0)</f>
        <v>0</v>
      </c>
      <c r="BY309">
        <f>BB309*AR309*AT309</f>
        <v>0</v>
      </c>
    </row>
    <row r="310" spans="1:77">
      <c r="A310" t="s">
        <v>96</v>
      </c>
      <c r="B310">
        <v>23050586</v>
      </c>
      <c r="C310" t="s">
        <v>168</v>
      </c>
      <c r="D310" t="s">
        <v>169</v>
      </c>
      <c r="E310" t="s">
        <v>446</v>
      </c>
      <c r="F310" t="s">
        <v>551</v>
      </c>
      <c r="G310" t="s">
        <v>543</v>
      </c>
      <c r="H310" t="s">
        <v>543</v>
      </c>
      <c r="I310" t="s">
        <v>544</v>
      </c>
      <c r="J310" t="s">
        <v>446</v>
      </c>
      <c r="K310" t="s">
        <v>446</v>
      </c>
      <c r="L310" t="s">
        <v>446</v>
      </c>
      <c r="M310" t="s">
        <v>446</v>
      </c>
      <c r="N310">
        <v>150774</v>
      </c>
      <c r="O310">
        <f>INDEX(Counselor,MATCH(B310,KidIDs,0))</f>
        <v>0</v>
      </c>
      <c r="P310">
        <f>INDEX(Advisors,MATCH(B310,KidIDs,0))</f>
        <v>0</v>
      </c>
      <c r="Q310">
        <f>INDEX(Cohort,MATCH(B310,KidIDs,0))</f>
        <v>0</v>
      </c>
      <c r="R310">
        <f>INDEX(AllCollegeBarrons,MATCH(N310,AllCollegeNCES,0))</f>
        <v>0</v>
      </c>
      <c r="S310">
        <f>INDEX(KidGPAs,MATCH(B310,KidIDs,0))</f>
        <v>0</v>
      </c>
      <c r="T310">
        <f>INDEX(KidSATs,MATCH(B310,KidIDs,0))</f>
        <v>0</v>
      </c>
      <c r="U310">
        <f>INDEX(Strats,MATCH(B310,KidIDs,0))</f>
        <v>0</v>
      </c>
      <c r="V310">
        <f>INDEX(KidRace,MATCH(B310,KidIDs,0))</f>
        <v>0</v>
      </c>
      <c r="W310">
        <f>IF(OR(V310="M",V310="I"),"H",IF(V310="P","A",V310))</f>
        <v>0</v>
      </c>
      <c r="X310">
        <f>INDEX(StudentTargets,MATCH(B310,KidIDs,0))</f>
        <v>0</v>
      </c>
      <c r="Y310">
        <f>INDEX(ReachStudentTargets,MATCH(B310,KidIDs,0))</f>
        <v>0</v>
      </c>
      <c r="Z310">
        <f>IF(OR(M310="Posse"),1,0)</f>
        <v>0</v>
      </c>
      <c r="AA310">
        <f>IF(ISNUMBER(INDEX(AllCollegeGR, MATCH(N310,AllCollegeNCES,0))),ROUND(INDEX(AllCollegeGR, MATCH(N310,AllCollegeNCES,0))+Z310*IF(INDEX(AllCollegeGR, MATCH(N310,AllCollegeNCES,0))&gt;0.7,(1-INDEX(AllCollegeGR, MATCH(N310,AllCollegeNCES,0)))/2,0.15),2),INDEX(AllCollegeGR, MATCH(N310,AllCollegeNCES,0)))</f>
        <v>0</v>
      </c>
      <c r="AB310">
        <f>IF(ISNUMBER(INDEX(AllCollegeAAHGR, MATCH(N310,AllCollegeNCES,0))),ROUND(INDEX(AllCollegeAAHGR, MATCH(N310,AllCollegeNCES,0))+Z310*IF(INDEX(AllCollegeAAHGR, MATCH(N310,AllCollegeNCES,0))&gt;0.7,(1-INDEX(AllCollegeAAHGR, MATCH(N310,AllCollegeNCES,0)))/2,0.15),2),INDEX(AllCollegeAAHGR, MATCH(N310,AllCollegeNCES,0)))</f>
        <v>0</v>
      </c>
      <c r="AC310">
        <f>IF(OR(W310="H",W310="B"),INDEX(AllCollegeSAT25, MATCH(N310,AllCollegeNCES,0)),INDEX(AllCollegeSAT50, MATCH(N310,AllCollegeNCES,0)))</f>
        <v>0</v>
      </c>
      <c r="AD310">
        <f>INDEX(CustomWeightsGPA,MATCH(W310&amp;":"&amp;N310,CustomWeightsIndex,0))</f>
        <v>0</v>
      </c>
      <c r="AE310">
        <f>INDEX(CustomWeightsSAT,MATCH(W310&amp;":"&amp;N310,CustomWeightsIndex,0))</f>
        <v>0</v>
      </c>
      <c r="AF310">
        <f>INDEX(CustomWeightsIntercept,MATCH(W310&amp;":"&amp;N310,CustomWeightsIndex,0))</f>
        <v>0</v>
      </c>
      <c r="AG310">
        <f>AD310*S310+AE310*T310+AF310</f>
        <v>0</v>
      </c>
      <c r="AH310">
        <f>INDEX(CoefficientsGPA,MATCH(W310&amp;":"&amp;R310,CoefficientsIndex,0))</f>
        <v>0</v>
      </c>
      <c r="AI310">
        <f>INDEX(CoefficientsSAT,MATCH(W310&amp;":"&amp;R310,CoefficientsIndex,0))</f>
        <v>0</v>
      </c>
      <c r="AJ310">
        <f>INDEX(CoefficientsIntercept,MATCH(W310&amp;":"&amp;R310,CoefficientsIndex,0))</f>
        <v>0</v>
      </c>
      <c r="AK310">
        <f>AH310*S310+(T310-AC310)*AI310+AJ310</f>
        <v>0</v>
      </c>
      <c r="AL310">
        <f>IF(ISNUMBER(AG310),AG310,AK310)</f>
        <v>0</v>
      </c>
      <c r="AM310">
        <f>IF(ISNUMBER(AL310),IF(ISNUMBER(AH310),IF(AND(AH310=1,AI310=1,AJ310=1),100,MIN(99,ROUND(100*EXP(AL310)/(1+EXP(AL310)),2))),MIN(99,ROUND(100*EXP(AL310)/(1+EXP(AL310)),2))),IF(ISTEXT(R310),IF(LEFT(R310,1)="2",100,"N/A"),"N/A"))</f>
        <v>0</v>
      </c>
      <c r="AN310">
        <f>IF(ISNUMBER(AM310),IF(AM310&gt;=99,IF(OR(U310=10,U310=11),MatchLabel,SureThingLabel),IF(AM310&gt;=95,SecureLabel,IF(AM310&gt;=80,SafetyLabel,IF(AM310&gt;=50,MatchLabel,IF(AM310&gt;=20,ReachLabel,IF(AM310&gt;=10,LongshotLabel,HailMaryLabel)))))),"Other")</f>
        <v>0</v>
      </c>
      <c r="AO310">
        <f>IF(OR(I310="accepted",I310="cond. accept",I310="summer admit"),IF(J310="yes","CHOICE!","Accepted!"),IF(I310="guar. transfer","Guar. Xfer",IF(I310="denied","Denied",IF(K310=1,"Waitlist",IF(L310=1,"Deferred",IF(G310="pending","Pending",IF(OR(G310="initial materials submitted",G310="mid-year submitted",G310="final submitted"),"Submitted",IF(H310="interest","Interest","?"))))))))</f>
        <v>0</v>
      </c>
      <c r="AP310">
        <f>IF(OR(AN310=ReachLabel,AN310=LongshotLabel,AN310=HailMaryLabel),1,0)</f>
        <v>0</v>
      </c>
      <c r="AQ310">
        <f>IF(OR(AP310=1,AN310=MatchLabel),1,0)</f>
        <v>0</v>
      </c>
      <c r="AR310">
        <f>IF(OR(AN310=MatchLabel,AN310=SafetyLabel,AN310=SecureLabel,AN310=SureThingLabel),1,0)</f>
        <v>0</v>
      </c>
      <c r="AS310">
        <f>IF(OR(W310="H",W310="B",W310="I",W310="M"),IF(ISNUMBER(AB310),ROUND(AB310,2),0),IF(ISNUMBER(AA310),ROUND(AA310,2),0))</f>
        <v>0</v>
      </c>
      <c r="AT310">
        <f>IF(AS310&gt;=X310,1,0)</f>
        <v>0</v>
      </c>
      <c r="AU310">
        <f>IF(AS310&gt;=Y310,1,0)</f>
        <v>0</v>
      </c>
      <c r="AV310">
        <f>IF(AS310&lt;(X310-0.10),1,0)</f>
        <v>0</v>
      </c>
      <c r="AW310">
        <f>1-AM310/100</f>
        <v>0</v>
      </c>
      <c r="AX310">
        <f>IF(AQ310=1,AW310,1)</f>
        <v>0</v>
      </c>
      <c r="AY310">
        <f>IF(AP310=1,AW310,1)</f>
        <v>0</v>
      </c>
      <c r="AZ310">
        <f>IF(AND(AT310=1,ISNUMBER(AW310)),$AW310,1)</f>
        <v>0</v>
      </c>
      <c r="BA310">
        <f>IF(AND(AU310=1,ISNUMBER(AW310)),$AW310,1)</f>
        <v>0</v>
      </c>
      <c r="BB310">
        <f>IF(ISNUMBER(AB310),INDEX(AllCollegeMoney, MATCH(N310,AllCollegeNCES,0)),0)</f>
        <v>0</v>
      </c>
      <c r="BC310">
        <f>IF(AND(AT310=1,ISNUMBER(AW310),BB310=1),$AW310,1)</f>
        <v>0</v>
      </c>
      <c r="BD310">
        <f>IF(AND(AU310=1,ISNUMBER(AW310),BB310=1),$AW310,1)</f>
        <v>0</v>
      </c>
      <c r="BE310">
        <f>IF(ISNUMBER(AB310),INDEX(AllCollegeILPub, MATCH(N310,AllCollegeNCES,0)),0)</f>
        <v>0</v>
      </c>
      <c r="BF310">
        <f>IF(AN310=ReachLabel,AS310,0)</f>
        <v>0</v>
      </c>
      <c r="BG310">
        <f>IF(AN310=MatchLabel,AS310,0)</f>
        <v>0</v>
      </c>
      <c r="BH310">
        <f>IF(AN310=SafetyLabel,AS310,0)</f>
        <v>0</v>
      </c>
      <c r="BI310">
        <f>IF(AN310=SecureLabel,AS310,0)</f>
        <v>0</v>
      </c>
      <c r="BJ310">
        <f>IF(AN310=SureThingLabel,AS310,0)</f>
        <v>0</v>
      </c>
      <c r="BK310">
        <f>MAX(BF310:BJ310)</f>
        <v>0</v>
      </c>
      <c r="BL310">
        <f>MAX(BG310:BJ310)</f>
        <v>0</v>
      </c>
      <c r="BM310">
        <f>MAX(BH310:BJ310)</f>
        <v>0</v>
      </c>
      <c r="BN310">
        <f>IF(AND(AN310=ReachLabel,BB310=1),AS310,0)</f>
        <v>0</v>
      </c>
      <c r="BO310">
        <f>IF(AND(AN310=MatchLabel,BB310=1),AS310,0)</f>
        <v>0</v>
      </c>
      <c r="BP310">
        <f>IF(AND(AN310=SafetyLabel,BB310=1),AS310,0)</f>
        <v>0</v>
      </c>
      <c r="BQ310">
        <f>IF(AND(AN310=SecureLabel,BB310=1),AS310,0)</f>
        <v>0</v>
      </c>
      <c r="BR310">
        <f>IF(AND(AN310=SureThingLabel,BB310=1),AS310,0)</f>
        <v>0</v>
      </c>
      <c r="BS310">
        <f>MAX(BN310:BR310)</f>
        <v>0</v>
      </c>
      <c r="BT310">
        <f>MAX(BO310:BR310)</f>
        <v>0</v>
      </c>
      <c r="BU310">
        <f>MAX(BP310:BR310)</f>
        <v>0</v>
      </c>
      <c r="BV310">
        <f>IF(ISNUMBER(AB310),INDEX(AllCollegeChicago, MATCH(N310,AllCollegeNCES,0))*BB310,0)</f>
        <v>0</v>
      </c>
      <c r="BW310">
        <f>IF(ISNUMBER(AB310),INDEX(AllCollegeMoneyCode, MATCH(N310,AllCollegeNCES,0)),"?")</f>
        <v>0</v>
      </c>
      <c r="BX310">
        <f>IF(OR(BW310="---",BW310="--",BW310="+/--",BW310="+/---"),1,0)</f>
        <v>0</v>
      </c>
      <c r="BY310">
        <f>BB310*AR310*AT310</f>
        <v>0</v>
      </c>
    </row>
    <row r="311" spans="1:77">
      <c r="A311" t="s">
        <v>96</v>
      </c>
      <c r="B311">
        <v>23050586</v>
      </c>
      <c r="C311" t="s">
        <v>168</v>
      </c>
      <c r="D311" t="s">
        <v>169</v>
      </c>
      <c r="E311" t="s">
        <v>446</v>
      </c>
      <c r="F311" t="s">
        <v>536</v>
      </c>
      <c r="G311" t="s">
        <v>448</v>
      </c>
      <c r="H311" t="s">
        <v>449</v>
      </c>
      <c r="I311" t="s">
        <v>450</v>
      </c>
      <c r="J311" t="s">
        <v>450</v>
      </c>
      <c r="K311">
        <v>0</v>
      </c>
      <c r="L311" t="s">
        <v>446</v>
      </c>
      <c r="M311" t="s">
        <v>446</v>
      </c>
      <c r="N311">
        <v>239628</v>
      </c>
      <c r="O311">
        <f>INDEX(Counselor,MATCH(B311,KidIDs,0))</f>
        <v>0</v>
      </c>
      <c r="P311">
        <f>INDEX(Advisors,MATCH(B311,KidIDs,0))</f>
        <v>0</v>
      </c>
      <c r="Q311">
        <f>INDEX(Cohort,MATCH(B311,KidIDs,0))</f>
        <v>0</v>
      </c>
      <c r="R311">
        <f>INDEX(AllCollegeBarrons,MATCH(N311,AllCollegeNCES,0))</f>
        <v>0</v>
      </c>
      <c r="S311">
        <f>INDEX(KidGPAs,MATCH(B311,KidIDs,0))</f>
        <v>0</v>
      </c>
      <c r="T311">
        <f>INDEX(KidSATs,MATCH(B311,KidIDs,0))</f>
        <v>0</v>
      </c>
      <c r="U311">
        <f>INDEX(Strats,MATCH(B311,KidIDs,0))</f>
        <v>0</v>
      </c>
      <c r="V311">
        <f>INDEX(KidRace,MATCH(B311,KidIDs,0))</f>
        <v>0</v>
      </c>
      <c r="W311">
        <f>IF(OR(V311="M",V311="I"),"H",IF(V311="P","A",V311))</f>
        <v>0</v>
      </c>
      <c r="X311">
        <f>INDEX(StudentTargets,MATCH(B311,KidIDs,0))</f>
        <v>0</v>
      </c>
      <c r="Y311">
        <f>INDEX(ReachStudentTargets,MATCH(B311,KidIDs,0))</f>
        <v>0</v>
      </c>
      <c r="Z311">
        <f>IF(OR(M311="Posse"),1,0)</f>
        <v>0</v>
      </c>
      <c r="AA311">
        <f>IF(ISNUMBER(INDEX(AllCollegeGR, MATCH(N311,AllCollegeNCES,0))),ROUND(INDEX(AllCollegeGR, MATCH(N311,AllCollegeNCES,0))+Z311*IF(INDEX(AllCollegeGR, MATCH(N311,AllCollegeNCES,0))&gt;0.7,(1-INDEX(AllCollegeGR, MATCH(N311,AllCollegeNCES,0)))/2,0.15),2),INDEX(AllCollegeGR, MATCH(N311,AllCollegeNCES,0)))</f>
        <v>0</v>
      </c>
      <c r="AB311">
        <f>IF(ISNUMBER(INDEX(AllCollegeAAHGR, MATCH(N311,AllCollegeNCES,0))),ROUND(INDEX(AllCollegeAAHGR, MATCH(N311,AllCollegeNCES,0))+Z311*IF(INDEX(AllCollegeAAHGR, MATCH(N311,AllCollegeNCES,0))&gt;0.7,(1-INDEX(AllCollegeAAHGR, MATCH(N311,AllCollegeNCES,0)))/2,0.15),2),INDEX(AllCollegeAAHGR, MATCH(N311,AllCollegeNCES,0)))</f>
        <v>0</v>
      </c>
      <c r="AC311">
        <f>IF(OR(W311="H",W311="B"),INDEX(AllCollegeSAT25, MATCH(N311,AllCollegeNCES,0)),INDEX(AllCollegeSAT50, MATCH(N311,AllCollegeNCES,0)))</f>
        <v>0</v>
      </c>
      <c r="AD311">
        <f>INDEX(CustomWeightsGPA,MATCH(W311&amp;":"&amp;N311,CustomWeightsIndex,0))</f>
        <v>0</v>
      </c>
      <c r="AE311">
        <f>INDEX(CustomWeightsSAT,MATCH(W311&amp;":"&amp;N311,CustomWeightsIndex,0))</f>
        <v>0</v>
      </c>
      <c r="AF311">
        <f>INDEX(CustomWeightsIntercept,MATCH(W311&amp;":"&amp;N311,CustomWeightsIndex,0))</f>
        <v>0</v>
      </c>
      <c r="AG311">
        <f>AD311*S311+AE311*T311+AF311</f>
        <v>0</v>
      </c>
      <c r="AH311">
        <f>INDEX(CoefficientsGPA,MATCH(W311&amp;":"&amp;R311,CoefficientsIndex,0))</f>
        <v>0</v>
      </c>
      <c r="AI311">
        <f>INDEX(CoefficientsSAT,MATCH(W311&amp;":"&amp;R311,CoefficientsIndex,0))</f>
        <v>0</v>
      </c>
      <c r="AJ311">
        <f>INDEX(CoefficientsIntercept,MATCH(W311&amp;":"&amp;R311,CoefficientsIndex,0))</f>
        <v>0</v>
      </c>
      <c r="AK311">
        <f>AH311*S311+(T311-AC311)*AI311+AJ311</f>
        <v>0</v>
      </c>
      <c r="AL311">
        <f>IF(ISNUMBER(AG311),AG311,AK311)</f>
        <v>0</v>
      </c>
      <c r="AM311">
        <f>IF(ISNUMBER(AL311),IF(ISNUMBER(AH311),IF(AND(AH311=1,AI311=1,AJ311=1),100,MIN(99,ROUND(100*EXP(AL311)/(1+EXP(AL311)),2))),MIN(99,ROUND(100*EXP(AL311)/(1+EXP(AL311)),2))),IF(ISTEXT(R311),IF(LEFT(R311,1)="2",100,"N/A"),"N/A"))</f>
        <v>0</v>
      </c>
      <c r="AN311">
        <f>IF(ISNUMBER(AM311),IF(AM311&gt;=99,IF(OR(U311=10,U311=11),MatchLabel,SureThingLabel),IF(AM311&gt;=95,SecureLabel,IF(AM311&gt;=80,SafetyLabel,IF(AM311&gt;=50,MatchLabel,IF(AM311&gt;=20,ReachLabel,IF(AM311&gt;=10,LongshotLabel,HailMaryLabel)))))),"Other")</f>
        <v>0</v>
      </c>
      <c r="AO311">
        <f>IF(OR(I311="accepted",I311="cond. accept",I311="summer admit"),IF(J311="yes","CHOICE!","Accepted!"),IF(I311="guar. transfer","Guar. Xfer",IF(I311="denied","Denied",IF(K311=1,"Waitlist",IF(L311=1,"Deferred",IF(G311="pending","Pending",IF(OR(G311="initial materials submitted",G311="mid-year submitted",G311="final submitted"),"Submitted",IF(H311="interest","Interest","?"))))))))</f>
        <v>0</v>
      </c>
      <c r="AP311">
        <f>IF(OR(AN311=ReachLabel,AN311=LongshotLabel,AN311=HailMaryLabel),1,0)</f>
        <v>0</v>
      </c>
      <c r="AQ311">
        <f>IF(OR(AP311=1,AN311=MatchLabel),1,0)</f>
        <v>0</v>
      </c>
      <c r="AR311">
        <f>IF(OR(AN311=MatchLabel,AN311=SafetyLabel,AN311=SecureLabel,AN311=SureThingLabel),1,0)</f>
        <v>0</v>
      </c>
      <c r="AS311">
        <f>IF(OR(W311="H",W311="B",W311="I",W311="M"),IF(ISNUMBER(AB311),ROUND(AB311,2),0),IF(ISNUMBER(AA311),ROUND(AA311,2),0))</f>
        <v>0</v>
      </c>
      <c r="AT311">
        <f>IF(AS311&gt;=X311,1,0)</f>
        <v>0</v>
      </c>
      <c r="AU311">
        <f>IF(AS311&gt;=Y311,1,0)</f>
        <v>0</v>
      </c>
      <c r="AV311">
        <f>IF(AS311&lt;(X311-0.10),1,0)</f>
        <v>0</v>
      </c>
      <c r="AW311">
        <f>1-AM311/100</f>
        <v>0</v>
      </c>
      <c r="AX311">
        <f>IF(AQ311=1,AW311,1)</f>
        <v>0</v>
      </c>
      <c r="AY311">
        <f>IF(AP311=1,AW311,1)</f>
        <v>0</v>
      </c>
      <c r="AZ311">
        <f>IF(AND(AT311=1,ISNUMBER(AW311)),$AW311,1)</f>
        <v>0</v>
      </c>
      <c r="BA311">
        <f>IF(AND(AU311=1,ISNUMBER(AW311)),$AW311,1)</f>
        <v>0</v>
      </c>
      <c r="BB311">
        <f>IF(ISNUMBER(AB311),INDEX(AllCollegeMoney, MATCH(N311,AllCollegeNCES,0)),0)</f>
        <v>0</v>
      </c>
      <c r="BC311">
        <f>IF(AND(AT311=1,ISNUMBER(AW311),BB311=1),$AW311,1)</f>
        <v>0</v>
      </c>
      <c r="BD311">
        <f>IF(AND(AU311=1,ISNUMBER(AW311),BB311=1),$AW311,1)</f>
        <v>0</v>
      </c>
      <c r="BE311">
        <f>IF(ISNUMBER(AB311),INDEX(AllCollegeILPub, MATCH(N311,AllCollegeNCES,0)),0)</f>
        <v>0</v>
      </c>
      <c r="BF311">
        <f>IF(AN311=ReachLabel,AS311,0)</f>
        <v>0</v>
      </c>
      <c r="BG311">
        <f>IF(AN311=MatchLabel,AS311,0)</f>
        <v>0</v>
      </c>
      <c r="BH311">
        <f>IF(AN311=SafetyLabel,AS311,0)</f>
        <v>0</v>
      </c>
      <c r="BI311">
        <f>IF(AN311=SecureLabel,AS311,0)</f>
        <v>0</v>
      </c>
      <c r="BJ311">
        <f>IF(AN311=SureThingLabel,AS311,0)</f>
        <v>0</v>
      </c>
      <c r="BK311">
        <f>MAX(BF311:BJ311)</f>
        <v>0</v>
      </c>
      <c r="BL311">
        <f>MAX(BG311:BJ311)</f>
        <v>0</v>
      </c>
      <c r="BM311">
        <f>MAX(BH311:BJ311)</f>
        <v>0</v>
      </c>
      <c r="BN311">
        <f>IF(AND(AN311=ReachLabel,BB311=1),AS311,0)</f>
        <v>0</v>
      </c>
      <c r="BO311">
        <f>IF(AND(AN311=MatchLabel,BB311=1),AS311,0)</f>
        <v>0</v>
      </c>
      <c r="BP311">
        <f>IF(AND(AN311=SafetyLabel,BB311=1),AS311,0)</f>
        <v>0</v>
      </c>
      <c r="BQ311">
        <f>IF(AND(AN311=SecureLabel,BB311=1),AS311,0)</f>
        <v>0</v>
      </c>
      <c r="BR311">
        <f>IF(AND(AN311=SureThingLabel,BB311=1),AS311,0)</f>
        <v>0</v>
      </c>
      <c r="BS311">
        <f>MAX(BN311:BR311)</f>
        <v>0</v>
      </c>
      <c r="BT311">
        <f>MAX(BO311:BR311)</f>
        <v>0</v>
      </c>
      <c r="BU311">
        <f>MAX(BP311:BR311)</f>
        <v>0</v>
      </c>
      <c r="BV311">
        <f>IF(ISNUMBER(AB311),INDEX(AllCollegeChicago, MATCH(N311,AllCollegeNCES,0))*BB311,0)</f>
        <v>0</v>
      </c>
      <c r="BW311">
        <f>IF(ISNUMBER(AB311),INDEX(AllCollegeMoneyCode, MATCH(N311,AllCollegeNCES,0)),"?")</f>
        <v>0</v>
      </c>
      <c r="BX311">
        <f>IF(OR(BW311="---",BW311="--",BW311="+/--",BW311="+/---"),1,0)</f>
        <v>0</v>
      </c>
      <c r="BY311">
        <f>BB311*AR311*AT311</f>
        <v>0</v>
      </c>
    </row>
    <row r="312" spans="1:77">
      <c r="A312" t="s">
        <v>96</v>
      </c>
      <c r="B312">
        <v>23050586</v>
      </c>
      <c r="C312" t="s">
        <v>168</v>
      </c>
      <c r="D312" t="s">
        <v>169</v>
      </c>
      <c r="E312" t="s">
        <v>446</v>
      </c>
      <c r="F312" t="s">
        <v>526</v>
      </c>
      <c r="G312" t="s">
        <v>479</v>
      </c>
      <c r="H312" t="s">
        <v>449</v>
      </c>
      <c r="I312" t="s">
        <v>450</v>
      </c>
      <c r="J312" t="s">
        <v>450</v>
      </c>
      <c r="K312">
        <v>0</v>
      </c>
      <c r="L312" t="s">
        <v>446</v>
      </c>
      <c r="M312" t="s">
        <v>446</v>
      </c>
      <c r="N312">
        <v>147341</v>
      </c>
      <c r="O312">
        <f>INDEX(Counselor,MATCH(B312,KidIDs,0))</f>
        <v>0</v>
      </c>
      <c r="P312">
        <f>INDEX(Advisors,MATCH(B312,KidIDs,0))</f>
        <v>0</v>
      </c>
      <c r="Q312">
        <f>INDEX(Cohort,MATCH(B312,KidIDs,0))</f>
        <v>0</v>
      </c>
      <c r="R312">
        <f>INDEX(AllCollegeBarrons,MATCH(N312,AllCollegeNCES,0))</f>
        <v>0</v>
      </c>
      <c r="S312">
        <f>INDEX(KidGPAs,MATCH(B312,KidIDs,0))</f>
        <v>0</v>
      </c>
      <c r="T312">
        <f>INDEX(KidSATs,MATCH(B312,KidIDs,0))</f>
        <v>0</v>
      </c>
      <c r="U312">
        <f>INDEX(Strats,MATCH(B312,KidIDs,0))</f>
        <v>0</v>
      </c>
      <c r="V312">
        <f>INDEX(KidRace,MATCH(B312,KidIDs,0))</f>
        <v>0</v>
      </c>
      <c r="W312">
        <f>IF(OR(V312="M",V312="I"),"H",IF(V312="P","A",V312))</f>
        <v>0</v>
      </c>
      <c r="X312">
        <f>INDEX(StudentTargets,MATCH(B312,KidIDs,0))</f>
        <v>0</v>
      </c>
      <c r="Y312">
        <f>INDEX(ReachStudentTargets,MATCH(B312,KidIDs,0))</f>
        <v>0</v>
      </c>
      <c r="Z312">
        <f>IF(OR(M312="Posse"),1,0)</f>
        <v>0</v>
      </c>
      <c r="AA312">
        <f>IF(ISNUMBER(INDEX(AllCollegeGR, MATCH(N312,AllCollegeNCES,0))),ROUND(INDEX(AllCollegeGR, MATCH(N312,AllCollegeNCES,0))+Z312*IF(INDEX(AllCollegeGR, MATCH(N312,AllCollegeNCES,0))&gt;0.7,(1-INDEX(AllCollegeGR, MATCH(N312,AllCollegeNCES,0)))/2,0.15),2),INDEX(AllCollegeGR, MATCH(N312,AllCollegeNCES,0)))</f>
        <v>0</v>
      </c>
      <c r="AB312">
        <f>IF(ISNUMBER(INDEX(AllCollegeAAHGR, MATCH(N312,AllCollegeNCES,0))),ROUND(INDEX(AllCollegeAAHGR, MATCH(N312,AllCollegeNCES,0))+Z312*IF(INDEX(AllCollegeAAHGR, MATCH(N312,AllCollegeNCES,0))&gt;0.7,(1-INDEX(AllCollegeAAHGR, MATCH(N312,AllCollegeNCES,0)))/2,0.15),2),INDEX(AllCollegeAAHGR, MATCH(N312,AllCollegeNCES,0)))</f>
        <v>0</v>
      </c>
      <c r="AC312">
        <f>IF(OR(W312="H",W312="B"),INDEX(AllCollegeSAT25, MATCH(N312,AllCollegeNCES,0)),INDEX(AllCollegeSAT50, MATCH(N312,AllCollegeNCES,0)))</f>
        <v>0</v>
      </c>
      <c r="AD312">
        <f>INDEX(CustomWeightsGPA,MATCH(W312&amp;":"&amp;N312,CustomWeightsIndex,0))</f>
        <v>0</v>
      </c>
      <c r="AE312">
        <f>INDEX(CustomWeightsSAT,MATCH(W312&amp;":"&amp;N312,CustomWeightsIndex,0))</f>
        <v>0</v>
      </c>
      <c r="AF312">
        <f>INDEX(CustomWeightsIntercept,MATCH(W312&amp;":"&amp;N312,CustomWeightsIndex,0))</f>
        <v>0</v>
      </c>
      <c r="AG312">
        <f>AD312*S312+AE312*T312+AF312</f>
        <v>0</v>
      </c>
      <c r="AH312">
        <f>INDEX(CoefficientsGPA,MATCH(W312&amp;":"&amp;R312,CoefficientsIndex,0))</f>
        <v>0</v>
      </c>
      <c r="AI312">
        <f>INDEX(CoefficientsSAT,MATCH(W312&amp;":"&amp;R312,CoefficientsIndex,0))</f>
        <v>0</v>
      </c>
      <c r="AJ312">
        <f>INDEX(CoefficientsIntercept,MATCH(W312&amp;":"&amp;R312,CoefficientsIndex,0))</f>
        <v>0</v>
      </c>
      <c r="AK312">
        <f>AH312*S312+(T312-AC312)*AI312+AJ312</f>
        <v>0</v>
      </c>
      <c r="AL312">
        <f>IF(ISNUMBER(AG312),AG312,AK312)</f>
        <v>0</v>
      </c>
      <c r="AM312">
        <f>IF(ISNUMBER(AL312),IF(ISNUMBER(AH312),IF(AND(AH312=1,AI312=1,AJ312=1),100,MIN(99,ROUND(100*EXP(AL312)/(1+EXP(AL312)),2))),MIN(99,ROUND(100*EXP(AL312)/(1+EXP(AL312)),2))),IF(ISTEXT(R312),IF(LEFT(R312,1)="2",100,"N/A"),"N/A"))</f>
        <v>0</v>
      </c>
      <c r="AN312">
        <f>IF(ISNUMBER(AM312),IF(AM312&gt;=99,IF(OR(U312=10,U312=11),MatchLabel,SureThingLabel),IF(AM312&gt;=95,SecureLabel,IF(AM312&gt;=80,SafetyLabel,IF(AM312&gt;=50,MatchLabel,IF(AM312&gt;=20,ReachLabel,IF(AM312&gt;=10,LongshotLabel,HailMaryLabel)))))),"Other")</f>
        <v>0</v>
      </c>
      <c r="AO312">
        <f>IF(OR(I312="accepted",I312="cond. accept",I312="summer admit"),IF(J312="yes","CHOICE!","Accepted!"),IF(I312="guar. transfer","Guar. Xfer",IF(I312="denied","Denied",IF(K312=1,"Waitlist",IF(L312=1,"Deferred",IF(G312="pending","Pending",IF(OR(G312="initial materials submitted",G312="mid-year submitted",G312="final submitted"),"Submitted",IF(H312="interest","Interest","?"))))))))</f>
        <v>0</v>
      </c>
      <c r="AP312">
        <f>IF(OR(AN312=ReachLabel,AN312=LongshotLabel,AN312=HailMaryLabel),1,0)</f>
        <v>0</v>
      </c>
      <c r="AQ312">
        <f>IF(OR(AP312=1,AN312=MatchLabel),1,0)</f>
        <v>0</v>
      </c>
      <c r="AR312">
        <f>IF(OR(AN312=MatchLabel,AN312=SafetyLabel,AN312=SecureLabel,AN312=SureThingLabel),1,0)</f>
        <v>0</v>
      </c>
      <c r="AS312">
        <f>IF(OR(W312="H",W312="B",W312="I",W312="M"),IF(ISNUMBER(AB312),ROUND(AB312,2),0),IF(ISNUMBER(AA312),ROUND(AA312,2),0))</f>
        <v>0</v>
      </c>
      <c r="AT312">
        <f>IF(AS312&gt;=X312,1,0)</f>
        <v>0</v>
      </c>
      <c r="AU312">
        <f>IF(AS312&gt;=Y312,1,0)</f>
        <v>0</v>
      </c>
      <c r="AV312">
        <f>IF(AS312&lt;(X312-0.10),1,0)</f>
        <v>0</v>
      </c>
      <c r="AW312">
        <f>1-AM312/100</f>
        <v>0</v>
      </c>
      <c r="AX312">
        <f>IF(AQ312=1,AW312,1)</f>
        <v>0</v>
      </c>
      <c r="AY312">
        <f>IF(AP312=1,AW312,1)</f>
        <v>0</v>
      </c>
      <c r="AZ312">
        <f>IF(AND(AT312=1,ISNUMBER(AW312)),$AW312,1)</f>
        <v>0</v>
      </c>
      <c r="BA312">
        <f>IF(AND(AU312=1,ISNUMBER(AW312)),$AW312,1)</f>
        <v>0</v>
      </c>
      <c r="BB312">
        <f>IF(ISNUMBER(AB312),INDEX(AllCollegeMoney, MATCH(N312,AllCollegeNCES,0)),0)</f>
        <v>0</v>
      </c>
      <c r="BC312">
        <f>IF(AND(AT312=1,ISNUMBER(AW312),BB312=1),$AW312,1)</f>
        <v>0</v>
      </c>
      <c r="BD312">
        <f>IF(AND(AU312=1,ISNUMBER(AW312),BB312=1),$AW312,1)</f>
        <v>0</v>
      </c>
      <c r="BE312">
        <f>IF(ISNUMBER(AB312),INDEX(AllCollegeILPub, MATCH(N312,AllCollegeNCES,0)),0)</f>
        <v>0</v>
      </c>
      <c r="BF312">
        <f>IF(AN312=ReachLabel,AS312,0)</f>
        <v>0</v>
      </c>
      <c r="BG312">
        <f>IF(AN312=MatchLabel,AS312,0)</f>
        <v>0</v>
      </c>
      <c r="BH312">
        <f>IF(AN312=SafetyLabel,AS312,0)</f>
        <v>0</v>
      </c>
      <c r="BI312">
        <f>IF(AN312=SecureLabel,AS312,0)</f>
        <v>0</v>
      </c>
      <c r="BJ312">
        <f>IF(AN312=SureThingLabel,AS312,0)</f>
        <v>0</v>
      </c>
      <c r="BK312">
        <f>MAX(BF312:BJ312)</f>
        <v>0</v>
      </c>
      <c r="BL312">
        <f>MAX(BG312:BJ312)</f>
        <v>0</v>
      </c>
      <c r="BM312">
        <f>MAX(BH312:BJ312)</f>
        <v>0</v>
      </c>
      <c r="BN312">
        <f>IF(AND(AN312=ReachLabel,BB312=1),AS312,0)</f>
        <v>0</v>
      </c>
      <c r="BO312">
        <f>IF(AND(AN312=MatchLabel,BB312=1),AS312,0)</f>
        <v>0</v>
      </c>
      <c r="BP312">
        <f>IF(AND(AN312=SafetyLabel,BB312=1),AS312,0)</f>
        <v>0</v>
      </c>
      <c r="BQ312">
        <f>IF(AND(AN312=SecureLabel,BB312=1),AS312,0)</f>
        <v>0</v>
      </c>
      <c r="BR312">
        <f>IF(AND(AN312=SureThingLabel,BB312=1),AS312,0)</f>
        <v>0</v>
      </c>
      <c r="BS312">
        <f>MAX(BN312:BR312)</f>
        <v>0</v>
      </c>
      <c r="BT312">
        <f>MAX(BO312:BR312)</f>
        <v>0</v>
      </c>
      <c r="BU312">
        <f>MAX(BP312:BR312)</f>
        <v>0</v>
      </c>
      <c r="BV312">
        <f>IF(ISNUMBER(AB312),INDEX(AllCollegeChicago, MATCH(N312,AllCollegeNCES,0))*BB312,0)</f>
        <v>0</v>
      </c>
      <c r="BW312">
        <f>IF(ISNUMBER(AB312),INDEX(AllCollegeMoneyCode, MATCH(N312,AllCollegeNCES,0)),"?")</f>
        <v>0</v>
      </c>
      <c r="BX312">
        <f>IF(OR(BW312="---",BW312="--",BW312="+/--",BW312="+/---"),1,0)</f>
        <v>0</v>
      </c>
      <c r="BY312">
        <f>BB312*AR312*AT312</f>
        <v>0</v>
      </c>
    </row>
    <row r="313" spans="1:77">
      <c r="A313" t="s">
        <v>96</v>
      </c>
      <c r="B313">
        <v>23050586</v>
      </c>
      <c r="C313" t="s">
        <v>168</v>
      </c>
      <c r="D313" t="s">
        <v>169</v>
      </c>
      <c r="E313" t="s">
        <v>446</v>
      </c>
      <c r="F313" t="s">
        <v>552</v>
      </c>
      <c r="G313" t="s">
        <v>543</v>
      </c>
      <c r="H313" t="s">
        <v>543</v>
      </c>
      <c r="I313" t="s">
        <v>544</v>
      </c>
      <c r="J313" t="s">
        <v>446</v>
      </c>
      <c r="K313" t="s">
        <v>446</v>
      </c>
      <c r="L313" t="s">
        <v>446</v>
      </c>
      <c r="M313" t="s">
        <v>446</v>
      </c>
      <c r="N313">
        <v>154493</v>
      </c>
      <c r="O313">
        <f>INDEX(Counselor,MATCH(B313,KidIDs,0))</f>
        <v>0</v>
      </c>
      <c r="P313">
        <f>INDEX(Advisors,MATCH(B313,KidIDs,0))</f>
        <v>0</v>
      </c>
      <c r="Q313">
        <f>INDEX(Cohort,MATCH(B313,KidIDs,0))</f>
        <v>0</v>
      </c>
      <c r="R313">
        <f>INDEX(AllCollegeBarrons,MATCH(N313,AllCollegeNCES,0))</f>
        <v>0</v>
      </c>
      <c r="S313">
        <f>INDEX(KidGPAs,MATCH(B313,KidIDs,0))</f>
        <v>0</v>
      </c>
      <c r="T313">
        <f>INDEX(KidSATs,MATCH(B313,KidIDs,0))</f>
        <v>0</v>
      </c>
      <c r="U313">
        <f>INDEX(Strats,MATCH(B313,KidIDs,0))</f>
        <v>0</v>
      </c>
      <c r="V313">
        <f>INDEX(KidRace,MATCH(B313,KidIDs,0))</f>
        <v>0</v>
      </c>
      <c r="W313">
        <f>IF(OR(V313="M",V313="I"),"H",IF(V313="P","A",V313))</f>
        <v>0</v>
      </c>
      <c r="X313">
        <f>INDEX(StudentTargets,MATCH(B313,KidIDs,0))</f>
        <v>0</v>
      </c>
      <c r="Y313">
        <f>INDEX(ReachStudentTargets,MATCH(B313,KidIDs,0))</f>
        <v>0</v>
      </c>
      <c r="Z313">
        <f>IF(OR(M313="Posse"),1,0)</f>
        <v>0</v>
      </c>
      <c r="AA313">
        <f>IF(ISNUMBER(INDEX(AllCollegeGR, MATCH(N313,AllCollegeNCES,0))),ROUND(INDEX(AllCollegeGR, MATCH(N313,AllCollegeNCES,0))+Z313*IF(INDEX(AllCollegeGR, MATCH(N313,AllCollegeNCES,0))&gt;0.7,(1-INDEX(AllCollegeGR, MATCH(N313,AllCollegeNCES,0)))/2,0.15),2),INDEX(AllCollegeGR, MATCH(N313,AllCollegeNCES,0)))</f>
        <v>0</v>
      </c>
      <c r="AB313">
        <f>IF(ISNUMBER(INDEX(AllCollegeAAHGR, MATCH(N313,AllCollegeNCES,0))),ROUND(INDEX(AllCollegeAAHGR, MATCH(N313,AllCollegeNCES,0))+Z313*IF(INDEX(AllCollegeAAHGR, MATCH(N313,AllCollegeNCES,0))&gt;0.7,(1-INDEX(AllCollegeAAHGR, MATCH(N313,AllCollegeNCES,0)))/2,0.15),2),INDEX(AllCollegeAAHGR, MATCH(N313,AllCollegeNCES,0)))</f>
        <v>0</v>
      </c>
      <c r="AC313">
        <f>IF(OR(W313="H",W313="B"),INDEX(AllCollegeSAT25, MATCH(N313,AllCollegeNCES,0)),INDEX(AllCollegeSAT50, MATCH(N313,AllCollegeNCES,0)))</f>
        <v>0</v>
      </c>
      <c r="AD313">
        <f>INDEX(CustomWeightsGPA,MATCH(W313&amp;":"&amp;N313,CustomWeightsIndex,0))</f>
        <v>0</v>
      </c>
      <c r="AE313">
        <f>INDEX(CustomWeightsSAT,MATCH(W313&amp;":"&amp;N313,CustomWeightsIndex,0))</f>
        <v>0</v>
      </c>
      <c r="AF313">
        <f>INDEX(CustomWeightsIntercept,MATCH(W313&amp;":"&amp;N313,CustomWeightsIndex,0))</f>
        <v>0</v>
      </c>
      <c r="AG313">
        <f>AD313*S313+AE313*T313+AF313</f>
        <v>0</v>
      </c>
      <c r="AH313">
        <f>INDEX(CoefficientsGPA,MATCH(W313&amp;":"&amp;R313,CoefficientsIndex,0))</f>
        <v>0</v>
      </c>
      <c r="AI313">
        <f>INDEX(CoefficientsSAT,MATCH(W313&amp;":"&amp;R313,CoefficientsIndex,0))</f>
        <v>0</v>
      </c>
      <c r="AJ313">
        <f>INDEX(CoefficientsIntercept,MATCH(W313&amp;":"&amp;R313,CoefficientsIndex,0))</f>
        <v>0</v>
      </c>
      <c r="AK313">
        <f>AH313*S313+(T313-AC313)*AI313+AJ313</f>
        <v>0</v>
      </c>
      <c r="AL313">
        <f>IF(ISNUMBER(AG313),AG313,AK313)</f>
        <v>0</v>
      </c>
      <c r="AM313">
        <f>IF(ISNUMBER(AL313),IF(ISNUMBER(AH313),IF(AND(AH313=1,AI313=1,AJ313=1),100,MIN(99,ROUND(100*EXP(AL313)/(1+EXP(AL313)),2))),MIN(99,ROUND(100*EXP(AL313)/(1+EXP(AL313)),2))),IF(ISTEXT(R313),IF(LEFT(R313,1)="2",100,"N/A"),"N/A"))</f>
        <v>0</v>
      </c>
      <c r="AN313">
        <f>IF(ISNUMBER(AM313),IF(AM313&gt;=99,IF(OR(U313=10,U313=11),MatchLabel,SureThingLabel),IF(AM313&gt;=95,SecureLabel,IF(AM313&gt;=80,SafetyLabel,IF(AM313&gt;=50,MatchLabel,IF(AM313&gt;=20,ReachLabel,IF(AM313&gt;=10,LongshotLabel,HailMaryLabel)))))),"Other")</f>
        <v>0</v>
      </c>
      <c r="AO313">
        <f>IF(OR(I313="accepted",I313="cond. accept",I313="summer admit"),IF(J313="yes","CHOICE!","Accepted!"),IF(I313="guar. transfer","Guar. Xfer",IF(I313="denied","Denied",IF(K313=1,"Waitlist",IF(L313=1,"Deferred",IF(G313="pending","Pending",IF(OR(G313="initial materials submitted",G313="mid-year submitted",G313="final submitted"),"Submitted",IF(H313="interest","Interest","?"))))))))</f>
        <v>0</v>
      </c>
      <c r="AP313">
        <f>IF(OR(AN313=ReachLabel,AN313=LongshotLabel,AN313=HailMaryLabel),1,0)</f>
        <v>0</v>
      </c>
      <c r="AQ313">
        <f>IF(OR(AP313=1,AN313=MatchLabel),1,0)</f>
        <v>0</v>
      </c>
      <c r="AR313">
        <f>IF(OR(AN313=MatchLabel,AN313=SafetyLabel,AN313=SecureLabel,AN313=SureThingLabel),1,0)</f>
        <v>0</v>
      </c>
      <c r="AS313">
        <f>IF(OR(W313="H",W313="B",W313="I",W313="M"),IF(ISNUMBER(AB313),ROUND(AB313,2),0),IF(ISNUMBER(AA313),ROUND(AA313,2),0))</f>
        <v>0</v>
      </c>
      <c r="AT313">
        <f>IF(AS313&gt;=X313,1,0)</f>
        <v>0</v>
      </c>
      <c r="AU313">
        <f>IF(AS313&gt;=Y313,1,0)</f>
        <v>0</v>
      </c>
      <c r="AV313">
        <f>IF(AS313&lt;(X313-0.10),1,0)</f>
        <v>0</v>
      </c>
      <c r="AW313">
        <f>1-AM313/100</f>
        <v>0</v>
      </c>
      <c r="AX313">
        <f>IF(AQ313=1,AW313,1)</f>
        <v>0</v>
      </c>
      <c r="AY313">
        <f>IF(AP313=1,AW313,1)</f>
        <v>0</v>
      </c>
      <c r="AZ313">
        <f>IF(AND(AT313=1,ISNUMBER(AW313)),$AW313,1)</f>
        <v>0</v>
      </c>
      <c r="BA313">
        <f>IF(AND(AU313=1,ISNUMBER(AW313)),$AW313,1)</f>
        <v>0</v>
      </c>
      <c r="BB313">
        <f>IF(ISNUMBER(AB313),INDEX(AllCollegeMoney, MATCH(N313,AllCollegeNCES,0)),0)</f>
        <v>0</v>
      </c>
      <c r="BC313">
        <f>IF(AND(AT313=1,ISNUMBER(AW313),BB313=1),$AW313,1)</f>
        <v>0</v>
      </c>
      <c r="BD313">
        <f>IF(AND(AU313=1,ISNUMBER(AW313),BB313=1),$AW313,1)</f>
        <v>0</v>
      </c>
      <c r="BE313">
        <f>IF(ISNUMBER(AB313),INDEX(AllCollegeILPub, MATCH(N313,AllCollegeNCES,0)),0)</f>
        <v>0</v>
      </c>
      <c r="BF313">
        <f>IF(AN313=ReachLabel,AS313,0)</f>
        <v>0</v>
      </c>
      <c r="BG313">
        <f>IF(AN313=MatchLabel,AS313,0)</f>
        <v>0</v>
      </c>
      <c r="BH313">
        <f>IF(AN313=SafetyLabel,AS313,0)</f>
        <v>0</v>
      </c>
      <c r="BI313">
        <f>IF(AN313=SecureLabel,AS313,0)</f>
        <v>0</v>
      </c>
      <c r="BJ313">
        <f>IF(AN313=SureThingLabel,AS313,0)</f>
        <v>0</v>
      </c>
      <c r="BK313">
        <f>MAX(BF313:BJ313)</f>
        <v>0</v>
      </c>
      <c r="BL313">
        <f>MAX(BG313:BJ313)</f>
        <v>0</v>
      </c>
      <c r="BM313">
        <f>MAX(BH313:BJ313)</f>
        <v>0</v>
      </c>
      <c r="BN313">
        <f>IF(AND(AN313=ReachLabel,BB313=1),AS313,0)</f>
        <v>0</v>
      </c>
      <c r="BO313">
        <f>IF(AND(AN313=MatchLabel,BB313=1),AS313,0)</f>
        <v>0</v>
      </c>
      <c r="BP313">
        <f>IF(AND(AN313=SafetyLabel,BB313=1),AS313,0)</f>
        <v>0</v>
      </c>
      <c r="BQ313">
        <f>IF(AND(AN313=SecureLabel,BB313=1),AS313,0)</f>
        <v>0</v>
      </c>
      <c r="BR313">
        <f>IF(AND(AN313=SureThingLabel,BB313=1),AS313,0)</f>
        <v>0</v>
      </c>
      <c r="BS313">
        <f>MAX(BN313:BR313)</f>
        <v>0</v>
      </c>
      <c r="BT313">
        <f>MAX(BO313:BR313)</f>
        <v>0</v>
      </c>
      <c r="BU313">
        <f>MAX(BP313:BR313)</f>
        <v>0</v>
      </c>
      <c r="BV313">
        <f>IF(ISNUMBER(AB313),INDEX(AllCollegeChicago, MATCH(N313,AllCollegeNCES,0))*BB313,0)</f>
        <v>0</v>
      </c>
      <c r="BW313">
        <f>IF(ISNUMBER(AB313),INDEX(AllCollegeMoneyCode, MATCH(N313,AllCollegeNCES,0)),"?")</f>
        <v>0</v>
      </c>
      <c r="BX313">
        <f>IF(OR(BW313="---",BW313="--",BW313="+/--",BW313="+/---"),1,0)</f>
        <v>0</v>
      </c>
      <c r="BY313">
        <f>BB313*AR313*AT313</f>
        <v>0</v>
      </c>
    </row>
    <row r="314" spans="1:77">
      <c r="A314" t="s">
        <v>96</v>
      </c>
      <c r="B314">
        <v>23107053</v>
      </c>
      <c r="C314" t="s">
        <v>267</v>
      </c>
      <c r="D314" t="s">
        <v>268</v>
      </c>
      <c r="E314" t="s">
        <v>446</v>
      </c>
      <c r="F314" t="s">
        <v>512</v>
      </c>
      <c r="G314" t="s">
        <v>448</v>
      </c>
      <c r="H314" t="s">
        <v>449</v>
      </c>
      <c r="I314" t="s">
        <v>450</v>
      </c>
      <c r="J314" t="s">
        <v>450</v>
      </c>
      <c r="K314">
        <v>0</v>
      </c>
      <c r="L314" t="s">
        <v>446</v>
      </c>
      <c r="M314" t="s">
        <v>446</v>
      </c>
      <c r="N314">
        <v>150400</v>
      </c>
      <c r="O314">
        <f>INDEX(Counselor,MATCH(B314,KidIDs,0))</f>
        <v>0</v>
      </c>
      <c r="P314">
        <f>INDEX(Advisors,MATCH(B314,KidIDs,0))</f>
        <v>0</v>
      </c>
      <c r="Q314">
        <f>INDEX(Cohort,MATCH(B314,KidIDs,0))</f>
        <v>0</v>
      </c>
      <c r="R314">
        <f>INDEX(AllCollegeBarrons,MATCH(N314,AllCollegeNCES,0))</f>
        <v>0</v>
      </c>
      <c r="S314">
        <f>INDEX(KidGPAs,MATCH(B314,KidIDs,0))</f>
        <v>0</v>
      </c>
      <c r="T314">
        <f>INDEX(KidSATs,MATCH(B314,KidIDs,0))</f>
        <v>0</v>
      </c>
      <c r="U314">
        <f>INDEX(Strats,MATCH(B314,KidIDs,0))</f>
        <v>0</v>
      </c>
      <c r="V314">
        <f>INDEX(KidRace,MATCH(B314,KidIDs,0))</f>
        <v>0</v>
      </c>
      <c r="W314">
        <f>IF(OR(V314="M",V314="I"),"H",IF(V314="P","A",V314))</f>
        <v>0</v>
      </c>
      <c r="X314">
        <f>INDEX(StudentTargets,MATCH(B314,KidIDs,0))</f>
        <v>0</v>
      </c>
      <c r="Y314">
        <f>INDEX(ReachStudentTargets,MATCH(B314,KidIDs,0))</f>
        <v>0</v>
      </c>
      <c r="Z314">
        <f>IF(OR(M314="Posse"),1,0)</f>
        <v>0</v>
      </c>
      <c r="AA314">
        <f>IF(ISNUMBER(INDEX(AllCollegeGR, MATCH(N314,AllCollegeNCES,0))),ROUND(INDEX(AllCollegeGR, MATCH(N314,AllCollegeNCES,0))+Z314*IF(INDEX(AllCollegeGR, MATCH(N314,AllCollegeNCES,0))&gt;0.7,(1-INDEX(AllCollegeGR, MATCH(N314,AllCollegeNCES,0)))/2,0.15),2),INDEX(AllCollegeGR, MATCH(N314,AllCollegeNCES,0)))</f>
        <v>0</v>
      </c>
      <c r="AB314">
        <f>IF(ISNUMBER(INDEX(AllCollegeAAHGR, MATCH(N314,AllCollegeNCES,0))),ROUND(INDEX(AllCollegeAAHGR, MATCH(N314,AllCollegeNCES,0))+Z314*IF(INDEX(AllCollegeAAHGR, MATCH(N314,AllCollegeNCES,0))&gt;0.7,(1-INDEX(AllCollegeAAHGR, MATCH(N314,AllCollegeNCES,0)))/2,0.15),2),INDEX(AllCollegeAAHGR, MATCH(N314,AllCollegeNCES,0)))</f>
        <v>0</v>
      </c>
      <c r="AC314">
        <f>IF(OR(W314="H",W314="B"),INDEX(AllCollegeSAT25, MATCH(N314,AllCollegeNCES,0)),INDEX(AllCollegeSAT50, MATCH(N314,AllCollegeNCES,0)))</f>
        <v>0</v>
      </c>
      <c r="AD314">
        <f>INDEX(CustomWeightsGPA,MATCH(W314&amp;":"&amp;N314,CustomWeightsIndex,0))</f>
        <v>0</v>
      </c>
      <c r="AE314">
        <f>INDEX(CustomWeightsSAT,MATCH(W314&amp;":"&amp;N314,CustomWeightsIndex,0))</f>
        <v>0</v>
      </c>
      <c r="AF314">
        <f>INDEX(CustomWeightsIntercept,MATCH(W314&amp;":"&amp;N314,CustomWeightsIndex,0))</f>
        <v>0</v>
      </c>
      <c r="AG314">
        <f>AD314*S314+AE314*T314+AF314</f>
        <v>0</v>
      </c>
      <c r="AH314">
        <f>INDEX(CoefficientsGPA,MATCH(W314&amp;":"&amp;R314,CoefficientsIndex,0))</f>
        <v>0</v>
      </c>
      <c r="AI314">
        <f>INDEX(CoefficientsSAT,MATCH(W314&amp;":"&amp;R314,CoefficientsIndex,0))</f>
        <v>0</v>
      </c>
      <c r="AJ314">
        <f>INDEX(CoefficientsIntercept,MATCH(W314&amp;":"&amp;R314,CoefficientsIndex,0))</f>
        <v>0</v>
      </c>
      <c r="AK314">
        <f>AH314*S314+(T314-AC314)*AI314+AJ314</f>
        <v>0</v>
      </c>
      <c r="AL314">
        <f>IF(ISNUMBER(AG314),AG314,AK314)</f>
        <v>0</v>
      </c>
      <c r="AM314">
        <f>IF(ISNUMBER(AL314),IF(ISNUMBER(AH314),IF(AND(AH314=1,AI314=1,AJ314=1),100,MIN(99,ROUND(100*EXP(AL314)/(1+EXP(AL314)),2))),MIN(99,ROUND(100*EXP(AL314)/(1+EXP(AL314)),2))),IF(ISTEXT(R314),IF(LEFT(R314,1)="2",100,"N/A"),"N/A"))</f>
        <v>0</v>
      </c>
      <c r="AN314">
        <f>IF(ISNUMBER(AM314),IF(AM314&gt;=99,IF(OR(U314=10,U314=11),MatchLabel,SureThingLabel),IF(AM314&gt;=95,SecureLabel,IF(AM314&gt;=80,SafetyLabel,IF(AM314&gt;=50,MatchLabel,IF(AM314&gt;=20,ReachLabel,IF(AM314&gt;=10,LongshotLabel,HailMaryLabel)))))),"Other")</f>
        <v>0</v>
      </c>
      <c r="AO314">
        <f>IF(OR(I314="accepted",I314="cond. accept",I314="summer admit"),IF(J314="yes","CHOICE!","Accepted!"),IF(I314="guar. transfer","Guar. Xfer",IF(I314="denied","Denied",IF(K314=1,"Waitlist",IF(L314=1,"Deferred",IF(G314="pending","Pending",IF(OR(G314="initial materials submitted",G314="mid-year submitted",G314="final submitted"),"Submitted",IF(H314="interest","Interest","?"))))))))</f>
        <v>0</v>
      </c>
      <c r="AP314">
        <f>IF(OR(AN314=ReachLabel,AN314=LongshotLabel,AN314=HailMaryLabel),1,0)</f>
        <v>0</v>
      </c>
      <c r="AQ314">
        <f>IF(OR(AP314=1,AN314=MatchLabel),1,0)</f>
        <v>0</v>
      </c>
      <c r="AR314">
        <f>IF(OR(AN314=MatchLabel,AN314=SafetyLabel,AN314=SecureLabel,AN314=SureThingLabel),1,0)</f>
        <v>0</v>
      </c>
      <c r="AS314">
        <f>IF(OR(W314="H",W314="B",W314="I",W314="M"),IF(ISNUMBER(AB314),ROUND(AB314,2),0),IF(ISNUMBER(AA314),ROUND(AA314,2),0))</f>
        <v>0</v>
      </c>
      <c r="AT314">
        <f>IF(AS314&gt;=X314,1,0)</f>
        <v>0</v>
      </c>
      <c r="AU314">
        <f>IF(AS314&gt;=Y314,1,0)</f>
        <v>0</v>
      </c>
      <c r="AV314">
        <f>IF(AS314&lt;(X314-0.10),1,0)</f>
        <v>0</v>
      </c>
      <c r="AW314">
        <f>1-AM314/100</f>
        <v>0</v>
      </c>
      <c r="AX314">
        <f>IF(AQ314=1,AW314,1)</f>
        <v>0</v>
      </c>
      <c r="AY314">
        <f>IF(AP314=1,AW314,1)</f>
        <v>0</v>
      </c>
      <c r="AZ314">
        <f>IF(AND(AT314=1,ISNUMBER(AW314)),$AW314,1)</f>
        <v>0</v>
      </c>
      <c r="BA314">
        <f>IF(AND(AU314=1,ISNUMBER(AW314)),$AW314,1)</f>
        <v>0</v>
      </c>
      <c r="BB314">
        <f>IF(ISNUMBER(AB314),INDEX(AllCollegeMoney, MATCH(N314,AllCollegeNCES,0)),0)</f>
        <v>0</v>
      </c>
      <c r="BC314">
        <f>IF(AND(AT314=1,ISNUMBER(AW314),BB314=1),$AW314,1)</f>
        <v>0</v>
      </c>
      <c r="BD314">
        <f>IF(AND(AU314=1,ISNUMBER(AW314),BB314=1),$AW314,1)</f>
        <v>0</v>
      </c>
      <c r="BE314">
        <f>IF(ISNUMBER(AB314),INDEX(AllCollegeILPub, MATCH(N314,AllCollegeNCES,0)),0)</f>
        <v>0</v>
      </c>
      <c r="BF314">
        <f>IF(AN314=ReachLabel,AS314,0)</f>
        <v>0</v>
      </c>
      <c r="BG314">
        <f>IF(AN314=MatchLabel,AS314,0)</f>
        <v>0</v>
      </c>
      <c r="BH314">
        <f>IF(AN314=SafetyLabel,AS314,0)</f>
        <v>0</v>
      </c>
      <c r="BI314">
        <f>IF(AN314=SecureLabel,AS314,0)</f>
        <v>0</v>
      </c>
      <c r="BJ314">
        <f>IF(AN314=SureThingLabel,AS314,0)</f>
        <v>0</v>
      </c>
      <c r="BK314">
        <f>MAX(BF314:BJ314)</f>
        <v>0</v>
      </c>
      <c r="BL314">
        <f>MAX(BG314:BJ314)</f>
        <v>0</v>
      </c>
      <c r="BM314">
        <f>MAX(BH314:BJ314)</f>
        <v>0</v>
      </c>
      <c r="BN314">
        <f>IF(AND(AN314=ReachLabel,BB314=1),AS314,0)</f>
        <v>0</v>
      </c>
      <c r="BO314">
        <f>IF(AND(AN314=MatchLabel,BB314=1),AS314,0)</f>
        <v>0</v>
      </c>
      <c r="BP314">
        <f>IF(AND(AN314=SafetyLabel,BB314=1),AS314,0)</f>
        <v>0</v>
      </c>
      <c r="BQ314">
        <f>IF(AND(AN314=SecureLabel,BB314=1),AS314,0)</f>
        <v>0</v>
      </c>
      <c r="BR314">
        <f>IF(AND(AN314=SureThingLabel,BB314=1),AS314,0)</f>
        <v>0</v>
      </c>
      <c r="BS314">
        <f>MAX(BN314:BR314)</f>
        <v>0</v>
      </c>
      <c r="BT314">
        <f>MAX(BO314:BR314)</f>
        <v>0</v>
      </c>
      <c r="BU314">
        <f>MAX(BP314:BR314)</f>
        <v>0</v>
      </c>
      <c r="BV314">
        <f>IF(ISNUMBER(AB314),INDEX(AllCollegeChicago, MATCH(N314,AllCollegeNCES,0))*BB314,0)</f>
        <v>0</v>
      </c>
      <c r="BW314">
        <f>IF(ISNUMBER(AB314),INDEX(AllCollegeMoneyCode, MATCH(N314,AllCollegeNCES,0)),"?")</f>
        <v>0</v>
      </c>
      <c r="BX314">
        <f>IF(OR(BW314="---",BW314="--",BW314="+/--",BW314="+/---"),1,0)</f>
        <v>0</v>
      </c>
      <c r="BY314">
        <f>BB314*AR314*AT314</f>
        <v>0</v>
      </c>
    </row>
    <row r="315" spans="1:77">
      <c r="A315" t="s">
        <v>96</v>
      </c>
      <c r="B315">
        <v>23107053</v>
      </c>
      <c r="C315" t="s">
        <v>267</v>
      </c>
      <c r="D315" t="s">
        <v>268</v>
      </c>
      <c r="E315" t="s">
        <v>446</v>
      </c>
      <c r="F315" t="s">
        <v>475</v>
      </c>
      <c r="G315" t="s">
        <v>448</v>
      </c>
      <c r="H315" t="s">
        <v>449</v>
      </c>
      <c r="I315" t="s">
        <v>450</v>
      </c>
      <c r="J315" t="s">
        <v>450</v>
      </c>
      <c r="K315">
        <v>0</v>
      </c>
      <c r="L315" t="s">
        <v>446</v>
      </c>
      <c r="M315" t="s">
        <v>446</v>
      </c>
      <c r="N315">
        <v>145637</v>
      </c>
      <c r="O315">
        <f>INDEX(Counselor,MATCH(B315,KidIDs,0))</f>
        <v>0</v>
      </c>
      <c r="P315">
        <f>INDEX(Advisors,MATCH(B315,KidIDs,0))</f>
        <v>0</v>
      </c>
      <c r="Q315">
        <f>INDEX(Cohort,MATCH(B315,KidIDs,0))</f>
        <v>0</v>
      </c>
      <c r="R315">
        <f>INDEX(AllCollegeBarrons,MATCH(N315,AllCollegeNCES,0))</f>
        <v>0</v>
      </c>
      <c r="S315">
        <f>INDEX(KidGPAs,MATCH(B315,KidIDs,0))</f>
        <v>0</v>
      </c>
      <c r="T315">
        <f>INDEX(KidSATs,MATCH(B315,KidIDs,0))</f>
        <v>0</v>
      </c>
      <c r="U315">
        <f>INDEX(Strats,MATCH(B315,KidIDs,0))</f>
        <v>0</v>
      </c>
      <c r="V315">
        <f>INDEX(KidRace,MATCH(B315,KidIDs,0))</f>
        <v>0</v>
      </c>
      <c r="W315">
        <f>IF(OR(V315="M",V315="I"),"H",IF(V315="P","A",V315))</f>
        <v>0</v>
      </c>
      <c r="X315">
        <f>INDEX(StudentTargets,MATCH(B315,KidIDs,0))</f>
        <v>0</v>
      </c>
      <c r="Y315">
        <f>INDEX(ReachStudentTargets,MATCH(B315,KidIDs,0))</f>
        <v>0</v>
      </c>
      <c r="Z315">
        <f>IF(OR(M315="Posse"),1,0)</f>
        <v>0</v>
      </c>
      <c r="AA315">
        <f>IF(ISNUMBER(INDEX(AllCollegeGR, MATCH(N315,AllCollegeNCES,0))),ROUND(INDEX(AllCollegeGR, MATCH(N315,AllCollegeNCES,0))+Z315*IF(INDEX(AllCollegeGR, MATCH(N315,AllCollegeNCES,0))&gt;0.7,(1-INDEX(AllCollegeGR, MATCH(N315,AllCollegeNCES,0)))/2,0.15),2),INDEX(AllCollegeGR, MATCH(N315,AllCollegeNCES,0)))</f>
        <v>0</v>
      </c>
      <c r="AB315">
        <f>IF(ISNUMBER(INDEX(AllCollegeAAHGR, MATCH(N315,AllCollegeNCES,0))),ROUND(INDEX(AllCollegeAAHGR, MATCH(N315,AllCollegeNCES,0))+Z315*IF(INDEX(AllCollegeAAHGR, MATCH(N315,AllCollegeNCES,0))&gt;0.7,(1-INDEX(AllCollegeAAHGR, MATCH(N315,AllCollegeNCES,0)))/2,0.15),2),INDEX(AllCollegeAAHGR, MATCH(N315,AllCollegeNCES,0)))</f>
        <v>0</v>
      </c>
      <c r="AC315">
        <f>IF(OR(W315="H",W315="B"),INDEX(AllCollegeSAT25, MATCH(N315,AllCollegeNCES,0)),INDEX(AllCollegeSAT50, MATCH(N315,AllCollegeNCES,0)))</f>
        <v>0</v>
      </c>
      <c r="AD315">
        <f>INDEX(CustomWeightsGPA,MATCH(W315&amp;":"&amp;N315,CustomWeightsIndex,0))</f>
        <v>0</v>
      </c>
      <c r="AE315">
        <f>INDEX(CustomWeightsSAT,MATCH(W315&amp;":"&amp;N315,CustomWeightsIndex,0))</f>
        <v>0</v>
      </c>
      <c r="AF315">
        <f>INDEX(CustomWeightsIntercept,MATCH(W315&amp;":"&amp;N315,CustomWeightsIndex,0))</f>
        <v>0</v>
      </c>
      <c r="AG315">
        <f>AD315*S315+AE315*T315+AF315</f>
        <v>0</v>
      </c>
      <c r="AH315">
        <f>INDEX(CoefficientsGPA,MATCH(W315&amp;":"&amp;R315,CoefficientsIndex,0))</f>
        <v>0</v>
      </c>
      <c r="AI315">
        <f>INDEX(CoefficientsSAT,MATCH(W315&amp;":"&amp;R315,CoefficientsIndex,0))</f>
        <v>0</v>
      </c>
      <c r="AJ315">
        <f>INDEX(CoefficientsIntercept,MATCH(W315&amp;":"&amp;R315,CoefficientsIndex,0))</f>
        <v>0</v>
      </c>
      <c r="AK315">
        <f>AH315*S315+(T315-AC315)*AI315+AJ315</f>
        <v>0</v>
      </c>
      <c r="AL315">
        <f>IF(ISNUMBER(AG315),AG315,AK315)</f>
        <v>0</v>
      </c>
      <c r="AM315">
        <f>IF(ISNUMBER(AL315),IF(ISNUMBER(AH315),IF(AND(AH315=1,AI315=1,AJ315=1),100,MIN(99,ROUND(100*EXP(AL315)/(1+EXP(AL315)),2))),MIN(99,ROUND(100*EXP(AL315)/(1+EXP(AL315)),2))),IF(ISTEXT(R315),IF(LEFT(R315,1)="2",100,"N/A"),"N/A"))</f>
        <v>0</v>
      </c>
      <c r="AN315">
        <f>IF(ISNUMBER(AM315),IF(AM315&gt;=99,IF(OR(U315=10,U315=11),MatchLabel,SureThingLabel),IF(AM315&gt;=95,SecureLabel,IF(AM315&gt;=80,SafetyLabel,IF(AM315&gt;=50,MatchLabel,IF(AM315&gt;=20,ReachLabel,IF(AM315&gt;=10,LongshotLabel,HailMaryLabel)))))),"Other")</f>
        <v>0</v>
      </c>
      <c r="AO315">
        <f>IF(OR(I315="accepted",I315="cond. accept",I315="summer admit"),IF(J315="yes","CHOICE!","Accepted!"),IF(I315="guar. transfer","Guar. Xfer",IF(I315="denied","Denied",IF(K315=1,"Waitlist",IF(L315=1,"Deferred",IF(G315="pending","Pending",IF(OR(G315="initial materials submitted",G315="mid-year submitted",G315="final submitted"),"Submitted",IF(H315="interest","Interest","?"))))))))</f>
        <v>0</v>
      </c>
      <c r="AP315">
        <f>IF(OR(AN315=ReachLabel,AN315=LongshotLabel,AN315=HailMaryLabel),1,0)</f>
        <v>0</v>
      </c>
      <c r="AQ315">
        <f>IF(OR(AP315=1,AN315=MatchLabel),1,0)</f>
        <v>0</v>
      </c>
      <c r="AR315">
        <f>IF(OR(AN315=MatchLabel,AN315=SafetyLabel,AN315=SecureLabel,AN315=SureThingLabel),1,0)</f>
        <v>0</v>
      </c>
      <c r="AS315">
        <f>IF(OR(W315="H",W315="B",W315="I",W315="M"),IF(ISNUMBER(AB315),ROUND(AB315,2),0),IF(ISNUMBER(AA315),ROUND(AA315,2),0))</f>
        <v>0</v>
      </c>
      <c r="AT315">
        <f>IF(AS315&gt;=X315,1,0)</f>
        <v>0</v>
      </c>
      <c r="AU315">
        <f>IF(AS315&gt;=Y315,1,0)</f>
        <v>0</v>
      </c>
      <c r="AV315">
        <f>IF(AS315&lt;(X315-0.10),1,0)</f>
        <v>0</v>
      </c>
      <c r="AW315">
        <f>1-AM315/100</f>
        <v>0</v>
      </c>
      <c r="AX315">
        <f>IF(AQ315=1,AW315,1)</f>
        <v>0</v>
      </c>
      <c r="AY315">
        <f>IF(AP315=1,AW315,1)</f>
        <v>0</v>
      </c>
      <c r="AZ315">
        <f>IF(AND(AT315=1,ISNUMBER(AW315)),$AW315,1)</f>
        <v>0</v>
      </c>
      <c r="BA315">
        <f>IF(AND(AU315=1,ISNUMBER(AW315)),$AW315,1)</f>
        <v>0</v>
      </c>
      <c r="BB315">
        <f>IF(ISNUMBER(AB315),INDEX(AllCollegeMoney, MATCH(N315,AllCollegeNCES,0)),0)</f>
        <v>0</v>
      </c>
      <c r="BC315">
        <f>IF(AND(AT315=1,ISNUMBER(AW315),BB315=1),$AW315,1)</f>
        <v>0</v>
      </c>
      <c r="BD315">
        <f>IF(AND(AU315=1,ISNUMBER(AW315),BB315=1),$AW315,1)</f>
        <v>0</v>
      </c>
      <c r="BE315">
        <f>IF(ISNUMBER(AB315),INDEX(AllCollegeILPub, MATCH(N315,AllCollegeNCES,0)),0)</f>
        <v>0</v>
      </c>
      <c r="BF315">
        <f>IF(AN315=ReachLabel,AS315,0)</f>
        <v>0</v>
      </c>
      <c r="BG315">
        <f>IF(AN315=MatchLabel,AS315,0)</f>
        <v>0</v>
      </c>
      <c r="BH315">
        <f>IF(AN315=SafetyLabel,AS315,0)</f>
        <v>0</v>
      </c>
      <c r="BI315">
        <f>IF(AN315=SecureLabel,AS315,0)</f>
        <v>0</v>
      </c>
      <c r="BJ315">
        <f>IF(AN315=SureThingLabel,AS315,0)</f>
        <v>0</v>
      </c>
      <c r="BK315">
        <f>MAX(BF315:BJ315)</f>
        <v>0</v>
      </c>
      <c r="BL315">
        <f>MAX(BG315:BJ315)</f>
        <v>0</v>
      </c>
      <c r="BM315">
        <f>MAX(BH315:BJ315)</f>
        <v>0</v>
      </c>
      <c r="BN315">
        <f>IF(AND(AN315=ReachLabel,BB315=1),AS315,0)</f>
        <v>0</v>
      </c>
      <c r="BO315">
        <f>IF(AND(AN315=MatchLabel,BB315=1),AS315,0)</f>
        <v>0</v>
      </c>
      <c r="BP315">
        <f>IF(AND(AN315=SafetyLabel,BB315=1),AS315,0)</f>
        <v>0</v>
      </c>
      <c r="BQ315">
        <f>IF(AND(AN315=SecureLabel,BB315=1),AS315,0)</f>
        <v>0</v>
      </c>
      <c r="BR315">
        <f>IF(AND(AN315=SureThingLabel,BB315=1),AS315,0)</f>
        <v>0</v>
      </c>
      <c r="BS315">
        <f>MAX(BN315:BR315)</f>
        <v>0</v>
      </c>
      <c r="BT315">
        <f>MAX(BO315:BR315)</f>
        <v>0</v>
      </c>
      <c r="BU315">
        <f>MAX(BP315:BR315)</f>
        <v>0</v>
      </c>
      <c r="BV315">
        <f>IF(ISNUMBER(AB315),INDEX(AllCollegeChicago, MATCH(N315,AllCollegeNCES,0))*BB315,0)</f>
        <v>0</v>
      </c>
      <c r="BW315">
        <f>IF(ISNUMBER(AB315),INDEX(AllCollegeMoneyCode, MATCH(N315,AllCollegeNCES,0)),"?")</f>
        <v>0</v>
      </c>
      <c r="BX315">
        <f>IF(OR(BW315="---",BW315="--",BW315="+/--",BW315="+/---"),1,0)</f>
        <v>0</v>
      </c>
      <c r="BY315">
        <f>BB315*AR315*AT315</f>
        <v>0</v>
      </c>
    </row>
    <row r="316" spans="1:77">
      <c r="A316" t="s">
        <v>96</v>
      </c>
      <c r="B316">
        <v>23107053</v>
      </c>
      <c r="C316" t="s">
        <v>267</v>
      </c>
      <c r="D316" t="s">
        <v>268</v>
      </c>
      <c r="E316" t="s">
        <v>446</v>
      </c>
      <c r="F316" t="s">
        <v>524</v>
      </c>
      <c r="G316" t="s">
        <v>448</v>
      </c>
      <c r="H316" t="s">
        <v>449</v>
      </c>
      <c r="I316" t="s">
        <v>450</v>
      </c>
      <c r="J316" t="s">
        <v>450</v>
      </c>
      <c r="K316">
        <v>0</v>
      </c>
      <c r="L316" t="s">
        <v>446</v>
      </c>
      <c r="M316" t="s">
        <v>446</v>
      </c>
      <c r="N316">
        <v>236595</v>
      </c>
      <c r="O316">
        <f>INDEX(Counselor,MATCH(B316,KidIDs,0))</f>
        <v>0</v>
      </c>
      <c r="P316">
        <f>INDEX(Advisors,MATCH(B316,KidIDs,0))</f>
        <v>0</v>
      </c>
      <c r="Q316">
        <f>INDEX(Cohort,MATCH(B316,KidIDs,0))</f>
        <v>0</v>
      </c>
      <c r="R316">
        <f>INDEX(AllCollegeBarrons,MATCH(N316,AllCollegeNCES,0))</f>
        <v>0</v>
      </c>
      <c r="S316">
        <f>INDEX(KidGPAs,MATCH(B316,KidIDs,0))</f>
        <v>0</v>
      </c>
      <c r="T316">
        <f>INDEX(KidSATs,MATCH(B316,KidIDs,0))</f>
        <v>0</v>
      </c>
      <c r="U316">
        <f>INDEX(Strats,MATCH(B316,KidIDs,0))</f>
        <v>0</v>
      </c>
      <c r="V316">
        <f>INDEX(KidRace,MATCH(B316,KidIDs,0))</f>
        <v>0</v>
      </c>
      <c r="W316">
        <f>IF(OR(V316="M",V316="I"),"H",IF(V316="P","A",V316))</f>
        <v>0</v>
      </c>
      <c r="X316">
        <f>INDEX(StudentTargets,MATCH(B316,KidIDs,0))</f>
        <v>0</v>
      </c>
      <c r="Y316">
        <f>INDEX(ReachStudentTargets,MATCH(B316,KidIDs,0))</f>
        <v>0</v>
      </c>
      <c r="Z316">
        <f>IF(OR(M316="Posse"),1,0)</f>
        <v>0</v>
      </c>
      <c r="AA316">
        <f>IF(ISNUMBER(INDEX(AllCollegeGR, MATCH(N316,AllCollegeNCES,0))),ROUND(INDEX(AllCollegeGR, MATCH(N316,AllCollegeNCES,0))+Z316*IF(INDEX(AllCollegeGR, MATCH(N316,AllCollegeNCES,0))&gt;0.7,(1-INDEX(AllCollegeGR, MATCH(N316,AllCollegeNCES,0)))/2,0.15),2),INDEX(AllCollegeGR, MATCH(N316,AllCollegeNCES,0)))</f>
        <v>0</v>
      </c>
      <c r="AB316">
        <f>IF(ISNUMBER(INDEX(AllCollegeAAHGR, MATCH(N316,AllCollegeNCES,0))),ROUND(INDEX(AllCollegeAAHGR, MATCH(N316,AllCollegeNCES,0))+Z316*IF(INDEX(AllCollegeAAHGR, MATCH(N316,AllCollegeNCES,0))&gt;0.7,(1-INDEX(AllCollegeAAHGR, MATCH(N316,AllCollegeNCES,0)))/2,0.15),2),INDEX(AllCollegeAAHGR, MATCH(N316,AllCollegeNCES,0)))</f>
        <v>0</v>
      </c>
      <c r="AC316">
        <f>IF(OR(W316="H",W316="B"),INDEX(AllCollegeSAT25, MATCH(N316,AllCollegeNCES,0)),INDEX(AllCollegeSAT50, MATCH(N316,AllCollegeNCES,0)))</f>
        <v>0</v>
      </c>
      <c r="AD316">
        <f>INDEX(CustomWeightsGPA,MATCH(W316&amp;":"&amp;N316,CustomWeightsIndex,0))</f>
        <v>0</v>
      </c>
      <c r="AE316">
        <f>INDEX(CustomWeightsSAT,MATCH(W316&amp;":"&amp;N316,CustomWeightsIndex,0))</f>
        <v>0</v>
      </c>
      <c r="AF316">
        <f>INDEX(CustomWeightsIntercept,MATCH(W316&amp;":"&amp;N316,CustomWeightsIndex,0))</f>
        <v>0</v>
      </c>
      <c r="AG316">
        <f>AD316*S316+AE316*T316+AF316</f>
        <v>0</v>
      </c>
      <c r="AH316">
        <f>INDEX(CoefficientsGPA,MATCH(W316&amp;":"&amp;R316,CoefficientsIndex,0))</f>
        <v>0</v>
      </c>
      <c r="AI316">
        <f>INDEX(CoefficientsSAT,MATCH(W316&amp;":"&amp;R316,CoefficientsIndex,0))</f>
        <v>0</v>
      </c>
      <c r="AJ316">
        <f>INDEX(CoefficientsIntercept,MATCH(W316&amp;":"&amp;R316,CoefficientsIndex,0))</f>
        <v>0</v>
      </c>
      <c r="AK316">
        <f>AH316*S316+(T316-AC316)*AI316+AJ316</f>
        <v>0</v>
      </c>
      <c r="AL316">
        <f>IF(ISNUMBER(AG316),AG316,AK316)</f>
        <v>0</v>
      </c>
      <c r="AM316">
        <f>IF(ISNUMBER(AL316),IF(ISNUMBER(AH316),IF(AND(AH316=1,AI316=1,AJ316=1),100,MIN(99,ROUND(100*EXP(AL316)/(1+EXP(AL316)),2))),MIN(99,ROUND(100*EXP(AL316)/(1+EXP(AL316)),2))),IF(ISTEXT(R316),IF(LEFT(R316,1)="2",100,"N/A"),"N/A"))</f>
        <v>0</v>
      </c>
      <c r="AN316">
        <f>IF(ISNUMBER(AM316),IF(AM316&gt;=99,IF(OR(U316=10,U316=11),MatchLabel,SureThingLabel),IF(AM316&gt;=95,SecureLabel,IF(AM316&gt;=80,SafetyLabel,IF(AM316&gt;=50,MatchLabel,IF(AM316&gt;=20,ReachLabel,IF(AM316&gt;=10,LongshotLabel,HailMaryLabel)))))),"Other")</f>
        <v>0</v>
      </c>
      <c r="AO316">
        <f>IF(OR(I316="accepted",I316="cond. accept",I316="summer admit"),IF(J316="yes","CHOICE!","Accepted!"),IF(I316="guar. transfer","Guar. Xfer",IF(I316="denied","Denied",IF(K316=1,"Waitlist",IF(L316=1,"Deferred",IF(G316="pending","Pending",IF(OR(G316="initial materials submitted",G316="mid-year submitted",G316="final submitted"),"Submitted",IF(H316="interest","Interest","?"))))))))</f>
        <v>0</v>
      </c>
      <c r="AP316">
        <f>IF(OR(AN316=ReachLabel,AN316=LongshotLabel,AN316=HailMaryLabel),1,0)</f>
        <v>0</v>
      </c>
      <c r="AQ316">
        <f>IF(OR(AP316=1,AN316=MatchLabel),1,0)</f>
        <v>0</v>
      </c>
      <c r="AR316">
        <f>IF(OR(AN316=MatchLabel,AN316=SafetyLabel,AN316=SecureLabel,AN316=SureThingLabel),1,0)</f>
        <v>0</v>
      </c>
      <c r="AS316">
        <f>IF(OR(W316="H",W316="B",W316="I",W316="M"),IF(ISNUMBER(AB316),ROUND(AB316,2),0),IF(ISNUMBER(AA316),ROUND(AA316,2),0))</f>
        <v>0</v>
      </c>
      <c r="AT316">
        <f>IF(AS316&gt;=X316,1,0)</f>
        <v>0</v>
      </c>
      <c r="AU316">
        <f>IF(AS316&gt;=Y316,1,0)</f>
        <v>0</v>
      </c>
      <c r="AV316">
        <f>IF(AS316&lt;(X316-0.10),1,0)</f>
        <v>0</v>
      </c>
      <c r="AW316">
        <f>1-AM316/100</f>
        <v>0</v>
      </c>
      <c r="AX316">
        <f>IF(AQ316=1,AW316,1)</f>
        <v>0</v>
      </c>
      <c r="AY316">
        <f>IF(AP316=1,AW316,1)</f>
        <v>0</v>
      </c>
      <c r="AZ316">
        <f>IF(AND(AT316=1,ISNUMBER(AW316)),$AW316,1)</f>
        <v>0</v>
      </c>
      <c r="BA316">
        <f>IF(AND(AU316=1,ISNUMBER(AW316)),$AW316,1)</f>
        <v>0</v>
      </c>
      <c r="BB316">
        <f>IF(ISNUMBER(AB316),INDEX(AllCollegeMoney, MATCH(N316,AllCollegeNCES,0)),0)</f>
        <v>0</v>
      </c>
      <c r="BC316">
        <f>IF(AND(AT316=1,ISNUMBER(AW316),BB316=1),$AW316,1)</f>
        <v>0</v>
      </c>
      <c r="BD316">
        <f>IF(AND(AU316=1,ISNUMBER(AW316),BB316=1),$AW316,1)</f>
        <v>0</v>
      </c>
      <c r="BE316">
        <f>IF(ISNUMBER(AB316),INDEX(AllCollegeILPub, MATCH(N316,AllCollegeNCES,0)),0)</f>
        <v>0</v>
      </c>
      <c r="BF316">
        <f>IF(AN316=ReachLabel,AS316,0)</f>
        <v>0</v>
      </c>
      <c r="BG316">
        <f>IF(AN316=MatchLabel,AS316,0)</f>
        <v>0</v>
      </c>
      <c r="BH316">
        <f>IF(AN316=SafetyLabel,AS316,0)</f>
        <v>0</v>
      </c>
      <c r="BI316">
        <f>IF(AN316=SecureLabel,AS316,0)</f>
        <v>0</v>
      </c>
      <c r="BJ316">
        <f>IF(AN316=SureThingLabel,AS316,0)</f>
        <v>0</v>
      </c>
      <c r="BK316">
        <f>MAX(BF316:BJ316)</f>
        <v>0</v>
      </c>
      <c r="BL316">
        <f>MAX(BG316:BJ316)</f>
        <v>0</v>
      </c>
      <c r="BM316">
        <f>MAX(BH316:BJ316)</f>
        <v>0</v>
      </c>
      <c r="BN316">
        <f>IF(AND(AN316=ReachLabel,BB316=1),AS316,0)</f>
        <v>0</v>
      </c>
      <c r="BO316">
        <f>IF(AND(AN316=MatchLabel,BB316=1),AS316,0)</f>
        <v>0</v>
      </c>
      <c r="BP316">
        <f>IF(AND(AN316=SafetyLabel,BB316=1),AS316,0)</f>
        <v>0</v>
      </c>
      <c r="BQ316">
        <f>IF(AND(AN316=SecureLabel,BB316=1),AS316,0)</f>
        <v>0</v>
      </c>
      <c r="BR316">
        <f>IF(AND(AN316=SureThingLabel,BB316=1),AS316,0)</f>
        <v>0</v>
      </c>
      <c r="BS316">
        <f>MAX(BN316:BR316)</f>
        <v>0</v>
      </c>
      <c r="BT316">
        <f>MAX(BO316:BR316)</f>
        <v>0</v>
      </c>
      <c r="BU316">
        <f>MAX(BP316:BR316)</f>
        <v>0</v>
      </c>
      <c r="BV316">
        <f>IF(ISNUMBER(AB316),INDEX(AllCollegeChicago, MATCH(N316,AllCollegeNCES,0))*BB316,0)</f>
        <v>0</v>
      </c>
      <c r="BW316">
        <f>IF(ISNUMBER(AB316),INDEX(AllCollegeMoneyCode, MATCH(N316,AllCollegeNCES,0)),"?")</f>
        <v>0</v>
      </c>
      <c r="BX316">
        <f>IF(OR(BW316="---",BW316="--",BW316="+/--",BW316="+/---"),1,0)</f>
        <v>0</v>
      </c>
      <c r="BY316">
        <f>BB316*AR316*AT316</f>
        <v>0</v>
      </c>
    </row>
    <row r="317" spans="1:77">
      <c r="A317" t="s">
        <v>96</v>
      </c>
      <c r="B317">
        <v>23107053</v>
      </c>
      <c r="C317" t="s">
        <v>267</v>
      </c>
      <c r="D317" t="s">
        <v>268</v>
      </c>
      <c r="E317" t="s">
        <v>446</v>
      </c>
      <c r="F317" t="s">
        <v>447</v>
      </c>
      <c r="G317" t="s">
        <v>448</v>
      </c>
      <c r="H317" t="s">
        <v>449</v>
      </c>
      <c r="I317" t="s">
        <v>450</v>
      </c>
      <c r="J317" t="s">
        <v>450</v>
      </c>
      <c r="K317">
        <v>0</v>
      </c>
      <c r="L317" t="s">
        <v>446</v>
      </c>
      <c r="M317" t="s">
        <v>446</v>
      </c>
      <c r="N317">
        <v>148496</v>
      </c>
      <c r="O317">
        <f>INDEX(Counselor,MATCH(B317,KidIDs,0))</f>
        <v>0</v>
      </c>
      <c r="P317">
        <f>INDEX(Advisors,MATCH(B317,KidIDs,0))</f>
        <v>0</v>
      </c>
      <c r="Q317">
        <f>INDEX(Cohort,MATCH(B317,KidIDs,0))</f>
        <v>0</v>
      </c>
      <c r="R317">
        <f>INDEX(AllCollegeBarrons,MATCH(N317,AllCollegeNCES,0))</f>
        <v>0</v>
      </c>
      <c r="S317">
        <f>INDEX(KidGPAs,MATCH(B317,KidIDs,0))</f>
        <v>0</v>
      </c>
      <c r="T317">
        <f>INDEX(KidSATs,MATCH(B317,KidIDs,0))</f>
        <v>0</v>
      </c>
      <c r="U317">
        <f>INDEX(Strats,MATCH(B317,KidIDs,0))</f>
        <v>0</v>
      </c>
      <c r="V317">
        <f>INDEX(KidRace,MATCH(B317,KidIDs,0))</f>
        <v>0</v>
      </c>
      <c r="W317">
        <f>IF(OR(V317="M",V317="I"),"H",IF(V317="P","A",V317))</f>
        <v>0</v>
      </c>
      <c r="X317">
        <f>INDEX(StudentTargets,MATCH(B317,KidIDs,0))</f>
        <v>0</v>
      </c>
      <c r="Y317">
        <f>INDEX(ReachStudentTargets,MATCH(B317,KidIDs,0))</f>
        <v>0</v>
      </c>
      <c r="Z317">
        <f>IF(OR(M317="Posse"),1,0)</f>
        <v>0</v>
      </c>
      <c r="AA317">
        <f>IF(ISNUMBER(INDEX(AllCollegeGR, MATCH(N317,AllCollegeNCES,0))),ROUND(INDEX(AllCollegeGR, MATCH(N317,AllCollegeNCES,0))+Z317*IF(INDEX(AllCollegeGR, MATCH(N317,AllCollegeNCES,0))&gt;0.7,(1-INDEX(AllCollegeGR, MATCH(N317,AllCollegeNCES,0)))/2,0.15),2),INDEX(AllCollegeGR, MATCH(N317,AllCollegeNCES,0)))</f>
        <v>0</v>
      </c>
      <c r="AB317">
        <f>IF(ISNUMBER(INDEX(AllCollegeAAHGR, MATCH(N317,AllCollegeNCES,0))),ROUND(INDEX(AllCollegeAAHGR, MATCH(N317,AllCollegeNCES,0))+Z317*IF(INDEX(AllCollegeAAHGR, MATCH(N317,AllCollegeNCES,0))&gt;0.7,(1-INDEX(AllCollegeAAHGR, MATCH(N317,AllCollegeNCES,0)))/2,0.15),2),INDEX(AllCollegeAAHGR, MATCH(N317,AllCollegeNCES,0)))</f>
        <v>0</v>
      </c>
      <c r="AC317">
        <f>IF(OR(W317="H",W317="B"),INDEX(AllCollegeSAT25, MATCH(N317,AllCollegeNCES,0)),INDEX(AllCollegeSAT50, MATCH(N317,AllCollegeNCES,0)))</f>
        <v>0</v>
      </c>
      <c r="AD317">
        <f>INDEX(CustomWeightsGPA,MATCH(W317&amp;":"&amp;N317,CustomWeightsIndex,0))</f>
        <v>0</v>
      </c>
      <c r="AE317">
        <f>INDEX(CustomWeightsSAT,MATCH(W317&amp;":"&amp;N317,CustomWeightsIndex,0))</f>
        <v>0</v>
      </c>
      <c r="AF317">
        <f>INDEX(CustomWeightsIntercept,MATCH(W317&amp;":"&amp;N317,CustomWeightsIndex,0))</f>
        <v>0</v>
      </c>
      <c r="AG317">
        <f>AD317*S317+AE317*T317+AF317</f>
        <v>0</v>
      </c>
      <c r="AH317">
        <f>INDEX(CoefficientsGPA,MATCH(W317&amp;":"&amp;R317,CoefficientsIndex,0))</f>
        <v>0</v>
      </c>
      <c r="AI317">
        <f>INDEX(CoefficientsSAT,MATCH(W317&amp;":"&amp;R317,CoefficientsIndex,0))</f>
        <v>0</v>
      </c>
      <c r="AJ317">
        <f>INDEX(CoefficientsIntercept,MATCH(W317&amp;":"&amp;R317,CoefficientsIndex,0))</f>
        <v>0</v>
      </c>
      <c r="AK317">
        <f>AH317*S317+(T317-AC317)*AI317+AJ317</f>
        <v>0</v>
      </c>
      <c r="AL317">
        <f>IF(ISNUMBER(AG317),AG317,AK317)</f>
        <v>0</v>
      </c>
      <c r="AM317">
        <f>IF(ISNUMBER(AL317),IF(ISNUMBER(AH317),IF(AND(AH317=1,AI317=1,AJ317=1),100,MIN(99,ROUND(100*EXP(AL317)/(1+EXP(AL317)),2))),MIN(99,ROUND(100*EXP(AL317)/(1+EXP(AL317)),2))),IF(ISTEXT(R317),IF(LEFT(R317,1)="2",100,"N/A"),"N/A"))</f>
        <v>0</v>
      </c>
      <c r="AN317">
        <f>IF(ISNUMBER(AM317),IF(AM317&gt;=99,IF(OR(U317=10,U317=11),MatchLabel,SureThingLabel),IF(AM317&gt;=95,SecureLabel,IF(AM317&gt;=80,SafetyLabel,IF(AM317&gt;=50,MatchLabel,IF(AM317&gt;=20,ReachLabel,IF(AM317&gt;=10,LongshotLabel,HailMaryLabel)))))),"Other")</f>
        <v>0</v>
      </c>
      <c r="AO317">
        <f>IF(OR(I317="accepted",I317="cond. accept",I317="summer admit"),IF(J317="yes","CHOICE!","Accepted!"),IF(I317="guar. transfer","Guar. Xfer",IF(I317="denied","Denied",IF(K317=1,"Waitlist",IF(L317=1,"Deferred",IF(G317="pending","Pending",IF(OR(G317="initial materials submitted",G317="mid-year submitted",G317="final submitted"),"Submitted",IF(H317="interest","Interest","?"))))))))</f>
        <v>0</v>
      </c>
      <c r="AP317">
        <f>IF(OR(AN317=ReachLabel,AN317=LongshotLabel,AN317=HailMaryLabel),1,0)</f>
        <v>0</v>
      </c>
      <c r="AQ317">
        <f>IF(OR(AP317=1,AN317=MatchLabel),1,0)</f>
        <v>0</v>
      </c>
      <c r="AR317">
        <f>IF(OR(AN317=MatchLabel,AN317=SafetyLabel,AN317=SecureLabel,AN317=SureThingLabel),1,0)</f>
        <v>0</v>
      </c>
      <c r="AS317">
        <f>IF(OR(W317="H",W317="B",W317="I",W317="M"),IF(ISNUMBER(AB317),ROUND(AB317,2),0),IF(ISNUMBER(AA317),ROUND(AA317,2),0))</f>
        <v>0</v>
      </c>
      <c r="AT317">
        <f>IF(AS317&gt;=X317,1,0)</f>
        <v>0</v>
      </c>
      <c r="AU317">
        <f>IF(AS317&gt;=Y317,1,0)</f>
        <v>0</v>
      </c>
      <c r="AV317">
        <f>IF(AS317&lt;(X317-0.10),1,0)</f>
        <v>0</v>
      </c>
      <c r="AW317">
        <f>1-AM317/100</f>
        <v>0</v>
      </c>
      <c r="AX317">
        <f>IF(AQ317=1,AW317,1)</f>
        <v>0</v>
      </c>
      <c r="AY317">
        <f>IF(AP317=1,AW317,1)</f>
        <v>0</v>
      </c>
      <c r="AZ317">
        <f>IF(AND(AT317=1,ISNUMBER(AW317)),$AW317,1)</f>
        <v>0</v>
      </c>
      <c r="BA317">
        <f>IF(AND(AU317=1,ISNUMBER(AW317)),$AW317,1)</f>
        <v>0</v>
      </c>
      <c r="BB317">
        <f>IF(ISNUMBER(AB317),INDEX(AllCollegeMoney, MATCH(N317,AllCollegeNCES,0)),0)</f>
        <v>0</v>
      </c>
      <c r="BC317">
        <f>IF(AND(AT317=1,ISNUMBER(AW317),BB317=1),$AW317,1)</f>
        <v>0</v>
      </c>
      <c r="BD317">
        <f>IF(AND(AU317=1,ISNUMBER(AW317),BB317=1),$AW317,1)</f>
        <v>0</v>
      </c>
      <c r="BE317">
        <f>IF(ISNUMBER(AB317),INDEX(AllCollegeILPub, MATCH(N317,AllCollegeNCES,0)),0)</f>
        <v>0</v>
      </c>
      <c r="BF317">
        <f>IF(AN317=ReachLabel,AS317,0)</f>
        <v>0</v>
      </c>
      <c r="BG317">
        <f>IF(AN317=MatchLabel,AS317,0)</f>
        <v>0</v>
      </c>
      <c r="BH317">
        <f>IF(AN317=SafetyLabel,AS317,0)</f>
        <v>0</v>
      </c>
      <c r="BI317">
        <f>IF(AN317=SecureLabel,AS317,0)</f>
        <v>0</v>
      </c>
      <c r="BJ317">
        <f>IF(AN317=SureThingLabel,AS317,0)</f>
        <v>0</v>
      </c>
      <c r="BK317">
        <f>MAX(BF317:BJ317)</f>
        <v>0</v>
      </c>
      <c r="BL317">
        <f>MAX(BG317:BJ317)</f>
        <v>0</v>
      </c>
      <c r="BM317">
        <f>MAX(BH317:BJ317)</f>
        <v>0</v>
      </c>
      <c r="BN317">
        <f>IF(AND(AN317=ReachLabel,BB317=1),AS317,0)</f>
        <v>0</v>
      </c>
      <c r="BO317">
        <f>IF(AND(AN317=MatchLabel,BB317=1),AS317,0)</f>
        <v>0</v>
      </c>
      <c r="BP317">
        <f>IF(AND(AN317=SafetyLabel,BB317=1),AS317,0)</f>
        <v>0</v>
      </c>
      <c r="BQ317">
        <f>IF(AND(AN317=SecureLabel,BB317=1),AS317,0)</f>
        <v>0</v>
      </c>
      <c r="BR317">
        <f>IF(AND(AN317=SureThingLabel,BB317=1),AS317,0)</f>
        <v>0</v>
      </c>
      <c r="BS317">
        <f>MAX(BN317:BR317)</f>
        <v>0</v>
      </c>
      <c r="BT317">
        <f>MAX(BO317:BR317)</f>
        <v>0</v>
      </c>
      <c r="BU317">
        <f>MAX(BP317:BR317)</f>
        <v>0</v>
      </c>
      <c r="BV317">
        <f>IF(ISNUMBER(AB317),INDEX(AllCollegeChicago, MATCH(N317,AllCollegeNCES,0))*BB317,0)</f>
        <v>0</v>
      </c>
      <c r="BW317">
        <f>IF(ISNUMBER(AB317),INDEX(AllCollegeMoneyCode, MATCH(N317,AllCollegeNCES,0)),"?")</f>
        <v>0</v>
      </c>
      <c r="BX317">
        <f>IF(OR(BW317="---",BW317="--",BW317="+/--",BW317="+/---"),1,0)</f>
        <v>0</v>
      </c>
      <c r="BY317">
        <f>BB317*AR317*AT317</f>
        <v>0</v>
      </c>
    </row>
    <row r="318" spans="1:77">
      <c r="A318" t="s">
        <v>96</v>
      </c>
      <c r="B318">
        <v>23107053</v>
      </c>
      <c r="C318" t="s">
        <v>267</v>
      </c>
      <c r="D318" t="s">
        <v>268</v>
      </c>
      <c r="E318" t="s">
        <v>446</v>
      </c>
      <c r="F318" t="s">
        <v>535</v>
      </c>
      <c r="G318" t="s">
        <v>448</v>
      </c>
      <c r="H318" t="s">
        <v>449</v>
      </c>
      <c r="I318" t="s">
        <v>450</v>
      </c>
      <c r="J318" t="s">
        <v>450</v>
      </c>
      <c r="K318">
        <v>0</v>
      </c>
      <c r="L318" t="s">
        <v>446</v>
      </c>
      <c r="M318" t="s">
        <v>446</v>
      </c>
      <c r="N318">
        <v>146719</v>
      </c>
      <c r="O318">
        <f>INDEX(Counselor,MATCH(B318,KidIDs,0))</f>
        <v>0</v>
      </c>
      <c r="P318">
        <f>INDEX(Advisors,MATCH(B318,KidIDs,0))</f>
        <v>0</v>
      </c>
      <c r="Q318">
        <f>INDEX(Cohort,MATCH(B318,KidIDs,0))</f>
        <v>0</v>
      </c>
      <c r="R318">
        <f>INDEX(AllCollegeBarrons,MATCH(N318,AllCollegeNCES,0))</f>
        <v>0</v>
      </c>
      <c r="S318">
        <f>INDEX(KidGPAs,MATCH(B318,KidIDs,0))</f>
        <v>0</v>
      </c>
      <c r="T318">
        <f>INDEX(KidSATs,MATCH(B318,KidIDs,0))</f>
        <v>0</v>
      </c>
      <c r="U318">
        <f>INDEX(Strats,MATCH(B318,KidIDs,0))</f>
        <v>0</v>
      </c>
      <c r="V318">
        <f>INDEX(KidRace,MATCH(B318,KidIDs,0))</f>
        <v>0</v>
      </c>
      <c r="W318">
        <f>IF(OR(V318="M",V318="I"),"H",IF(V318="P","A",V318))</f>
        <v>0</v>
      </c>
      <c r="X318">
        <f>INDEX(StudentTargets,MATCH(B318,KidIDs,0))</f>
        <v>0</v>
      </c>
      <c r="Y318">
        <f>INDEX(ReachStudentTargets,MATCH(B318,KidIDs,0))</f>
        <v>0</v>
      </c>
      <c r="Z318">
        <f>IF(OR(M318="Posse"),1,0)</f>
        <v>0</v>
      </c>
      <c r="AA318">
        <f>IF(ISNUMBER(INDEX(AllCollegeGR, MATCH(N318,AllCollegeNCES,0))),ROUND(INDEX(AllCollegeGR, MATCH(N318,AllCollegeNCES,0))+Z318*IF(INDEX(AllCollegeGR, MATCH(N318,AllCollegeNCES,0))&gt;0.7,(1-INDEX(AllCollegeGR, MATCH(N318,AllCollegeNCES,0)))/2,0.15),2),INDEX(AllCollegeGR, MATCH(N318,AllCollegeNCES,0)))</f>
        <v>0</v>
      </c>
      <c r="AB318">
        <f>IF(ISNUMBER(INDEX(AllCollegeAAHGR, MATCH(N318,AllCollegeNCES,0))),ROUND(INDEX(AllCollegeAAHGR, MATCH(N318,AllCollegeNCES,0))+Z318*IF(INDEX(AllCollegeAAHGR, MATCH(N318,AllCollegeNCES,0))&gt;0.7,(1-INDEX(AllCollegeAAHGR, MATCH(N318,AllCollegeNCES,0)))/2,0.15),2),INDEX(AllCollegeAAHGR, MATCH(N318,AllCollegeNCES,0)))</f>
        <v>0</v>
      </c>
      <c r="AC318">
        <f>IF(OR(W318="H",W318="B"),INDEX(AllCollegeSAT25, MATCH(N318,AllCollegeNCES,0)),INDEX(AllCollegeSAT50, MATCH(N318,AllCollegeNCES,0)))</f>
        <v>0</v>
      </c>
      <c r="AD318">
        <f>INDEX(CustomWeightsGPA,MATCH(W318&amp;":"&amp;N318,CustomWeightsIndex,0))</f>
        <v>0</v>
      </c>
      <c r="AE318">
        <f>INDEX(CustomWeightsSAT,MATCH(W318&amp;":"&amp;N318,CustomWeightsIndex,0))</f>
        <v>0</v>
      </c>
      <c r="AF318">
        <f>INDEX(CustomWeightsIntercept,MATCH(W318&amp;":"&amp;N318,CustomWeightsIndex,0))</f>
        <v>0</v>
      </c>
      <c r="AG318">
        <f>AD318*S318+AE318*T318+AF318</f>
        <v>0</v>
      </c>
      <c r="AH318">
        <f>INDEX(CoefficientsGPA,MATCH(W318&amp;":"&amp;R318,CoefficientsIndex,0))</f>
        <v>0</v>
      </c>
      <c r="AI318">
        <f>INDEX(CoefficientsSAT,MATCH(W318&amp;":"&amp;R318,CoefficientsIndex,0))</f>
        <v>0</v>
      </c>
      <c r="AJ318">
        <f>INDEX(CoefficientsIntercept,MATCH(W318&amp;":"&amp;R318,CoefficientsIndex,0))</f>
        <v>0</v>
      </c>
      <c r="AK318">
        <f>AH318*S318+(T318-AC318)*AI318+AJ318</f>
        <v>0</v>
      </c>
      <c r="AL318">
        <f>IF(ISNUMBER(AG318),AG318,AK318)</f>
        <v>0</v>
      </c>
      <c r="AM318">
        <f>IF(ISNUMBER(AL318),IF(ISNUMBER(AH318),IF(AND(AH318=1,AI318=1,AJ318=1),100,MIN(99,ROUND(100*EXP(AL318)/(1+EXP(AL318)),2))),MIN(99,ROUND(100*EXP(AL318)/(1+EXP(AL318)),2))),IF(ISTEXT(R318),IF(LEFT(R318,1)="2",100,"N/A"),"N/A"))</f>
        <v>0</v>
      </c>
      <c r="AN318">
        <f>IF(ISNUMBER(AM318),IF(AM318&gt;=99,IF(OR(U318=10,U318=11),MatchLabel,SureThingLabel),IF(AM318&gt;=95,SecureLabel,IF(AM318&gt;=80,SafetyLabel,IF(AM318&gt;=50,MatchLabel,IF(AM318&gt;=20,ReachLabel,IF(AM318&gt;=10,LongshotLabel,HailMaryLabel)))))),"Other")</f>
        <v>0</v>
      </c>
      <c r="AO318">
        <f>IF(OR(I318="accepted",I318="cond. accept",I318="summer admit"),IF(J318="yes","CHOICE!","Accepted!"),IF(I318="guar. transfer","Guar. Xfer",IF(I318="denied","Denied",IF(K318=1,"Waitlist",IF(L318=1,"Deferred",IF(G318="pending","Pending",IF(OR(G318="initial materials submitted",G318="mid-year submitted",G318="final submitted"),"Submitted",IF(H318="interest","Interest","?"))))))))</f>
        <v>0</v>
      </c>
      <c r="AP318">
        <f>IF(OR(AN318=ReachLabel,AN318=LongshotLabel,AN318=HailMaryLabel),1,0)</f>
        <v>0</v>
      </c>
      <c r="AQ318">
        <f>IF(OR(AP318=1,AN318=MatchLabel),1,0)</f>
        <v>0</v>
      </c>
      <c r="AR318">
        <f>IF(OR(AN318=MatchLabel,AN318=SafetyLabel,AN318=SecureLabel,AN318=SureThingLabel),1,0)</f>
        <v>0</v>
      </c>
      <c r="AS318">
        <f>IF(OR(W318="H",W318="B",W318="I",W318="M"),IF(ISNUMBER(AB318),ROUND(AB318,2),0),IF(ISNUMBER(AA318),ROUND(AA318,2),0))</f>
        <v>0</v>
      </c>
      <c r="AT318">
        <f>IF(AS318&gt;=X318,1,0)</f>
        <v>0</v>
      </c>
      <c r="AU318">
        <f>IF(AS318&gt;=Y318,1,0)</f>
        <v>0</v>
      </c>
      <c r="AV318">
        <f>IF(AS318&lt;(X318-0.10),1,0)</f>
        <v>0</v>
      </c>
      <c r="AW318">
        <f>1-AM318/100</f>
        <v>0</v>
      </c>
      <c r="AX318">
        <f>IF(AQ318=1,AW318,1)</f>
        <v>0</v>
      </c>
      <c r="AY318">
        <f>IF(AP318=1,AW318,1)</f>
        <v>0</v>
      </c>
      <c r="AZ318">
        <f>IF(AND(AT318=1,ISNUMBER(AW318)),$AW318,1)</f>
        <v>0</v>
      </c>
      <c r="BA318">
        <f>IF(AND(AU318=1,ISNUMBER(AW318)),$AW318,1)</f>
        <v>0</v>
      </c>
      <c r="BB318">
        <f>IF(ISNUMBER(AB318),INDEX(AllCollegeMoney, MATCH(N318,AllCollegeNCES,0)),0)</f>
        <v>0</v>
      </c>
      <c r="BC318">
        <f>IF(AND(AT318=1,ISNUMBER(AW318),BB318=1),$AW318,1)</f>
        <v>0</v>
      </c>
      <c r="BD318">
        <f>IF(AND(AU318=1,ISNUMBER(AW318),BB318=1),$AW318,1)</f>
        <v>0</v>
      </c>
      <c r="BE318">
        <f>IF(ISNUMBER(AB318),INDEX(AllCollegeILPub, MATCH(N318,AllCollegeNCES,0)),0)</f>
        <v>0</v>
      </c>
      <c r="BF318">
        <f>IF(AN318=ReachLabel,AS318,0)</f>
        <v>0</v>
      </c>
      <c r="BG318">
        <f>IF(AN318=MatchLabel,AS318,0)</f>
        <v>0</v>
      </c>
      <c r="BH318">
        <f>IF(AN318=SafetyLabel,AS318,0)</f>
        <v>0</v>
      </c>
      <c r="BI318">
        <f>IF(AN318=SecureLabel,AS318,0)</f>
        <v>0</v>
      </c>
      <c r="BJ318">
        <f>IF(AN318=SureThingLabel,AS318,0)</f>
        <v>0</v>
      </c>
      <c r="BK318">
        <f>MAX(BF318:BJ318)</f>
        <v>0</v>
      </c>
      <c r="BL318">
        <f>MAX(BG318:BJ318)</f>
        <v>0</v>
      </c>
      <c r="BM318">
        <f>MAX(BH318:BJ318)</f>
        <v>0</v>
      </c>
      <c r="BN318">
        <f>IF(AND(AN318=ReachLabel,BB318=1),AS318,0)</f>
        <v>0</v>
      </c>
      <c r="BO318">
        <f>IF(AND(AN318=MatchLabel,BB318=1),AS318,0)</f>
        <v>0</v>
      </c>
      <c r="BP318">
        <f>IF(AND(AN318=SafetyLabel,BB318=1),AS318,0)</f>
        <v>0</v>
      </c>
      <c r="BQ318">
        <f>IF(AND(AN318=SecureLabel,BB318=1),AS318,0)</f>
        <v>0</v>
      </c>
      <c r="BR318">
        <f>IF(AND(AN318=SureThingLabel,BB318=1),AS318,0)</f>
        <v>0</v>
      </c>
      <c r="BS318">
        <f>MAX(BN318:BR318)</f>
        <v>0</v>
      </c>
      <c r="BT318">
        <f>MAX(BO318:BR318)</f>
        <v>0</v>
      </c>
      <c r="BU318">
        <f>MAX(BP318:BR318)</f>
        <v>0</v>
      </c>
      <c r="BV318">
        <f>IF(ISNUMBER(AB318),INDEX(AllCollegeChicago, MATCH(N318,AllCollegeNCES,0))*BB318,0)</f>
        <v>0</v>
      </c>
      <c r="BW318">
        <f>IF(ISNUMBER(AB318),INDEX(AllCollegeMoneyCode, MATCH(N318,AllCollegeNCES,0)),"?")</f>
        <v>0</v>
      </c>
      <c r="BX318">
        <f>IF(OR(BW318="---",BW318="--",BW318="+/--",BW318="+/---"),1,0)</f>
        <v>0</v>
      </c>
      <c r="BY318">
        <f>BB318*AR318*AT318</f>
        <v>0</v>
      </c>
    </row>
    <row r="319" spans="1:77">
      <c r="A319" t="s">
        <v>96</v>
      </c>
      <c r="B319">
        <v>23107053</v>
      </c>
      <c r="C319" t="s">
        <v>267</v>
      </c>
      <c r="D319" t="s">
        <v>268</v>
      </c>
      <c r="E319" t="s">
        <v>446</v>
      </c>
      <c r="F319" t="s">
        <v>478</v>
      </c>
      <c r="G319" t="s">
        <v>448</v>
      </c>
      <c r="H319" t="s">
        <v>449</v>
      </c>
      <c r="I319" t="s">
        <v>450</v>
      </c>
      <c r="J319" t="s">
        <v>450</v>
      </c>
      <c r="K319">
        <v>0</v>
      </c>
      <c r="L319" t="s">
        <v>446</v>
      </c>
      <c r="M319" t="s">
        <v>446</v>
      </c>
      <c r="N319">
        <v>168546</v>
      </c>
      <c r="O319">
        <f>INDEX(Counselor,MATCH(B319,KidIDs,0))</f>
        <v>0</v>
      </c>
      <c r="P319">
        <f>INDEX(Advisors,MATCH(B319,KidIDs,0))</f>
        <v>0</v>
      </c>
      <c r="Q319">
        <f>INDEX(Cohort,MATCH(B319,KidIDs,0))</f>
        <v>0</v>
      </c>
      <c r="R319">
        <f>INDEX(AllCollegeBarrons,MATCH(N319,AllCollegeNCES,0))</f>
        <v>0</v>
      </c>
      <c r="S319">
        <f>INDEX(KidGPAs,MATCH(B319,KidIDs,0))</f>
        <v>0</v>
      </c>
      <c r="T319">
        <f>INDEX(KidSATs,MATCH(B319,KidIDs,0))</f>
        <v>0</v>
      </c>
      <c r="U319">
        <f>INDEX(Strats,MATCH(B319,KidIDs,0))</f>
        <v>0</v>
      </c>
      <c r="V319">
        <f>INDEX(KidRace,MATCH(B319,KidIDs,0))</f>
        <v>0</v>
      </c>
      <c r="W319">
        <f>IF(OR(V319="M",V319="I"),"H",IF(V319="P","A",V319))</f>
        <v>0</v>
      </c>
      <c r="X319">
        <f>INDEX(StudentTargets,MATCH(B319,KidIDs,0))</f>
        <v>0</v>
      </c>
      <c r="Y319">
        <f>INDEX(ReachStudentTargets,MATCH(B319,KidIDs,0))</f>
        <v>0</v>
      </c>
      <c r="Z319">
        <f>IF(OR(M319="Posse"),1,0)</f>
        <v>0</v>
      </c>
      <c r="AA319">
        <f>IF(ISNUMBER(INDEX(AllCollegeGR, MATCH(N319,AllCollegeNCES,0))),ROUND(INDEX(AllCollegeGR, MATCH(N319,AllCollegeNCES,0))+Z319*IF(INDEX(AllCollegeGR, MATCH(N319,AllCollegeNCES,0))&gt;0.7,(1-INDEX(AllCollegeGR, MATCH(N319,AllCollegeNCES,0)))/2,0.15),2),INDEX(AllCollegeGR, MATCH(N319,AllCollegeNCES,0)))</f>
        <v>0</v>
      </c>
      <c r="AB319">
        <f>IF(ISNUMBER(INDEX(AllCollegeAAHGR, MATCH(N319,AllCollegeNCES,0))),ROUND(INDEX(AllCollegeAAHGR, MATCH(N319,AllCollegeNCES,0))+Z319*IF(INDEX(AllCollegeAAHGR, MATCH(N319,AllCollegeNCES,0))&gt;0.7,(1-INDEX(AllCollegeAAHGR, MATCH(N319,AllCollegeNCES,0)))/2,0.15),2),INDEX(AllCollegeAAHGR, MATCH(N319,AllCollegeNCES,0)))</f>
        <v>0</v>
      </c>
      <c r="AC319">
        <f>IF(OR(W319="H",W319="B"),INDEX(AllCollegeSAT25, MATCH(N319,AllCollegeNCES,0)),INDEX(AllCollegeSAT50, MATCH(N319,AllCollegeNCES,0)))</f>
        <v>0</v>
      </c>
      <c r="AD319">
        <f>INDEX(CustomWeightsGPA,MATCH(W319&amp;":"&amp;N319,CustomWeightsIndex,0))</f>
        <v>0</v>
      </c>
      <c r="AE319">
        <f>INDEX(CustomWeightsSAT,MATCH(W319&amp;":"&amp;N319,CustomWeightsIndex,0))</f>
        <v>0</v>
      </c>
      <c r="AF319">
        <f>INDEX(CustomWeightsIntercept,MATCH(W319&amp;":"&amp;N319,CustomWeightsIndex,0))</f>
        <v>0</v>
      </c>
      <c r="AG319">
        <f>AD319*S319+AE319*T319+AF319</f>
        <v>0</v>
      </c>
      <c r="AH319">
        <f>INDEX(CoefficientsGPA,MATCH(W319&amp;":"&amp;R319,CoefficientsIndex,0))</f>
        <v>0</v>
      </c>
      <c r="AI319">
        <f>INDEX(CoefficientsSAT,MATCH(W319&amp;":"&amp;R319,CoefficientsIndex,0))</f>
        <v>0</v>
      </c>
      <c r="AJ319">
        <f>INDEX(CoefficientsIntercept,MATCH(W319&amp;":"&amp;R319,CoefficientsIndex,0))</f>
        <v>0</v>
      </c>
      <c r="AK319">
        <f>AH319*S319+(T319-AC319)*AI319+AJ319</f>
        <v>0</v>
      </c>
      <c r="AL319">
        <f>IF(ISNUMBER(AG319),AG319,AK319)</f>
        <v>0</v>
      </c>
      <c r="AM319">
        <f>IF(ISNUMBER(AL319),IF(ISNUMBER(AH319),IF(AND(AH319=1,AI319=1,AJ319=1),100,MIN(99,ROUND(100*EXP(AL319)/(1+EXP(AL319)),2))),MIN(99,ROUND(100*EXP(AL319)/(1+EXP(AL319)),2))),IF(ISTEXT(R319),IF(LEFT(R319,1)="2",100,"N/A"),"N/A"))</f>
        <v>0</v>
      </c>
      <c r="AN319">
        <f>IF(ISNUMBER(AM319),IF(AM319&gt;=99,IF(OR(U319=10,U319=11),MatchLabel,SureThingLabel),IF(AM319&gt;=95,SecureLabel,IF(AM319&gt;=80,SafetyLabel,IF(AM319&gt;=50,MatchLabel,IF(AM319&gt;=20,ReachLabel,IF(AM319&gt;=10,LongshotLabel,HailMaryLabel)))))),"Other")</f>
        <v>0</v>
      </c>
      <c r="AO319">
        <f>IF(OR(I319="accepted",I319="cond. accept",I319="summer admit"),IF(J319="yes","CHOICE!","Accepted!"),IF(I319="guar. transfer","Guar. Xfer",IF(I319="denied","Denied",IF(K319=1,"Waitlist",IF(L319=1,"Deferred",IF(G319="pending","Pending",IF(OR(G319="initial materials submitted",G319="mid-year submitted",G319="final submitted"),"Submitted",IF(H319="interest","Interest","?"))))))))</f>
        <v>0</v>
      </c>
      <c r="AP319">
        <f>IF(OR(AN319=ReachLabel,AN319=LongshotLabel,AN319=HailMaryLabel),1,0)</f>
        <v>0</v>
      </c>
      <c r="AQ319">
        <f>IF(OR(AP319=1,AN319=MatchLabel),1,0)</f>
        <v>0</v>
      </c>
      <c r="AR319">
        <f>IF(OR(AN319=MatchLabel,AN319=SafetyLabel,AN319=SecureLabel,AN319=SureThingLabel),1,0)</f>
        <v>0</v>
      </c>
      <c r="AS319">
        <f>IF(OR(W319="H",W319="B",W319="I",W319="M"),IF(ISNUMBER(AB319),ROUND(AB319,2),0),IF(ISNUMBER(AA319),ROUND(AA319,2),0))</f>
        <v>0</v>
      </c>
      <c r="AT319">
        <f>IF(AS319&gt;=X319,1,0)</f>
        <v>0</v>
      </c>
      <c r="AU319">
        <f>IF(AS319&gt;=Y319,1,0)</f>
        <v>0</v>
      </c>
      <c r="AV319">
        <f>IF(AS319&lt;(X319-0.10),1,0)</f>
        <v>0</v>
      </c>
      <c r="AW319">
        <f>1-AM319/100</f>
        <v>0</v>
      </c>
      <c r="AX319">
        <f>IF(AQ319=1,AW319,1)</f>
        <v>0</v>
      </c>
      <c r="AY319">
        <f>IF(AP319=1,AW319,1)</f>
        <v>0</v>
      </c>
      <c r="AZ319">
        <f>IF(AND(AT319=1,ISNUMBER(AW319)),$AW319,1)</f>
        <v>0</v>
      </c>
      <c r="BA319">
        <f>IF(AND(AU319=1,ISNUMBER(AW319)),$AW319,1)</f>
        <v>0</v>
      </c>
      <c r="BB319">
        <f>IF(ISNUMBER(AB319),INDEX(AllCollegeMoney, MATCH(N319,AllCollegeNCES,0)),0)</f>
        <v>0</v>
      </c>
      <c r="BC319">
        <f>IF(AND(AT319=1,ISNUMBER(AW319),BB319=1),$AW319,1)</f>
        <v>0</v>
      </c>
      <c r="BD319">
        <f>IF(AND(AU319=1,ISNUMBER(AW319),BB319=1),$AW319,1)</f>
        <v>0</v>
      </c>
      <c r="BE319">
        <f>IF(ISNUMBER(AB319),INDEX(AllCollegeILPub, MATCH(N319,AllCollegeNCES,0)),0)</f>
        <v>0</v>
      </c>
      <c r="BF319">
        <f>IF(AN319=ReachLabel,AS319,0)</f>
        <v>0</v>
      </c>
      <c r="BG319">
        <f>IF(AN319=MatchLabel,AS319,0)</f>
        <v>0</v>
      </c>
      <c r="BH319">
        <f>IF(AN319=SafetyLabel,AS319,0)</f>
        <v>0</v>
      </c>
      <c r="BI319">
        <f>IF(AN319=SecureLabel,AS319,0)</f>
        <v>0</v>
      </c>
      <c r="BJ319">
        <f>IF(AN319=SureThingLabel,AS319,0)</f>
        <v>0</v>
      </c>
      <c r="BK319">
        <f>MAX(BF319:BJ319)</f>
        <v>0</v>
      </c>
      <c r="BL319">
        <f>MAX(BG319:BJ319)</f>
        <v>0</v>
      </c>
      <c r="BM319">
        <f>MAX(BH319:BJ319)</f>
        <v>0</v>
      </c>
      <c r="BN319">
        <f>IF(AND(AN319=ReachLabel,BB319=1),AS319,0)</f>
        <v>0</v>
      </c>
      <c r="BO319">
        <f>IF(AND(AN319=MatchLabel,BB319=1),AS319,0)</f>
        <v>0</v>
      </c>
      <c r="BP319">
        <f>IF(AND(AN319=SafetyLabel,BB319=1),AS319,0)</f>
        <v>0</v>
      </c>
      <c r="BQ319">
        <f>IF(AND(AN319=SecureLabel,BB319=1),AS319,0)</f>
        <v>0</v>
      </c>
      <c r="BR319">
        <f>IF(AND(AN319=SureThingLabel,BB319=1),AS319,0)</f>
        <v>0</v>
      </c>
      <c r="BS319">
        <f>MAX(BN319:BR319)</f>
        <v>0</v>
      </c>
      <c r="BT319">
        <f>MAX(BO319:BR319)</f>
        <v>0</v>
      </c>
      <c r="BU319">
        <f>MAX(BP319:BR319)</f>
        <v>0</v>
      </c>
      <c r="BV319">
        <f>IF(ISNUMBER(AB319),INDEX(AllCollegeChicago, MATCH(N319,AllCollegeNCES,0))*BB319,0)</f>
        <v>0</v>
      </c>
      <c r="BW319">
        <f>IF(ISNUMBER(AB319),INDEX(AllCollegeMoneyCode, MATCH(N319,AllCollegeNCES,0)),"?")</f>
        <v>0</v>
      </c>
      <c r="BX319">
        <f>IF(OR(BW319="---",BW319="--",BW319="+/--",BW319="+/---"),1,0)</f>
        <v>0</v>
      </c>
      <c r="BY319">
        <f>BB319*AR319*AT319</f>
        <v>0</v>
      </c>
    </row>
    <row r="320" spans="1:77">
      <c r="A320" t="s">
        <v>96</v>
      </c>
      <c r="B320">
        <v>23107053</v>
      </c>
      <c r="C320" t="s">
        <v>267</v>
      </c>
      <c r="D320" t="s">
        <v>268</v>
      </c>
      <c r="E320" t="s">
        <v>446</v>
      </c>
      <c r="F320" t="s">
        <v>502</v>
      </c>
      <c r="G320" t="s">
        <v>448</v>
      </c>
      <c r="H320" t="s">
        <v>449</v>
      </c>
      <c r="I320" t="s">
        <v>450</v>
      </c>
      <c r="J320" t="s">
        <v>450</v>
      </c>
      <c r="K320">
        <v>0</v>
      </c>
      <c r="L320" t="s">
        <v>446</v>
      </c>
      <c r="M320" t="s">
        <v>446</v>
      </c>
      <c r="N320">
        <v>170082</v>
      </c>
      <c r="O320">
        <f>INDEX(Counselor,MATCH(B320,KidIDs,0))</f>
        <v>0</v>
      </c>
      <c r="P320">
        <f>INDEX(Advisors,MATCH(B320,KidIDs,0))</f>
        <v>0</v>
      </c>
      <c r="Q320">
        <f>INDEX(Cohort,MATCH(B320,KidIDs,0))</f>
        <v>0</v>
      </c>
      <c r="R320">
        <f>INDEX(AllCollegeBarrons,MATCH(N320,AllCollegeNCES,0))</f>
        <v>0</v>
      </c>
      <c r="S320">
        <f>INDEX(KidGPAs,MATCH(B320,KidIDs,0))</f>
        <v>0</v>
      </c>
      <c r="T320">
        <f>INDEX(KidSATs,MATCH(B320,KidIDs,0))</f>
        <v>0</v>
      </c>
      <c r="U320">
        <f>INDEX(Strats,MATCH(B320,KidIDs,0))</f>
        <v>0</v>
      </c>
      <c r="V320">
        <f>INDEX(KidRace,MATCH(B320,KidIDs,0))</f>
        <v>0</v>
      </c>
      <c r="W320">
        <f>IF(OR(V320="M",V320="I"),"H",IF(V320="P","A",V320))</f>
        <v>0</v>
      </c>
      <c r="X320">
        <f>INDEX(StudentTargets,MATCH(B320,KidIDs,0))</f>
        <v>0</v>
      </c>
      <c r="Y320">
        <f>INDEX(ReachStudentTargets,MATCH(B320,KidIDs,0))</f>
        <v>0</v>
      </c>
      <c r="Z320">
        <f>IF(OR(M320="Posse"),1,0)</f>
        <v>0</v>
      </c>
      <c r="AA320">
        <f>IF(ISNUMBER(INDEX(AllCollegeGR, MATCH(N320,AllCollegeNCES,0))),ROUND(INDEX(AllCollegeGR, MATCH(N320,AllCollegeNCES,0))+Z320*IF(INDEX(AllCollegeGR, MATCH(N320,AllCollegeNCES,0))&gt;0.7,(1-INDEX(AllCollegeGR, MATCH(N320,AllCollegeNCES,0)))/2,0.15),2),INDEX(AllCollegeGR, MATCH(N320,AllCollegeNCES,0)))</f>
        <v>0</v>
      </c>
      <c r="AB320">
        <f>IF(ISNUMBER(INDEX(AllCollegeAAHGR, MATCH(N320,AllCollegeNCES,0))),ROUND(INDEX(AllCollegeAAHGR, MATCH(N320,AllCollegeNCES,0))+Z320*IF(INDEX(AllCollegeAAHGR, MATCH(N320,AllCollegeNCES,0))&gt;0.7,(1-INDEX(AllCollegeAAHGR, MATCH(N320,AllCollegeNCES,0)))/2,0.15),2),INDEX(AllCollegeAAHGR, MATCH(N320,AllCollegeNCES,0)))</f>
        <v>0</v>
      </c>
      <c r="AC320">
        <f>IF(OR(W320="H",W320="B"),INDEX(AllCollegeSAT25, MATCH(N320,AllCollegeNCES,0)),INDEX(AllCollegeSAT50, MATCH(N320,AllCollegeNCES,0)))</f>
        <v>0</v>
      </c>
      <c r="AD320">
        <f>INDEX(CustomWeightsGPA,MATCH(W320&amp;":"&amp;N320,CustomWeightsIndex,0))</f>
        <v>0</v>
      </c>
      <c r="AE320">
        <f>INDEX(CustomWeightsSAT,MATCH(W320&amp;":"&amp;N320,CustomWeightsIndex,0))</f>
        <v>0</v>
      </c>
      <c r="AF320">
        <f>INDEX(CustomWeightsIntercept,MATCH(W320&amp;":"&amp;N320,CustomWeightsIndex,0))</f>
        <v>0</v>
      </c>
      <c r="AG320">
        <f>AD320*S320+AE320*T320+AF320</f>
        <v>0</v>
      </c>
      <c r="AH320">
        <f>INDEX(CoefficientsGPA,MATCH(W320&amp;":"&amp;R320,CoefficientsIndex,0))</f>
        <v>0</v>
      </c>
      <c r="AI320">
        <f>INDEX(CoefficientsSAT,MATCH(W320&amp;":"&amp;R320,CoefficientsIndex,0))</f>
        <v>0</v>
      </c>
      <c r="AJ320">
        <f>INDEX(CoefficientsIntercept,MATCH(W320&amp;":"&amp;R320,CoefficientsIndex,0))</f>
        <v>0</v>
      </c>
      <c r="AK320">
        <f>AH320*S320+(T320-AC320)*AI320+AJ320</f>
        <v>0</v>
      </c>
      <c r="AL320">
        <f>IF(ISNUMBER(AG320),AG320,AK320)</f>
        <v>0</v>
      </c>
      <c r="AM320">
        <f>IF(ISNUMBER(AL320),IF(ISNUMBER(AH320),IF(AND(AH320=1,AI320=1,AJ320=1),100,MIN(99,ROUND(100*EXP(AL320)/(1+EXP(AL320)),2))),MIN(99,ROUND(100*EXP(AL320)/(1+EXP(AL320)),2))),IF(ISTEXT(R320),IF(LEFT(R320,1)="2",100,"N/A"),"N/A"))</f>
        <v>0</v>
      </c>
      <c r="AN320">
        <f>IF(ISNUMBER(AM320),IF(AM320&gt;=99,IF(OR(U320=10,U320=11),MatchLabel,SureThingLabel),IF(AM320&gt;=95,SecureLabel,IF(AM320&gt;=80,SafetyLabel,IF(AM320&gt;=50,MatchLabel,IF(AM320&gt;=20,ReachLabel,IF(AM320&gt;=10,LongshotLabel,HailMaryLabel)))))),"Other")</f>
        <v>0</v>
      </c>
      <c r="AO320">
        <f>IF(OR(I320="accepted",I320="cond. accept",I320="summer admit"),IF(J320="yes","CHOICE!","Accepted!"),IF(I320="guar. transfer","Guar. Xfer",IF(I320="denied","Denied",IF(K320=1,"Waitlist",IF(L320=1,"Deferred",IF(G320="pending","Pending",IF(OR(G320="initial materials submitted",G320="mid-year submitted",G320="final submitted"),"Submitted",IF(H320="interest","Interest","?"))))))))</f>
        <v>0</v>
      </c>
      <c r="AP320">
        <f>IF(OR(AN320=ReachLabel,AN320=LongshotLabel,AN320=HailMaryLabel),1,0)</f>
        <v>0</v>
      </c>
      <c r="AQ320">
        <f>IF(OR(AP320=1,AN320=MatchLabel),1,0)</f>
        <v>0</v>
      </c>
      <c r="AR320">
        <f>IF(OR(AN320=MatchLabel,AN320=SafetyLabel,AN320=SecureLabel,AN320=SureThingLabel),1,0)</f>
        <v>0</v>
      </c>
      <c r="AS320">
        <f>IF(OR(W320="H",W320="B",W320="I",W320="M"),IF(ISNUMBER(AB320),ROUND(AB320,2),0),IF(ISNUMBER(AA320),ROUND(AA320,2),0))</f>
        <v>0</v>
      </c>
      <c r="AT320">
        <f>IF(AS320&gt;=X320,1,0)</f>
        <v>0</v>
      </c>
      <c r="AU320">
        <f>IF(AS320&gt;=Y320,1,0)</f>
        <v>0</v>
      </c>
      <c r="AV320">
        <f>IF(AS320&lt;(X320-0.10),1,0)</f>
        <v>0</v>
      </c>
      <c r="AW320">
        <f>1-AM320/100</f>
        <v>0</v>
      </c>
      <c r="AX320">
        <f>IF(AQ320=1,AW320,1)</f>
        <v>0</v>
      </c>
      <c r="AY320">
        <f>IF(AP320=1,AW320,1)</f>
        <v>0</v>
      </c>
      <c r="AZ320">
        <f>IF(AND(AT320=1,ISNUMBER(AW320)),$AW320,1)</f>
        <v>0</v>
      </c>
      <c r="BA320">
        <f>IF(AND(AU320=1,ISNUMBER(AW320)),$AW320,1)</f>
        <v>0</v>
      </c>
      <c r="BB320">
        <f>IF(ISNUMBER(AB320),INDEX(AllCollegeMoney, MATCH(N320,AllCollegeNCES,0)),0)</f>
        <v>0</v>
      </c>
      <c r="BC320">
        <f>IF(AND(AT320=1,ISNUMBER(AW320),BB320=1),$AW320,1)</f>
        <v>0</v>
      </c>
      <c r="BD320">
        <f>IF(AND(AU320=1,ISNUMBER(AW320),BB320=1),$AW320,1)</f>
        <v>0</v>
      </c>
      <c r="BE320">
        <f>IF(ISNUMBER(AB320),INDEX(AllCollegeILPub, MATCH(N320,AllCollegeNCES,0)),0)</f>
        <v>0</v>
      </c>
      <c r="BF320">
        <f>IF(AN320=ReachLabel,AS320,0)</f>
        <v>0</v>
      </c>
      <c r="BG320">
        <f>IF(AN320=MatchLabel,AS320,0)</f>
        <v>0</v>
      </c>
      <c r="BH320">
        <f>IF(AN320=SafetyLabel,AS320,0)</f>
        <v>0</v>
      </c>
      <c r="BI320">
        <f>IF(AN320=SecureLabel,AS320,0)</f>
        <v>0</v>
      </c>
      <c r="BJ320">
        <f>IF(AN320=SureThingLabel,AS320,0)</f>
        <v>0</v>
      </c>
      <c r="BK320">
        <f>MAX(BF320:BJ320)</f>
        <v>0</v>
      </c>
      <c r="BL320">
        <f>MAX(BG320:BJ320)</f>
        <v>0</v>
      </c>
      <c r="BM320">
        <f>MAX(BH320:BJ320)</f>
        <v>0</v>
      </c>
      <c r="BN320">
        <f>IF(AND(AN320=ReachLabel,BB320=1),AS320,0)</f>
        <v>0</v>
      </c>
      <c r="BO320">
        <f>IF(AND(AN320=MatchLabel,BB320=1),AS320,0)</f>
        <v>0</v>
      </c>
      <c r="BP320">
        <f>IF(AND(AN320=SafetyLabel,BB320=1),AS320,0)</f>
        <v>0</v>
      </c>
      <c r="BQ320">
        <f>IF(AND(AN320=SecureLabel,BB320=1),AS320,0)</f>
        <v>0</v>
      </c>
      <c r="BR320">
        <f>IF(AND(AN320=SureThingLabel,BB320=1),AS320,0)</f>
        <v>0</v>
      </c>
      <c r="BS320">
        <f>MAX(BN320:BR320)</f>
        <v>0</v>
      </c>
      <c r="BT320">
        <f>MAX(BO320:BR320)</f>
        <v>0</v>
      </c>
      <c r="BU320">
        <f>MAX(BP320:BR320)</f>
        <v>0</v>
      </c>
      <c r="BV320">
        <f>IF(ISNUMBER(AB320),INDEX(AllCollegeChicago, MATCH(N320,AllCollegeNCES,0))*BB320,0)</f>
        <v>0</v>
      </c>
      <c r="BW320">
        <f>IF(ISNUMBER(AB320),INDEX(AllCollegeMoneyCode, MATCH(N320,AllCollegeNCES,0)),"?")</f>
        <v>0</v>
      </c>
      <c r="BX320">
        <f>IF(OR(BW320="---",BW320="--",BW320="+/--",BW320="+/---"),1,0)</f>
        <v>0</v>
      </c>
      <c r="BY320">
        <f>BB320*AR320*AT320</f>
        <v>0</v>
      </c>
    </row>
    <row r="321" spans="1:77">
      <c r="A321" t="s">
        <v>96</v>
      </c>
      <c r="B321">
        <v>23107053</v>
      </c>
      <c r="C321" t="s">
        <v>267</v>
      </c>
      <c r="D321" t="s">
        <v>268</v>
      </c>
      <c r="E321" t="s">
        <v>446</v>
      </c>
      <c r="F321" t="s">
        <v>465</v>
      </c>
      <c r="G321" t="s">
        <v>448</v>
      </c>
      <c r="H321" t="s">
        <v>449</v>
      </c>
      <c r="I321" t="s">
        <v>450</v>
      </c>
      <c r="J321" t="s">
        <v>450</v>
      </c>
      <c r="K321">
        <v>0</v>
      </c>
      <c r="L321" t="s">
        <v>446</v>
      </c>
      <c r="M321" t="s">
        <v>446</v>
      </c>
      <c r="N321">
        <v>145600</v>
      </c>
      <c r="O321">
        <f>INDEX(Counselor,MATCH(B321,KidIDs,0))</f>
        <v>0</v>
      </c>
      <c r="P321">
        <f>INDEX(Advisors,MATCH(B321,KidIDs,0))</f>
        <v>0</v>
      </c>
      <c r="Q321">
        <f>INDEX(Cohort,MATCH(B321,KidIDs,0))</f>
        <v>0</v>
      </c>
      <c r="R321">
        <f>INDEX(AllCollegeBarrons,MATCH(N321,AllCollegeNCES,0))</f>
        <v>0</v>
      </c>
      <c r="S321">
        <f>INDEX(KidGPAs,MATCH(B321,KidIDs,0))</f>
        <v>0</v>
      </c>
      <c r="T321">
        <f>INDEX(KidSATs,MATCH(B321,KidIDs,0))</f>
        <v>0</v>
      </c>
      <c r="U321">
        <f>INDEX(Strats,MATCH(B321,KidIDs,0))</f>
        <v>0</v>
      </c>
      <c r="V321">
        <f>INDEX(KidRace,MATCH(B321,KidIDs,0))</f>
        <v>0</v>
      </c>
      <c r="W321">
        <f>IF(OR(V321="M",V321="I"),"H",IF(V321="P","A",V321))</f>
        <v>0</v>
      </c>
      <c r="X321">
        <f>INDEX(StudentTargets,MATCH(B321,KidIDs,0))</f>
        <v>0</v>
      </c>
      <c r="Y321">
        <f>INDEX(ReachStudentTargets,MATCH(B321,KidIDs,0))</f>
        <v>0</v>
      </c>
      <c r="Z321">
        <f>IF(OR(M321="Posse"),1,0)</f>
        <v>0</v>
      </c>
      <c r="AA321">
        <f>IF(ISNUMBER(INDEX(AllCollegeGR, MATCH(N321,AllCollegeNCES,0))),ROUND(INDEX(AllCollegeGR, MATCH(N321,AllCollegeNCES,0))+Z321*IF(INDEX(AllCollegeGR, MATCH(N321,AllCollegeNCES,0))&gt;0.7,(1-INDEX(AllCollegeGR, MATCH(N321,AllCollegeNCES,0)))/2,0.15),2),INDEX(AllCollegeGR, MATCH(N321,AllCollegeNCES,0)))</f>
        <v>0</v>
      </c>
      <c r="AB321">
        <f>IF(ISNUMBER(INDEX(AllCollegeAAHGR, MATCH(N321,AllCollegeNCES,0))),ROUND(INDEX(AllCollegeAAHGR, MATCH(N321,AllCollegeNCES,0))+Z321*IF(INDEX(AllCollegeAAHGR, MATCH(N321,AllCollegeNCES,0))&gt;0.7,(1-INDEX(AllCollegeAAHGR, MATCH(N321,AllCollegeNCES,0)))/2,0.15),2),INDEX(AllCollegeAAHGR, MATCH(N321,AllCollegeNCES,0)))</f>
        <v>0</v>
      </c>
      <c r="AC321">
        <f>IF(OR(W321="H",W321="B"),INDEX(AllCollegeSAT25, MATCH(N321,AllCollegeNCES,0)),INDEX(AllCollegeSAT50, MATCH(N321,AllCollegeNCES,0)))</f>
        <v>0</v>
      </c>
      <c r="AD321">
        <f>INDEX(CustomWeightsGPA,MATCH(W321&amp;":"&amp;N321,CustomWeightsIndex,0))</f>
        <v>0</v>
      </c>
      <c r="AE321">
        <f>INDEX(CustomWeightsSAT,MATCH(W321&amp;":"&amp;N321,CustomWeightsIndex,0))</f>
        <v>0</v>
      </c>
      <c r="AF321">
        <f>INDEX(CustomWeightsIntercept,MATCH(W321&amp;":"&amp;N321,CustomWeightsIndex,0))</f>
        <v>0</v>
      </c>
      <c r="AG321">
        <f>AD321*S321+AE321*T321+AF321</f>
        <v>0</v>
      </c>
      <c r="AH321">
        <f>INDEX(CoefficientsGPA,MATCH(W321&amp;":"&amp;R321,CoefficientsIndex,0))</f>
        <v>0</v>
      </c>
      <c r="AI321">
        <f>INDEX(CoefficientsSAT,MATCH(W321&amp;":"&amp;R321,CoefficientsIndex,0))</f>
        <v>0</v>
      </c>
      <c r="AJ321">
        <f>INDEX(CoefficientsIntercept,MATCH(W321&amp;":"&amp;R321,CoefficientsIndex,0))</f>
        <v>0</v>
      </c>
      <c r="AK321">
        <f>AH321*S321+(T321-AC321)*AI321+AJ321</f>
        <v>0</v>
      </c>
      <c r="AL321">
        <f>IF(ISNUMBER(AG321),AG321,AK321)</f>
        <v>0</v>
      </c>
      <c r="AM321">
        <f>IF(ISNUMBER(AL321),IF(ISNUMBER(AH321),IF(AND(AH321=1,AI321=1,AJ321=1),100,MIN(99,ROUND(100*EXP(AL321)/(1+EXP(AL321)),2))),MIN(99,ROUND(100*EXP(AL321)/(1+EXP(AL321)),2))),IF(ISTEXT(R321),IF(LEFT(R321,1)="2",100,"N/A"),"N/A"))</f>
        <v>0</v>
      </c>
      <c r="AN321">
        <f>IF(ISNUMBER(AM321),IF(AM321&gt;=99,IF(OR(U321=10,U321=11),MatchLabel,SureThingLabel),IF(AM321&gt;=95,SecureLabel,IF(AM321&gt;=80,SafetyLabel,IF(AM321&gt;=50,MatchLabel,IF(AM321&gt;=20,ReachLabel,IF(AM321&gt;=10,LongshotLabel,HailMaryLabel)))))),"Other")</f>
        <v>0</v>
      </c>
      <c r="AO321">
        <f>IF(OR(I321="accepted",I321="cond. accept",I321="summer admit"),IF(J321="yes","CHOICE!","Accepted!"),IF(I321="guar. transfer","Guar. Xfer",IF(I321="denied","Denied",IF(K321=1,"Waitlist",IF(L321=1,"Deferred",IF(G321="pending","Pending",IF(OR(G321="initial materials submitted",G321="mid-year submitted",G321="final submitted"),"Submitted",IF(H321="interest","Interest","?"))))))))</f>
        <v>0</v>
      </c>
      <c r="AP321">
        <f>IF(OR(AN321=ReachLabel,AN321=LongshotLabel,AN321=HailMaryLabel),1,0)</f>
        <v>0</v>
      </c>
      <c r="AQ321">
        <f>IF(OR(AP321=1,AN321=MatchLabel),1,0)</f>
        <v>0</v>
      </c>
      <c r="AR321">
        <f>IF(OR(AN321=MatchLabel,AN321=SafetyLabel,AN321=SecureLabel,AN321=SureThingLabel),1,0)</f>
        <v>0</v>
      </c>
      <c r="AS321">
        <f>IF(OR(W321="H",W321="B",W321="I",W321="M"),IF(ISNUMBER(AB321),ROUND(AB321,2),0),IF(ISNUMBER(AA321),ROUND(AA321,2),0))</f>
        <v>0</v>
      </c>
      <c r="AT321">
        <f>IF(AS321&gt;=X321,1,0)</f>
        <v>0</v>
      </c>
      <c r="AU321">
        <f>IF(AS321&gt;=Y321,1,0)</f>
        <v>0</v>
      </c>
      <c r="AV321">
        <f>IF(AS321&lt;(X321-0.10),1,0)</f>
        <v>0</v>
      </c>
      <c r="AW321">
        <f>1-AM321/100</f>
        <v>0</v>
      </c>
      <c r="AX321">
        <f>IF(AQ321=1,AW321,1)</f>
        <v>0</v>
      </c>
      <c r="AY321">
        <f>IF(AP321=1,AW321,1)</f>
        <v>0</v>
      </c>
      <c r="AZ321">
        <f>IF(AND(AT321=1,ISNUMBER(AW321)),$AW321,1)</f>
        <v>0</v>
      </c>
      <c r="BA321">
        <f>IF(AND(AU321=1,ISNUMBER(AW321)),$AW321,1)</f>
        <v>0</v>
      </c>
      <c r="BB321">
        <f>IF(ISNUMBER(AB321),INDEX(AllCollegeMoney, MATCH(N321,AllCollegeNCES,0)),0)</f>
        <v>0</v>
      </c>
      <c r="BC321">
        <f>IF(AND(AT321=1,ISNUMBER(AW321),BB321=1),$AW321,1)</f>
        <v>0</v>
      </c>
      <c r="BD321">
        <f>IF(AND(AU321=1,ISNUMBER(AW321),BB321=1),$AW321,1)</f>
        <v>0</v>
      </c>
      <c r="BE321">
        <f>IF(ISNUMBER(AB321),INDEX(AllCollegeILPub, MATCH(N321,AllCollegeNCES,0)),0)</f>
        <v>0</v>
      </c>
      <c r="BF321">
        <f>IF(AN321=ReachLabel,AS321,0)</f>
        <v>0</v>
      </c>
      <c r="BG321">
        <f>IF(AN321=MatchLabel,AS321,0)</f>
        <v>0</v>
      </c>
      <c r="BH321">
        <f>IF(AN321=SafetyLabel,AS321,0)</f>
        <v>0</v>
      </c>
      <c r="BI321">
        <f>IF(AN321=SecureLabel,AS321,0)</f>
        <v>0</v>
      </c>
      <c r="BJ321">
        <f>IF(AN321=SureThingLabel,AS321,0)</f>
        <v>0</v>
      </c>
      <c r="BK321">
        <f>MAX(BF321:BJ321)</f>
        <v>0</v>
      </c>
      <c r="BL321">
        <f>MAX(BG321:BJ321)</f>
        <v>0</v>
      </c>
      <c r="BM321">
        <f>MAX(BH321:BJ321)</f>
        <v>0</v>
      </c>
      <c r="BN321">
        <f>IF(AND(AN321=ReachLabel,BB321=1),AS321,0)</f>
        <v>0</v>
      </c>
      <c r="BO321">
        <f>IF(AND(AN321=MatchLabel,BB321=1),AS321,0)</f>
        <v>0</v>
      </c>
      <c r="BP321">
        <f>IF(AND(AN321=SafetyLabel,BB321=1),AS321,0)</f>
        <v>0</v>
      </c>
      <c r="BQ321">
        <f>IF(AND(AN321=SecureLabel,BB321=1),AS321,0)</f>
        <v>0</v>
      </c>
      <c r="BR321">
        <f>IF(AND(AN321=SureThingLabel,BB321=1),AS321,0)</f>
        <v>0</v>
      </c>
      <c r="BS321">
        <f>MAX(BN321:BR321)</f>
        <v>0</v>
      </c>
      <c r="BT321">
        <f>MAX(BO321:BR321)</f>
        <v>0</v>
      </c>
      <c r="BU321">
        <f>MAX(BP321:BR321)</f>
        <v>0</v>
      </c>
      <c r="BV321">
        <f>IF(ISNUMBER(AB321),INDEX(AllCollegeChicago, MATCH(N321,AllCollegeNCES,0))*BB321,0)</f>
        <v>0</v>
      </c>
      <c r="BW321">
        <f>IF(ISNUMBER(AB321),INDEX(AllCollegeMoneyCode, MATCH(N321,AllCollegeNCES,0)),"?")</f>
        <v>0</v>
      </c>
      <c r="BX321">
        <f>IF(OR(BW321="---",BW321="--",BW321="+/--",BW321="+/---"),1,0)</f>
        <v>0</v>
      </c>
      <c r="BY321">
        <f>BB321*AR321*AT321</f>
        <v>0</v>
      </c>
    </row>
    <row r="322" spans="1:77">
      <c r="A322" t="s">
        <v>96</v>
      </c>
      <c r="B322">
        <v>23107053</v>
      </c>
      <c r="C322" t="s">
        <v>267</v>
      </c>
      <c r="D322" t="s">
        <v>268</v>
      </c>
      <c r="E322" t="s">
        <v>446</v>
      </c>
      <c r="F322" t="s">
        <v>480</v>
      </c>
      <c r="G322" t="s">
        <v>448</v>
      </c>
      <c r="H322" t="s">
        <v>449</v>
      </c>
      <c r="I322" t="s">
        <v>450</v>
      </c>
      <c r="J322" t="s">
        <v>450</v>
      </c>
      <c r="K322">
        <v>0</v>
      </c>
      <c r="L322" t="s">
        <v>446</v>
      </c>
      <c r="M322" t="s">
        <v>446</v>
      </c>
      <c r="N322">
        <v>169248</v>
      </c>
      <c r="O322">
        <f>INDEX(Counselor,MATCH(B322,KidIDs,0))</f>
        <v>0</v>
      </c>
      <c r="P322">
        <f>INDEX(Advisors,MATCH(B322,KidIDs,0))</f>
        <v>0</v>
      </c>
      <c r="Q322">
        <f>INDEX(Cohort,MATCH(B322,KidIDs,0))</f>
        <v>0</v>
      </c>
      <c r="R322">
        <f>INDEX(AllCollegeBarrons,MATCH(N322,AllCollegeNCES,0))</f>
        <v>0</v>
      </c>
      <c r="S322">
        <f>INDEX(KidGPAs,MATCH(B322,KidIDs,0))</f>
        <v>0</v>
      </c>
      <c r="T322">
        <f>INDEX(KidSATs,MATCH(B322,KidIDs,0))</f>
        <v>0</v>
      </c>
      <c r="U322">
        <f>INDEX(Strats,MATCH(B322,KidIDs,0))</f>
        <v>0</v>
      </c>
      <c r="V322">
        <f>INDEX(KidRace,MATCH(B322,KidIDs,0))</f>
        <v>0</v>
      </c>
      <c r="W322">
        <f>IF(OR(V322="M",V322="I"),"H",IF(V322="P","A",V322))</f>
        <v>0</v>
      </c>
      <c r="X322">
        <f>INDEX(StudentTargets,MATCH(B322,KidIDs,0))</f>
        <v>0</v>
      </c>
      <c r="Y322">
        <f>INDEX(ReachStudentTargets,MATCH(B322,KidIDs,0))</f>
        <v>0</v>
      </c>
      <c r="Z322">
        <f>IF(OR(M322="Posse"),1,0)</f>
        <v>0</v>
      </c>
      <c r="AA322">
        <f>IF(ISNUMBER(INDEX(AllCollegeGR, MATCH(N322,AllCollegeNCES,0))),ROUND(INDEX(AllCollegeGR, MATCH(N322,AllCollegeNCES,0))+Z322*IF(INDEX(AllCollegeGR, MATCH(N322,AllCollegeNCES,0))&gt;0.7,(1-INDEX(AllCollegeGR, MATCH(N322,AllCollegeNCES,0)))/2,0.15),2),INDEX(AllCollegeGR, MATCH(N322,AllCollegeNCES,0)))</f>
        <v>0</v>
      </c>
      <c r="AB322">
        <f>IF(ISNUMBER(INDEX(AllCollegeAAHGR, MATCH(N322,AllCollegeNCES,0))),ROUND(INDEX(AllCollegeAAHGR, MATCH(N322,AllCollegeNCES,0))+Z322*IF(INDEX(AllCollegeAAHGR, MATCH(N322,AllCollegeNCES,0))&gt;0.7,(1-INDEX(AllCollegeAAHGR, MATCH(N322,AllCollegeNCES,0)))/2,0.15),2),INDEX(AllCollegeAAHGR, MATCH(N322,AllCollegeNCES,0)))</f>
        <v>0</v>
      </c>
      <c r="AC322">
        <f>IF(OR(W322="H",W322="B"),INDEX(AllCollegeSAT25, MATCH(N322,AllCollegeNCES,0)),INDEX(AllCollegeSAT50, MATCH(N322,AllCollegeNCES,0)))</f>
        <v>0</v>
      </c>
      <c r="AD322">
        <f>INDEX(CustomWeightsGPA,MATCH(W322&amp;":"&amp;N322,CustomWeightsIndex,0))</f>
        <v>0</v>
      </c>
      <c r="AE322">
        <f>INDEX(CustomWeightsSAT,MATCH(W322&amp;":"&amp;N322,CustomWeightsIndex,0))</f>
        <v>0</v>
      </c>
      <c r="AF322">
        <f>INDEX(CustomWeightsIntercept,MATCH(W322&amp;":"&amp;N322,CustomWeightsIndex,0))</f>
        <v>0</v>
      </c>
      <c r="AG322">
        <f>AD322*S322+AE322*T322+AF322</f>
        <v>0</v>
      </c>
      <c r="AH322">
        <f>INDEX(CoefficientsGPA,MATCH(W322&amp;":"&amp;R322,CoefficientsIndex,0))</f>
        <v>0</v>
      </c>
      <c r="AI322">
        <f>INDEX(CoefficientsSAT,MATCH(W322&amp;":"&amp;R322,CoefficientsIndex,0))</f>
        <v>0</v>
      </c>
      <c r="AJ322">
        <f>INDEX(CoefficientsIntercept,MATCH(W322&amp;":"&amp;R322,CoefficientsIndex,0))</f>
        <v>0</v>
      </c>
      <c r="AK322">
        <f>AH322*S322+(T322-AC322)*AI322+AJ322</f>
        <v>0</v>
      </c>
      <c r="AL322">
        <f>IF(ISNUMBER(AG322),AG322,AK322)</f>
        <v>0</v>
      </c>
      <c r="AM322">
        <f>IF(ISNUMBER(AL322),IF(ISNUMBER(AH322),IF(AND(AH322=1,AI322=1,AJ322=1),100,MIN(99,ROUND(100*EXP(AL322)/(1+EXP(AL322)),2))),MIN(99,ROUND(100*EXP(AL322)/(1+EXP(AL322)),2))),IF(ISTEXT(R322),IF(LEFT(R322,1)="2",100,"N/A"),"N/A"))</f>
        <v>0</v>
      </c>
      <c r="AN322">
        <f>IF(ISNUMBER(AM322),IF(AM322&gt;=99,IF(OR(U322=10,U322=11),MatchLabel,SureThingLabel),IF(AM322&gt;=95,SecureLabel,IF(AM322&gt;=80,SafetyLabel,IF(AM322&gt;=50,MatchLabel,IF(AM322&gt;=20,ReachLabel,IF(AM322&gt;=10,LongshotLabel,HailMaryLabel)))))),"Other")</f>
        <v>0</v>
      </c>
      <c r="AO322">
        <f>IF(OR(I322="accepted",I322="cond. accept",I322="summer admit"),IF(J322="yes","CHOICE!","Accepted!"),IF(I322="guar. transfer","Guar. Xfer",IF(I322="denied","Denied",IF(K322=1,"Waitlist",IF(L322=1,"Deferred",IF(G322="pending","Pending",IF(OR(G322="initial materials submitted",G322="mid-year submitted",G322="final submitted"),"Submitted",IF(H322="interest","Interest","?"))))))))</f>
        <v>0</v>
      </c>
      <c r="AP322">
        <f>IF(OR(AN322=ReachLabel,AN322=LongshotLabel,AN322=HailMaryLabel),1,0)</f>
        <v>0</v>
      </c>
      <c r="AQ322">
        <f>IF(OR(AP322=1,AN322=MatchLabel),1,0)</f>
        <v>0</v>
      </c>
      <c r="AR322">
        <f>IF(OR(AN322=MatchLabel,AN322=SafetyLabel,AN322=SecureLabel,AN322=SureThingLabel),1,0)</f>
        <v>0</v>
      </c>
      <c r="AS322">
        <f>IF(OR(W322="H",W322="B",W322="I",W322="M"),IF(ISNUMBER(AB322),ROUND(AB322,2),0),IF(ISNUMBER(AA322),ROUND(AA322,2),0))</f>
        <v>0</v>
      </c>
      <c r="AT322">
        <f>IF(AS322&gt;=X322,1,0)</f>
        <v>0</v>
      </c>
      <c r="AU322">
        <f>IF(AS322&gt;=Y322,1,0)</f>
        <v>0</v>
      </c>
      <c r="AV322">
        <f>IF(AS322&lt;(X322-0.10),1,0)</f>
        <v>0</v>
      </c>
      <c r="AW322">
        <f>1-AM322/100</f>
        <v>0</v>
      </c>
      <c r="AX322">
        <f>IF(AQ322=1,AW322,1)</f>
        <v>0</v>
      </c>
      <c r="AY322">
        <f>IF(AP322=1,AW322,1)</f>
        <v>0</v>
      </c>
      <c r="AZ322">
        <f>IF(AND(AT322=1,ISNUMBER(AW322)),$AW322,1)</f>
        <v>0</v>
      </c>
      <c r="BA322">
        <f>IF(AND(AU322=1,ISNUMBER(AW322)),$AW322,1)</f>
        <v>0</v>
      </c>
      <c r="BB322">
        <f>IF(ISNUMBER(AB322),INDEX(AllCollegeMoney, MATCH(N322,AllCollegeNCES,0)),0)</f>
        <v>0</v>
      </c>
      <c r="BC322">
        <f>IF(AND(AT322=1,ISNUMBER(AW322),BB322=1),$AW322,1)</f>
        <v>0</v>
      </c>
      <c r="BD322">
        <f>IF(AND(AU322=1,ISNUMBER(AW322),BB322=1),$AW322,1)</f>
        <v>0</v>
      </c>
      <c r="BE322">
        <f>IF(ISNUMBER(AB322),INDEX(AllCollegeILPub, MATCH(N322,AllCollegeNCES,0)),0)</f>
        <v>0</v>
      </c>
      <c r="BF322">
        <f>IF(AN322=ReachLabel,AS322,0)</f>
        <v>0</v>
      </c>
      <c r="BG322">
        <f>IF(AN322=MatchLabel,AS322,0)</f>
        <v>0</v>
      </c>
      <c r="BH322">
        <f>IF(AN322=SafetyLabel,AS322,0)</f>
        <v>0</v>
      </c>
      <c r="BI322">
        <f>IF(AN322=SecureLabel,AS322,0)</f>
        <v>0</v>
      </c>
      <c r="BJ322">
        <f>IF(AN322=SureThingLabel,AS322,0)</f>
        <v>0</v>
      </c>
      <c r="BK322">
        <f>MAX(BF322:BJ322)</f>
        <v>0</v>
      </c>
      <c r="BL322">
        <f>MAX(BG322:BJ322)</f>
        <v>0</v>
      </c>
      <c r="BM322">
        <f>MAX(BH322:BJ322)</f>
        <v>0</v>
      </c>
      <c r="BN322">
        <f>IF(AND(AN322=ReachLabel,BB322=1),AS322,0)</f>
        <v>0</v>
      </c>
      <c r="BO322">
        <f>IF(AND(AN322=MatchLabel,BB322=1),AS322,0)</f>
        <v>0</v>
      </c>
      <c r="BP322">
        <f>IF(AND(AN322=SafetyLabel,BB322=1),AS322,0)</f>
        <v>0</v>
      </c>
      <c r="BQ322">
        <f>IF(AND(AN322=SecureLabel,BB322=1),AS322,0)</f>
        <v>0</v>
      </c>
      <c r="BR322">
        <f>IF(AND(AN322=SureThingLabel,BB322=1),AS322,0)</f>
        <v>0</v>
      </c>
      <c r="BS322">
        <f>MAX(BN322:BR322)</f>
        <v>0</v>
      </c>
      <c r="BT322">
        <f>MAX(BO322:BR322)</f>
        <v>0</v>
      </c>
      <c r="BU322">
        <f>MAX(BP322:BR322)</f>
        <v>0</v>
      </c>
      <c r="BV322">
        <f>IF(ISNUMBER(AB322),INDEX(AllCollegeChicago, MATCH(N322,AllCollegeNCES,0))*BB322,0)</f>
        <v>0</v>
      </c>
      <c r="BW322">
        <f>IF(ISNUMBER(AB322),INDEX(AllCollegeMoneyCode, MATCH(N322,AllCollegeNCES,0)),"?")</f>
        <v>0</v>
      </c>
      <c r="BX322">
        <f>IF(OR(BW322="---",BW322="--",BW322="+/--",BW322="+/---"),1,0)</f>
        <v>0</v>
      </c>
      <c r="BY322">
        <f>BB322*AR322*AT322</f>
        <v>0</v>
      </c>
    </row>
    <row r="323" spans="1:77">
      <c r="A323" t="s">
        <v>96</v>
      </c>
      <c r="B323">
        <v>23107053</v>
      </c>
      <c r="C323" t="s">
        <v>267</v>
      </c>
      <c r="D323" t="s">
        <v>268</v>
      </c>
      <c r="E323" t="s">
        <v>446</v>
      </c>
      <c r="F323" t="s">
        <v>519</v>
      </c>
      <c r="G323" t="s">
        <v>448</v>
      </c>
      <c r="H323" t="s">
        <v>449</v>
      </c>
      <c r="I323" t="s">
        <v>450</v>
      </c>
      <c r="J323" t="s">
        <v>450</v>
      </c>
      <c r="K323">
        <v>0</v>
      </c>
      <c r="L323" t="s">
        <v>446</v>
      </c>
      <c r="M323" t="s">
        <v>446</v>
      </c>
      <c r="N323">
        <v>145813</v>
      </c>
      <c r="O323">
        <f>INDEX(Counselor,MATCH(B323,KidIDs,0))</f>
        <v>0</v>
      </c>
      <c r="P323">
        <f>INDEX(Advisors,MATCH(B323,KidIDs,0))</f>
        <v>0</v>
      </c>
      <c r="Q323">
        <f>INDEX(Cohort,MATCH(B323,KidIDs,0))</f>
        <v>0</v>
      </c>
      <c r="R323">
        <f>INDEX(AllCollegeBarrons,MATCH(N323,AllCollegeNCES,0))</f>
        <v>0</v>
      </c>
      <c r="S323">
        <f>INDEX(KidGPAs,MATCH(B323,KidIDs,0))</f>
        <v>0</v>
      </c>
      <c r="T323">
        <f>INDEX(KidSATs,MATCH(B323,KidIDs,0))</f>
        <v>0</v>
      </c>
      <c r="U323">
        <f>INDEX(Strats,MATCH(B323,KidIDs,0))</f>
        <v>0</v>
      </c>
      <c r="V323">
        <f>INDEX(KidRace,MATCH(B323,KidIDs,0))</f>
        <v>0</v>
      </c>
      <c r="W323">
        <f>IF(OR(V323="M",V323="I"),"H",IF(V323="P","A",V323))</f>
        <v>0</v>
      </c>
      <c r="X323">
        <f>INDEX(StudentTargets,MATCH(B323,KidIDs,0))</f>
        <v>0</v>
      </c>
      <c r="Y323">
        <f>INDEX(ReachStudentTargets,MATCH(B323,KidIDs,0))</f>
        <v>0</v>
      </c>
      <c r="Z323">
        <f>IF(OR(M323="Posse"),1,0)</f>
        <v>0</v>
      </c>
      <c r="AA323">
        <f>IF(ISNUMBER(INDEX(AllCollegeGR, MATCH(N323,AllCollegeNCES,0))),ROUND(INDEX(AllCollegeGR, MATCH(N323,AllCollegeNCES,0))+Z323*IF(INDEX(AllCollegeGR, MATCH(N323,AllCollegeNCES,0))&gt;0.7,(1-INDEX(AllCollegeGR, MATCH(N323,AllCollegeNCES,0)))/2,0.15),2),INDEX(AllCollegeGR, MATCH(N323,AllCollegeNCES,0)))</f>
        <v>0</v>
      </c>
      <c r="AB323">
        <f>IF(ISNUMBER(INDEX(AllCollegeAAHGR, MATCH(N323,AllCollegeNCES,0))),ROUND(INDEX(AllCollegeAAHGR, MATCH(N323,AllCollegeNCES,0))+Z323*IF(INDEX(AllCollegeAAHGR, MATCH(N323,AllCollegeNCES,0))&gt;0.7,(1-INDEX(AllCollegeAAHGR, MATCH(N323,AllCollegeNCES,0)))/2,0.15),2),INDEX(AllCollegeAAHGR, MATCH(N323,AllCollegeNCES,0)))</f>
        <v>0</v>
      </c>
      <c r="AC323">
        <f>IF(OR(W323="H",W323="B"),INDEX(AllCollegeSAT25, MATCH(N323,AllCollegeNCES,0)),INDEX(AllCollegeSAT50, MATCH(N323,AllCollegeNCES,0)))</f>
        <v>0</v>
      </c>
      <c r="AD323">
        <f>INDEX(CustomWeightsGPA,MATCH(W323&amp;":"&amp;N323,CustomWeightsIndex,0))</f>
        <v>0</v>
      </c>
      <c r="AE323">
        <f>INDEX(CustomWeightsSAT,MATCH(W323&amp;":"&amp;N323,CustomWeightsIndex,0))</f>
        <v>0</v>
      </c>
      <c r="AF323">
        <f>INDEX(CustomWeightsIntercept,MATCH(W323&amp;":"&amp;N323,CustomWeightsIndex,0))</f>
        <v>0</v>
      </c>
      <c r="AG323">
        <f>AD323*S323+AE323*T323+AF323</f>
        <v>0</v>
      </c>
      <c r="AH323">
        <f>INDEX(CoefficientsGPA,MATCH(W323&amp;":"&amp;R323,CoefficientsIndex,0))</f>
        <v>0</v>
      </c>
      <c r="AI323">
        <f>INDEX(CoefficientsSAT,MATCH(W323&amp;":"&amp;R323,CoefficientsIndex,0))</f>
        <v>0</v>
      </c>
      <c r="AJ323">
        <f>INDEX(CoefficientsIntercept,MATCH(W323&amp;":"&amp;R323,CoefficientsIndex,0))</f>
        <v>0</v>
      </c>
      <c r="AK323">
        <f>AH323*S323+(T323-AC323)*AI323+AJ323</f>
        <v>0</v>
      </c>
      <c r="AL323">
        <f>IF(ISNUMBER(AG323),AG323,AK323)</f>
        <v>0</v>
      </c>
      <c r="AM323">
        <f>IF(ISNUMBER(AL323),IF(ISNUMBER(AH323),IF(AND(AH323=1,AI323=1,AJ323=1),100,MIN(99,ROUND(100*EXP(AL323)/(1+EXP(AL323)),2))),MIN(99,ROUND(100*EXP(AL323)/(1+EXP(AL323)),2))),IF(ISTEXT(R323),IF(LEFT(R323,1)="2",100,"N/A"),"N/A"))</f>
        <v>0</v>
      </c>
      <c r="AN323">
        <f>IF(ISNUMBER(AM323),IF(AM323&gt;=99,IF(OR(U323=10,U323=11),MatchLabel,SureThingLabel),IF(AM323&gt;=95,SecureLabel,IF(AM323&gt;=80,SafetyLabel,IF(AM323&gt;=50,MatchLabel,IF(AM323&gt;=20,ReachLabel,IF(AM323&gt;=10,LongshotLabel,HailMaryLabel)))))),"Other")</f>
        <v>0</v>
      </c>
      <c r="AO323">
        <f>IF(OR(I323="accepted",I323="cond. accept",I323="summer admit"),IF(J323="yes","CHOICE!","Accepted!"),IF(I323="guar. transfer","Guar. Xfer",IF(I323="denied","Denied",IF(K323=1,"Waitlist",IF(L323=1,"Deferred",IF(G323="pending","Pending",IF(OR(G323="initial materials submitted",G323="mid-year submitted",G323="final submitted"),"Submitted",IF(H323="interest","Interest","?"))))))))</f>
        <v>0</v>
      </c>
      <c r="AP323">
        <f>IF(OR(AN323=ReachLabel,AN323=LongshotLabel,AN323=HailMaryLabel),1,0)</f>
        <v>0</v>
      </c>
      <c r="AQ323">
        <f>IF(OR(AP323=1,AN323=MatchLabel),1,0)</f>
        <v>0</v>
      </c>
      <c r="AR323">
        <f>IF(OR(AN323=MatchLabel,AN323=SafetyLabel,AN323=SecureLabel,AN323=SureThingLabel),1,0)</f>
        <v>0</v>
      </c>
      <c r="AS323">
        <f>IF(OR(W323="H",W323="B",W323="I",W323="M"),IF(ISNUMBER(AB323),ROUND(AB323,2),0),IF(ISNUMBER(AA323),ROUND(AA323,2),0))</f>
        <v>0</v>
      </c>
      <c r="AT323">
        <f>IF(AS323&gt;=X323,1,0)</f>
        <v>0</v>
      </c>
      <c r="AU323">
        <f>IF(AS323&gt;=Y323,1,0)</f>
        <v>0</v>
      </c>
      <c r="AV323">
        <f>IF(AS323&lt;(X323-0.10),1,0)</f>
        <v>0</v>
      </c>
      <c r="AW323">
        <f>1-AM323/100</f>
        <v>0</v>
      </c>
      <c r="AX323">
        <f>IF(AQ323=1,AW323,1)</f>
        <v>0</v>
      </c>
      <c r="AY323">
        <f>IF(AP323=1,AW323,1)</f>
        <v>0</v>
      </c>
      <c r="AZ323">
        <f>IF(AND(AT323=1,ISNUMBER(AW323)),$AW323,1)</f>
        <v>0</v>
      </c>
      <c r="BA323">
        <f>IF(AND(AU323=1,ISNUMBER(AW323)),$AW323,1)</f>
        <v>0</v>
      </c>
      <c r="BB323">
        <f>IF(ISNUMBER(AB323),INDEX(AllCollegeMoney, MATCH(N323,AllCollegeNCES,0)),0)</f>
        <v>0</v>
      </c>
      <c r="BC323">
        <f>IF(AND(AT323=1,ISNUMBER(AW323),BB323=1),$AW323,1)</f>
        <v>0</v>
      </c>
      <c r="BD323">
        <f>IF(AND(AU323=1,ISNUMBER(AW323),BB323=1),$AW323,1)</f>
        <v>0</v>
      </c>
      <c r="BE323">
        <f>IF(ISNUMBER(AB323),INDEX(AllCollegeILPub, MATCH(N323,AllCollegeNCES,0)),0)</f>
        <v>0</v>
      </c>
      <c r="BF323">
        <f>IF(AN323=ReachLabel,AS323,0)</f>
        <v>0</v>
      </c>
      <c r="BG323">
        <f>IF(AN323=MatchLabel,AS323,0)</f>
        <v>0</v>
      </c>
      <c r="BH323">
        <f>IF(AN323=SafetyLabel,AS323,0)</f>
        <v>0</v>
      </c>
      <c r="BI323">
        <f>IF(AN323=SecureLabel,AS323,0)</f>
        <v>0</v>
      </c>
      <c r="BJ323">
        <f>IF(AN323=SureThingLabel,AS323,0)</f>
        <v>0</v>
      </c>
      <c r="BK323">
        <f>MAX(BF323:BJ323)</f>
        <v>0</v>
      </c>
      <c r="BL323">
        <f>MAX(BG323:BJ323)</f>
        <v>0</v>
      </c>
      <c r="BM323">
        <f>MAX(BH323:BJ323)</f>
        <v>0</v>
      </c>
      <c r="BN323">
        <f>IF(AND(AN323=ReachLabel,BB323=1),AS323,0)</f>
        <v>0</v>
      </c>
      <c r="BO323">
        <f>IF(AND(AN323=MatchLabel,BB323=1),AS323,0)</f>
        <v>0</v>
      </c>
      <c r="BP323">
        <f>IF(AND(AN323=SafetyLabel,BB323=1),AS323,0)</f>
        <v>0</v>
      </c>
      <c r="BQ323">
        <f>IF(AND(AN323=SecureLabel,BB323=1),AS323,0)</f>
        <v>0</v>
      </c>
      <c r="BR323">
        <f>IF(AND(AN323=SureThingLabel,BB323=1),AS323,0)</f>
        <v>0</v>
      </c>
      <c r="BS323">
        <f>MAX(BN323:BR323)</f>
        <v>0</v>
      </c>
      <c r="BT323">
        <f>MAX(BO323:BR323)</f>
        <v>0</v>
      </c>
      <c r="BU323">
        <f>MAX(BP323:BR323)</f>
        <v>0</v>
      </c>
      <c r="BV323">
        <f>IF(ISNUMBER(AB323),INDEX(AllCollegeChicago, MATCH(N323,AllCollegeNCES,0))*BB323,0)</f>
        <v>0</v>
      </c>
      <c r="BW323">
        <f>IF(ISNUMBER(AB323),INDEX(AllCollegeMoneyCode, MATCH(N323,AllCollegeNCES,0)),"?")</f>
        <v>0</v>
      </c>
      <c r="BX323">
        <f>IF(OR(BW323="---",BW323="--",BW323="+/--",BW323="+/---"),1,0)</f>
        <v>0</v>
      </c>
      <c r="BY323">
        <f>BB323*AR323*AT323</f>
        <v>0</v>
      </c>
    </row>
    <row r="324" spans="1:77">
      <c r="A324" t="s">
        <v>96</v>
      </c>
      <c r="B324">
        <v>23107053</v>
      </c>
      <c r="C324" t="s">
        <v>267</v>
      </c>
      <c r="D324" t="s">
        <v>268</v>
      </c>
      <c r="E324" t="s">
        <v>446</v>
      </c>
      <c r="F324" t="s">
        <v>481</v>
      </c>
      <c r="G324" t="s">
        <v>448</v>
      </c>
      <c r="H324" t="s">
        <v>449</v>
      </c>
      <c r="I324" t="s">
        <v>450</v>
      </c>
      <c r="J324" t="s">
        <v>450</v>
      </c>
      <c r="K324">
        <v>0</v>
      </c>
      <c r="L324" t="s">
        <v>446</v>
      </c>
      <c r="M324" t="s">
        <v>446</v>
      </c>
      <c r="N324">
        <v>153834</v>
      </c>
      <c r="O324">
        <f>INDEX(Counselor,MATCH(B324,KidIDs,0))</f>
        <v>0</v>
      </c>
      <c r="P324">
        <f>INDEX(Advisors,MATCH(B324,KidIDs,0))</f>
        <v>0</v>
      </c>
      <c r="Q324">
        <f>INDEX(Cohort,MATCH(B324,KidIDs,0))</f>
        <v>0</v>
      </c>
      <c r="R324">
        <f>INDEX(AllCollegeBarrons,MATCH(N324,AllCollegeNCES,0))</f>
        <v>0</v>
      </c>
      <c r="S324">
        <f>INDEX(KidGPAs,MATCH(B324,KidIDs,0))</f>
        <v>0</v>
      </c>
      <c r="T324">
        <f>INDEX(KidSATs,MATCH(B324,KidIDs,0))</f>
        <v>0</v>
      </c>
      <c r="U324">
        <f>INDEX(Strats,MATCH(B324,KidIDs,0))</f>
        <v>0</v>
      </c>
      <c r="V324">
        <f>INDEX(KidRace,MATCH(B324,KidIDs,0))</f>
        <v>0</v>
      </c>
      <c r="W324">
        <f>IF(OR(V324="M",V324="I"),"H",IF(V324="P","A",V324))</f>
        <v>0</v>
      </c>
      <c r="X324">
        <f>INDEX(StudentTargets,MATCH(B324,KidIDs,0))</f>
        <v>0</v>
      </c>
      <c r="Y324">
        <f>INDEX(ReachStudentTargets,MATCH(B324,KidIDs,0))</f>
        <v>0</v>
      </c>
      <c r="Z324">
        <f>IF(OR(M324="Posse"),1,0)</f>
        <v>0</v>
      </c>
      <c r="AA324">
        <f>IF(ISNUMBER(INDEX(AllCollegeGR, MATCH(N324,AllCollegeNCES,0))),ROUND(INDEX(AllCollegeGR, MATCH(N324,AllCollegeNCES,0))+Z324*IF(INDEX(AllCollegeGR, MATCH(N324,AllCollegeNCES,0))&gt;0.7,(1-INDEX(AllCollegeGR, MATCH(N324,AllCollegeNCES,0)))/2,0.15),2),INDEX(AllCollegeGR, MATCH(N324,AllCollegeNCES,0)))</f>
        <v>0</v>
      </c>
      <c r="AB324">
        <f>IF(ISNUMBER(INDEX(AllCollegeAAHGR, MATCH(N324,AllCollegeNCES,0))),ROUND(INDEX(AllCollegeAAHGR, MATCH(N324,AllCollegeNCES,0))+Z324*IF(INDEX(AllCollegeAAHGR, MATCH(N324,AllCollegeNCES,0))&gt;0.7,(1-INDEX(AllCollegeAAHGR, MATCH(N324,AllCollegeNCES,0)))/2,0.15),2),INDEX(AllCollegeAAHGR, MATCH(N324,AllCollegeNCES,0)))</f>
        <v>0</v>
      </c>
      <c r="AC324">
        <f>IF(OR(W324="H",W324="B"),INDEX(AllCollegeSAT25, MATCH(N324,AllCollegeNCES,0)),INDEX(AllCollegeSAT50, MATCH(N324,AllCollegeNCES,0)))</f>
        <v>0</v>
      </c>
      <c r="AD324">
        <f>INDEX(CustomWeightsGPA,MATCH(W324&amp;":"&amp;N324,CustomWeightsIndex,0))</f>
        <v>0</v>
      </c>
      <c r="AE324">
        <f>INDEX(CustomWeightsSAT,MATCH(W324&amp;":"&amp;N324,CustomWeightsIndex,0))</f>
        <v>0</v>
      </c>
      <c r="AF324">
        <f>INDEX(CustomWeightsIntercept,MATCH(W324&amp;":"&amp;N324,CustomWeightsIndex,0))</f>
        <v>0</v>
      </c>
      <c r="AG324">
        <f>AD324*S324+AE324*T324+AF324</f>
        <v>0</v>
      </c>
      <c r="AH324">
        <f>INDEX(CoefficientsGPA,MATCH(W324&amp;":"&amp;R324,CoefficientsIndex,0))</f>
        <v>0</v>
      </c>
      <c r="AI324">
        <f>INDEX(CoefficientsSAT,MATCH(W324&amp;":"&amp;R324,CoefficientsIndex,0))</f>
        <v>0</v>
      </c>
      <c r="AJ324">
        <f>INDEX(CoefficientsIntercept,MATCH(W324&amp;":"&amp;R324,CoefficientsIndex,0))</f>
        <v>0</v>
      </c>
      <c r="AK324">
        <f>AH324*S324+(T324-AC324)*AI324+AJ324</f>
        <v>0</v>
      </c>
      <c r="AL324">
        <f>IF(ISNUMBER(AG324),AG324,AK324)</f>
        <v>0</v>
      </c>
      <c r="AM324">
        <f>IF(ISNUMBER(AL324),IF(ISNUMBER(AH324),IF(AND(AH324=1,AI324=1,AJ324=1),100,MIN(99,ROUND(100*EXP(AL324)/(1+EXP(AL324)),2))),MIN(99,ROUND(100*EXP(AL324)/(1+EXP(AL324)),2))),IF(ISTEXT(R324),IF(LEFT(R324,1)="2",100,"N/A"),"N/A"))</f>
        <v>0</v>
      </c>
      <c r="AN324">
        <f>IF(ISNUMBER(AM324),IF(AM324&gt;=99,IF(OR(U324=10,U324=11),MatchLabel,SureThingLabel),IF(AM324&gt;=95,SecureLabel,IF(AM324&gt;=80,SafetyLabel,IF(AM324&gt;=50,MatchLabel,IF(AM324&gt;=20,ReachLabel,IF(AM324&gt;=10,LongshotLabel,HailMaryLabel)))))),"Other")</f>
        <v>0</v>
      </c>
      <c r="AO324">
        <f>IF(OR(I324="accepted",I324="cond. accept",I324="summer admit"),IF(J324="yes","CHOICE!","Accepted!"),IF(I324="guar. transfer","Guar. Xfer",IF(I324="denied","Denied",IF(K324=1,"Waitlist",IF(L324=1,"Deferred",IF(G324="pending","Pending",IF(OR(G324="initial materials submitted",G324="mid-year submitted",G324="final submitted"),"Submitted",IF(H324="interest","Interest","?"))))))))</f>
        <v>0</v>
      </c>
      <c r="AP324">
        <f>IF(OR(AN324=ReachLabel,AN324=LongshotLabel,AN324=HailMaryLabel),1,0)</f>
        <v>0</v>
      </c>
      <c r="AQ324">
        <f>IF(OR(AP324=1,AN324=MatchLabel),1,0)</f>
        <v>0</v>
      </c>
      <c r="AR324">
        <f>IF(OR(AN324=MatchLabel,AN324=SafetyLabel,AN324=SecureLabel,AN324=SureThingLabel),1,0)</f>
        <v>0</v>
      </c>
      <c r="AS324">
        <f>IF(OR(W324="H",W324="B",W324="I",W324="M"),IF(ISNUMBER(AB324),ROUND(AB324,2),0),IF(ISNUMBER(AA324),ROUND(AA324,2),0))</f>
        <v>0</v>
      </c>
      <c r="AT324">
        <f>IF(AS324&gt;=X324,1,0)</f>
        <v>0</v>
      </c>
      <c r="AU324">
        <f>IF(AS324&gt;=Y324,1,0)</f>
        <v>0</v>
      </c>
      <c r="AV324">
        <f>IF(AS324&lt;(X324-0.10),1,0)</f>
        <v>0</v>
      </c>
      <c r="AW324">
        <f>1-AM324/100</f>
        <v>0</v>
      </c>
      <c r="AX324">
        <f>IF(AQ324=1,AW324,1)</f>
        <v>0</v>
      </c>
      <c r="AY324">
        <f>IF(AP324=1,AW324,1)</f>
        <v>0</v>
      </c>
      <c r="AZ324">
        <f>IF(AND(AT324=1,ISNUMBER(AW324)),$AW324,1)</f>
        <v>0</v>
      </c>
      <c r="BA324">
        <f>IF(AND(AU324=1,ISNUMBER(AW324)),$AW324,1)</f>
        <v>0</v>
      </c>
      <c r="BB324">
        <f>IF(ISNUMBER(AB324),INDEX(AllCollegeMoney, MATCH(N324,AllCollegeNCES,0)),0)</f>
        <v>0</v>
      </c>
      <c r="BC324">
        <f>IF(AND(AT324=1,ISNUMBER(AW324),BB324=1),$AW324,1)</f>
        <v>0</v>
      </c>
      <c r="BD324">
        <f>IF(AND(AU324=1,ISNUMBER(AW324),BB324=1),$AW324,1)</f>
        <v>0</v>
      </c>
      <c r="BE324">
        <f>IF(ISNUMBER(AB324),INDEX(AllCollegeILPub, MATCH(N324,AllCollegeNCES,0)),0)</f>
        <v>0</v>
      </c>
      <c r="BF324">
        <f>IF(AN324=ReachLabel,AS324,0)</f>
        <v>0</v>
      </c>
      <c r="BG324">
        <f>IF(AN324=MatchLabel,AS324,0)</f>
        <v>0</v>
      </c>
      <c r="BH324">
        <f>IF(AN324=SafetyLabel,AS324,0)</f>
        <v>0</v>
      </c>
      <c r="BI324">
        <f>IF(AN324=SecureLabel,AS324,0)</f>
        <v>0</v>
      </c>
      <c r="BJ324">
        <f>IF(AN324=SureThingLabel,AS324,0)</f>
        <v>0</v>
      </c>
      <c r="BK324">
        <f>MAX(BF324:BJ324)</f>
        <v>0</v>
      </c>
      <c r="BL324">
        <f>MAX(BG324:BJ324)</f>
        <v>0</v>
      </c>
      <c r="BM324">
        <f>MAX(BH324:BJ324)</f>
        <v>0</v>
      </c>
      <c r="BN324">
        <f>IF(AND(AN324=ReachLabel,BB324=1),AS324,0)</f>
        <v>0</v>
      </c>
      <c r="BO324">
        <f>IF(AND(AN324=MatchLabel,BB324=1),AS324,0)</f>
        <v>0</v>
      </c>
      <c r="BP324">
        <f>IF(AND(AN324=SafetyLabel,BB324=1),AS324,0)</f>
        <v>0</v>
      </c>
      <c r="BQ324">
        <f>IF(AND(AN324=SecureLabel,BB324=1),AS324,0)</f>
        <v>0</v>
      </c>
      <c r="BR324">
        <f>IF(AND(AN324=SureThingLabel,BB324=1),AS324,0)</f>
        <v>0</v>
      </c>
      <c r="BS324">
        <f>MAX(BN324:BR324)</f>
        <v>0</v>
      </c>
      <c r="BT324">
        <f>MAX(BO324:BR324)</f>
        <v>0</v>
      </c>
      <c r="BU324">
        <f>MAX(BP324:BR324)</f>
        <v>0</v>
      </c>
      <c r="BV324">
        <f>IF(ISNUMBER(AB324),INDEX(AllCollegeChicago, MATCH(N324,AllCollegeNCES,0))*BB324,0)</f>
        <v>0</v>
      </c>
      <c r="BW324">
        <f>IF(ISNUMBER(AB324),INDEX(AllCollegeMoneyCode, MATCH(N324,AllCollegeNCES,0)),"?")</f>
        <v>0</v>
      </c>
      <c r="BX324">
        <f>IF(OR(BW324="---",BW324="--",BW324="+/--",BW324="+/---"),1,0)</f>
        <v>0</v>
      </c>
      <c r="BY324">
        <f>BB324*AR324*AT324</f>
        <v>0</v>
      </c>
    </row>
    <row r="325" spans="1:77">
      <c r="A325" t="s">
        <v>96</v>
      </c>
      <c r="B325">
        <v>23107053</v>
      </c>
      <c r="C325" t="s">
        <v>267</v>
      </c>
      <c r="D325" t="s">
        <v>268</v>
      </c>
      <c r="E325" t="s">
        <v>446</v>
      </c>
      <c r="F325" t="s">
        <v>453</v>
      </c>
      <c r="G325" t="s">
        <v>448</v>
      </c>
      <c r="H325" t="s">
        <v>449</v>
      </c>
      <c r="I325" t="s">
        <v>450</v>
      </c>
      <c r="J325" t="s">
        <v>450</v>
      </c>
      <c r="K325">
        <v>0</v>
      </c>
      <c r="L325" t="s">
        <v>446</v>
      </c>
      <c r="M325" t="s">
        <v>454</v>
      </c>
      <c r="N325">
        <v>150774</v>
      </c>
      <c r="O325">
        <f>INDEX(Counselor,MATCH(B325,KidIDs,0))</f>
        <v>0</v>
      </c>
      <c r="P325">
        <f>INDEX(Advisors,MATCH(B325,KidIDs,0))</f>
        <v>0</v>
      </c>
      <c r="Q325">
        <f>INDEX(Cohort,MATCH(B325,KidIDs,0))</f>
        <v>0</v>
      </c>
      <c r="R325">
        <f>INDEX(AllCollegeBarrons,MATCH(N325,AllCollegeNCES,0))</f>
        <v>0</v>
      </c>
      <c r="S325">
        <f>INDEX(KidGPAs,MATCH(B325,KidIDs,0))</f>
        <v>0</v>
      </c>
      <c r="T325">
        <f>INDEX(KidSATs,MATCH(B325,KidIDs,0))</f>
        <v>0</v>
      </c>
      <c r="U325">
        <f>INDEX(Strats,MATCH(B325,KidIDs,0))</f>
        <v>0</v>
      </c>
      <c r="V325">
        <f>INDEX(KidRace,MATCH(B325,KidIDs,0))</f>
        <v>0</v>
      </c>
      <c r="W325">
        <f>IF(OR(V325="M",V325="I"),"H",IF(V325="P","A",V325))</f>
        <v>0</v>
      </c>
      <c r="X325">
        <f>INDEX(StudentTargets,MATCH(B325,KidIDs,0))</f>
        <v>0</v>
      </c>
      <c r="Y325">
        <f>INDEX(ReachStudentTargets,MATCH(B325,KidIDs,0))</f>
        <v>0</v>
      </c>
      <c r="Z325">
        <f>IF(OR(M325="Posse"),1,0)</f>
        <v>0</v>
      </c>
      <c r="AA325">
        <f>IF(ISNUMBER(INDEX(AllCollegeGR, MATCH(N325,AllCollegeNCES,0))),ROUND(INDEX(AllCollegeGR, MATCH(N325,AllCollegeNCES,0))+Z325*IF(INDEX(AllCollegeGR, MATCH(N325,AllCollegeNCES,0))&gt;0.7,(1-INDEX(AllCollegeGR, MATCH(N325,AllCollegeNCES,0)))/2,0.15),2),INDEX(AllCollegeGR, MATCH(N325,AllCollegeNCES,0)))</f>
        <v>0</v>
      </c>
      <c r="AB325">
        <f>IF(ISNUMBER(INDEX(AllCollegeAAHGR, MATCH(N325,AllCollegeNCES,0))),ROUND(INDEX(AllCollegeAAHGR, MATCH(N325,AllCollegeNCES,0))+Z325*IF(INDEX(AllCollegeAAHGR, MATCH(N325,AllCollegeNCES,0))&gt;0.7,(1-INDEX(AllCollegeAAHGR, MATCH(N325,AllCollegeNCES,0)))/2,0.15),2),INDEX(AllCollegeAAHGR, MATCH(N325,AllCollegeNCES,0)))</f>
        <v>0</v>
      </c>
      <c r="AC325">
        <f>IF(OR(W325="H",W325="B"),INDEX(AllCollegeSAT25, MATCH(N325,AllCollegeNCES,0)),INDEX(AllCollegeSAT50, MATCH(N325,AllCollegeNCES,0)))</f>
        <v>0</v>
      </c>
      <c r="AD325">
        <f>INDEX(CustomWeightsGPA,MATCH(W325&amp;":"&amp;N325,CustomWeightsIndex,0))</f>
        <v>0</v>
      </c>
      <c r="AE325">
        <f>INDEX(CustomWeightsSAT,MATCH(W325&amp;":"&amp;N325,CustomWeightsIndex,0))</f>
        <v>0</v>
      </c>
      <c r="AF325">
        <f>INDEX(CustomWeightsIntercept,MATCH(W325&amp;":"&amp;N325,CustomWeightsIndex,0))</f>
        <v>0</v>
      </c>
      <c r="AG325">
        <f>AD325*S325+AE325*T325+AF325</f>
        <v>0</v>
      </c>
      <c r="AH325">
        <f>INDEX(CoefficientsGPA,MATCH(W325&amp;":"&amp;R325,CoefficientsIndex,0))</f>
        <v>0</v>
      </c>
      <c r="AI325">
        <f>INDEX(CoefficientsSAT,MATCH(W325&amp;":"&amp;R325,CoefficientsIndex,0))</f>
        <v>0</v>
      </c>
      <c r="AJ325">
        <f>INDEX(CoefficientsIntercept,MATCH(W325&amp;":"&amp;R325,CoefficientsIndex,0))</f>
        <v>0</v>
      </c>
      <c r="AK325">
        <f>AH325*S325+(T325-AC325)*AI325+AJ325</f>
        <v>0</v>
      </c>
      <c r="AL325">
        <f>IF(ISNUMBER(AG325),AG325,AK325)</f>
        <v>0</v>
      </c>
      <c r="AM325">
        <f>IF(ISNUMBER(AL325),IF(ISNUMBER(AH325),IF(AND(AH325=1,AI325=1,AJ325=1),100,MIN(99,ROUND(100*EXP(AL325)/(1+EXP(AL325)),2))),MIN(99,ROUND(100*EXP(AL325)/(1+EXP(AL325)),2))),IF(ISTEXT(R325),IF(LEFT(R325,1)="2",100,"N/A"),"N/A"))</f>
        <v>0</v>
      </c>
      <c r="AN325">
        <f>IF(ISNUMBER(AM325),IF(AM325&gt;=99,IF(OR(U325=10,U325=11),MatchLabel,SureThingLabel),IF(AM325&gt;=95,SecureLabel,IF(AM325&gt;=80,SafetyLabel,IF(AM325&gt;=50,MatchLabel,IF(AM325&gt;=20,ReachLabel,IF(AM325&gt;=10,LongshotLabel,HailMaryLabel)))))),"Other")</f>
        <v>0</v>
      </c>
      <c r="AO325">
        <f>IF(OR(I325="accepted",I325="cond. accept",I325="summer admit"),IF(J325="yes","CHOICE!","Accepted!"),IF(I325="guar. transfer","Guar. Xfer",IF(I325="denied","Denied",IF(K325=1,"Waitlist",IF(L325=1,"Deferred",IF(G325="pending","Pending",IF(OR(G325="initial materials submitted",G325="mid-year submitted",G325="final submitted"),"Submitted",IF(H325="interest","Interest","?"))))))))</f>
        <v>0</v>
      </c>
      <c r="AP325">
        <f>IF(OR(AN325=ReachLabel,AN325=LongshotLabel,AN325=HailMaryLabel),1,0)</f>
        <v>0</v>
      </c>
      <c r="AQ325">
        <f>IF(OR(AP325=1,AN325=MatchLabel),1,0)</f>
        <v>0</v>
      </c>
      <c r="AR325">
        <f>IF(OR(AN325=MatchLabel,AN325=SafetyLabel,AN325=SecureLabel,AN325=SureThingLabel),1,0)</f>
        <v>0</v>
      </c>
      <c r="AS325">
        <f>IF(OR(W325="H",W325="B",W325="I",W325="M"),IF(ISNUMBER(AB325),ROUND(AB325,2),0),IF(ISNUMBER(AA325),ROUND(AA325,2),0))</f>
        <v>0</v>
      </c>
      <c r="AT325">
        <f>IF(AS325&gt;=X325,1,0)</f>
        <v>0</v>
      </c>
      <c r="AU325">
        <f>IF(AS325&gt;=Y325,1,0)</f>
        <v>0</v>
      </c>
      <c r="AV325">
        <f>IF(AS325&lt;(X325-0.10),1,0)</f>
        <v>0</v>
      </c>
      <c r="AW325">
        <f>1-AM325/100</f>
        <v>0</v>
      </c>
      <c r="AX325">
        <f>IF(AQ325=1,AW325,1)</f>
        <v>0</v>
      </c>
      <c r="AY325">
        <f>IF(AP325=1,AW325,1)</f>
        <v>0</v>
      </c>
      <c r="AZ325">
        <f>IF(AND(AT325=1,ISNUMBER(AW325)),$AW325,1)</f>
        <v>0</v>
      </c>
      <c r="BA325">
        <f>IF(AND(AU325=1,ISNUMBER(AW325)),$AW325,1)</f>
        <v>0</v>
      </c>
      <c r="BB325">
        <f>IF(ISNUMBER(AB325),INDEX(AllCollegeMoney, MATCH(N325,AllCollegeNCES,0)),0)</f>
        <v>0</v>
      </c>
      <c r="BC325">
        <f>IF(AND(AT325=1,ISNUMBER(AW325),BB325=1),$AW325,1)</f>
        <v>0</v>
      </c>
      <c r="BD325">
        <f>IF(AND(AU325=1,ISNUMBER(AW325),BB325=1),$AW325,1)</f>
        <v>0</v>
      </c>
      <c r="BE325">
        <f>IF(ISNUMBER(AB325),INDEX(AllCollegeILPub, MATCH(N325,AllCollegeNCES,0)),0)</f>
        <v>0</v>
      </c>
      <c r="BF325">
        <f>IF(AN325=ReachLabel,AS325,0)</f>
        <v>0</v>
      </c>
      <c r="BG325">
        <f>IF(AN325=MatchLabel,AS325,0)</f>
        <v>0</v>
      </c>
      <c r="BH325">
        <f>IF(AN325=SafetyLabel,AS325,0)</f>
        <v>0</v>
      </c>
      <c r="BI325">
        <f>IF(AN325=SecureLabel,AS325,0)</f>
        <v>0</v>
      </c>
      <c r="BJ325">
        <f>IF(AN325=SureThingLabel,AS325,0)</f>
        <v>0</v>
      </c>
      <c r="BK325">
        <f>MAX(BF325:BJ325)</f>
        <v>0</v>
      </c>
      <c r="BL325">
        <f>MAX(BG325:BJ325)</f>
        <v>0</v>
      </c>
      <c r="BM325">
        <f>MAX(BH325:BJ325)</f>
        <v>0</v>
      </c>
      <c r="BN325">
        <f>IF(AND(AN325=ReachLabel,BB325=1),AS325,0)</f>
        <v>0</v>
      </c>
      <c r="BO325">
        <f>IF(AND(AN325=MatchLabel,BB325=1),AS325,0)</f>
        <v>0</v>
      </c>
      <c r="BP325">
        <f>IF(AND(AN325=SafetyLabel,BB325=1),AS325,0)</f>
        <v>0</v>
      </c>
      <c r="BQ325">
        <f>IF(AND(AN325=SecureLabel,BB325=1),AS325,0)</f>
        <v>0</v>
      </c>
      <c r="BR325">
        <f>IF(AND(AN325=SureThingLabel,BB325=1),AS325,0)</f>
        <v>0</v>
      </c>
      <c r="BS325">
        <f>MAX(BN325:BR325)</f>
        <v>0</v>
      </c>
      <c r="BT325">
        <f>MAX(BO325:BR325)</f>
        <v>0</v>
      </c>
      <c r="BU325">
        <f>MAX(BP325:BR325)</f>
        <v>0</v>
      </c>
      <c r="BV325">
        <f>IF(ISNUMBER(AB325),INDEX(AllCollegeChicago, MATCH(N325,AllCollegeNCES,0))*BB325,0)</f>
        <v>0</v>
      </c>
      <c r="BW325">
        <f>IF(ISNUMBER(AB325),INDEX(AllCollegeMoneyCode, MATCH(N325,AllCollegeNCES,0)),"?")</f>
        <v>0</v>
      </c>
      <c r="BX325">
        <f>IF(OR(BW325="---",BW325="--",BW325="+/--",BW325="+/---"),1,0)</f>
        <v>0</v>
      </c>
      <c r="BY325">
        <f>BB325*AR325*AT325</f>
        <v>0</v>
      </c>
    </row>
    <row r="326" spans="1:77">
      <c r="A326" t="s">
        <v>96</v>
      </c>
      <c r="B326">
        <v>23152737</v>
      </c>
      <c r="C326" t="s">
        <v>221</v>
      </c>
      <c r="D326" t="s">
        <v>222</v>
      </c>
      <c r="E326" t="s">
        <v>446</v>
      </c>
      <c r="F326" t="s">
        <v>447</v>
      </c>
      <c r="G326" t="s">
        <v>448</v>
      </c>
      <c r="H326" t="s">
        <v>449</v>
      </c>
      <c r="I326" t="s">
        <v>450</v>
      </c>
      <c r="J326" t="s">
        <v>450</v>
      </c>
      <c r="K326">
        <v>0</v>
      </c>
      <c r="L326" t="s">
        <v>446</v>
      </c>
      <c r="M326" t="s">
        <v>446</v>
      </c>
      <c r="N326">
        <v>148496</v>
      </c>
      <c r="O326">
        <f>INDEX(Counselor,MATCH(B326,KidIDs,0))</f>
        <v>0</v>
      </c>
      <c r="P326">
        <f>INDEX(Advisors,MATCH(B326,KidIDs,0))</f>
        <v>0</v>
      </c>
      <c r="Q326">
        <f>INDEX(Cohort,MATCH(B326,KidIDs,0))</f>
        <v>0</v>
      </c>
      <c r="R326">
        <f>INDEX(AllCollegeBarrons,MATCH(N326,AllCollegeNCES,0))</f>
        <v>0</v>
      </c>
      <c r="S326">
        <f>INDEX(KidGPAs,MATCH(B326,KidIDs,0))</f>
        <v>0</v>
      </c>
      <c r="T326">
        <f>INDEX(KidSATs,MATCH(B326,KidIDs,0))</f>
        <v>0</v>
      </c>
      <c r="U326">
        <f>INDEX(Strats,MATCH(B326,KidIDs,0))</f>
        <v>0</v>
      </c>
      <c r="V326">
        <f>INDEX(KidRace,MATCH(B326,KidIDs,0))</f>
        <v>0</v>
      </c>
      <c r="W326">
        <f>IF(OR(V326="M",V326="I"),"H",IF(V326="P","A",V326))</f>
        <v>0</v>
      </c>
      <c r="X326">
        <f>INDEX(StudentTargets,MATCH(B326,KidIDs,0))</f>
        <v>0</v>
      </c>
      <c r="Y326">
        <f>INDEX(ReachStudentTargets,MATCH(B326,KidIDs,0))</f>
        <v>0</v>
      </c>
      <c r="Z326">
        <f>IF(OR(M326="Posse"),1,0)</f>
        <v>0</v>
      </c>
      <c r="AA326">
        <f>IF(ISNUMBER(INDEX(AllCollegeGR, MATCH(N326,AllCollegeNCES,0))),ROUND(INDEX(AllCollegeGR, MATCH(N326,AllCollegeNCES,0))+Z326*IF(INDEX(AllCollegeGR, MATCH(N326,AllCollegeNCES,0))&gt;0.7,(1-INDEX(AllCollegeGR, MATCH(N326,AllCollegeNCES,0)))/2,0.15),2),INDEX(AllCollegeGR, MATCH(N326,AllCollegeNCES,0)))</f>
        <v>0</v>
      </c>
      <c r="AB326">
        <f>IF(ISNUMBER(INDEX(AllCollegeAAHGR, MATCH(N326,AllCollegeNCES,0))),ROUND(INDEX(AllCollegeAAHGR, MATCH(N326,AllCollegeNCES,0))+Z326*IF(INDEX(AllCollegeAAHGR, MATCH(N326,AllCollegeNCES,0))&gt;0.7,(1-INDEX(AllCollegeAAHGR, MATCH(N326,AllCollegeNCES,0)))/2,0.15),2),INDEX(AllCollegeAAHGR, MATCH(N326,AllCollegeNCES,0)))</f>
        <v>0</v>
      </c>
      <c r="AC326">
        <f>IF(OR(W326="H",W326="B"),INDEX(AllCollegeSAT25, MATCH(N326,AllCollegeNCES,0)),INDEX(AllCollegeSAT50, MATCH(N326,AllCollegeNCES,0)))</f>
        <v>0</v>
      </c>
      <c r="AD326">
        <f>INDEX(CustomWeightsGPA,MATCH(W326&amp;":"&amp;N326,CustomWeightsIndex,0))</f>
        <v>0</v>
      </c>
      <c r="AE326">
        <f>INDEX(CustomWeightsSAT,MATCH(W326&amp;":"&amp;N326,CustomWeightsIndex,0))</f>
        <v>0</v>
      </c>
      <c r="AF326">
        <f>INDEX(CustomWeightsIntercept,MATCH(W326&amp;":"&amp;N326,CustomWeightsIndex,0))</f>
        <v>0</v>
      </c>
      <c r="AG326">
        <f>AD326*S326+AE326*T326+AF326</f>
        <v>0</v>
      </c>
      <c r="AH326">
        <f>INDEX(CoefficientsGPA,MATCH(W326&amp;":"&amp;R326,CoefficientsIndex,0))</f>
        <v>0</v>
      </c>
      <c r="AI326">
        <f>INDEX(CoefficientsSAT,MATCH(W326&amp;":"&amp;R326,CoefficientsIndex,0))</f>
        <v>0</v>
      </c>
      <c r="AJ326">
        <f>INDEX(CoefficientsIntercept,MATCH(W326&amp;":"&amp;R326,CoefficientsIndex,0))</f>
        <v>0</v>
      </c>
      <c r="AK326">
        <f>AH326*S326+(T326-AC326)*AI326+AJ326</f>
        <v>0</v>
      </c>
      <c r="AL326">
        <f>IF(ISNUMBER(AG326),AG326,AK326)</f>
        <v>0</v>
      </c>
      <c r="AM326">
        <f>IF(ISNUMBER(AL326),IF(ISNUMBER(AH326),IF(AND(AH326=1,AI326=1,AJ326=1),100,MIN(99,ROUND(100*EXP(AL326)/(1+EXP(AL326)),2))),MIN(99,ROUND(100*EXP(AL326)/(1+EXP(AL326)),2))),IF(ISTEXT(R326),IF(LEFT(R326,1)="2",100,"N/A"),"N/A"))</f>
        <v>0</v>
      </c>
      <c r="AN326">
        <f>IF(ISNUMBER(AM326),IF(AM326&gt;=99,IF(OR(U326=10,U326=11),MatchLabel,SureThingLabel),IF(AM326&gt;=95,SecureLabel,IF(AM326&gt;=80,SafetyLabel,IF(AM326&gt;=50,MatchLabel,IF(AM326&gt;=20,ReachLabel,IF(AM326&gt;=10,LongshotLabel,HailMaryLabel)))))),"Other")</f>
        <v>0</v>
      </c>
      <c r="AO326">
        <f>IF(OR(I326="accepted",I326="cond. accept",I326="summer admit"),IF(J326="yes","CHOICE!","Accepted!"),IF(I326="guar. transfer","Guar. Xfer",IF(I326="denied","Denied",IF(K326=1,"Waitlist",IF(L326=1,"Deferred",IF(G326="pending","Pending",IF(OR(G326="initial materials submitted",G326="mid-year submitted",G326="final submitted"),"Submitted",IF(H326="interest","Interest","?"))))))))</f>
        <v>0</v>
      </c>
      <c r="AP326">
        <f>IF(OR(AN326=ReachLabel,AN326=LongshotLabel,AN326=HailMaryLabel),1,0)</f>
        <v>0</v>
      </c>
      <c r="AQ326">
        <f>IF(OR(AP326=1,AN326=MatchLabel),1,0)</f>
        <v>0</v>
      </c>
      <c r="AR326">
        <f>IF(OR(AN326=MatchLabel,AN326=SafetyLabel,AN326=SecureLabel,AN326=SureThingLabel),1,0)</f>
        <v>0</v>
      </c>
      <c r="AS326">
        <f>IF(OR(W326="H",W326="B",W326="I",W326="M"),IF(ISNUMBER(AB326),ROUND(AB326,2),0),IF(ISNUMBER(AA326),ROUND(AA326,2),0))</f>
        <v>0</v>
      </c>
      <c r="AT326">
        <f>IF(AS326&gt;=X326,1,0)</f>
        <v>0</v>
      </c>
      <c r="AU326">
        <f>IF(AS326&gt;=Y326,1,0)</f>
        <v>0</v>
      </c>
      <c r="AV326">
        <f>IF(AS326&lt;(X326-0.10),1,0)</f>
        <v>0</v>
      </c>
      <c r="AW326">
        <f>1-AM326/100</f>
        <v>0</v>
      </c>
      <c r="AX326">
        <f>IF(AQ326=1,AW326,1)</f>
        <v>0</v>
      </c>
      <c r="AY326">
        <f>IF(AP326=1,AW326,1)</f>
        <v>0</v>
      </c>
      <c r="AZ326">
        <f>IF(AND(AT326=1,ISNUMBER(AW326)),$AW326,1)</f>
        <v>0</v>
      </c>
      <c r="BA326">
        <f>IF(AND(AU326=1,ISNUMBER(AW326)),$AW326,1)</f>
        <v>0</v>
      </c>
      <c r="BB326">
        <f>IF(ISNUMBER(AB326),INDEX(AllCollegeMoney, MATCH(N326,AllCollegeNCES,0)),0)</f>
        <v>0</v>
      </c>
      <c r="BC326">
        <f>IF(AND(AT326=1,ISNUMBER(AW326),BB326=1),$AW326,1)</f>
        <v>0</v>
      </c>
      <c r="BD326">
        <f>IF(AND(AU326=1,ISNUMBER(AW326),BB326=1),$AW326,1)</f>
        <v>0</v>
      </c>
      <c r="BE326">
        <f>IF(ISNUMBER(AB326),INDEX(AllCollegeILPub, MATCH(N326,AllCollegeNCES,0)),0)</f>
        <v>0</v>
      </c>
      <c r="BF326">
        <f>IF(AN326=ReachLabel,AS326,0)</f>
        <v>0</v>
      </c>
      <c r="BG326">
        <f>IF(AN326=MatchLabel,AS326,0)</f>
        <v>0</v>
      </c>
      <c r="BH326">
        <f>IF(AN326=SafetyLabel,AS326,0)</f>
        <v>0</v>
      </c>
      <c r="BI326">
        <f>IF(AN326=SecureLabel,AS326,0)</f>
        <v>0</v>
      </c>
      <c r="BJ326">
        <f>IF(AN326=SureThingLabel,AS326,0)</f>
        <v>0</v>
      </c>
      <c r="BK326">
        <f>MAX(BF326:BJ326)</f>
        <v>0</v>
      </c>
      <c r="BL326">
        <f>MAX(BG326:BJ326)</f>
        <v>0</v>
      </c>
      <c r="BM326">
        <f>MAX(BH326:BJ326)</f>
        <v>0</v>
      </c>
      <c r="BN326">
        <f>IF(AND(AN326=ReachLabel,BB326=1),AS326,0)</f>
        <v>0</v>
      </c>
      <c r="BO326">
        <f>IF(AND(AN326=MatchLabel,BB326=1),AS326,0)</f>
        <v>0</v>
      </c>
      <c r="BP326">
        <f>IF(AND(AN326=SafetyLabel,BB326=1),AS326,0)</f>
        <v>0</v>
      </c>
      <c r="BQ326">
        <f>IF(AND(AN326=SecureLabel,BB326=1),AS326,0)</f>
        <v>0</v>
      </c>
      <c r="BR326">
        <f>IF(AND(AN326=SureThingLabel,BB326=1),AS326,0)</f>
        <v>0</v>
      </c>
      <c r="BS326">
        <f>MAX(BN326:BR326)</f>
        <v>0</v>
      </c>
      <c r="BT326">
        <f>MAX(BO326:BR326)</f>
        <v>0</v>
      </c>
      <c r="BU326">
        <f>MAX(BP326:BR326)</f>
        <v>0</v>
      </c>
      <c r="BV326">
        <f>IF(ISNUMBER(AB326),INDEX(AllCollegeChicago, MATCH(N326,AllCollegeNCES,0))*BB326,0)</f>
        <v>0</v>
      </c>
      <c r="BW326">
        <f>IF(ISNUMBER(AB326),INDEX(AllCollegeMoneyCode, MATCH(N326,AllCollegeNCES,0)),"?")</f>
        <v>0</v>
      </c>
      <c r="BX326">
        <f>IF(OR(BW326="---",BW326="--",BW326="+/--",BW326="+/---"),1,0)</f>
        <v>0</v>
      </c>
      <c r="BY326">
        <f>BB326*AR326*AT326</f>
        <v>0</v>
      </c>
    </row>
    <row r="327" spans="1:77">
      <c r="A327" t="s">
        <v>96</v>
      </c>
      <c r="B327">
        <v>23152737</v>
      </c>
      <c r="C327" t="s">
        <v>221</v>
      </c>
      <c r="D327" t="s">
        <v>222</v>
      </c>
      <c r="E327" t="s">
        <v>446</v>
      </c>
      <c r="F327" t="s">
        <v>478</v>
      </c>
      <c r="G327" t="s">
        <v>448</v>
      </c>
      <c r="H327" t="s">
        <v>449</v>
      </c>
      <c r="I327" t="s">
        <v>450</v>
      </c>
      <c r="J327" t="s">
        <v>450</v>
      </c>
      <c r="K327">
        <v>0</v>
      </c>
      <c r="L327" t="s">
        <v>446</v>
      </c>
      <c r="M327" t="s">
        <v>446</v>
      </c>
      <c r="N327">
        <v>168546</v>
      </c>
      <c r="O327">
        <f>INDEX(Counselor,MATCH(B327,KidIDs,0))</f>
        <v>0</v>
      </c>
      <c r="P327">
        <f>INDEX(Advisors,MATCH(B327,KidIDs,0))</f>
        <v>0</v>
      </c>
      <c r="Q327">
        <f>INDEX(Cohort,MATCH(B327,KidIDs,0))</f>
        <v>0</v>
      </c>
      <c r="R327">
        <f>INDEX(AllCollegeBarrons,MATCH(N327,AllCollegeNCES,0))</f>
        <v>0</v>
      </c>
      <c r="S327">
        <f>INDEX(KidGPAs,MATCH(B327,KidIDs,0))</f>
        <v>0</v>
      </c>
      <c r="T327">
        <f>INDEX(KidSATs,MATCH(B327,KidIDs,0))</f>
        <v>0</v>
      </c>
      <c r="U327">
        <f>INDEX(Strats,MATCH(B327,KidIDs,0))</f>
        <v>0</v>
      </c>
      <c r="V327">
        <f>INDEX(KidRace,MATCH(B327,KidIDs,0))</f>
        <v>0</v>
      </c>
      <c r="W327">
        <f>IF(OR(V327="M",V327="I"),"H",IF(V327="P","A",V327))</f>
        <v>0</v>
      </c>
      <c r="X327">
        <f>INDEX(StudentTargets,MATCH(B327,KidIDs,0))</f>
        <v>0</v>
      </c>
      <c r="Y327">
        <f>INDEX(ReachStudentTargets,MATCH(B327,KidIDs,0))</f>
        <v>0</v>
      </c>
      <c r="Z327">
        <f>IF(OR(M327="Posse"),1,0)</f>
        <v>0</v>
      </c>
      <c r="AA327">
        <f>IF(ISNUMBER(INDEX(AllCollegeGR, MATCH(N327,AllCollegeNCES,0))),ROUND(INDEX(AllCollegeGR, MATCH(N327,AllCollegeNCES,0))+Z327*IF(INDEX(AllCollegeGR, MATCH(N327,AllCollegeNCES,0))&gt;0.7,(1-INDEX(AllCollegeGR, MATCH(N327,AllCollegeNCES,0)))/2,0.15),2),INDEX(AllCollegeGR, MATCH(N327,AllCollegeNCES,0)))</f>
        <v>0</v>
      </c>
      <c r="AB327">
        <f>IF(ISNUMBER(INDEX(AllCollegeAAHGR, MATCH(N327,AllCollegeNCES,0))),ROUND(INDEX(AllCollegeAAHGR, MATCH(N327,AllCollegeNCES,0))+Z327*IF(INDEX(AllCollegeAAHGR, MATCH(N327,AllCollegeNCES,0))&gt;0.7,(1-INDEX(AllCollegeAAHGR, MATCH(N327,AllCollegeNCES,0)))/2,0.15),2),INDEX(AllCollegeAAHGR, MATCH(N327,AllCollegeNCES,0)))</f>
        <v>0</v>
      </c>
      <c r="AC327">
        <f>IF(OR(W327="H",W327="B"),INDEX(AllCollegeSAT25, MATCH(N327,AllCollegeNCES,0)),INDEX(AllCollegeSAT50, MATCH(N327,AllCollegeNCES,0)))</f>
        <v>0</v>
      </c>
      <c r="AD327">
        <f>INDEX(CustomWeightsGPA,MATCH(W327&amp;":"&amp;N327,CustomWeightsIndex,0))</f>
        <v>0</v>
      </c>
      <c r="AE327">
        <f>INDEX(CustomWeightsSAT,MATCH(W327&amp;":"&amp;N327,CustomWeightsIndex,0))</f>
        <v>0</v>
      </c>
      <c r="AF327">
        <f>INDEX(CustomWeightsIntercept,MATCH(W327&amp;":"&amp;N327,CustomWeightsIndex,0))</f>
        <v>0</v>
      </c>
      <c r="AG327">
        <f>AD327*S327+AE327*T327+AF327</f>
        <v>0</v>
      </c>
      <c r="AH327">
        <f>INDEX(CoefficientsGPA,MATCH(W327&amp;":"&amp;R327,CoefficientsIndex,0))</f>
        <v>0</v>
      </c>
      <c r="AI327">
        <f>INDEX(CoefficientsSAT,MATCH(W327&amp;":"&amp;R327,CoefficientsIndex,0))</f>
        <v>0</v>
      </c>
      <c r="AJ327">
        <f>INDEX(CoefficientsIntercept,MATCH(W327&amp;":"&amp;R327,CoefficientsIndex,0))</f>
        <v>0</v>
      </c>
      <c r="AK327">
        <f>AH327*S327+(T327-AC327)*AI327+AJ327</f>
        <v>0</v>
      </c>
      <c r="AL327">
        <f>IF(ISNUMBER(AG327),AG327,AK327)</f>
        <v>0</v>
      </c>
      <c r="AM327">
        <f>IF(ISNUMBER(AL327),IF(ISNUMBER(AH327),IF(AND(AH327=1,AI327=1,AJ327=1),100,MIN(99,ROUND(100*EXP(AL327)/(1+EXP(AL327)),2))),MIN(99,ROUND(100*EXP(AL327)/(1+EXP(AL327)),2))),IF(ISTEXT(R327),IF(LEFT(R327,1)="2",100,"N/A"),"N/A"))</f>
        <v>0</v>
      </c>
      <c r="AN327">
        <f>IF(ISNUMBER(AM327),IF(AM327&gt;=99,IF(OR(U327=10,U327=11),MatchLabel,SureThingLabel),IF(AM327&gt;=95,SecureLabel,IF(AM327&gt;=80,SafetyLabel,IF(AM327&gt;=50,MatchLabel,IF(AM327&gt;=20,ReachLabel,IF(AM327&gt;=10,LongshotLabel,HailMaryLabel)))))),"Other")</f>
        <v>0</v>
      </c>
      <c r="AO327">
        <f>IF(OR(I327="accepted",I327="cond. accept",I327="summer admit"),IF(J327="yes","CHOICE!","Accepted!"),IF(I327="guar. transfer","Guar. Xfer",IF(I327="denied","Denied",IF(K327=1,"Waitlist",IF(L327=1,"Deferred",IF(G327="pending","Pending",IF(OR(G327="initial materials submitted",G327="mid-year submitted",G327="final submitted"),"Submitted",IF(H327="interest","Interest","?"))))))))</f>
        <v>0</v>
      </c>
      <c r="AP327">
        <f>IF(OR(AN327=ReachLabel,AN327=LongshotLabel,AN327=HailMaryLabel),1,0)</f>
        <v>0</v>
      </c>
      <c r="AQ327">
        <f>IF(OR(AP327=1,AN327=MatchLabel),1,0)</f>
        <v>0</v>
      </c>
      <c r="AR327">
        <f>IF(OR(AN327=MatchLabel,AN327=SafetyLabel,AN327=SecureLabel,AN327=SureThingLabel),1,0)</f>
        <v>0</v>
      </c>
      <c r="AS327">
        <f>IF(OR(W327="H",W327="B",W327="I",W327="M"),IF(ISNUMBER(AB327),ROUND(AB327,2),0),IF(ISNUMBER(AA327),ROUND(AA327,2),0))</f>
        <v>0</v>
      </c>
      <c r="AT327">
        <f>IF(AS327&gt;=X327,1,0)</f>
        <v>0</v>
      </c>
      <c r="AU327">
        <f>IF(AS327&gt;=Y327,1,0)</f>
        <v>0</v>
      </c>
      <c r="AV327">
        <f>IF(AS327&lt;(X327-0.10),1,0)</f>
        <v>0</v>
      </c>
      <c r="AW327">
        <f>1-AM327/100</f>
        <v>0</v>
      </c>
      <c r="AX327">
        <f>IF(AQ327=1,AW327,1)</f>
        <v>0</v>
      </c>
      <c r="AY327">
        <f>IF(AP327=1,AW327,1)</f>
        <v>0</v>
      </c>
      <c r="AZ327">
        <f>IF(AND(AT327=1,ISNUMBER(AW327)),$AW327,1)</f>
        <v>0</v>
      </c>
      <c r="BA327">
        <f>IF(AND(AU327=1,ISNUMBER(AW327)),$AW327,1)</f>
        <v>0</v>
      </c>
      <c r="BB327">
        <f>IF(ISNUMBER(AB327),INDEX(AllCollegeMoney, MATCH(N327,AllCollegeNCES,0)),0)</f>
        <v>0</v>
      </c>
      <c r="BC327">
        <f>IF(AND(AT327=1,ISNUMBER(AW327),BB327=1),$AW327,1)</f>
        <v>0</v>
      </c>
      <c r="BD327">
        <f>IF(AND(AU327=1,ISNUMBER(AW327),BB327=1),$AW327,1)</f>
        <v>0</v>
      </c>
      <c r="BE327">
        <f>IF(ISNUMBER(AB327),INDEX(AllCollegeILPub, MATCH(N327,AllCollegeNCES,0)),0)</f>
        <v>0</v>
      </c>
      <c r="BF327">
        <f>IF(AN327=ReachLabel,AS327,0)</f>
        <v>0</v>
      </c>
      <c r="BG327">
        <f>IF(AN327=MatchLabel,AS327,0)</f>
        <v>0</v>
      </c>
      <c r="BH327">
        <f>IF(AN327=SafetyLabel,AS327,0)</f>
        <v>0</v>
      </c>
      <c r="BI327">
        <f>IF(AN327=SecureLabel,AS327,0)</f>
        <v>0</v>
      </c>
      <c r="BJ327">
        <f>IF(AN327=SureThingLabel,AS327,0)</f>
        <v>0</v>
      </c>
      <c r="BK327">
        <f>MAX(BF327:BJ327)</f>
        <v>0</v>
      </c>
      <c r="BL327">
        <f>MAX(BG327:BJ327)</f>
        <v>0</v>
      </c>
      <c r="BM327">
        <f>MAX(BH327:BJ327)</f>
        <v>0</v>
      </c>
      <c r="BN327">
        <f>IF(AND(AN327=ReachLabel,BB327=1),AS327,0)</f>
        <v>0</v>
      </c>
      <c r="BO327">
        <f>IF(AND(AN327=MatchLabel,BB327=1),AS327,0)</f>
        <v>0</v>
      </c>
      <c r="BP327">
        <f>IF(AND(AN327=SafetyLabel,BB327=1),AS327,0)</f>
        <v>0</v>
      </c>
      <c r="BQ327">
        <f>IF(AND(AN327=SecureLabel,BB327=1),AS327,0)</f>
        <v>0</v>
      </c>
      <c r="BR327">
        <f>IF(AND(AN327=SureThingLabel,BB327=1),AS327,0)</f>
        <v>0</v>
      </c>
      <c r="BS327">
        <f>MAX(BN327:BR327)</f>
        <v>0</v>
      </c>
      <c r="BT327">
        <f>MAX(BO327:BR327)</f>
        <v>0</v>
      </c>
      <c r="BU327">
        <f>MAX(BP327:BR327)</f>
        <v>0</v>
      </c>
      <c r="BV327">
        <f>IF(ISNUMBER(AB327),INDEX(AllCollegeChicago, MATCH(N327,AllCollegeNCES,0))*BB327,0)</f>
        <v>0</v>
      </c>
      <c r="BW327">
        <f>IF(ISNUMBER(AB327),INDEX(AllCollegeMoneyCode, MATCH(N327,AllCollegeNCES,0)),"?")</f>
        <v>0</v>
      </c>
      <c r="BX327">
        <f>IF(OR(BW327="---",BW327="--",BW327="+/--",BW327="+/---"),1,0)</f>
        <v>0</v>
      </c>
      <c r="BY327">
        <f>BB327*AR327*AT327</f>
        <v>0</v>
      </c>
    </row>
    <row r="328" spans="1:77">
      <c r="A328" t="s">
        <v>96</v>
      </c>
      <c r="B328">
        <v>23152737</v>
      </c>
      <c r="C328" t="s">
        <v>221</v>
      </c>
      <c r="D328" t="s">
        <v>222</v>
      </c>
      <c r="E328" t="s">
        <v>446</v>
      </c>
      <c r="F328" t="s">
        <v>451</v>
      </c>
      <c r="G328" t="s">
        <v>448</v>
      </c>
      <c r="H328" t="s">
        <v>449</v>
      </c>
      <c r="I328" t="s">
        <v>450</v>
      </c>
      <c r="J328" t="s">
        <v>450</v>
      </c>
      <c r="K328">
        <v>0</v>
      </c>
      <c r="L328" t="s">
        <v>446</v>
      </c>
      <c r="M328" t="s">
        <v>446</v>
      </c>
      <c r="N328">
        <v>144962</v>
      </c>
      <c r="O328">
        <f>INDEX(Counselor,MATCH(B328,KidIDs,0))</f>
        <v>0</v>
      </c>
      <c r="P328">
        <f>INDEX(Advisors,MATCH(B328,KidIDs,0))</f>
        <v>0</v>
      </c>
      <c r="Q328">
        <f>INDEX(Cohort,MATCH(B328,KidIDs,0))</f>
        <v>0</v>
      </c>
      <c r="R328">
        <f>INDEX(AllCollegeBarrons,MATCH(N328,AllCollegeNCES,0))</f>
        <v>0</v>
      </c>
      <c r="S328">
        <f>INDEX(KidGPAs,MATCH(B328,KidIDs,0))</f>
        <v>0</v>
      </c>
      <c r="T328">
        <f>INDEX(KidSATs,MATCH(B328,KidIDs,0))</f>
        <v>0</v>
      </c>
      <c r="U328">
        <f>INDEX(Strats,MATCH(B328,KidIDs,0))</f>
        <v>0</v>
      </c>
      <c r="V328">
        <f>INDEX(KidRace,MATCH(B328,KidIDs,0))</f>
        <v>0</v>
      </c>
      <c r="W328">
        <f>IF(OR(V328="M",V328="I"),"H",IF(V328="P","A",V328))</f>
        <v>0</v>
      </c>
      <c r="X328">
        <f>INDEX(StudentTargets,MATCH(B328,KidIDs,0))</f>
        <v>0</v>
      </c>
      <c r="Y328">
        <f>INDEX(ReachStudentTargets,MATCH(B328,KidIDs,0))</f>
        <v>0</v>
      </c>
      <c r="Z328">
        <f>IF(OR(M328="Posse"),1,0)</f>
        <v>0</v>
      </c>
      <c r="AA328">
        <f>IF(ISNUMBER(INDEX(AllCollegeGR, MATCH(N328,AllCollegeNCES,0))),ROUND(INDEX(AllCollegeGR, MATCH(N328,AllCollegeNCES,0))+Z328*IF(INDEX(AllCollegeGR, MATCH(N328,AllCollegeNCES,0))&gt;0.7,(1-INDEX(AllCollegeGR, MATCH(N328,AllCollegeNCES,0)))/2,0.15),2),INDEX(AllCollegeGR, MATCH(N328,AllCollegeNCES,0)))</f>
        <v>0</v>
      </c>
      <c r="AB328">
        <f>IF(ISNUMBER(INDEX(AllCollegeAAHGR, MATCH(N328,AllCollegeNCES,0))),ROUND(INDEX(AllCollegeAAHGR, MATCH(N328,AllCollegeNCES,0))+Z328*IF(INDEX(AllCollegeAAHGR, MATCH(N328,AllCollegeNCES,0))&gt;0.7,(1-INDEX(AllCollegeAAHGR, MATCH(N328,AllCollegeNCES,0)))/2,0.15),2),INDEX(AllCollegeAAHGR, MATCH(N328,AllCollegeNCES,0)))</f>
        <v>0</v>
      </c>
      <c r="AC328">
        <f>IF(OR(W328="H",W328="B"),INDEX(AllCollegeSAT25, MATCH(N328,AllCollegeNCES,0)),INDEX(AllCollegeSAT50, MATCH(N328,AllCollegeNCES,0)))</f>
        <v>0</v>
      </c>
      <c r="AD328">
        <f>INDEX(CustomWeightsGPA,MATCH(W328&amp;":"&amp;N328,CustomWeightsIndex,0))</f>
        <v>0</v>
      </c>
      <c r="AE328">
        <f>INDEX(CustomWeightsSAT,MATCH(W328&amp;":"&amp;N328,CustomWeightsIndex,0))</f>
        <v>0</v>
      </c>
      <c r="AF328">
        <f>INDEX(CustomWeightsIntercept,MATCH(W328&amp;":"&amp;N328,CustomWeightsIndex,0))</f>
        <v>0</v>
      </c>
      <c r="AG328">
        <f>AD328*S328+AE328*T328+AF328</f>
        <v>0</v>
      </c>
      <c r="AH328">
        <f>INDEX(CoefficientsGPA,MATCH(W328&amp;":"&amp;R328,CoefficientsIndex,0))</f>
        <v>0</v>
      </c>
      <c r="AI328">
        <f>INDEX(CoefficientsSAT,MATCH(W328&amp;":"&amp;R328,CoefficientsIndex,0))</f>
        <v>0</v>
      </c>
      <c r="AJ328">
        <f>INDEX(CoefficientsIntercept,MATCH(W328&amp;":"&amp;R328,CoefficientsIndex,0))</f>
        <v>0</v>
      </c>
      <c r="AK328">
        <f>AH328*S328+(T328-AC328)*AI328+AJ328</f>
        <v>0</v>
      </c>
      <c r="AL328">
        <f>IF(ISNUMBER(AG328),AG328,AK328)</f>
        <v>0</v>
      </c>
      <c r="AM328">
        <f>IF(ISNUMBER(AL328),IF(ISNUMBER(AH328),IF(AND(AH328=1,AI328=1,AJ328=1),100,MIN(99,ROUND(100*EXP(AL328)/(1+EXP(AL328)),2))),MIN(99,ROUND(100*EXP(AL328)/(1+EXP(AL328)),2))),IF(ISTEXT(R328),IF(LEFT(R328,1)="2",100,"N/A"),"N/A"))</f>
        <v>0</v>
      </c>
      <c r="AN328">
        <f>IF(ISNUMBER(AM328),IF(AM328&gt;=99,IF(OR(U328=10,U328=11),MatchLabel,SureThingLabel),IF(AM328&gt;=95,SecureLabel,IF(AM328&gt;=80,SafetyLabel,IF(AM328&gt;=50,MatchLabel,IF(AM328&gt;=20,ReachLabel,IF(AM328&gt;=10,LongshotLabel,HailMaryLabel)))))),"Other")</f>
        <v>0</v>
      </c>
      <c r="AO328">
        <f>IF(OR(I328="accepted",I328="cond. accept",I328="summer admit"),IF(J328="yes","CHOICE!","Accepted!"),IF(I328="guar. transfer","Guar. Xfer",IF(I328="denied","Denied",IF(K328=1,"Waitlist",IF(L328=1,"Deferred",IF(G328="pending","Pending",IF(OR(G328="initial materials submitted",G328="mid-year submitted",G328="final submitted"),"Submitted",IF(H328="interest","Interest","?"))))))))</f>
        <v>0</v>
      </c>
      <c r="AP328">
        <f>IF(OR(AN328=ReachLabel,AN328=LongshotLabel,AN328=HailMaryLabel),1,0)</f>
        <v>0</v>
      </c>
      <c r="AQ328">
        <f>IF(OR(AP328=1,AN328=MatchLabel),1,0)</f>
        <v>0</v>
      </c>
      <c r="AR328">
        <f>IF(OR(AN328=MatchLabel,AN328=SafetyLabel,AN328=SecureLabel,AN328=SureThingLabel),1,0)</f>
        <v>0</v>
      </c>
      <c r="AS328">
        <f>IF(OR(W328="H",W328="B",W328="I",W328="M"),IF(ISNUMBER(AB328),ROUND(AB328,2),0),IF(ISNUMBER(AA328),ROUND(AA328,2),0))</f>
        <v>0</v>
      </c>
      <c r="AT328">
        <f>IF(AS328&gt;=X328,1,0)</f>
        <v>0</v>
      </c>
      <c r="AU328">
        <f>IF(AS328&gt;=Y328,1,0)</f>
        <v>0</v>
      </c>
      <c r="AV328">
        <f>IF(AS328&lt;(X328-0.10),1,0)</f>
        <v>0</v>
      </c>
      <c r="AW328">
        <f>1-AM328/100</f>
        <v>0</v>
      </c>
      <c r="AX328">
        <f>IF(AQ328=1,AW328,1)</f>
        <v>0</v>
      </c>
      <c r="AY328">
        <f>IF(AP328=1,AW328,1)</f>
        <v>0</v>
      </c>
      <c r="AZ328">
        <f>IF(AND(AT328=1,ISNUMBER(AW328)),$AW328,1)</f>
        <v>0</v>
      </c>
      <c r="BA328">
        <f>IF(AND(AU328=1,ISNUMBER(AW328)),$AW328,1)</f>
        <v>0</v>
      </c>
      <c r="BB328">
        <f>IF(ISNUMBER(AB328),INDEX(AllCollegeMoney, MATCH(N328,AllCollegeNCES,0)),0)</f>
        <v>0</v>
      </c>
      <c r="BC328">
        <f>IF(AND(AT328=1,ISNUMBER(AW328),BB328=1),$AW328,1)</f>
        <v>0</v>
      </c>
      <c r="BD328">
        <f>IF(AND(AU328=1,ISNUMBER(AW328),BB328=1),$AW328,1)</f>
        <v>0</v>
      </c>
      <c r="BE328">
        <f>IF(ISNUMBER(AB328),INDEX(AllCollegeILPub, MATCH(N328,AllCollegeNCES,0)),0)</f>
        <v>0</v>
      </c>
      <c r="BF328">
        <f>IF(AN328=ReachLabel,AS328,0)</f>
        <v>0</v>
      </c>
      <c r="BG328">
        <f>IF(AN328=MatchLabel,AS328,0)</f>
        <v>0</v>
      </c>
      <c r="BH328">
        <f>IF(AN328=SafetyLabel,AS328,0)</f>
        <v>0</v>
      </c>
      <c r="BI328">
        <f>IF(AN328=SecureLabel,AS328,0)</f>
        <v>0</v>
      </c>
      <c r="BJ328">
        <f>IF(AN328=SureThingLabel,AS328,0)</f>
        <v>0</v>
      </c>
      <c r="BK328">
        <f>MAX(BF328:BJ328)</f>
        <v>0</v>
      </c>
      <c r="BL328">
        <f>MAX(BG328:BJ328)</f>
        <v>0</v>
      </c>
      <c r="BM328">
        <f>MAX(BH328:BJ328)</f>
        <v>0</v>
      </c>
      <c r="BN328">
        <f>IF(AND(AN328=ReachLabel,BB328=1),AS328,0)</f>
        <v>0</v>
      </c>
      <c r="BO328">
        <f>IF(AND(AN328=MatchLabel,BB328=1),AS328,0)</f>
        <v>0</v>
      </c>
      <c r="BP328">
        <f>IF(AND(AN328=SafetyLabel,BB328=1),AS328,0)</f>
        <v>0</v>
      </c>
      <c r="BQ328">
        <f>IF(AND(AN328=SecureLabel,BB328=1),AS328,0)</f>
        <v>0</v>
      </c>
      <c r="BR328">
        <f>IF(AND(AN328=SureThingLabel,BB328=1),AS328,0)</f>
        <v>0</v>
      </c>
      <c r="BS328">
        <f>MAX(BN328:BR328)</f>
        <v>0</v>
      </c>
      <c r="BT328">
        <f>MAX(BO328:BR328)</f>
        <v>0</v>
      </c>
      <c r="BU328">
        <f>MAX(BP328:BR328)</f>
        <v>0</v>
      </c>
      <c r="BV328">
        <f>IF(ISNUMBER(AB328),INDEX(AllCollegeChicago, MATCH(N328,AllCollegeNCES,0))*BB328,0)</f>
        <v>0</v>
      </c>
      <c r="BW328">
        <f>IF(ISNUMBER(AB328),INDEX(AllCollegeMoneyCode, MATCH(N328,AllCollegeNCES,0)),"?")</f>
        <v>0</v>
      </c>
      <c r="BX328">
        <f>IF(OR(BW328="---",BW328="--",BW328="+/--",BW328="+/---"),1,0)</f>
        <v>0</v>
      </c>
      <c r="BY328">
        <f>BB328*AR328*AT328</f>
        <v>0</v>
      </c>
    </row>
    <row r="329" spans="1:77">
      <c r="A329" t="s">
        <v>96</v>
      </c>
      <c r="B329">
        <v>23152737</v>
      </c>
      <c r="C329" t="s">
        <v>221</v>
      </c>
      <c r="D329" t="s">
        <v>222</v>
      </c>
      <c r="E329" t="s">
        <v>446</v>
      </c>
      <c r="F329" t="s">
        <v>465</v>
      </c>
      <c r="G329" t="s">
        <v>448</v>
      </c>
      <c r="H329" t="s">
        <v>449</v>
      </c>
      <c r="I329" t="s">
        <v>450</v>
      </c>
      <c r="J329" t="s">
        <v>450</v>
      </c>
      <c r="K329">
        <v>0</v>
      </c>
      <c r="L329" t="s">
        <v>446</v>
      </c>
      <c r="M329" t="s">
        <v>446</v>
      </c>
      <c r="N329">
        <v>145600</v>
      </c>
      <c r="O329">
        <f>INDEX(Counselor,MATCH(B329,KidIDs,0))</f>
        <v>0</v>
      </c>
      <c r="P329">
        <f>INDEX(Advisors,MATCH(B329,KidIDs,0))</f>
        <v>0</v>
      </c>
      <c r="Q329">
        <f>INDEX(Cohort,MATCH(B329,KidIDs,0))</f>
        <v>0</v>
      </c>
      <c r="R329">
        <f>INDEX(AllCollegeBarrons,MATCH(N329,AllCollegeNCES,0))</f>
        <v>0</v>
      </c>
      <c r="S329">
        <f>INDEX(KidGPAs,MATCH(B329,KidIDs,0))</f>
        <v>0</v>
      </c>
      <c r="T329">
        <f>INDEX(KidSATs,MATCH(B329,KidIDs,0))</f>
        <v>0</v>
      </c>
      <c r="U329">
        <f>INDEX(Strats,MATCH(B329,KidIDs,0))</f>
        <v>0</v>
      </c>
      <c r="V329">
        <f>INDEX(KidRace,MATCH(B329,KidIDs,0))</f>
        <v>0</v>
      </c>
      <c r="W329">
        <f>IF(OR(V329="M",V329="I"),"H",IF(V329="P","A",V329))</f>
        <v>0</v>
      </c>
      <c r="X329">
        <f>INDEX(StudentTargets,MATCH(B329,KidIDs,0))</f>
        <v>0</v>
      </c>
      <c r="Y329">
        <f>INDEX(ReachStudentTargets,MATCH(B329,KidIDs,0))</f>
        <v>0</v>
      </c>
      <c r="Z329">
        <f>IF(OR(M329="Posse"),1,0)</f>
        <v>0</v>
      </c>
      <c r="AA329">
        <f>IF(ISNUMBER(INDEX(AllCollegeGR, MATCH(N329,AllCollegeNCES,0))),ROUND(INDEX(AllCollegeGR, MATCH(N329,AllCollegeNCES,0))+Z329*IF(INDEX(AllCollegeGR, MATCH(N329,AllCollegeNCES,0))&gt;0.7,(1-INDEX(AllCollegeGR, MATCH(N329,AllCollegeNCES,0)))/2,0.15),2),INDEX(AllCollegeGR, MATCH(N329,AllCollegeNCES,0)))</f>
        <v>0</v>
      </c>
      <c r="AB329">
        <f>IF(ISNUMBER(INDEX(AllCollegeAAHGR, MATCH(N329,AllCollegeNCES,0))),ROUND(INDEX(AllCollegeAAHGR, MATCH(N329,AllCollegeNCES,0))+Z329*IF(INDEX(AllCollegeAAHGR, MATCH(N329,AllCollegeNCES,0))&gt;0.7,(1-INDEX(AllCollegeAAHGR, MATCH(N329,AllCollegeNCES,0)))/2,0.15),2),INDEX(AllCollegeAAHGR, MATCH(N329,AllCollegeNCES,0)))</f>
        <v>0</v>
      </c>
      <c r="AC329">
        <f>IF(OR(W329="H",W329="B"),INDEX(AllCollegeSAT25, MATCH(N329,AllCollegeNCES,0)),INDEX(AllCollegeSAT50, MATCH(N329,AllCollegeNCES,0)))</f>
        <v>0</v>
      </c>
      <c r="AD329">
        <f>INDEX(CustomWeightsGPA,MATCH(W329&amp;":"&amp;N329,CustomWeightsIndex,0))</f>
        <v>0</v>
      </c>
      <c r="AE329">
        <f>INDEX(CustomWeightsSAT,MATCH(W329&amp;":"&amp;N329,CustomWeightsIndex,0))</f>
        <v>0</v>
      </c>
      <c r="AF329">
        <f>INDEX(CustomWeightsIntercept,MATCH(W329&amp;":"&amp;N329,CustomWeightsIndex,0))</f>
        <v>0</v>
      </c>
      <c r="AG329">
        <f>AD329*S329+AE329*T329+AF329</f>
        <v>0</v>
      </c>
      <c r="AH329">
        <f>INDEX(CoefficientsGPA,MATCH(W329&amp;":"&amp;R329,CoefficientsIndex,0))</f>
        <v>0</v>
      </c>
      <c r="AI329">
        <f>INDEX(CoefficientsSAT,MATCH(W329&amp;":"&amp;R329,CoefficientsIndex,0))</f>
        <v>0</v>
      </c>
      <c r="AJ329">
        <f>INDEX(CoefficientsIntercept,MATCH(W329&amp;":"&amp;R329,CoefficientsIndex,0))</f>
        <v>0</v>
      </c>
      <c r="AK329">
        <f>AH329*S329+(T329-AC329)*AI329+AJ329</f>
        <v>0</v>
      </c>
      <c r="AL329">
        <f>IF(ISNUMBER(AG329),AG329,AK329)</f>
        <v>0</v>
      </c>
      <c r="AM329">
        <f>IF(ISNUMBER(AL329),IF(ISNUMBER(AH329),IF(AND(AH329=1,AI329=1,AJ329=1),100,MIN(99,ROUND(100*EXP(AL329)/(1+EXP(AL329)),2))),MIN(99,ROUND(100*EXP(AL329)/(1+EXP(AL329)),2))),IF(ISTEXT(R329),IF(LEFT(R329,1)="2",100,"N/A"),"N/A"))</f>
        <v>0</v>
      </c>
      <c r="AN329">
        <f>IF(ISNUMBER(AM329),IF(AM329&gt;=99,IF(OR(U329=10,U329=11),MatchLabel,SureThingLabel),IF(AM329&gt;=95,SecureLabel,IF(AM329&gt;=80,SafetyLabel,IF(AM329&gt;=50,MatchLabel,IF(AM329&gt;=20,ReachLabel,IF(AM329&gt;=10,LongshotLabel,HailMaryLabel)))))),"Other")</f>
        <v>0</v>
      </c>
      <c r="AO329">
        <f>IF(OR(I329="accepted",I329="cond. accept",I329="summer admit"),IF(J329="yes","CHOICE!","Accepted!"),IF(I329="guar. transfer","Guar. Xfer",IF(I329="denied","Denied",IF(K329=1,"Waitlist",IF(L329=1,"Deferred",IF(G329="pending","Pending",IF(OR(G329="initial materials submitted",G329="mid-year submitted",G329="final submitted"),"Submitted",IF(H329="interest","Interest","?"))))))))</f>
        <v>0</v>
      </c>
      <c r="AP329">
        <f>IF(OR(AN329=ReachLabel,AN329=LongshotLabel,AN329=HailMaryLabel),1,0)</f>
        <v>0</v>
      </c>
      <c r="AQ329">
        <f>IF(OR(AP329=1,AN329=MatchLabel),1,0)</f>
        <v>0</v>
      </c>
      <c r="AR329">
        <f>IF(OR(AN329=MatchLabel,AN329=SafetyLabel,AN329=SecureLabel,AN329=SureThingLabel),1,0)</f>
        <v>0</v>
      </c>
      <c r="AS329">
        <f>IF(OR(W329="H",W329="B",W329="I",W329="M"),IF(ISNUMBER(AB329),ROUND(AB329,2),0),IF(ISNUMBER(AA329),ROUND(AA329,2),0))</f>
        <v>0</v>
      </c>
      <c r="AT329">
        <f>IF(AS329&gt;=X329,1,0)</f>
        <v>0</v>
      </c>
      <c r="AU329">
        <f>IF(AS329&gt;=Y329,1,0)</f>
        <v>0</v>
      </c>
      <c r="AV329">
        <f>IF(AS329&lt;(X329-0.10),1,0)</f>
        <v>0</v>
      </c>
      <c r="AW329">
        <f>1-AM329/100</f>
        <v>0</v>
      </c>
      <c r="AX329">
        <f>IF(AQ329=1,AW329,1)</f>
        <v>0</v>
      </c>
      <c r="AY329">
        <f>IF(AP329=1,AW329,1)</f>
        <v>0</v>
      </c>
      <c r="AZ329">
        <f>IF(AND(AT329=1,ISNUMBER(AW329)),$AW329,1)</f>
        <v>0</v>
      </c>
      <c r="BA329">
        <f>IF(AND(AU329=1,ISNUMBER(AW329)),$AW329,1)</f>
        <v>0</v>
      </c>
      <c r="BB329">
        <f>IF(ISNUMBER(AB329),INDEX(AllCollegeMoney, MATCH(N329,AllCollegeNCES,0)),0)</f>
        <v>0</v>
      </c>
      <c r="BC329">
        <f>IF(AND(AT329=1,ISNUMBER(AW329),BB329=1),$AW329,1)</f>
        <v>0</v>
      </c>
      <c r="BD329">
        <f>IF(AND(AU329=1,ISNUMBER(AW329),BB329=1),$AW329,1)</f>
        <v>0</v>
      </c>
      <c r="BE329">
        <f>IF(ISNUMBER(AB329),INDEX(AllCollegeILPub, MATCH(N329,AllCollegeNCES,0)),0)</f>
        <v>0</v>
      </c>
      <c r="BF329">
        <f>IF(AN329=ReachLabel,AS329,0)</f>
        <v>0</v>
      </c>
      <c r="BG329">
        <f>IF(AN329=MatchLabel,AS329,0)</f>
        <v>0</v>
      </c>
      <c r="BH329">
        <f>IF(AN329=SafetyLabel,AS329,0)</f>
        <v>0</v>
      </c>
      <c r="BI329">
        <f>IF(AN329=SecureLabel,AS329,0)</f>
        <v>0</v>
      </c>
      <c r="BJ329">
        <f>IF(AN329=SureThingLabel,AS329,0)</f>
        <v>0</v>
      </c>
      <c r="BK329">
        <f>MAX(BF329:BJ329)</f>
        <v>0</v>
      </c>
      <c r="BL329">
        <f>MAX(BG329:BJ329)</f>
        <v>0</v>
      </c>
      <c r="BM329">
        <f>MAX(BH329:BJ329)</f>
        <v>0</v>
      </c>
      <c r="BN329">
        <f>IF(AND(AN329=ReachLabel,BB329=1),AS329,0)</f>
        <v>0</v>
      </c>
      <c r="BO329">
        <f>IF(AND(AN329=MatchLabel,BB329=1),AS329,0)</f>
        <v>0</v>
      </c>
      <c r="BP329">
        <f>IF(AND(AN329=SafetyLabel,BB329=1),AS329,0)</f>
        <v>0</v>
      </c>
      <c r="BQ329">
        <f>IF(AND(AN329=SecureLabel,BB329=1),AS329,0)</f>
        <v>0</v>
      </c>
      <c r="BR329">
        <f>IF(AND(AN329=SureThingLabel,BB329=1),AS329,0)</f>
        <v>0</v>
      </c>
      <c r="BS329">
        <f>MAX(BN329:BR329)</f>
        <v>0</v>
      </c>
      <c r="BT329">
        <f>MAX(BO329:BR329)</f>
        <v>0</v>
      </c>
      <c r="BU329">
        <f>MAX(BP329:BR329)</f>
        <v>0</v>
      </c>
      <c r="BV329">
        <f>IF(ISNUMBER(AB329),INDEX(AllCollegeChicago, MATCH(N329,AllCollegeNCES,0))*BB329,0)</f>
        <v>0</v>
      </c>
      <c r="BW329">
        <f>IF(ISNUMBER(AB329),INDEX(AllCollegeMoneyCode, MATCH(N329,AllCollegeNCES,0)),"?")</f>
        <v>0</v>
      </c>
      <c r="BX329">
        <f>IF(OR(BW329="---",BW329="--",BW329="+/--",BW329="+/---"),1,0)</f>
        <v>0</v>
      </c>
      <c r="BY329">
        <f>BB329*AR329*AT329</f>
        <v>0</v>
      </c>
    </row>
    <row r="330" spans="1:77">
      <c r="A330" t="s">
        <v>96</v>
      </c>
      <c r="B330">
        <v>23152737</v>
      </c>
      <c r="C330" t="s">
        <v>221</v>
      </c>
      <c r="D330" t="s">
        <v>222</v>
      </c>
      <c r="E330" t="s">
        <v>446</v>
      </c>
      <c r="F330" t="s">
        <v>456</v>
      </c>
      <c r="G330" t="s">
        <v>448</v>
      </c>
      <c r="H330" t="s">
        <v>449</v>
      </c>
      <c r="I330" t="s">
        <v>450</v>
      </c>
      <c r="J330" t="s">
        <v>450</v>
      </c>
      <c r="K330">
        <v>0</v>
      </c>
      <c r="L330" t="s">
        <v>446</v>
      </c>
      <c r="M330" t="s">
        <v>446</v>
      </c>
      <c r="N330">
        <v>149772</v>
      </c>
      <c r="O330">
        <f>INDEX(Counselor,MATCH(B330,KidIDs,0))</f>
        <v>0</v>
      </c>
      <c r="P330">
        <f>INDEX(Advisors,MATCH(B330,KidIDs,0))</f>
        <v>0</v>
      </c>
      <c r="Q330">
        <f>INDEX(Cohort,MATCH(B330,KidIDs,0))</f>
        <v>0</v>
      </c>
      <c r="R330">
        <f>INDEX(AllCollegeBarrons,MATCH(N330,AllCollegeNCES,0))</f>
        <v>0</v>
      </c>
      <c r="S330">
        <f>INDEX(KidGPAs,MATCH(B330,KidIDs,0))</f>
        <v>0</v>
      </c>
      <c r="T330">
        <f>INDEX(KidSATs,MATCH(B330,KidIDs,0))</f>
        <v>0</v>
      </c>
      <c r="U330">
        <f>INDEX(Strats,MATCH(B330,KidIDs,0))</f>
        <v>0</v>
      </c>
      <c r="V330">
        <f>INDEX(KidRace,MATCH(B330,KidIDs,0))</f>
        <v>0</v>
      </c>
      <c r="W330">
        <f>IF(OR(V330="M",V330="I"),"H",IF(V330="P","A",V330))</f>
        <v>0</v>
      </c>
      <c r="X330">
        <f>INDEX(StudentTargets,MATCH(B330,KidIDs,0))</f>
        <v>0</v>
      </c>
      <c r="Y330">
        <f>INDEX(ReachStudentTargets,MATCH(B330,KidIDs,0))</f>
        <v>0</v>
      </c>
      <c r="Z330">
        <f>IF(OR(M330="Posse"),1,0)</f>
        <v>0</v>
      </c>
      <c r="AA330">
        <f>IF(ISNUMBER(INDEX(AllCollegeGR, MATCH(N330,AllCollegeNCES,0))),ROUND(INDEX(AllCollegeGR, MATCH(N330,AllCollegeNCES,0))+Z330*IF(INDEX(AllCollegeGR, MATCH(N330,AllCollegeNCES,0))&gt;0.7,(1-INDEX(AllCollegeGR, MATCH(N330,AllCollegeNCES,0)))/2,0.15),2),INDEX(AllCollegeGR, MATCH(N330,AllCollegeNCES,0)))</f>
        <v>0</v>
      </c>
      <c r="AB330">
        <f>IF(ISNUMBER(INDEX(AllCollegeAAHGR, MATCH(N330,AllCollegeNCES,0))),ROUND(INDEX(AllCollegeAAHGR, MATCH(N330,AllCollegeNCES,0))+Z330*IF(INDEX(AllCollegeAAHGR, MATCH(N330,AllCollegeNCES,0))&gt;0.7,(1-INDEX(AllCollegeAAHGR, MATCH(N330,AllCollegeNCES,0)))/2,0.15),2),INDEX(AllCollegeAAHGR, MATCH(N330,AllCollegeNCES,0)))</f>
        <v>0</v>
      </c>
      <c r="AC330">
        <f>IF(OR(W330="H",W330="B"),INDEX(AllCollegeSAT25, MATCH(N330,AllCollegeNCES,0)),INDEX(AllCollegeSAT50, MATCH(N330,AllCollegeNCES,0)))</f>
        <v>0</v>
      </c>
      <c r="AD330">
        <f>INDEX(CustomWeightsGPA,MATCH(W330&amp;":"&amp;N330,CustomWeightsIndex,0))</f>
        <v>0</v>
      </c>
      <c r="AE330">
        <f>INDEX(CustomWeightsSAT,MATCH(W330&amp;":"&amp;N330,CustomWeightsIndex,0))</f>
        <v>0</v>
      </c>
      <c r="AF330">
        <f>INDEX(CustomWeightsIntercept,MATCH(W330&amp;":"&amp;N330,CustomWeightsIndex,0))</f>
        <v>0</v>
      </c>
      <c r="AG330">
        <f>AD330*S330+AE330*T330+AF330</f>
        <v>0</v>
      </c>
      <c r="AH330">
        <f>INDEX(CoefficientsGPA,MATCH(W330&amp;":"&amp;R330,CoefficientsIndex,0))</f>
        <v>0</v>
      </c>
      <c r="AI330">
        <f>INDEX(CoefficientsSAT,MATCH(W330&amp;":"&amp;R330,CoefficientsIndex,0))</f>
        <v>0</v>
      </c>
      <c r="AJ330">
        <f>INDEX(CoefficientsIntercept,MATCH(W330&amp;":"&amp;R330,CoefficientsIndex,0))</f>
        <v>0</v>
      </c>
      <c r="AK330">
        <f>AH330*S330+(T330-AC330)*AI330+AJ330</f>
        <v>0</v>
      </c>
      <c r="AL330">
        <f>IF(ISNUMBER(AG330),AG330,AK330)</f>
        <v>0</v>
      </c>
      <c r="AM330">
        <f>IF(ISNUMBER(AL330),IF(ISNUMBER(AH330),IF(AND(AH330=1,AI330=1,AJ330=1),100,MIN(99,ROUND(100*EXP(AL330)/(1+EXP(AL330)),2))),MIN(99,ROUND(100*EXP(AL330)/(1+EXP(AL330)),2))),IF(ISTEXT(R330),IF(LEFT(R330,1)="2",100,"N/A"),"N/A"))</f>
        <v>0</v>
      </c>
      <c r="AN330">
        <f>IF(ISNUMBER(AM330),IF(AM330&gt;=99,IF(OR(U330=10,U330=11),MatchLabel,SureThingLabel),IF(AM330&gt;=95,SecureLabel,IF(AM330&gt;=80,SafetyLabel,IF(AM330&gt;=50,MatchLabel,IF(AM330&gt;=20,ReachLabel,IF(AM330&gt;=10,LongshotLabel,HailMaryLabel)))))),"Other")</f>
        <v>0</v>
      </c>
      <c r="AO330">
        <f>IF(OR(I330="accepted",I330="cond. accept",I330="summer admit"),IF(J330="yes","CHOICE!","Accepted!"),IF(I330="guar. transfer","Guar. Xfer",IF(I330="denied","Denied",IF(K330=1,"Waitlist",IF(L330=1,"Deferred",IF(G330="pending","Pending",IF(OR(G330="initial materials submitted",G330="mid-year submitted",G330="final submitted"),"Submitted",IF(H330="interest","Interest","?"))))))))</f>
        <v>0</v>
      </c>
      <c r="AP330">
        <f>IF(OR(AN330=ReachLabel,AN330=LongshotLabel,AN330=HailMaryLabel),1,0)</f>
        <v>0</v>
      </c>
      <c r="AQ330">
        <f>IF(OR(AP330=1,AN330=MatchLabel),1,0)</f>
        <v>0</v>
      </c>
      <c r="AR330">
        <f>IF(OR(AN330=MatchLabel,AN330=SafetyLabel,AN330=SecureLabel,AN330=SureThingLabel),1,0)</f>
        <v>0</v>
      </c>
      <c r="AS330">
        <f>IF(OR(W330="H",W330="B",W330="I",W330="M"),IF(ISNUMBER(AB330),ROUND(AB330,2),0),IF(ISNUMBER(AA330),ROUND(AA330,2),0))</f>
        <v>0</v>
      </c>
      <c r="AT330">
        <f>IF(AS330&gt;=X330,1,0)</f>
        <v>0</v>
      </c>
      <c r="AU330">
        <f>IF(AS330&gt;=Y330,1,0)</f>
        <v>0</v>
      </c>
      <c r="AV330">
        <f>IF(AS330&lt;(X330-0.10),1,0)</f>
        <v>0</v>
      </c>
      <c r="AW330">
        <f>1-AM330/100</f>
        <v>0</v>
      </c>
      <c r="AX330">
        <f>IF(AQ330=1,AW330,1)</f>
        <v>0</v>
      </c>
      <c r="AY330">
        <f>IF(AP330=1,AW330,1)</f>
        <v>0</v>
      </c>
      <c r="AZ330">
        <f>IF(AND(AT330=1,ISNUMBER(AW330)),$AW330,1)</f>
        <v>0</v>
      </c>
      <c r="BA330">
        <f>IF(AND(AU330=1,ISNUMBER(AW330)),$AW330,1)</f>
        <v>0</v>
      </c>
      <c r="BB330">
        <f>IF(ISNUMBER(AB330),INDEX(AllCollegeMoney, MATCH(N330,AllCollegeNCES,0)),0)</f>
        <v>0</v>
      </c>
      <c r="BC330">
        <f>IF(AND(AT330=1,ISNUMBER(AW330),BB330=1),$AW330,1)</f>
        <v>0</v>
      </c>
      <c r="BD330">
        <f>IF(AND(AU330=1,ISNUMBER(AW330),BB330=1),$AW330,1)</f>
        <v>0</v>
      </c>
      <c r="BE330">
        <f>IF(ISNUMBER(AB330),INDEX(AllCollegeILPub, MATCH(N330,AllCollegeNCES,0)),0)</f>
        <v>0</v>
      </c>
      <c r="BF330">
        <f>IF(AN330=ReachLabel,AS330,0)</f>
        <v>0</v>
      </c>
      <c r="BG330">
        <f>IF(AN330=MatchLabel,AS330,0)</f>
        <v>0</v>
      </c>
      <c r="BH330">
        <f>IF(AN330=SafetyLabel,AS330,0)</f>
        <v>0</v>
      </c>
      <c r="BI330">
        <f>IF(AN330=SecureLabel,AS330,0)</f>
        <v>0</v>
      </c>
      <c r="BJ330">
        <f>IF(AN330=SureThingLabel,AS330,0)</f>
        <v>0</v>
      </c>
      <c r="BK330">
        <f>MAX(BF330:BJ330)</f>
        <v>0</v>
      </c>
      <c r="BL330">
        <f>MAX(BG330:BJ330)</f>
        <v>0</v>
      </c>
      <c r="BM330">
        <f>MAX(BH330:BJ330)</f>
        <v>0</v>
      </c>
      <c r="BN330">
        <f>IF(AND(AN330=ReachLabel,BB330=1),AS330,0)</f>
        <v>0</v>
      </c>
      <c r="BO330">
        <f>IF(AND(AN330=MatchLabel,BB330=1),AS330,0)</f>
        <v>0</v>
      </c>
      <c r="BP330">
        <f>IF(AND(AN330=SafetyLabel,BB330=1),AS330,0)</f>
        <v>0</v>
      </c>
      <c r="BQ330">
        <f>IF(AND(AN330=SecureLabel,BB330=1),AS330,0)</f>
        <v>0</v>
      </c>
      <c r="BR330">
        <f>IF(AND(AN330=SureThingLabel,BB330=1),AS330,0)</f>
        <v>0</v>
      </c>
      <c r="BS330">
        <f>MAX(BN330:BR330)</f>
        <v>0</v>
      </c>
      <c r="BT330">
        <f>MAX(BO330:BR330)</f>
        <v>0</v>
      </c>
      <c r="BU330">
        <f>MAX(BP330:BR330)</f>
        <v>0</v>
      </c>
      <c r="BV330">
        <f>IF(ISNUMBER(AB330),INDEX(AllCollegeChicago, MATCH(N330,AllCollegeNCES,0))*BB330,0)</f>
        <v>0</v>
      </c>
      <c r="BW330">
        <f>IF(ISNUMBER(AB330),INDEX(AllCollegeMoneyCode, MATCH(N330,AllCollegeNCES,0)),"?")</f>
        <v>0</v>
      </c>
      <c r="BX330">
        <f>IF(OR(BW330="---",BW330="--",BW330="+/--",BW330="+/---"),1,0)</f>
        <v>0</v>
      </c>
      <c r="BY330">
        <f>BB330*AR330*AT330</f>
        <v>0</v>
      </c>
    </row>
    <row r="331" spans="1:77">
      <c r="A331" t="s">
        <v>96</v>
      </c>
      <c r="B331">
        <v>23152737</v>
      </c>
      <c r="C331" t="s">
        <v>221</v>
      </c>
      <c r="D331" t="s">
        <v>222</v>
      </c>
      <c r="E331" t="s">
        <v>446</v>
      </c>
      <c r="F331" t="s">
        <v>458</v>
      </c>
      <c r="G331" t="s">
        <v>448</v>
      </c>
      <c r="H331" t="s">
        <v>449</v>
      </c>
      <c r="I331" t="s">
        <v>450</v>
      </c>
      <c r="J331" t="s">
        <v>450</v>
      </c>
      <c r="K331">
        <v>0</v>
      </c>
      <c r="L331" t="s">
        <v>446</v>
      </c>
      <c r="M331" t="s">
        <v>446</v>
      </c>
      <c r="N331">
        <v>144892</v>
      </c>
      <c r="O331">
        <f>INDEX(Counselor,MATCH(B331,KidIDs,0))</f>
        <v>0</v>
      </c>
      <c r="P331">
        <f>INDEX(Advisors,MATCH(B331,KidIDs,0))</f>
        <v>0</v>
      </c>
      <c r="Q331">
        <f>INDEX(Cohort,MATCH(B331,KidIDs,0))</f>
        <v>0</v>
      </c>
      <c r="R331">
        <f>INDEX(AllCollegeBarrons,MATCH(N331,AllCollegeNCES,0))</f>
        <v>0</v>
      </c>
      <c r="S331">
        <f>INDEX(KidGPAs,MATCH(B331,KidIDs,0))</f>
        <v>0</v>
      </c>
      <c r="T331">
        <f>INDEX(KidSATs,MATCH(B331,KidIDs,0))</f>
        <v>0</v>
      </c>
      <c r="U331">
        <f>INDEX(Strats,MATCH(B331,KidIDs,0))</f>
        <v>0</v>
      </c>
      <c r="V331">
        <f>INDEX(KidRace,MATCH(B331,KidIDs,0))</f>
        <v>0</v>
      </c>
      <c r="W331">
        <f>IF(OR(V331="M",V331="I"),"H",IF(V331="P","A",V331))</f>
        <v>0</v>
      </c>
      <c r="X331">
        <f>INDEX(StudentTargets,MATCH(B331,KidIDs,0))</f>
        <v>0</v>
      </c>
      <c r="Y331">
        <f>INDEX(ReachStudentTargets,MATCH(B331,KidIDs,0))</f>
        <v>0</v>
      </c>
      <c r="Z331">
        <f>IF(OR(M331="Posse"),1,0)</f>
        <v>0</v>
      </c>
      <c r="AA331">
        <f>IF(ISNUMBER(INDEX(AllCollegeGR, MATCH(N331,AllCollegeNCES,0))),ROUND(INDEX(AllCollegeGR, MATCH(N331,AllCollegeNCES,0))+Z331*IF(INDEX(AllCollegeGR, MATCH(N331,AllCollegeNCES,0))&gt;0.7,(1-INDEX(AllCollegeGR, MATCH(N331,AllCollegeNCES,0)))/2,0.15),2),INDEX(AllCollegeGR, MATCH(N331,AllCollegeNCES,0)))</f>
        <v>0</v>
      </c>
      <c r="AB331">
        <f>IF(ISNUMBER(INDEX(AllCollegeAAHGR, MATCH(N331,AllCollegeNCES,0))),ROUND(INDEX(AllCollegeAAHGR, MATCH(N331,AllCollegeNCES,0))+Z331*IF(INDEX(AllCollegeAAHGR, MATCH(N331,AllCollegeNCES,0))&gt;0.7,(1-INDEX(AllCollegeAAHGR, MATCH(N331,AllCollegeNCES,0)))/2,0.15),2),INDEX(AllCollegeAAHGR, MATCH(N331,AllCollegeNCES,0)))</f>
        <v>0</v>
      </c>
      <c r="AC331">
        <f>IF(OR(W331="H",W331="B"),INDEX(AllCollegeSAT25, MATCH(N331,AllCollegeNCES,0)),INDEX(AllCollegeSAT50, MATCH(N331,AllCollegeNCES,0)))</f>
        <v>0</v>
      </c>
      <c r="AD331">
        <f>INDEX(CustomWeightsGPA,MATCH(W331&amp;":"&amp;N331,CustomWeightsIndex,0))</f>
        <v>0</v>
      </c>
      <c r="AE331">
        <f>INDEX(CustomWeightsSAT,MATCH(W331&amp;":"&amp;N331,CustomWeightsIndex,0))</f>
        <v>0</v>
      </c>
      <c r="AF331">
        <f>INDEX(CustomWeightsIntercept,MATCH(W331&amp;":"&amp;N331,CustomWeightsIndex,0))</f>
        <v>0</v>
      </c>
      <c r="AG331">
        <f>AD331*S331+AE331*T331+AF331</f>
        <v>0</v>
      </c>
      <c r="AH331">
        <f>INDEX(CoefficientsGPA,MATCH(W331&amp;":"&amp;R331,CoefficientsIndex,0))</f>
        <v>0</v>
      </c>
      <c r="AI331">
        <f>INDEX(CoefficientsSAT,MATCH(W331&amp;":"&amp;R331,CoefficientsIndex,0))</f>
        <v>0</v>
      </c>
      <c r="AJ331">
        <f>INDEX(CoefficientsIntercept,MATCH(W331&amp;":"&amp;R331,CoefficientsIndex,0))</f>
        <v>0</v>
      </c>
      <c r="AK331">
        <f>AH331*S331+(T331-AC331)*AI331+AJ331</f>
        <v>0</v>
      </c>
      <c r="AL331">
        <f>IF(ISNUMBER(AG331),AG331,AK331)</f>
        <v>0</v>
      </c>
      <c r="AM331">
        <f>IF(ISNUMBER(AL331),IF(ISNUMBER(AH331),IF(AND(AH331=1,AI331=1,AJ331=1),100,MIN(99,ROUND(100*EXP(AL331)/(1+EXP(AL331)),2))),MIN(99,ROUND(100*EXP(AL331)/(1+EXP(AL331)),2))),IF(ISTEXT(R331),IF(LEFT(R331,1)="2",100,"N/A"),"N/A"))</f>
        <v>0</v>
      </c>
      <c r="AN331">
        <f>IF(ISNUMBER(AM331),IF(AM331&gt;=99,IF(OR(U331=10,U331=11),MatchLabel,SureThingLabel),IF(AM331&gt;=95,SecureLabel,IF(AM331&gt;=80,SafetyLabel,IF(AM331&gt;=50,MatchLabel,IF(AM331&gt;=20,ReachLabel,IF(AM331&gt;=10,LongshotLabel,HailMaryLabel)))))),"Other")</f>
        <v>0</v>
      </c>
      <c r="AO331">
        <f>IF(OR(I331="accepted",I331="cond. accept",I331="summer admit"),IF(J331="yes","CHOICE!","Accepted!"),IF(I331="guar. transfer","Guar. Xfer",IF(I331="denied","Denied",IF(K331=1,"Waitlist",IF(L331=1,"Deferred",IF(G331="pending","Pending",IF(OR(G331="initial materials submitted",G331="mid-year submitted",G331="final submitted"),"Submitted",IF(H331="interest","Interest","?"))))))))</f>
        <v>0</v>
      </c>
      <c r="AP331">
        <f>IF(OR(AN331=ReachLabel,AN331=LongshotLabel,AN331=HailMaryLabel),1,0)</f>
        <v>0</v>
      </c>
      <c r="AQ331">
        <f>IF(OR(AP331=1,AN331=MatchLabel),1,0)</f>
        <v>0</v>
      </c>
      <c r="AR331">
        <f>IF(OR(AN331=MatchLabel,AN331=SafetyLabel,AN331=SecureLabel,AN331=SureThingLabel),1,0)</f>
        <v>0</v>
      </c>
      <c r="AS331">
        <f>IF(OR(W331="H",W331="B",W331="I",W331="M"),IF(ISNUMBER(AB331),ROUND(AB331,2),0),IF(ISNUMBER(AA331),ROUND(AA331,2),0))</f>
        <v>0</v>
      </c>
      <c r="AT331">
        <f>IF(AS331&gt;=X331,1,0)</f>
        <v>0</v>
      </c>
      <c r="AU331">
        <f>IF(AS331&gt;=Y331,1,0)</f>
        <v>0</v>
      </c>
      <c r="AV331">
        <f>IF(AS331&lt;(X331-0.10),1,0)</f>
        <v>0</v>
      </c>
      <c r="AW331">
        <f>1-AM331/100</f>
        <v>0</v>
      </c>
      <c r="AX331">
        <f>IF(AQ331=1,AW331,1)</f>
        <v>0</v>
      </c>
      <c r="AY331">
        <f>IF(AP331=1,AW331,1)</f>
        <v>0</v>
      </c>
      <c r="AZ331">
        <f>IF(AND(AT331=1,ISNUMBER(AW331)),$AW331,1)</f>
        <v>0</v>
      </c>
      <c r="BA331">
        <f>IF(AND(AU331=1,ISNUMBER(AW331)),$AW331,1)</f>
        <v>0</v>
      </c>
      <c r="BB331">
        <f>IF(ISNUMBER(AB331),INDEX(AllCollegeMoney, MATCH(N331,AllCollegeNCES,0)),0)</f>
        <v>0</v>
      </c>
      <c r="BC331">
        <f>IF(AND(AT331=1,ISNUMBER(AW331),BB331=1),$AW331,1)</f>
        <v>0</v>
      </c>
      <c r="BD331">
        <f>IF(AND(AU331=1,ISNUMBER(AW331),BB331=1),$AW331,1)</f>
        <v>0</v>
      </c>
      <c r="BE331">
        <f>IF(ISNUMBER(AB331),INDEX(AllCollegeILPub, MATCH(N331,AllCollegeNCES,0)),0)</f>
        <v>0</v>
      </c>
      <c r="BF331">
        <f>IF(AN331=ReachLabel,AS331,0)</f>
        <v>0</v>
      </c>
      <c r="BG331">
        <f>IF(AN331=MatchLabel,AS331,0)</f>
        <v>0</v>
      </c>
      <c r="BH331">
        <f>IF(AN331=SafetyLabel,AS331,0)</f>
        <v>0</v>
      </c>
      <c r="BI331">
        <f>IF(AN331=SecureLabel,AS331,0)</f>
        <v>0</v>
      </c>
      <c r="BJ331">
        <f>IF(AN331=SureThingLabel,AS331,0)</f>
        <v>0</v>
      </c>
      <c r="BK331">
        <f>MAX(BF331:BJ331)</f>
        <v>0</v>
      </c>
      <c r="BL331">
        <f>MAX(BG331:BJ331)</f>
        <v>0</v>
      </c>
      <c r="BM331">
        <f>MAX(BH331:BJ331)</f>
        <v>0</v>
      </c>
      <c r="BN331">
        <f>IF(AND(AN331=ReachLabel,BB331=1),AS331,0)</f>
        <v>0</v>
      </c>
      <c r="BO331">
        <f>IF(AND(AN331=MatchLabel,BB331=1),AS331,0)</f>
        <v>0</v>
      </c>
      <c r="BP331">
        <f>IF(AND(AN331=SafetyLabel,BB331=1),AS331,0)</f>
        <v>0</v>
      </c>
      <c r="BQ331">
        <f>IF(AND(AN331=SecureLabel,BB331=1),AS331,0)</f>
        <v>0</v>
      </c>
      <c r="BR331">
        <f>IF(AND(AN331=SureThingLabel,BB331=1),AS331,0)</f>
        <v>0</v>
      </c>
      <c r="BS331">
        <f>MAX(BN331:BR331)</f>
        <v>0</v>
      </c>
      <c r="BT331">
        <f>MAX(BO331:BR331)</f>
        <v>0</v>
      </c>
      <c r="BU331">
        <f>MAX(BP331:BR331)</f>
        <v>0</v>
      </c>
      <c r="BV331">
        <f>IF(ISNUMBER(AB331),INDEX(AllCollegeChicago, MATCH(N331,AllCollegeNCES,0))*BB331,0)</f>
        <v>0</v>
      </c>
      <c r="BW331">
        <f>IF(ISNUMBER(AB331),INDEX(AllCollegeMoneyCode, MATCH(N331,AllCollegeNCES,0)),"?")</f>
        <v>0</v>
      </c>
      <c r="BX331">
        <f>IF(OR(BW331="---",BW331="--",BW331="+/--",BW331="+/---"),1,0)</f>
        <v>0</v>
      </c>
      <c r="BY331">
        <f>BB331*AR331*AT331</f>
        <v>0</v>
      </c>
    </row>
    <row r="332" spans="1:77">
      <c r="A332" t="s">
        <v>96</v>
      </c>
      <c r="B332">
        <v>23152737</v>
      </c>
      <c r="C332" t="s">
        <v>221</v>
      </c>
      <c r="D332" t="s">
        <v>222</v>
      </c>
      <c r="E332" t="s">
        <v>446</v>
      </c>
      <c r="F332" t="s">
        <v>460</v>
      </c>
      <c r="G332" t="s">
        <v>448</v>
      </c>
      <c r="H332" t="s">
        <v>449</v>
      </c>
      <c r="I332" t="s">
        <v>450</v>
      </c>
      <c r="J332" t="s">
        <v>450</v>
      </c>
      <c r="K332">
        <v>0</v>
      </c>
      <c r="L332" t="s">
        <v>446</v>
      </c>
      <c r="M332" t="s">
        <v>446</v>
      </c>
      <c r="N332">
        <v>144209</v>
      </c>
      <c r="O332">
        <f>INDEX(Counselor,MATCH(B332,KidIDs,0))</f>
        <v>0</v>
      </c>
      <c r="P332">
        <f>INDEX(Advisors,MATCH(B332,KidIDs,0))</f>
        <v>0</v>
      </c>
      <c r="Q332">
        <f>INDEX(Cohort,MATCH(B332,KidIDs,0))</f>
        <v>0</v>
      </c>
      <c r="R332">
        <f>INDEX(AllCollegeBarrons,MATCH(N332,AllCollegeNCES,0))</f>
        <v>0</v>
      </c>
      <c r="S332">
        <f>INDEX(KidGPAs,MATCH(B332,KidIDs,0))</f>
        <v>0</v>
      </c>
      <c r="T332">
        <f>INDEX(KidSATs,MATCH(B332,KidIDs,0))</f>
        <v>0</v>
      </c>
      <c r="U332">
        <f>INDEX(Strats,MATCH(B332,KidIDs,0))</f>
        <v>0</v>
      </c>
      <c r="V332">
        <f>INDEX(KidRace,MATCH(B332,KidIDs,0))</f>
        <v>0</v>
      </c>
      <c r="W332">
        <f>IF(OR(V332="M",V332="I"),"H",IF(V332="P","A",V332))</f>
        <v>0</v>
      </c>
      <c r="X332">
        <f>INDEX(StudentTargets,MATCH(B332,KidIDs,0))</f>
        <v>0</v>
      </c>
      <c r="Y332">
        <f>INDEX(ReachStudentTargets,MATCH(B332,KidIDs,0))</f>
        <v>0</v>
      </c>
      <c r="Z332">
        <f>IF(OR(M332="Posse"),1,0)</f>
        <v>0</v>
      </c>
      <c r="AA332">
        <f>IF(ISNUMBER(INDEX(AllCollegeGR, MATCH(N332,AllCollegeNCES,0))),ROUND(INDEX(AllCollegeGR, MATCH(N332,AllCollegeNCES,0))+Z332*IF(INDEX(AllCollegeGR, MATCH(N332,AllCollegeNCES,0))&gt;0.7,(1-INDEX(AllCollegeGR, MATCH(N332,AllCollegeNCES,0)))/2,0.15),2),INDEX(AllCollegeGR, MATCH(N332,AllCollegeNCES,0)))</f>
        <v>0</v>
      </c>
      <c r="AB332">
        <f>IF(ISNUMBER(INDEX(AllCollegeAAHGR, MATCH(N332,AllCollegeNCES,0))),ROUND(INDEX(AllCollegeAAHGR, MATCH(N332,AllCollegeNCES,0))+Z332*IF(INDEX(AllCollegeAAHGR, MATCH(N332,AllCollegeNCES,0))&gt;0.7,(1-INDEX(AllCollegeAAHGR, MATCH(N332,AllCollegeNCES,0)))/2,0.15),2),INDEX(AllCollegeAAHGR, MATCH(N332,AllCollegeNCES,0)))</f>
        <v>0</v>
      </c>
      <c r="AC332">
        <f>IF(OR(W332="H",W332="B"),INDEX(AllCollegeSAT25, MATCH(N332,AllCollegeNCES,0)),INDEX(AllCollegeSAT50, MATCH(N332,AllCollegeNCES,0)))</f>
        <v>0</v>
      </c>
      <c r="AD332">
        <f>INDEX(CustomWeightsGPA,MATCH(W332&amp;":"&amp;N332,CustomWeightsIndex,0))</f>
        <v>0</v>
      </c>
      <c r="AE332">
        <f>INDEX(CustomWeightsSAT,MATCH(W332&amp;":"&amp;N332,CustomWeightsIndex,0))</f>
        <v>0</v>
      </c>
      <c r="AF332">
        <f>INDEX(CustomWeightsIntercept,MATCH(W332&amp;":"&amp;N332,CustomWeightsIndex,0))</f>
        <v>0</v>
      </c>
      <c r="AG332">
        <f>AD332*S332+AE332*T332+AF332</f>
        <v>0</v>
      </c>
      <c r="AH332">
        <f>INDEX(CoefficientsGPA,MATCH(W332&amp;":"&amp;R332,CoefficientsIndex,0))</f>
        <v>0</v>
      </c>
      <c r="AI332">
        <f>INDEX(CoefficientsSAT,MATCH(W332&amp;":"&amp;R332,CoefficientsIndex,0))</f>
        <v>0</v>
      </c>
      <c r="AJ332">
        <f>INDEX(CoefficientsIntercept,MATCH(W332&amp;":"&amp;R332,CoefficientsIndex,0))</f>
        <v>0</v>
      </c>
      <c r="AK332">
        <f>AH332*S332+(T332-AC332)*AI332+AJ332</f>
        <v>0</v>
      </c>
      <c r="AL332">
        <f>IF(ISNUMBER(AG332),AG332,AK332)</f>
        <v>0</v>
      </c>
      <c r="AM332">
        <f>IF(ISNUMBER(AL332),IF(ISNUMBER(AH332),IF(AND(AH332=1,AI332=1,AJ332=1),100,MIN(99,ROUND(100*EXP(AL332)/(1+EXP(AL332)),2))),MIN(99,ROUND(100*EXP(AL332)/(1+EXP(AL332)),2))),IF(ISTEXT(R332),IF(LEFT(R332,1)="2",100,"N/A"),"N/A"))</f>
        <v>0</v>
      </c>
      <c r="AN332">
        <f>IF(ISNUMBER(AM332),IF(AM332&gt;=99,IF(OR(U332=10,U332=11),MatchLabel,SureThingLabel),IF(AM332&gt;=95,SecureLabel,IF(AM332&gt;=80,SafetyLabel,IF(AM332&gt;=50,MatchLabel,IF(AM332&gt;=20,ReachLabel,IF(AM332&gt;=10,LongshotLabel,HailMaryLabel)))))),"Other")</f>
        <v>0</v>
      </c>
      <c r="AO332">
        <f>IF(OR(I332="accepted",I332="cond. accept",I332="summer admit"),IF(J332="yes","CHOICE!","Accepted!"),IF(I332="guar. transfer","Guar. Xfer",IF(I332="denied","Denied",IF(K332=1,"Waitlist",IF(L332=1,"Deferred",IF(G332="pending","Pending",IF(OR(G332="initial materials submitted",G332="mid-year submitted",G332="final submitted"),"Submitted",IF(H332="interest","Interest","?"))))))))</f>
        <v>0</v>
      </c>
      <c r="AP332">
        <f>IF(OR(AN332=ReachLabel,AN332=LongshotLabel,AN332=HailMaryLabel),1,0)</f>
        <v>0</v>
      </c>
      <c r="AQ332">
        <f>IF(OR(AP332=1,AN332=MatchLabel),1,0)</f>
        <v>0</v>
      </c>
      <c r="AR332">
        <f>IF(OR(AN332=MatchLabel,AN332=SafetyLabel,AN332=SecureLabel,AN332=SureThingLabel),1,0)</f>
        <v>0</v>
      </c>
      <c r="AS332">
        <f>IF(OR(W332="H",W332="B",W332="I",W332="M"),IF(ISNUMBER(AB332),ROUND(AB332,2),0),IF(ISNUMBER(AA332),ROUND(AA332,2),0))</f>
        <v>0</v>
      </c>
      <c r="AT332">
        <f>IF(AS332&gt;=X332,1,0)</f>
        <v>0</v>
      </c>
      <c r="AU332">
        <f>IF(AS332&gt;=Y332,1,0)</f>
        <v>0</v>
      </c>
      <c r="AV332">
        <f>IF(AS332&lt;(X332-0.10),1,0)</f>
        <v>0</v>
      </c>
      <c r="AW332">
        <f>1-AM332/100</f>
        <v>0</v>
      </c>
      <c r="AX332">
        <f>IF(AQ332=1,AW332,1)</f>
        <v>0</v>
      </c>
      <c r="AY332">
        <f>IF(AP332=1,AW332,1)</f>
        <v>0</v>
      </c>
      <c r="AZ332">
        <f>IF(AND(AT332=1,ISNUMBER(AW332)),$AW332,1)</f>
        <v>0</v>
      </c>
      <c r="BA332">
        <f>IF(AND(AU332=1,ISNUMBER(AW332)),$AW332,1)</f>
        <v>0</v>
      </c>
      <c r="BB332">
        <f>IF(ISNUMBER(AB332),INDEX(AllCollegeMoney, MATCH(N332,AllCollegeNCES,0)),0)</f>
        <v>0</v>
      </c>
      <c r="BC332">
        <f>IF(AND(AT332=1,ISNUMBER(AW332),BB332=1),$AW332,1)</f>
        <v>0</v>
      </c>
      <c r="BD332">
        <f>IF(AND(AU332=1,ISNUMBER(AW332),BB332=1),$AW332,1)</f>
        <v>0</v>
      </c>
      <c r="BE332">
        <f>IF(ISNUMBER(AB332),INDEX(AllCollegeILPub, MATCH(N332,AllCollegeNCES,0)),0)</f>
        <v>0</v>
      </c>
      <c r="BF332">
        <f>IF(AN332=ReachLabel,AS332,0)</f>
        <v>0</v>
      </c>
      <c r="BG332">
        <f>IF(AN332=MatchLabel,AS332,0)</f>
        <v>0</v>
      </c>
      <c r="BH332">
        <f>IF(AN332=SafetyLabel,AS332,0)</f>
        <v>0</v>
      </c>
      <c r="BI332">
        <f>IF(AN332=SecureLabel,AS332,0)</f>
        <v>0</v>
      </c>
      <c r="BJ332">
        <f>IF(AN332=SureThingLabel,AS332,0)</f>
        <v>0</v>
      </c>
      <c r="BK332">
        <f>MAX(BF332:BJ332)</f>
        <v>0</v>
      </c>
      <c r="BL332">
        <f>MAX(BG332:BJ332)</f>
        <v>0</v>
      </c>
      <c r="BM332">
        <f>MAX(BH332:BJ332)</f>
        <v>0</v>
      </c>
      <c r="BN332">
        <f>IF(AND(AN332=ReachLabel,BB332=1),AS332,0)</f>
        <v>0</v>
      </c>
      <c r="BO332">
        <f>IF(AND(AN332=MatchLabel,BB332=1),AS332,0)</f>
        <v>0</v>
      </c>
      <c r="BP332">
        <f>IF(AND(AN332=SafetyLabel,BB332=1),AS332,0)</f>
        <v>0</v>
      </c>
      <c r="BQ332">
        <f>IF(AND(AN332=SecureLabel,BB332=1),AS332,0)</f>
        <v>0</v>
      </c>
      <c r="BR332">
        <f>IF(AND(AN332=SureThingLabel,BB332=1),AS332,0)</f>
        <v>0</v>
      </c>
      <c r="BS332">
        <f>MAX(BN332:BR332)</f>
        <v>0</v>
      </c>
      <c r="BT332">
        <f>MAX(BO332:BR332)</f>
        <v>0</v>
      </c>
      <c r="BU332">
        <f>MAX(BP332:BR332)</f>
        <v>0</v>
      </c>
      <c r="BV332">
        <f>IF(ISNUMBER(AB332),INDEX(AllCollegeChicago, MATCH(N332,AllCollegeNCES,0))*BB332,0)</f>
        <v>0</v>
      </c>
      <c r="BW332">
        <f>IF(ISNUMBER(AB332),INDEX(AllCollegeMoneyCode, MATCH(N332,AllCollegeNCES,0)),"?")</f>
        <v>0</v>
      </c>
      <c r="BX332">
        <f>IF(OR(BW332="---",BW332="--",BW332="+/--",BW332="+/---"),1,0)</f>
        <v>0</v>
      </c>
      <c r="BY332">
        <f>BB332*AR332*AT332</f>
        <v>0</v>
      </c>
    </row>
    <row r="333" spans="1:77">
      <c r="A333" t="s">
        <v>96</v>
      </c>
      <c r="B333">
        <v>23152737</v>
      </c>
      <c r="C333" t="s">
        <v>221</v>
      </c>
      <c r="D333" t="s">
        <v>222</v>
      </c>
      <c r="E333" t="s">
        <v>446</v>
      </c>
      <c r="F333" t="s">
        <v>508</v>
      </c>
      <c r="G333" t="s">
        <v>448</v>
      </c>
      <c r="H333" t="s">
        <v>449</v>
      </c>
      <c r="I333" t="s">
        <v>450</v>
      </c>
      <c r="J333" t="s">
        <v>450</v>
      </c>
      <c r="K333">
        <v>0</v>
      </c>
      <c r="L333" t="s">
        <v>446</v>
      </c>
      <c r="M333" t="s">
        <v>446</v>
      </c>
      <c r="N333">
        <v>147411</v>
      </c>
      <c r="O333">
        <f>INDEX(Counselor,MATCH(B333,KidIDs,0))</f>
        <v>0</v>
      </c>
      <c r="P333">
        <f>INDEX(Advisors,MATCH(B333,KidIDs,0))</f>
        <v>0</v>
      </c>
      <c r="Q333">
        <f>INDEX(Cohort,MATCH(B333,KidIDs,0))</f>
        <v>0</v>
      </c>
      <c r="R333">
        <f>INDEX(AllCollegeBarrons,MATCH(N333,AllCollegeNCES,0))</f>
        <v>0</v>
      </c>
      <c r="S333">
        <f>INDEX(KidGPAs,MATCH(B333,KidIDs,0))</f>
        <v>0</v>
      </c>
      <c r="T333">
        <f>INDEX(KidSATs,MATCH(B333,KidIDs,0))</f>
        <v>0</v>
      </c>
      <c r="U333">
        <f>INDEX(Strats,MATCH(B333,KidIDs,0))</f>
        <v>0</v>
      </c>
      <c r="V333">
        <f>INDEX(KidRace,MATCH(B333,KidIDs,0))</f>
        <v>0</v>
      </c>
      <c r="W333">
        <f>IF(OR(V333="M",V333="I"),"H",IF(V333="P","A",V333))</f>
        <v>0</v>
      </c>
      <c r="X333">
        <f>INDEX(StudentTargets,MATCH(B333,KidIDs,0))</f>
        <v>0</v>
      </c>
      <c r="Y333">
        <f>INDEX(ReachStudentTargets,MATCH(B333,KidIDs,0))</f>
        <v>0</v>
      </c>
      <c r="Z333">
        <f>IF(OR(M333="Posse"),1,0)</f>
        <v>0</v>
      </c>
      <c r="AA333">
        <f>IF(ISNUMBER(INDEX(AllCollegeGR, MATCH(N333,AllCollegeNCES,0))),ROUND(INDEX(AllCollegeGR, MATCH(N333,AllCollegeNCES,0))+Z333*IF(INDEX(AllCollegeGR, MATCH(N333,AllCollegeNCES,0))&gt;0.7,(1-INDEX(AllCollegeGR, MATCH(N333,AllCollegeNCES,0)))/2,0.15),2),INDEX(AllCollegeGR, MATCH(N333,AllCollegeNCES,0)))</f>
        <v>0</v>
      </c>
      <c r="AB333">
        <f>IF(ISNUMBER(INDEX(AllCollegeAAHGR, MATCH(N333,AllCollegeNCES,0))),ROUND(INDEX(AllCollegeAAHGR, MATCH(N333,AllCollegeNCES,0))+Z333*IF(INDEX(AllCollegeAAHGR, MATCH(N333,AllCollegeNCES,0))&gt;0.7,(1-INDEX(AllCollegeAAHGR, MATCH(N333,AllCollegeNCES,0)))/2,0.15),2),INDEX(AllCollegeAAHGR, MATCH(N333,AllCollegeNCES,0)))</f>
        <v>0</v>
      </c>
      <c r="AC333">
        <f>IF(OR(W333="H",W333="B"),INDEX(AllCollegeSAT25, MATCH(N333,AllCollegeNCES,0)),INDEX(AllCollegeSAT50, MATCH(N333,AllCollegeNCES,0)))</f>
        <v>0</v>
      </c>
      <c r="AD333">
        <f>INDEX(CustomWeightsGPA,MATCH(W333&amp;":"&amp;N333,CustomWeightsIndex,0))</f>
        <v>0</v>
      </c>
      <c r="AE333">
        <f>INDEX(CustomWeightsSAT,MATCH(W333&amp;":"&amp;N333,CustomWeightsIndex,0))</f>
        <v>0</v>
      </c>
      <c r="AF333">
        <f>INDEX(CustomWeightsIntercept,MATCH(W333&amp;":"&amp;N333,CustomWeightsIndex,0))</f>
        <v>0</v>
      </c>
      <c r="AG333">
        <f>AD333*S333+AE333*T333+AF333</f>
        <v>0</v>
      </c>
      <c r="AH333">
        <f>INDEX(CoefficientsGPA,MATCH(W333&amp;":"&amp;R333,CoefficientsIndex,0))</f>
        <v>0</v>
      </c>
      <c r="AI333">
        <f>INDEX(CoefficientsSAT,MATCH(W333&amp;":"&amp;R333,CoefficientsIndex,0))</f>
        <v>0</v>
      </c>
      <c r="AJ333">
        <f>INDEX(CoefficientsIntercept,MATCH(W333&amp;":"&amp;R333,CoefficientsIndex,0))</f>
        <v>0</v>
      </c>
      <c r="AK333">
        <f>AH333*S333+(T333-AC333)*AI333+AJ333</f>
        <v>0</v>
      </c>
      <c r="AL333">
        <f>IF(ISNUMBER(AG333),AG333,AK333)</f>
        <v>0</v>
      </c>
      <c r="AM333">
        <f>IF(ISNUMBER(AL333),IF(ISNUMBER(AH333),IF(AND(AH333=1,AI333=1,AJ333=1),100,MIN(99,ROUND(100*EXP(AL333)/(1+EXP(AL333)),2))),MIN(99,ROUND(100*EXP(AL333)/(1+EXP(AL333)),2))),IF(ISTEXT(R333),IF(LEFT(R333,1)="2",100,"N/A"),"N/A"))</f>
        <v>0</v>
      </c>
      <c r="AN333">
        <f>IF(ISNUMBER(AM333),IF(AM333&gt;=99,IF(OR(U333=10,U333=11),MatchLabel,SureThingLabel),IF(AM333&gt;=95,SecureLabel,IF(AM333&gt;=80,SafetyLabel,IF(AM333&gt;=50,MatchLabel,IF(AM333&gt;=20,ReachLabel,IF(AM333&gt;=10,LongshotLabel,HailMaryLabel)))))),"Other")</f>
        <v>0</v>
      </c>
      <c r="AO333">
        <f>IF(OR(I333="accepted",I333="cond. accept",I333="summer admit"),IF(J333="yes","CHOICE!","Accepted!"),IF(I333="guar. transfer","Guar. Xfer",IF(I333="denied","Denied",IF(K333=1,"Waitlist",IF(L333=1,"Deferred",IF(G333="pending","Pending",IF(OR(G333="initial materials submitted",G333="mid-year submitted",G333="final submitted"),"Submitted",IF(H333="interest","Interest","?"))))))))</f>
        <v>0</v>
      </c>
      <c r="AP333">
        <f>IF(OR(AN333=ReachLabel,AN333=LongshotLabel,AN333=HailMaryLabel),1,0)</f>
        <v>0</v>
      </c>
      <c r="AQ333">
        <f>IF(OR(AP333=1,AN333=MatchLabel),1,0)</f>
        <v>0</v>
      </c>
      <c r="AR333">
        <f>IF(OR(AN333=MatchLabel,AN333=SafetyLabel,AN333=SecureLabel,AN333=SureThingLabel),1,0)</f>
        <v>0</v>
      </c>
      <c r="AS333">
        <f>IF(OR(W333="H",W333="B",W333="I",W333="M"),IF(ISNUMBER(AB333),ROUND(AB333,2),0),IF(ISNUMBER(AA333),ROUND(AA333,2),0))</f>
        <v>0</v>
      </c>
      <c r="AT333">
        <f>IF(AS333&gt;=X333,1,0)</f>
        <v>0</v>
      </c>
      <c r="AU333">
        <f>IF(AS333&gt;=Y333,1,0)</f>
        <v>0</v>
      </c>
      <c r="AV333">
        <f>IF(AS333&lt;(X333-0.10),1,0)</f>
        <v>0</v>
      </c>
      <c r="AW333">
        <f>1-AM333/100</f>
        <v>0</v>
      </c>
      <c r="AX333">
        <f>IF(AQ333=1,AW333,1)</f>
        <v>0</v>
      </c>
      <c r="AY333">
        <f>IF(AP333=1,AW333,1)</f>
        <v>0</v>
      </c>
      <c r="AZ333">
        <f>IF(AND(AT333=1,ISNUMBER(AW333)),$AW333,1)</f>
        <v>0</v>
      </c>
      <c r="BA333">
        <f>IF(AND(AU333=1,ISNUMBER(AW333)),$AW333,1)</f>
        <v>0</v>
      </c>
      <c r="BB333">
        <f>IF(ISNUMBER(AB333),INDEX(AllCollegeMoney, MATCH(N333,AllCollegeNCES,0)),0)</f>
        <v>0</v>
      </c>
      <c r="BC333">
        <f>IF(AND(AT333=1,ISNUMBER(AW333),BB333=1),$AW333,1)</f>
        <v>0</v>
      </c>
      <c r="BD333">
        <f>IF(AND(AU333=1,ISNUMBER(AW333),BB333=1),$AW333,1)</f>
        <v>0</v>
      </c>
      <c r="BE333">
        <f>IF(ISNUMBER(AB333),INDEX(AllCollegeILPub, MATCH(N333,AllCollegeNCES,0)),0)</f>
        <v>0</v>
      </c>
      <c r="BF333">
        <f>IF(AN333=ReachLabel,AS333,0)</f>
        <v>0</v>
      </c>
      <c r="BG333">
        <f>IF(AN333=MatchLabel,AS333,0)</f>
        <v>0</v>
      </c>
      <c r="BH333">
        <f>IF(AN333=SafetyLabel,AS333,0)</f>
        <v>0</v>
      </c>
      <c r="BI333">
        <f>IF(AN333=SecureLabel,AS333,0)</f>
        <v>0</v>
      </c>
      <c r="BJ333">
        <f>IF(AN333=SureThingLabel,AS333,0)</f>
        <v>0</v>
      </c>
      <c r="BK333">
        <f>MAX(BF333:BJ333)</f>
        <v>0</v>
      </c>
      <c r="BL333">
        <f>MAX(BG333:BJ333)</f>
        <v>0</v>
      </c>
      <c r="BM333">
        <f>MAX(BH333:BJ333)</f>
        <v>0</v>
      </c>
      <c r="BN333">
        <f>IF(AND(AN333=ReachLabel,BB333=1),AS333,0)</f>
        <v>0</v>
      </c>
      <c r="BO333">
        <f>IF(AND(AN333=MatchLabel,BB333=1),AS333,0)</f>
        <v>0</v>
      </c>
      <c r="BP333">
        <f>IF(AND(AN333=SafetyLabel,BB333=1),AS333,0)</f>
        <v>0</v>
      </c>
      <c r="BQ333">
        <f>IF(AND(AN333=SecureLabel,BB333=1),AS333,0)</f>
        <v>0</v>
      </c>
      <c r="BR333">
        <f>IF(AND(AN333=SureThingLabel,BB333=1),AS333,0)</f>
        <v>0</v>
      </c>
      <c r="BS333">
        <f>MAX(BN333:BR333)</f>
        <v>0</v>
      </c>
      <c r="BT333">
        <f>MAX(BO333:BR333)</f>
        <v>0</v>
      </c>
      <c r="BU333">
        <f>MAX(BP333:BR333)</f>
        <v>0</v>
      </c>
      <c r="BV333">
        <f>IF(ISNUMBER(AB333),INDEX(AllCollegeChicago, MATCH(N333,AllCollegeNCES,0))*BB333,0)</f>
        <v>0</v>
      </c>
      <c r="BW333">
        <f>IF(ISNUMBER(AB333),INDEX(AllCollegeMoneyCode, MATCH(N333,AllCollegeNCES,0)),"?")</f>
        <v>0</v>
      </c>
      <c r="BX333">
        <f>IF(OR(BW333="---",BW333="--",BW333="+/--",BW333="+/---"),1,0)</f>
        <v>0</v>
      </c>
      <c r="BY333">
        <f>BB333*AR333*AT333</f>
        <v>0</v>
      </c>
    </row>
    <row r="334" spans="1:77">
      <c r="A334" t="s">
        <v>96</v>
      </c>
      <c r="B334">
        <v>23207280</v>
      </c>
      <c r="C334" t="s">
        <v>118</v>
      </c>
      <c r="D334" t="s">
        <v>119</v>
      </c>
      <c r="E334" t="s">
        <v>446</v>
      </c>
      <c r="F334" t="s">
        <v>447</v>
      </c>
      <c r="G334" t="s">
        <v>448</v>
      </c>
      <c r="H334" t="s">
        <v>449</v>
      </c>
      <c r="I334" t="s">
        <v>450</v>
      </c>
      <c r="J334" t="s">
        <v>450</v>
      </c>
      <c r="K334">
        <v>0</v>
      </c>
      <c r="L334" t="s">
        <v>446</v>
      </c>
      <c r="M334" t="s">
        <v>446</v>
      </c>
      <c r="N334">
        <v>148496</v>
      </c>
      <c r="O334">
        <f>INDEX(Counselor,MATCH(B334,KidIDs,0))</f>
        <v>0</v>
      </c>
      <c r="P334">
        <f>INDEX(Advisors,MATCH(B334,KidIDs,0))</f>
        <v>0</v>
      </c>
      <c r="Q334">
        <f>INDEX(Cohort,MATCH(B334,KidIDs,0))</f>
        <v>0</v>
      </c>
      <c r="R334">
        <f>INDEX(AllCollegeBarrons,MATCH(N334,AllCollegeNCES,0))</f>
        <v>0</v>
      </c>
      <c r="S334">
        <f>INDEX(KidGPAs,MATCH(B334,KidIDs,0))</f>
        <v>0</v>
      </c>
      <c r="T334">
        <f>INDEX(KidSATs,MATCH(B334,KidIDs,0))</f>
        <v>0</v>
      </c>
      <c r="U334">
        <f>INDEX(Strats,MATCH(B334,KidIDs,0))</f>
        <v>0</v>
      </c>
      <c r="V334">
        <f>INDEX(KidRace,MATCH(B334,KidIDs,0))</f>
        <v>0</v>
      </c>
      <c r="W334">
        <f>IF(OR(V334="M",V334="I"),"H",IF(V334="P","A",V334))</f>
        <v>0</v>
      </c>
      <c r="X334">
        <f>INDEX(StudentTargets,MATCH(B334,KidIDs,0))</f>
        <v>0</v>
      </c>
      <c r="Y334">
        <f>INDEX(ReachStudentTargets,MATCH(B334,KidIDs,0))</f>
        <v>0</v>
      </c>
      <c r="Z334">
        <f>IF(OR(M334="Posse"),1,0)</f>
        <v>0</v>
      </c>
      <c r="AA334">
        <f>IF(ISNUMBER(INDEX(AllCollegeGR, MATCH(N334,AllCollegeNCES,0))),ROUND(INDEX(AllCollegeGR, MATCH(N334,AllCollegeNCES,0))+Z334*IF(INDEX(AllCollegeGR, MATCH(N334,AllCollegeNCES,0))&gt;0.7,(1-INDEX(AllCollegeGR, MATCH(N334,AllCollegeNCES,0)))/2,0.15),2),INDEX(AllCollegeGR, MATCH(N334,AllCollegeNCES,0)))</f>
        <v>0</v>
      </c>
      <c r="AB334">
        <f>IF(ISNUMBER(INDEX(AllCollegeAAHGR, MATCH(N334,AllCollegeNCES,0))),ROUND(INDEX(AllCollegeAAHGR, MATCH(N334,AllCollegeNCES,0))+Z334*IF(INDEX(AllCollegeAAHGR, MATCH(N334,AllCollegeNCES,0))&gt;0.7,(1-INDEX(AllCollegeAAHGR, MATCH(N334,AllCollegeNCES,0)))/2,0.15),2),INDEX(AllCollegeAAHGR, MATCH(N334,AllCollegeNCES,0)))</f>
        <v>0</v>
      </c>
      <c r="AC334">
        <f>IF(OR(W334="H",W334="B"),INDEX(AllCollegeSAT25, MATCH(N334,AllCollegeNCES,0)),INDEX(AllCollegeSAT50, MATCH(N334,AllCollegeNCES,0)))</f>
        <v>0</v>
      </c>
      <c r="AD334">
        <f>INDEX(CustomWeightsGPA,MATCH(W334&amp;":"&amp;N334,CustomWeightsIndex,0))</f>
        <v>0</v>
      </c>
      <c r="AE334">
        <f>INDEX(CustomWeightsSAT,MATCH(W334&amp;":"&amp;N334,CustomWeightsIndex,0))</f>
        <v>0</v>
      </c>
      <c r="AF334">
        <f>INDEX(CustomWeightsIntercept,MATCH(W334&amp;":"&amp;N334,CustomWeightsIndex,0))</f>
        <v>0</v>
      </c>
      <c r="AG334">
        <f>AD334*S334+AE334*T334+AF334</f>
        <v>0</v>
      </c>
      <c r="AH334">
        <f>INDEX(CoefficientsGPA,MATCH(W334&amp;":"&amp;R334,CoefficientsIndex,0))</f>
        <v>0</v>
      </c>
      <c r="AI334">
        <f>INDEX(CoefficientsSAT,MATCH(W334&amp;":"&amp;R334,CoefficientsIndex,0))</f>
        <v>0</v>
      </c>
      <c r="AJ334">
        <f>INDEX(CoefficientsIntercept,MATCH(W334&amp;":"&amp;R334,CoefficientsIndex,0))</f>
        <v>0</v>
      </c>
      <c r="AK334">
        <f>AH334*S334+(T334-AC334)*AI334+AJ334</f>
        <v>0</v>
      </c>
      <c r="AL334">
        <f>IF(ISNUMBER(AG334),AG334,AK334)</f>
        <v>0</v>
      </c>
      <c r="AM334">
        <f>IF(ISNUMBER(AL334),IF(ISNUMBER(AH334),IF(AND(AH334=1,AI334=1,AJ334=1),100,MIN(99,ROUND(100*EXP(AL334)/(1+EXP(AL334)),2))),MIN(99,ROUND(100*EXP(AL334)/(1+EXP(AL334)),2))),IF(ISTEXT(R334),IF(LEFT(R334,1)="2",100,"N/A"),"N/A"))</f>
        <v>0</v>
      </c>
      <c r="AN334">
        <f>IF(ISNUMBER(AM334),IF(AM334&gt;=99,IF(OR(U334=10,U334=11),MatchLabel,SureThingLabel),IF(AM334&gt;=95,SecureLabel,IF(AM334&gt;=80,SafetyLabel,IF(AM334&gt;=50,MatchLabel,IF(AM334&gt;=20,ReachLabel,IF(AM334&gt;=10,LongshotLabel,HailMaryLabel)))))),"Other")</f>
        <v>0</v>
      </c>
      <c r="AO334">
        <f>IF(OR(I334="accepted",I334="cond. accept",I334="summer admit"),IF(J334="yes","CHOICE!","Accepted!"),IF(I334="guar. transfer","Guar. Xfer",IF(I334="denied","Denied",IF(K334=1,"Waitlist",IF(L334=1,"Deferred",IF(G334="pending","Pending",IF(OR(G334="initial materials submitted",G334="mid-year submitted",G334="final submitted"),"Submitted",IF(H334="interest","Interest","?"))))))))</f>
        <v>0</v>
      </c>
      <c r="AP334">
        <f>IF(OR(AN334=ReachLabel,AN334=LongshotLabel,AN334=HailMaryLabel),1,0)</f>
        <v>0</v>
      </c>
      <c r="AQ334">
        <f>IF(OR(AP334=1,AN334=MatchLabel),1,0)</f>
        <v>0</v>
      </c>
      <c r="AR334">
        <f>IF(OR(AN334=MatchLabel,AN334=SafetyLabel,AN334=SecureLabel,AN334=SureThingLabel),1,0)</f>
        <v>0</v>
      </c>
      <c r="AS334">
        <f>IF(OR(W334="H",W334="B",W334="I",W334="M"),IF(ISNUMBER(AB334),ROUND(AB334,2),0),IF(ISNUMBER(AA334),ROUND(AA334,2),0))</f>
        <v>0</v>
      </c>
      <c r="AT334">
        <f>IF(AS334&gt;=X334,1,0)</f>
        <v>0</v>
      </c>
      <c r="AU334">
        <f>IF(AS334&gt;=Y334,1,0)</f>
        <v>0</v>
      </c>
      <c r="AV334">
        <f>IF(AS334&lt;(X334-0.10),1,0)</f>
        <v>0</v>
      </c>
      <c r="AW334">
        <f>1-AM334/100</f>
        <v>0</v>
      </c>
      <c r="AX334">
        <f>IF(AQ334=1,AW334,1)</f>
        <v>0</v>
      </c>
      <c r="AY334">
        <f>IF(AP334=1,AW334,1)</f>
        <v>0</v>
      </c>
      <c r="AZ334">
        <f>IF(AND(AT334=1,ISNUMBER(AW334)),$AW334,1)</f>
        <v>0</v>
      </c>
      <c r="BA334">
        <f>IF(AND(AU334=1,ISNUMBER(AW334)),$AW334,1)</f>
        <v>0</v>
      </c>
      <c r="BB334">
        <f>IF(ISNUMBER(AB334),INDEX(AllCollegeMoney, MATCH(N334,AllCollegeNCES,0)),0)</f>
        <v>0</v>
      </c>
      <c r="BC334">
        <f>IF(AND(AT334=1,ISNUMBER(AW334),BB334=1),$AW334,1)</f>
        <v>0</v>
      </c>
      <c r="BD334">
        <f>IF(AND(AU334=1,ISNUMBER(AW334),BB334=1),$AW334,1)</f>
        <v>0</v>
      </c>
      <c r="BE334">
        <f>IF(ISNUMBER(AB334),INDEX(AllCollegeILPub, MATCH(N334,AllCollegeNCES,0)),0)</f>
        <v>0</v>
      </c>
      <c r="BF334">
        <f>IF(AN334=ReachLabel,AS334,0)</f>
        <v>0</v>
      </c>
      <c r="BG334">
        <f>IF(AN334=MatchLabel,AS334,0)</f>
        <v>0</v>
      </c>
      <c r="BH334">
        <f>IF(AN334=SafetyLabel,AS334,0)</f>
        <v>0</v>
      </c>
      <c r="BI334">
        <f>IF(AN334=SecureLabel,AS334,0)</f>
        <v>0</v>
      </c>
      <c r="BJ334">
        <f>IF(AN334=SureThingLabel,AS334,0)</f>
        <v>0</v>
      </c>
      <c r="BK334">
        <f>MAX(BF334:BJ334)</f>
        <v>0</v>
      </c>
      <c r="BL334">
        <f>MAX(BG334:BJ334)</f>
        <v>0</v>
      </c>
      <c r="BM334">
        <f>MAX(BH334:BJ334)</f>
        <v>0</v>
      </c>
      <c r="BN334">
        <f>IF(AND(AN334=ReachLabel,BB334=1),AS334,0)</f>
        <v>0</v>
      </c>
      <c r="BO334">
        <f>IF(AND(AN334=MatchLabel,BB334=1),AS334,0)</f>
        <v>0</v>
      </c>
      <c r="BP334">
        <f>IF(AND(AN334=SafetyLabel,BB334=1),AS334,0)</f>
        <v>0</v>
      </c>
      <c r="BQ334">
        <f>IF(AND(AN334=SecureLabel,BB334=1),AS334,0)</f>
        <v>0</v>
      </c>
      <c r="BR334">
        <f>IF(AND(AN334=SureThingLabel,BB334=1),AS334,0)</f>
        <v>0</v>
      </c>
      <c r="BS334">
        <f>MAX(BN334:BR334)</f>
        <v>0</v>
      </c>
      <c r="BT334">
        <f>MAX(BO334:BR334)</f>
        <v>0</v>
      </c>
      <c r="BU334">
        <f>MAX(BP334:BR334)</f>
        <v>0</v>
      </c>
      <c r="BV334">
        <f>IF(ISNUMBER(AB334),INDEX(AllCollegeChicago, MATCH(N334,AllCollegeNCES,0))*BB334,0)</f>
        <v>0</v>
      </c>
      <c r="BW334">
        <f>IF(ISNUMBER(AB334),INDEX(AllCollegeMoneyCode, MATCH(N334,AllCollegeNCES,0)),"?")</f>
        <v>0</v>
      </c>
      <c r="BX334">
        <f>IF(OR(BW334="---",BW334="--",BW334="+/--",BW334="+/---"),1,0)</f>
        <v>0</v>
      </c>
      <c r="BY334">
        <f>BB334*AR334*AT334</f>
        <v>0</v>
      </c>
    </row>
    <row r="335" spans="1:77">
      <c r="A335" t="s">
        <v>96</v>
      </c>
      <c r="B335">
        <v>23207280</v>
      </c>
      <c r="C335" t="s">
        <v>118</v>
      </c>
      <c r="D335" t="s">
        <v>119</v>
      </c>
      <c r="E335" t="s">
        <v>446</v>
      </c>
      <c r="F335" t="s">
        <v>478</v>
      </c>
      <c r="G335" t="s">
        <v>479</v>
      </c>
      <c r="H335" t="s">
        <v>449</v>
      </c>
      <c r="I335" t="s">
        <v>450</v>
      </c>
      <c r="J335" t="s">
        <v>450</v>
      </c>
      <c r="K335">
        <v>0</v>
      </c>
      <c r="L335" t="s">
        <v>446</v>
      </c>
      <c r="M335" t="s">
        <v>446</v>
      </c>
      <c r="N335">
        <v>168546</v>
      </c>
      <c r="O335">
        <f>INDEX(Counselor,MATCH(B335,KidIDs,0))</f>
        <v>0</v>
      </c>
      <c r="P335">
        <f>INDEX(Advisors,MATCH(B335,KidIDs,0))</f>
        <v>0</v>
      </c>
      <c r="Q335">
        <f>INDEX(Cohort,MATCH(B335,KidIDs,0))</f>
        <v>0</v>
      </c>
      <c r="R335">
        <f>INDEX(AllCollegeBarrons,MATCH(N335,AllCollegeNCES,0))</f>
        <v>0</v>
      </c>
      <c r="S335">
        <f>INDEX(KidGPAs,MATCH(B335,KidIDs,0))</f>
        <v>0</v>
      </c>
      <c r="T335">
        <f>INDEX(KidSATs,MATCH(B335,KidIDs,0))</f>
        <v>0</v>
      </c>
      <c r="U335">
        <f>INDEX(Strats,MATCH(B335,KidIDs,0))</f>
        <v>0</v>
      </c>
      <c r="V335">
        <f>INDEX(KidRace,MATCH(B335,KidIDs,0))</f>
        <v>0</v>
      </c>
      <c r="W335">
        <f>IF(OR(V335="M",V335="I"),"H",IF(V335="P","A",V335))</f>
        <v>0</v>
      </c>
      <c r="X335">
        <f>INDEX(StudentTargets,MATCH(B335,KidIDs,0))</f>
        <v>0</v>
      </c>
      <c r="Y335">
        <f>INDEX(ReachStudentTargets,MATCH(B335,KidIDs,0))</f>
        <v>0</v>
      </c>
      <c r="Z335">
        <f>IF(OR(M335="Posse"),1,0)</f>
        <v>0</v>
      </c>
      <c r="AA335">
        <f>IF(ISNUMBER(INDEX(AllCollegeGR, MATCH(N335,AllCollegeNCES,0))),ROUND(INDEX(AllCollegeGR, MATCH(N335,AllCollegeNCES,0))+Z335*IF(INDEX(AllCollegeGR, MATCH(N335,AllCollegeNCES,0))&gt;0.7,(1-INDEX(AllCollegeGR, MATCH(N335,AllCollegeNCES,0)))/2,0.15),2),INDEX(AllCollegeGR, MATCH(N335,AllCollegeNCES,0)))</f>
        <v>0</v>
      </c>
      <c r="AB335">
        <f>IF(ISNUMBER(INDEX(AllCollegeAAHGR, MATCH(N335,AllCollegeNCES,0))),ROUND(INDEX(AllCollegeAAHGR, MATCH(N335,AllCollegeNCES,0))+Z335*IF(INDEX(AllCollegeAAHGR, MATCH(N335,AllCollegeNCES,0))&gt;0.7,(1-INDEX(AllCollegeAAHGR, MATCH(N335,AllCollegeNCES,0)))/2,0.15),2),INDEX(AllCollegeAAHGR, MATCH(N335,AllCollegeNCES,0)))</f>
        <v>0</v>
      </c>
      <c r="AC335">
        <f>IF(OR(W335="H",W335="B"),INDEX(AllCollegeSAT25, MATCH(N335,AllCollegeNCES,0)),INDEX(AllCollegeSAT50, MATCH(N335,AllCollegeNCES,0)))</f>
        <v>0</v>
      </c>
      <c r="AD335">
        <f>INDEX(CustomWeightsGPA,MATCH(W335&amp;":"&amp;N335,CustomWeightsIndex,0))</f>
        <v>0</v>
      </c>
      <c r="AE335">
        <f>INDEX(CustomWeightsSAT,MATCH(W335&amp;":"&amp;N335,CustomWeightsIndex,0))</f>
        <v>0</v>
      </c>
      <c r="AF335">
        <f>INDEX(CustomWeightsIntercept,MATCH(W335&amp;":"&amp;N335,CustomWeightsIndex,0))</f>
        <v>0</v>
      </c>
      <c r="AG335">
        <f>AD335*S335+AE335*T335+AF335</f>
        <v>0</v>
      </c>
      <c r="AH335">
        <f>INDEX(CoefficientsGPA,MATCH(W335&amp;":"&amp;R335,CoefficientsIndex,0))</f>
        <v>0</v>
      </c>
      <c r="AI335">
        <f>INDEX(CoefficientsSAT,MATCH(W335&amp;":"&amp;R335,CoefficientsIndex,0))</f>
        <v>0</v>
      </c>
      <c r="AJ335">
        <f>INDEX(CoefficientsIntercept,MATCH(W335&amp;":"&amp;R335,CoefficientsIndex,0))</f>
        <v>0</v>
      </c>
      <c r="AK335">
        <f>AH335*S335+(T335-AC335)*AI335+AJ335</f>
        <v>0</v>
      </c>
      <c r="AL335">
        <f>IF(ISNUMBER(AG335),AG335,AK335)</f>
        <v>0</v>
      </c>
      <c r="AM335">
        <f>IF(ISNUMBER(AL335),IF(ISNUMBER(AH335),IF(AND(AH335=1,AI335=1,AJ335=1),100,MIN(99,ROUND(100*EXP(AL335)/(1+EXP(AL335)),2))),MIN(99,ROUND(100*EXP(AL335)/(1+EXP(AL335)),2))),IF(ISTEXT(R335),IF(LEFT(R335,1)="2",100,"N/A"),"N/A"))</f>
        <v>0</v>
      </c>
      <c r="AN335">
        <f>IF(ISNUMBER(AM335),IF(AM335&gt;=99,IF(OR(U335=10,U335=11),MatchLabel,SureThingLabel),IF(AM335&gt;=95,SecureLabel,IF(AM335&gt;=80,SafetyLabel,IF(AM335&gt;=50,MatchLabel,IF(AM335&gt;=20,ReachLabel,IF(AM335&gt;=10,LongshotLabel,HailMaryLabel)))))),"Other")</f>
        <v>0</v>
      </c>
      <c r="AO335">
        <f>IF(OR(I335="accepted",I335="cond. accept",I335="summer admit"),IF(J335="yes","CHOICE!","Accepted!"),IF(I335="guar. transfer","Guar. Xfer",IF(I335="denied","Denied",IF(K335=1,"Waitlist",IF(L335=1,"Deferred",IF(G335="pending","Pending",IF(OR(G335="initial materials submitted",G335="mid-year submitted",G335="final submitted"),"Submitted",IF(H335="interest","Interest","?"))))))))</f>
        <v>0</v>
      </c>
      <c r="AP335">
        <f>IF(OR(AN335=ReachLabel,AN335=LongshotLabel,AN335=HailMaryLabel),1,0)</f>
        <v>0</v>
      </c>
      <c r="AQ335">
        <f>IF(OR(AP335=1,AN335=MatchLabel),1,0)</f>
        <v>0</v>
      </c>
      <c r="AR335">
        <f>IF(OR(AN335=MatchLabel,AN335=SafetyLabel,AN335=SecureLabel,AN335=SureThingLabel),1,0)</f>
        <v>0</v>
      </c>
      <c r="AS335">
        <f>IF(OR(W335="H",W335="B",W335="I",W335="M"),IF(ISNUMBER(AB335),ROUND(AB335,2),0),IF(ISNUMBER(AA335),ROUND(AA335,2),0))</f>
        <v>0</v>
      </c>
      <c r="AT335">
        <f>IF(AS335&gt;=X335,1,0)</f>
        <v>0</v>
      </c>
      <c r="AU335">
        <f>IF(AS335&gt;=Y335,1,0)</f>
        <v>0</v>
      </c>
      <c r="AV335">
        <f>IF(AS335&lt;(X335-0.10),1,0)</f>
        <v>0</v>
      </c>
      <c r="AW335">
        <f>1-AM335/100</f>
        <v>0</v>
      </c>
      <c r="AX335">
        <f>IF(AQ335=1,AW335,1)</f>
        <v>0</v>
      </c>
      <c r="AY335">
        <f>IF(AP335=1,AW335,1)</f>
        <v>0</v>
      </c>
      <c r="AZ335">
        <f>IF(AND(AT335=1,ISNUMBER(AW335)),$AW335,1)</f>
        <v>0</v>
      </c>
      <c r="BA335">
        <f>IF(AND(AU335=1,ISNUMBER(AW335)),$AW335,1)</f>
        <v>0</v>
      </c>
      <c r="BB335">
        <f>IF(ISNUMBER(AB335),INDEX(AllCollegeMoney, MATCH(N335,AllCollegeNCES,0)),0)</f>
        <v>0</v>
      </c>
      <c r="BC335">
        <f>IF(AND(AT335=1,ISNUMBER(AW335),BB335=1),$AW335,1)</f>
        <v>0</v>
      </c>
      <c r="BD335">
        <f>IF(AND(AU335=1,ISNUMBER(AW335),BB335=1),$AW335,1)</f>
        <v>0</v>
      </c>
      <c r="BE335">
        <f>IF(ISNUMBER(AB335),INDEX(AllCollegeILPub, MATCH(N335,AllCollegeNCES,0)),0)</f>
        <v>0</v>
      </c>
      <c r="BF335">
        <f>IF(AN335=ReachLabel,AS335,0)</f>
        <v>0</v>
      </c>
      <c r="BG335">
        <f>IF(AN335=MatchLabel,AS335,0)</f>
        <v>0</v>
      </c>
      <c r="BH335">
        <f>IF(AN335=SafetyLabel,AS335,0)</f>
        <v>0</v>
      </c>
      <c r="BI335">
        <f>IF(AN335=SecureLabel,AS335,0)</f>
        <v>0</v>
      </c>
      <c r="BJ335">
        <f>IF(AN335=SureThingLabel,AS335,0)</f>
        <v>0</v>
      </c>
      <c r="BK335">
        <f>MAX(BF335:BJ335)</f>
        <v>0</v>
      </c>
      <c r="BL335">
        <f>MAX(BG335:BJ335)</f>
        <v>0</v>
      </c>
      <c r="BM335">
        <f>MAX(BH335:BJ335)</f>
        <v>0</v>
      </c>
      <c r="BN335">
        <f>IF(AND(AN335=ReachLabel,BB335=1),AS335,0)</f>
        <v>0</v>
      </c>
      <c r="BO335">
        <f>IF(AND(AN335=MatchLabel,BB335=1),AS335,0)</f>
        <v>0</v>
      </c>
      <c r="BP335">
        <f>IF(AND(AN335=SafetyLabel,BB335=1),AS335,0)</f>
        <v>0</v>
      </c>
      <c r="BQ335">
        <f>IF(AND(AN335=SecureLabel,BB335=1),AS335,0)</f>
        <v>0</v>
      </c>
      <c r="BR335">
        <f>IF(AND(AN335=SureThingLabel,BB335=1),AS335,0)</f>
        <v>0</v>
      </c>
      <c r="BS335">
        <f>MAX(BN335:BR335)</f>
        <v>0</v>
      </c>
      <c r="BT335">
        <f>MAX(BO335:BR335)</f>
        <v>0</v>
      </c>
      <c r="BU335">
        <f>MAX(BP335:BR335)</f>
        <v>0</v>
      </c>
      <c r="BV335">
        <f>IF(ISNUMBER(AB335),INDEX(AllCollegeChicago, MATCH(N335,AllCollegeNCES,0))*BB335,0)</f>
        <v>0</v>
      </c>
      <c r="BW335">
        <f>IF(ISNUMBER(AB335),INDEX(AllCollegeMoneyCode, MATCH(N335,AllCollegeNCES,0)),"?")</f>
        <v>0</v>
      </c>
      <c r="BX335">
        <f>IF(OR(BW335="---",BW335="--",BW335="+/--",BW335="+/---"),1,0)</f>
        <v>0</v>
      </c>
      <c r="BY335">
        <f>BB335*AR335*AT335</f>
        <v>0</v>
      </c>
    </row>
    <row r="336" spans="1:77">
      <c r="A336" t="s">
        <v>96</v>
      </c>
      <c r="B336">
        <v>23207280</v>
      </c>
      <c r="C336" t="s">
        <v>118</v>
      </c>
      <c r="D336" t="s">
        <v>119</v>
      </c>
      <c r="E336" t="s">
        <v>446</v>
      </c>
      <c r="F336" t="s">
        <v>451</v>
      </c>
      <c r="G336" t="s">
        <v>448</v>
      </c>
      <c r="H336" t="s">
        <v>449</v>
      </c>
      <c r="I336" t="s">
        <v>450</v>
      </c>
      <c r="J336" t="s">
        <v>450</v>
      </c>
      <c r="K336">
        <v>0</v>
      </c>
      <c r="L336" t="s">
        <v>446</v>
      </c>
      <c r="M336" t="s">
        <v>446</v>
      </c>
      <c r="N336">
        <v>144962</v>
      </c>
      <c r="O336">
        <f>INDEX(Counselor,MATCH(B336,KidIDs,0))</f>
        <v>0</v>
      </c>
      <c r="P336">
        <f>INDEX(Advisors,MATCH(B336,KidIDs,0))</f>
        <v>0</v>
      </c>
      <c r="Q336">
        <f>INDEX(Cohort,MATCH(B336,KidIDs,0))</f>
        <v>0</v>
      </c>
      <c r="R336">
        <f>INDEX(AllCollegeBarrons,MATCH(N336,AllCollegeNCES,0))</f>
        <v>0</v>
      </c>
      <c r="S336">
        <f>INDEX(KidGPAs,MATCH(B336,KidIDs,0))</f>
        <v>0</v>
      </c>
      <c r="T336">
        <f>INDEX(KidSATs,MATCH(B336,KidIDs,0))</f>
        <v>0</v>
      </c>
      <c r="U336">
        <f>INDEX(Strats,MATCH(B336,KidIDs,0))</f>
        <v>0</v>
      </c>
      <c r="V336">
        <f>INDEX(KidRace,MATCH(B336,KidIDs,0))</f>
        <v>0</v>
      </c>
      <c r="W336">
        <f>IF(OR(V336="M",V336="I"),"H",IF(V336="P","A",V336))</f>
        <v>0</v>
      </c>
      <c r="X336">
        <f>INDEX(StudentTargets,MATCH(B336,KidIDs,0))</f>
        <v>0</v>
      </c>
      <c r="Y336">
        <f>INDEX(ReachStudentTargets,MATCH(B336,KidIDs,0))</f>
        <v>0</v>
      </c>
      <c r="Z336">
        <f>IF(OR(M336="Posse"),1,0)</f>
        <v>0</v>
      </c>
      <c r="AA336">
        <f>IF(ISNUMBER(INDEX(AllCollegeGR, MATCH(N336,AllCollegeNCES,0))),ROUND(INDEX(AllCollegeGR, MATCH(N336,AllCollegeNCES,0))+Z336*IF(INDEX(AllCollegeGR, MATCH(N336,AllCollegeNCES,0))&gt;0.7,(1-INDEX(AllCollegeGR, MATCH(N336,AllCollegeNCES,0)))/2,0.15),2),INDEX(AllCollegeGR, MATCH(N336,AllCollegeNCES,0)))</f>
        <v>0</v>
      </c>
      <c r="AB336">
        <f>IF(ISNUMBER(INDEX(AllCollegeAAHGR, MATCH(N336,AllCollegeNCES,0))),ROUND(INDEX(AllCollegeAAHGR, MATCH(N336,AllCollegeNCES,0))+Z336*IF(INDEX(AllCollegeAAHGR, MATCH(N336,AllCollegeNCES,0))&gt;0.7,(1-INDEX(AllCollegeAAHGR, MATCH(N336,AllCollegeNCES,0)))/2,0.15),2),INDEX(AllCollegeAAHGR, MATCH(N336,AllCollegeNCES,0)))</f>
        <v>0</v>
      </c>
      <c r="AC336">
        <f>IF(OR(W336="H",W336="B"),INDEX(AllCollegeSAT25, MATCH(N336,AllCollegeNCES,0)),INDEX(AllCollegeSAT50, MATCH(N336,AllCollegeNCES,0)))</f>
        <v>0</v>
      </c>
      <c r="AD336">
        <f>INDEX(CustomWeightsGPA,MATCH(W336&amp;":"&amp;N336,CustomWeightsIndex,0))</f>
        <v>0</v>
      </c>
      <c r="AE336">
        <f>INDEX(CustomWeightsSAT,MATCH(W336&amp;":"&amp;N336,CustomWeightsIndex,0))</f>
        <v>0</v>
      </c>
      <c r="AF336">
        <f>INDEX(CustomWeightsIntercept,MATCH(W336&amp;":"&amp;N336,CustomWeightsIndex,0))</f>
        <v>0</v>
      </c>
      <c r="AG336">
        <f>AD336*S336+AE336*T336+AF336</f>
        <v>0</v>
      </c>
      <c r="AH336">
        <f>INDEX(CoefficientsGPA,MATCH(W336&amp;":"&amp;R336,CoefficientsIndex,0))</f>
        <v>0</v>
      </c>
      <c r="AI336">
        <f>INDEX(CoefficientsSAT,MATCH(W336&amp;":"&amp;R336,CoefficientsIndex,0))</f>
        <v>0</v>
      </c>
      <c r="AJ336">
        <f>INDEX(CoefficientsIntercept,MATCH(W336&amp;":"&amp;R336,CoefficientsIndex,0))</f>
        <v>0</v>
      </c>
      <c r="AK336">
        <f>AH336*S336+(T336-AC336)*AI336+AJ336</f>
        <v>0</v>
      </c>
      <c r="AL336">
        <f>IF(ISNUMBER(AG336),AG336,AK336)</f>
        <v>0</v>
      </c>
      <c r="AM336">
        <f>IF(ISNUMBER(AL336),IF(ISNUMBER(AH336),IF(AND(AH336=1,AI336=1,AJ336=1),100,MIN(99,ROUND(100*EXP(AL336)/(1+EXP(AL336)),2))),MIN(99,ROUND(100*EXP(AL336)/(1+EXP(AL336)),2))),IF(ISTEXT(R336),IF(LEFT(R336,1)="2",100,"N/A"),"N/A"))</f>
        <v>0</v>
      </c>
      <c r="AN336">
        <f>IF(ISNUMBER(AM336),IF(AM336&gt;=99,IF(OR(U336=10,U336=11),MatchLabel,SureThingLabel),IF(AM336&gt;=95,SecureLabel,IF(AM336&gt;=80,SafetyLabel,IF(AM336&gt;=50,MatchLabel,IF(AM336&gt;=20,ReachLabel,IF(AM336&gt;=10,LongshotLabel,HailMaryLabel)))))),"Other")</f>
        <v>0</v>
      </c>
      <c r="AO336">
        <f>IF(OR(I336="accepted",I336="cond. accept",I336="summer admit"),IF(J336="yes","CHOICE!","Accepted!"),IF(I336="guar. transfer","Guar. Xfer",IF(I336="denied","Denied",IF(K336=1,"Waitlist",IF(L336=1,"Deferred",IF(G336="pending","Pending",IF(OR(G336="initial materials submitted",G336="mid-year submitted",G336="final submitted"),"Submitted",IF(H336="interest","Interest","?"))))))))</f>
        <v>0</v>
      </c>
      <c r="AP336">
        <f>IF(OR(AN336=ReachLabel,AN336=LongshotLabel,AN336=HailMaryLabel),1,0)</f>
        <v>0</v>
      </c>
      <c r="AQ336">
        <f>IF(OR(AP336=1,AN336=MatchLabel),1,0)</f>
        <v>0</v>
      </c>
      <c r="AR336">
        <f>IF(OR(AN336=MatchLabel,AN336=SafetyLabel,AN336=SecureLabel,AN336=SureThingLabel),1,0)</f>
        <v>0</v>
      </c>
      <c r="AS336">
        <f>IF(OR(W336="H",W336="B",W336="I",W336="M"),IF(ISNUMBER(AB336),ROUND(AB336,2),0),IF(ISNUMBER(AA336),ROUND(AA336,2),0))</f>
        <v>0</v>
      </c>
      <c r="AT336">
        <f>IF(AS336&gt;=X336,1,0)</f>
        <v>0</v>
      </c>
      <c r="AU336">
        <f>IF(AS336&gt;=Y336,1,0)</f>
        <v>0</v>
      </c>
      <c r="AV336">
        <f>IF(AS336&lt;(X336-0.10),1,0)</f>
        <v>0</v>
      </c>
      <c r="AW336">
        <f>1-AM336/100</f>
        <v>0</v>
      </c>
      <c r="AX336">
        <f>IF(AQ336=1,AW336,1)</f>
        <v>0</v>
      </c>
      <c r="AY336">
        <f>IF(AP336=1,AW336,1)</f>
        <v>0</v>
      </c>
      <c r="AZ336">
        <f>IF(AND(AT336=1,ISNUMBER(AW336)),$AW336,1)</f>
        <v>0</v>
      </c>
      <c r="BA336">
        <f>IF(AND(AU336=1,ISNUMBER(AW336)),$AW336,1)</f>
        <v>0</v>
      </c>
      <c r="BB336">
        <f>IF(ISNUMBER(AB336),INDEX(AllCollegeMoney, MATCH(N336,AllCollegeNCES,0)),0)</f>
        <v>0</v>
      </c>
      <c r="BC336">
        <f>IF(AND(AT336=1,ISNUMBER(AW336),BB336=1),$AW336,1)</f>
        <v>0</v>
      </c>
      <c r="BD336">
        <f>IF(AND(AU336=1,ISNUMBER(AW336),BB336=1),$AW336,1)</f>
        <v>0</v>
      </c>
      <c r="BE336">
        <f>IF(ISNUMBER(AB336),INDEX(AllCollegeILPub, MATCH(N336,AllCollegeNCES,0)),0)</f>
        <v>0</v>
      </c>
      <c r="BF336">
        <f>IF(AN336=ReachLabel,AS336,0)</f>
        <v>0</v>
      </c>
      <c r="BG336">
        <f>IF(AN336=MatchLabel,AS336,0)</f>
        <v>0</v>
      </c>
      <c r="BH336">
        <f>IF(AN336=SafetyLabel,AS336,0)</f>
        <v>0</v>
      </c>
      <c r="BI336">
        <f>IF(AN336=SecureLabel,AS336,0)</f>
        <v>0</v>
      </c>
      <c r="BJ336">
        <f>IF(AN336=SureThingLabel,AS336,0)</f>
        <v>0</v>
      </c>
      <c r="BK336">
        <f>MAX(BF336:BJ336)</f>
        <v>0</v>
      </c>
      <c r="BL336">
        <f>MAX(BG336:BJ336)</f>
        <v>0</v>
      </c>
      <c r="BM336">
        <f>MAX(BH336:BJ336)</f>
        <v>0</v>
      </c>
      <c r="BN336">
        <f>IF(AND(AN336=ReachLabel,BB336=1),AS336,0)</f>
        <v>0</v>
      </c>
      <c r="BO336">
        <f>IF(AND(AN336=MatchLabel,BB336=1),AS336,0)</f>
        <v>0</v>
      </c>
      <c r="BP336">
        <f>IF(AND(AN336=SafetyLabel,BB336=1),AS336,0)</f>
        <v>0</v>
      </c>
      <c r="BQ336">
        <f>IF(AND(AN336=SecureLabel,BB336=1),AS336,0)</f>
        <v>0</v>
      </c>
      <c r="BR336">
        <f>IF(AND(AN336=SureThingLabel,BB336=1),AS336,0)</f>
        <v>0</v>
      </c>
      <c r="BS336">
        <f>MAX(BN336:BR336)</f>
        <v>0</v>
      </c>
      <c r="BT336">
        <f>MAX(BO336:BR336)</f>
        <v>0</v>
      </c>
      <c r="BU336">
        <f>MAX(BP336:BR336)</f>
        <v>0</v>
      </c>
      <c r="BV336">
        <f>IF(ISNUMBER(AB336),INDEX(AllCollegeChicago, MATCH(N336,AllCollegeNCES,0))*BB336,0)</f>
        <v>0</v>
      </c>
      <c r="BW336">
        <f>IF(ISNUMBER(AB336),INDEX(AllCollegeMoneyCode, MATCH(N336,AllCollegeNCES,0)),"?")</f>
        <v>0</v>
      </c>
      <c r="BX336">
        <f>IF(OR(BW336="---",BW336="--",BW336="+/--",BW336="+/---"),1,0)</f>
        <v>0</v>
      </c>
      <c r="BY336">
        <f>BB336*AR336*AT336</f>
        <v>0</v>
      </c>
    </row>
    <row r="337" spans="1:77">
      <c r="A337" t="s">
        <v>96</v>
      </c>
      <c r="B337">
        <v>23207280</v>
      </c>
      <c r="C337" t="s">
        <v>118</v>
      </c>
      <c r="D337" t="s">
        <v>119</v>
      </c>
      <c r="E337" t="s">
        <v>446</v>
      </c>
      <c r="F337" t="s">
        <v>529</v>
      </c>
      <c r="G337" t="s">
        <v>479</v>
      </c>
      <c r="H337" t="s">
        <v>449</v>
      </c>
      <c r="I337" t="s">
        <v>450</v>
      </c>
      <c r="J337" t="s">
        <v>450</v>
      </c>
      <c r="K337">
        <v>0</v>
      </c>
      <c r="L337" t="s">
        <v>446</v>
      </c>
      <c r="M337" t="s">
        <v>446</v>
      </c>
      <c r="N337">
        <v>145691</v>
      </c>
      <c r="O337">
        <f>INDEX(Counselor,MATCH(B337,KidIDs,0))</f>
        <v>0</v>
      </c>
      <c r="P337">
        <f>INDEX(Advisors,MATCH(B337,KidIDs,0))</f>
        <v>0</v>
      </c>
      <c r="Q337">
        <f>INDEX(Cohort,MATCH(B337,KidIDs,0))</f>
        <v>0</v>
      </c>
      <c r="R337">
        <f>INDEX(AllCollegeBarrons,MATCH(N337,AllCollegeNCES,0))</f>
        <v>0</v>
      </c>
      <c r="S337">
        <f>INDEX(KidGPAs,MATCH(B337,KidIDs,0))</f>
        <v>0</v>
      </c>
      <c r="T337">
        <f>INDEX(KidSATs,MATCH(B337,KidIDs,0))</f>
        <v>0</v>
      </c>
      <c r="U337">
        <f>INDEX(Strats,MATCH(B337,KidIDs,0))</f>
        <v>0</v>
      </c>
      <c r="V337">
        <f>INDEX(KidRace,MATCH(B337,KidIDs,0))</f>
        <v>0</v>
      </c>
      <c r="W337">
        <f>IF(OR(V337="M",V337="I"),"H",IF(V337="P","A",V337))</f>
        <v>0</v>
      </c>
      <c r="X337">
        <f>INDEX(StudentTargets,MATCH(B337,KidIDs,0))</f>
        <v>0</v>
      </c>
      <c r="Y337">
        <f>INDEX(ReachStudentTargets,MATCH(B337,KidIDs,0))</f>
        <v>0</v>
      </c>
      <c r="Z337">
        <f>IF(OR(M337="Posse"),1,0)</f>
        <v>0</v>
      </c>
      <c r="AA337">
        <f>IF(ISNUMBER(INDEX(AllCollegeGR, MATCH(N337,AllCollegeNCES,0))),ROUND(INDEX(AllCollegeGR, MATCH(N337,AllCollegeNCES,0))+Z337*IF(INDEX(AllCollegeGR, MATCH(N337,AllCollegeNCES,0))&gt;0.7,(1-INDEX(AllCollegeGR, MATCH(N337,AllCollegeNCES,0)))/2,0.15),2),INDEX(AllCollegeGR, MATCH(N337,AllCollegeNCES,0)))</f>
        <v>0</v>
      </c>
      <c r="AB337">
        <f>IF(ISNUMBER(INDEX(AllCollegeAAHGR, MATCH(N337,AllCollegeNCES,0))),ROUND(INDEX(AllCollegeAAHGR, MATCH(N337,AllCollegeNCES,0))+Z337*IF(INDEX(AllCollegeAAHGR, MATCH(N337,AllCollegeNCES,0))&gt;0.7,(1-INDEX(AllCollegeAAHGR, MATCH(N337,AllCollegeNCES,0)))/2,0.15),2),INDEX(AllCollegeAAHGR, MATCH(N337,AllCollegeNCES,0)))</f>
        <v>0</v>
      </c>
      <c r="AC337">
        <f>IF(OR(W337="H",W337="B"),INDEX(AllCollegeSAT25, MATCH(N337,AllCollegeNCES,0)),INDEX(AllCollegeSAT50, MATCH(N337,AllCollegeNCES,0)))</f>
        <v>0</v>
      </c>
      <c r="AD337">
        <f>INDEX(CustomWeightsGPA,MATCH(W337&amp;":"&amp;N337,CustomWeightsIndex,0))</f>
        <v>0</v>
      </c>
      <c r="AE337">
        <f>INDEX(CustomWeightsSAT,MATCH(W337&amp;":"&amp;N337,CustomWeightsIndex,0))</f>
        <v>0</v>
      </c>
      <c r="AF337">
        <f>INDEX(CustomWeightsIntercept,MATCH(W337&amp;":"&amp;N337,CustomWeightsIndex,0))</f>
        <v>0</v>
      </c>
      <c r="AG337">
        <f>AD337*S337+AE337*T337+AF337</f>
        <v>0</v>
      </c>
      <c r="AH337">
        <f>INDEX(CoefficientsGPA,MATCH(W337&amp;":"&amp;R337,CoefficientsIndex,0))</f>
        <v>0</v>
      </c>
      <c r="AI337">
        <f>INDEX(CoefficientsSAT,MATCH(W337&amp;":"&amp;R337,CoefficientsIndex,0))</f>
        <v>0</v>
      </c>
      <c r="AJ337">
        <f>INDEX(CoefficientsIntercept,MATCH(W337&amp;":"&amp;R337,CoefficientsIndex,0))</f>
        <v>0</v>
      </c>
      <c r="AK337">
        <f>AH337*S337+(T337-AC337)*AI337+AJ337</f>
        <v>0</v>
      </c>
      <c r="AL337">
        <f>IF(ISNUMBER(AG337),AG337,AK337)</f>
        <v>0</v>
      </c>
      <c r="AM337">
        <f>IF(ISNUMBER(AL337),IF(ISNUMBER(AH337),IF(AND(AH337=1,AI337=1,AJ337=1),100,MIN(99,ROUND(100*EXP(AL337)/(1+EXP(AL337)),2))),MIN(99,ROUND(100*EXP(AL337)/(1+EXP(AL337)),2))),IF(ISTEXT(R337),IF(LEFT(R337,1)="2",100,"N/A"),"N/A"))</f>
        <v>0</v>
      </c>
      <c r="AN337">
        <f>IF(ISNUMBER(AM337),IF(AM337&gt;=99,IF(OR(U337=10,U337=11),MatchLabel,SureThingLabel),IF(AM337&gt;=95,SecureLabel,IF(AM337&gt;=80,SafetyLabel,IF(AM337&gt;=50,MatchLabel,IF(AM337&gt;=20,ReachLabel,IF(AM337&gt;=10,LongshotLabel,HailMaryLabel)))))),"Other")</f>
        <v>0</v>
      </c>
      <c r="AO337">
        <f>IF(OR(I337="accepted",I337="cond. accept",I337="summer admit"),IF(J337="yes","CHOICE!","Accepted!"),IF(I337="guar. transfer","Guar. Xfer",IF(I337="denied","Denied",IF(K337=1,"Waitlist",IF(L337=1,"Deferred",IF(G337="pending","Pending",IF(OR(G337="initial materials submitted",G337="mid-year submitted",G337="final submitted"),"Submitted",IF(H337="interest","Interest","?"))))))))</f>
        <v>0</v>
      </c>
      <c r="AP337">
        <f>IF(OR(AN337=ReachLabel,AN337=LongshotLabel,AN337=HailMaryLabel),1,0)</f>
        <v>0</v>
      </c>
      <c r="AQ337">
        <f>IF(OR(AP337=1,AN337=MatchLabel),1,0)</f>
        <v>0</v>
      </c>
      <c r="AR337">
        <f>IF(OR(AN337=MatchLabel,AN337=SafetyLabel,AN337=SecureLabel,AN337=SureThingLabel),1,0)</f>
        <v>0</v>
      </c>
      <c r="AS337">
        <f>IF(OR(W337="H",W337="B",W337="I",W337="M"),IF(ISNUMBER(AB337),ROUND(AB337,2),0),IF(ISNUMBER(AA337),ROUND(AA337,2),0))</f>
        <v>0</v>
      </c>
      <c r="AT337">
        <f>IF(AS337&gt;=X337,1,0)</f>
        <v>0</v>
      </c>
      <c r="AU337">
        <f>IF(AS337&gt;=Y337,1,0)</f>
        <v>0</v>
      </c>
      <c r="AV337">
        <f>IF(AS337&lt;(X337-0.10),1,0)</f>
        <v>0</v>
      </c>
      <c r="AW337">
        <f>1-AM337/100</f>
        <v>0</v>
      </c>
      <c r="AX337">
        <f>IF(AQ337=1,AW337,1)</f>
        <v>0</v>
      </c>
      <c r="AY337">
        <f>IF(AP337=1,AW337,1)</f>
        <v>0</v>
      </c>
      <c r="AZ337">
        <f>IF(AND(AT337=1,ISNUMBER(AW337)),$AW337,1)</f>
        <v>0</v>
      </c>
      <c r="BA337">
        <f>IF(AND(AU337=1,ISNUMBER(AW337)),$AW337,1)</f>
        <v>0</v>
      </c>
      <c r="BB337">
        <f>IF(ISNUMBER(AB337),INDEX(AllCollegeMoney, MATCH(N337,AllCollegeNCES,0)),0)</f>
        <v>0</v>
      </c>
      <c r="BC337">
        <f>IF(AND(AT337=1,ISNUMBER(AW337),BB337=1),$AW337,1)</f>
        <v>0</v>
      </c>
      <c r="BD337">
        <f>IF(AND(AU337=1,ISNUMBER(AW337),BB337=1),$AW337,1)</f>
        <v>0</v>
      </c>
      <c r="BE337">
        <f>IF(ISNUMBER(AB337),INDEX(AllCollegeILPub, MATCH(N337,AllCollegeNCES,0)),0)</f>
        <v>0</v>
      </c>
      <c r="BF337">
        <f>IF(AN337=ReachLabel,AS337,0)</f>
        <v>0</v>
      </c>
      <c r="BG337">
        <f>IF(AN337=MatchLabel,AS337,0)</f>
        <v>0</v>
      </c>
      <c r="BH337">
        <f>IF(AN337=SafetyLabel,AS337,0)</f>
        <v>0</v>
      </c>
      <c r="BI337">
        <f>IF(AN337=SecureLabel,AS337,0)</f>
        <v>0</v>
      </c>
      <c r="BJ337">
        <f>IF(AN337=SureThingLabel,AS337,0)</f>
        <v>0</v>
      </c>
      <c r="BK337">
        <f>MAX(BF337:BJ337)</f>
        <v>0</v>
      </c>
      <c r="BL337">
        <f>MAX(BG337:BJ337)</f>
        <v>0</v>
      </c>
      <c r="BM337">
        <f>MAX(BH337:BJ337)</f>
        <v>0</v>
      </c>
      <c r="BN337">
        <f>IF(AND(AN337=ReachLabel,BB337=1),AS337,0)</f>
        <v>0</v>
      </c>
      <c r="BO337">
        <f>IF(AND(AN337=MatchLabel,BB337=1),AS337,0)</f>
        <v>0</v>
      </c>
      <c r="BP337">
        <f>IF(AND(AN337=SafetyLabel,BB337=1),AS337,0)</f>
        <v>0</v>
      </c>
      <c r="BQ337">
        <f>IF(AND(AN337=SecureLabel,BB337=1),AS337,0)</f>
        <v>0</v>
      </c>
      <c r="BR337">
        <f>IF(AND(AN337=SureThingLabel,BB337=1),AS337,0)</f>
        <v>0</v>
      </c>
      <c r="BS337">
        <f>MAX(BN337:BR337)</f>
        <v>0</v>
      </c>
      <c r="BT337">
        <f>MAX(BO337:BR337)</f>
        <v>0</v>
      </c>
      <c r="BU337">
        <f>MAX(BP337:BR337)</f>
        <v>0</v>
      </c>
      <c r="BV337">
        <f>IF(ISNUMBER(AB337),INDEX(AllCollegeChicago, MATCH(N337,AllCollegeNCES,0))*BB337,0)</f>
        <v>0</v>
      </c>
      <c r="BW337">
        <f>IF(ISNUMBER(AB337),INDEX(AllCollegeMoneyCode, MATCH(N337,AllCollegeNCES,0)),"?")</f>
        <v>0</v>
      </c>
      <c r="BX337">
        <f>IF(OR(BW337="---",BW337="--",BW337="+/--",BW337="+/---"),1,0)</f>
        <v>0</v>
      </c>
      <c r="BY337">
        <f>BB337*AR337*AT337</f>
        <v>0</v>
      </c>
    </row>
    <row r="338" spans="1:77">
      <c r="A338" t="s">
        <v>96</v>
      </c>
      <c r="B338">
        <v>23207280</v>
      </c>
      <c r="C338" t="s">
        <v>118</v>
      </c>
      <c r="D338" t="s">
        <v>119</v>
      </c>
      <c r="E338" t="s">
        <v>446</v>
      </c>
      <c r="F338" t="s">
        <v>453</v>
      </c>
      <c r="G338" t="s">
        <v>448</v>
      </c>
      <c r="H338" t="s">
        <v>449</v>
      </c>
      <c r="I338" t="s">
        <v>450</v>
      </c>
      <c r="J338" t="s">
        <v>450</v>
      </c>
      <c r="K338">
        <v>0</v>
      </c>
      <c r="L338" t="s">
        <v>446</v>
      </c>
      <c r="M338" t="s">
        <v>454</v>
      </c>
      <c r="N338">
        <v>150774</v>
      </c>
      <c r="O338">
        <f>INDEX(Counselor,MATCH(B338,KidIDs,0))</f>
        <v>0</v>
      </c>
      <c r="P338">
        <f>INDEX(Advisors,MATCH(B338,KidIDs,0))</f>
        <v>0</v>
      </c>
      <c r="Q338">
        <f>INDEX(Cohort,MATCH(B338,KidIDs,0))</f>
        <v>0</v>
      </c>
      <c r="R338">
        <f>INDEX(AllCollegeBarrons,MATCH(N338,AllCollegeNCES,0))</f>
        <v>0</v>
      </c>
      <c r="S338">
        <f>INDEX(KidGPAs,MATCH(B338,KidIDs,0))</f>
        <v>0</v>
      </c>
      <c r="T338">
        <f>INDEX(KidSATs,MATCH(B338,KidIDs,0))</f>
        <v>0</v>
      </c>
      <c r="U338">
        <f>INDEX(Strats,MATCH(B338,KidIDs,0))</f>
        <v>0</v>
      </c>
      <c r="V338">
        <f>INDEX(KidRace,MATCH(B338,KidIDs,0))</f>
        <v>0</v>
      </c>
      <c r="W338">
        <f>IF(OR(V338="M",V338="I"),"H",IF(V338="P","A",V338))</f>
        <v>0</v>
      </c>
      <c r="X338">
        <f>INDEX(StudentTargets,MATCH(B338,KidIDs,0))</f>
        <v>0</v>
      </c>
      <c r="Y338">
        <f>INDEX(ReachStudentTargets,MATCH(B338,KidIDs,0))</f>
        <v>0</v>
      </c>
      <c r="Z338">
        <f>IF(OR(M338="Posse"),1,0)</f>
        <v>0</v>
      </c>
      <c r="AA338">
        <f>IF(ISNUMBER(INDEX(AllCollegeGR, MATCH(N338,AllCollegeNCES,0))),ROUND(INDEX(AllCollegeGR, MATCH(N338,AllCollegeNCES,0))+Z338*IF(INDEX(AllCollegeGR, MATCH(N338,AllCollegeNCES,0))&gt;0.7,(1-INDEX(AllCollegeGR, MATCH(N338,AllCollegeNCES,0)))/2,0.15),2),INDEX(AllCollegeGR, MATCH(N338,AllCollegeNCES,0)))</f>
        <v>0</v>
      </c>
      <c r="AB338">
        <f>IF(ISNUMBER(INDEX(AllCollegeAAHGR, MATCH(N338,AllCollegeNCES,0))),ROUND(INDEX(AllCollegeAAHGR, MATCH(N338,AllCollegeNCES,0))+Z338*IF(INDEX(AllCollegeAAHGR, MATCH(N338,AllCollegeNCES,0))&gt;0.7,(1-INDEX(AllCollegeAAHGR, MATCH(N338,AllCollegeNCES,0)))/2,0.15),2),INDEX(AllCollegeAAHGR, MATCH(N338,AllCollegeNCES,0)))</f>
        <v>0</v>
      </c>
      <c r="AC338">
        <f>IF(OR(W338="H",W338="B"),INDEX(AllCollegeSAT25, MATCH(N338,AllCollegeNCES,0)),INDEX(AllCollegeSAT50, MATCH(N338,AllCollegeNCES,0)))</f>
        <v>0</v>
      </c>
      <c r="AD338">
        <f>INDEX(CustomWeightsGPA,MATCH(W338&amp;":"&amp;N338,CustomWeightsIndex,0))</f>
        <v>0</v>
      </c>
      <c r="AE338">
        <f>INDEX(CustomWeightsSAT,MATCH(W338&amp;":"&amp;N338,CustomWeightsIndex,0))</f>
        <v>0</v>
      </c>
      <c r="AF338">
        <f>INDEX(CustomWeightsIntercept,MATCH(W338&amp;":"&amp;N338,CustomWeightsIndex,0))</f>
        <v>0</v>
      </c>
      <c r="AG338">
        <f>AD338*S338+AE338*T338+AF338</f>
        <v>0</v>
      </c>
      <c r="AH338">
        <f>INDEX(CoefficientsGPA,MATCH(W338&amp;":"&amp;R338,CoefficientsIndex,0))</f>
        <v>0</v>
      </c>
      <c r="AI338">
        <f>INDEX(CoefficientsSAT,MATCH(W338&amp;":"&amp;R338,CoefficientsIndex,0))</f>
        <v>0</v>
      </c>
      <c r="AJ338">
        <f>INDEX(CoefficientsIntercept,MATCH(W338&amp;":"&amp;R338,CoefficientsIndex,0))</f>
        <v>0</v>
      </c>
      <c r="AK338">
        <f>AH338*S338+(T338-AC338)*AI338+AJ338</f>
        <v>0</v>
      </c>
      <c r="AL338">
        <f>IF(ISNUMBER(AG338),AG338,AK338)</f>
        <v>0</v>
      </c>
      <c r="AM338">
        <f>IF(ISNUMBER(AL338),IF(ISNUMBER(AH338),IF(AND(AH338=1,AI338=1,AJ338=1),100,MIN(99,ROUND(100*EXP(AL338)/(1+EXP(AL338)),2))),MIN(99,ROUND(100*EXP(AL338)/(1+EXP(AL338)),2))),IF(ISTEXT(R338),IF(LEFT(R338,1)="2",100,"N/A"),"N/A"))</f>
        <v>0</v>
      </c>
      <c r="AN338">
        <f>IF(ISNUMBER(AM338),IF(AM338&gt;=99,IF(OR(U338=10,U338=11),MatchLabel,SureThingLabel),IF(AM338&gt;=95,SecureLabel,IF(AM338&gt;=80,SafetyLabel,IF(AM338&gt;=50,MatchLabel,IF(AM338&gt;=20,ReachLabel,IF(AM338&gt;=10,LongshotLabel,HailMaryLabel)))))),"Other")</f>
        <v>0</v>
      </c>
      <c r="AO338">
        <f>IF(OR(I338="accepted",I338="cond. accept",I338="summer admit"),IF(J338="yes","CHOICE!","Accepted!"),IF(I338="guar. transfer","Guar. Xfer",IF(I338="denied","Denied",IF(K338=1,"Waitlist",IF(L338=1,"Deferred",IF(G338="pending","Pending",IF(OR(G338="initial materials submitted",G338="mid-year submitted",G338="final submitted"),"Submitted",IF(H338="interest","Interest","?"))))))))</f>
        <v>0</v>
      </c>
      <c r="AP338">
        <f>IF(OR(AN338=ReachLabel,AN338=LongshotLabel,AN338=HailMaryLabel),1,0)</f>
        <v>0</v>
      </c>
      <c r="AQ338">
        <f>IF(OR(AP338=1,AN338=MatchLabel),1,0)</f>
        <v>0</v>
      </c>
      <c r="AR338">
        <f>IF(OR(AN338=MatchLabel,AN338=SafetyLabel,AN338=SecureLabel,AN338=SureThingLabel),1,0)</f>
        <v>0</v>
      </c>
      <c r="AS338">
        <f>IF(OR(W338="H",W338="B",W338="I",W338="M"),IF(ISNUMBER(AB338),ROUND(AB338,2),0),IF(ISNUMBER(AA338),ROUND(AA338,2),0))</f>
        <v>0</v>
      </c>
      <c r="AT338">
        <f>IF(AS338&gt;=X338,1,0)</f>
        <v>0</v>
      </c>
      <c r="AU338">
        <f>IF(AS338&gt;=Y338,1,0)</f>
        <v>0</v>
      </c>
      <c r="AV338">
        <f>IF(AS338&lt;(X338-0.10),1,0)</f>
        <v>0</v>
      </c>
      <c r="AW338">
        <f>1-AM338/100</f>
        <v>0</v>
      </c>
      <c r="AX338">
        <f>IF(AQ338=1,AW338,1)</f>
        <v>0</v>
      </c>
      <c r="AY338">
        <f>IF(AP338=1,AW338,1)</f>
        <v>0</v>
      </c>
      <c r="AZ338">
        <f>IF(AND(AT338=1,ISNUMBER(AW338)),$AW338,1)</f>
        <v>0</v>
      </c>
      <c r="BA338">
        <f>IF(AND(AU338=1,ISNUMBER(AW338)),$AW338,1)</f>
        <v>0</v>
      </c>
      <c r="BB338">
        <f>IF(ISNUMBER(AB338),INDEX(AllCollegeMoney, MATCH(N338,AllCollegeNCES,0)),0)</f>
        <v>0</v>
      </c>
      <c r="BC338">
        <f>IF(AND(AT338=1,ISNUMBER(AW338),BB338=1),$AW338,1)</f>
        <v>0</v>
      </c>
      <c r="BD338">
        <f>IF(AND(AU338=1,ISNUMBER(AW338),BB338=1),$AW338,1)</f>
        <v>0</v>
      </c>
      <c r="BE338">
        <f>IF(ISNUMBER(AB338),INDEX(AllCollegeILPub, MATCH(N338,AllCollegeNCES,0)),0)</f>
        <v>0</v>
      </c>
      <c r="BF338">
        <f>IF(AN338=ReachLabel,AS338,0)</f>
        <v>0</v>
      </c>
      <c r="BG338">
        <f>IF(AN338=MatchLabel,AS338,0)</f>
        <v>0</v>
      </c>
      <c r="BH338">
        <f>IF(AN338=SafetyLabel,AS338,0)</f>
        <v>0</v>
      </c>
      <c r="BI338">
        <f>IF(AN338=SecureLabel,AS338,0)</f>
        <v>0</v>
      </c>
      <c r="BJ338">
        <f>IF(AN338=SureThingLabel,AS338,0)</f>
        <v>0</v>
      </c>
      <c r="BK338">
        <f>MAX(BF338:BJ338)</f>
        <v>0</v>
      </c>
      <c r="BL338">
        <f>MAX(BG338:BJ338)</f>
        <v>0</v>
      </c>
      <c r="BM338">
        <f>MAX(BH338:BJ338)</f>
        <v>0</v>
      </c>
      <c r="BN338">
        <f>IF(AND(AN338=ReachLabel,BB338=1),AS338,0)</f>
        <v>0</v>
      </c>
      <c r="BO338">
        <f>IF(AND(AN338=MatchLabel,BB338=1),AS338,0)</f>
        <v>0</v>
      </c>
      <c r="BP338">
        <f>IF(AND(AN338=SafetyLabel,BB338=1),AS338,0)</f>
        <v>0</v>
      </c>
      <c r="BQ338">
        <f>IF(AND(AN338=SecureLabel,BB338=1),AS338,0)</f>
        <v>0</v>
      </c>
      <c r="BR338">
        <f>IF(AND(AN338=SureThingLabel,BB338=1),AS338,0)</f>
        <v>0</v>
      </c>
      <c r="BS338">
        <f>MAX(BN338:BR338)</f>
        <v>0</v>
      </c>
      <c r="BT338">
        <f>MAX(BO338:BR338)</f>
        <v>0</v>
      </c>
      <c r="BU338">
        <f>MAX(BP338:BR338)</f>
        <v>0</v>
      </c>
      <c r="BV338">
        <f>IF(ISNUMBER(AB338),INDEX(AllCollegeChicago, MATCH(N338,AllCollegeNCES,0))*BB338,0)</f>
        <v>0</v>
      </c>
      <c r="BW338">
        <f>IF(ISNUMBER(AB338),INDEX(AllCollegeMoneyCode, MATCH(N338,AllCollegeNCES,0)),"?")</f>
        <v>0</v>
      </c>
      <c r="BX338">
        <f>IF(OR(BW338="---",BW338="--",BW338="+/--",BW338="+/---"),1,0)</f>
        <v>0</v>
      </c>
      <c r="BY338">
        <f>BB338*AR338*AT338</f>
        <v>0</v>
      </c>
    </row>
    <row r="339" spans="1:77">
      <c r="A339" t="s">
        <v>96</v>
      </c>
      <c r="B339">
        <v>23207280</v>
      </c>
      <c r="C339" t="s">
        <v>118</v>
      </c>
      <c r="D339" t="s">
        <v>119</v>
      </c>
      <c r="E339" t="s">
        <v>446</v>
      </c>
      <c r="F339" t="s">
        <v>466</v>
      </c>
      <c r="G339" t="s">
        <v>448</v>
      </c>
      <c r="H339" t="s">
        <v>449</v>
      </c>
      <c r="I339" t="s">
        <v>450</v>
      </c>
      <c r="J339" t="s">
        <v>450</v>
      </c>
      <c r="K339">
        <v>0</v>
      </c>
      <c r="L339" t="s">
        <v>446</v>
      </c>
      <c r="M339" t="s">
        <v>446</v>
      </c>
      <c r="N339">
        <v>100000001</v>
      </c>
      <c r="O339">
        <f>INDEX(Counselor,MATCH(B339,KidIDs,0))</f>
        <v>0</v>
      </c>
      <c r="P339">
        <f>INDEX(Advisors,MATCH(B339,KidIDs,0))</f>
        <v>0</v>
      </c>
      <c r="Q339">
        <f>INDEX(Cohort,MATCH(B339,KidIDs,0))</f>
        <v>0</v>
      </c>
      <c r="R339">
        <f>INDEX(AllCollegeBarrons,MATCH(N339,AllCollegeNCES,0))</f>
        <v>0</v>
      </c>
      <c r="S339">
        <f>INDEX(KidGPAs,MATCH(B339,KidIDs,0))</f>
        <v>0</v>
      </c>
      <c r="T339">
        <f>INDEX(KidSATs,MATCH(B339,KidIDs,0))</f>
        <v>0</v>
      </c>
      <c r="U339">
        <f>INDEX(Strats,MATCH(B339,KidIDs,0))</f>
        <v>0</v>
      </c>
      <c r="V339">
        <f>INDEX(KidRace,MATCH(B339,KidIDs,0))</f>
        <v>0</v>
      </c>
      <c r="W339">
        <f>IF(OR(V339="M",V339="I"),"H",IF(V339="P","A",V339))</f>
        <v>0</v>
      </c>
      <c r="X339">
        <f>INDEX(StudentTargets,MATCH(B339,KidIDs,0))</f>
        <v>0</v>
      </c>
      <c r="Y339">
        <f>INDEX(ReachStudentTargets,MATCH(B339,KidIDs,0))</f>
        <v>0</v>
      </c>
      <c r="Z339">
        <f>IF(OR(M339="Posse"),1,0)</f>
        <v>0</v>
      </c>
      <c r="AA339">
        <f>IF(ISNUMBER(INDEX(AllCollegeGR, MATCH(N339,AllCollegeNCES,0))),ROUND(INDEX(AllCollegeGR, MATCH(N339,AllCollegeNCES,0))+Z339*IF(INDEX(AllCollegeGR, MATCH(N339,AllCollegeNCES,0))&gt;0.7,(1-INDEX(AllCollegeGR, MATCH(N339,AllCollegeNCES,0)))/2,0.15),2),INDEX(AllCollegeGR, MATCH(N339,AllCollegeNCES,0)))</f>
        <v>0</v>
      </c>
      <c r="AB339">
        <f>IF(ISNUMBER(INDEX(AllCollegeAAHGR, MATCH(N339,AllCollegeNCES,0))),ROUND(INDEX(AllCollegeAAHGR, MATCH(N339,AllCollegeNCES,0))+Z339*IF(INDEX(AllCollegeAAHGR, MATCH(N339,AllCollegeNCES,0))&gt;0.7,(1-INDEX(AllCollegeAAHGR, MATCH(N339,AllCollegeNCES,0)))/2,0.15),2),INDEX(AllCollegeAAHGR, MATCH(N339,AllCollegeNCES,0)))</f>
        <v>0</v>
      </c>
      <c r="AC339">
        <f>IF(OR(W339="H",W339="B"),INDEX(AllCollegeSAT25, MATCH(N339,AllCollegeNCES,0)),INDEX(AllCollegeSAT50, MATCH(N339,AllCollegeNCES,0)))</f>
        <v>0</v>
      </c>
      <c r="AD339">
        <f>INDEX(CustomWeightsGPA,MATCH(W339&amp;":"&amp;N339,CustomWeightsIndex,0))</f>
        <v>0</v>
      </c>
      <c r="AE339">
        <f>INDEX(CustomWeightsSAT,MATCH(W339&amp;":"&amp;N339,CustomWeightsIndex,0))</f>
        <v>0</v>
      </c>
      <c r="AF339">
        <f>INDEX(CustomWeightsIntercept,MATCH(W339&amp;":"&amp;N339,CustomWeightsIndex,0))</f>
        <v>0</v>
      </c>
      <c r="AG339">
        <f>AD339*S339+AE339*T339+AF339</f>
        <v>0</v>
      </c>
      <c r="AH339">
        <f>INDEX(CoefficientsGPA,MATCH(W339&amp;":"&amp;R339,CoefficientsIndex,0))</f>
        <v>0</v>
      </c>
      <c r="AI339">
        <f>INDEX(CoefficientsSAT,MATCH(W339&amp;":"&amp;R339,CoefficientsIndex,0))</f>
        <v>0</v>
      </c>
      <c r="AJ339">
        <f>INDEX(CoefficientsIntercept,MATCH(W339&amp;":"&amp;R339,CoefficientsIndex,0))</f>
        <v>0</v>
      </c>
      <c r="AK339">
        <f>AH339*S339+(T339-AC339)*AI339+AJ339</f>
        <v>0</v>
      </c>
      <c r="AL339">
        <f>IF(ISNUMBER(AG339),AG339,AK339)</f>
        <v>0</v>
      </c>
      <c r="AM339">
        <f>IF(ISNUMBER(AL339),IF(ISNUMBER(AH339),IF(AND(AH339=1,AI339=1,AJ339=1),100,MIN(99,ROUND(100*EXP(AL339)/(1+EXP(AL339)),2))),MIN(99,ROUND(100*EXP(AL339)/(1+EXP(AL339)),2))),IF(ISTEXT(R339),IF(LEFT(R339,1)="2",100,"N/A"),"N/A"))</f>
        <v>0</v>
      </c>
      <c r="AN339">
        <f>IF(ISNUMBER(AM339),IF(AM339&gt;=99,IF(OR(U339=10,U339=11),MatchLabel,SureThingLabel),IF(AM339&gt;=95,SecureLabel,IF(AM339&gt;=80,SafetyLabel,IF(AM339&gt;=50,MatchLabel,IF(AM339&gt;=20,ReachLabel,IF(AM339&gt;=10,LongshotLabel,HailMaryLabel)))))),"Other")</f>
        <v>0</v>
      </c>
      <c r="AO339">
        <f>IF(OR(I339="accepted",I339="cond. accept",I339="summer admit"),IF(J339="yes","CHOICE!","Accepted!"),IF(I339="guar. transfer","Guar. Xfer",IF(I339="denied","Denied",IF(K339=1,"Waitlist",IF(L339=1,"Deferred",IF(G339="pending","Pending",IF(OR(G339="initial materials submitted",G339="mid-year submitted",G339="final submitted"),"Submitted",IF(H339="interest","Interest","?"))))))))</f>
        <v>0</v>
      </c>
      <c r="AP339">
        <f>IF(OR(AN339=ReachLabel,AN339=LongshotLabel,AN339=HailMaryLabel),1,0)</f>
        <v>0</v>
      </c>
      <c r="AQ339">
        <f>IF(OR(AP339=1,AN339=MatchLabel),1,0)</f>
        <v>0</v>
      </c>
      <c r="AR339">
        <f>IF(OR(AN339=MatchLabel,AN339=SafetyLabel,AN339=SecureLabel,AN339=SureThingLabel),1,0)</f>
        <v>0</v>
      </c>
      <c r="AS339">
        <f>IF(OR(W339="H",W339="B",W339="I",W339="M"),IF(ISNUMBER(AB339),ROUND(AB339,2),0),IF(ISNUMBER(AA339),ROUND(AA339,2),0))</f>
        <v>0</v>
      </c>
      <c r="AT339">
        <f>IF(AS339&gt;=X339,1,0)</f>
        <v>0</v>
      </c>
      <c r="AU339">
        <f>IF(AS339&gt;=Y339,1,0)</f>
        <v>0</v>
      </c>
      <c r="AV339">
        <f>IF(AS339&lt;(X339-0.10),1,0)</f>
        <v>0</v>
      </c>
      <c r="AW339">
        <f>1-AM339/100</f>
        <v>0</v>
      </c>
      <c r="AX339">
        <f>IF(AQ339=1,AW339,1)</f>
        <v>0</v>
      </c>
      <c r="AY339">
        <f>IF(AP339=1,AW339,1)</f>
        <v>0</v>
      </c>
      <c r="AZ339">
        <f>IF(AND(AT339=1,ISNUMBER(AW339)),$AW339,1)</f>
        <v>0</v>
      </c>
      <c r="BA339">
        <f>IF(AND(AU339=1,ISNUMBER(AW339)),$AW339,1)</f>
        <v>0</v>
      </c>
      <c r="BB339">
        <f>IF(ISNUMBER(AB339),INDEX(AllCollegeMoney, MATCH(N339,AllCollegeNCES,0)),0)</f>
        <v>0</v>
      </c>
      <c r="BC339">
        <f>IF(AND(AT339=1,ISNUMBER(AW339),BB339=1),$AW339,1)</f>
        <v>0</v>
      </c>
      <c r="BD339">
        <f>IF(AND(AU339=1,ISNUMBER(AW339),BB339=1),$AW339,1)</f>
        <v>0</v>
      </c>
      <c r="BE339">
        <f>IF(ISNUMBER(AB339),INDEX(AllCollegeILPub, MATCH(N339,AllCollegeNCES,0)),0)</f>
        <v>0</v>
      </c>
      <c r="BF339">
        <f>IF(AN339=ReachLabel,AS339,0)</f>
        <v>0</v>
      </c>
      <c r="BG339">
        <f>IF(AN339=MatchLabel,AS339,0)</f>
        <v>0</v>
      </c>
      <c r="BH339">
        <f>IF(AN339=SafetyLabel,AS339,0)</f>
        <v>0</v>
      </c>
      <c r="BI339">
        <f>IF(AN339=SecureLabel,AS339,0)</f>
        <v>0</v>
      </c>
      <c r="BJ339">
        <f>IF(AN339=SureThingLabel,AS339,0)</f>
        <v>0</v>
      </c>
      <c r="BK339">
        <f>MAX(BF339:BJ339)</f>
        <v>0</v>
      </c>
      <c r="BL339">
        <f>MAX(BG339:BJ339)</f>
        <v>0</v>
      </c>
      <c r="BM339">
        <f>MAX(BH339:BJ339)</f>
        <v>0</v>
      </c>
      <c r="BN339">
        <f>IF(AND(AN339=ReachLabel,BB339=1),AS339,0)</f>
        <v>0</v>
      </c>
      <c r="BO339">
        <f>IF(AND(AN339=MatchLabel,BB339=1),AS339,0)</f>
        <v>0</v>
      </c>
      <c r="BP339">
        <f>IF(AND(AN339=SafetyLabel,BB339=1),AS339,0)</f>
        <v>0</v>
      </c>
      <c r="BQ339">
        <f>IF(AND(AN339=SecureLabel,BB339=1),AS339,0)</f>
        <v>0</v>
      </c>
      <c r="BR339">
        <f>IF(AND(AN339=SureThingLabel,BB339=1),AS339,0)</f>
        <v>0</v>
      </c>
      <c r="BS339">
        <f>MAX(BN339:BR339)</f>
        <v>0</v>
      </c>
      <c r="BT339">
        <f>MAX(BO339:BR339)</f>
        <v>0</v>
      </c>
      <c r="BU339">
        <f>MAX(BP339:BR339)</f>
        <v>0</v>
      </c>
      <c r="BV339">
        <f>IF(ISNUMBER(AB339),INDEX(AllCollegeChicago, MATCH(N339,AllCollegeNCES,0))*BB339,0)</f>
        <v>0</v>
      </c>
      <c r="BW339">
        <f>IF(ISNUMBER(AB339),INDEX(AllCollegeMoneyCode, MATCH(N339,AllCollegeNCES,0)),"?")</f>
        <v>0</v>
      </c>
      <c r="BX339">
        <f>IF(OR(BW339="---",BW339="--",BW339="+/--",BW339="+/---"),1,0)</f>
        <v>0</v>
      </c>
      <c r="BY339">
        <f>BB339*AR339*AT339</f>
        <v>0</v>
      </c>
    </row>
    <row r="340" spans="1:77">
      <c r="A340" t="s">
        <v>96</v>
      </c>
      <c r="B340">
        <v>23207280</v>
      </c>
      <c r="C340" t="s">
        <v>118</v>
      </c>
      <c r="D340" t="s">
        <v>119</v>
      </c>
      <c r="E340" t="s">
        <v>446</v>
      </c>
      <c r="F340" t="s">
        <v>456</v>
      </c>
      <c r="G340" t="s">
        <v>479</v>
      </c>
      <c r="H340" t="s">
        <v>449</v>
      </c>
      <c r="I340" t="s">
        <v>450</v>
      </c>
      <c r="J340" t="s">
        <v>450</v>
      </c>
      <c r="K340">
        <v>0</v>
      </c>
      <c r="L340" t="s">
        <v>446</v>
      </c>
      <c r="M340" t="s">
        <v>446</v>
      </c>
      <c r="N340">
        <v>149772</v>
      </c>
      <c r="O340">
        <f>INDEX(Counselor,MATCH(B340,KidIDs,0))</f>
        <v>0</v>
      </c>
      <c r="P340">
        <f>INDEX(Advisors,MATCH(B340,KidIDs,0))</f>
        <v>0</v>
      </c>
      <c r="Q340">
        <f>INDEX(Cohort,MATCH(B340,KidIDs,0))</f>
        <v>0</v>
      </c>
      <c r="R340">
        <f>INDEX(AllCollegeBarrons,MATCH(N340,AllCollegeNCES,0))</f>
        <v>0</v>
      </c>
      <c r="S340">
        <f>INDEX(KidGPAs,MATCH(B340,KidIDs,0))</f>
        <v>0</v>
      </c>
      <c r="T340">
        <f>INDEX(KidSATs,MATCH(B340,KidIDs,0))</f>
        <v>0</v>
      </c>
      <c r="U340">
        <f>INDEX(Strats,MATCH(B340,KidIDs,0))</f>
        <v>0</v>
      </c>
      <c r="V340">
        <f>INDEX(KidRace,MATCH(B340,KidIDs,0))</f>
        <v>0</v>
      </c>
      <c r="W340">
        <f>IF(OR(V340="M",V340="I"),"H",IF(V340="P","A",V340))</f>
        <v>0</v>
      </c>
      <c r="X340">
        <f>INDEX(StudentTargets,MATCH(B340,KidIDs,0))</f>
        <v>0</v>
      </c>
      <c r="Y340">
        <f>INDEX(ReachStudentTargets,MATCH(B340,KidIDs,0))</f>
        <v>0</v>
      </c>
      <c r="Z340">
        <f>IF(OR(M340="Posse"),1,0)</f>
        <v>0</v>
      </c>
      <c r="AA340">
        <f>IF(ISNUMBER(INDEX(AllCollegeGR, MATCH(N340,AllCollegeNCES,0))),ROUND(INDEX(AllCollegeGR, MATCH(N340,AllCollegeNCES,0))+Z340*IF(INDEX(AllCollegeGR, MATCH(N340,AllCollegeNCES,0))&gt;0.7,(1-INDEX(AllCollegeGR, MATCH(N340,AllCollegeNCES,0)))/2,0.15),2),INDEX(AllCollegeGR, MATCH(N340,AllCollegeNCES,0)))</f>
        <v>0</v>
      </c>
      <c r="AB340">
        <f>IF(ISNUMBER(INDEX(AllCollegeAAHGR, MATCH(N340,AllCollegeNCES,0))),ROUND(INDEX(AllCollegeAAHGR, MATCH(N340,AllCollegeNCES,0))+Z340*IF(INDEX(AllCollegeAAHGR, MATCH(N340,AllCollegeNCES,0))&gt;0.7,(1-INDEX(AllCollegeAAHGR, MATCH(N340,AllCollegeNCES,0)))/2,0.15),2),INDEX(AllCollegeAAHGR, MATCH(N340,AllCollegeNCES,0)))</f>
        <v>0</v>
      </c>
      <c r="AC340">
        <f>IF(OR(W340="H",W340="B"),INDEX(AllCollegeSAT25, MATCH(N340,AllCollegeNCES,0)),INDEX(AllCollegeSAT50, MATCH(N340,AllCollegeNCES,0)))</f>
        <v>0</v>
      </c>
      <c r="AD340">
        <f>INDEX(CustomWeightsGPA,MATCH(W340&amp;":"&amp;N340,CustomWeightsIndex,0))</f>
        <v>0</v>
      </c>
      <c r="AE340">
        <f>INDEX(CustomWeightsSAT,MATCH(W340&amp;":"&amp;N340,CustomWeightsIndex,0))</f>
        <v>0</v>
      </c>
      <c r="AF340">
        <f>INDEX(CustomWeightsIntercept,MATCH(W340&amp;":"&amp;N340,CustomWeightsIndex,0))</f>
        <v>0</v>
      </c>
      <c r="AG340">
        <f>AD340*S340+AE340*T340+AF340</f>
        <v>0</v>
      </c>
      <c r="AH340">
        <f>INDEX(CoefficientsGPA,MATCH(W340&amp;":"&amp;R340,CoefficientsIndex,0))</f>
        <v>0</v>
      </c>
      <c r="AI340">
        <f>INDEX(CoefficientsSAT,MATCH(W340&amp;":"&amp;R340,CoefficientsIndex,0))</f>
        <v>0</v>
      </c>
      <c r="AJ340">
        <f>INDEX(CoefficientsIntercept,MATCH(W340&amp;":"&amp;R340,CoefficientsIndex,0))</f>
        <v>0</v>
      </c>
      <c r="AK340">
        <f>AH340*S340+(T340-AC340)*AI340+AJ340</f>
        <v>0</v>
      </c>
      <c r="AL340">
        <f>IF(ISNUMBER(AG340),AG340,AK340)</f>
        <v>0</v>
      </c>
      <c r="AM340">
        <f>IF(ISNUMBER(AL340),IF(ISNUMBER(AH340),IF(AND(AH340=1,AI340=1,AJ340=1),100,MIN(99,ROUND(100*EXP(AL340)/(1+EXP(AL340)),2))),MIN(99,ROUND(100*EXP(AL340)/(1+EXP(AL340)),2))),IF(ISTEXT(R340),IF(LEFT(R340,1)="2",100,"N/A"),"N/A"))</f>
        <v>0</v>
      </c>
      <c r="AN340">
        <f>IF(ISNUMBER(AM340),IF(AM340&gt;=99,IF(OR(U340=10,U340=11),MatchLabel,SureThingLabel),IF(AM340&gt;=95,SecureLabel,IF(AM340&gt;=80,SafetyLabel,IF(AM340&gt;=50,MatchLabel,IF(AM340&gt;=20,ReachLabel,IF(AM340&gt;=10,LongshotLabel,HailMaryLabel)))))),"Other")</f>
        <v>0</v>
      </c>
      <c r="AO340">
        <f>IF(OR(I340="accepted",I340="cond. accept",I340="summer admit"),IF(J340="yes","CHOICE!","Accepted!"),IF(I340="guar. transfer","Guar. Xfer",IF(I340="denied","Denied",IF(K340=1,"Waitlist",IF(L340=1,"Deferred",IF(G340="pending","Pending",IF(OR(G340="initial materials submitted",G340="mid-year submitted",G340="final submitted"),"Submitted",IF(H340="interest","Interest","?"))))))))</f>
        <v>0</v>
      </c>
      <c r="AP340">
        <f>IF(OR(AN340=ReachLabel,AN340=LongshotLabel,AN340=HailMaryLabel),1,0)</f>
        <v>0</v>
      </c>
      <c r="AQ340">
        <f>IF(OR(AP340=1,AN340=MatchLabel),1,0)</f>
        <v>0</v>
      </c>
      <c r="AR340">
        <f>IF(OR(AN340=MatchLabel,AN340=SafetyLabel,AN340=SecureLabel,AN340=SureThingLabel),1,0)</f>
        <v>0</v>
      </c>
      <c r="AS340">
        <f>IF(OR(W340="H",W340="B",W340="I",W340="M"),IF(ISNUMBER(AB340),ROUND(AB340,2),0),IF(ISNUMBER(AA340),ROUND(AA340,2),0))</f>
        <v>0</v>
      </c>
      <c r="AT340">
        <f>IF(AS340&gt;=X340,1,0)</f>
        <v>0</v>
      </c>
      <c r="AU340">
        <f>IF(AS340&gt;=Y340,1,0)</f>
        <v>0</v>
      </c>
      <c r="AV340">
        <f>IF(AS340&lt;(X340-0.10),1,0)</f>
        <v>0</v>
      </c>
      <c r="AW340">
        <f>1-AM340/100</f>
        <v>0</v>
      </c>
      <c r="AX340">
        <f>IF(AQ340=1,AW340,1)</f>
        <v>0</v>
      </c>
      <c r="AY340">
        <f>IF(AP340=1,AW340,1)</f>
        <v>0</v>
      </c>
      <c r="AZ340">
        <f>IF(AND(AT340=1,ISNUMBER(AW340)),$AW340,1)</f>
        <v>0</v>
      </c>
      <c r="BA340">
        <f>IF(AND(AU340=1,ISNUMBER(AW340)),$AW340,1)</f>
        <v>0</v>
      </c>
      <c r="BB340">
        <f>IF(ISNUMBER(AB340),INDEX(AllCollegeMoney, MATCH(N340,AllCollegeNCES,0)),0)</f>
        <v>0</v>
      </c>
      <c r="BC340">
        <f>IF(AND(AT340=1,ISNUMBER(AW340),BB340=1),$AW340,1)</f>
        <v>0</v>
      </c>
      <c r="BD340">
        <f>IF(AND(AU340=1,ISNUMBER(AW340),BB340=1),$AW340,1)</f>
        <v>0</v>
      </c>
      <c r="BE340">
        <f>IF(ISNUMBER(AB340),INDEX(AllCollegeILPub, MATCH(N340,AllCollegeNCES,0)),0)</f>
        <v>0</v>
      </c>
      <c r="BF340">
        <f>IF(AN340=ReachLabel,AS340,0)</f>
        <v>0</v>
      </c>
      <c r="BG340">
        <f>IF(AN340=MatchLabel,AS340,0)</f>
        <v>0</v>
      </c>
      <c r="BH340">
        <f>IF(AN340=SafetyLabel,AS340,0)</f>
        <v>0</v>
      </c>
      <c r="BI340">
        <f>IF(AN340=SecureLabel,AS340,0)</f>
        <v>0</v>
      </c>
      <c r="BJ340">
        <f>IF(AN340=SureThingLabel,AS340,0)</f>
        <v>0</v>
      </c>
      <c r="BK340">
        <f>MAX(BF340:BJ340)</f>
        <v>0</v>
      </c>
      <c r="BL340">
        <f>MAX(BG340:BJ340)</f>
        <v>0</v>
      </c>
      <c r="BM340">
        <f>MAX(BH340:BJ340)</f>
        <v>0</v>
      </c>
      <c r="BN340">
        <f>IF(AND(AN340=ReachLabel,BB340=1),AS340,0)</f>
        <v>0</v>
      </c>
      <c r="BO340">
        <f>IF(AND(AN340=MatchLabel,BB340=1),AS340,0)</f>
        <v>0</v>
      </c>
      <c r="BP340">
        <f>IF(AND(AN340=SafetyLabel,BB340=1),AS340,0)</f>
        <v>0</v>
      </c>
      <c r="BQ340">
        <f>IF(AND(AN340=SecureLabel,BB340=1),AS340,0)</f>
        <v>0</v>
      </c>
      <c r="BR340">
        <f>IF(AND(AN340=SureThingLabel,BB340=1),AS340,0)</f>
        <v>0</v>
      </c>
      <c r="BS340">
        <f>MAX(BN340:BR340)</f>
        <v>0</v>
      </c>
      <c r="BT340">
        <f>MAX(BO340:BR340)</f>
        <v>0</v>
      </c>
      <c r="BU340">
        <f>MAX(BP340:BR340)</f>
        <v>0</v>
      </c>
      <c r="BV340">
        <f>IF(ISNUMBER(AB340),INDEX(AllCollegeChicago, MATCH(N340,AllCollegeNCES,0))*BB340,0)</f>
        <v>0</v>
      </c>
      <c r="BW340">
        <f>IF(ISNUMBER(AB340),INDEX(AllCollegeMoneyCode, MATCH(N340,AllCollegeNCES,0)),"?")</f>
        <v>0</v>
      </c>
      <c r="BX340">
        <f>IF(OR(BW340="---",BW340="--",BW340="+/--",BW340="+/---"),1,0)</f>
        <v>0</v>
      </c>
      <c r="BY340">
        <f>BB340*AR340*AT340</f>
        <v>0</v>
      </c>
    </row>
    <row r="341" spans="1:77">
      <c r="A341" t="s">
        <v>96</v>
      </c>
      <c r="B341">
        <v>23207280</v>
      </c>
      <c r="C341" t="s">
        <v>118</v>
      </c>
      <c r="D341" t="s">
        <v>119</v>
      </c>
      <c r="E341" t="s">
        <v>446</v>
      </c>
      <c r="F341" t="s">
        <v>458</v>
      </c>
      <c r="G341" t="s">
        <v>448</v>
      </c>
      <c r="H341" t="s">
        <v>449</v>
      </c>
      <c r="I341" t="s">
        <v>450</v>
      </c>
      <c r="J341" t="s">
        <v>450</v>
      </c>
      <c r="K341">
        <v>0</v>
      </c>
      <c r="L341" t="s">
        <v>446</v>
      </c>
      <c r="M341" t="s">
        <v>446</v>
      </c>
      <c r="N341">
        <v>144892</v>
      </c>
      <c r="O341">
        <f>INDEX(Counselor,MATCH(B341,KidIDs,0))</f>
        <v>0</v>
      </c>
      <c r="P341">
        <f>INDEX(Advisors,MATCH(B341,KidIDs,0))</f>
        <v>0</v>
      </c>
      <c r="Q341">
        <f>INDEX(Cohort,MATCH(B341,KidIDs,0))</f>
        <v>0</v>
      </c>
      <c r="R341">
        <f>INDEX(AllCollegeBarrons,MATCH(N341,AllCollegeNCES,0))</f>
        <v>0</v>
      </c>
      <c r="S341">
        <f>INDEX(KidGPAs,MATCH(B341,KidIDs,0))</f>
        <v>0</v>
      </c>
      <c r="T341">
        <f>INDEX(KidSATs,MATCH(B341,KidIDs,0))</f>
        <v>0</v>
      </c>
      <c r="U341">
        <f>INDEX(Strats,MATCH(B341,KidIDs,0))</f>
        <v>0</v>
      </c>
      <c r="V341">
        <f>INDEX(KidRace,MATCH(B341,KidIDs,0))</f>
        <v>0</v>
      </c>
      <c r="W341">
        <f>IF(OR(V341="M",V341="I"),"H",IF(V341="P","A",V341))</f>
        <v>0</v>
      </c>
      <c r="X341">
        <f>INDEX(StudentTargets,MATCH(B341,KidIDs,0))</f>
        <v>0</v>
      </c>
      <c r="Y341">
        <f>INDEX(ReachStudentTargets,MATCH(B341,KidIDs,0))</f>
        <v>0</v>
      </c>
      <c r="Z341">
        <f>IF(OR(M341="Posse"),1,0)</f>
        <v>0</v>
      </c>
      <c r="AA341">
        <f>IF(ISNUMBER(INDEX(AllCollegeGR, MATCH(N341,AllCollegeNCES,0))),ROUND(INDEX(AllCollegeGR, MATCH(N341,AllCollegeNCES,0))+Z341*IF(INDEX(AllCollegeGR, MATCH(N341,AllCollegeNCES,0))&gt;0.7,(1-INDEX(AllCollegeGR, MATCH(N341,AllCollegeNCES,0)))/2,0.15),2),INDEX(AllCollegeGR, MATCH(N341,AllCollegeNCES,0)))</f>
        <v>0</v>
      </c>
      <c r="AB341">
        <f>IF(ISNUMBER(INDEX(AllCollegeAAHGR, MATCH(N341,AllCollegeNCES,0))),ROUND(INDEX(AllCollegeAAHGR, MATCH(N341,AllCollegeNCES,0))+Z341*IF(INDEX(AllCollegeAAHGR, MATCH(N341,AllCollegeNCES,0))&gt;0.7,(1-INDEX(AllCollegeAAHGR, MATCH(N341,AllCollegeNCES,0)))/2,0.15),2),INDEX(AllCollegeAAHGR, MATCH(N341,AllCollegeNCES,0)))</f>
        <v>0</v>
      </c>
      <c r="AC341">
        <f>IF(OR(W341="H",W341="B"),INDEX(AllCollegeSAT25, MATCH(N341,AllCollegeNCES,0)),INDEX(AllCollegeSAT50, MATCH(N341,AllCollegeNCES,0)))</f>
        <v>0</v>
      </c>
      <c r="AD341">
        <f>INDEX(CustomWeightsGPA,MATCH(W341&amp;":"&amp;N341,CustomWeightsIndex,0))</f>
        <v>0</v>
      </c>
      <c r="AE341">
        <f>INDEX(CustomWeightsSAT,MATCH(W341&amp;":"&amp;N341,CustomWeightsIndex,0))</f>
        <v>0</v>
      </c>
      <c r="AF341">
        <f>INDEX(CustomWeightsIntercept,MATCH(W341&amp;":"&amp;N341,CustomWeightsIndex,0))</f>
        <v>0</v>
      </c>
      <c r="AG341">
        <f>AD341*S341+AE341*T341+AF341</f>
        <v>0</v>
      </c>
      <c r="AH341">
        <f>INDEX(CoefficientsGPA,MATCH(W341&amp;":"&amp;R341,CoefficientsIndex,0))</f>
        <v>0</v>
      </c>
      <c r="AI341">
        <f>INDEX(CoefficientsSAT,MATCH(W341&amp;":"&amp;R341,CoefficientsIndex,0))</f>
        <v>0</v>
      </c>
      <c r="AJ341">
        <f>INDEX(CoefficientsIntercept,MATCH(W341&amp;":"&amp;R341,CoefficientsIndex,0))</f>
        <v>0</v>
      </c>
      <c r="AK341">
        <f>AH341*S341+(T341-AC341)*AI341+AJ341</f>
        <v>0</v>
      </c>
      <c r="AL341">
        <f>IF(ISNUMBER(AG341),AG341,AK341)</f>
        <v>0</v>
      </c>
      <c r="AM341">
        <f>IF(ISNUMBER(AL341),IF(ISNUMBER(AH341),IF(AND(AH341=1,AI341=1,AJ341=1),100,MIN(99,ROUND(100*EXP(AL341)/(1+EXP(AL341)),2))),MIN(99,ROUND(100*EXP(AL341)/(1+EXP(AL341)),2))),IF(ISTEXT(R341),IF(LEFT(R341,1)="2",100,"N/A"),"N/A"))</f>
        <v>0</v>
      </c>
      <c r="AN341">
        <f>IF(ISNUMBER(AM341),IF(AM341&gt;=99,IF(OR(U341=10,U341=11),MatchLabel,SureThingLabel),IF(AM341&gt;=95,SecureLabel,IF(AM341&gt;=80,SafetyLabel,IF(AM341&gt;=50,MatchLabel,IF(AM341&gt;=20,ReachLabel,IF(AM341&gt;=10,LongshotLabel,HailMaryLabel)))))),"Other")</f>
        <v>0</v>
      </c>
      <c r="AO341">
        <f>IF(OR(I341="accepted",I341="cond. accept",I341="summer admit"),IF(J341="yes","CHOICE!","Accepted!"),IF(I341="guar. transfer","Guar. Xfer",IF(I341="denied","Denied",IF(K341=1,"Waitlist",IF(L341=1,"Deferred",IF(G341="pending","Pending",IF(OR(G341="initial materials submitted",G341="mid-year submitted",G341="final submitted"),"Submitted",IF(H341="interest","Interest","?"))))))))</f>
        <v>0</v>
      </c>
      <c r="AP341">
        <f>IF(OR(AN341=ReachLabel,AN341=LongshotLabel,AN341=HailMaryLabel),1,0)</f>
        <v>0</v>
      </c>
      <c r="AQ341">
        <f>IF(OR(AP341=1,AN341=MatchLabel),1,0)</f>
        <v>0</v>
      </c>
      <c r="AR341">
        <f>IF(OR(AN341=MatchLabel,AN341=SafetyLabel,AN341=SecureLabel,AN341=SureThingLabel),1,0)</f>
        <v>0</v>
      </c>
      <c r="AS341">
        <f>IF(OR(W341="H",W341="B",W341="I",W341="M"),IF(ISNUMBER(AB341),ROUND(AB341,2),0),IF(ISNUMBER(AA341),ROUND(AA341,2),0))</f>
        <v>0</v>
      </c>
      <c r="AT341">
        <f>IF(AS341&gt;=X341,1,0)</f>
        <v>0</v>
      </c>
      <c r="AU341">
        <f>IF(AS341&gt;=Y341,1,0)</f>
        <v>0</v>
      </c>
      <c r="AV341">
        <f>IF(AS341&lt;(X341-0.10),1,0)</f>
        <v>0</v>
      </c>
      <c r="AW341">
        <f>1-AM341/100</f>
        <v>0</v>
      </c>
      <c r="AX341">
        <f>IF(AQ341=1,AW341,1)</f>
        <v>0</v>
      </c>
      <c r="AY341">
        <f>IF(AP341=1,AW341,1)</f>
        <v>0</v>
      </c>
      <c r="AZ341">
        <f>IF(AND(AT341=1,ISNUMBER(AW341)),$AW341,1)</f>
        <v>0</v>
      </c>
      <c r="BA341">
        <f>IF(AND(AU341=1,ISNUMBER(AW341)),$AW341,1)</f>
        <v>0</v>
      </c>
      <c r="BB341">
        <f>IF(ISNUMBER(AB341),INDEX(AllCollegeMoney, MATCH(N341,AllCollegeNCES,0)),0)</f>
        <v>0</v>
      </c>
      <c r="BC341">
        <f>IF(AND(AT341=1,ISNUMBER(AW341),BB341=1),$AW341,1)</f>
        <v>0</v>
      </c>
      <c r="BD341">
        <f>IF(AND(AU341=1,ISNUMBER(AW341),BB341=1),$AW341,1)</f>
        <v>0</v>
      </c>
      <c r="BE341">
        <f>IF(ISNUMBER(AB341),INDEX(AllCollegeILPub, MATCH(N341,AllCollegeNCES,0)),0)</f>
        <v>0</v>
      </c>
      <c r="BF341">
        <f>IF(AN341=ReachLabel,AS341,0)</f>
        <v>0</v>
      </c>
      <c r="BG341">
        <f>IF(AN341=MatchLabel,AS341,0)</f>
        <v>0</v>
      </c>
      <c r="BH341">
        <f>IF(AN341=SafetyLabel,AS341,0)</f>
        <v>0</v>
      </c>
      <c r="BI341">
        <f>IF(AN341=SecureLabel,AS341,0)</f>
        <v>0</v>
      </c>
      <c r="BJ341">
        <f>IF(AN341=SureThingLabel,AS341,0)</f>
        <v>0</v>
      </c>
      <c r="BK341">
        <f>MAX(BF341:BJ341)</f>
        <v>0</v>
      </c>
      <c r="BL341">
        <f>MAX(BG341:BJ341)</f>
        <v>0</v>
      </c>
      <c r="BM341">
        <f>MAX(BH341:BJ341)</f>
        <v>0</v>
      </c>
      <c r="BN341">
        <f>IF(AND(AN341=ReachLabel,BB341=1),AS341,0)</f>
        <v>0</v>
      </c>
      <c r="BO341">
        <f>IF(AND(AN341=MatchLabel,BB341=1),AS341,0)</f>
        <v>0</v>
      </c>
      <c r="BP341">
        <f>IF(AND(AN341=SafetyLabel,BB341=1),AS341,0)</f>
        <v>0</v>
      </c>
      <c r="BQ341">
        <f>IF(AND(AN341=SecureLabel,BB341=1),AS341,0)</f>
        <v>0</v>
      </c>
      <c r="BR341">
        <f>IF(AND(AN341=SureThingLabel,BB341=1),AS341,0)</f>
        <v>0</v>
      </c>
      <c r="BS341">
        <f>MAX(BN341:BR341)</f>
        <v>0</v>
      </c>
      <c r="BT341">
        <f>MAX(BO341:BR341)</f>
        <v>0</v>
      </c>
      <c r="BU341">
        <f>MAX(BP341:BR341)</f>
        <v>0</v>
      </c>
      <c r="BV341">
        <f>IF(ISNUMBER(AB341),INDEX(AllCollegeChicago, MATCH(N341,AllCollegeNCES,0))*BB341,0)</f>
        <v>0</v>
      </c>
      <c r="BW341">
        <f>IF(ISNUMBER(AB341),INDEX(AllCollegeMoneyCode, MATCH(N341,AllCollegeNCES,0)),"?")</f>
        <v>0</v>
      </c>
      <c r="BX341">
        <f>IF(OR(BW341="---",BW341="--",BW341="+/--",BW341="+/---"),1,0)</f>
        <v>0</v>
      </c>
      <c r="BY341">
        <f>BB341*AR341*AT341</f>
        <v>0</v>
      </c>
    </row>
    <row r="342" spans="1:77">
      <c r="A342" t="s">
        <v>96</v>
      </c>
      <c r="B342">
        <v>23207280</v>
      </c>
      <c r="C342" t="s">
        <v>118</v>
      </c>
      <c r="D342" t="s">
        <v>119</v>
      </c>
      <c r="E342" t="s">
        <v>446</v>
      </c>
      <c r="F342" t="s">
        <v>461</v>
      </c>
      <c r="G342" t="s">
        <v>448</v>
      </c>
      <c r="H342" t="s">
        <v>449</v>
      </c>
      <c r="I342" t="s">
        <v>450</v>
      </c>
      <c r="J342" t="s">
        <v>450</v>
      </c>
      <c r="K342">
        <v>0</v>
      </c>
      <c r="L342" t="s">
        <v>446</v>
      </c>
      <c r="M342" t="s">
        <v>446</v>
      </c>
      <c r="N342">
        <v>147536</v>
      </c>
      <c r="O342">
        <f>INDEX(Counselor,MATCH(B342,KidIDs,0))</f>
        <v>0</v>
      </c>
      <c r="P342">
        <f>INDEX(Advisors,MATCH(B342,KidIDs,0))</f>
        <v>0</v>
      </c>
      <c r="Q342">
        <f>INDEX(Cohort,MATCH(B342,KidIDs,0))</f>
        <v>0</v>
      </c>
      <c r="R342">
        <f>INDEX(AllCollegeBarrons,MATCH(N342,AllCollegeNCES,0))</f>
        <v>0</v>
      </c>
      <c r="S342">
        <f>INDEX(KidGPAs,MATCH(B342,KidIDs,0))</f>
        <v>0</v>
      </c>
      <c r="T342">
        <f>INDEX(KidSATs,MATCH(B342,KidIDs,0))</f>
        <v>0</v>
      </c>
      <c r="U342">
        <f>INDEX(Strats,MATCH(B342,KidIDs,0))</f>
        <v>0</v>
      </c>
      <c r="V342">
        <f>INDEX(KidRace,MATCH(B342,KidIDs,0))</f>
        <v>0</v>
      </c>
      <c r="W342">
        <f>IF(OR(V342="M",V342="I"),"H",IF(V342="P","A",V342))</f>
        <v>0</v>
      </c>
      <c r="X342">
        <f>INDEX(StudentTargets,MATCH(B342,KidIDs,0))</f>
        <v>0</v>
      </c>
      <c r="Y342">
        <f>INDEX(ReachStudentTargets,MATCH(B342,KidIDs,0))</f>
        <v>0</v>
      </c>
      <c r="Z342">
        <f>IF(OR(M342="Posse"),1,0)</f>
        <v>0</v>
      </c>
      <c r="AA342">
        <f>IF(ISNUMBER(INDEX(AllCollegeGR, MATCH(N342,AllCollegeNCES,0))),ROUND(INDEX(AllCollegeGR, MATCH(N342,AllCollegeNCES,0))+Z342*IF(INDEX(AllCollegeGR, MATCH(N342,AllCollegeNCES,0))&gt;0.7,(1-INDEX(AllCollegeGR, MATCH(N342,AllCollegeNCES,0)))/2,0.15),2),INDEX(AllCollegeGR, MATCH(N342,AllCollegeNCES,0)))</f>
        <v>0</v>
      </c>
      <c r="AB342">
        <f>IF(ISNUMBER(INDEX(AllCollegeAAHGR, MATCH(N342,AllCollegeNCES,0))),ROUND(INDEX(AllCollegeAAHGR, MATCH(N342,AllCollegeNCES,0))+Z342*IF(INDEX(AllCollegeAAHGR, MATCH(N342,AllCollegeNCES,0))&gt;0.7,(1-INDEX(AllCollegeAAHGR, MATCH(N342,AllCollegeNCES,0)))/2,0.15),2),INDEX(AllCollegeAAHGR, MATCH(N342,AllCollegeNCES,0)))</f>
        <v>0</v>
      </c>
      <c r="AC342">
        <f>IF(OR(W342="H",W342="B"),INDEX(AllCollegeSAT25, MATCH(N342,AllCollegeNCES,0)),INDEX(AllCollegeSAT50, MATCH(N342,AllCollegeNCES,0)))</f>
        <v>0</v>
      </c>
      <c r="AD342">
        <f>INDEX(CustomWeightsGPA,MATCH(W342&amp;":"&amp;N342,CustomWeightsIndex,0))</f>
        <v>0</v>
      </c>
      <c r="AE342">
        <f>INDEX(CustomWeightsSAT,MATCH(W342&amp;":"&amp;N342,CustomWeightsIndex,0))</f>
        <v>0</v>
      </c>
      <c r="AF342">
        <f>INDEX(CustomWeightsIntercept,MATCH(W342&amp;":"&amp;N342,CustomWeightsIndex,0))</f>
        <v>0</v>
      </c>
      <c r="AG342">
        <f>AD342*S342+AE342*T342+AF342</f>
        <v>0</v>
      </c>
      <c r="AH342">
        <f>INDEX(CoefficientsGPA,MATCH(W342&amp;":"&amp;R342,CoefficientsIndex,0))</f>
        <v>0</v>
      </c>
      <c r="AI342">
        <f>INDEX(CoefficientsSAT,MATCH(W342&amp;":"&amp;R342,CoefficientsIndex,0))</f>
        <v>0</v>
      </c>
      <c r="AJ342">
        <f>INDEX(CoefficientsIntercept,MATCH(W342&amp;":"&amp;R342,CoefficientsIndex,0))</f>
        <v>0</v>
      </c>
      <c r="AK342">
        <f>AH342*S342+(T342-AC342)*AI342+AJ342</f>
        <v>0</v>
      </c>
      <c r="AL342">
        <f>IF(ISNUMBER(AG342),AG342,AK342)</f>
        <v>0</v>
      </c>
      <c r="AM342">
        <f>IF(ISNUMBER(AL342),IF(ISNUMBER(AH342),IF(AND(AH342=1,AI342=1,AJ342=1),100,MIN(99,ROUND(100*EXP(AL342)/(1+EXP(AL342)),2))),MIN(99,ROUND(100*EXP(AL342)/(1+EXP(AL342)),2))),IF(ISTEXT(R342),IF(LEFT(R342,1)="2",100,"N/A"),"N/A"))</f>
        <v>0</v>
      </c>
      <c r="AN342">
        <f>IF(ISNUMBER(AM342),IF(AM342&gt;=99,IF(OR(U342=10,U342=11),MatchLabel,SureThingLabel),IF(AM342&gt;=95,SecureLabel,IF(AM342&gt;=80,SafetyLabel,IF(AM342&gt;=50,MatchLabel,IF(AM342&gt;=20,ReachLabel,IF(AM342&gt;=10,LongshotLabel,HailMaryLabel)))))),"Other")</f>
        <v>0</v>
      </c>
      <c r="AO342">
        <f>IF(OR(I342="accepted",I342="cond. accept",I342="summer admit"),IF(J342="yes","CHOICE!","Accepted!"),IF(I342="guar. transfer","Guar. Xfer",IF(I342="denied","Denied",IF(K342=1,"Waitlist",IF(L342=1,"Deferred",IF(G342="pending","Pending",IF(OR(G342="initial materials submitted",G342="mid-year submitted",G342="final submitted"),"Submitted",IF(H342="interest","Interest","?"))))))))</f>
        <v>0</v>
      </c>
      <c r="AP342">
        <f>IF(OR(AN342=ReachLabel,AN342=LongshotLabel,AN342=HailMaryLabel),1,0)</f>
        <v>0</v>
      </c>
      <c r="AQ342">
        <f>IF(OR(AP342=1,AN342=MatchLabel),1,0)</f>
        <v>0</v>
      </c>
      <c r="AR342">
        <f>IF(OR(AN342=MatchLabel,AN342=SafetyLabel,AN342=SecureLabel,AN342=SureThingLabel),1,0)</f>
        <v>0</v>
      </c>
      <c r="AS342">
        <f>IF(OR(W342="H",W342="B",W342="I",W342="M"),IF(ISNUMBER(AB342),ROUND(AB342,2),0),IF(ISNUMBER(AA342),ROUND(AA342,2),0))</f>
        <v>0</v>
      </c>
      <c r="AT342">
        <f>IF(AS342&gt;=X342,1,0)</f>
        <v>0</v>
      </c>
      <c r="AU342">
        <f>IF(AS342&gt;=Y342,1,0)</f>
        <v>0</v>
      </c>
      <c r="AV342">
        <f>IF(AS342&lt;(X342-0.10),1,0)</f>
        <v>0</v>
      </c>
      <c r="AW342">
        <f>1-AM342/100</f>
        <v>0</v>
      </c>
      <c r="AX342">
        <f>IF(AQ342=1,AW342,1)</f>
        <v>0</v>
      </c>
      <c r="AY342">
        <f>IF(AP342=1,AW342,1)</f>
        <v>0</v>
      </c>
      <c r="AZ342">
        <f>IF(AND(AT342=1,ISNUMBER(AW342)),$AW342,1)</f>
        <v>0</v>
      </c>
      <c r="BA342">
        <f>IF(AND(AU342=1,ISNUMBER(AW342)),$AW342,1)</f>
        <v>0</v>
      </c>
      <c r="BB342">
        <f>IF(ISNUMBER(AB342),INDEX(AllCollegeMoney, MATCH(N342,AllCollegeNCES,0)),0)</f>
        <v>0</v>
      </c>
      <c r="BC342">
        <f>IF(AND(AT342=1,ISNUMBER(AW342),BB342=1),$AW342,1)</f>
        <v>0</v>
      </c>
      <c r="BD342">
        <f>IF(AND(AU342=1,ISNUMBER(AW342),BB342=1),$AW342,1)</f>
        <v>0</v>
      </c>
      <c r="BE342">
        <f>IF(ISNUMBER(AB342),INDEX(AllCollegeILPub, MATCH(N342,AllCollegeNCES,0)),0)</f>
        <v>0</v>
      </c>
      <c r="BF342">
        <f>IF(AN342=ReachLabel,AS342,0)</f>
        <v>0</v>
      </c>
      <c r="BG342">
        <f>IF(AN342=MatchLabel,AS342,0)</f>
        <v>0</v>
      </c>
      <c r="BH342">
        <f>IF(AN342=SafetyLabel,AS342,0)</f>
        <v>0</v>
      </c>
      <c r="BI342">
        <f>IF(AN342=SecureLabel,AS342,0)</f>
        <v>0</v>
      </c>
      <c r="BJ342">
        <f>IF(AN342=SureThingLabel,AS342,0)</f>
        <v>0</v>
      </c>
      <c r="BK342">
        <f>MAX(BF342:BJ342)</f>
        <v>0</v>
      </c>
      <c r="BL342">
        <f>MAX(BG342:BJ342)</f>
        <v>0</v>
      </c>
      <c r="BM342">
        <f>MAX(BH342:BJ342)</f>
        <v>0</v>
      </c>
      <c r="BN342">
        <f>IF(AND(AN342=ReachLabel,BB342=1),AS342,0)</f>
        <v>0</v>
      </c>
      <c r="BO342">
        <f>IF(AND(AN342=MatchLabel,BB342=1),AS342,0)</f>
        <v>0</v>
      </c>
      <c r="BP342">
        <f>IF(AND(AN342=SafetyLabel,BB342=1),AS342,0)</f>
        <v>0</v>
      </c>
      <c r="BQ342">
        <f>IF(AND(AN342=SecureLabel,BB342=1),AS342,0)</f>
        <v>0</v>
      </c>
      <c r="BR342">
        <f>IF(AND(AN342=SureThingLabel,BB342=1),AS342,0)</f>
        <v>0</v>
      </c>
      <c r="BS342">
        <f>MAX(BN342:BR342)</f>
        <v>0</v>
      </c>
      <c r="BT342">
        <f>MAX(BO342:BR342)</f>
        <v>0</v>
      </c>
      <c r="BU342">
        <f>MAX(BP342:BR342)</f>
        <v>0</v>
      </c>
      <c r="BV342">
        <f>IF(ISNUMBER(AB342),INDEX(AllCollegeChicago, MATCH(N342,AllCollegeNCES,0))*BB342,0)</f>
        <v>0</v>
      </c>
      <c r="BW342">
        <f>IF(ISNUMBER(AB342),INDEX(AllCollegeMoneyCode, MATCH(N342,AllCollegeNCES,0)),"?")</f>
        <v>0</v>
      </c>
      <c r="BX342">
        <f>IF(OR(BW342="---",BW342="--",BW342="+/--",BW342="+/---"),1,0)</f>
        <v>0</v>
      </c>
      <c r="BY342">
        <f>BB342*AR342*AT342</f>
        <v>0</v>
      </c>
    </row>
    <row r="343" spans="1:77">
      <c r="A343" t="s">
        <v>96</v>
      </c>
      <c r="B343">
        <v>23207280</v>
      </c>
      <c r="C343" t="s">
        <v>118</v>
      </c>
      <c r="D343" t="s">
        <v>119</v>
      </c>
      <c r="E343" t="s">
        <v>446</v>
      </c>
      <c r="F343" t="s">
        <v>463</v>
      </c>
      <c r="G343" t="s">
        <v>448</v>
      </c>
      <c r="H343" t="s">
        <v>449</v>
      </c>
      <c r="I343" t="s">
        <v>450</v>
      </c>
      <c r="J343" t="s">
        <v>450</v>
      </c>
      <c r="K343">
        <v>0</v>
      </c>
      <c r="L343" t="s">
        <v>446</v>
      </c>
      <c r="M343" t="s">
        <v>446</v>
      </c>
      <c r="N343">
        <v>147776</v>
      </c>
      <c r="O343">
        <f>INDEX(Counselor,MATCH(B343,KidIDs,0))</f>
        <v>0</v>
      </c>
      <c r="P343">
        <f>INDEX(Advisors,MATCH(B343,KidIDs,0))</f>
        <v>0</v>
      </c>
      <c r="Q343">
        <f>INDEX(Cohort,MATCH(B343,KidIDs,0))</f>
        <v>0</v>
      </c>
      <c r="R343">
        <f>INDEX(AllCollegeBarrons,MATCH(N343,AllCollegeNCES,0))</f>
        <v>0</v>
      </c>
      <c r="S343">
        <f>INDEX(KidGPAs,MATCH(B343,KidIDs,0))</f>
        <v>0</v>
      </c>
      <c r="T343">
        <f>INDEX(KidSATs,MATCH(B343,KidIDs,0))</f>
        <v>0</v>
      </c>
      <c r="U343">
        <f>INDEX(Strats,MATCH(B343,KidIDs,0))</f>
        <v>0</v>
      </c>
      <c r="V343">
        <f>INDEX(KidRace,MATCH(B343,KidIDs,0))</f>
        <v>0</v>
      </c>
      <c r="W343">
        <f>IF(OR(V343="M",V343="I"),"H",IF(V343="P","A",V343))</f>
        <v>0</v>
      </c>
      <c r="X343">
        <f>INDEX(StudentTargets,MATCH(B343,KidIDs,0))</f>
        <v>0</v>
      </c>
      <c r="Y343">
        <f>INDEX(ReachStudentTargets,MATCH(B343,KidIDs,0))</f>
        <v>0</v>
      </c>
      <c r="Z343">
        <f>IF(OR(M343="Posse"),1,0)</f>
        <v>0</v>
      </c>
      <c r="AA343">
        <f>IF(ISNUMBER(INDEX(AllCollegeGR, MATCH(N343,AllCollegeNCES,0))),ROUND(INDEX(AllCollegeGR, MATCH(N343,AllCollegeNCES,0))+Z343*IF(INDEX(AllCollegeGR, MATCH(N343,AllCollegeNCES,0))&gt;0.7,(1-INDEX(AllCollegeGR, MATCH(N343,AllCollegeNCES,0)))/2,0.15),2),INDEX(AllCollegeGR, MATCH(N343,AllCollegeNCES,0)))</f>
        <v>0</v>
      </c>
      <c r="AB343">
        <f>IF(ISNUMBER(INDEX(AllCollegeAAHGR, MATCH(N343,AllCollegeNCES,0))),ROUND(INDEX(AllCollegeAAHGR, MATCH(N343,AllCollegeNCES,0))+Z343*IF(INDEX(AllCollegeAAHGR, MATCH(N343,AllCollegeNCES,0))&gt;0.7,(1-INDEX(AllCollegeAAHGR, MATCH(N343,AllCollegeNCES,0)))/2,0.15),2),INDEX(AllCollegeAAHGR, MATCH(N343,AllCollegeNCES,0)))</f>
        <v>0</v>
      </c>
      <c r="AC343">
        <f>IF(OR(W343="H",W343="B"),INDEX(AllCollegeSAT25, MATCH(N343,AllCollegeNCES,0)),INDEX(AllCollegeSAT50, MATCH(N343,AllCollegeNCES,0)))</f>
        <v>0</v>
      </c>
      <c r="AD343">
        <f>INDEX(CustomWeightsGPA,MATCH(W343&amp;":"&amp;N343,CustomWeightsIndex,0))</f>
        <v>0</v>
      </c>
      <c r="AE343">
        <f>INDEX(CustomWeightsSAT,MATCH(W343&amp;":"&amp;N343,CustomWeightsIndex,0))</f>
        <v>0</v>
      </c>
      <c r="AF343">
        <f>INDEX(CustomWeightsIntercept,MATCH(W343&amp;":"&amp;N343,CustomWeightsIndex,0))</f>
        <v>0</v>
      </c>
      <c r="AG343">
        <f>AD343*S343+AE343*T343+AF343</f>
        <v>0</v>
      </c>
      <c r="AH343">
        <f>INDEX(CoefficientsGPA,MATCH(W343&amp;":"&amp;R343,CoefficientsIndex,0))</f>
        <v>0</v>
      </c>
      <c r="AI343">
        <f>INDEX(CoefficientsSAT,MATCH(W343&amp;":"&amp;R343,CoefficientsIndex,0))</f>
        <v>0</v>
      </c>
      <c r="AJ343">
        <f>INDEX(CoefficientsIntercept,MATCH(W343&amp;":"&amp;R343,CoefficientsIndex,0))</f>
        <v>0</v>
      </c>
      <c r="AK343">
        <f>AH343*S343+(T343-AC343)*AI343+AJ343</f>
        <v>0</v>
      </c>
      <c r="AL343">
        <f>IF(ISNUMBER(AG343),AG343,AK343)</f>
        <v>0</v>
      </c>
      <c r="AM343">
        <f>IF(ISNUMBER(AL343),IF(ISNUMBER(AH343),IF(AND(AH343=1,AI343=1,AJ343=1),100,MIN(99,ROUND(100*EXP(AL343)/(1+EXP(AL343)),2))),MIN(99,ROUND(100*EXP(AL343)/(1+EXP(AL343)),2))),IF(ISTEXT(R343),IF(LEFT(R343,1)="2",100,"N/A"),"N/A"))</f>
        <v>0</v>
      </c>
      <c r="AN343">
        <f>IF(ISNUMBER(AM343),IF(AM343&gt;=99,IF(OR(U343=10,U343=11),MatchLabel,SureThingLabel),IF(AM343&gt;=95,SecureLabel,IF(AM343&gt;=80,SafetyLabel,IF(AM343&gt;=50,MatchLabel,IF(AM343&gt;=20,ReachLabel,IF(AM343&gt;=10,LongshotLabel,HailMaryLabel)))))),"Other")</f>
        <v>0</v>
      </c>
      <c r="AO343">
        <f>IF(OR(I343="accepted",I343="cond. accept",I343="summer admit"),IF(J343="yes","CHOICE!","Accepted!"),IF(I343="guar. transfer","Guar. Xfer",IF(I343="denied","Denied",IF(K343=1,"Waitlist",IF(L343=1,"Deferred",IF(G343="pending","Pending",IF(OR(G343="initial materials submitted",G343="mid-year submitted",G343="final submitted"),"Submitted",IF(H343="interest","Interest","?"))))))))</f>
        <v>0</v>
      </c>
      <c r="AP343">
        <f>IF(OR(AN343=ReachLabel,AN343=LongshotLabel,AN343=HailMaryLabel),1,0)</f>
        <v>0</v>
      </c>
      <c r="AQ343">
        <f>IF(OR(AP343=1,AN343=MatchLabel),1,0)</f>
        <v>0</v>
      </c>
      <c r="AR343">
        <f>IF(OR(AN343=MatchLabel,AN343=SafetyLabel,AN343=SecureLabel,AN343=SureThingLabel),1,0)</f>
        <v>0</v>
      </c>
      <c r="AS343">
        <f>IF(OR(W343="H",W343="B",W343="I",W343="M"),IF(ISNUMBER(AB343),ROUND(AB343,2),0),IF(ISNUMBER(AA343),ROUND(AA343,2),0))</f>
        <v>0</v>
      </c>
      <c r="AT343">
        <f>IF(AS343&gt;=X343,1,0)</f>
        <v>0</v>
      </c>
      <c r="AU343">
        <f>IF(AS343&gt;=Y343,1,0)</f>
        <v>0</v>
      </c>
      <c r="AV343">
        <f>IF(AS343&lt;(X343-0.10),1,0)</f>
        <v>0</v>
      </c>
      <c r="AW343">
        <f>1-AM343/100</f>
        <v>0</v>
      </c>
      <c r="AX343">
        <f>IF(AQ343=1,AW343,1)</f>
        <v>0</v>
      </c>
      <c r="AY343">
        <f>IF(AP343=1,AW343,1)</f>
        <v>0</v>
      </c>
      <c r="AZ343">
        <f>IF(AND(AT343=1,ISNUMBER(AW343)),$AW343,1)</f>
        <v>0</v>
      </c>
      <c r="BA343">
        <f>IF(AND(AU343=1,ISNUMBER(AW343)),$AW343,1)</f>
        <v>0</v>
      </c>
      <c r="BB343">
        <f>IF(ISNUMBER(AB343),INDEX(AllCollegeMoney, MATCH(N343,AllCollegeNCES,0)),0)</f>
        <v>0</v>
      </c>
      <c r="BC343">
        <f>IF(AND(AT343=1,ISNUMBER(AW343),BB343=1),$AW343,1)</f>
        <v>0</v>
      </c>
      <c r="BD343">
        <f>IF(AND(AU343=1,ISNUMBER(AW343),BB343=1),$AW343,1)</f>
        <v>0</v>
      </c>
      <c r="BE343">
        <f>IF(ISNUMBER(AB343),INDEX(AllCollegeILPub, MATCH(N343,AllCollegeNCES,0)),0)</f>
        <v>0</v>
      </c>
      <c r="BF343">
        <f>IF(AN343=ReachLabel,AS343,0)</f>
        <v>0</v>
      </c>
      <c r="BG343">
        <f>IF(AN343=MatchLabel,AS343,0)</f>
        <v>0</v>
      </c>
      <c r="BH343">
        <f>IF(AN343=SafetyLabel,AS343,0)</f>
        <v>0</v>
      </c>
      <c r="BI343">
        <f>IF(AN343=SecureLabel,AS343,0)</f>
        <v>0</v>
      </c>
      <c r="BJ343">
        <f>IF(AN343=SureThingLabel,AS343,0)</f>
        <v>0</v>
      </c>
      <c r="BK343">
        <f>MAX(BF343:BJ343)</f>
        <v>0</v>
      </c>
      <c r="BL343">
        <f>MAX(BG343:BJ343)</f>
        <v>0</v>
      </c>
      <c r="BM343">
        <f>MAX(BH343:BJ343)</f>
        <v>0</v>
      </c>
      <c r="BN343">
        <f>IF(AND(AN343=ReachLabel,BB343=1),AS343,0)</f>
        <v>0</v>
      </c>
      <c r="BO343">
        <f>IF(AND(AN343=MatchLabel,BB343=1),AS343,0)</f>
        <v>0</v>
      </c>
      <c r="BP343">
        <f>IF(AND(AN343=SafetyLabel,BB343=1),AS343,0)</f>
        <v>0</v>
      </c>
      <c r="BQ343">
        <f>IF(AND(AN343=SecureLabel,BB343=1),AS343,0)</f>
        <v>0</v>
      </c>
      <c r="BR343">
        <f>IF(AND(AN343=SureThingLabel,BB343=1),AS343,0)</f>
        <v>0</v>
      </c>
      <c r="BS343">
        <f>MAX(BN343:BR343)</f>
        <v>0</v>
      </c>
      <c r="BT343">
        <f>MAX(BO343:BR343)</f>
        <v>0</v>
      </c>
      <c r="BU343">
        <f>MAX(BP343:BR343)</f>
        <v>0</v>
      </c>
      <c r="BV343">
        <f>IF(ISNUMBER(AB343),INDEX(AllCollegeChicago, MATCH(N343,AllCollegeNCES,0))*BB343,0)</f>
        <v>0</v>
      </c>
      <c r="BW343">
        <f>IF(ISNUMBER(AB343),INDEX(AllCollegeMoneyCode, MATCH(N343,AllCollegeNCES,0)),"?")</f>
        <v>0</v>
      </c>
      <c r="BX343">
        <f>IF(OR(BW343="---",BW343="--",BW343="+/--",BW343="+/---"),1,0)</f>
        <v>0</v>
      </c>
      <c r="BY343">
        <f>BB343*AR343*AT343</f>
        <v>0</v>
      </c>
    </row>
    <row r="344" spans="1:77">
      <c r="A344" t="s">
        <v>96</v>
      </c>
      <c r="B344">
        <v>23207329</v>
      </c>
      <c r="C344" t="s">
        <v>121</v>
      </c>
      <c r="D344" t="s">
        <v>122</v>
      </c>
      <c r="E344" t="s">
        <v>446</v>
      </c>
      <c r="F344" t="s">
        <v>553</v>
      </c>
      <c r="G344" t="s">
        <v>448</v>
      </c>
      <c r="H344" t="s">
        <v>449</v>
      </c>
      <c r="I344" t="s">
        <v>450</v>
      </c>
      <c r="J344" t="s">
        <v>450</v>
      </c>
      <c r="K344">
        <v>0</v>
      </c>
      <c r="L344" t="s">
        <v>446</v>
      </c>
      <c r="M344" t="s">
        <v>446</v>
      </c>
      <c r="N344">
        <v>211291</v>
      </c>
      <c r="O344">
        <f>INDEX(Counselor,MATCH(B344,KidIDs,0))</f>
        <v>0</v>
      </c>
      <c r="P344">
        <f>INDEX(Advisors,MATCH(B344,KidIDs,0))</f>
        <v>0</v>
      </c>
      <c r="Q344">
        <f>INDEX(Cohort,MATCH(B344,KidIDs,0))</f>
        <v>0</v>
      </c>
      <c r="R344">
        <f>INDEX(AllCollegeBarrons,MATCH(N344,AllCollegeNCES,0))</f>
        <v>0</v>
      </c>
      <c r="S344">
        <f>INDEX(KidGPAs,MATCH(B344,KidIDs,0))</f>
        <v>0</v>
      </c>
      <c r="T344">
        <f>INDEX(KidSATs,MATCH(B344,KidIDs,0))</f>
        <v>0</v>
      </c>
      <c r="U344">
        <f>INDEX(Strats,MATCH(B344,KidIDs,0))</f>
        <v>0</v>
      </c>
      <c r="V344">
        <f>INDEX(KidRace,MATCH(B344,KidIDs,0))</f>
        <v>0</v>
      </c>
      <c r="W344">
        <f>IF(OR(V344="M",V344="I"),"H",IF(V344="P","A",V344))</f>
        <v>0</v>
      </c>
      <c r="X344">
        <f>INDEX(StudentTargets,MATCH(B344,KidIDs,0))</f>
        <v>0</v>
      </c>
      <c r="Y344">
        <f>INDEX(ReachStudentTargets,MATCH(B344,KidIDs,0))</f>
        <v>0</v>
      </c>
      <c r="Z344">
        <f>IF(OR(M344="Posse"),1,0)</f>
        <v>0</v>
      </c>
      <c r="AA344">
        <f>IF(ISNUMBER(INDEX(AllCollegeGR, MATCH(N344,AllCollegeNCES,0))),ROUND(INDEX(AllCollegeGR, MATCH(N344,AllCollegeNCES,0))+Z344*IF(INDEX(AllCollegeGR, MATCH(N344,AllCollegeNCES,0))&gt;0.7,(1-INDEX(AllCollegeGR, MATCH(N344,AllCollegeNCES,0)))/2,0.15),2),INDEX(AllCollegeGR, MATCH(N344,AllCollegeNCES,0)))</f>
        <v>0</v>
      </c>
      <c r="AB344">
        <f>IF(ISNUMBER(INDEX(AllCollegeAAHGR, MATCH(N344,AllCollegeNCES,0))),ROUND(INDEX(AllCollegeAAHGR, MATCH(N344,AllCollegeNCES,0))+Z344*IF(INDEX(AllCollegeAAHGR, MATCH(N344,AllCollegeNCES,0))&gt;0.7,(1-INDEX(AllCollegeAAHGR, MATCH(N344,AllCollegeNCES,0)))/2,0.15),2),INDEX(AllCollegeAAHGR, MATCH(N344,AllCollegeNCES,0)))</f>
        <v>0</v>
      </c>
      <c r="AC344">
        <f>IF(OR(W344="H",W344="B"),INDEX(AllCollegeSAT25, MATCH(N344,AllCollegeNCES,0)),INDEX(AllCollegeSAT50, MATCH(N344,AllCollegeNCES,0)))</f>
        <v>0</v>
      </c>
      <c r="AD344">
        <f>INDEX(CustomWeightsGPA,MATCH(W344&amp;":"&amp;N344,CustomWeightsIndex,0))</f>
        <v>0</v>
      </c>
      <c r="AE344">
        <f>INDEX(CustomWeightsSAT,MATCH(W344&amp;":"&amp;N344,CustomWeightsIndex,0))</f>
        <v>0</v>
      </c>
      <c r="AF344">
        <f>INDEX(CustomWeightsIntercept,MATCH(W344&amp;":"&amp;N344,CustomWeightsIndex,0))</f>
        <v>0</v>
      </c>
      <c r="AG344">
        <f>AD344*S344+AE344*T344+AF344</f>
        <v>0</v>
      </c>
      <c r="AH344">
        <f>INDEX(CoefficientsGPA,MATCH(W344&amp;":"&amp;R344,CoefficientsIndex,0))</f>
        <v>0</v>
      </c>
      <c r="AI344">
        <f>INDEX(CoefficientsSAT,MATCH(W344&amp;":"&amp;R344,CoefficientsIndex,0))</f>
        <v>0</v>
      </c>
      <c r="AJ344">
        <f>INDEX(CoefficientsIntercept,MATCH(W344&amp;":"&amp;R344,CoefficientsIndex,0))</f>
        <v>0</v>
      </c>
      <c r="AK344">
        <f>AH344*S344+(T344-AC344)*AI344+AJ344</f>
        <v>0</v>
      </c>
      <c r="AL344">
        <f>IF(ISNUMBER(AG344),AG344,AK344)</f>
        <v>0</v>
      </c>
      <c r="AM344">
        <f>IF(ISNUMBER(AL344),IF(ISNUMBER(AH344),IF(AND(AH344=1,AI344=1,AJ344=1),100,MIN(99,ROUND(100*EXP(AL344)/(1+EXP(AL344)),2))),MIN(99,ROUND(100*EXP(AL344)/(1+EXP(AL344)),2))),IF(ISTEXT(R344),IF(LEFT(R344,1)="2",100,"N/A"),"N/A"))</f>
        <v>0</v>
      </c>
      <c r="AN344">
        <f>IF(ISNUMBER(AM344),IF(AM344&gt;=99,IF(OR(U344=10,U344=11),MatchLabel,SureThingLabel),IF(AM344&gt;=95,SecureLabel,IF(AM344&gt;=80,SafetyLabel,IF(AM344&gt;=50,MatchLabel,IF(AM344&gt;=20,ReachLabel,IF(AM344&gt;=10,LongshotLabel,HailMaryLabel)))))),"Other")</f>
        <v>0</v>
      </c>
      <c r="AO344">
        <f>IF(OR(I344="accepted",I344="cond. accept",I344="summer admit"),IF(J344="yes","CHOICE!","Accepted!"),IF(I344="guar. transfer","Guar. Xfer",IF(I344="denied","Denied",IF(K344=1,"Waitlist",IF(L344=1,"Deferred",IF(G344="pending","Pending",IF(OR(G344="initial materials submitted",G344="mid-year submitted",G344="final submitted"),"Submitted",IF(H344="interest","Interest","?"))))))))</f>
        <v>0</v>
      </c>
      <c r="AP344">
        <f>IF(OR(AN344=ReachLabel,AN344=LongshotLabel,AN344=HailMaryLabel),1,0)</f>
        <v>0</v>
      </c>
      <c r="AQ344">
        <f>IF(OR(AP344=1,AN344=MatchLabel),1,0)</f>
        <v>0</v>
      </c>
      <c r="AR344">
        <f>IF(OR(AN344=MatchLabel,AN344=SafetyLabel,AN344=SecureLabel,AN344=SureThingLabel),1,0)</f>
        <v>0</v>
      </c>
      <c r="AS344">
        <f>IF(OR(W344="H",W344="B",W344="I",W344="M"),IF(ISNUMBER(AB344),ROUND(AB344,2),0),IF(ISNUMBER(AA344),ROUND(AA344,2),0))</f>
        <v>0</v>
      </c>
      <c r="AT344">
        <f>IF(AS344&gt;=X344,1,0)</f>
        <v>0</v>
      </c>
      <c r="AU344">
        <f>IF(AS344&gt;=Y344,1,0)</f>
        <v>0</v>
      </c>
      <c r="AV344">
        <f>IF(AS344&lt;(X344-0.10),1,0)</f>
        <v>0</v>
      </c>
      <c r="AW344">
        <f>1-AM344/100</f>
        <v>0</v>
      </c>
      <c r="AX344">
        <f>IF(AQ344=1,AW344,1)</f>
        <v>0</v>
      </c>
      <c r="AY344">
        <f>IF(AP344=1,AW344,1)</f>
        <v>0</v>
      </c>
      <c r="AZ344">
        <f>IF(AND(AT344=1,ISNUMBER(AW344)),$AW344,1)</f>
        <v>0</v>
      </c>
      <c r="BA344">
        <f>IF(AND(AU344=1,ISNUMBER(AW344)),$AW344,1)</f>
        <v>0</v>
      </c>
      <c r="BB344">
        <f>IF(ISNUMBER(AB344),INDEX(AllCollegeMoney, MATCH(N344,AllCollegeNCES,0)),0)</f>
        <v>0</v>
      </c>
      <c r="BC344">
        <f>IF(AND(AT344=1,ISNUMBER(AW344),BB344=1),$AW344,1)</f>
        <v>0</v>
      </c>
      <c r="BD344">
        <f>IF(AND(AU344=1,ISNUMBER(AW344),BB344=1),$AW344,1)</f>
        <v>0</v>
      </c>
      <c r="BE344">
        <f>IF(ISNUMBER(AB344),INDEX(AllCollegeILPub, MATCH(N344,AllCollegeNCES,0)),0)</f>
        <v>0</v>
      </c>
      <c r="BF344">
        <f>IF(AN344=ReachLabel,AS344,0)</f>
        <v>0</v>
      </c>
      <c r="BG344">
        <f>IF(AN344=MatchLabel,AS344,0)</f>
        <v>0</v>
      </c>
      <c r="BH344">
        <f>IF(AN344=SafetyLabel,AS344,0)</f>
        <v>0</v>
      </c>
      <c r="BI344">
        <f>IF(AN344=SecureLabel,AS344,0)</f>
        <v>0</v>
      </c>
      <c r="BJ344">
        <f>IF(AN344=SureThingLabel,AS344,0)</f>
        <v>0</v>
      </c>
      <c r="BK344">
        <f>MAX(BF344:BJ344)</f>
        <v>0</v>
      </c>
      <c r="BL344">
        <f>MAX(BG344:BJ344)</f>
        <v>0</v>
      </c>
      <c r="BM344">
        <f>MAX(BH344:BJ344)</f>
        <v>0</v>
      </c>
      <c r="BN344">
        <f>IF(AND(AN344=ReachLabel,BB344=1),AS344,0)</f>
        <v>0</v>
      </c>
      <c r="BO344">
        <f>IF(AND(AN344=MatchLabel,BB344=1),AS344,0)</f>
        <v>0</v>
      </c>
      <c r="BP344">
        <f>IF(AND(AN344=SafetyLabel,BB344=1),AS344,0)</f>
        <v>0</v>
      </c>
      <c r="BQ344">
        <f>IF(AND(AN344=SecureLabel,BB344=1),AS344,0)</f>
        <v>0</v>
      </c>
      <c r="BR344">
        <f>IF(AND(AN344=SureThingLabel,BB344=1),AS344,0)</f>
        <v>0</v>
      </c>
      <c r="BS344">
        <f>MAX(BN344:BR344)</f>
        <v>0</v>
      </c>
      <c r="BT344">
        <f>MAX(BO344:BR344)</f>
        <v>0</v>
      </c>
      <c r="BU344">
        <f>MAX(BP344:BR344)</f>
        <v>0</v>
      </c>
      <c r="BV344">
        <f>IF(ISNUMBER(AB344),INDEX(AllCollegeChicago, MATCH(N344,AllCollegeNCES,0))*BB344,0)</f>
        <v>0</v>
      </c>
      <c r="BW344">
        <f>IF(ISNUMBER(AB344),INDEX(AllCollegeMoneyCode, MATCH(N344,AllCollegeNCES,0)),"?")</f>
        <v>0</v>
      </c>
      <c r="BX344">
        <f>IF(OR(BW344="---",BW344="--",BW344="+/--",BW344="+/---"),1,0)</f>
        <v>0</v>
      </c>
      <c r="BY344">
        <f>BB344*AR344*AT344</f>
        <v>0</v>
      </c>
    </row>
    <row r="345" spans="1:77">
      <c r="A345" t="s">
        <v>96</v>
      </c>
      <c r="B345">
        <v>23207329</v>
      </c>
      <c r="C345" t="s">
        <v>121</v>
      </c>
      <c r="D345" t="s">
        <v>122</v>
      </c>
      <c r="E345" t="s">
        <v>446</v>
      </c>
      <c r="F345" t="s">
        <v>482</v>
      </c>
      <c r="G345" t="s">
        <v>448</v>
      </c>
      <c r="H345" t="s">
        <v>449</v>
      </c>
      <c r="I345" t="s">
        <v>450</v>
      </c>
      <c r="J345" t="s">
        <v>450</v>
      </c>
      <c r="K345">
        <v>0</v>
      </c>
      <c r="L345" t="s">
        <v>446</v>
      </c>
      <c r="M345" t="s">
        <v>446</v>
      </c>
      <c r="N345">
        <v>170976</v>
      </c>
      <c r="O345">
        <f>INDEX(Counselor,MATCH(B345,KidIDs,0))</f>
        <v>0</v>
      </c>
      <c r="P345">
        <f>INDEX(Advisors,MATCH(B345,KidIDs,0))</f>
        <v>0</v>
      </c>
      <c r="Q345">
        <f>INDEX(Cohort,MATCH(B345,KidIDs,0))</f>
        <v>0</v>
      </c>
      <c r="R345">
        <f>INDEX(AllCollegeBarrons,MATCH(N345,AllCollegeNCES,0))</f>
        <v>0</v>
      </c>
      <c r="S345">
        <f>INDEX(KidGPAs,MATCH(B345,KidIDs,0))</f>
        <v>0</v>
      </c>
      <c r="T345">
        <f>INDEX(KidSATs,MATCH(B345,KidIDs,0))</f>
        <v>0</v>
      </c>
      <c r="U345">
        <f>INDEX(Strats,MATCH(B345,KidIDs,0))</f>
        <v>0</v>
      </c>
      <c r="V345">
        <f>INDEX(KidRace,MATCH(B345,KidIDs,0))</f>
        <v>0</v>
      </c>
      <c r="W345">
        <f>IF(OR(V345="M",V345="I"),"H",IF(V345="P","A",V345))</f>
        <v>0</v>
      </c>
      <c r="X345">
        <f>INDEX(StudentTargets,MATCH(B345,KidIDs,0))</f>
        <v>0</v>
      </c>
      <c r="Y345">
        <f>INDEX(ReachStudentTargets,MATCH(B345,KidIDs,0))</f>
        <v>0</v>
      </c>
      <c r="Z345">
        <f>IF(OR(M345="Posse"),1,0)</f>
        <v>0</v>
      </c>
      <c r="AA345">
        <f>IF(ISNUMBER(INDEX(AllCollegeGR, MATCH(N345,AllCollegeNCES,0))),ROUND(INDEX(AllCollegeGR, MATCH(N345,AllCollegeNCES,0))+Z345*IF(INDEX(AllCollegeGR, MATCH(N345,AllCollegeNCES,0))&gt;0.7,(1-INDEX(AllCollegeGR, MATCH(N345,AllCollegeNCES,0)))/2,0.15),2),INDEX(AllCollegeGR, MATCH(N345,AllCollegeNCES,0)))</f>
        <v>0</v>
      </c>
      <c r="AB345">
        <f>IF(ISNUMBER(INDEX(AllCollegeAAHGR, MATCH(N345,AllCollegeNCES,0))),ROUND(INDEX(AllCollegeAAHGR, MATCH(N345,AllCollegeNCES,0))+Z345*IF(INDEX(AllCollegeAAHGR, MATCH(N345,AllCollegeNCES,0))&gt;0.7,(1-INDEX(AllCollegeAAHGR, MATCH(N345,AllCollegeNCES,0)))/2,0.15),2),INDEX(AllCollegeAAHGR, MATCH(N345,AllCollegeNCES,0)))</f>
        <v>0</v>
      </c>
      <c r="AC345">
        <f>IF(OR(W345="H",W345="B"),INDEX(AllCollegeSAT25, MATCH(N345,AllCollegeNCES,0)),INDEX(AllCollegeSAT50, MATCH(N345,AllCollegeNCES,0)))</f>
        <v>0</v>
      </c>
      <c r="AD345">
        <f>INDEX(CustomWeightsGPA,MATCH(W345&amp;":"&amp;N345,CustomWeightsIndex,0))</f>
        <v>0</v>
      </c>
      <c r="AE345">
        <f>INDEX(CustomWeightsSAT,MATCH(W345&amp;":"&amp;N345,CustomWeightsIndex,0))</f>
        <v>0</v>
      </c>
      <c r="AF345">
        <f>INDEX(CustomWeightsIntercept,MATCH(W345&amp;":"&amp;N345,CustomWeightsIndex,0))</f>
        <v>0</v>
      </c>
      <c r="AG345">
        <f>AD345*S345+AE345*T345+AF345</f>
        <v>0</v>
      </c>
      <c r="AH345">
        <f>INDEX(CoefficientsGPA,MATCH(W345&amp;":"&amp;R345,CoefficientsIndex,0))</f>
        <v>0</v>
      </c>
      <c r="AI345">
        <f>INDEX(CoefficientsSAT,MATCH(W345&amp;":"&amp;R345,CoefficientsIndex,0))</f>
        <v>0</v>
      </c>
      <c r="AJ345">
        <f>INDEX(CoefficientsIntercept,MATCH(W345&amp;":"&amp;R345,CoefficientsIndex,0))</f>
        <v>0</v>
      </c>
      <c r="AK345">
        <f>AH345*S345+(T345-AC345)*AI345+AJ345</f>
        <v>0</v>
      </c>
      <c r="AL345">
        <f>IF(ISNUMBER(AG345),AG345,AK345)</f>
        <v>0</v>
      </c>
      <c r="AM345">
        <f>IF(ISNUMBER(AL345),IF(ISNUMBER(AH345),IF(AND(AH345=1,AI345=1,AJ345=1),100,MIN(99,ROUND(100*EXP(AL345)/(1+EXP(AL345)),2))),MIN(99,ROUND(100*EXP(AL345)/(1+EXP(AL345)),2))),IF(ISTEXT(R345),IF(LEFT(R345,1)="2",100,"N/A"),"N/A"))</f>
        <v>0</v>
      </c>
      <c r="AN345">
        <f>IF(ISNUMBER(AM345),IF(AM345&gt;=99,IF(OR(U345=10,U345=11),MatchLabel,SureThingLabel),IF(AM345&gt;=95,SecureLabel,IF(AM345&gt;=80,SafetyLabel,IF(AM345&gt;=50,MatchLabel,IF(AM345&gt;=20,ReachLabel,IF(AM345&gt;=10,LongshotLabel,HailMaryLabel)))))),"Other")</f>
        <v>0</v>
      </c>
      <c r="AO345">
        <f>IF(OR(I345="accepted",I345="cond. accept",I345="summer admit"),IF(J345="yes","CHOICE!","Accepted!"),IF(I345="guar. transfer","Guar. Xfer",IF(I345="denied","Denied",IF(K345=1,"Waitlist",IF(L345=1,"Deferred",IF(G345="pending","Pending",IF(OR(G345="initial materials submitted",G345="mid-year submitted",G345="final submitted"),"Submitted",IF(H345="interest","Interest","?"))))))))</f>
        <v>0</v>
      </c>
      <c r="AP345">
        <f>IF(OR(AN345=ReachLabel,AN345=LongshotLabel,AN345=HailMaryLabel),1,0)</f>
        <v>0</v>
      </c>
      <c r="AQ345">
        <f>IF(OR(AP345=1,AN345=MatchLabel),1,0)</f>
        <v>0</v>
      </c>
      <c r="AR345">
        <f>IF(OR(AN345=MatchLabel,AN345=SafetyLabel,AN345=SecureLabel,AN345=SureThingLabel),1,0)</f>
        <v>0</v>
      </c>
      <c r="AS345">
        <f>IF(OR(W345="H",W345="B",W345="I",W345="M"),IF(ISNUMBER(AB345),ROUND(AB345,2),0),IF(ISNUMBER(AA345),ROUND(AA345,2),0))</f>
        <v>0</v>
      </c>
      <c r="AT345">
        <f>IF(AS345&gt;=X345,1,0)</f>
        <v>0</v>
      </c>
      <c r="AU345">
        <f>IF(AS345&gt;=Y345,1,0)</f>
        <v>0</v>
      </c>
      <c r="AV345">
        <f>IF(AS345&lt;(X345-0.10),1,0)</f>
        <v>0</v>
      </c>
      <c r="AW345">
        <f>1-AM345/100</f>
        <v>0</v>
      </c>
      <c r="AX345">
        <f>IF(AQ345=1,AW345,1)</f>
        <v>0</v>
      </c>
      <c r="AY345">
        <f>IF(AP345=1,AW345,1)</f>
        <v>0</v>
      </c>
      <c r="AZ345">
        <f>IF(AND(AT345=1,ISNUMBER(AW345)),$AW345,1)</f>
        <v>0</v>
      </c>
      <c r="BA345">
        <f>IF(AND(AU345=1,ISNUMBER(AW345)),$AW345,1)</f>
        <v>0</v>
      </c>
      <c r="BB345">
        <f>IF(ISNUMBER(AB345),INDEX(AllCollegeMoney, MATCH(N345,AllCollegeNCES,0)),0)</f>
        <v>0</v>
      </c>
      <c r="BC345">
        <f>IF(AND(AT345=1,ISNUMBER(AW345),BB345=1),$AW345,1)</f>
        <v>0</v>
      </c>
      <c r="BD345">
        <f>IF(AND(AU345=1,ISNUMBER(AW345),BB345=1),$AW345,1)</f>
        <v>0</v>
      </c>
      <c r="BE345">
        <f>IF(ISNUMBER(AB345),INDEX(AllCollegeILPub, MATCH(N345,AllCollegeNCES,0)),0)</f>
        <v>0</v>
      </c>
      <c r="BF345">
        <f>IF(AN345=ReachLabel,AS345,0)</f>
        <v>0</v>
      </c>
      <c r="BG345">
        <f>IF(AN345=MatchLabel,AS345,0)</f>
        <v>0</v>
      </c>
      <c r="BH345">
        <f>IF(AN345=SafetyLabel,AS345,0)</f>
        <v>0</v>
      </c>
      <c r="BI345">
        <f>IF(AN345=SecureLabel,AS345,0)</f>
        <v>0</v>
      </c>
      <c r="BJ345">
        <f>IF(AN345=SureThingLabel,AS345,0)</f>
        <v>0</v>
      </c>
      <c r="BK345">
        <f>MAX(BF345:BJ345)</f>
        <v>0</v>
      </c>
      <c r="BL345">
        <f>MAX(BG345:BJ345)</f>
        <v>0</v>
      </c>
      <c r="BM345">
        <f>MAX(BH345:BJ345)</f>
        <v>0</v>
      </c>
      <c r="BN345">
        <f>IF(AND(AN345=ReachLabel,BB345=1),AS345,0)</f>
        <v>0</v>
      </c>
      <c r="BO345">
        <f>IF(AND(AN345=MatchLabel,BB345=1),AS345,0)</f>
        <v>0</v>
      </c>
      <c r="BP345">
        <f>IF(AND(AN345=SafetyLabel,BB345=1),AS345,0)</f>
        <v>0</v>
      </c>
      <c r="BQ345">
        <f>IF(AND(AN345=SecureLabel,BB345=1),AS345,0)</f>
        <v>0</v>
      </c>
      <c r="BR345">
        <f>IF(AND(AN345=SureThingLabel,BB345=1),AS345,0)</f>
        <v>0</v>
      </c>
      <c r="BS345">
        <f>MAX(BN345:BR345)</f>
        <v>0</v>
      </c>
      <c r="BT345">
        <f>MAX(BO345:BR345)</f>
        <v>0</v>
      </c>
      <c r="BU345">
        <f>MAX(BP345:BR345)</f>
        <v>0</v>
      </c>
      <c r="BV345">
        <f>IF(ISNUMBER(AB345),INDEX(AllCollegeChicago, MATCH(N345,AllCollegeNCES,0))*BB345,0)</f>
        <v>0</v>
      </c>
      <c r="BW345">
        <f>IF(ISNUMBER(AB345),INDEX(AllCollegeMoneyCode, MATCH(N345,AllCollegeNCES,0)),"?")</f>
        <v>0</v>
      </c>
      <c r="BX345">
        <f>IF(OR(BW345="---",BW345="--",BW345="+/--",BW345="+/---"),1,0)</f>
        <v>0</v>
      </c>
      <c r="BY345">
        <f>BB345*AR345*AT345</f>
        <v>0</v>
      </c>
    </row>
    <row r="346" spans="1:77">
      <c r="A346" t="s">
        <v>96</v>
      </c>
      <c r="B346">
        <v>23207329</v>
      </c>
      <c r="C346" t="s">
        <v>121</v>
      </c>
      <c r="D346" t="s">
        <v>122</v>
      </c>
      <c r="E346" t="s">
        <v>446</v>
      </c>
      <c r="F346" t="s">
        <v>470</v>
      </c>
      <c r="G346" t="s">
        <v>448</v>
      </c>
      <c r="H346" t="s">
        <v>449</v>
      </c>
      <c r="I346" t="s">
        <v>450</v>
      </c>
      <c r="J346" t="s">
        <v>450</v>
      </c>
      <c r="K346">
        <v>0</v>
      </c>
      <c r="L346" t="s">
        <v>446</v>
      </c>
      <c r="M346" t="s">
        <v>446</v>
      </c>
      <c r="N346">
        <v>240444</v>
      </c>
      <c r="O346">
        <f>INDEX(Counselor,MATCH(B346,KidIDs,0))</f>
        <v>0</v>
      </c>
      <c r="P346">
        <f>INDEX(Advisors,MATCH(B346,KidIDs,0))</f>
        <v>0</v>
      </c>
      <c r="Q346">
        <f>INDEX(Cohort,MATCH(B346,KidIDs,0))</f>
        <v>0</v>
      </c>
      <c r="R346">
        <f>INDEX(AllCollegeBarrons,MATCH(N346,AllCollegeNCES,0))</f>
        <v>0</v>
      </c>
      <c r="S346">
        <f>INDEX(KidGPAs,MATCH(B346,KidIDs,0))</f>
        <v>0</v>
      </c>
      <c r="T346">
        <f>INDEX(KidSATs,MATCH(B346,KidIDs,0))</f>
        <v>0</v>
      </c>
      <c r="U346">
        <f>INDEX(Strats,MATCH(B346,KidIDs,0))</f>
        <v>0</v>
      </c>
      <c r="V346">
        <f>INDEX(KidRace,MATCH(B346,KidIDs,0))</f>
        <v>0</v>
      </c>
      <c r="W346">
        <f>IF(OR(V346="M",V346="I"),"H",IF(V346="P","A",V346))</f>
        <v>0</v>
      </c>
      <c r="X346">
        <f>INDEX(StudentTargets,MATCH(B346,KidIDs,0))</f>
        <v>0</v>
      </c>
      <c r="Y346">
        <f>INDEX(ReachStudentTargets,MATCH(B346,KidIDs,0))</f>
        <v>0</v>
      </c>
      <c r="Z346">
        <f>IF(OR(M346="Posse"),1,0)</f>
        <v>0</v>
      </c>
      <c r="AA346">
        <f>IF(ISNUMBER(INDEX(AllCollegeGR, MATCH(N346,AllCollegeNCES,0))),ROUND(INDEX(AllCollegeGR, MATCH(N346,AllCollegeNCES,0))+Z346*IF(INDEX(AllCollegeGR, MATCH(N346,AllCollegeNCES,0))&gt;0.7,(1-INDEX(AllCollegeGR, MATCH(N346,AllCollegeNCES,0)))/2,0.15),2),INDEX(AllCollegeGR, MATCH(N346,AllCollegeNCES,0)))</f>
        <v>0</v>
      </c>
      <c r="AB346">
        <f>IF(ISNUMBER(INDEX(AllCollegeAAHGR, MATCH(N346,AllCollegeNCES,0))),ROUND(INDEX(AllCollegeAAHGR, MATCH(N346,AllCollegeNCES,0))+Z346*IF(INDEX(AllCollegeAAHGR, MATCH(N346,AllCollegeNCES,0))&gt;0.7,(1-INDEX(AllCollegeAAHGR, MATCH(N346,AllCollegeNCES,0)))/2,0.15),2),INDEX(AllCollegeAAHGR, MATCH(N346,AllCollegeNCES,0)))</f>
        <v>0</v>
      </c>
      <c r="AC346">
        <f>IF(OR(W346="H",W346="B"),INDEX(AllCollegeSAT25, MATCH(N346,AllCollegeNCES,0)),INDEX(AllCollegeSAT50, MATCH(N346,AllCollegeNCES,0)))</f>
        <v>0</v>
      </c>
      <c r="AD346">
        <f>INDEX(CustomWeightsGPA,MATCH(W346&amp;":"&amp;N346,CustomWeightsIndex,0))</f>
        <v>0</v>
      </c>
      <c r="AE346">
        <f>INDEX(CustomWeightsSAT,MATCH(W346&amp;":"&amp;N346,CustomWeightsIndex,0))</f>
        <v>0</v>
      </c>
      <c r="AF346">
        <f>INDEX(CustomWeightsIntercept,MATCH(W346&amp;":"&amp;N346,CustomWeightsIndex,0))</f>
        <v>0</v>
      </c>
      <c r="AG346">
        <f>AD346*S346+AE346*T346+AF346</f>
        <v>0</v>
      </c>
      <c r="AH346">
        <f>INDEX(CoefficientsGPA,MATCH(W346&amp;":"&amp;R346,CoefficientsIndex,0))</f>
        <v>0</v>
      </c>
      <c r="AI346">
        <f>INDEX(CoefficientsSAT,MATCH(W346&amp;":"&amp;R346,CoefficientsIndex,0))</f>
        <v>0</v>
      </c>
      <c r="AJ346">
        <f>INDEX(CoefficientsIntercept,MATCH(W346&amp;":"&amp;R346,CoefficientsIndex,0))</f>
        <v>0</v>
      </c>
      <c r="AK346">
        <f>AH346*S346+(T346-AC346)*AI346+AJ346</f>
        <v>0</v>
      </c>
      <c r="AL346">
        <f>IF(ISNUMBER(AG346),AG346,AK346)</f>
        <v>0</v>
      </c>
      <c r="AM346">
        <f>IF(ISNUMBER(AL346),IF(ISNUMBER(AH346),IF(AND(AH346=1,AI346=1,AJ346=1),100,MIN(99,ROUND(100*EXP(AL346)/(1+EXP(AL346)),2))),MIN(99,ROUND(100*EXP(AL346)/(1+EXP(AL346)),2))),IF(ISTEXT(R346),IF(LEFT(R346,1)="2",100,"N/A"),"N/A"))</f>
        <v>0</v>
      </c>
      <c r="AN346">
        <f>IF(ISNUMBER(AM346),IF(AM346&gt;=99,IF(OR(U346=10,U346=11),MatchLabel,SureThingLabel),IF(AM346&gt;=95,SecureLabel,IF(AM346&gt;=80,SafetyLabel,IF(AM346&gt;=50,MatchLabel,IF(AM346&gt;=20,ReachLabel,IF(AM346&gt;=10,LongshotLabel,HailMaryLabel)))))),"Other")</f>
        <v>0</v>
      </c>
      <c r="AO346">
        <f>IF(OR(I346="accepted",I346="cond. accept",I346="summer admit"),IF(J346="yes","CHOICE!","Accepted!"),IF(I346="guar. transfer","Guar. Xfer",IF(I346="denied","Denied",IF(K346=1,"Waitlist",IF(L346=1,"Deferred",IF(G346="pending","Pending",IF(OR(G346="initial materials submitted",G346="mid-year submitted",G346="final submitted"),"Submitted",IF(H346="interest","Interest","?"))))))))</f>
        <v>0</v>
      </c>
      <c r="AP346">
        <f>IF(OR(AN346=ReachLabel,AN346=LongshotLabel,AN346=HailMaryLabel),1,0)</f>
        <v>0</v>
      </c>
      <c r="AQ346">
        <f>IF(OR(AP346=1,AN346=MatchLabel),1,0)</f>
        <v>0</v>
      </c>
      <c r="AR346">
        <f>IF(OR(AN346=MatchLabel,AN346=SafetyLabel,AN346=SecureLabel,AN346=SureThingLabel),1,0)</f>
        <v>0</v>
      </c>
      <c r="AS346">
        <f>IF(OR(W346="H",W346="B",W346="I",W346="M"),IF(ISNUMBER(AB346),ROUND(AB346,2),0),IF(ISNUMBER(AA346),ROUND(AA346,2),0))</f>
        <v>0</v>
      </c>
      <c r="AT346">
        <f>IF(AS346&gt;=X346,1,0)</f>
        <v>0</v>
      </c>
      <c r="AU346">
        <f>IF(AS346&gt;=Y346,1,0)</f>
        <v>0</v>
      </c>
      <c r="AV346">
        <f>IF(AS346&lt;(X346-0.10),1,0)</f>
        <v>0</v>
      </c>
      <c r="AW346">
        <f>1-AM346/100</f>
        <v>0</v>
      </c>
      <c r="AX346">
        <f>IF(AQ346=1,AW346,1)</f>
        <v>0</v>
      </c>
      <c r="AY346">
        <f>IF(AP346=1,AW346,1)</f>
        <v>0</v>
      </c>
      <c r="AZ346">
        <f>IF(AND(AT346=1,ISNUMBER(AW346)),$AW346,1)</f>
        <v>0</v>
      </c>
      <c r="BA346">
        <f>IF(AND(AU346=1,ISNUMBER(AW346)),$AW346,1)</f>
        <v>0</v>
      </c>
      <c r="BB346">
        <f>IF(ISNUMBER(AB346),INDEX(AllCollegeMoney, MATCH(N346,AllCollegeNCES,0)),0)</f>
        <v>0</v>
      </c>
      <c r="BC346">
        <f>IF(AND(AT346=1,ISNUMBER(AW346),BB346=1),$AW346,1)</f>
        <v>0</v>
      </c>
      <c r="BD346">
        <f>IF(AND(AU346=1,ISNUMBER(AW346),BB346=1),$AW346,1)</f>
        <v>0</v>
      </c>
      <c r="BE346">
        <f>IF(ISNUMBER(AB346),INDEX(AllCollegeILPub, MATCH(N346,AllCollegeNCES,0)),0)</f>
        <v>0</v>
      </c>
      <c r="BF346">
        <f>IF(AN346=ReachLabel,AS346,0)</f>
        <v>0</v>
      </c>
      <c r="BG346">
        <f>IF(AN346=MatchLabel,AS346,0)</f>
        <v>0</v>
      </c>
      <c r="BH346">
        <f>IF(AN346=SafetyLabel,AS346,0)</f>
        <v>0</v>
      </c>
      <c r="BI346">
        <f>IF(AN346=SecureLabel,AS346,0)</f>
        <v>0</v>
      </c>
      <c r="BJ346">
        <f>IF(AN346=SureThingLabel,AS346,0)</f>
        <v>0</v>
      </c>
      <c r="BK346">
        <f>MAX(BF346:BJ346)</f>
        <v>0</v>
      </c>
      <c r="BL346">
        <f>MAX(BG346:BJ346)</f>
        <v>0</v>
      </c>
      <c r="BM346">
        <f>MAX(BH346:BJ346)</f>
        <v>0</v>
      </c>
      <c r="BN346">
        <f>IF(AND(AN346=ReachLabel,BB346=1),AS346,0)</f>
        <v>0</v>
      </c>
      <c r="BO346">
        <f>IF(AND(AN346=MatchLabel,BB346=1),AS346,0)</f>
        <v>0</v>
      </c>
      <c r="BP346">
        <f>IF(AND(AN346=SafetyLabel,BB346=1),AS346,0)</f>
        <v>0</v>
      </c>
      <c r="BQ346">
        <f>IF(AND(AN346=SecureLabel,BB346=1),AS346,0)</f>
        <v>0</v>
      </c>
      <c r="BR346">
        <f>IF(AND(AN346=SureThingLabel,BB346=1),AS346,0)</f>
        <v>0</v>
      </c>
      <c r="BS346">
        <f>MAX(BN346:BR346)</f>
        <v>0</v>
      </c>
      <c r="BT346">
        <f>MAX(BO346:BR346)</f>
        <v>0</v>
      </c>
      <c r="BU346">
        <f>MAX(BP346:BR346)</f>
        <v>0</v>
      </c>
      <c r="BV346">
        <f>IF(ISNUMBER(AB346),INDEX(AllCollegeChicago, MATCH(N346,AllCollegeNCES,0))*BB346,0)</f>
        <v>0</v>
      </c>
      <c r="BW346">
        <f>IF(ISNUMBER(AB346),INDEX(AllCollegeMoneyCode, MATCH(N346,AllCollegeNCES,0)),"?")</f>
        <v>0</v>
      </c>
      <c r="BX346">
        <f>IF(OR(BW346="---",BW346="--",BW346="+/--",BW346="+/---"),1,0)</f>
        <v>0</v>
      </c>
      <c r="BY346">
        <f>BB346*AR346*AT346</f>
        <v>0</v>
      </c>
    </row>
    <row r="347" spans="1:77">
      <c r="A347" t="s">
        <v>96</v>
      </c>
      <c r="B347">
        <v>23207329</v>
      </c>
      <c r="C347" t="s">
        <v>121</v>
      </c>
      <c r="D347" t="s">
        <v>122</v>
      </c>
      <c r="E347" t="s">
        <v>446</v>
      </c>
      <c r="F347" t="s">
        <v>484</v>
      </c>
      <c r="G347" t="s">
        <v>448</v>
      </c>
      <c r="H347" t="s">
        <v>449</v>
      </c>
      <c r="I347" t="s">
        <v>450</v>
      </c>
      <c r="J347" t="s">
        <v>450</v>
      </c>
      <c r="K347">
        <v>0</v>
      </c>
      <c r="L347" t="s">
        <v>446</v>
      </c>
      <c r="M347" t="s">
        <v>446</v>
      </c>
      <c r="N347">
        <v>213385</v>
      </c>
      <c r="O347">
        <f>INDEX(Counselor,MATCH(B347,KidIDs,0))</f>
        <v>0</v>
      </c>
      <c r="P347">
        <f>INDEX(Advisors,MATCH(B347,KidIDs,0))</f>
        <v>0</v>
      </c>
      <c r="Q347">
        <f>INDEX(Cohort,MATCH(B347,KidIDs,0))</f>
        <v>0</v>
      </c>
      <c r="R347">
        <f>INDEX(AllCollegeBarrons,MATCH(N347,AllCollegeNCES,0))</f>
        <v>0</v>
      </c>
      <c r="S347">
        <f>INDEX(KidGPAs,MATCH(B347,KidIDs,0))</f>
        <v>0</v>
      </c>
      <c r="T347">
        <f>INDEX(KidSATs,MATCH(B347,KidIDs,0))</f>
        <v>0</v>
      </c>
      <c r="U347">
        <f>INDEX(Strats,MATCH(B347,KidIDs,0))</f>
        <v>0</v>
      </c>
      <c r="V347">
        <f>INDEX(KidRace,MATCH(B347,KidIDs,0))</f>
        <v>0</v>
      </c>
      <c r="W347">
        <f>IF(OR(V347="M",V347="I"),"H",IF(V347="P","A",V347))</f>
        <v>0</v>
      </c>
      <c r="X347">
        <f>INDEX(StudentTargets,MATCH(B347,KidIDs,0))</f>
        <v>0</v>
      </c>
      <c r="Y347">
        <f>INDEX(ReachStudentTargets,MATCH(B347,KidIDs,0))</f>
        <v>0</v>
      </c>
      <c r="Z347">
        <f>IF(OR(M347="Posse"),1,0)</f>
        <v>0</v>
      </c>
      <c r="AA347">
        <f>IF(ISNUMBER(INDEX(AllCollegeGR, MATCH(N347,AllCollegeNCES,0))),ROUND(INDEX(AllCollegeGR, MATCH(N347,AllCollegeNCES,0))+Z347*IF(INDEX(AllCollegeGR, MATCH(N347,AllCollegeNCES,0))&gt;0.7,(1-INDEX(AllCollegeGR, MATCH(N347,AllCollegeNCES,0)))/2,0.15),2),INDEX(AllCollegeGR, MATCH(N347,AllCollegeNCES,0)))</f>
        <v>0</v>
      </c>
      <c r="AB347">
        <f>IF(ISNUMBER(INDEX(AllCollegeAAHGR, MATCH(N347,AllCollegeNCES,0))),ROUND(INDEX(AllCollegeAAHGR, MATCH(N347,AllCollegeNCES,0))+Z347*IF(INDEX(AllCollegeAAHGR, MATCH(N347,AllCollegeNCES,0))&gt;0.7,(1-INDEX(AllCollegeAAHGR, MATCH(N347,AllCollegeNCES,0)))/2,0.15),2),INDEX(AllCollegeAAHGR, MATCH(N347,AllCollegeNCES,0)))</f>
        <v>0</v>
      </c>
      <c r="AC347">
        <f>IF(OR(W347="H",W347="B"),INDEX(AllCollegeSAT25, MATCH(N347,AllCollegeNCES,0)),INDEX(AllCollegeSAT50, MATCH(N347,AllCollegeNCES,0)))</f>
        <v>0</v>
      </c>
      <c r="AD347">
        <f>INDEX(CustomWeightsGPA,MATCH(W347&amp;":"&amp;N347,CustomWeightsIndex,0))</f>
        <v>0</v>
      </c>
      <c r="AE347">
        <f>INDEX(CustomWeightsSAT,MATCH(W347&amp;":"&amp;N347,CustomWeightsIndex,0))</f>
        <v>0</v>
      </c>
      <c r="AF347">
        <f>INDEX(CustomWeightsIntercept,MATCH(W347&amp;":"&amp;N347,CustomWeightsIndex,0))</f>
        <v>0</v>
      </c>
      <c r="AG347">
        <f>AD347*S347+AE347*T347+AF347</f>
        <v>0</v>
      </c>
      <c r="AH347">
        <f>INDEX(CoefficientsGPA,MATCH(W347&amp;":"&amp;R347,CoefficientsIndex,0))</f>
        <v>0</v>
      </c>
      <c r="AI347">
        <f>INDEX(CoefficientsSAT,MATCH(W347&amp;":"&amp;R347,CoefficientsIndex,0))</f>
        <v>0</v>
      </c>
      <c r="AJ347">
        <f>INDEX(CoefficientsIntercept,MATCH(W347&amp;":"&amp;R347,CoefficientsIndex,0))</f>
        <v>0</v>
      </c>
      <c r="AK347">
        <f>AH347*S347+(T347-AC347)*AI347+AJ347</f>
        <v>0</v>
      </c>
      <c r="AL347">
        <f>IF(ISNUMBER(AG347),AG347,AK347)</f>
        <v>0</v>
      </c>
      <c r="AM347">
        <f>IF(ISNUMBER(AL347),IF(ISNUMBER(AH347),IF(AND(AH347=1,AI347=1,AJ347=1),100,MIN(99,ROUND(100*EXP(AL347)/(1+EXP(AL347)),2))),MIN(99,ROUND(100*EXP(AL347)/(1+EXP(AL347)),2))),IF(ISTEXT(R347),IF(LEFT(R347,1)="2",100,"N/A"),"N/A"))</f>
        <v>0</v>
      </c>
      <c r="AN347">
        <f>IF(ISNUMBER(AM347),IF(AM347&gt;=99,IF(OR(U347=10,U347=11),MatchLabel,SureThingLabel),IF(AM347&gt;=95,SecureLabel,IF(AM347&gt;=80,SafetyLabel,IF(AM347&gt;=50,MatchLabel,IF(AM347&gt;=20,ReachLabel,IF(AM347&gt;=10,LongshotLabel,HailMaryLabel)))))),"Other")</f>
        <v>0</v>
      </c>
      <c r="AO347">
        <f>IF(OR(I347="accepted",I347="cond. accept",I347="summer admit"),IF(J347="yes","CHOICE!","Accepted!"),IF(I347="guar. transfer","Guar. Xfer",IF(I347="denied","Denied",IF(K347=1,"Waitlist",IF(L347=1,"Deferred",IF(G347="pending","Pending",IF(OR(G347="initial materials submitted",G347="mid-year submitted",G347="final submitted"),"Submitted",IF(H347="interest","Interest","?"))))))))</f>
        <v>0</v>
      </c>
      <c r="AP347">
        <f>IF(OR(AN347=ReachLabel,AN347=LongshotLabel,AN347=HailMaryLabel),1,0)</f>
        <v>0</v>
      </c>
      <c r="AQ347">
        <f>IF(OR(AP347=1,AN347=MatchLabel),1,0)</f>
        <v>0</v>
      </c>
      <c r="AR347">
        <f>IF(OR(AN347=MatchLabel,AN347=SafetyLabel,AN347=SecureLabel,AN347=SureThingLabel),1,0)</f>
        <v>0</v>
      </c>
      <c r="AS347">
        <f>IF(OR(W347="H",W347="B",W347="I",W347="M"),IF(ISNUMBER(AB347),ROUND(AB347,2),0),IF(ISNUMBER(AA347),ROUND(AA347,2),0))</f>
        <v>0</v>
      </c>
      <c r="AT347">
        <f>IF(AS347&gt;=X347,1,0)</f>
        <v>0</v>
      </c>
      <c r="AU347">
        <f>IF(AS347&gt;=Y347,1,0)</f>
        <v>0</v>
      </c>
      <c r="AV347">
        <f>IF(AS347&lt;(X347-0.10),1,0)</f>
        <v>0</v>
      </c>
      <c r="AW347">
        <f>1-AM347/100</f>
        <v>0</v>
      </c>
      <c r="AX347">
        <f>IF(AQ347=1,AW347,1)</f>
        <v>0</v>
      </c>
      <c r="AY347">
        <f>IF(AP347=1,AW347,1)</f>
        <v>0</v>
      </c>
      <c r="AZ347">
        <f>IF(AND(AT347=1,ISNUMBER(AW347)),$AW347,1)</f>
        <v>0</v>
      </c>
      <c r="BA347">
        <f>IF(AND(AU347=1,ISNUMBER(AW347)),$AW347,1)</f>
        <v>0</v>
      </c>
      <c r="BB347">
        <f>IF(ISNUMBER(AB347),INDEX(AllCollegeMoney, MATCH(N347,AllCollegeNCES,0)),0)</f>
        <v>0</v>
      </c>
      <c r="BC347">
        <f>IF(AND(AT347=1,ISNUMBER(AW347),BB347=1),$AW347,1)</f>
        <v>0</v>
      </c>
      <c r="BD347">
        <f>IF(AND(AU347=1,ISNUMBER(AW347),BB347=1),$AW347,1)</f>
        <v>0</v>
      </c>
      <c r="BE347">
        <f>IF(ISNUMBER(AB347),INDEX(AllCollegeILPub, MATCH(N347,AllCollegeNCES,0)),0)</f>
        <v>0</v>
      </c>
      <c r="BF347">
        <f>IF(AN347=ReachLabel,AS347,0)</f>
        <v>0</v>
      </c>
      <c r="BG347">
        <f>IF(AN347=MatchLabel,AS347,0)</f>
        <v>0</v>
      </c>
      <c r="BH347">
        <f>IF(AN347=SafetyLabel,AS347,0)</f>
        <v>0</v>
      </c>
      <c r="BI347">
        <f>IF(AN347=SecureLabel,AS347,0)</f>
        <v>0</v>
      </c>
      <c r="BJ347">
        <f>IF(AN347=SureThingLabel,AS347,0)</f>
        <v>0</v>
      </c>
      <c r="BK347">
        <f>MAX(BF347:BJ347)</f>
        <v>0</v>
      </c>
      <c r="BL347">
        <f>MAX(BG347:BJ347)</f>
        <v>0</v>
      </c>
      <c r="BM347">
        <f>MAX(BH347:BJ347)</f>
        <v>0</v>
      </c>
      <c r="BN347">
        <f>IF(AND(AN347=ReachLabel,BB347=1),AS347,0)</f>
        <v>0</v>
      </c>
      <c r="BO347">
        <f>IF(AND(AN347=MatchLabel,BB347=1),AS347,0)</f>
        <v>0</v>
      </c>
      <c r="BP347">
        <f>IF(AND(AN347=SafetyLabel,BB347=1),AS347,0)</f>
        <v>0</v>
      </c>
      <c r="BQ347">
        <f>IF(AND(AN347=SecureLabel,BB347=1),AS347,0)</f>
        <v>0</v>
      </c>
      <c r="BR347">
        <f>IF(AND(AN347=SureThingLabel,BB347=1),AS347,0)</f>
        <v>0</v>
      </c>
      <c r="BS347">
        <f>MAX(BN347:BR347)</f>
        <v>0</v>
      </c>
      <c r="BT347">
        <f>MAX(BO347:BR347)</f>
        <v>0</v>
      </c>
      <c r="BU347">
        <f>MAX(BP347:BR347)</f>
        <v>0</v>
      </c>
      <c r="BV347">
        <f>IF(ISNUMBER(AB347),INDEX(AllCollegeChicago, MATCH(N347,AllCollegeNCES,0))*BB347,0)</f>
        <v>0</v>
      </c>
      <c r="BW347">
        <f>IF(ISNUMBER(AB347),INDEX(AllCollegeMoneyCode, MATCH(N347,AllCollegeNCES,0)),"?")</f>
        <v>0</v>
      </c>
      <c r="BX347">
        <f>IF(OR(BW347="---",BW347="--",BW347="+/--",BW347="+/---"),1,0)</f>
        <v>0</v>
      </c>
      <c r="BY347">
        <f>BB347*AR347*AT347</f>
        <v>0</v>
      </c>
    </row>
    <row r="348" spans="1:77">
      <c r="A348" t="s">
        <v>96</v>
      </c>
      <c r="B348">
        <v>23207329</v>
      </c>
      <c r="C348" t="s">
        <v>121</v>
      </c>
      <c r="D348" t="s">
        <v>122</v>
      </c>
      <c r="E348" t="s">
        <v>446</v>
      </c>
      <c r="F348" t="s">
        <v>471</v>
      </c>
      <c r="G348" t="s">
        <v>448</v>
      </c>
      <c r="H348" t="s">
        <v>449</v>
      </c>
      <c r="I348" t="s">
        <v>450</v>
      </c>
      <c r="J348" t="s">
        <v>450</v>
      </c>
      <c r="K348">
        <v>0</v>
      </c>
      <c r="L348" t="s">
        <v>446</v>
      </c>
      <c r="M348" t="s">
        <v>446</v>
      </c>
      <c r="N348">
        <v>202523</v>
      </c>
      <c r="O348">
        <f>INDEX(Counselor,MATCH(B348,KidIDs,0))</f>
        <v>0</v>
      </c>
      <c r="P348">
        <f>INDEX(Advisors,MATCH(B348,KidIDs,0))</f>
        <v>0</v>
      </c>
      <c r="Q348">
        <f>INDEX(Cohort,MATCH(B348,KidIDs,0))</f>
        <v>0</v>
      </c>
      <c r="R348">
        <f>INDEX(AllCollegeBarrons,MATCH(N348,AllCollegeNCES,0))</f>
        <v>0</v>
      </c>
      <c r="S348">
        <f>INDEX(KidGPAs,MATCH(B348,KidIDs,0))</f>
        <v>0</v>
      </c>
      <c r="T348">
        <f>INDEX(KidSATs,MATCH(B348,KidIDs,0))</f>
        <v>0</v>
      </c>
      <c r="U348">
        <f>INDEX(Strats,MATCH(B348,KidIDs,0))</f>
        <v>0</v>
      </c>
      <c r="V348">
        <f>INDEX(KidRace,MATCH(B348,KidIDs,0))</f>
        <v>0</v>
      </c>
      <c r="W348">
        <f>IF(OR(V348="M",V348="I"),"H",IF(V348="P","A",V348))</f>
        <v>0</v>
      </c>
      <c r="X348">
        <f>INDEX(StudentTargets,MATCH(B348,KidIDs,0))</f>
        <v>0</v>
      </c>
      <c r="Y348">
        <f>INDEX(ReachStudentTargets,MATCH(B348,KidIDs,0))</f>
        <v>0</v>
      </c>
      <c r="Z348">
        <f>IF(OR(M348="Posse"),1,0)</f>
        <v>0</v>
      </c>
      <c r="AA348">
        <f>IF(ISNUMBER(INDEX(AllCollegeGR, MATCH(N348,AllCollegeNCES,0))),ROUND(INDEX(AllCollegeGR, MATCH(N348,AllCollegeNCES,0))+Z348*IF(INDEX(AllCollegeGR, MATCH(N348,AllCollegeNCES,0))&gt;0.7,(1-INDEX(AllCollegeGR, MATCH(N348,AllCollegeNCES,0)))/2,0.15),2),INDEX(AllCollegeGR, MATCH(N348,AllCollegeNCES,0)))</f>
        <v>0</v>
      </c>
      <c r="AB348">
        <f>IF(ISNUMBER(INDEX(AllCollegeAAHGR, MATCH(N348,AllCollegeNCES,0))),ROUND(INDEX(AllCollegeAAHGR, MATCH(N348,AllCollegeNCES,0))+Z348*IF(INDEX(AllCollegeAAHGR, MATCH(N348,AllCollegeNCES,0))&gt;0.7,(1-INDEX(AllCollegeAAHGR, MATCH(N348,AllCollegeNCES,0)))/2,0.15),2),INDEX(AllCollegeAAHGR, MATCH(N348,AllCollegeNCES,0)))</f>
        <v>0</v>
      </c>
      <c r="AC348">
        <f>IF(OR(W348="H",W348="B"),INDEX(AllCollegeSAT25, MATCH(N348,AllCollegeNCES,0)),INDEX(AllCollegeSAT50, MATCH(N348,AllCollegeNCES,0)))</f>
        <v>0</v>
      </c>
      <c r="AD348">
        <f>INDEX(CustomWeightsGPA,MATCH(W348&amp;":"&amp;N348,CustomWeightsIndex,0))</f>
        <v>0</v>
      </c>
      <c r="AE348">
        <f>INDEX(CustomWeightsSAT,MATCH(W348&amp;":"&amp;N348,CustomWeightsIndex,0))</f>
        <v>0</v>
      </c>
      <c r="AF348">
        <f>INDEX(CustomWeightsIntercept,MATCH(W348&amp;":"&amp;N348,CustomWeightsIndex,0))</f>
        <v>0</v>
      </c>
      <c r="AG348">
        <f>AD348*S348+AE348*T348+AF348</f>
        <v>0</v>
      </c>
      <c r="AH348">
        <f>INDEX(CoefficientsGPA,MATCH(W348&amp;":"&amp;R348,CoefficientsIndex,0))</f>
        <v>0</v>
      </c>
      <c r="AI348">
        <f>INDEX(CoefficientsSAT,MATCH(W348&amp;":"&amp;R348,CoefficientsIndex,0))</f>
        <v>0</v>
      </c>
      <c r="AJ348">
        <f>INDEX(CoefficientsIntercept,MATCH(W348&amp;":"&amp;R348,CoefficientsIndex,0))</f>
        <v>0</v>
      </c>
      <c r="AK348">
        <f>AH348*S348+(T348-AC348)*AI348+AJ348</f>
        <v>0</v>
      </c>
      <c r="AL348">
        <f>IF(ISNUMBER(AG348),AG348,AK348)</f>
        <v>0</v>
      </c>
      <c r="AM348">
        <f>IF(ISNUMBER(AL348),IF(ISNUMBER(AH348),IF(AND(AH348=1,AI348=1,AJ348=1),100,MIN(99,ROUND(100*EXP(AL348)/(1+EXP(AL348)),2))),MIN(99,ROUND(100*EXP(AL348)/(1+EXP(AL348)),2))),IF(ISTEXT(R348),IF(LEFT(R348,1)="2",100,"N/A"),"N/A"))</f>
        <v>0</v>
      </c>
      <c r="AN348">
        <f>IF(ISNUMBER(AM348),IF(AM348&gt;=99,IF(OR(U348=10,U348=11),MatchLabel,SureThingLabel),IF(AM348&gt;=95,SecureLabel,IF(AM348&gt;=80,SafetyLabel,IF(AM348&gt;=50,MatchLabel,IF(AM348&gt;=20,ReachLabel,IF(AM348&gt;=10,LongshotLabel,HailMaryLabel)))))),"Other")</f>
        <v>0</v>
      </c>
      <c r="AO348">
        <f>IF(OR(I348="accepted",I348="cond. accept",I348="summer admit"),IF(J348="yes","CHOICE!","Accepted!"),IF(I348="guar. transfer","Guar. Xfer",IF(I348="denied","Denied",IF(K348=1,"Waitlist",IF(L348=1,"Deferred",IF(G348="pending","Pending",IF(OR(G348="initial materials submitted",G348="mid-year submitted",G348="final submitted"),"Submitted",IF(H348="interest","Interest","?"))))))))</f>
        <v>0</v>
      </c>
      <c r="AP348">
        <f>IF(OR(AN348=ReachLabel,AN348=LongshotLabel,AN348=HailMaryLabel),1,0)</f>
        <v>0</v>
      </c>
      <c r="AQ348">
        <f>IF(OR(AP348=1,AN348=MatchLabel),1,0)</f>
        <v>0</v>
      </c>
      <c r="AR348">
        <f>IF(OR(AN348=MatchLabel,AN348=SafetyLabel,AN348=SecureLabel,AN348=SureThingLabel),1,0)</f>
        <v>0</v>
      </c>
      <c r="AS348">
        <f>IF(OR(W348="H",W348="B",W348="I",W348="M"),IF(ISNUMBER(AB348),ROUND(AB348,2),0),IF(ISNUMBER(AA348),ROUND(AA348,2),0))</f>
        <v>0</v>
      </c>
      <c r="AT348">
        <f>IF(AS348&gt;=X348,1,0)</f>
        <v>0</v>
      </c>
      <c r="AU348">
        <f>IF(AS348&gt;=Y348,1,0)</f>
        <v>0</v>
      </c>
      <c r="AV348">
        <f>IF(AS348&lt;(X348-0.10),1,0)</f>
        <v>0</v>
      </c>
      <c r="AW348">
        <f>1-AM348/100</f>
        <v>0</v>
      </c>
      <c r="AX348">
        <f>IF(AQ348=1,AW348,1)</f>
        <v>0</v>
      </c>
      <c r="AY348">
        <f>IF(AP348=1,AW348,1)</f>
        <v>0</v>
      </c>
      <c r="AZ348">
        <f>IF(AND(AT348=1,ISNUMBER(AW348)),$AW348,1)</f>
        <v>0</v>
      </c>
      <c r="BA348">
        <f>IF(AND(AU348=1,ISNUMBER(AW348)),$AW348,1)</f>
        <v>0</v>
      </c>
      <c r="BB348">
        <f>IF(ISNUMBER(AB348),INDEX(AllCollegeMoney, MATCH(N348,AllCollegeNCES,0)),0)</f>
        <v>0</v>
      </c>
      <c r="BC348">
        <f>IF(AND(AT348=1,ISNUMBER(AW348),BB348=1),$AW348,1)</f>
        <v>0</v>
      </c>
      <c r="BD348">
        <f>IF(AND(AU348=1,ISNUMBER(AW348),BB348=1),$AW348,1)</f>
        <v>0</v>
      </c>
      <c r="BE348">
        <f>IF(ISNUMBER(AB348),INDEX(AllCollegeILPub, MATCH(N348,AllCollegeNCES,0)),0)</f>
        <v>0</v>
      </c>
      <c r="BF348">
        <f>IF(AN348=ReachLabel,AS348,0)</f>
        <v>0</v>
      </c>
      <c r="BG348">
        <f>IF(AN348=MatchLabel,AS348,0)</f>
        <v>0</v>
      </c>
      <c r="BH348">
        <f>IF(AN348=SafetyLabel,AS348,0)</f>
        <v>0</v>
      </c>
      <c r="BI348">
        <f>IF(AN348=SecureLabel,AS348,0)</f>
        <v>0</v>
      </c>
      <c r="BJ348">
        <f>IF(AN348=SureThingLabel,AS348,0)</f>
        <v>0</v>
      </c>
      <c r="BK348">
        <f>MAX(BF348:BJ348)</f>
        <v>0</v>
      </c>
      <c r="BL348">
        <f>MAX(BG348:BJ348)</f>
        <v>0</v>
      </c>
      <c r="BM348">
        <f>MAX(BH348:BJ348)</f>
        <v>0</v>
      </c>
      <c r="BN348">
        <f>IF(AND(AN348=ReachLabel,BB348=1),AS348,0)</f>
        <v>0</v>
      </c>
      <c r="BO348">
        <f>IF(AND(AN348=MatchLabel,BB348=1),AS348,0)</f>
        <v>0</v>
      </c>
      <c r="BP348">
        <f>IF(AND(AN348=SafetyLabel,BB348=1),AS348,0)</f>
        <v>0</v>
      </c>
      <c r="BQ348">
        <f>IF(AND(AN348=SecureLabel,BB348=1),AS348,0)</f>
        <v>0</v>
      </c>
      <c r="BR348">
        <f>IF(AND(AN348=SureThingLabel,BB348=1),AS348,0)</f>
        <v>0</v>
      </c>
      <c r="BS348">
        <f>MAX(BN348:BR348)</f>
        <v>0</v>
      </c>
      <c r="BT348">
        <f>MAX(BO348:BR348)</f>
        <v>0</v>
      </c>
      <c r="BU348">
        <f>MAX(BP348:BR348)</f>
        <v>0</v>
      </c>
      <c r="BV348">
        <f>IF(ISNUMBER(AB348),INDEX(AllCollegeChicago, MATCH(N348,AllCollegeNCES,0))*BB348,0)</f>
        <v>0</v>
      </c>
      <c r="BW348">
        <f>IF(ISNUMBER(AB348),INDEX(AllCollegeMoneyCode, MATCH(N348,AllCollegeNCES,0)),"?")</f>
        <v>0</v>
      </c>
      <c r="BX348">
        <f>IF(OR(BW348="---",BW348="--",BW348="+/--",BW348="+/---"),1,0)</f>
        <v>0</v>
      </c>
      <c r="BY348">
        <f>BB348*AR348*AT348</f>
        <v>0</v>
      </c>
    </row>
    <row r="349" spans="1:77">
      <c r="A349" t="s">
        <v>96</v>
      </c>
      <c r="B349">
        <v>23207329</v>
      </c>
      <c r="C349" t="s">
        <v>121</v>
      </c>
      <c r="D349" t="s">
        <v>122</v>
      </c>
      <c r="E349" t="s">
        <v>446</v>
      </c>
      <c r="F349" t="s">
        <v>472</v>
      </c>
      <c r="G349" t="s">
        <v>448</v>
      </c>
      <c r="H349" t="s">
        <v>449</v>
      </c>
      <c r="I349" t="s">
        <v>450</v>
      </c>
      <c r="J349" t="s">
        <v>450</v>
      </c>
      <c r="K349">
        <v>0</v>
      </c>
      <c r="L349" t="s">
        <v>446</v>
      </c>
      <c r="M349" t="s">
        <v>446</v>
      </c>
      <c r="N349">
        <v>212674</v>
      </c>
      <c r="O349">
        <f>INDEX(Counselor,MATCH(B349,KidIDs,0))</f>
        <v>0</v>
      </c>
      <c r="P349">
        <f>INDEX(Advisors,MATCH(B349,KidIDs,0))</f>
        <v>0</v>
      </c>
      <c r="Q349">
        <f>INDEX(Cohort,MATCH(B349,KidIDs,0))</f>
        <v>0</v>
      </c>
      <c r="R349">
        <f>INDEX(AllCollegeBarrons,MATCH(N349,AllCollegeNCES,0))</f>
        <v>0</v>
      </c>
      <c r="S349">
        <f>INDEX(KidGPAs,MATCH(B349,KidIDs,0))</f>
        <v>0</v>
      </c>
      <c r="T349">
        <f>INDEX(KidSATs,MATCH(B349,KidIDs,0))</f>
        <v>0</v>
      </c>
      <c r="U349">
        <f>INDEX(Strats,MATCH(B349,KidIDs,0))</f>
        <v>0</v>
      </c>
      <c r="V349">
        <f>INDEX(KidRace,MATCH(B349,KidIDs,0))</f>
        <v>0</v>
      </c>
      <c r="W349">
        <f>IF(OR(V349="M",V349="I"),"H",IF(V349="P","A",V349))</f>
        <v>0</v>
      </c>
      <c r="X349">
        <f>INDEX(StudentTargets,MATCH(B349,KidIDs,0))</f>
        <v>0</v>
      </c>
      <c r="Y349">
        <f>INDEX(ReachStudentTargets,MATCH(B349,KidIDs,0))</f>
        <v>0</v>
      </c>
      <c r="Z349">
        <f>IF(OR(M349="Posse"),1,0)</f>
        <v>0</v>
      </c>
      <c r="AA349">
        <f>IF(ISNUMBER(INDEX(AllCollegeGR, MATCH(N349,AllCollegeNCES,0))),ROUND(INDEX(AllCollegeGR, MATCH(N349,AllCollegeNCES,0))+Z349*IF(INDEX(AllCollegeGR, MATCH(N349,AllCollegeNCES,0))&gt;0.7,(1-INDEX(AllCollegeGR, MATCH(N349,AllCollegeNCES,0)))/2,0.15),2),INDEX(AllCollegeGR, MATCH(N349,AllCollegeNCES,0)))</f>
        <v>0</v>
      </c>
      <c r="AB349">
        <f>IF(ISNUMBER(INDEX(AllCollegeAAHGR, MATCH(N349,AllCollegeNCES,0))),ROUND(INDEX(AllCollegeAAHGR, MATCH(N349,AllCollegeNCES,0))+Z349*IF(INDEX(AllCollegeAAHGR, MATCH(N349,AllCollegeNCES,0))&gt;0.7,(1-INDEX(AllCollegeAAHGR, MATCH(N349,AllCollegeNCES,0)))/2,0.15),2),INDEX(AllCollegeAAHGR, MATCH(N349,AllCollegeNCES,0)))</f>
        <v>0</v>
      </c>
      <c r="AC349">
        <f>IF(OR(W349="H",W349="B"),INDEX(AllCollegeSAT25, MATCH(N349,AllCollegeNCES,0)),INDEX(AllCollegeSAT50, MATCH(N349,AllCollegeNCES,0)))</f>
        <v>0</v>
      </c>
      <c r="AD349">
        <f>INDEX(CustomWeightsGPA,MATCH(W349&amp;":"&amp;N349,CustomWeightsIndex,0))</f>
        <v>0</v>
      </c>
      <c r="AE349">
        <f>INDEX(CustomWeightsSAT,MATCH(W349&amp;":"&amp;N349,CustomWeightsIndex,0))</f>
        <v>0</v>
      </c>
      <c r="AF349">
        <f>INDEX(CustomWeightsIntercept,MATCH(W349&amp;":"&amp;N349,CustomWeightsIndex,0))</f>
        <v>0</v>
      </c>
      <c r="AG349">
        <f>AD349*S349+AE349*T349+AF349</f>
        <v>0</v>
      </c>
      <c r="AH349">
        <f>INDEX(CoefficientsGPA,MATCH(W349&amp;":"&amp;R349,CoefficientsIndex,0))</f>
        <v>0</v>
      </c>
      <c r="AI349">
        <f>INDEX(CoefficientsSAT,MATCH(W349&amp;":"&amp;R349,CoefficientsIndex,0))</f>
        <v>0</v>
      </c>
      <c r="AJ349">
        <f>INDEX(CoefficientsIntercept,MATCH(W349&amp;":"&amp;R349,CoefficientsIndex,0))</f>
        <v>0</v>
      </c>
      <c r="AK349">
        <f>AH349*S349+(T349-AC349)*AI349+AJ349</f>
        <v>0</v>
      </c>
      <c r="AL349">
        <f>IF(ISNUMBER(AG349),AG349,AK349)</f>
        <v>0</v>
      </c>
      <c r="AM349">
        <f>IF(ISNUMBER(AL349),IF(ISNUMBER(AH349),IF(AND(AH349=1,AI349=1,AJ349=1),100,MIN(99,ROUND(100*EXP(AL349)/(1+EXP(AL349)),2))),MIN(99,ROUND(100*EXP(AL349)/(1+EXP(AL349)),2))),IF(ISTEXT(R349),IF(LEFT(R349,1)="2",100,"N/A"),"N/A"))</f>
        <v>0</v>
      </c>
      <c r="AN349">
        <f>IF(ISNUMBER(AM349),IF(AM349&gt;=99,IF(OR(U349=10,U349=11),MatchLabel,SureThingLabel),IF(AM349&gt;=95,SecureLabel,IF(AM349&gt;=80,SafetyLabel,IF(AM349&gt;=50,MatchLabel,IF(AM349&gt;=20,ReachLabel,IF(AM349&gt;=10,LongshotLabel,HailMaryLabel)))))),"Other")</f>
        <v>0</v>
      </c>
      <c r="AO349">
        <f>IF(OR(I349="accepted",I349="cond. accept",I349="summer admit"),IF(J349="yes","CHOICE!","Accepted!"),IF(I349="guar. transfer","Guar. Xfer",IF(I349="denied","Denied",IF(K349=1,"Waitlist",IF(L349=1,"Deferred",IF(G349="pending","Pending",IF(OR(G349="initial materials submitted",G349="mid-year submitted",G349="final submitted"),"Submitted",IF(H349="interest","Interest","?"))))))))</f>
        <v>0</v>
      </c>
      <c r="AP349">
        <f>IF(OR(AN349=ReachLabel,AN349=LongshotLabel,AN349=HailMaryLabel),1,0)</f>
        <v>0</v>
      </c>
      <c r="AQ349">
        <f>IF(OR(AP349=1,AN349=MatchLabel),1,0)</f>
        <v>0</v>
      </c>
      <c r="AR349">
        <f>IF(OR(AN349=MatchLabel,AN349=SafetyLabel,AN349=SecureLabel,AN349=SureThingLabel),1,0)</f>
        <v>0</v>
      </c>
      <c r="AS349">
        <f>IF(OR(W349="H",W349="B",W349="I",W349="M"),IF(ISNUMBER(AB349),ROUND(AB349,2),0),IF(ISNUMBER(AA349),ROUND(AA349,2),0))</f>
        <v>0</v>
      </c>
      <c r="AT349">
        <f>IF(AS349&gt;=X349,1,0)</f>
        <v>0</v>
      </c>
      <c r="AU349">
        <f>IF(AS349&gt;=Y349,1,0)</f>
        <v>0</v>
      </c>
      <c r="AV349">
        <f>IF(AS349&lt;(X349-0.10),1,0)</f>
        <v>0</v>
      </c>
      <c r="AW349">
        <f>1-AM349/100</f>
        <v>0</v>
      </c>
      <c r="AX349">
        <f>IF(AQ349=1,AW349,1)</f>
        <v>0</v>
      </c>
      <c r="AY349">
        <f>IF(AP349=1,AW349,1)</f>
        <v>0</v>
      </c>
      <c r="AZ349">
        <f>IF(AND(AT349=1,ISNUMBER(AW349)),$AW349,1)</f>
        <v>0</v>
      </c>
      <c r="BA349">
        <f>IF(AND(AU349=1,ISNUMBER(AW349)),$AW349,1)</f>
        <v>0</v>
      </c>
      <c r="BB349">
        <f>IF(ISNUMBER(AB349),INDEX(AllCollegeMoney, MATCH(N349,AllCollegeNCES,0)),0)</f>
        <v>0</v>
      </c>
      <c r="BC349">
        <f>IF(AND(AT349=1,ISNUMBER(AW349),BB349=1),$AW349,1)</f>
        <v>0</v>
      </c>
      <c r="BD349">
        <f>IF(AND(AU349=1,ISNUMBER(AW349),BB349=1),$AW349,1)</f>
        <v>0</v>
      </c>
      <c r="BE349">
        <f>IF(ISNUMBER(AB349),INDEX(AllCollegeILPub, MATCH(N349,AllCollegeNCES,0)),0)</f>
        <v>0</v>
      </c>
      <c r="BF349">
        <f>IF(AN349=ReachLabel,AS349,0)</f>
        <v>0</v>
      </c>
      <c r="BG349">
        <f>IF(AN349=MatchLabel,AS349,0)</f>
        <v>0</v>
      </c>
      <c r="BH349">
        <f>IF(AN349=SafetyLabel,AS349,0)</f>
        <v>0</v>
      </c>
      <c r="BI349">
        <f>IF(AN349=SecureLabel,AS349,0)</f>
        <v>0</v>
      </c>
      <c r="BJ349">
        <f>IF(AN349=SureThingLabel,AS349,0)</f>
        <v>0</v>
      </c>
      <c r="BK349">
        <f>MAX(BF349:BJ349)</f>
        <v>0</v>
      </c>
      <c r="BL349">
        <f>MAX(BG349:BJ349)</f>
        <v>0</v>
      </c>
      <c r="BM349">
        <f>MAX(BH349:BJ349)</f>
        <v>0</v>
      </c>
      <c r="BN349">
        <f>IF(AND(AN349=ReachLabel,BB349=1),AS349,0)</f>
        <v>0</v>
      </c>
      <c r="BO349">
        <f>IF(AND(AN349=MatchLabel,BB349=1),AS349,0)</f>
        <v>0</v>
      </c>
      <c r="BP349">
        <f>IF(AND(AN349=SafetyLabel,BB349=1),AS349,0)</f>
        <v>0</v>
      </c>
      <c r="BQ349">
        <f>IF(AND(AN349=SecureLabel,BB349=1),AS349,0)</f>
        <v>0</v>
      </c>
      <c r="BR349">
        <f>IF(AND(AN349=SureThingLabel,BB349=1),AS349,0)</f>
        <v>0</v>
      </c>
      <c r="BS349">
        <f>MAX(BN349:BR349)</f>
        <v>0</v>
      </c>
      <c r="BT349">
        <f>MAX(BO349:BR349)</f>
        <v>0</v>
      </c>
      <c r="BU349">
        <f>MAX(BP349:BR349)</f>
        <v>0</v>
      </c>
      <c r="BV349">
        <f>IF(ISNUMBER(AB349),INDEX(AllCollegeChicago, MATCH(N349,AllCollegeNCES,0))*BB349,0)</f>
        <v>0</v>
      </c>
      <c r="BW349">
        <f>IF(ISNUMBER(AB349),INDEX(AllCollegeMoneyCode, MATCH(N349,AllCollegeNCES,0)),"?")</f>
        <v>0</v>
      </c>
      <c r="BX349">
        <f>IF(OR(BW349="---",BW349="--",BW349="+/--",BW349="+/---"),1,0)</f>
        <v>0</v>
      </c>
      <c r="BY349">
        <f>BB349*AR349*AT349</f>
        <v>0</v>
      </c>
    </row>
    <row r="350" spans="1:77">
      <c r="A350" t="s">
        <v>96</v>
      </c>
      <c r="B350">
        <v>23207329</v>
      </c>
      <c r="C350" t="s">
        <v>121</v>
      </c>
      <c r="D350" t="s">
        <v>122</v>
      </c>
      <c r="E350" t="s">
        <v>446</v>
      </c>
      <c r="F350" t="s">
        <v>487</v>
      </c>
      <c r="G350" t="s">
        <v>448</v>
      </c>
      <c r="H350" t="s">
        <v>449</v>
      </c>
      <c r="I350" t="s">
        <v>450</v>
      </c>
      <c r="J350" t="s">
        <v>450</v>
      </c>
      <c r="K350">
        <v>0</v>
      </c>
      <c r="L350" t="s">
        <v>446</v>
      </c>
      <c r="M350" t="s">
        <v>446</v>
      </c>
      <c r="N350">
        <v>174844</v>
      </c>
      <c r="O350">
        <f>INDEX(Counselor,MATCH(B350,KidIDs,0))</f>
        <v>0</v>
      </c>
      <c r="P350">
        <f>INDEX(Advisors,MATCH(B350,KidIDs,0))</f>
        <v>0</v>
      </c>
      <c r="Q350">
        <f>INDEX(Cohort,MATCH(B350,KidIDs,0))</f>
        <v>0</v>
      </c>
      <c r="R350">
        <f>INDEX(AllCollegeBarrons,MATCH(N350,AllCollegeNCES,0))</f>
        <v>0</v>
      </c>
      <c r="S350">
        <f>INDEX(KidGPAs,MATCH(B350,KidIDs,0))</f>
        <v>0</v>
      </c>
      <c r="T350">
        <f>INDEX(KidSATs,MATCH(B350,KidIDs,0))</f>
        <v>0</v>
      </c>
      <c r="U350">
        <f>INDEX(Strats,MATCH(B350,KidIDs,0))</f>
        <v>0</v>
      </c>
      <c r="V350">
        <f>INDEX(KidRace,MATCH(B350,KidIDs,0))</f>
        <v>0</v>
      </c>
      <c r="W350">
        <f>IF(OR(V350="M",V350="I"),"H",IF(V350="P","A",V350))</f>
        <v>0</v>
      </c>
      <c r="X350">
        <f>INDEX(StudentTargets,MATCH(B350,KidIDs,0))</f>
        <v>0</v>
      </c>
      <c r="Y350">
        <f>INDEX(ReachStudentTargets,MATCH(B350,KidIDs,0))</f>
        <v>0</v>
      </c>
      <c r="Z350">
        <f>IF(OR(M350="Posse"),1,0)</f>
        <v>0</v>
      </c>
      <c r="AA350">
        <f>IF(ISNUMBER(INDEX(AllCollegeGR, MATCH(N350,AllCollegeNCES,0))),ROUND(INDEX(AllCollegeGR, MATCH(N350,AllCollegeNCES,0))+Z350*IF(INDEX(AllCollegeGR, MATCH(N350,AllCollegeNCES,0))&gt;0.7,(1-INDEX(AllCollegeGR, MATCH(N350,AllCollegeNCES,0)))/2,0.15),2),INDEX(AllCollegeGR, MATCH(N350,AllCollegeNCES,0)))</f>
        <v>0</v>
      </c>
      <c r="AB350">
        <f>IF(ISNUMBER(INDEX(AllCollegeAAHGR, MATCH(N350,AllCollegeNCES,0))),ROUND(INDEX(AllCollegeAAHGR, MATCH(N350,AllCollegeNCES,0))+Z350*IF(INDEX(AllCollegeAAHGR, MATCH(N350,AllCollegeNCES,0))&gt;0.7,(1-INDEX(AllCollegeAAHGR, MATCH(N350,AllCollegeNCES,0)))/2,0.15),2),INDEX(AllCollegeAAHGR, MATCH(N350,AllCollegeNCES,0)))</f>
        <v>0</v>
      </c>
      <c r="AC350">
        <f>IF(OR(W350="H",W350="B"),INDEX(AllCollegeSAT25, MATCH(N350,AllCollegeNCES,0)),INDEX(AllCollegeSAT50, MATCH(N350,AllCollegeNCES,0)))</f>
        <v>0</v>
      </c>
      <c r="AD350">
        <f>INDEX(CustomWeightsGPA,MATCH(W350&amp;":"&amp;N350,CustomWeightsIndex,0))</f>
        <v>0</v>
      </c>
      <c r="AE350">
        <f>INDEX(CustomWeightsSAT,MATCH(W350&amp;":"&amp;N350,CustomWeightsIndex,0))</f>
        <v>0</v>
      </c>
      <c r="AF350">
        <f>INDEX(CustomWeightsIntercept,MATCH(W350&amp;":"&amp;N350,CustomWeightsIndex,0))</f>
        <v>0</v>
      </c>
      <c r="AG350">
        <f>AD350*S350+AE350*T350+AF350</f>
        <v>0</v>
      </c>
      <c r="AH350">
        <f>INDEX(CoefficientsGPA,MATCH(W350&amp;":"&amp;R350,CoefficientsIndex,0))</f>
        <v>0</v>
      </c>
      <c r="AI350">
        <f>INDEX(CoefficientsSAT,MATCH(W350&amp;":"&amp;R350,CoefficientsIndex,0))</f>
        <v>0</v>
      </c>
      <c r="AJ350">
        <f>INDEX(CoefficientsIntercept,MATCH(W350&amp;":"&amp;R350,CoefficientsIndex,0))</f>
        <v>0</v>
      </c>
      <c r="AK350">
        <f>AH350*S350+(T350-AC350)*AI350+AJ350</f>
        <v>0</v>
      </c>
      <c r="AL350">
        <f>IF(ISNUMBER(AG350),AG350,AK350)</f>
        <v>0</v>
      </c>
      <c r="AM350">
        <f>IF(ISNUMBER(AL350),IF(ISNUMBER(AH350),IF(AND(AH350=1,AI350=1,AJ350=1),100,MIN(99,ROUND(100*EXP(AL350)/(1+EXP(AL350)),2))),MIN(99,ROUND(100*EXP(AL350)/(1+EXP(AL350)),2))),IF(ISTEXT(R350),IF(LEFT(R350,1)="2",100,"N/A"),"N/A"))</f>
        <v>0</v>
      </c>
      <c r="AN350">
        <f>IF(ISNUMBER(AM350),IF(AM350&gt;=99,IF(OR(U350=10,U350=11),MatchLabel,SureThingLabel),IF(AM350&gt;=95,SecureLabel,IF(AM350&gt;=80,SafetyLabel,IF(AM350&gt;=50,MatchLabel,IF(AM350&gt;=20,ReachLabel,IF(AM350&gt;=10,LongshotLabel,HailMaryLabel)))))),"Other")</f>
        <v>0</v>
      </c>
      <c r="AO350">
        <f>IF(OR(I350="accepted",I350="cond. accept",I350="summer admit"),IF(J350="yes","CHOICE!","Accepted!"),IF(I350="guar. transfer","Guar. Xfer",IF(I350="denied","Denied",IF(K350=1,"Waitlist",IF(L350=1,"Deferred",IF(G350="pending","Pending",IF(OR(G350="initial materials submitted",G350="mid-year submitted",G350="final submitted"),"Submitted",IF(H350="interest","Interest","?"))))))))</f>
        <v>0</v>
      </c>
      <c r="AP350">
        <f>IF(OR(AN350=ReachLabel,AN350=LongshotLabel,AN350=HailMaryLabel),1,0)</f>
        <v>0</v>
      </c>
      <c r="AQ350">
        <f>IF(OR(AP350=1,AN350=MatchLabel),1,0)</f>
        <v>0</v>
      </c>
      <c r="AR350">
        <f>IF(OR(AN350=MatchLabel,AN350=SafetyLabel,AN350=SecureLabel,AN350=SureThingLabel),1,0)</f>
        <v>0</v>
      </c>
      <c r="AS350">
        <f>IF(OR(W350="H",W350="B",W350="I",W350="M"),IF(ISNUMBER(AB350),ROUND(AB350,2),0),IF(ISNUMBER(AA350),ROUND(AA350,2),0))</f>
        <v>0</v>
      </c>
      <c r="AT350">
        <f>IF(AS350&gt;=X350,1,0)</f>
        <v>0</v>
      </c>
      <c r="AU350">
        <f>IF(AS350&gt;=Y350,1,0)</f>
        <v>0</v>
      </c>
      <c r="AV350">
        <f>IF(AS350&lt;(X350-0.10),1,0)</f>
        <v>0</v>
      </c>
      <c r="AW350">
        <f>1-AM350/100</f>
        <v>0</v>
      </c>
      <c r="AX350">
        <f>IF(AQ350=1,AW350,1)</f>
        <v>0</v>
      </c>
      <c r="AY350">
        <f>IF(AP350=1,AW350,1)</f>
        <v>0</v>
      </c>
      <c r="AZ350">
        <f>IF(AND(AT350=1,ISNUMBER(AW350)),$AW350,1)</f>
        <v>0</v>
      </c>
      <c r="BA350">
        <f>IF(AND(AU350=1,ISNUMBER(AW350)),$AW350,1)</f>
        <v>0</v>
      </c>
      <c r="BB350">
        <f>IF(ISNUMBER(AB350),INDEX(AllCollegeMoney, MATCH(N350,AllCollegeNCES,0)),0)</f>
        <v>0</v>
      </c>
      <c r="BC350">
        <f>IF(AND(AT350=1,ISNUMBER(AW350),BB350=1),$AW350,1)</f>
        <v>0</v>
      </c>
      <c r="BD350">
        <f>IF(AND(AU350=1,ISNUMBER(AW350),BB350=1),$AW350,1)</f>
        <v>0</v>
      </c>
      <c r="BE350">
        <f>IF(ISNUMBER(AB350),INDEX(AllCollegeILPub, MATCH(N350,AllCollegeNCES,0)),0)</f>
        <v>0</v>
      </c>
      <c r="BF350">
        <f>IF(AN350=ReachLabel,AS350,0)</f>
        <v>0</v>
      </c>
      <c r="BG350">
        <f>IF(AN350=MatchLabel,AS350,0)</f>
        <v>0</v>
      </c>
      <c r="BH350">
        <f>IF(AN350=SafetyLabel,AS350,0)</f>
        <v>0</v>
      </c>
      <c r="BI350">
        <f>IF(AN350=SecureLabel,AS350,0)</f>
        <v>0</v>
      </c>
      <c r="BJ350">
        <f>IF(AN350=SureThingLabel,AS350,0)</f>
        <v>0</v>
      </c>
      <c r="BK350">
        <f>MAX(BF350:BJ350)</f>
        <v>0</v>
      </c>
      <c r="BL350">
        <f>MAX(BG350:BJ350)</f>
        <v>0</v>
      </c>
      <c r="BM350">
        <f>MAX(BH350:BJ350)</f>
        <v>0</v>
      </c>
      <c r="BN350">
        <f>IF(AND(AN350=ReachLabel,BB350=1),AS350,0)</f>
        <v>0</v>
      </c>
      <c r="BO350">
        <f>IF(AND(AN350=MatchLabel,BB350=1),AS350,0)</f>
        <v>0</v>
      </c>
      <c r="BP350">
        <f>IF(AND(AN350=SafetyLabel,BB350=1),AS350,0)</f>
        <v>0</v>
      </c>
      <c r="BQ350">
        <f>IF(AND(AN350=SecureLabel,BB350=1),AS350,0)</f>
        <v>0</v>
      </c>
      <c r="BR350">
        <f>IF(AND(AN350=SureThingLabel,BB350=1),AS350,0)</f>
        <v>0</v>
      </c>
      <c r="BS350">
        <f>MAX(BN350:BR350)</f>
        <v>0</v>
      </c>
      <c r="BT350">
        <f>MAX(BO350:BR350)</f>
        <v>0</v>
      </c>
      <c r="BU350">
        <f>MAX(BP350:BR350)</f>
        <v>0</v>
      </c>
      <c r="BV350">
        <f>IF(ISNUMBER(AB350),INDEX(AllCollegeChicago, MATCH(N350,AllCollegeNCES,0))*BB350,0)</f>
        <v>0</v>
      </c>
      <c r="BW350">
        <f>IF(ISNUMBER(AB350),INDEX(AllCollegeMoneyCode, MATCH(N350,AllCollegeNCES,0)),"?")</f>
        <v>0</v>
      </c>
      <c r="BX350">
        <f>IF(OR(BW350="---",BW350="--",BW350="+/--",BW350="+/---"),1,0)</f>
        <v>0</v>
      </c>
      <c r="BY350">
        <f>BB350*AR350*AT350</f>
        <v>0</v>
      </c>
    </row>
    <row r="351" spans="1:77">
      <c r="A351" t="s">
        <v>96</v>
      </c>
      <c r="B351">
        <v>23207329</v>
      </c>
      <c r="C351" t="s">
        <v>121</v>
      </c>
      <c r="D351" t="s">
        <v>122</v>
      </c>
      <c r="E351" t="s">
        <v>446</v>
      </c>
      <c r="F351" t="s">
        <v>475</v>
      </c>
      <c r="G351" t="s">
        <v>448</v>
      </c>
      <c r="H351" t="s">
        <v>449</v>
      </c>
      <c r="I351" t="s">
        <v>450</v>
      </c>
      <c r="J351" t="s">
        <v>450</v>
      </c>
      <c r="K351">
        <v>0</v>
      </c>
      <c r="L351" t="s">
        <v>446</v>
      </c>
      <c r="M351" t="s">
        <v>446</v>
      </c>
      <c r="N351">
        <v>145637</v>
      </c>
      <c r="O351">
        <f>INDEX(Counselor,MATCH(B351,KidIDs,0))</f>
        <v>0</v>
      </c>
      <c r="P351">
        <f>INDEX(Advisors,MATCH(B351,KidIDs,0))</f>
        <v>0</v>
      </c>
      <c r="Q351">
        <f>INDEX(Cohort,MATCH(B351,KidIDs,0))</f>
        <v>0</v>
      </c>
      <c r="R351">
        <f>INDEX(AllCollegeBarrons,MATCH(N351,AllCollegeNCES,0))</f>
        <v>0</v>
      </c>
      <c r="S351">
        <f>INDEX(KidGPAs,MATCH(B351,KidIDs,0))</f>
        <v>0</v>
      </c>
      <c r="T351">
        <f>INDEX(KidSATs,MATCH(B351,KidIDs,0))</f>
        <v>0</v>
      </c>
      <c r="U351">
        <f>INDEX(Strats,MATCH(B351,KidIDs,0))</f>
        <v>0</v>
      </c>
      <c r="V351">
        <f>INDEX(KidRace,MATCH(B351,KidIDs,0))</f>
        <v>0</v>
      </c>
      <c r="W351">
        <f>IF(OR(V351="M",V351="I"),"H",IF(V351="P","A",V351))</f>
        <v>0</v>
      </c>
      <c r="X351">
        <f>INDEX(StudentTargets,MATCH(B351,KidIDs,0))</f>
        <v>0</v>
      </c>
      <c r="Y351">
        <f>INDEX(ReachStudentTargets,MATCH(B351,KidIDs,0))</f>
        <v>0</v>
      </c>
      <c r="Z351">
        <f>IF(OR(M351="Posse"),1,0)</f>
        <v>0</v>
      </c>
      <c r="AA351">
        <f>IF(ISNUMBER(INDEX(AllCollegeGR, MATCH(N351,AllCollegeNCES,0))),ROUND(INDEX(AllCollegeGR, MATCH(N351,AllCollegeNCES,0))+Z351*IF(INDEX(AllCollegeGR, MATCH(N351,AllCollegeNCES,0))&gt;0.7,(1-INDEX(AllCollegeGR, MATCH(N351,AllCollegeNCES,0)))/2,0.15),2),INDEX(AllCollegeGR, MATCH(N351,AllCollegeNCES,0)))</f>
        <v>0</v>
      </c>
      <c r="AB351">
        <f>IF(ISNUMBER(INDEX(AllCollegeAAHGR, MATCH(N351,AllCollegeNCES,0))),ROUND(INDEX(AllCollegeAAHGR, MATCH(N351,AllCollegeNCES,0))+Z351*IF(INDEX(AllCollegeAAHGR, MATCH(N351,AllCollegeNCES,0))&gt;0.7,(1-INDEX(AllCollegeAAHGR, MATCH(N351,AllCollegeNCES,0)))/2,0.15),2),INDEX(AllCollegeAAHGR, MATCH(N351,AllCollegeNCES,0)))</f>
        <v>0</v>
      </c>
      <c r="AC351">
        <f>IF(OR(W351="H",W351="B"),INDEX(AllCollegeSAT25, MATCH(N351,AllCollegeNCES,0)),INDEX(AllCollegeSAT50, MATCH(N351,AllCollegeNCES,0)))</f>
        <v>0</v>
      </c>
      <c r="AD351">
        <f>INDEX(CustomWeightsGPA,MATCH(W351&amp;":"&amp;N351,CustomWeightsIndex,0))</f>
        <v>0</v>
      </c>
      <c r="AE351">
        <f>INDEX(CustomWeightsSAT,MATCH(W351&amp;":"&amp;N351,CustomWeightsIndex,0))</f>
        <v>0</v>
      </c>
      <c r="AF351">
        <f>INDEX(CustomWeightsIntercept,MATCH(W351&amp;":"&amp;N351,CustomWeightsIndex,0))</f>
        <v>0</v>
      </c>
      <c r="AG351">
        <f>AD351*S351+AE351*T351+AF351</f>
        <v>0</v>
      </c>
      <c r="AH351">
        <f>INDEX(CoefficientsGPA,MATCH(W351&amp;":"&amp;R351,CoefficientsIndex,0))</f>
        <v>0</v>
      </c>
      <c r="AI351">
        <f>INDEX(CoefficientsSAT,MATCH(W351&amp;":"&amp;R351,CoefficientsIndex,0))</f>
        <v>0</v>
      </c>
      <c r="AJ351">
        <f>INDEX(CoefficientsIntercept,MATCH(W351&amp;":"&amp;R351,CoefficientsIndex,0))</f>
        <v>0</v>
      </c>
      <c r="AK351">
        <f>AH351*S351+(T351-AC351)*AI351+AJ351</f>
        <v>0</v>
      </c>
      <c r="AL351">
        <f>IF(ISNUMBER(AG351),AG351,AK351)</f>
        <v>0</v>
      </c>
      <c r="AM351">
        <f>IF(ISNUMBER(AL351),IF(ISNUMBER(AH351),IF(AND(AH351=1,AI351=1,AJ351=1),100,MIN(99,ROUND(100*EXP(AL351)/(1+EXP(AL351)),2))),MIN(99,ROUND(100*EXP(AL351)/(1+EXP(AL351)),2))),IF(ISTEXT(R351),IF(LEFT(R351,1)="2",100,"N/A"),"N/A"))</f>
        <v>0</v>
      </c>
      <c r="AN351">
        <f>IF(ISNUMBER(AM351),IF(AM351&gt;=99,IF(OR(U351=10,U351=11),MatchLabel,SureThingLabel),IF(AM351&gt;=95,SecureLabel,IF(AM351&gt;=80,SafetyLabel,IF(AM351&gt;=50,MatchLabel,IF(AM351&gt;=20,ReachLabel,IF(AM351&gt;=10,LongshotLabel,HailMaryLabel)))))),"Other")</f>
        <v>0</v>
      </c>
      <c r="AO351">
        <f>IF(OR(I351="accepted",I351="cond. accept",I351="summer admit"),IF(J351="yes","CHOICE!","Accepted!"),IF(I351="guar. transfer","Guar. Xfer",IF(I351="denied","Denied",IF(K351=1,"Waitlist",IF(L351=1,"Deferred",IF(G351="pending","Pending",IF(OR(G351="initial materials submitted",G351="mid-year submitted",G351="final submitted"),"Submitted",IF(H351="interest","Interest","?"))))))))</f>
        <v>0</v>
      </c>
      <c r="AP351">
        <f>IF(OR(AN351=ReachLabel,AN351=LongshotLabel,AN351=HailMaryLabel),1,0)</f>
        <v>0</v>
      </c>
      <c r="AQ351">
        <f>IF(OR(AP351=1,AN351=MatchLabel),1,0)</f>
        <v>0</v>
      </c>
      <c r="AR351">
        <f>IF(OR(AN351=MatchLabel,AN351=SafetyLabel,AN351=SecureLabel,AN351=SureThingLabel),1,0)</f>
        <v>0</v>
      </c>
      <c r="AS351">
        <f>IF(OR(W351="H",W351="B",W351="I",W351="M"),IF(ISNUMBER(AB351),ROUND(AB351,2),0),IF(ISNUMBER(AA351),ROUND(AA351,2),0))</f>
        <v>0</v>
      </c>
      <c r="AT351">
        <f>IF(AS351&gt;=X351,1,0)</f>
        <v>0</v>
      </c>
      <c r="AU351">
        <f>IF(AS351&gt;=Y351,1,0)</f>
        <v>0</v>
      </c>
      <c r="AV351">
        <f>IF(AS351&lt;(X351-0.10),1,0)</f>
        <v>0</v>
      </c>
      <c r="AW351">
        <f>1-AM351/100</f>
        <v>0</v>
      </c>
      <c r="AX351">
        <f>IF(AQ351=1,AW351,1)</f>
        <v>0</v>
      </c>
      <c r="AY351">
        <f>IF(AP351=1,AW351,1)</f>
        <v>0</v>
      </c>
      <c r="AZ351">
        <f>IF(AND(AT351=1,ISNUMBER(AW351)),$AW351,1)</f>
        <v>0</v>
      </c>
      <c r="BA351">
        <f>IF(AND(AU351=1,ISNUMBER(AW351)),$AW351,1)</f>
        <v>0</v>
      </c>
      <c r="BB351">
        <f>IF(ISNUMBER(AB351),INDEX(AllCollegeMoney, MATCH(N351,AllCollegeNCES,0)),0)</f>
        <v>0</v>
      </c>
      <c r="BC351">
        <f>IF(AND(AT351=1,ISNUMBER(AW351),BB351=1),$AW351,1)</f>
        <v>0</v>
      </c>
      <c r="BD351">
        <f>IF(AND(AU351=1,ISNUMBER(AW351),BB351=1),$AW351,1)</f>
        <v>0</v>
      </c>
      <c r="BE351">
        <f>IF(ISNUMBER(AB351),INDEX(AllCollegeILPub, MATCH(N351,AllCollegeNCES,0)),0)</f>
        <v>0</v>
      </c>
      <c r="BF351">
        <f>IF(AN351=ReachLabel,AS351,0)</f>
        <v>0</v>
      </c>
      <c r="BG351">
        <f>IF(AN351=MatchLabel,AS351,0)</f>
        <v>0</v>
      </c>
      <c r="BH351">
        <f>IF(AN351=SafetyLabel,AS351,0)</f>
        <v>0</v>
      </c>
      <c r="BI351">
        <f>IF(AN351=SecureLabel,AS351,0)</f>
        <v>0</v>
      </c>
      <c r="BJ351">
        <f>IF(AN351=SureThingLabel,AS351,0)</f>
        <v>0</v>
      </c>
      <c r="BK351">
        <f>MAX(BF351:BJ351)</f>
        <v>0</v>
      </c>
      <c r="BL351">
        <f>MAX(BG351:BJ351)</f>
        <v>0</v>
      </c>
      <c r="BM351">
        <f>MAX(BH351:BJ351)</f>
        <v>0</v>
      </c>
      <c r="BN351">
        <f>IF(AND(AN351=ReachLabel,BB351=1),AS351,0)</f>
        <v>0</v>
      </c>
      <c r="BO351">
        <f>IF(AND(AN351=MatchLabel,BB351=1),AS351,0)</f>
        <v>0</v>
      </c>
      <c r="BP351">
        <f>IF(AND(AN351=SafetyLabel,BB351=1),AS351,0)</f>
        <v>0</v>
      </c>
      <c r="BQ351">
        <f>IF(AND(AN351=SecureLabel,BB351=1),AS351,0)</f>
        <v>0</v>
      </c>
      <c r="BR351">
        <f>IF(AND(AN351=SureThingLabel,BB351=1),AS351,0)</f>
        <v>0</v>
      </c>
      <c r="BS351">
        <f>MAX(BN351:BR351)</f>
        <v>0</v>
      </c>
      <c r="BT351">
        <f>MAX(BO351:BR351)</f>
        <v>0</v>
      </c>
      <c r="BU351">
        <f>MAX(BP351:BR351)</f>
        <v>0</v>
      </c>
      <c r="BV351">
        <f>IF(ISNUMBER(AB351),INDEX(AllCollegeChicago, MATCH(N351,AllCollegeNCES,0))*BB351,0)</f>
        <v>0</v>
      </c>
      <c r="BW351">
        <f>IF(ISNUMBER(AB351),INDEX(AllCollegeMoneyCode, MATCH(N351,AllCollegeNCES,0)),"?")</f>
        <v>0</v>
      </c>
      <c r="BX351">
        <f>IF(OR(BW351="---",BW351="--",BW351="+/--",BW351="+/---"),1,0)</f>
        <v>0</v>
      </c>
      <c r="BY351">
        <f>BB351*AR351*AT351</f>
        <v>0</v>
      </c>
    </row>
    <row r="352" spans="1:77">
      <c r="A352" t="s">
        <v>96</v>
      </c>
      <c r="B352">
        <v>23207329</v>
      </c>
      <c r="C352" t="s">
        <v>121</v>
      </c>
      <c r="D352" t="s">
        <v>122</v>
      </c>
      <c r="E352" t="s">
        <v>446</v>
      </c>
      <c r="F352" t="s">
        <v>477</v>
      </c>
      <c r="G352" t="s">
        <v>448</v>
      </c>
      <c r="H352" t="s">
        <v>449</v>
      </c>
      <c r="I352" t="s">
        <v>450</v>
      </c>
      <c r="J352" t="s">
        <v>450</v>
      </c>
      <c r="K352">
        <v>0</v>
      </c>
      <c r="L352" t="s">
        <v>446</v>
      </c>
      <c r="M352" t="s">
        <v>446</v>
      </c>
      <c r="N352">
        <v>146427</v>
      </c>
      <c r="O352">
        <f>INDEX(Counselor,MATCH(B352,KidIDs,0))</f>
        <v>0</v>
      </c>
      <c r="P352">
        <f>INDEX(Advisors,MATCH(B352,KidIDs,0))</f>
        <v>0</v>
      </c>
      <c r="Q352">
        <f>INDEX(Cohort,MATCH(B352,KidIDs,0))</f>
        <v>0</v>
      </c>
      <c r="R352">
        <f>INDEX(AllCollegeBarrons,MATCH(N352,AllCollegeNCES,0))</f>
        <v>0</v>
      </c>
      <c r="S352">
        <f>INDEX(KidGPAs,MATCH(B352,KidIDs,0))</f>
        <v>0</v>
      </c>
      <c r="T352">
        <f>INDEX(KidSATs,MATCH(B352,KidIDs,0))</f>
        <v>0</v>
      </c>
      <c r="U352">
        <f>INDEX(Strats,MATCH(B352,KidIDs,0))</f>
        <v>0</v>
      </c>
      <c r="V352">
        <f>INDEX(KidRace,MATCH(B352,KidIDs,0))</f>
        <v>0</v>
      </c>
      <c r="W352">
        <f>IF(OR(V352="M",V352="I"),"H",IF(V352="P","A",V352))</f>
        <v>0</v>
      </c>
      <c r="X352">
        <f>INDEX(StudentTargets,MATCH(B352,KidIDs,0))</f>
        <v>0</v>
      </c>
      <c r="Y352">
        <f>INDEX(ReachStudentTargets,MATCH(B352,KidIDs,0))</f>
        <v>0</v>
      </c>
      <c r="Z352">
        <f>IF(OR(M352="Posse"),1,0)</f>
        <v>0</v>
      </c>
      <c r="AA352">
        <f>IF(ISNUMBER(INDEX(AllCollegeGR, MATCH(N352,AllCollegeNCES,0))),ROUND(INDEX(AllCollegeGR, MATCH(N352,AllCollegeNCES,0))+Z352*IF(INDEX(AllCollegeGR, MATCH(N352,AllCollegeNCES,0))&gt;0.7,(1-INDEX(AllCollegeGR, MATCH(N352,AllCollegeNCES,0)))/2,0.15),2),INDEX(AllCollegeGR, MATCH(N352,AllCollegeNCES,0)))</f>
        <v>0</v>
      </c>
      <c r="AB352">
        <f>IF(ISNUMBER(INDEX(AllCollegeAAHGR, MATCH(N352,AllCollegeNCES,0))),ROUND(INDEX(AllCollegeAAHGR, MATCH(N352,AllCollegeNCES,0))+Z352*IF(INDEX(AllCollegeAAHGR, MATCH(N352,AllCollegeNCES,0))&gt;0.7,(1-INDEX(AllCollegeAAHGR, MATCH(N352,AllCollegeNCES,0)))/2,0.15),2),INDEX(AllCollegeAAHGR, MATCH(N352,AllCollegeNCES,0)))</f>
        <v>0</v>
      </c>
      <c r="AC352">
        <f>IF(OR(W352="H",W352="B"),INDEX(AllCollegeSAT25, MATCH(N352,AllCollegeNCES,0)),INDEX(AllCollegeSAT50, MATCH(N352,AllCollegeNCES,0)))</f>
        <v>0</v>
      </c>
      <c r="AD352">
        <f>INDEX(CustomWeightsGPA,MATCH(W352&amp;":"&amp;N352,CustomWeightsIndex,0))</f>
        <v>0</v>
      </c>
      <c r="AE352">
        <f>INDEX(CustomWeightsSAT,MATCH(W352&amp;":"&amp;N352,CustomWeightsIndex,0))</f>
        <v>0</v>
      </c>
      <c r="AF352">
        <f>INDEX(CustomWeightsIntercept,MATCH(W352&amp;":"&amp;N352,CustomWeightsIndex,0))</f>
        <v>0</v>
      </c>
      <c r="AG352">
        <f>AD352*S352+AE352*T352+AF352</f>
        <v>0</v>
      </c>
      <c r="AH352">
        <f>INDEX(CoefficientsGPA,MATCH(W352&amp;":"&amp;R352,CoefficientsIndex,0))</f>
        <v>0</v>
      </c>
      <c r="AI352">
        <f>INDEX(CoefficientsSAT,MATCH(W352&amp;":"&amp;R352,CoefficientsIndex,0))</f>
        <v>0</v>
      </c>
      <c r="AJ352">
        <f>INDEX(CoefficientsIntercept,MATCH(W352&amp;":"&amp;R352,CoefficientsIndex,0))</f>
        <v>0</v>
      </c>
      <c r="AK352">
        <f>AH352*S352+(T352-AC352)*AI352+AJ352</f>
        <v>0</v>
      </c>
      <c r="AL352">
        <f>IF(ISNUMBER(AG352),AG352,AK352)</f>
        <v>0</v>
      </c>
      <c r="AM352">
        <f>IF(ISNUMBER(AL352),IF(ISNUMBER(AH352),IF(AND(AH352=1,AI352=1,AJ352=1),100,MIN(99,ROUND(100*EXP(AL352)/(1+EXP(AL352)),2))),MIN(99,ROUND(100*EXP(AL352)/(1+EXP(AL352)),2))),IF(ISTEXT(R352),IF(LEFT(R352,1)="2",100,"N/A"),"N/A"))</f>
        <v>0</v>
      </c>
      <c r="AN352">
        <f>IF(ISNUMBER(AM352),IF(AM352&gt;=99,IF(OR(U352=10,U352=11),MatchLabel,SureThingLabel),IF(AM352&gt;=95,SecureLabel,IF(AM352&gt;=80,SafetyLabel,IF(AM352&gt;=50,MatchLabel,IF(AM352&gt;=20,ReachLabel,IF(AM352&gt;=10,LongshotLabel,HailMaryLabel)))))),"Other")</f>
        <v>0</v>
      </c>
      <c r="AO352">
        <f>IF(OR(I352="accepted",I352="cond. accept",I352="summer admit"),IF(J352="yes","CHOICE!","Accepted!"),IF(I352="guar. transfer","Guar. Xfer",IF(I352="denied","Denied",IF(K352=1,"Waitlist",IF(L352=1,"Deferred",IF(G352="pending","Pending",IF(OR(G352="initial materials submitted",G352="mid-year submitted",G352="final submitted"),"Submitted",IF(H352="interest","Interest","?"))))))))</f>
        <v>0</v>
      </c>
      <c r="AP352">
        <f>IF(OR(AN352=ReachLabel,AN352=LongshotLabel,AN352=HailMaryLabel),1,0)</f>
        <v>0</v>
      </c>
      <c r="AQ352">
        <f>IF(OR(AP352=1,AN352=MatchLabel),1,0)</f>
        <v>0</v>
      </c>
      <c r="AR352">
        <f>IF(OR(AN352=MatchLabel,AN352=SafetyLabel,AN352=SecureLabel,AN352=SureThingLabel),1,0)</f>
        <v>0</v>
      </c>
      <c r="AS352">
        <f>IF(OR(W352="H",W352="B",W352="I",W352="M"),IF(ISNUMBER(AB352),ROUND(AB352,2),0),IF(ISNUMBER(AA352),ROUND(AA352,2),0))</f>
        <v>0</v>
      </c>
      <c r="AT352">
        <f>IF(AS352&gt;=X352,1,0)</f>
        <v>0</v>
      </c>
      <c r="AU352">
        <f>IF(AS352&gt;=Y352,1,0)</f>
        <v>0</v>
      </c>
      <c r="AV352">
        <f>IF(AS352&lt;(X352-0.10),1,0)</f>
        <v>0</v>
      </c>
      <c r="AW352">
        <f>1-AM352/100</f>
        <v>0</v>
      </c>
      <c r="AX352">
        <f>IF(AQ352=1,AW352,1)</f>
        <v>0</v>
      </c>
      <c r="AY352">
        <f>IF(AP352=1,AW352,1)</f>
        <v>0</v>
      </c>
      <c r="AZ352">
        <f>IF(AND(AT352=1,ISNUMBER(AW352)),$AW352,1)</f>
        <v>0</v>
      </c>
      <c r="BA352">
        <f>IF(AND(AU352=1,ISNUMBER(AW352)),$AW352,1)</f>
        <v>0</v>
      </c>
      <c r="BB352">
        <f>IF(ISNUMBER(AB352),INDEX(AllCollegeMoney, MATCH(N352,AllCollegeNCES,0)),0)</f>
        <v>0</v>
      </c>
      <c r="BC352">
        <f>IF(AND(AT352=1,ISNUMBER(AW352),BB352=1),$AW352,1)</f>
        <v>0</v>
      </c>
      <c r="BD352">
        <f>IF(AND(AU352=1,ISNUMBER(AW352),BB352=1),$AW352,1)</f>
        <v>0</v>
      </c>
      <c r="BE352">
        <f>IF(ISNUMBER(AB352),INDEX(AllCollegeILPub, MATCH(N352,AllCollegeNCES,0)),0)</f>
        <v>0</v>
      </c>
      <c r="BF352">
        <f>IF(AN352=ReachLabel,AS352,0)</f>
        <v>0</v>
      </c>
      <c r="BG352">
        <f>IF(AN352=MatchLabel,AS352,0)</f>
        <v>0</v>
      </c>
      <c r="BH352">
        <f>IF(AN352=SafetyLabel,AS352,0)</f>
        <v>0</v>
      </c>
      <c r="BI352">
        <f>IF(AN352=SecureLabel,AS352,0)</f>
        <v>0</v>
      </c>
      <c r="BJ352">
        <f>IF(AN352=SureThingLabel,AS352,0)</f>
        <v>0</v>
      </c>
      <c r="BK352">
        <f>MAX(BF352:BJ352)</f>
        <v>0</v>
      </c>
      <c r="BL352">
        <f>MAX(BG352:BJ352)</f>
        <v>0</v>
      </c>
      <c r="BM352">
        <f>MAX(BH352:BJ352)</f>
        <v>0</v>
      </c>
      <c r="BN352">
        <f>IF(AND(AN352=ReachLabel,BB352=1),AS352,0)</f>
        <v>0</v>
      </c>
      <c r="BO352">
        <f>IF(AND(AN352=MatchLabel,BB352=1),AS352,0)</f>
        <v>0</v>
      </c>
      <c r="BP352">
        <f>IF(AND(AN352=SafetyLabel,BB352=1),AS352,0)</f>
        <v>0</v>
      </c>
      <c r="BQ352">
        <f>IF(AND(AN352=SecureLabel,BB352=1),AS352,0)</f>
        <v>0</v>
      </c>
      <c r="BR352">
        <f>IF(AND(AN352=SureThingLabel,BB352=1),AS352,0)</f>
        <v>0</v>
      </c>
      <c r="BS352">
        <f>MAX(BN352:BR352)</f>
        <v>0</v>
      </c>
      <c r="BT352">
        <f>MAX(BO352:BR352)</f>
        <v>0</v>
      </c>
      <c r="BU352">
        <f>MAX(BP352:BR352)</f>
        <v>0</v>
      </c>
      <c r="BV352">
        <f>IF(ISNUMBER(AB352),INDEX(AllCollegeChicago, MATCH(N352,AllCollegeNCES,0))*BB352,0)</f>
        <v>0</v>
      </c>
      <c r="BW352">
        <f>IF(ISNUMBER(AB352),INDEX(AllCollegeMoneyCode, MATCH(N352,AllCollegeNCES,0)),"?")</f>
        <v>0</v>
      </c>
      <c r="BX352">
        <f>IF(OR(BW352="---",BW352="--",BW352="+/--",BW352="+/---"),1,0)</f>
        <v>0</v>
      </c>
      <c r="BY352">
        <f>BB352*AR352*AT352</f>
        <v>0</v>
      </c>
    </row>
    <row r="353" spans="1:77">
      <c r="A353" t="s">
        <v>96</v>
      </c>
      <c r="B353">
        <v>23207329</v>
      </c>
      <c r="C353" t="s">
        <v>121</v>
      </c>
      <c r="D353" t="s">
        <v>122</v>
      </c>
      <c r="E353" t="s">
        <v>446</v>
      </c>
      <c r="F353" t="s">
        <v>478</v>
      </c>
      <c r="G353" t="s">
        <v>479</v>
      </c>
      <c r="H353" t="s">
        <v>449</v>
      </c>
      <c r="I353" t="s">
        <v>450</v>
      </c>
      <c r="J353" t="s">
        <v>450</v>
      </c>
      <c r="K353">
        <v>0</v>
      </c>
      <c r="L353" t="s">
        <v>446</v>
      </c>
      <c r="M353" t="s">
        <v>446</v>
      </c>
      <c r="N353">
        <v>168546</v>
      </c>
      <c r="O353">
        <f>INDEX(Counselor,MATCH(B353,KidIDs,0))</f>
        <v>0</v>
      </c>
      <c r="P353">
        <f>INDEX(Advisors,MATCH(B353,KidIDs,0))</f>
        <v>0</v>
      </c>
      <c r="Q353">
        <f>INDEX(Cohort,MATCH(B353,KidIDs,0))</f>
        <v>0</v>
      </c>
      <c r="R353">
        <f>INDEX(AllCollegeBarrons,MATCH(N353,AllCollegeNCES,0))</f>
        <v>0</v>
      </c>
      <c r="S353">
        <f>INDEX(KidGPAs,MATCH(B353,KidIDs,0))</f>
        <v>0</v>
      </c>
      <c r="T353">
        <f>INDEX(KidSATs,MATCH(B353,KidIDs,0))</f>
        <v>0</v>
      </c>
      <c r="U353">
        <f>INDEX(Strats,MATCH(B353,KidIDs,0))</f>
        <v>0</v>
      </c>
      <c r="V353">
        <f>INDEX(KidRace,MATCH(B353,KidIDs,0))</f>
        <v>0</v>
      </c>
      <c r="W353">
        <f>IF(OR(V353="M",V353="I"),"H",IF(V353="P","A",V353))</f>
        <v>0</v>
      </c>
      <c r="X353">
        <f>INDEX(StudentTargets,MATCH(B353,KidIDs,0))</f>
        <v>0</v>
      </c>
      <c r="Y353">
        <f>INDEX(ReachStudentTargets,MATCH(B353,KidIDs,0))</f>
        <v>0</v>
      </c>
      <c r="Z353">
        <f>IF(OR(M353="Posse"),1,0)</f>
        <v>0</v>
      </c>
      <c r="AA353">
        <f>IF(ISNUMBER(INDEX(AllCollegeGR, MATCH(N353,AllCollegeNCES,0))),ROUND(INDEX(AllCollegeGR, MATCH(N353,AllCollegeNCES,0))+Z353*IF(INDEX(AllCollegeGR, MATCH(N353,AllCollegeNCES,0))&gt;0.7,(1-INDEX(AllCollegeGR, MATCH(N353,AllCollegeNCES,0)))/2,0.15),2),INDEX(AllCollegeGR, MATCH(N353,AllCollegeNCES,0)))</f>
        <v>0</v>
      </c>
      <c r="AB353">
        <f>IF(ISNUMBER(INDEX(AllCollegeAAHGR, MATCH(N353,AllCollegeNCES,0))),ROUND(INDEX(AllCollegeAAHGR, MATCH(N353,AllCollegeNCES,0))+Z353*IF(INDEX(AllCollegeAAHGR, MATCH(N353,AllCollegeNCES,0))&gt;0.7,(1-INDEX(AllCollegeAAHGR, MATCH(N353,AllCollegeNCES,0)))/2,0.15),2),INDEX(AllCollegeAAHGR, MATCH(N353,AllCollegeNCES,0)))</f>
        <v>0</v>
      </c>
      <c r="AC353">
        <f>IF(OR(W353="H",W353="B"),INDEX(AllCollegeSAT25, MATCH(N353,AllCollegeNCES,0)),INDEX(AllCollegeSAT50, MATCH(N353,AllCollegeNCES,0)))</f>
        <v>0</v>
      </c>
      <c r="AD353">
        <f>INDEX(CustomWeightsGPA,MATCH(W353&amp;":"&amp;N353,CustomWeightsIndex,0))</f>
        <v>0</v>
      </c>
      <c r="AE353">
        <f>INDEX(CustomWeightsSAT,MATCH(W353&amp;":"&amp;N353,CustomWeightsIndex,0))</f>
        <v>0</v>
      </c>
      <c r="AF353">
        <f>INDEX(CustomWeightsIntercept,MATCH(W353&amp;":"&amp;N353,CustomWeightsIndex,0))</f>
        <v>0</v>
      </c>
      <c r="AG353">
        <f>AD353*S353+AE353*T353+AF353</f>
        <v>0</v>
      </c>
      <c r="AH353">
        <f>INDEX(CoefficientsGPA,MATCH(W353&amp;":"&amp;R353,CoefficientsIndex,0))</f>
        <v>0</v>
      </c>
      <c r="AI353">
        <f>INDEX(CoefficientsSAT,MATCH(W353&amp;":"&amp;R353,CoefficientsIndex,0))</f>
        <v>0</v>
      </c>
      <c r="AJ353">
        <f>INDEX(CoefficientsIntercept,MATCH(W353&amp;":"&amp;R353,CoefficientsIndex,0))</f>
        <v>0</v>
      </c>
      <c r="AK353">
        <f>AH353*S353+(T353-AC353)*AI353+AJ353</f>
        <v>0</v>
      </c>
      <c r="AL353">
        <f>IF(ISNUMBER(AG353),AG353,AK353)</f>
        <v>0</v>
      </c>
      <c r="AM353">
        <f>IF(ISNUMBER(AL353),IF(ISNUMBER(AH353),IF(AND(AH353=1,AI353=1,AJ353=1),100,MIN(99,ROUND(100*EXP(AL353)/(1+EXP(AL353)),2))),MIN(99,ROUND(100*EXP(AL353)/(1+EXP(AL353)),2))),IF(ISTEXT(R353),IF(LEFT(R353,1)="2",100,"N/A"),"N/A"))</f>
        <v>0</v>
      </c>
      <c r="AN353">
        <f>IF(ISNUMBER(AM353),IF(AM353&gt;=99,IF(OR(U353=10,U353=11),MatchLabel,SureThingLabel),IF(AM353&gt;=95,SecureLabel,IF(AM353&gt;=80,SafetyLabel,IF(AM353&gt;=50,MatchLabel,IF(AM353&gt;=20,ReachLabel,IF(AM353&gt;=10,LongshotLabel,HailMaryLabel)))))),"Other")</f>
        <v>0</v>
      </c>
      <c r="AO353">
        <f>IF(OR(I353="accepted",I353="cond. accept",I353="summer admit"),IF(J353="yes","CHOICE!","Accepted!"),IF(I353="guar. transfer","Guar. Xfer",IF(I353="denied","Denied",IF(K353=1,"Waitlist",IF(L353=1,"Deferred",IF(G353="pending","Pending",IF(OR(G353="initial materials submitted",G353="mid-year submitted",G353="final submitted"),"Submitted",IF(H353="interest","Interest","?"))))))))</f>
        <v>0</v>
      </c>
      <c r="AP353">
        <f>IF(OR(AN353=ReachLabel,AN353=LongshotLabel,AN353=HailMaryLabel),1,0)</f>
        <v>0</v>
      </c>
      <c r="AQ353">
        <f>IF(OR(AP353=1,AN353=MatchLabel),1,0)</f>
        <v>0</v>
      </c>
      <c r="AR353">
        <f>IF(OR(AN353=MatchLabel,AN353=SafetyLabel,AN353=SecureLabel,AN353=SureThingLabel),1,0)</f>
        <v>0</v>
      </c>
      <c r="AS353">
        <f>IF(OR(W353="H",W353="B",W353="I",W353="M"),IF(ISNUMBER(AB353),ROUND(AB353,2),0),IF(ISNUMBER(AA353),ROUND(AA353,2),0))</f>
        <v>0</v>
      </c>
      <c r="AT353">
        <f>IF(AS353&gt;=X353,1,0)</f>
        <v>0</v>
      </c>
      <c r="AU353">
        <f>IF(AS353&gt;=Y353,1,0)</f>
        <v>0</v>
      </c>
      <c r="AV353">
        <f>IF(AS353&lt;(X353-0.10),1,0)</f>
        <v>0</v>
      </c>
      <c r="AW353">
        <f>1-AM353/100</f>
        <v>0</v>
      </c>
      <c r="AX353">
        <f>IF(AQ353=1,AW353,1)</f>
        <v>0</v>
      </c>
      <c r="AY353">
        <f>IF(AP353=1,AW353,1)</f>
        <v>0</v>
      </c>
      <c r="AZ353">
        <f>IF(AND(AT353=1,ISNUMBER(AW353)),$AW353,1)</f>
        <v>0</v>
      </c>
      <c r="BA353">
        <f>IF(AND(AU353=1,ISNUMBER(AW353)),$AW353,1)</f>
        <v>0</v>
      </c>
      <c r="BB353">
        <f>IF(ISNUMBER(AB353),INDEX(AllCollegeMoney, MATCH(N353,AllCollegeNCES,0)),0)</f>
        <v>0</v>
      </c>
      <c r="BC353">
        <f>IF(AND(AT353=1,ISNUMBER(AW353),BB353=1),$AW353,1)</f>
        <v>0</v>
      </c>
      <c r="BD353">
        <f>IF(AND(AU353=1,ISNUMBER(AW353),BB353=1),$AW353,1)</f>
        <v>0</v>
      </c>
      <c r="BE353">
        <f>IF(ISNUMBER(AB353),INDEX(AllCollegeILPub, MATCH(N353,AllCollegeNCES,0)),0)</f>
        <v>0</v>
      </c>
      <c r="BF353">
        <f>IF(AN353=ReachLabel,AS353,0)</f>
        <v>0</v>
      </c>
      <c r="BG353">
        <f>IF(AN353=MatchLabel,AS353,0)</f>
        <v>0</v>
      </c>
      <c r="BH353">
        <f>IF(AN353=SafetyLabel,AS353,0)</f>
        <v>0</v>
      </c>
      <c r="BI353">
        <f>IF(AN353=SecureLabel,AS353,0)</f>
        <v>0</v>
      </c>
      <c r="BJ353">
        <f>IF(AN353=SureThingLabel,AS353,0)</f>
        <v>0</v>
      </c>
      <c r="BK353">
        <f>MAX(BF353:BJ353)</f>
        <v>0</v>
      </c>
      <c r="BL353">
        <f>MAX(BG353:BJ353)</f>
        <v>0</v>
      </c>
      <c r="BM353">
        <f>MAX(BH353:BJ353)</f>
        <v>0</v>
      </c>
      <c r="BN353">
        <f>IF(AND(AN353=ReachLabel,BB353=1),AS353,0)</f>
        <v>0</v>
      </c>
      <c r="BO353">
        <f>IF(AND(AN353=MatchLabel,BB353=1),AS353,0)</f>
        <v>0</v>
      </c>
      <c r="BP353">
        <f>IF(AND(AN353=SafetyLabel,BB353=1),AS353,0)</f>
        <v>0</v>
      </c>
      <c r="BQ353">
        <f>IF(AND(AN353=SecureLabel,BB353=1),AS353,0)</f>
        <v>0</v>
      </c>
      <c r="BR353">
        <f>IF(AND(AN353=SureThingLabel,BB353=1),AS353,0)</f>
        <v>0</v>
      </c>
      <c r="BS353">
        <f>MAX(BN353:BR353)</f>
        <v>0</v>
      </c>
      <c r="BT353">
        <f>MAX(BO353:BR353)</f>
        <v>0</v>
      </c>
      <c r="BU353">
        <f>MAX(BP353:BR353)</f>
        <v>0</v>
      </c>
      <c r="BV353">
        <f>IF(ISNUMBER(AB353),INDEX(AllCollegeChicago, MATCH(N353,AllCollegeNCES,0))*BB353,0)</f>
        <v>0</v>
      </c>
      <c r="BW353">
        <f>IF(ISNUMBER(AB353),INDEX(AllCollegeMoneyCode, MATCH(N353,AllCollegeNCES,0)),"?")</f>
        <v>0</v>
      </c>
      <c r="BX353">
        <f>IF(OR(BW353="---",BW353="--",BW353="+/--",BW353="+/---"),1,0)</f>
        <v>0</v>
      </c>
      <c r="BY353">
        <f>BB353*AR353*AT353</f>
        <v>0</v>
      </c>
    </row>
    <row r="354" spans="1:77">
      <c r="A354" t="s">
        <v>96</v>
      </c>
      <c r="B354">
        <v>23207329</v>
      </c>
      <c r="C354" t="s">
        <v>121</v>
      </c>
      <c r="D354" t="s">
        <v>122</v>
      </c>
      <c r="E354" t="s">
        <v>446</v>
      </c>
      <c r="F354" t="s">
        <v>518</v>
      </c>
      <c r="G354" t="s">
        <v>448</v>
      </c>
      <c r="H354" t="s">
        <v>449</v>
      </c>
      <c r="I354" t="s">
        <v>450</v>
      </c>
      <c r="J354" t="s">
        <v>450</v>
      </c>
      <c r="K354">
        <v>0</v>
      </c>
      <c r="L354" t="s">
        <v>446</v>
      </c>
      <c r="M354" t="s">
        <v>446</v>
      </c>
      <c r="N354">
        <v>145725</v>
      </c>
      <c r="O354">
        <f>INDEX(Counselor,MATCH(B354,KidIDs,0))</f>
        <v>0</v>
      </c>
      <c r="P354">
        <f>INDEX(Advisors,MATCH(B354,KidIDs,0))</f>
        <v>0</v>
      </c>
      <c r="Q354">
        <f>INDEX(Cohort,MATCH(B354,KidIDs,0))</f>
        <v>0</v>
      </c>
      <c r="R354">
        <f>INDEX(AllCollegeBarrons,MATCH(N354,AllCollegeNCES,0))</f>
        <v>0</v>
      </c>
      <c r="S354">
        <f>INDEX(KidGPAs,MATCH(B354,KidIDs,0))</f>
        <v>0</v>
      </c>
      <c r="T354">
        <f>INDEX(KidSATs,MATCH(B354,KidIDs,0))</f>
        <v>0</v>
      </c>
      <c r="U354">
        <f>INDEX(Strats,MATCH(B354,KidIDs,0))</f>
        <v>0</v>
      </c>
      <c r="V354">
        <f>INDEX(KidRace,MATCH(B354,KidIDs,0))</f>
        <v>0</v>
      </c>
      <c r="W354">
        <f>IF(OR(V354="M",V354="I"),"H",IF(V354="P","A",V354))</f>
        <v>0</v>
      </c>
      <c r="X354">
        <f>INDEX(StudentTargets,MATCH(B354,KidIDs,0))</f>
        <v>0</v>
      </c>
      <c r="Y354">
        <f>INDEX(ReachStudentTargets,MATCH(B354,KidIDs,0))</f>
        <v>0</v>
      </c>
      <c r="Z354">
        <f>IF(OR(M354="Posse"),1,0)</f>
        <v>0</v>
      </c>
      <c r="AA354">
        <f>IF(ISNUMBER(INDEX(AllCollegeGR, MATCH(N354,AllCollegeNCES,0))),ROUND(INDEX(AllCollegeGR, MATCH(N354,AllCollegeNCES,0))+Z354*IF(INDEX(AllCollegeGR, MATCH(N354,AllCollegeNCES,0))&gt;0.7,(1-INDEX(AllCollegeGR, MATCH(N354,AllCollegeNCES,0)))/2,0.15),2),INDEX(AllCollegeGR, MATCH(N354,AllCollegeNCES,0)))</f>
        <v>0</v>
      </c>
      <c r="AB354">
        <f>IF(ISNUMBER(INDEX(AllCollegeAAHGR, MATCH(N354,AllCollegeNCES,0))),ROUND(INDEX(AllCollegeAAHGR, MATCH(N354,AllCollegeNCES,0))+Z354*IF(INDEX(AllCollegeAAHGR, MATCH(N354,AllCollegeNCES,0))&gt;0.7,(1-INDEX(AllCollegeAAHGR, MATCH(N354,AllCollegeNCES,0)))/2,0.15),2),INDEX(AllCollegeAAHGR, MATCH(N354,AllCollegeNCES,0)))</f>
        <v>0</v>
      </c>
      <c r="AC354">
        <f>IF(OR(W354="H",W354="B"),INDEX(AllCollegeSAT25, MATCH(N354,AllCollegeNCES,0)),INDEX(AllCollegeSAT50, MATCH(N354,AllCollegeNCES,0)))</f>
        <v>0</v>
      </c>
      <c r="AD354">
        <f>INDEX(CustomWeightsGPA,MATCH(W354&amp;":"&amp;N354,CustomWeightsIndex,0))</f>
        <v>0</v>
      </c>
      <c r="AE354">
        <f>INDEX(CustomWeightsSAT,MATCH(W354&amp;":"&amp;N354,CustomWeightsIndex,0))</f>
        <v>0</v>
      </c>
      <c r="AF354">
        <f>INDEX(CustomWeightsIntercept,MATCH(W354&amp;":"&amp;N354,CustomWeightsIndex,0))</f>
        <v>0</v>
      </c>
      <c r="AG354">
        <f>AD354*S354+AE354*T354+AF354</f>
        <v>0</v>
      </c>
      <c r="AH354">
        <f>INDEX(CoefficientsGPA,MATCH(W354&amp;":"&amp;R354,CoefficientsIndex,0))</f>
        <v>0</v>
      </c>
      <c r="AI354">
        <f>INDEX(CoefficientsSAT,MATCH(W354&amp;":"&amp;R354,CoefficientsIndex,0))</f>
        <v>0</v>
      </c>
      <c r="AJ354">
        <f>INDEX(CoefficientsIntercept,MATCH(W354&amp;":"&amp;R354,CoefficientsIndex,0))</f>
        <v>0</v>
      </c>
      <c r="AK354">
        <f>AH354*S354+(T354-AC354)*AI354+AJ354</f>
        <v>0</v>
      </c>
      <c r="AL354">
        <f>IF(ISNUMBER(AG354),AG354,AK354)</f>
        <v>0</v>
      </c>
      <c r="AM354">
        <f>IF(ISNUMBER(AL354),IF(ISNUMBER(AH354),IF(AND(AH354=1,AI354=1,AJ354=1),100,MIN(99,ROUND(100*EXP(AL354)/(1+EXP(AL354)),2))),MIN(99,ROUND(100*EXP(AL354)/(1+EXP(AL354)),2))),IF(ISTEXT(R354),IF(LEFT(R354,1)="2",100,"N/A"),"N/A"))</f>
        <v>0</v>
      </c>
      <c r="AN354">
        <f>IF(ISNUMBER(AM354),IF(AM354&gt;=99,IF(OR(U354=10,U354=11),MatchLabel,SureThingLabel),IF(AM354&gt;=95,SecureLabel,IF(AM354&gt;=80,SafetyLabel,IF(AM354&gt;=50,MatchLabel,IF(AM354&gt;=20,ReachLabel,IF(AM354&gt;=10,LongshotLabel,HailMaryLabel)))))),"Other")</f>
        <v>0</v>
      </c>
      <c r="AO354">
        <f>IF(OR(I354="accepted",I354="cond. accept",I354="summer admit"),IF(J354="yes","CHOICE!","Accepted!"),IF(I354="guar. transfer","Guar. Xfer",IF(I354="denied","Denied",IF(K354=1,"Waitlist",IF(L354=1,"Deferred",IF(G354="pending","Pending",IF(OR(G354="initial materials submitted",G354="mid-year submitted",G354="final submitted"),"Submitted",IF(H354="interest","Interest","?"))))))))</f>
        <v>0</v>
      </c>
      <c r="AP354">
        <f>IF(OR(AN354=ReachLabel,AN354=LongshotLabel,AN354=HailMaryLabel),1,0)</f>
        <v>0</v>
      </c>
      <c r="AQ354">
        <f>IF(OR(AP354=1,AN354=MatchLabel),1,0)</f>
        <v>0</v>
      </c>
      <c r="AR354">
        <f>IF(OR(AN354=MatchLabel,AN354=SafetyLabel,AN354=SecureLabel,AN354=SureThingLabel),1,0)</f>
        <v>0</v>
      </c>
      <c r="AS354">
        <f>IF(OR(W354="H",W354="B",W354="I",W354="M"),IF(ISNUMBER(AB354),ROUND(AB354,2),0),IF(ISNUMBER(AA354),ROUND(AA354,2),0))</f>
        <v>0</v>
      </c>
      <c r="AT354">
        <f>IF(AS354&gt;=X354,1,0)</f>
        <v>0</v>
      </c>
      <c r="AU354">
        <f>IF(AS354&gt;=Y354,1,0)</f>
        <v>0</v>
      </c>
      <c r="AV354">
        <f>IF(AS354&lt;(X354-0.10),1,0)</f>
        <v>0</v>
      </c>
      <c r="AW354">
        <f>1-AM354/100</f>
        <v>0</v>
      </c>
      <c r="AX354">
        <f>IF(AQ354=1,AW354,1)</f>
        <v>0</v>
      </c>
      <c r="AY354">
        <f>IF(AP354=1,AW354,1)</f>
        <v>0</v>
      </c>
      <c r="AZ354">
        <f>IF(AND(AT354=1,ISNUMBER(AW354)),$AW354,1)</f>
        <v>0</v>
      </c>
      <c r="BA354">
        <f>IF(AND(AU354=1,ISNUMBER(AW354)),$AW354,1)</f>
        <v>0</v>
      </c>
      <c r="BB354">
        <f>IF(ISNUMBER(AB354),INDEX(AllCollegeMoney, MATCH(N354,AllCollegeNCES,0)),0)</f>
        <v>0</v>
      </c>
      <c r="BC354">
        <f>IF(AND(AT354=1,ISNUMBER(AW354),BB354=1),$AW354,1)</f>
        <v>0</v>
      </c>
      <c r="BD354">
        <f>IF(AND(AU354=1,ISNUMBER(AW354),BB354=1),$AW354,1)</f>
        <v>0</v>
      </c>
      <c r="BE354">
        <f>IF(ISNUMBER(AB354),INDEX(AllCollegeILPub, MATCH(N354,AllCollegeNCES,0)),0)</f>
        <v>0</v>
      </c>
      <c r="BF354">
        <f>IF(AN354=ReachLabel,AS354,0)</f>
        <v>0</v>
      </c>
      <c r="BG354">
        <f>IF(AN354=MatchLabel,AS354,0)</f>
        <v>0</v>
      </c>
      <c r="BH354">
        <f>IF(AN354=SafetyLabel,AS354,0)</f>
        <v>0</v>
      </c>
      <c r="BI354">
        <f>IF(AN354=SecureLabel,AS354,0)</f>
        <v>0</v>
      </c>
      <c r="BJ354">
        <f>IF(AN354=SureThingLabel,AS354,0)</f>
        <v>0</v>
      </c>
      <c r="BK354">
        <f>MAX(BF354:BJ354)</f>
        <v>0</v>
      </c>
      <c r="BL354">
        <f>MAX(BG354:BJ354)</f>
        <v>0</v>
      </c>
      <c r="BM354">
        <f>MAX(BH354:BJ354)</f>
        <v>0</v>
      </c>
      <c r="BN354">
        <f>IF(AND(AN354=ReachLabel,BB354=1),AS354,0)</f>
        <v>0</v>
      </c>
      <c r="BO354">
        <f>IF(AND(AN354=MatchLabel,BB354=1),AS354,0)</f>
        <v>0</v>
      </c>
      <c r="BP354">
        <f>IF(AND(AN354=SafetyLabel,BB354=1),AS354,0)</f>
        <v>0</v>
      </c>
      <c r="BQ354">
        <f>IF(AND(AN354=SecureLabel,BB354=1),AS354,0)</f>
        <v>0</v>
      </c>
      <c r="BR354">
        <f>IF(AND(AN354=SureThingLabel,BB354=1),AS354,0)</f>
        <v>0</v>
      </c>
      <c r="BS354">
        <f>MAX(BN354:BR354)</f>
        <v>0</v>
      </c>
      <c r="BT354">
        <f>MAX(BO354:BR354)</f>
        <v>0</v>
      </c>
      <c r="BU354">
        <f>MAX(BP354:BR354)</f>
        <v>0</v>
      </c>
      <c r="BV354">
        <f>IF(ISNUMBER(AB354),INDEX(AllCollegeChicago, MATCH(N354,AllCollegeNCES,0))*BB354,0)</f>
        <v>0</v>
      </c>
      <c r="BW354">
        <f>IF(ISNUMBER(AB354),INDEX(AllCollegeMoneyCode, MATCH(N354,AllCollegeNCES,0)),"?")</f>
        <v>0</v>
      </c>
      <c r="BX354">
        <f>IF(OR(BW354="---",BW354="--",BW354="+/--",BW354="+/---"),1,0)</f>
        <v>0</v>
      </c>
      <c r="BY354">
        <f>BB354*AR354*AT354</f>
        <v>0</v>
      </c>
    </row>
    <row r="355" spans="1:77">
      <c r="A355" t="s">
        <v>96</v>
      </c>
      <c r="B355">
        <v>23207329</v>
      </c>
      <c r="C355" t="s">
        <v>121</v>
      </c>
      <c r="D355" t="s">
        <v>122</v>
      </c>
      <c r="E355" t="s">
        <v>446</v>
      </c>
      <c r="F355" t="s">
        <v>554</v>
      </c>
      <c r="G355" t="s">
        <v>448</v>
      </c>
      <c r="H355" t="s">
        <v>449</v>
      </c>
      <c r="I355" t="s">
        <v>450</v>
      </c>
      <c r="J355" t="s">
        <v>450</v>
      </c>
      <c r="K355">
        <v>0</v>
      </c>
      <c r="L355" t="s">
        <v>446</v>
      </c>
      <c r="M355" t="s">
        <v>446</v>
      </c>
      <c r="N355">
        <v>200800</v>
      </c>
      <c r="O355">
        <f>INDEX(Counselor,MATCH(B355,KidIDs,0))</f>
        <v>0</v>
      </c>
      <c r="P355">
        <f>INDEX(Advisors,MATCH(B355,KidIDs,0))</f>
        <v>0</v>
      </c>
      <c r="Q355">
        <f>INDEX(Cohort,MATCH(B355,KidIDs,0))</f>
        <v>0</v>
      </c>
      <c r="R355">
        <f>INDEX(AllCollegeBarrons,MATCH(N355,AllCollegeNCES,0))</f>
        <v>0</v>
      </c>
      <c r="S355">
        <f>INDEX(KidGPAs,MATCH(B355,KidIDs,0))</f>
        <v>0</v>
      </c>
      <c r="T355">
        <f>INDEX(KidSATs,MATCH(B355,KidIDs,0))</f>
        <v>0</v>
      </c>
      <c r="U355">
        <f>INDEX(Strats,MATCH(B355,KidIDs,0))</f>
        <v>0</v>
      </c>
      <c r="V355">
        <f>INDEX(KidRace,MATCH(B355,KidIDs,0))</f>
        <v>0</v>
      </c>
      <c r="W355">
        <f>IF(OR(V355="M",V355="I"),"H",IF(V355="P","A",V355))</f>
        <v>0</v>
      </c>
      <c r="X355">
        <f>INDEX(StudentTargets,MATCH(B355,KidIDs,0))</f>
        <v>0</v>
      </c>
      <c r="Y355">
        <f>INDEX(ReachStudentTargets,MATCH(B355,KidIDs,0))</f>
        <v>0</v>
      </c>
      <c r="Z355">
        <f>IF(OR(M355="Posse"),1,0)</f>
        <v>0</v>
      </c>
      <c r="AA355">
        <f>IF(ISNUMBER(INDEX(AllCollegeGR, MATCH(N355,AllCollegeNCES,0))),ROUND(INDEX(AllCollegeGR, MATCH(N355,AllCollegeNCES,0))+Z355*IF(INDEX(AllCollegeGR, MATCH(N355,AllCollegeNCES,0))&gt;0.7,(1-INDEX(AllCollegeGR, MATCH(N355,AllCollegeNCES,0)))/2,0.15),2),INDEX(AllCollegeGR, MATCH(N355,AllCollegeNCES,0)))</f>
        <v>0</v>
      </c>
      <c r="AB355">
        <f>IF(ISNUMBER(INDEX(AllCollegeAAHGR, MATCH(N355,AllCollegeNCES,0))),ROUND(INDEX(AllCollegeAAHGR, MATCH(N355,AllCollegeNCES,0))+Z355*IF(INDEX(AllCollegeAAHGR, MATCH(N355,AllCollegeNCES,0))&gt;0.7,(1-INDEX(AllCollegeAAHGR, MATCH(N355,AllCollegeNCES,0)))/2,0.15),2),INDEX(AllCollegeAAHGR, MATCH(N355,AllCollegeNCES,0)))</f>
        <v>0</v>
      </c>
      <c r="AC355">
        <f>IF(OR(W355="H",W355="B"),INDEX(AllCollegeSAT25, MATCH(N355,AllCollegeNCES,0)),INDEX(AllCollegeSAT50, MATCH(N355,AllCollegeNCES,0)))</f>
        <v>0</v>
      </c>
      <c r="AD355">
        <f>INDEX(CustomWeightsGPA,MATCH(W355&amp;":"&amp;N355,CustomWeightsIndex,0))</f>
        <v>0</v>
      </c>
      <c r="AE355">
        <f>INDEX(CustomWeightsSAT,MATCH(W355&amp;":"&amp;N355,CustomWeightsIndex,0))</f>
        <v>0</v>
      </c>
      <c r="AF355">
        <f>INDEX(CustomWeightsIntercept,MATCH(W355&amp;":"&amp;N355,CustomWeightsIndex,0))</f>
        <v>0</v>
      </c>
      <c r="AG355">
        <f>AD355*S355+AE355*T355+AF355</f>
        <v>0</v>
      </c>
      <c r="AH355">
        <f>INDEX(CoefficientsGPA,MATCH(W355&amp;":"&amp;R355,CoefficientsIndex,0))</f>
        <v>0</v>
      </c>
      <c r="AI355">
        <f>INDEX(CoefficientsSAT,MATCH(W355&amp;":"&amp;R355,CoefficientsIndex,0))</f>
        <v>0</v>
      </c>
      <c r="AJ355">
        <f>INDEX(CoefficientsIntercept,MATCH(W355&amp;":"&amp;R355,CoefficientsIndex,0))</f>
        <v>0</v>
      </c>
      <c r="AK355">
        <f>AH355*S355+(T355-AC355)*AI355+AJ355</f>
        <v>0</v>
      </c>
      <c r="AL355">
        <f>IF(ISNUMBER(AG355),AG355,AK355)</f>
        <v>0</v>
      </c>
      <c r="AM355">
        <f>IF(ISNUMBER(AL355),IF(ISNUMBER(AH355),IF(AND(AH355=1,AI355=1,AJ355=1),100,MIN(99,ROUND(100*EXP(AL355)/(1+EXP(AL355)),2))),MIN(99,ROUND(100*EXP(AL355)/(1+EXP(AL355)),2))),IF(ISTEXT(R355),IF(LEFT(R355,1)="2",100,"N/A"),"N/A"))</f>
        <v>0</v>
      </c>
      <c r="AN355">
        <f>IF(ISNUMBER(AM355),IF(AM355&gt;=99,IF(OR(U355=10,U355=11),MatchLabel,SureThingLabel),IF(AM355&gt;=95,SecureLabel,IF(AM355&gt;=80,SafetyLabel,IF(AM355&gt;=50,MatchLabel,IF(AM355&gt;=20,ReachLabel,IF(AM355&gt;=10,LongshotLabel,HailMaryLabel)))))),"Other")</f>
        <v>0</v>
      </c>
      <c r="AO355">
        <f>IF(OR(I355="accepted",I355="cond. accept",I355="summer admit"),IF(J355="yes","CHOICE!","Accepted!"),IF(I355="guar. transfer","Guar. Xfer",IF(I355="denied","Denied",IF(K355=1,"Waitlist",IF(L355=1,"Deferred",IF(G355="pending","Pending",IF(OR(G355="initial materials submitted",G355="mid-year submitted",G355="final submitted"),"Submitted",IF(H355="interest","Interest","?"))))))))</f>
        <v>0</v>
      </c>
      <c r="AP355">
        <f>IF(OR(AN355=ReachLabel,AN355=LongshotLabel,AN355=HailMaryLabel),1,0)</f>
        <v>0</v>
      </c>
      <c r="AQ355">
        <f>IF(OR(AP355=1,AN355=MatchLabel),1,0)</f>
        <v>0</v>
      </c>
      <c r="AR355">
        <f>IF(OR(AN355=MatchLabel,AN355=SafetyLabel,AN355=SecureLabel,AN355=SureThingLabel),1,0)</f>
        <v>0</v>
      </c>
      <c r="AS355">
        <f>IF(OR(W355="H",W355="B",W355="I",W355="M"),IF(ISNUMBER(AB355),ROUND(AB355,2),0),IF(ISNUMBER(AA355),ROUND(AA355,2),0))</f>
        <v>0</v>
      </c>
      <c r="AT355">
        <f>IF(AS355&gt;=X355,1,0)</f>
        <v>0</v>
      </c>
      <c r="AU355">
        <f>IF(AS355&gt;=Y355,1,0)</f>
        <v>0</v>
      </c>
      <c r="AV355">
        <f>IF(AS355&lt;(X355-0.10),1,0)</f>
        <v>0</v>
      </c>
      <c r="AW355">
        <f>1-AM355/100</f>
        <v>0</v>
      </c>
      <c r="AX355">
        <f>IF(AQ355=1,AW355,1)</f>
        <v>0</v>
      </c>
      <c r="AY355">
        <f>IF(AP355=1,AW355,1)</f>
        <v>0</v>
      </c>
      <c r="AZ355">
        <f>IF(AND(AT355=1,ISNUMBER(AW355)),$AW355,1)</f>
        <v>0</v>
      </c>
      <c r="BA355">
        <f>IF(AND(AU355=1,ISNUMBER(AW355)),$AW355,1)</f>
        <v>0</v>
      </c>
      <c r="BB355">
        <f>IF(ISNUMBER(AB355),INDEX(AllCollegeMoney, MATCH(N355,AllCollegeNCES,0)),0)</f>
        <v>0</v>
      </c>
      <c r="BC355">
        <f>IF(AND(AT355=1,ISNUMBER(AW355),BB355=1),$AW355,1)</f>
        <v>0</v>
      </c>
      <c r="BD355">
        <f>IF(AND(AU355=1,ISNUMBER(AW355),BB355=1),$AW355,1)</f>
        <v>0</v>
      </c>
      <c r="BE355">
        <f>IF(ISNUMBER(AB355),INDEX(AllCollegeILPub, MATCH(N355,AllCollegeNCES,0)),0)</f>
        <v>0</v>
      </c>
      <c r="BF355">
        <f>IF(AN355=ReachLabel,AS355,0)</f>
        <v>0</v>
      </c>
      <c r="BG355">
        <f>IF(AN355=MatchLabel,AS355,0)</f>
        <v>0</v>
      </c>
      <c r="BH355">
        <f>IF(AN355=SafetyLabel,AS355,0)</f>
        <v>0</v>
      </c>
      <c r="BI355">
        <f>IF(AN355=SecureLabel,AS355,0)</f>
        <v>0</v>
      </c>
      <c r="BJ355">
        <f>IF(AN355=SureThingLabel,AS355,0)</f>
        <v>0</v>
      </c>
      <c r="BK355">
        <f>MAX(BF355:BJ355)</f>
        <v>0</v>
      </c>
      <c r="BL355">
        <f>MAX(BG355:BJ355)</f>
        <v>0</v>
      </c>
      <c r="BM355">
        <f>MAX(BH355:BJ355)</f>
        <v>0</v>
      </c>
      <c r="BN355">
        <f>IF(AND(AN355=ReachLabel,BB355=1),AS355,0)</f>
        <v>0</v>
      </c>
      <c r="BO355">
        <f>IF(AND(AN355=MatchLabel,BB355=1),AS355,0)</f>
        <v>0</v>
      </c>
      <c r="BP355">
        <f>IF(AND(AN355=SafetyLabel,BB355=1),AS355,0)</f>
        <v>0</v>
      </c>
      <c r="BQ355">
        <f>IF(AND(AN355=SecureLabel,BB355=1),AS355,0)</f>
        <v>0</v>
      </c>
      <c r="BR355">
        <f>IF(AND(AN355=SureThingLabel,BB355=1),AS355,0)</f>
        <v>0</v>
      </c>
      <c r="BS355">
        <f>MAX(BN355:BR355)</f>
        <v>0</v>
      </c>
      <c r="BT355">
        <f>MAX(BO355:BR355)</f>
        <v>0</v>
      </c>
      <c r="BU355">
        <f>MAX(BP355:BR355)</f>
        <v>0</v>
      </c>
      <c r="BV355">
        <f>IF(ISNUMBER(AB355),INDEX(AllCollegeChicago, MATCH(N355,AllCollegeNCES,0))*BB355,0)</f>
        <v>0</v>
      </c>
      <c r="BW355">
        <f>IF(ISNUMBER(AB355),INDEX(AllCollegeMoneyCode, MATCH(N355,AllCollegeNCES,0)),"?")</f>
        <v>0</v>
      </c>
      <c r="BX355">
        <f>IF(OR(BW355="---",BW355="--",BW355="+/--",BW355="+/---"),1,0)</f>
        <v>0</v>
      </c>
      <c r="BY355">
        <f>BB355*AR355*AT355</f>
        <v>0</v>
      </c>
    </row>
    <row r="356" spans="1:77">
      <c r="A356" t="s">
        <v>96</v>
      </c>
      <c r="B356">
        <v>23274999</v>
      </c>
      <c r="C356" t="s">
        <v>276</v>
      </c>
      <c r="D356" t="s">
        <v>277</v>
      </c>
      <c r="E356" t="s">
        <v>446</v>
      </c>
      <c r="F356" t="s">
        <v>484</v>
      </c>
      <c r="G356" t="s">
        <v>448</v>
      </c>
      <c r="H356" t="s">
        <v>449</v>
      </c>
      <c r="I356" t="s">
        <v>450</v>
      </c>
      <c r="J356" t="s">
        <v>450</v>
      </c>
      <c r="K356">
        <v>0</v>
      </c>
      <c r="L356" t="s">
        <v>446</v>
      </c>
      <c r="M356" t="s">
        <v>446</v>
      </c>
      <c r="N356">
        <v>213385</v>
      </c>
      <c r="O356">
        <f>INDEX(Counselor,MATCH(B356,KidIDs,0))</f>
        <v>0</v>
      </c>
      <c r="P356">
        <f>INDEX(Advisors,MATCH(B356,KidIDs,0))</f>
        <v>0</v>
      </c>
      <c r="Q356">
        <f>INDEX(Cohort,MATCH(B356,KidIDs,0))</f>
        <v>0</v>
      </c>
      <c r="R356">
        <f>INDEX(AllCollegeBarrons,MATCH(N356,AllCollegeNCES,0))</f>
        <v>0</v>
      </c>
      <c r="S356">
        <f>INDEX(KidGPAs,MATCH(B356,KidIDs,0))</f>
        <v>0</v>
      </c>
      <c r="T356">
        <f>INDEX(KidSATs,MATCH(B356,KidIDs,0))</f>
        <v>0</v>
      </c>
      <c r="U356">
        <f>INDEX(Strats,MATCH(B356,KidIDs,0))</f>
        <v>0</v>
      </c>
      <c r="V356">
        <f>INDEX(KidRace,MATCH(B356,KidIDs,0))</f>
        <v>0</v>
      </c>
      <c r="W356">
        <f>IF(OR(V356="M",V356="I"),"H",IF(V356="P","A",V356))</f>
        <v>0</v>
      </c>
      <c r="X356">
        <f>INDEX(StudentTargets,MATCH(B356,KidIDs,0))</f>
        <v>0</v>
      </c>
      <c r="Y356">
        <f>INDEX(ReachStudentTargets,MATCH(B356,KidIDs,0))</f>
        <v>0</v>
      </c>
      <c r="Z356">
        <f>IF(OR(M356="Posse"),1,0)</f>
        <v>0</v>
      </c>
      <c r="AA356">
        <f>IF(ISNUMBER(INDEX(AllCollegeGR, MATCH(N356,AllCollegeNCES,0))),ROUND(INDEX(AllCollegeGR, MATCH(N356,AllCollegeNCES,0))+Z356*IF(INDEX(AllCollegeGR, MATCH(N356,AllCollegeNCES,0))&gt;0.7,(1-INDEX(AllCollegeGR, MATCH(N356,AllCollegeNCES,0)))/2,0.15),2),INDEX(AllCollegeGR, MATCH(N356,AllCollegeNCES,0)))</f>
        <v>0</v>
      </c>
      <c r="AB356">
        <f>IF(ISNUMBER(INDEX(AllCollegeAAHGR, MATCH(N356,AllCollegeNCES,0))),ROUND(INDEX(AllCollegeAAHGR, MATCH(N356,AllCollegeNCES,0))+Z356*IF(INDEX(AllCollegeAAHGR, MATCH(N356,AllCollegeNCES,0))&gt;0.7,(1-INDEX(AllCollegeAAHGR, MATCH(N356,AllCollegeNCES,0)))/2,0.15),2),INDEX(AllCollegeAAHGR, MATCH(N356,AllCollegeNCES,0)))</f>
        <v>0</v>
      </c>
      <c r="AC356">
        <f>IF(OR(W356="H",W356="B"),INDEX(AllCollegeSAT25, MATCH(N356,AllCollegeNCES,0)),INDEX(AllCollegeSAT50, MATCH(N356,AllCollegeNCES,0)))</f>
        <v>0</v>
      </c>
      <c r="AD356">
        <f>INDEX(CustomWeightsGPA,MATCH(W356&amp;":"&amp;N356,CustomWeightsIndex,0))</f>
        <v>0</v>
      </c>
      <c r="AE356">
        <f>INDEX(CustomWeightsSAT,MATCH(W356&amp;":"&amp;N356,CustomWeightsIndex,0))</f>
        <v>0</v>
      </c>
      <c r="AF356">
        <f>INDEX(CustomWeightsIntercept,MATCH(W356&amp;":"&amp;N356,CustomWeightsIndex,0))</f>
        <v>0</v>
      </c>
      <c r="AG356">
        <f>AD356*S356+AE356*T356+AF356</f>
        <v>0</v>
      </c>
      <c r="AH356">
        <f>INDEX(CoefficientsGPA,MATCH(W356&amp;":"&amp;R356,CoefficientsIndex,0))</f>
        <v>0</v>
      </c>
      <c r="AI356">
        <f>INDEX(CoefficientsSAT,MATCH(W356&amp;":"&amp;R356,CoefficientsIndex,0))</f>
        <v>0</v>
      </c>
      <c r="AJ356">
        <f>INDEX(CoefficientsIntercept,MATCH(W356&amp;":"&amp;R356,CoefficientsIndex,0))</f>
        <v>0</v>
      </c>
      <c r="AK356">
        <f>AH356*S356+(T356-AC356)*AI356+AJ356</f>
        <v>0</v>
      </c>
      <c r="AL356">
        <f>IF(ISNUMBER(AG356),AG356,AK356)</f>
        <v>0</v>
      </c>
      <c r="AM356">
        <f>IF(ISNUMBER(AL356),IF(ISNUMBER(AH356),IF(AND(AH356=1,AI356=1,AJ356=1),100,MIN(99,ROUND(100*EXP(AL356)/(1+EXP(AL356)),2))),MIN(99,ROUND(100*EXP(AL356)/(1+EXP(AL356)),2))),IF(ISTEXT(R356),IF(LEFT(R356,1)="2",100,"N/A"),"N/A"))</f>
        <v>0</v>
      </c>
      <c r="AN356">
        <f>IF(ISNUMBER(AM356),IF(AM356&gt;=99,IF(OR(U356=10,U356=11),MatchLabel,SureThingLabel),IF(AM356&gt;=95,SecureLabel,IF(AM356&gt;=80,SafetyLabel,IF(AM356&gt;=50,MatchLabel,IF(AM356&gt;=20,ReachLabel,IF(AM356&gt;=10,LongshotLabel,HailMaryLabel)))))),"Other")</f>
        <v>0</v>
      </c>
      <c r="AO356">
        <f>IF(OR(I356="accepted",I356="cond. accept",I356="summer admit"),IF(J356="yes","CHOICE!","Accepted!"),IF(I356="guar. transfer","Guar. Xfer",IF(I356="denied","Denied",IF(K356=1,"Waitlist",IF(L356=1,"Deferred",IF(G356="pending","Pending",IF(OR(G356="initial materials submitted",G356="mid-year submitted",G356="final submitted"),"Submitted",IF(H356="interest","Interest","?"))))))))</f>
        <v>0</v>
      </c>
      <c r="AP356">
        <f>IF(OR(AN356=ReachLabel,AN356=LongshotLabel,AN356=HailMaryLabel),1,0)</f>
        <v>0</v>
      </c>
      <c r="AQ356">
        <f>IF(OR(AP356=1,AN356=MatchLabel),1,0)</f>
        <v>0</v>
      </c>
      <c r="AR356">
        <f>IF(OR(AN356=MatchLabel,AN356=SafetyLabel,AN356=SecureLabel,AN356=SureThingLabel),1,0)</f>
        <v>0</v>
      </c>
      <c r="AS356">
        <f>IF(OR(W356="H",W356="B",W356="I",W356="M"),IF(ISNUMBER(AB356),ROUND(AB356,2),0),IF(ISNUMBER(AA356),ROUND(AA356,2),0))</f>
        <v>0</v>
      </c>
      <c r="AT356">
        <f>IF(AS356&gt;=X356,1,0)</f>
        <v>0</v>
      </c>
      <c r="AU356">
        <f>IF(AS356&gt;=Y356,1,0)</f>
        <v>0</v>
      </c>
      <c r="AV356">
        <f>IF(AS356&lt;(X356-0.10),1,0)</f>
        <v>0</v>
      </c>
      <c r="AW356">
        <f>1-AM356/100</f>
        <v>0</v>
      </c>
      <c r="AX356">
        <f>IF(AQ356=1,AW356,1)</f>
        <v>0</v>
      </c>
      <c r="AY356">
        <f>IF(AP356=1,AW356,1)</f>
        <v>0</v>
      </c>
      <c r="AZ356">
        <f>IF(AND(AT356=1,ISNUMBER(AW356)),$AW356,1)</f>
        <v>0</v>
      </c>
      <c r="BA356">
        <f>IF(AND(AU356=1,ISNUMBER(AW356)),$AW356,1)</f>
        <v>0</v>
      </c>
      <c r="BB356">
        <f>IF(ISNUMBER(AB356),INDEX(AllCollegeMoney, MATCH(N356,AllCollegeNCES,0)),0)</f>
        <v>0</v>
      </c>
      <c r="BC356">
        <f>IF(AND(AT356=1,ISNUMBER(AW356),BB356=1),$AW356,1)</f>
        <v>0</v>
      </c>
      <c r="BD356">
        <f>IF(AND(AU356=1,ISNUMBER(AW356),BB356=1),$AW356,1)</f>
        <v>0</v>
      </c>
      <c r="BE356">
        <f>IF(ISNUMBER(AB356),INDEX(AllCollegeILPub, MATCH(N356,AllCollegeNCES,0)),0)</f>
        <v>0</v>
      </c>
      <c r="BF356">
        <f>IF(AN356=ReachLabel,AS356,0)</f>
        <v>0</v>
      </c>
      <c r="BG356">
        <f>IF(AN356=MatchLabel,AS356,0)</f>
        <v>0</v>
      </c>
      <c r="BH356">
        <f>IF(AN356=SafetyLabel,AS356,0)</f>
        <v>0</v>
      </c>
      <c r="BI356">
        <f>IF(AN356=SecureLabel,AS356,0)</f>
        <v>0</v>
      </c>
      <c r="BJ356">
        <f>IF(AN356=SureThingLabel,AS356,0)</f>
        <v>0</v>
      </c>
      <c r="BK356">
        <f>MAX(BF356:BJ356)</f>
        <v>0</v>
      </c>
      <c r="BL356">
        <f>MAX(BG356:BJ356)</f>
        <v>0</v>
      </c>
      <c r="BM356">
        <f>MAX(BH356:BJ356)</f>
        <v>0</v>
      </c>
      <c r="BN356">
        <f>IF(AND(AN356=ReachLabel,BB356=1),AS356,0)</f>
        <v>0</v>
      </c>
      <c r="BO356">
        <f>IF(AND(AN356=MatchLabel,BB356=1),AS356,0)</f>
        <v>0</v>
      </c>
      <c r="BP356">
        <f>IF(AND(AN356=SafetyLabel,BB356=1),AS356,0)</f>
        <v>0</v>
      </c>
      <c r="BQ356">
        <f>IF(AND(AN356=SecureLabel,BB356=1),AS356,0)</f>
        <v>0</v>
      </c>
      <c r="BR356">
        <f>IF(AND(AN356=SureThingLabel,BB356=1),AS356,0)</f>
        <v>0</v>
      </c>
      <c r="BS356">
        <f>MAX(BN356:BR356)</f>
        <v>0</v>
      </c>
      <c r="BT356">
        <f>MAX(BO356:BR356)</f>
        <v>0</v>
      </c>
      <c r="BU356">
        <f>MAX(BP356:BR356)</f>
        <v>0</v>
      </c>
      <c r="BV356">
        <f>IF(ISNUMBER(AB356),INDEX(AllCollegeChicago, MATCH(N356,AllCollegeNCES,0))*BB356,0)</f>
        <v>0</v>
      </c>
      <c r="BW356">
        <f>IF(ISNUMBER(AB356),INDEX(AllCollegeMoneyCode, MATCH(N356,AllCollegeNCES,0)),"?")</f>
        <v>0</v>
      </c>
      <c r="BX356">
        <f>IF(OR(BW356="---",BW356="--",BW356="+/--",BW356="+/---"),1,0)</f>
        <v>0</v>
      </c>
      <c r="BY356">
        <f>BB356*AR356*AT356</f>
        <v>0</v>
      </c>
    </row>
    <row r="357" spans="1:77">
      <c r="A357" t="s">
        <v>96</v>
      </c>
      <c r="B357">
        <v>23274999</v>
      </c>
      <c r="C357" t="s">
        <v>276</v>
      </c>
      <c r="D357" t="s">
        <v>277</v>
      </c>
      <c r="E357" t="s">
        <v>446</v>
      </c>
      <c r="F357" t="s">
        <v>471</v>
      </c>
      <c r="G357" t="s">
        <v>448</v>
      </c>
      <c r="H357" t="s">
        <v>449</v>
      </c>
      <c r="I357" t="s">
        <v>450</v>
      </c>
      <c r="J357" t="s">
        <v>450</v>
      </c>
      <c r="K357">
        <v>0</v>
      </c>
      <c r="L357" t="s">
        <v>446</v>
      </c>
      <c r="M357" t="s">
        <v>446</v>
      </c>
      <c r="N357">
        <v>202523</v>
      </c>
      <c r="O357">
        <f>INDEX(Counselor,MATCH(B357,KidIDs,0))</f>
        <v>0</v>
      </c>
      <c r="P357">
        <f>INDEX(Advisors,MATCH(B357,KidIDs,0))</f>
        <v>0</v>
      </c>
      <c r="Q357">
        <f>INDEX(Cohort,MATCH(B357,KidIDs,0))</f>
        <v>0</v>
      </c>
      <c r="R357">
        <f>INDEX(AllCollegeBarrons,MATCH(N357,AllCollegeNCES,0))</f>
        <v>0</v>
      </c>
      <c r="S357">
        <f>INDEX(KidGPAs,MATCH(B357,KidIDs,0))</f>
        <v>0</v>
      </c>
      <c r="T357">
        <f>INDEX(KidSATs,MATCH(B357,KidIDs,0))</f>
        <v>0</v>
      </c>
      <c r="U357">
        <f>INDEX(Strats,MATCH(B357,KidIDs,0))</f>
        <v>0</v>
      </c>
      <c r="V357">
        <f>INDEX(KidRace,MATCH(B357,KidIDs,0))</f>
        <v>0</v>
      </c>
      <c r="W357">
        <f>IF(OR(V357="M",V357="I"),"H",IF(V357="P","A",V357))</f>
        <v>0</v>
      </c>
      <c r="X357">
        <f>INDEX(StudentTargets,MATCH(B357,KidIDs,0))</f>
        <v>0</v>
      </c>
      <c r="Y357">
        <f>INDEX(ReachStudentTargets,MATCH(B357,KidIDs,0))</f>
        <v>0</v>
      </c>
      <c r="Z357">
        <f>IF(OR(M357="Posse"),1,0)</f>
        <v>0</v>
      </c>
      <c r="AA357">
        <f>IF(ISNUMBER(INDEX(AllCollegeGR, MATCH(N357,AllCollegeNCES,0))),ROUND(INDEX(AllCollegeGR, MATCH(N357,AllCollegeNCES,0))+Z357*IF(INDEX(AllCollegeGR, MATCH(N357,AllCollegeNCES,0))&gt;0.7,(1-INDEX(AllCollegeGR, MATCH(N357,AllCollegeNCES,0)))/2,0.15),2),INDEX(AllCollegeGR, MATCH(N357,AllCollegeNCES,0)))</f>
        <v>0</v>
      </c>
      <c r="AB357">
        <f>IF(ISNUMBER(INDEX(AllCollegeAAHGR, MATCH(N357,AllCollegeNCES,0))),ROUND(INDEX(AllCollegeAAHGR, MATCH(N357,AllCollegeNCES,0))+Z357*IF(INDEX(AllCollegeAAHGR, MATCH(N357,AllCollegeNCES,0))&gt;0.7,(1-INDEX(AllCollegeAAHGR, MATCH(N357,AllCollegeNCES,0)))/2,0.15),2),INDEX(AllCollegeAAHGR, MATCH(N357,AllCollegeNCES,0)))</f>
        <v>0</v>
      </c>
      <c r="AC357">
        <f>IF(OR(W357="H",W357="B"),INDEX(AllCollegeSAT25, MATCH(N357,AllCollegeNCES,0)),INDEX(AllCollegeSAT50, MATCH(N357,AllCollegeNCES,0)))</f>
        <v>0</v>
      </c>
      <c r="AD357">
        <f>INDEX(CustomWeightsGPA,MATCH(W357&amp;":"&amp;N357,CustomWeightsIndex,0))</f>
        <v>0</v>
      </c>
      <c r="AE357">
        <f>INDEX(CustomWeightsSAT,MATCH(W357&amp;":"&amp;N357,CustomWeightsIndex,0))</f>
        <v>0</v>
      </c>
      <c r="AF357">
        <f>INDEX(CustomWeightsIntercept,MATCH(W357&amp;":"&amp;N357,CustomWeightsIndex,0))</f>
        <v>0</v>
      </c>
      <c r="AG357">
        <f>AD357*S357+AE357*T357+AF357</f>
        <v>0</v>
      </c>
      <c r="AH357">
        <f>INDEX(CoefficientsGPA,MATCH(W357&amp;":"&amp;R357,CoefficientsIndex,0))</f>
        <v>0</v>
      </c>
      <c r="AI357">
        <f>INDEX(CoefficientsSAT,MATCH(W357&amp;":"&amp;R357,CoefficientsIndex,0))</f>
        <v>0</v>
      </c>
      <c r="AJ357">
        <f>INDEX(CoefficientsIntercept,MATCH(W357&amp;":"&amp;R357,CoefficientsIndex,0))</f>
        <v>0</v>
      </c>
      <c r="AK357">
        <f>AH357*S357+(T357-AC357)*AI357+AJ357</f>
        <v>0</v>
      </c>
      <c r="AL357">
        <f>IF(ISNUMBER(AG357),AG357,AK357)</f>
        <v>0</v>
      </c>
      <c r="AM357">
        <f>IF(ISNUMBER(AL357),IF(ISNUMBER(AH357),IF(AND(AH357=1,AI357=1,AJ357=1),100,MIN(99,ROUND(100*EXP(AL357)/(1+EXP(AL357)),2))),MIN(99,ROUND(100*EXP(AL357)/(1+EXP(AL357)),2))),IF(ISTEXT(R357),IF(LEFT(R357,1)="2",100,"N/A"),"N/A"))</f>
        <v>0</v>
      </c>
      <c r="AN357">
        <f>IF(ISNUMBER(AM357),IF(AM357&gt;=99,IF(OR(U357=10,U357=11),MatchLabel,SureThingLabel),IF(AM357&gt;=95,SecureLabel,IF(AM357&gt;=80,SafetyLabel,IF(AM357&gt;=50,MatchLabel,IF(AM357&gt;=20,ReachLabel,IF(AM357&gt;=10,LongshotLabel,HailMaryLabel)))))),"Other")</f>
        <v>0</v>
      </c>
      <c r="AO357">
        <f>IF(OR(I357="accepted",I357="cond. accept",I357="summer admit"),IF(J357="yes","CHOICE!","Accepted!"),IF(I357="guar. transfer","Guar. Xfer",IF(I357="denied","Denied",IF(K357=1,"Waitlist",IF(L357=1,"Deferred",IF(G357="pending","Pending",IF(OR(G357="initial materials submitted",G357="mid-year submitted",G357="final submitted"),"Submitted",IF(H357="interest","Interest","?"))))))))</f>
        <v>0</v>
      </c>
      <c r="AP357">
        <f>IF(OR(AN357=ReachLabel,AN357=LongshotLabel,AN357=HailMaryLabel),1,0)</f>
        <v>0</v>
      </c>
      <c r="AQ357">
        <f>IF(OR(AP357=1,AN357=MatchLabel),1,0)</f>
        <v>0</v>
      </c>
      <c r="AR357">
        <f>IF(OR(AN357=MatchLabel,AN357=SafetyLabel,AN357=SecureLabel,AN357=SureThingLabel),1,0)</f>
        <v>0</v>
      </c>
      <c r="AS357">
        <f>IF(OR(W357="H",W357="B",W357="I",W357="M"),IF(ISNUMBER(AB357),ROUND(AB357,2),0),IF(ISNUMBER(AA357),ROUND(AA357,2),0))</f>
        <v>0</v>
      </c>
      <c r="AT357">
        <f>IF(AS357&gt;=X357,1,0)</f>
        <v>0</v>
      </c>
      <c r="AU357">
        <f>IF(AS357&gt;=Y357,1,0)</f>
        <v>0</v>
      </c>
      <c r="AV357">
        <f>IF(AS357&lt;(X357-0.10),1,0)</f>
        <v>0</v>
      </c>
      <c r="AW357">
        <f>1-AM357/100</f>
        <v>0</v>
      </c>
      <c r="AX357">
        <f>IF(AQ357=1,AW357,1)</f>
        <v>0</v>
      </c>
      <c r="AY357">
        <f>IF(AP357=1,AW357,1)</f>
        <v>0</v>
      </c>
      <c r="AZ357">
        <f>IF(AND(AT357=1,ISNUMBER(AW357)),$AW357,1)</f>
        <v>0</v>
      </c>
      <c r="BA357">
        <f>IF(AND(AU357=1,ISNUMBER(AW357)),$AW357,1)</f>
        <v>0</v>
      </c>
      <c r="BB357">
        <f>IF(ISNUMBER(AB357),INDEX(AllCollegeMoney, MATCH(N357,AllCollegeNCES,0)),0)</f>
        <v>0</v>
      </c>
      <c r="BC357">
        <f>IF(AND(AT357=1,ISNUMBER(AW357),BB357=1),$AW357,1)</f>
        <v>0</v>
      </c>
      <c r="BD357">
        <f>IF(AND(AU357=1,ISNUMBER(AW357),BB357=1),$AW357,1)</f>
        <v>0</v>
      </c>
      <c r="BE357">
        <f>IF(ISNUMBER(AB357),INDEX(AllCollegeILPub, MATCH(N357,AllCollegeNCES,0)),0)</f>
        <v>0</v>
      </c>
      <c r="BF357">
        <f>IF(AN357=ReachLabel,AS357,0)</f>
        <v>0</v>
      </c>
      <c r="BG357">
        <f>IF(AN357=MatchLabel,AS357,0)</f>
        <v>0</v>
      </c>
      <c r="BH357">
        <f>IF(AN357=SafetyLabel,AS357,0)</f>
        <v>0</v>
      </c>
      <c r="BI357">
        <f>IF(AN357=SecureLabel,AS357,0)</f>
        <v>0</v>
      </c>
      <c r="BJ357">
        <f>IF(AN357=SureThingLabel,AS357,0)</f>
        <v>0</v>
      </c>
      <c r="BK357">
        <f>MAX(BF357:BJ357)</f>
        <v>0</v>
      </c>
      <c r="BL357">
        <f>MAX(BG357:BJ357)</f>
        <v>0</v>
      </c>
      <c r="BM357">
        <f>MAX(BH357:BJ357)</f>
        <v>0</v>
      </c>
      <c r="BN357">
        <f>IF(AND(AN357=ReachLabel,BB357=1),AS357,0)</f>
        <v>0</v>
      </c>
      <c r="BO357">
        <f>IF(AND(AN357=MatchLabel,BB357=1),AS357,0)</f>
        <v>0</v>
      </c>
      <c r="BP357">
        <f>IF(AND(AN357=SafetyLabel,BB357=1),AS357,0)</f>
        <v>0</v>
      </c>
      <c r="BQ357">
        <f>IF(AND(AN357=SecureLabel,BB357=1),AS357,0)</f>
        <v>0</v>
      </c>
      <c r="BR357">
        <f>IF(AND(AN357=SureThingLabel,BB357=1),AS357,0)</f>
        <v>0</v>
      </c>
      <c r="BS357">
        <f>MAX(BN357:BR357)</f>
        <v>0</v>
      </c>
      <c r="BT357">
        <f>MAX(BO357:BR357)</f>
        <v>0</v>
      </c>
      <c r="BU357">
        <f>MAX(BP357:BR357)</f>
        <v>0</v>
      </c>
      <c r="BV357">
        <f>IF(ISNUMBER(AB357),INDEX(AllCollegeChicago, MATCH(N357,AllCollegeNCES,0))*BB357,0)</f>
        <v>0</v>
      </c>
      <c r="BW357">
        <f>IF(ISNUMBER(AB357),INDEX(AllCollegeMoneyCode, MATCH(N357,AllCollegeNCES,0)),"?")</f>
        <v>0</v>
      </c>
      <c r="BX357">
        <f>IF(OR(BW357="---",BW357="--",BW357="+/--",BW357="+/---"),1,0)</f>
        <v>0</v>
      </c>
      <c r="BY357">
        <f>BB357*AR357*AT357</f>
        <v>0</v>
      </c>
    </row>
    <row r="358" spans="1:77">
      <c r="A358" t="s">
        <v>96</v>
      </c>
      <c r="B358">
        <v>23274999</v>
      </c>
      <c r="C358" t="s">
        <v>276</v>
      </c>
      <c r="D358" t="s">
        <v>277</v>
      </c>
      <c r="E358" t="s">
        <v>446</v>
      </c>
      <c r="F358" t="s">
        <v>472</v>
      </c>
      <c r="G358" t="s">
        <v>448</v>
      </c>
      <c r="H358" t="s">
        <v>449</v>
      </c>
      <c r="I358" t="s">
        <v>450</v>
      </c>
      <c r="J358" t="s">
        <v>450</v>
      </c>
      <c r="K358">
        <v>0</v>
      </c>
      <c r="L358" t="s">
        <v>446</v>
      </c>
      <c r="M358" t="s">
        <v>446</v>
      </c>
      <c r="N358">
        <v>212674</v>
      </c>
      <c r="O358">
        <f>INDEX(Counselor,MATCH(B358,KidIDs,0))</f>
        <v>0</v>
      </c>
      <c r="P358">
        <f>INDEX(Advisors,MATCH(B358,KidIDs,0))</f>
        <v>0</v>
      </c>
      <c r="Q358">
        <f>INDEX(Cohort,MATCH(B358,KidIDs,0))</f>
        <v>0</v>
      </c>
      <c r="R358">
        <f>INDEX(AllCollegeBarrons,MATCH(N358,AllCollegeNCES,0))</f>
        <v>0</v>
      </c>
      <c r="S358">
        <f>INDEX(KidGPAs,MATCH(B358,KidIDs,0))</f>
        <v>0</v>
      </c>
      <c r="T358">
        <f>INDEX(KidSATs,MATCH(B358,KidIDs,0))</f>
        <v>0</v>
      </c>
      <c r="U358">
        <f>INDEX(Strats,MATCH(B358,KidIDs,0))</f>
        <v>0</v>
      </c>
      <c r="V358">
        <f>INDEX(KidRace,MATCH(B358,KidIDs,0))</f>
        <v>0</v>
      </c>
      <c r="W358">
        <f>IF(OR(V358="M",V358="I"),"H",IF(V358="P","A",V358))</f>
        <v>0</v>
      </c>
      <c r="X358">
        <f>INDEX(StudentTargets,MATCH(B358,KidIDs,0))</f>
        <v>0</v>
      </c>
      <c r="Y358">
        <f>INDEX(ReachStudentTargets,MATCH(B358,KidIDs,0))</f>
        <v>0</v>
      </c>
      <c r="Z358">
        <f>IF(OR(M358="Posse"),1,0)</f>
        <v>0</v>
      </c>
      <c r="AA358">
        <f>IF(ISNUMBER(INDEX(AllCollegeGR, MATCH(N358,AllCollegeNCES,0))),ROUND(INDEX(AllCollegeGR, MATCH(N358,AllCollegeNCES,0))+Z358*IF(INDEX(AllCollegeGR, MATCH(N358,AllCollegeNCES,0))&gt;0.7,(1-INDEX(AllCollegeGR, MATCH(N358,AllCollegeNCES,0)))/2,0.15),2),INDEX(AllCollegeGR, MATCH(N358,AllCollegeNCES,0)))</f>
        <v>0</v>
      </c>
      <c r="AB358">
        <f>IF(ISNUMBER(INDEX(AllCollegeAAHGR, MATCH(N358,AllCollegeNCES,0))),ROUND(INDEX(AllCollegeAAHGR, MATCH(N358,AllCollegeNCES,0))+Z358*IF(INDEX(AllCollegeAAHGR, MATCH(N358,AllCollegeNCES,0))&gt;0.7,(1-INDEX(AllCollegeAAHGR, MATCH(N358,AllCollegeNCES,0)))/2,0.15),2),INDEX(AllCollegeAAHGR, MATCH(N358,AllCollegeNCES,0)))</f>
        <v>0</v>
      </c>
      <c r="AC358">
        <f>IF(OR(W358="H",W358="B"),INDEX(AllCollegeSAT25, MATCH(N358,AllCollegeNCES,0)),INDEX(AllCollegeSAT50, MATCH(N358,AllCollegeNCES,0)))</f>
        <v>0</v>
      </c>
      <c r="AD358">
        <f>INDEX(CustomWeightsGPA,MATCH(W358&amp;":"&amp;N358,CustomWeightsIndex,0))</f>
        <v>0</v>
      </c>
      <c r="AE358">
        <f>INDEX(CustomWeightsSAT,MATCH(W358&amp;":"&amp;N358,CustomWeightsIndex,0))</f>
        <v>0</v>
      </c>
      <c r="AF358">
        <f>INDEX(CustomWeightsIntercept,MATCH(W358&amp;":"&amp;N358,CustomWeightsIndex,0))</f>
        <v>0</v>
      </c>
      <c r="AG358">
        <f>AD358*S358+AE358*T358+AF358</f>
        <v>0</v>
      </c>
      <c r="AH358">
        <f>INDEX(CoefficientsGPA,MATCH(W358&amp;":"&amp;R358,CoefficientsIndex,0))</f>
        <v>0</v>
      </c>
      <c r="AI358">
        <f>INDEX(CoefficientsSAT,MATCH(W358&amp;":"&amp;R358,CoefficientsIndex,0))</f>
        <v>0</v>
      </c>
      <c r="AJ358">
        <f>INDEX(CoefficientsIntercept,MATCH(W358&amp;":"&amp;R358,CoefficientsIndex,0))</f>
        <v>0</v>
      </c>
      <c r="AK358">
        <f>AH358*S358+(T358-AC358)*AI358+AJ358</f>
        <v>0</v>
      </c>
      <c r="AL358">
        <f>IF(ISNUMBER(AG358),AG358,AK358)</f>
        <v>0</v>
      </c>
      <c r="AM358">
        <f>IF(ISNUMBER(AL358),IF(ISNUMBER(AH358),IF(AND(AH358=1,AI358=1,AJ358=1),100,MIN(99,ROUND(100*EXP(AL358)/(1+EXP(AL358)),2))),MIN(99,ROUND(100*EXP(AL358)/(1+EXP(AL358)),2))),IF(ISTEXT(R358),IF(LEFT(R358,1)="2",100,"N/A"),"N/A"))</f>
        <v>0</v>
      </c>
      <c r="AN358">
        <f>IF(ISNUMBER(AM358),IF(AM358&gt;=99,IF(OR(U358=10,U358=11),MatchLabel,SureThingLabel),IF(AM358&gt;=95,SecureLabel,IF(AM358&gt;=80,SafetyLabel,IF(AM358&gt;=50,MatchLabel,IF(AM358&gt;=20,ReachLabel,IF(AM358&gt;=10,LongshotLabel,HailMaryLabel)))))),"Other")</f>
        <v>0</v>
      </c>
      <c r="AO358">
        <f>IF(OR(I358="accepted",I358="cond. accept",I358="summer admit"),IF(J358="yes","CHOICE!","Accepted!"),IF(I358="guar. transfer","Guar. Xfer",IF(I358="denied","Denied",IF(K358=1,"Waitlist",IF(L358=1,"Deferred",IF(G358="pending","Pending",IF(OR(G358="initial materials submitted",G358="mid-year submitted",G358="final submitted"),"Submitted",IF(H358="interest","Interest","?"))))))))</f>
        <v>0</v>
      </c>
      <c r="AP358">
        <f>IF(OR(AN358=ReachLabel,AN358=LongshotLabel,AN358=HailMaryLabel),1,0)</f>
        <v>0</v>
      </c>
      <c r="AQ358">
        <f>IF(OR(AP358=1,AN358=MatchLabel),1,0)</f>
        <v>0</v>
      </c>
      <c r="AR358">
        <f>IF(OR(AN358=MatchLabel,AN358=SafetyLabel,AN358=SecureLabel,AN358=SureThingLabel),1,0)</f>
        <v>0</v>
      </c>
      <c r="AS358">
        <f>IF(OR(W358="H",W358="B",W358="I",W358="M"),IF(ISNUMBER(AB358),ROUND(AB358,2),0),IF(ISNUMBER(AA358),ROUND(AA358,2),0))</f>
        <v>0</v>
      </c>
      <c r="AT358">
        <f>IF(AS358&gt;=X358,1,0)</f>
        <v>0</v>
      </c>
      <c r="AU358">
        <f>IF(AS358&gt;=Y358,1,0)</f>
        <v>0</v>
      </c>
      <c r="AV358">
        <f>IF(AS358&lt;(X358-0.10),1,0)</f>
        <v>0</v>
      </c>
      <c r="AW358">
        <f>1-AM358/100</f>
        <v>0</v>
      </c>
      <c r="AX358">
        <f>IF(AQ358=1,AW358,1)</f>
        <v>0</v>
      </c>
      <c r="AY358">
        <f>IF(AP358=1,AW358,1)</f>
        <v>0</v>
      </c>
      <c r="AZ358">
        <f>IF(AND(AT358=1,ISNUMBER(AW358)),$AW358,1)</f>
        <v>0</v>
      </c>
      <c r="BA358">
        <f>IF(AND(AU358=1,ISNUMBER(AW358)),$AW358,1)</f>
        <v>0</v>
      </c>
      <c r="BB358">
        <f>IF(ISNUMBER(AB358),INDEX(AllCollegeMoney, MATCH(N358,AllCollegeNCES,0)),0)</f>
        <v>0</v>
      </c>
      <c r="BC358">
        <f>IF(AND(AT358=1,ISNUMBER(AW358),BB358=1),$AW358,1)</f>
        <v>0</v>
      </c>
      <c r="BD358">
        <f>IF(AND(AU358=1,ISNUMBER(AW358),BB358=1),$AW358,1)</f>
        <v>0</v>
      </c>
      <c r="BE358">
        <f>IF(ISNUMBER(AB358),INDEX(AllCollegeILPub, MATCH(N358,AllCollegeNCES,0)),0)</f>
        <v>0</v>
      </c>
      <c r="BF358">
        <f>IF(AN358=ReachLabel,AS358,0)</f>
        <v>0</v>
      </c>
      <c r="BG358">
        <f>IF(AN358=MatchLabel,AS358,0)</f>
        <v>0</v>
      </c>
      <c r="BH358">
        <f>IF(AN358=SafetyLabel,AS358,0)</f>
        <v>0</v>
      </c>
      <c r="BI358">
        <f>IF(AN358=SecureLabel,AS358,0)</f>
        <v>0</v>
      </c>
      <c r="BJ358">
        <f>IF(AN358=SureThingLabel,AS358,0)</f>
        <v>0</v>
      </c>
      <c r="BK358">
        <f>MAX(BF358:BJ358)</f>
        <v>0</v>
      </c>
      <c r="BL358">
        <f>MAX(BG358:BJ358)</f>
        <v>0</v>
      </c>
      <c r="BM358">
        <f>MAX(BH358:BJ358)</f>
        <v>0</v>
      </c>
      <c r="BN358">
        <f>IF(AND(AN358=ReachLabel,BB358=1),AS358,0)</f>
        <v>0</v>
      </c>
      <c r="BO358">
        <f>IF(AND(AN358=MatchLabel,BB358=1),AS358,0)</f>
        <v>0</v>
      </c>
      <c r="BP358">
        <f>IF(AND(AN358=SafetyLabel,BB358=1),AS358,0)</f>
        <v>0</v>
      </c>
      <c r="BQ358">
        <f>IF(AND(AN358=SecureLabel,BB358=1),AS358,0)</f>
        <v>0</v>
      </c>
      <c r="BR358">
        <f>IF(AND(AN358=SureThingLabel,BB358=1),AS358,0)</f>
        <v>0</v>
      </c>
      <c r="BS358">
        <f>MAX(BN358:BR358)</f>
        <v>0</v>
      </c>
      <c r="BT358">
        <f>MAX(BO358:BR358)</f>
        <v>0</v>
      </c>
      <c r="BU358">
        <f>MAX(BP358:BR358)</f>
        <v>0</v>
      </c>
      <c r="BV358">
        <f>IF(ISNUMBER(AB358),INDEX(AllCollegeChicago, MATCH(N358,AllCollegeNCES,0))*BB358,0)</f>
        <v>0</v>
      </c>
      <c r="BW358">
        <f>IF(ISNUMBER(AB358),INDEX(AllCollegeMoneyCode, MATCH(N358,AllCollegeNCES,0)),"?")</f>
        <v>0</v>
      </c>
      <c r="BX358">
        <f>IF(OR(BW358="---",BW358="--",BW358="+/--",BW358="+/---"),1,0)</f>
        <v>0</v>
      </c>
      <c r="BY358">
        <f>BB358*AR358*AT358</f>
        <v>0</v>
      </c>
    </row>
    <row r="359" spans="1:77">
      <c r="A359" t="s">
        <v>96</v>
      </c>
      <c r="B359">
        <v>23274999</v>
      </c>
      <c r="C359" t="s">
        <v>276</v>
      </c>
      <c r="D359" t="s">
        <v>277</v>
      </c>
      <c r="E359" t="s">
        <v>446</v>
      </c>
      <c r="F359" t="s">
        <v>486</v>
      </c>
      <c r="G359" t="s">
        <v>448</v>
      </c>
      <c r="H359" t="s">
        <v>449</v>
      </c>
      <c r="I359" t="s">
        <v>450</v>
      </c>
      <c r="J359" t="s">
        <v>450</v>
      </c>
      <c r="K359">
        <v>0</v>
      </c>
      <c r="L359" t="s">
        <v>446</v>
      </c>
      <c r="M359" t="s">
        <v>446</v>
      </c>
      <c r="N359">
        <v>206589</v>
      </c>
      <c r="O359">
        <f>INDEX(Counselor,MATCH(B359,KidIDs,0))</f>
        <v>0</v>
      </c>
      <c r="P359">
        <f>INDEX(Advisors,MATCH(B359,KidIDs,0))</f>
        <v>0</v>
      </c>
      <c r="Q359">
        <f>INDEX(Cohort,MATCH(B359,KidIDs,0))</f>
        <v>0</v>
      </c>
      <c r="R359">
        <f>INDEX(AllCollegeBarrons,MATCH(N359,AllCollegeNCES,0))</f>
        <v>0</v>
      </c>
      <c r="S359">
        <f>INDEX(KidGPAs,MATCH(B359,KidIDs,0))</f>
        <v>0</v>
      </c>
      <c r="T359">
        <f>INDEX(KidSATs,MATCH(B359,KidIDs,0))</f>
        <v>0</v>
      </c>
      <c r="U359">
        <f>INDEX(Strats,MATCH(B359,KidIDs,0))</f>
        <v>0</v>
      </c>
      <c r="V359">
        <f>INDEX(KidRace,MATCH(B359,KidIDs,0))</f>
        <v>0</v>
      </c>
      <c r="W359">
        <f>IF(OR(V359="M",V359="I"),"H",IF(V359="P","A",V359))</f>
        <v>0</v>
      </c>
      <c r="X359">
        <f>INDEX(StudentTargets,MATCH(B359,KidIDs,0))</f>
        <v>0</v>
      </c>
      <c r="Y359">
        <f>INDEX(ReachStudentTargets,MATCH(B359,KidIDs,0))</f>
        <v>0</v>
      </c>
      <c r="Z359">
        <f>IF(OR(M359="Posse"),1,0)</f>
        <v>0</v>
      </c>
      <c r="AA359">
        <f>IF(ISNUMBER(INDEX(AllCollegeGR, MATCH(N359,AllCollegeNCES,0))),ROUND(INDEX(AllCollegeGR, MATCH(N359,AllCollegeNCES,0))+Z359*IF(INDEX(AllCollegeGR, MATCH(N359,AllCollegeNCES,0))&gt;0.7,(1-INDEX(AllCollegeGR, MATCH(N359,AllCollegeNCES,0)))/2,0.15),2),INDEX(AllCollegeGR, MATCH(N359,AllCollegeNCES,0)))</f>
        <v>0</v>
      </c>
      <c r="AB359">
        <f>IF(ISNUMBER(INDEX(AllCollegeAAHGR, MATCH(N359,AllCollegeNCES,0))),ROUND(INDEX(AllCollegeAAHGR, MATCH(N359,AllCollegeNCES,0))+Z359*IF(INDEX(AllCollegeAAHGR, MATCH(N359,AllCollegeNCES,0))&gt;0.7,(1-INDEX(AllCollegeAAHGR, MATCH(N359,AllCollegeNCES,0)))/2,0.15),2),INDEX(AllCollegeAAHGR, MATCH(N359,AllCollegeNCES,0)))</f>
        <v>0</v>
      </c>
      <c r="AC359">
        <f>IF(OR(W359="H",W359="B"),INDEX(AllCollegeSAT25, MATCH(N359,AllCollegeNCES,0)),INDEX(AllCollegeSAT50, MATCH(N359,AllCollegeNCES,0)))</f>
        <v>0</v>
      </c>
      <c r="AD359">
        <f>INDEX(CustomWeightsGPA,MATCH(W359&amp;":"&amp;N359,CustomWeightsIndex,0))</f>
        <v>0</v>
      </c>
      <c r="AE359">
        <f>INDEX(CustomWeightsSAT,MATCH(W359&amp;":"&amp;N359,CustomWeightsIndex,0))</f>
        <v>0</v>
      </c>
      <c r="AF359">
        <f>INDEX(CustomWeightsIntercept,MATCH(W359&amp;":"&amp;N359,CustomWeightsIndex,0))</f>
        <v>0</v>
      </c>
      <c r="AG359">
        <f>AD359*S359+AE359*T359+AF359</f>
        <v>0</v>
      </c>
      <c r="AH359">
        <f>INDEX(CoefficientsGPA,MATCH(W359&amp;":"&amp;R359,CoefficientsIndex,0))</f>
        <v>0</v>
      </c>
      <c r="AI359">
        <f>INDEX(CoefficientsSAT,MATCH(W359&amp;":"&amp;R359,CoefficientsIndex,0))</f>
        <v>0</v>
      </c>
      <c r="AJ359">
        <f>INDEX(CoefficientsIntercept,MATCH(W359&amp;":"&amp;R359,CoefficientsIndex,0))</f>
        <v>0</v>
      </c>
      <c r="AK359">
        <f>AH359*S359+(T359-AC359)*AI359+AJ359</f>
        <v>0</v>
      </c>
      <c r="AL359">
        <f>IF(ISNUMBER(AG359),AG359,AK359)</f>
        <v>0</v>
      </c>
      <c r="AM359">
        <f>IF(ISNUMBER(AL359),IF(ISNUMBER(AH359),IF(AND(AH359=1,AI359=1,AJ359=1),100,MIN(99,ROUND(100*EXP(AL359)/(1+EXP(AL359)),2))),MIN(99,ROUND(100*EXP(AL359)/(1+EXP(AL359)),2))),IF(ISTEXT(R359),IF(LEFT(R359,1)="2",100,"N/A"),"N/A"))</f>
        <v>0</v>
      </c>
      <c r="AN359">
        <f>IF(ISNUMBER(AM359),IF(AM359&gt;=99,IF(OR(U359=10,U359=11),MatchLabel,SureThingLabel),IF(AM359&gt;=95,SecureLabel,IF(AM359&gt;=80,SafetyLabel,IF(AM359&gt;=50,MatchLabel,IF(AM359&gt;=20,ReachLabel,IF(AM359&gt;=10,LongshotLabel,HailMaryLabel)))))),"Other")</f>
        <v>0</v>
      </c>
      <c r="AO359">
        <f>IF(OR(I359="accepted",I359="cond. accept",I359="summer admit"),IF(J359="yes","CHOICE!","Accepted!"),IF(I359="guar. transfer","Guar. Xfer",IF(I359="denied","Denied",IF(K359=1,"Waitlist",IF(L359=1,"Deferred",IF(G359="pending","Pending",IF(OR(G359="initial materials submitted",G359="mid-year submitted",G359="final submitted"),"Submitted",IF(H359="interest","Interest","?"))))))))</f>
        <v>0</v>
      </c>
      <c r="AP359">
        <f>IF(OR(AN359=ReachLabel,AN359=LongshotLabel,AN359=HailMaryLabel),1,0)</f>
        <v>0</v>
      </c>
      <c r="AQ359">
        <f>IF(OR(AP359=1,AN359=MatchLabel),1,0)</f>
        <v>0</v>
      </c>
      <c r="AR359">
        <f>IF(OR(AN359=MatchLabel,AN359=SafetyLabel,AN359=SecureLabel,AN359=SureThingLabel),1,0)</f>
        <v>0</v>
      </c>
      <c r="AS359">
        <f>IF(OR(W359="H",W359="B",W359="I",W359="M"),IF(ISNUMBER(AB359),ROUND(AB359,2),0),IF(ISNUMBER(AA359),ROUND(AA359,2),0))</f>
        <v>0</v>
      </c>
      <c r="AT359">
        <f>IF(AS359&gt;=X359,1,0)</f>
        <v>0</v>
      </c>
      <c r="AU359">
        <f>IF(AS359&gt;=Y359,1,0)</f>
        <v>0</v>
      </c>
      <c r="AV359">
        <f>IF(AS359&lt;(X359-0.10),1,0)</f>
        <v>0</v>
      </c>
      <c r="AW359">
        <f>1-AM359/100</f>
        <v>0</v>
      </c>
      <c r="AX359">
        <f>IF(AQ359=1,AW359,1)</f>
        <v>0</v>
      </c>
      <c r="AY359">
        <f>IF(AP359=1,AW359,1)</f>
        <v>0</v>
      </c>
      <c r="AZ359">
        <f>IF(AND(AT359=1,ISNUMBER(AW359)),$AW359,1)</f>
        <v>0</v>
      </c>
      <c r="BA359">
        <f>IF(AND(AU359=1,ISNUMBER(AW359)),$AW359,1)</f>
        <v>0</v>
      </c>
      <c r="BB359">
        <f>IF(ISNUMBER(AB359),INDEX(AllCollegeMoney, MATCH(N359,AllCollegeNCES,0)),0)</f>
        <v>0</v>
      </c>
      <c r="BC359">
        <f>IF(AND(AT359=1,ISNUMBER(AW359),BB359=1),$AW359,1)</f>
        <v>0</v>
      </c>
      <c r="BD359">
        <f>IF(AND(AU359=1,ISNUMBER(AW359),BB359=1),$AW359,1)</f>
        <v>0</v>
      </c>
      <c r="BE359">
        <f>IF(ISNUMBER(AB359),INDEX(AllCollegeILPub, MATCH(N359,AllCollegeNCES,0)),0)</f>
        <v>0</v>
      </c>
      <c r="BF359">
        <f>IF(AN359=ReachLabel,AS359,0)</f>
        <v>0</v>
      </c>
      <c r="BG359">
        <f>IF(AN359=MatchLabel,AS359,0)</f>
        <v>0</v>
      </c>
      <c r="BH359">
        <f>IF(AN359=SafetyLabel,AS359,0)</f>
        <v>0</v>
      </c>
      <c r="BI359">
        <f>IF(AN359=SecureLabel,AS359,0)</f>
        <v>0</v>
      </c>
      <c r="BJ359">
        <f>IF(AN359=SureThingLabel,AS359,0)</f>
        <v>0</v>
      </c>
      <c r="BK359">
        <f>MAX(BF359:BJ359)</f>
        <v>0</v>
      </c>
      <c r="BL359">
        <f>MAX(BG359:BJ359)</f>
        <v>0</v>
      </c>
      <c r="BM359">
        <f>MAX(BH359:BJ359)</f>
        <v>0</v>
      </c>
      <c r="BN359">
        <f>IF(AND(AN359=ReachLabel,BB359=1),AS359,0)</f>
        <v>0</v>
      </c>
      <c r="BO359">
        <f>IF(AND(AN359=MatchLabel,BB359=1),AS359,0)</f>
        <v>0</v>
      </c>
      <c r="BP359">
        <f>IF(AND(AN359=SafetyLabel,BB359=1),AS359,0)</f>
        <v>0</v>
      </c>
      <c r="BQ359">
        <f>IF(AND(AN359=SecureLabel,BB359=1),AS359,0)</f>
        <v>0</v>
      </c>
      <c r="BR359">
        <f>IF(AND(AN359=SureThingLabel,BB359=1),AS359,0)</f>
        <v>0</v>
      </c>
      <c r="BS359">
        <f>MAX(BN359:BR359)</f>
        <v>0</v>
      </c>
      <c r="BT359">
        <f>MAX(BO359:BR359)</f>
        <v>0</v>
      </c>
      <c r="BU359">
        <f>MAX(BP359:BR359)</f>
        <v>0</v>
      </c>
      <c r="BV359">
        <f>IF(ISNUMBER(AB359),INDEX(AllCollegeChicago, MATCH(N359,AllCollegeNCES,0))*BB359,0)</f>
        <v>0</v>
      </c>
      <c r="BW359">
        <f>IF(ISNUMBER(AB359),INDEX(AllCollegeMoneyCode, MATCH(N359,AllCollegeNCES,0)),"?")</f>
        <v>0</v>
      </c>
      <c r="BX359">
        <f>IF(OR(BW359="---",BW359="--",BW359="+/--",BW359="+/---"),1,0)</f>
        <v>0</v>
      </c>
      <c r="BY359">
        <f>BB359*AR359*AT359</f>
        <v>0</v>
      </c>
    </row>
    <row r="360" spans="1:77">
      <c r="A360" t="s">
        <v>96</v>
      </c>
      <c r="B360">
        <v>23274999</v>
      </c>
      <c r="C360" t="s">
        <v>276</v>
      </c>
      <c r="D360" t="s">
        <v>277</v>
      </c>
      <c r="E360" t="s">
        <v>446</v>
      </c>
      <c r="F360" t="s">
        <v>473</v>
      </c>
      <c r="G360" t="s">
        <v>448</v>
      </c>
      <c r="H360" t="s">
        <v>449</v>
      </c>
      <c r="I360" t="s">
        <v>450</v>
      </c>
      <c r="J360" t="s">
        <v>450</v>
      </c>
      <c r="K360">
        <v>0</v>
      </c>
      <c r="L360" t="s">
        <v>446</v>
      </c>
      <c r="M360" t="s">
        <v>446</v>
      </c>
      <c r="N360">
        <v>221519</v>
      </c>
      <c r="O360">
        <f>INDEX(Counselor,MATCH(B360,KidIDs,0))</f>
        <v>0</v>
      </c>
      <c r="P360">
        <f>INDEX(Advisors,MATCH(B360,KidIDs,0))</f>
        <v>0</v>
      </c>
      <c r="Q360">
        <f>INDEX(Cohort,MATCH(B360,KidIDs,0))</f>
        <v>0</v>
      </c>
      <c r="R360">
        <f>INDEX(AllCollegeBarrons,MATCH(N360,AllCollegeNCES,0))</f>
        <v>0</v>
      </c>
      <c r="S360">
        <f>INDEX(KidGPAs,MATCH(B360,KidIDs,0))</f>
        <v>0</v>
      </c>
      <c r="T360">
        <f>INDEX(KidSATs,MATCH(B360,KidIDs,0))</f>
        <v>0</v>
      </c>
      <c r="U360">
        <f>INDEX(Strats,MATCH(B360,KidIDs,0))</f>
        <v>0</v>
      </c>
      <c r="V360">
        <f>INDEX(KidRace,MATCH(B360,KidIDs,0))</f>
        <v>0</v>
      </c>
      <c r="W360">
        <f>IF(OR(V360="M",V360="I"),"H",IF(V360="P","A",V360))</f>
        <v>0</v>
      </c>
      <c r="X360">
        <f>INDEX(StudentTargets,MATCH(B360,KidIDs,0))</f>
        <v>0</v>
      </c>
      <c r="Y360">
        <f>INDEX(ReachStudentTargets,MATCH(B360,KidIDs,0))</f>
        <v>0</v>
      </c>
      <c r="Z360">
        <f>IF(OR(M360="Posse"),1,0)</f>
        <v>0</v>
      </c>
      <c r="AA360">
        <f>IF(ISNUMBER(INDEX(AllCollegeGR, MATCH(N360,AllCollegeNCES,0))),ROUND(INDEX(AllCollegeGR, MATCH(N360,AllCollegeNCES,0))+Z360*IF(INDEX(AllCollegeGR, MATCH(N360,AllCollegeNCES,0))&gt;0.7,(1-INDEX(AllCollegeGR, MATCH(N360,AllCollegeNCES,0)))/2,0.15),2),INDEX(AllCollegeGR, MATCH(N360,AllCollegeNCES,0)))</f>
        <v>0</v>
      </c>
      <c r="AB360">
        <f>IF(ISNUMBER(INDEX(AllCollegeAAHGR, MATCH(N360,AllCollegeNCES,0))),ROUND(INDEX(AllCollegeAAHGR, MATCH(N360,AllCollegeNCES,0))+Z360*IF(INDEX(AllCollegeAAHGR, MATCH(N360,AllCollegeNCES,0))&gt;0.7,(1-INDEX(AllCollegeAAHGR, MATCH(N360,AllCollegeNCES,0)))/2,0.15),2),INDEX(AllCollegeAAHGR, MATCH(N360,AllCollegeNCES,0)))</f>
        <v>0</v>
      </c>
      <c r="AC360">
        <f>IF(OR(W360="H",W360="B"),INDEX(AllCollegeSAT25, MATCH(N360,AllCollegeNCES,0)),INDEX(AllCollegeSAT50, MATCH(N360,AllCollegeNCES,0)))</f>
        <v>0</v>
      </c>
      <c r="AD360">
        <f>INDEX(CustomWeightsGPA,MATCH(W360&amp;":"&amp;N360,CustomWeightsIndex,0))</f>
        <v>0</v>
      </c>
      <c r="AE360">
        <f>INDEX(CustomWeightsSAT,MATCH(W360&amp;":"&amp;N360,CustomWeightsIndex,0))</f>
        <v>0</v>
      </c>
      <c r="AF360">
        <f>INDEX(CustomWeightsIntercept,MATCH(W360&amp;":"&amp;N360,CustomWeightsIndex,0))</f>
        <v>0</v>
      </c>
      <c r="AG360">
        <f>AD360*S360+AE360*T360+AF360</f>
        <v>0</v>
      </c>
      <c r="AH360">
        <f>INDEX(CoefficientsGPA,MATCH(W360&amp;":"&amp;R360,CoefficientsIndex,0))</f>
        <v>0</v>
      </c>
      <c r="AI360">
        <f>INDEX(CoefficientsSAT,MATCH(W360&amp;":"&amp;R360,CoefficientsIndex,0))</f>
        <v>0</v>
      </c>
      <c r="AJ360">
        <f>INDEX(CoefficientsIntercept,MATCH(W360&amp;":"&amp;R360,CoefficientsIndex,0))</f>
        <v>0</v>
      </c>
      <c r="AK360">
        <f>AH360*S360+(T360-AC360)*AI360+AJ360</f>
        <v>0</v>
      </c>
      <c r="AL360">
        <f>IF(ISNUMBER(AG360),AG360,AK360)</f>
        <v>0</v>
      </c>
      <c r="AM360">
        <f>IF(ISNUMBER(AL360),IF(ISNUMBER(AH360),IF(AND(AH360=1,AI360=1,AJ360=1),100,MIN(99,ROUND(100*EXP(AL360)/(1+EXP(AL360)),2))),MIN(99,ROUND(100*EXP(AL360)/(1+EXP(AL360)),2))),IF(ISTEXT(R360),IF(LEFT(R360,1)="2",100,"N/A"),"N/A"))</f>
        <v>0</v>
      </c>
      <c r="AN360">
        <f>IF(ISNUMBER(AM360),IF(AM360&gt;=99,IF(OR(U360=10,U360=11),MatchLabel,SureThingLabel),IF(AM360&gt;=95,SecureLabel,IF(AM360&gt;=80,SafetyLabel,IF(AM360&gt;=50,MatchLabel,IF(AM360&gt;=20,ReachLabel,IF(AM360&gt;=10,LongshotLabel,HailMaryLabel)))))),"Other")</f>
        <v>0</v>
      </c>
      <c r="AO360">
        <f>IF(OR(I360="accepted",I360="cond. accept",I360="summer admit"),IF(J360="yes","CHOICE!","Accepted!"),IF(I360="guar. transfer","Guar. Xfer",IF(I360="denied","Denied",IF(K360=1,"Waitlist",IF(L360=1,"Deferred",IF(G360="pending","Pending",IF(OR(G360="initial materials submitted",G360="mid-year submitted",G360="final submitted"),"Submitted",IF(H360="interest","Interest","?"))))))))</f>
        <v>0</v>
      </c>
      <c r="AP360">
        <f>IF(OR(AN360=ReachLabel,AN360=LongshotLabel,AN360=HailMaryLabel),1,0)</f>
        <v>0</v>
      </c>
      <c r="AQ360">
        <f>IF(OR(AP360=1,AN360=MatchLabel),1,0)</f>
        <v>0</v>
      </c>
      <c r="AR360">
        <f>IF(OR(AN360=MatchLabel,AN360=SafetyLabel,AN360=SecureLabel,AN360=SureThingLabel),1,0)</f>
        <v>0</v>
      </c>
      <c r="AS360">
        <f>IF(OR(W360="H",W360="B",W360="I",W360="M"),IF(ISNUMBER(AB360),ROUND(AB360,2),0),IF(ISNUMBER(AA360),ROUND(AA360,2),0))</f>
        <v>0</v>
      </c>
      <c r="AT360">
        <f>IF(AS360&gt;=X360,1,0)</f>
        <v>0</v>
      </c>
      <c r="AU360">
        <f>IF(AS360&gt;=Y360,1,0)</f>
        <v>0</v>
      </c>
      <c r="AV360">
        <f>IF(AS360&lt;(X360-0.10),1,0)</f>
        <v>0</v>
      </c>
      <c r="AW360">
        <f>1-AM360/100</f>
        <v>0</v>
      </c>
      <c r="AX360">
        <f>IF(AQ360=1,AW360,1)</f>
        <v>0</v>
      </c>
      <c r="AY360">
        <f>IF(AP360=1,AW360,1)</f>
        <v>0</v>
      </c>
      <c r="AZ360">
        <f>IF(AND(AT360=1,ISNUMBER(AW360)),$AW360,1)</f>
        <v>0</v>
      </c>
      <c r="BA360">
        <f>IF(AND(AU360=1,ISNUMBER(AW360)),$AW360,1)</f>
        <v>0</v>
      </c>
      <c r="BB360">
        <f>IF(ISNUMBER(AB360),INDEX(AllCollegeMoney, MATCH(N360,AllCollegeNCES,0)),0)</f>
        <v>0</v>
      </c>
      <c r="BC360">
        <f>IF(AND(AT360=1,ISNUMBER(AW360),BB360=1),$AW360,1)</f>
        <v>0</v>
      </c>
      <c r="BD360">
        <f>IF(AND(AU360=1,ISNUMBER(AW360),BB360=1),$AW360,1)</f>
        <v>0</v>
      </c>
      <c r="BE360">
        <f>IF(ISNUMBER(AB360),INDEX(AllCollegeILPub, MATCH(N360,AllCollegeNCES,0)),0)</f>
        <v>0</v>
      </c>
      <c r="BF360">
        <f>IF(AN360=ReachLabel,AS360,0)</f>
        <v>0</v>
      </c>
      <c r="BG360">
        <f>IF(AN360=MatchLabel,AS360,0)</f>
        <v>0</v>
      </c>
      <c r="BH360">
        <f>IF(AN360=SafetyLabel,AS360,0)</f>
        <v>0</v>
      </c>
      <c r="BI360">
        <f>IF(AN360=SecureLabel,AS360,0)</f>
        <v>0</v>
      </c>
      <c r="BJ360">
        <f>IF(AN360=SureThingLabel,AS360,0)</f>
        <v>0</v>
      </c>
      <c r="BK360">
        <f>MAX(BF360:BJ360)</f>
        <v>0</v>
      </c>
      <c r="BL360">
        <f>MAX(BG360:BJ360)</f>
        <v>0</v>
      </c>
      <c r="BM360">
        <f>MAX(BH360:BJ360)</f>
        <v>0</v>
      </c>
      <c r="BN360">
        <f>IF(AND(AN360=ReachLabel,BB360=1),AS360,0)</f>
        <v>0</v>
      </c>
      <c r="BO360">
        <f>IF(AND(AN360=MatchLabel,BB360=1),AS360,0)</f>
        <v>0</v>
      </c>
      <c r="BP360">
        <f>IF(AND(AN360=SafetyLabel,BB360=1),AS360,0)</f>
        <v>0</v>
      </c>
      <c r="BQ360">
        <f>IF(AND(AN360=SecureLabel,BB360=1),AS360,0)</f>
        <v>0</v>
      </c>
      <c r="BR360">
        <f>IF(AND(AN360=SureThingLabel,BB360=1),AS360,0)</f>
        <v>0</v>
      </c>
      <c r="BS360">
        <f>MAX(BN360:BR360)</f>
        <v>0</v>
      </c>
      <c r="BT360">
        <f>MAX(BO360:BR360)</f>
        <v>0</v>
      </c>
      <c r="BU360">
        <f>MAX(BP360:BR360)</f>
        <v>0</v>
      </c>
      <c r="BV360">
        <f>IF(ISNUMBER(AB360),INDEX(AllCollegeChicago, MATCH(N360,AllCollegeNCES,0))*BB360,0)</f>
        <v>0</v>
      </c>
      <c r="BW360">
        <f>IF(ISNUMBER(AB360),INDEX(AllCollegeMoneyCode, MATCH(N360,AllCollegeNCES,0)),"?")</f>
        <v>0</v>
      </c>
      <c r="BX360">
        <f>IF(OR(BW360="---",BW360="--",BW360="+/--",BW360="+/---"),1,0)</f>
        <v>0</v>
      </c>
      <c r="BY360">
        <f>BB360*AR360*AT360</f>
        <v>0</v>
      </c>
    </row>
    <row r="361" spans="1:77">
      <c r="A361" t="s">
        <v>96</v>
      </c>
      <c r="B361">
        <v>23274999</v>
      </c>
      <c r="C361" t="s">
        <v>276</v>
      </c>
      <c r="D361" t="s">
        <v>277</v>
      </c>
      <c r="E361" t="s">
        <v>446</v>
      </c>
      <c r="F361" t="s">
        <v>475</v>
      </c>
      <c r="G361" t="s">
        <v>448</v>
      </c>
      <c r="H361" t="s">
        <v>449</v>
      </c>
      <c r="I361" t="s">
        <v>450</v>
      </c>
      <c r="J361" t="s">
        <v>450</v>
      </c>
      <c r="K361">
        <v>0</v>
      </c>
      <c r="L361" t="s">
        <v>446</v>
      </c>
      <c r="M361" t="s">
        <v>446</v>
      </c>
      <c r="N361">
        <v>145637</v>
      </c>
      <c r="O361">
        <f>INDEX(Counselor,MATCH(B361,KidIDs,0))</f>
        <v>0</v>
      </c>
      <c r="P361">
        <f>INDEX(Advisors,MATCH(B361,KidIDs,0))</f>
        <v>0</v>
      </c>
      <c r="Q361">
        <f>INDEX(Cohort,MATCH(B361,KidIDs,0))</f>
        <v>0</v>
      </c>
      <c r="R361">
        <f>INDEX(AllCollegeBarrons,MATCH(N361,AllCollegeNCES,0))</f>
        <v>0</v>
      </c>
      <c r="S361">
        <f>INDEX(KidGPAs,MATCH(B361,KidIDs,0))</f>
        <v>0</v>
      </c>
      <c r="T361">
        <f>INDEX(KidSATs,MATCH(B361,KidIDs,0))</f>
        <v>0</v>
      </c>
      <c r="U361">
        <f>INDEX(Strats,MATCH(B361,KidIDs,0))</f>
        <v>0</v>
      </c>
      <c r="V361">
        <f>INDEX(KidRace,MATCH(B361,KidIDs,0))</f>
        <v>0</v>
      </c>
      <c r="W361">
        <f>IF(OR(V361="M",V361="I"),"H",IF(V361="P","A",V361))</f>
        <v>0</v>
      </c>
      <c r="X361">
        <f>INDEX(StudentTargets,MATCH(B361,KidIDs,0))</f>
        <v>0</v>
      </c>
      <c r="Y361">
        <f>INDEX(ReachStudentTargets,MATCH(B361,KidIDs,0))</f>
        <v>0</v>
      </c>
      <c r="Z361">
        <f>IF(OR(M361="Posse"),1,0)</f>
        <v>0</v>
      </c>
      <c r="AA361">
        <f>IF(ISNUMBER(INDEX(AllCollegeGR, MATCH(N361,AllCollegeNCES,0))),ROUND(INDEX(AllCollegeGR, MATCH(N361,AllCollegeNCES,0))+Z361*IF(INDEX(AllCollegeGR, MATCH(N361,AllCollegeNCES,0))&gt;0.7,(1-INDEX(AllCollegeGR, MATCH(N361,AllCollegeNCES,0)))/2,0.15),2),INDEX(AllCollegeGR, MATCH(N361,AllCollegeNCES,0)))</f>
        <v>0</v>
      </c>
      <c r="AB361">
        <f>IF(ISNUMBER(INDEX(AllCollegeAAHGR, MATCH(N361,AllCollegeNCES,0))),ROUND(INDEX(AllCollegeAAHGR, MATCH(N361,AllCollegeNCES,0))+Z361*IF(INDEX(AllCollegeAAHGR, MATCH(N361,AllCollegeNCES,0))&gt;0.7,(1-INDEX(AllCollegeAAHGR, MATCH(N361,AllCollegeNCES,0)))/2,0.15),2),INDEX(AllCollegeAAHGR, MATCH(N361,AllCollegeNCES,0)))</f>
        <v>0</v>
      </c>
      <c r="AC361">
        <f>IF(OR(W361="H",W361="B"),INDEX(AllCollegeSAT25, MATCH(N361,AllCollegeNCES,0)),INDEX(AllCollegeSAT50, MATCH(N361,AllCollegeNCES,0)))</f>
        <v>0</v>
      </c>
      <c r="AD361">
        <f>INDEX(CustomWeightsGPA,MATCH(W361&amp;":"&amp;N361,CustomWeightsIndex,0))</f>
        <v>0</v>
      </c>
      <c r="AE361">
        <f>INDEX(CustomWeightsSAT,MATCH(W361&amp;":"&amp;N361,CustomWeightsIndex,0))</f>
        <v>0</v>
      </c>
      <c r="AF361">
        <f>INDEX(CustomWeightsIntercept,MATCH(W361&amp;":"&amp;N361,CustomWeightsIndex,0))</f>
        <v>0</v>
      </c>
      <c r="AG361">
        <f>AD361*S361+AE361*T361+AF361</f>
        <v>0</v>
      </c>
      <c r="AH361">
        <f>INDEX(CoefficientsGPA,MATCH(W361&amp;":"&amp;R361,CoefficientsIndex,0))</f>
        <v>0</v>
      </c>
      <c r="AI361">
        <f>INDEX(CoefficientsSAT,MATCH(W361&amp;":"&amp;R361,CoefficientsIndex,0))</f>
        <v>0</v>
      </c>
      <c r="AJ361">
        <f>INDEX(CoefficientsIntercept,MATCH(W361&amp;":"&amp;R361,CoefficientsIndex,0))</f>
        <v>0</v>
      </c>
      <c r="AK361">
        <f>AH361*S361+(T361-AC361)*AI361+AJ361</f>
        <v>0</v>
      </c>
      <c r="AL361">
        <f>IF(ISNUMBER(AG361),AG361,AK361)</f>
        <v>0</v>
      </c>
      <c r="AM361">
        <f>IF(ISNUMBER(AL361),IF(ISNUMBER(AH361),IF(AND(AH361=1,AI361=1,AJ361=1),100,MIN(99,ROUND(100*EXP(AL361)/(1+EXP(AL361)),2))),MIN(99,ROUND(100*EXP(AL361)/(1+EXP(AL361)),2))),IF(ISTEXT(R361),IF(LEFT(R361,1)="2",100,"N/A"),"N/A"))</f>
        <v>0</v>
      </c>
      <c r="AN361">
        <f>IF(ISNUMBER(AM361),IF(AM361&gt;=99,IF(OR(U361=10,U361=11),MatchLabel,SureThingLabel),IF(AM361&gt;=95,SecureLabel,IF(AM361&gt;=80,SafetyLabel,IF(AM361&gt;=50,MatchLabel,IF(AM361&gt;=20,ReachLabel,IF(AM361&gt;=10,LongshotLabel,HailMaryLabel)))))),"Other")</f>
        <v>0</v>
      </c>
      <c r="AO361">
        <f>IF(OR(I361="accepted",I361="cond. accept",I361="summer admit"),IF(J361="yes","CHOICE!","Accepted!"),IF(I361="guar. transfer","Guar. Xfer",IF(I361="denied","Denied",IF(K361=1,"Waitlist",IF(L361=1,"Deferred",IF(G361="pending","Pending",IF(OR(G361="initial materials submitted",G361="mid-year submitted",G361="final submitted"),"Submitted",IF(H361="interest","Interest","?"))))))))</f>
        <v>0</v>
      </c>
      <c r="AP361">
        <f>IF(OR(AN361=ReachLabel,AN361=LongshotLabel,AN361=HailMaryLabel),1,0)</f>
        <v>0</v>
      </c>
      <c r="AQ361">
        <f>IF(OR(AP361=1,AN361=MatchLabel),1,0)</f>
        <v>0</v>
      </c>
      <c r="AR361">
        <f>IF(OR(AN361=MatchLabel,AN361=SafetyLabel,AN361=SecureLabel,AN361=SureThingLabel),1,0)</f>
        <v>0</v>
      </c>
      <c r="AS361">
        <f>IF(OR(W361="H",W361="B",W361="I",W361="M"),IF(ISNUMBER(AB361),ROUND(AB361,2),0),IF(ISNUMBER(AA361),ROUND(AA361,2),0))</f>
        <v>0</v>
      </c>
      <c r="AT361">
        <f>IF(AS361&gt;=X361,1,0)</f>
        <v>0</v>
      </c>
      <c r="AU361">
        <f>IF(AS361&gt;=Y361,1,0)</f>
        <v>0</v>
      </c>
      <c r="AV361">
        <f>IF(AS361&lt;(X361-0.10),1,0)</f>
        <v>0</v>
      </c>
      <c r="AW361">
        <f>1-AM361/100</f>
        <v>0</v>
      </c>
      <c r="AX361">
        <f>IF(AQ361=1,AW361,1)</f>
        <v>0</v>
      </c>
      <c r="AY361">
        <f>IF(AP361=1,AW361,1)</f>
        <v>0</v>
      </c>
      <c r="AZ361">
        <f>IF(AND(AT361=1,ISNUMBER(AW361)),$AW361,1)</f>
        <v>0</v>
      </c>
      <c r="BA361">
        <f>IF(AND(AU361=1,ISNUMBER(AW361)),$AW361,1)</f>
        <v>0</v>
      </c>
      <c r="BB361">
        <f>IF(ISNUMBER(AB361),INDEX(AllCollegeMoney, MATCH(N361,AllCollegeNCES,0)),0)</f>
        <v>0</v>
      </c>
      <c r="BC361">
        <f>IF(AND(AT361=1,ISNUMBER(AW361),BB361=1),$AW361,1)</f>
        <v>0</v>
      </c>
      <c r="BD361">
        <f>IF(AND(AU361=1,ISNUMBER(AW361),BB361=1),$AW361,1)</f>
        <v>0</v>
      </c>
      <c r="BE361">
        <f>IF(ISNUMBER(AB361),INDEX(AllCollegeILPub, MATCH(N361,AllCollegeNCES,0)),0)</f>
        <v>0</v>
      </c>
      <c r="BF361">
        <f>IF(AN361=ReachLabel,AS361,0)</f>
        <v>0</v>
      </c>
      <c r="BG361">
        <f>IF(AN361=MatchLabel,AS361,0)</f>
        <v>0</v>
      </c>
      <c r="BH361">
        <f>IF(AN361=SafetyLabel,AS361,0)</f>
        <v>0</v>
      </c>
      <c r="BI361">
        <f>IF(AN361=SecureLabel,AS361,0)</f>
        <v>0</v>
      </c>
      <c r="BJ361">
        <f>IF(AN361=SureThingLabel,AS361,0)</f>
        <v>0</v>
      </c>
      <c r="BK361">
        <f>MAX(BF361:BJ361)</f>
        <v>0</v>
      </c>
      <c r="BL361">
        <f>MAX(BG361:BJ361)</f>
        <v>0</v>
      </c>
      <c r="BM361">
        <f>MAX(BH361:BJ361)</f>
        <v>0</v>
      </c>
      <c r="BN361">
        <f>IF(AND(AN361=ReachLabel,BB361=1),AS361,0)</f>
        <v>0</v>
      </c>
      <c r="BO361">
        <f>IF(AND(AN361=MatchLabel,BB361=1),AS361,0)</f>
        <v>0</v>
      </c>
      <c r="BP361">
        <f>IF(AND(AN361=SafetyLabel,BB361=1),AS361,0)</f>
        <v>0</v>
      </c>
      <c r="BQ361">
        <f>IF(AND(AN361=SecureLabel,BB361=1),AS361,0)</f>
        <v>0</v>
      </c>
      <c r="BR361">
        <f>IF(AND(AN361=SureThingLabel,BB361=1),AS361,0)</f>
        <v>0</v>
      </c>
      <c r="BS361">
        <f>MAX(BN361:BR361)</f>
        <v>0</v>
      </c>
      <c r="BT361">
        <f>MAX(BO361:BR361)</f>
        <v>0</v>
      </c>
      <c r="BU361">
        <f>MAX(BP361:BR361)</f>
        <v>0</v>
      </c>
      <c r="BV361">
        <f>IF(ISNUMBER(AB361),INDEX(AllCollegeChicago, MATCH(N361,AllCollegeNCES,0))*BB361,0)</f>
        <v>0</v>
      </c>
      <c r="BW361">
        <f>IF(ISNUMBER(AB361),INDEX(AllCollegeMoneyCode, MATCH(N361,AllCollegeNCES,0)),"?")</f>
        <v>0</v>
      </c>
      <c r="BX361">
        <f>IF(OR(BW361="---",BW361="--",BW361="+/--",BW361="+/---"),1,0)</f>
        <v>0</v>
      </c>
      <c r="BY361">
        <f>BB361*AR361*AT361</f>
        <v>0</v>
      </c>
    </row>
    <row r="362" spans="1:77">
      <c r="A362" t="s">
        <v>96</v>
      </c>
      <c r="B362">
        <v>23274999</v>
      </c>
      <c r="C362" t="s">
        <v>276</v>
      </c>
      <c r="D362" t="s">
        <v>277</v>
      </c>
      <c r="E362" t="s">
        <v>446</v>
      </c>
      <c r="F362" t="s">
        <v>476</v>
      </c>
      <c r="G362" t="s">
        <v>448</v>
      </c>
      <c r="H362" t="s">
        <v>449</v>
      </c>
      <c r="I362" t="s">
        <v>450</v>
      </c>
      <c r="J362" t="s">
        <v>450</v>
      </c>
      <c r="K362">
        <v>0</v>
      </c>
      <c r="L362" t="s">
        <v>446</v>
      </c>
      <c r="M362" t="s">
        <v>446</v>
      </c>
      <c r="N362">
        <v>213668</v>
      </c>
      <c r="O362">
        <f>INDEX(Counselor,MATCH(B362,KidIDs,0))</f>
        <v>0</v>
      </c>
      <c r="P362">
        <f>INDEX(Advisors,MATCH(B362,KidIDs,0))</f>
        <v>0</v>
      </c>
      <c r="Q362">
        <f>INDEX(Cohort,MATCH(B362,KidIDs,0))</f>
        <v>0</v>
      </c>
      <c r="R362">
        <f>INDEX(AllCollegeBarrons,MATCH(N362,AllCollegeNCES,0))</f>
        <v>0</v>
      </c>
      <c r="S362">
        <f>INDEX(KidGPAs,MATCH(B362,KidIDs,0))</f>
        <v>0</v>
      </c>
      <c r="T362">
        <f>INDEX(KidSATs,MATCH(B362,KidIDs,0))</f>
        <v>0</v>
      </c>
      <c r="U362">
        <f>INDEX(Strats,MATCH(B362,KidIDs,0))</f>
        <v>0</v>
      </c>
      <c r="V362">
        <f>INDEX(KidRace,MATCH(B362,KidIDs,0))</f>
        <v>0</v>
      </c>
      <c r="W362">
        <f>IF(OR(V362="M",V362="I"),"H",IF(V362="P","A",V362))</f>
        <v>0</v>
      </c>
      <c r="X362">
        <f>INDEX(StudentTargets,MATCH(B362,KidIDs,0))</f>
        <v>0</v>
      </c>
      <c r="Y362">
        <f>INDEX(ReachStudentTargets,MATCH(B362,KidIDs,0))</f>
        <v>0</v>
      </c>
      <c r="Z362">
        <f>IF(OR(M362="Posse"),1,0)</f>
        <v>0</v>
      </c>
      <c r="AA362">
        <f>IF(ISNUMBER(INDEX(AllCollegeGR, MATCH(N362,AllCollegeNCES,0))),ROUND(INDEX(AllCollegeGR, MATCH(N362,AllCollegeNCES,0))+Z362*IF(INDEX(AllCollegeGR, MATCH(N362,AllCollegeNCES,0))&gt;0.7,(1-INDEX(AllCollegeGR, MATCH(N362,AllCollegeNCES,0)))/2,0.15),2),INDEX(AllCollegeGR, MATCH(N362,AllCollegeNCES,0)))</f>
        <v>0</v>
      </c>
      <c r="AB362">
        <f>IF(ISNUMBER(INDEX(AllCollegeAAHGR, MATCH(N362,AllCollegeNCES,0))),ROUND(INDEX(AllCollegeAAHGR, MATCH(N362,AllCollegeNCES,0))+Z362*IF(INDEX(AllCollegeAAHGR, MATCH(N362,AllCollegeNCES,0))&gt;0.7,(1-INDEX(AllCollegeAAHGR, MATCH(N362,AllCollegeNCES,0)))/2,0.15),2),INDEX(AllCollegeAAHGR, MATCH(N362,AllCollegeNCES,0)))</f>
        <v>0</v>
      </c>
      <c r="AC362">
        <f>IF(OR(W362="H",W362="B"),INDEX(AllCollegeSAT25, MATCH(N362,AllCollegeNCES,0)),INDEX(AllCollegeSAT50, MATCH(N362,AllCollegeNCES,0)))</f>
        <v>0</v>
      </c>
      <c r="AD362">
        <f>INDEX(CustomWeightsGPA,MATCH(W362&amp;":"&amp;N362,CustomWeightsIndex,0))</f>
        <v>0</v>
      </c>
      <c r="AE362">
        <f>INDEX(CustomWeightsSAT,MATCH(W362&amp;":"&amp;N362,CustomWeightsIndex,0))</f>
        <v>0</v>
      </c>
      <c r="AF362">
        <f>INDEX(CustomWeightsIntercept,MATCH(W362&amp;":"&amp;N362,CustomWeightsIndex,0))</f>
        <v>0</v>
      </c>
      <c r="AG362">
        <f>AD362*S362+AE362*T362+AF362</f>
        <v>0</v>
      </c>
      <c r="AH362">
        <f>INDEX(CoefficientsGPA,MATCH(W362&amp;":"&amp;R362,CoefficientsIndex,0))</f>
        <v>0</v>
      </c>
      <c r="AI362">
        <f>INDEX(CoefficientsSAT,MATCH(W362&amp;":"&amp;R362,CoefficientsIndex,0))</f>
        <v>0</v>
      </c>
      <c r="AJ362">
        <f>INDEX(CoefficientsIntercept,MATCH(W362&amp;":"&amp;R362,CoefficientsIndex,0))</f>
        <v>0</v>
      </c>
      <c r="AK362">
        <f>AH362*S362+(T362-AC362)*AI362+AJ362</f>
        <v>0</v>
      </c>
      <c r="AL362">
        <f>IF(ISNUMBER(AG362),AG362,AK362)</f>
        <v>0</v>
      </c>
      <c r="AM362">
        <f>IF(ISNUMBER(AL362),IF(ISNUMBER(AH362),IF(AND(AH362=1,AI362=1,AJ362=1),100,MIN(99,ROUND(100*EXP(AL362)/(1+EXP(AL362)),2))),MIN(99,ROUND(100*EXP(AL362)/(1+EXP(AL362)),2))),IF(ISTEXT(R362),IF(LEFT(R362,1)="2",100,"N/A"),"N/A"))</f>
        <v>0</v>
      </c>
      <c r="AN362">
        <f>IF(ISNUMBER(AM362),IF(AM362&gt;=99,IF(OR(U362=10,U362=11),MatchLabel,SureThingLabel),IF(AM362&gt;=95,SecureLabel,IF(AM362&gt;=80,SafetyLabel,IF(AM362&gt;=50,MatchLabel,IF(AM362&gt;=20,ReachLabel,IF(AM362&gt;=10,LongshotLabel,HailMaryLabel)))))),"Other")</f>
        <v>0</v>
      </c>
      <c r="AO362">
        <f>IF(OR(I362="accepted",I362="cond. accept",I362="summer admit"),IF(J362="yes","CHOICE!","Accepted!"),IF(I362="guar. transfer","Guar. Xfer",IF(I362="denied","Denied",IF(K362=1,"Waitlist",IF(L362=1,"Deferred",IF(G362="pending","Pending",IF(OR(G362="initial materials submitted",G362="mid-year submitted",G362="final submitted"),"Submitted",IF(H362="interest","Interest","?"))))))))</f>
        <v>0</v>
      </c>
      <c r="AP362">
        <f>IF(OR(AN362=ReachLabel,AN362=LongshotLabel,AN362=HailMaryLabel),1,0)</f>
        <v>0</v>
      </c>
      <c r="AQ362">
        <f>IF(OR(AP362=1,AN362=MatchLabel),1,0)</f>
        <v>0</v>
      </c>
      <c r="AR362">
        <f>IF(OR(AN362=MatchLabel,AN362=SafetyLabel,AN362=SecureLabel,AN362=SureThingLabel),1,0)</f>
        <v>0</v>
      </c>
      <c r="AS362">
        <f>IF(OR(W362="H",W362="B",W362="I",W362="M"),IF(ISNUMBER(AB362),ROUND(AB362,2),0),IF(ISNUMBER(AA362),ROUND(AA362,2),0))</f>
        <v>0</v>
      </c>
      <c r="AT362">
        <f>IF(AS362&gt;=X362,1,0)</f>
        <v>0</v>
      </c>
      <c r="AU362">
        <f>IF(AS362&gt;=Y362,1,0)</f>
        <v>0</v>
      </c>
      <c r="AV362">
        <f>IF(AS362&lt;(X362-0.10),1,0)</f>
        <v>0</v>
      </c>
      <c r="AW362">
        <f>1-AM362/100</f>
        <v>0</v>
      </c>
      <c r="AX362">
        <f>IF(AQ362=1,AW362,1)</f>
        <v>0</v>
      </c>
      <c r="AY362">
        <f>IF(AP362=1,AW362,1)</f>
        <v>0</v>
      </c>
      <c r="AZ362">
        <f>IF(AND(AT362=1,ISNUMBER(AW362)),$AW362,1)</f>
        <v>0</v>
      </c>
      <c r="BA362">
        <f>IF(AND(AU362=1,ISNUMBER(AW362)),$AW362,1)</f>
        <v>0</v>
      </c>
      <c r="BB362">
        <f>IF(ISNUMBER(AB362),INDEX(AllCollegeMoney, MATCH(N362,AllCollegeNCES,0)),0)</f>
        <v>0</v>
      </c>
      <c r="BC362">
        <f>IF(AND(AT362=1,ISNUMBER(AW362),BB362=1),$AW362,1)</f>
        <v>0</v>
      </c>
      <c r="BD362">
        <f>IF(AND(AU362=1,ISNUMBER(AW362),BB362=1),$AW362,1)</f>
        <v>0</v>
      </c>
      <c r="BE362">
        <f>IF(ISNUMBER(AB362),INDEX(AllCollegeILPub, MATCH(N362,AllCollegeNCES,0)),0)</f>
        <v>0</v>
      </c>
      <c r="BF362">
        <f>IF(AN362=ReachLabel,AS362,0)</f>
        <v>0</v>
      </c>
      <c r="BG362">
        <f>IF(AN362=MatchLabel,AS362,0)</f>
        <v>0</v>
      </c>
      <c r="BH362">
        <f>IF(AN362=SafetyLabel,AS362,0)</f>
        <v>0</v>
      </c>
      <c r="BI362">
        <f>IF(AN362=SecureLabel,AS362,0)</f>
        <v>0</v>
      </c>
      <c r="BJ362">
        <f>IF(AN362=SureThingLabel,AS362,0)</f>
        <v>0</v>
      </c>
      <c r="BK362">
        <f>MAX(BF362:BJ362)</f>
        <v>0</v>
      </c>
      <c r="BL362">
        <f>MAX(BG362:BJ362)</f>
        <v>0</v>
      </c>
      <c r="BM362">
        <f>MAX(BH362:BJ362)</f>
        <v>0</v>
      </c>
      <c r="BN362">
        <f>IF(AND(AN362=ReachLabel,BB362=1),AS362,0)</f>
        <v>0</v>
      </c>
      <c r="BO362">
        <f>IF(AND(AN362=MatchLabel,BB362=1),AS362,0)</f>
        <v>0</v>
      </c>
      <c r="BP362">
        <f>IF(AND(AN362=SafetyLabel,BB362=1),AS362,0)</f>
        <v>0</v>
      </c>
      <c r="BQ362">
        <f>IF(AND(AN362=SecureLabel,BB362=1),AS362,0)</f>
        <v>0</v>
      </c>
      <c r="BR362">
        <f>IF(AND(AN362=SureThingLabel,BB362=1),AS362,0)</f>
        <v>0</v>
      </c>
      <c r="BS362">
        <f>MAX(BN362:BR362)</f>
        <v>0</v>
      </c>
      <c r="BT362">
        <f>MAX(BO362:BR362)</f>
        <v>0</v>
      </c>
      <c r="BU362">
        <f>MAX(BP362:BR362)</f>
        <v>0</v>
      </c>
      <c r="BV362">
        <f>IF(ISNUMBER(AB362),INDEX(AllCollegeChicago, MATCH(N362,AllCollegeNCES,0))*BB362,0)</f>
        <v>0</v>
      </c>
      <c r="BW362">
        <f>IF(ISNUMBER(AB362),INDEX(AllCollegeMoneyCode, MATCH(N362,AllCollegeNCES,0)),"?")</f>
        <v>0</v>
      </c>
      <c r="BX362">
        <f>IF(OR(BW362="---",BW362="--",BW362="+/--",BW362="+/---"),1,0)</f>
        <v>0</v>
      </c>
      <c r="BY362">
        <f>BB362*AR362*AT362</f>
        <v>0</v>
      </c>
    </row>
    <row r="363" spans="1:77">
      <c r="A363" t="s">
        <v>96</v>
      </c>
      <c r="B363">
        <v>23274999</v>
      </c>
      <c r="C363" t="s">
        <v>276</v>
      </c>
      <c r="D363" t="s">
        <v>277</v>
      </c>
      <c r="E363" t="s">
        <v>446</v>
      </c>
      <c r="F363" t="s">
        <v>477</v>
      </c>
      <c r="G363" t="s">
        <v>448</v>
      </c>
      <c r="H363" t="s">
        <v>449</v>
      </c>
      <c r="I363" t="s">
        <v>450</v>
      </c>
      <c r="J363" t="s">
        <v>450</v>
      </c>
      <c r="K363">
        <v>0</v>
      </c>
      <c r="L363" t="s">
        <v>446</v>
      </c>
      <c r="M363" t="s">
        <v>446</v>
      </c>
      <c r="N363">
        <v>146427</v>
      </c>
      <c r="O363">
        <f>INDEX(Counselor,MATCH(B363,KidIDs,0))</f>
        <v>0</v>
      </c>
      <c r="P363">
        <f>INDEX(Advisors,MATCH(B363,KidIDs,0))</f>
        <v>0</v>
      </c>
      <c r="Q363">
        <f>INDEX(Cohort,MATCH(B363,KidIDs,0))</f>
        <v>0</v>
      </c>
      <c r="R363">
        <f>INDEX(AllCollegeBarrons,MATCH(N363,AllCollegeNCES,0))</f>
        <v>0</v>
      </c>
      <c r="S363">
        <f>INDEX(KidGPAs,MATCH(B363,KidIDs,0))</f>
        <v>0</v>
      </c>
      <c r="T363">
        <f>INDEX(KidSATs,MATCH(B363,KidIDs,0))</f>
        <v>0</v>
      </c>
      <c r="U363">
        <f>INDEX(Strats,MATCH(B363,KidIDs,0))</f>
        <v>0</v>
      </c>
      <c r="V363">
        <f>INDEX(KidRace,MATCH(B363,KidIDs,0))</f>
        <v>0</v>
      </c>
      <c r="W363">
        <f>IF(OR(V363="M",V363="I"),"H",IF(V363="P","A",V363))</f>
        <v>0</v>
      </c>
      <c r="X363">
        <f>INDEX(StudentTargets,MATCH(B363,KidIDs,0))</f>
        <v>0</v>
      </c>
      <c r="Y363">
        <f>INDEX(ReachStudentTargets,MATCH(B363,KidIDs,0))</f>
        <v>0</v>
      </c>
      <c r="Z363">
        <f>IF(OR(M363="Posse"),1,0)</f>
        <v>0</v>
      </c>
      <c r="AA363">
        <f>IF(ISNUMBER(INDEX(AllCollegeGR, MATCH(N363,AllCollegeNCES,0))),ROUND(INDEX(AllCollegeGR, MATCH(N363,AllCollegeNCES,0))+Z363*IF(INDEX(AllCollegeGR, MATCH(N363,AllCollegeNCES,0))&gt;0.7,(1-INDEX(AllCollegeGR, MATCH(N363,AllCollegeNCES,0)))/2,0.15),2),INDEX(AllCollegeGR, MATCH(N363,AllCollegeNCES,0)))</f>
        <v>0</v>
      </c>
      <c r="AB363">
        <f>IF(ISNUMBER(INDEX(AllCollegeAAHGR, MATCH(N363,AllCollegeNCES,0))),ROUND(INDEX(AllCollegeAAHGR, MATCH(N363,AllCollegeNCES,0))+Z363*IF(INDEX(AllCollegeAAHGR, MATCH(N363,AllCollegeNCES,0))&gt;0.7,(1-INDEX(AllCollegeAAHGR, MATCH(N363,AllCollegeNCES,0)))/2,0.15),2),INDEX(AllCollegeAAHGR, MATCH(N363,AllCollegeNCES,0)))</f>
        <v>0</v>
      </c>
      <c r="AC363">
        <f>IF(OR(W363="H",W363="B"),INDEX(AllCollegeSAT25, MATCH(N363,AllCollegeNCES,0)),INDEX(AllCollegeSAT50, MATCH(N363,AllCollegeNCES,0)))</f>
        <v>0</v>
      </c>
      <c r="AD363">
        <f>INDEX(CustomWeightsGPA,MATCH(W363&amp;":"&amp;N363,CustomWeightsIndex,0))</f>
        <v>0</v>
      </c>
      <c r="AE363">
        <f>INDEX(CustomWeightsSAT,MATCH(W363&amp;":"&amp;N363,CustomWeightsIndex,0))</f>
        <v>0</v>
      </c>
      <c r="AF363">
        <f>INDEX(CustomWeightsIntercept,MATCH(W363&amp;":"&amp;N363,CustomWeightsIndex,0))</f>
        <v>0</v>
      </c>
      <c r="AG363">
        <f>AD363*S363+AE363*T363+AF363</f>
        <v>0</v>
      </c>
      <c r="AH363">
        <f>INDEX(CoefficientsGPA,MATCH(W363&amp;":"&amp;R363,CoefficientsIndex,0))</f>
        <v>0</v>
      </c>
      <c r="AI363">
        <f>INDEX(CoefficientsSAT,MATCH(W363&amp;":"&amp;R363,CoefficientsIndex,0))</f>
        <v>0</v>
      </c>
      <c r="AJ363">
        <f>INDEX(CoefficientsIntercept,MATCH(W363&amp;":"&amp;R363,CoefficientsIndex,0))</f>
        <v>0</v>
      </c>
      <c r="AK363">
        <f>AH363*S363+(T363-AC363)*AI363+AJ363</f>
        <v>0</v>
      </c>
      <c r="AL363">
        <f>IF(ISNUMBER(AG363),AG363,AK363)</f>
        <v>0</v>
      </c>
      <c r="AM363">
        <f>IF(ISNUMBER(AL363),IF(ISNUMBER(AH363),IF(AND(AH363=1,AI363=1,AJ363=1),100,MIN(99,ROUND(100*EXP(AL363)/(1+EXP(AL363)),2))),MIN(99,ROUND(100*EXP(AL363)/(1+EXP(AL363)),2))),IF(ISTEXT(R363),IF(LEFT(R363,1)="2",100,"N/A"),"N/A"))</f>
        <v>0</v>
      </c>
      <c r="AN363">
        <f>IF(ISNUMBER(AM363),IF(AM363&gt;=99,IF(OR(U363=10,U363=11),MatchLabel,SureThingLabel),IF(AM363&gt;=95,SecureLabel,IF(AM363&gt;=80,SafetyLabel,IF(AM363&gt;=50,MatchLabel,IF(AM363&gt;=20,ReachLabel,IF(AM363&gt;=10,LongshotLabel,HailMaryLabel)))))),"Other")</f>
        <v>0</v>
      </c>
      <c r="AO363">
        <f>IF(OR(I363="accepted",I363="cond. accept",I363="summer admit"),IF(J363="yes","CHOICE!","Accepted!"),IF(I363="guar. transfer","Guar. Xfer",IF(I363="denied","Denied",IF(K363=1,"Waitlist",IF(L363=1,"Deferred",IF(G363="pending","Pending",IF(OR(G363="initial materials submitted",G363="mid-year submitted",G363="final submitted"),"Submitted",IF(H363="interest","Interest","?"))))))))</f>
        <v>0</v>
      </c>
      <c r="AP363">
        <f>IF(OR(AN363=ReachLabel,AN363=LongshotLabel,AN363=HailMaryLabel),1,0)</f>
        <v>0</v>
      </c>
      <c r="AQ363">
        <f>IF(OR(AP363=1,AN363=MatchLabel),1,0)</f>
        <v>0</v>
      </c>
      <c r="AR363">
        <f>IF(OR(AN363=MatchLabel,AN363=SafetyLabel,AN363=SecureLabel,AN363=SureThingLabel),1,0)</f>
        <v>0</v>
      </c>
      <c r="AS363">
        <f>IF(OR(W363="H",W363="B",W363="I",W363="M"),IF(ISNUMBER(AB363),ROUND(AB363,2),0),IF(ISNUMBER(AA363),ROUND(AA363,2),0))</f>
        <v>0</v>
      </c>
      <c r="AT363">
        <f>IF(AS363&gt;=X363,1,0)</f>
        <v>0</v>
      </c>
      <c r="AU363">
        <f>IF(AS363&gt;=Y363,1,0)</f>
        <v>0</v>
      </c>
      <c r="AV363">
        <f>IF(AS363&lt;(X363-0.10),1,0)</f>
        <v>0</v>
      </c>
      <c r="AW363">
        <f>1-AM363/100</f>
        <v>0</v>
      </c>
      <c r="AX363">
        <f>IF(AQ363=1,AW363,1)</f>
        <v>0</v>
      </c>
      <c r="AY363">
        <f>IF(AP363=1,AW363,1)</f>
        <v>0</v>
      </c>
      <c r="AZ363">
        <f>IF(AND(AT363=1,ISNUMBER(AW363)),$AW363,1)</f>
        <v>0</v>
      </c>
      <c r="BA363">
        <f>IF(AND(AU363=1,ISNUMBER(AW363)),$AW363,1)</f>
        <v>0</v>
      </c>
      <c r="BB363">
        <f>IF(ISNUMBER(AB363),INDEX(AllCollegeMoney, MATCH(N363,AllCollegeNCES,0)),0)</f>
        <v>0</v>
      </c>
      <c r="BC363">
        <f>IF(AND(AT363=1,ISNUMBER(AW363),BB363=1),$AW363,1)</f>
        <v>0</v>
      </c>
      <c r="BD363">
        <f>IF(AND(AU363=1,ISNUMBER(AW363),BB363=1),$AW363,1)</f>
        <v>0</v>
      </c>
      <c r="BE363">
        <f>IF(ISNUMBER(AB363),INDEX(AllCollegeILPub, MATCH(N363,AllCollegeNCES,0)),0)</f>
        <v>0</v>
      </c>
      <c r="BF363">
        <f>IF(AN363=ReachLabel,AS363,0)</f>
        <v>0</v>
      </c>
      <c r="BG363">
        <f>IF(AN363=MatchLabel,AS363,0)</f>
        <v>0</v>
      </c>
      <c r="BH363">
        <f>IF(AN363=SafetyLabel,AS363,0)</f>
        <v>0</v>
      </c>
      <c r="BI363">
        <f>IF(AN363=SecureLabel,AS363,0)</f>
        <v>0</v>
      </c>
      <c r="BJ363">
        <f>IF(AN363=SureThingLabel,AS363,0)</f>
        <v>0</v>
      </c>
      <c r="BK363">
        <f>MAX(BF363:BJ363)</f>
        <v>0</v>
      </c>
      <c r="BL363">
        <f>MAX(BG363:BJ363)</f>
        <v>0</v>
      </c>
      <c r="BM363">
        <f>MAX(BH363:BJ363)</f>
        <v>0</v>
      </c>
      <c r="BN363">
        <f>IF(AND(AN363=ReachLabel,BB363=1),AS363,0)</f>
        <v>0</v>
      </c>
      <c r="BO363">
        <f>IF(AND(AN363=MatchLabel,BB363=1),AS363,0)</f>
        <v>0</v>
      </c>
      <c r="BP363">
        <f>IF(AND(AN363=SafetyLabel,BB363=1),AS363,0)</f>
        <v>0</v>
      </c>
      <c r="BQ363">
        <f>IF(AND(AN363=SecureLabel,BB363=1),AS363,0)</f>
        <v>0</v>
      </c>
      <c r="BR363">
        <f>IF(AND(AN363=SureThingLabel,BB363=1),AS363,0)</f>
        <v>0</v>
      </c>
      <c r="BS363">
        <f>MAX(BN363:BR363)</f>
        <v>0</v>
      </c>
      <c r="BT363">
        <f>MAX(BO363:BR363)</f>
        <v>0</v>
      </c>
      <c r="BU363">
        <f>MAX(BP363:BR363)</f>
        <v>0</v>
      </c>
      <c r="BV363">
        <f>IF(ISNUMBER(AB363),INDEX(AllCollegeChicago, MATCH(N363,AllCollegeNCES,0))*BB363,0)</f>
        <v>0</v>
      </c>
      <c r="BW363">
        <f>IF(ISNUMBER(AB363),INDEX(AllCollegeMoneyCode, MATCH(N363,AllCollegeNCES,0)),"?")</f>
        <v>0</v>
      </c>
      <c r="BX363">
        <f>IF(OR(BW363="---",BW363="--",BW363="+/--",BW363="+/---"),1,0)</f>
        <v>0</v>
      </c>
      <c r="BY363">
        <f>BB363*AR363*AT363</f>
        <v>0</v>
      </c>
    </row>
    <row r="364" spans="1:77">
      <c r="A364" t="s">
        <v>96</v>
      </c>
      <c r="B364">
        <v>23274999</v>
      </c>
      <c r="C364" t="s">
        <v>276</v>
      </c>
      <c r="D364" t="s">
        <v>277</v>
      </c>
      <c r="E364" t="s">
        <v>446</v>
      </c>
      <c r="F364" t="s">
        <v>489</v>
      </c>
      <c r="G364" t="s">
        <v>448</v>
      </c>
      <c r="H364" t="s">
        <v>449</v>
      </c>
      <c r="I364" t="s">
        <v>450</v>
      </c>
      <c r="J364" t="s">
        <v>450</v>
      </c>
      <c r="K364">
        <v>0</v>
      </c>
      <c r="L364" t="s">
        <v>446</v>
      </c>
      <c r="M364" t="s">
        <v>446</v>
      </c>
      <c r="N364">
        <v>170301</v>
      </c>
      <c r="O364">
        <f>INDEX(Counselor,MATCH(B364,KidIDs,0))</f>
        <v>0</v>
      </c>
      <c r="P364">
        <f>INDEX(Advisors,MATCH(B364,KidIDs,0))</f>
        <v>0</v>
      </c>
      <c r="Q364">
        <f>INDEX(Cohort,MATCH(B364,KidIDs,0))</f>
        <v>0</v>
      </c>
      <c r="R364">
        <f>INDEX(AllCollegeBarrons,MATCH(N364,AllCollegeNCES,0))</f>
        <v>0</v>
      </c>
      <c r="S364">
        <f>INDEX(KidGPAs,MATCH(B364,KidIDs,0))</f>
        <v>0</v>
      </c>
      <c r="T364">
        <f>INDEX(KidSATs,MATCH(B364,KidIDs,0))</f>
        <v>0</v>
      </c>
      <c r="U364">
        <f>INDEX(Strats,MATCH(B364,KidIDs,0))</f>
        <v>0</v>
      </c>
      <c r="V364">
        <f>INDEX(KidRace,MATCH(B364,KidIDs,0))</f>
        <v>0</v>
      </c>
      <c r="W364">
        <f>IF(OR(V364="M",V364="I"),"H",IF(V364="P","A",V364))</f>
        <v>0</v>
      </c>
      <c r="X364">
        <f>INDEX(StudentTargets,MATCH(B364,KidIDs,0))</f>
        <v>0</v>
      </c>
      <c r="Y364">
        <f>INDEX(ReachStudentTargets,MATCH(B364,KidIDs,0))</f>
        <v>0</v>
      </c>
      <c r="Z364">
        <f>IF(OR(M364="Posse"),1,0)</f>
        <v>0</v>
      </c>
      <c r="AA364">
        <f>IF(ISNUMBER(INDEX(AllCollegeGR, MATCH(N364,AllCollegeNCES,0))),ROUND(INDEX(AllCollegeGR, MATCH(N364,AllCollegeNCES,0))+Z364*IF(INDEX(AllCollegeGR, MATCH(N364,AllCollegeNCES,0))&gt;0.7,(1-INDEX(AllCollegeGR, MATCH(N364,AllCollegeNCES,0)))/2,0.15),2),INDEX(AllCollegeGR, MATCH(N364,AllCollegeNCES,0)))</f>
        <v>0</v>
      </c>
      <c r="AB364">
        <f>IF(ISNUMBER(INDEX(AllCollegeAAHGR, MATCH(N364,AllCollegeNCES,0))),ROUND(INDEX(AllCollegeAAHGR, MATCH(N364,AllCollegeNCES,0))+Z364*IF(INDEX(AllCollegeAAHGR, MATCH(N364,AllCollegeNCES,0))&gt;0.7,(1-INDEX(AllCollegeAAHGR, MATCH(N364,AllCollegeNCES,0)))/2,0.15),2),INDEX(AllCollegeAAHGR, MATCH(N364,AllCollegeNCES,0)))</f>
        <v>0</v>
      </c>
      <c r="AC364">
        <f>IF(OR(W364="H",W364="B"),INDEX(AllCollegeSAT25, MATCH(N364,AllCollegeNCES,0)),INDEX(AllCollegeSAT50, MATCH(N364,AllCollegeNCES,0)))</f>
        <v>0</v>
      </c>
      <c r="AD364">
        <f>INDEX(CustomWeightsGPA,MATCH(W364&amp;":"&amp;N364,CustomWeightsIndex,0))</f>
        <v>0</v>
      </c>
      <c r="AE364">
        <f>INDEX(CustomWeightsSAT,MATCH(W364&amp;":"&amp;N364,CustomWeightsIndex,0))</f>
        <v>0</v>
      </c>
      <c r="AF364">
        <f>INDEX(CustomWeightsIntercept,MATCH(W364&amp;":"&amp;N364,CustomWeightsIndex,0))</f>
        <v>0</v>
      </c>
      <c r="AG364">
        <f>AD364*S364+AE364*T364+AF364</f>
        <v>0</v>
      </c>
      <c r="AH364">
        <f>INDEX(CoefficientsGPA,MATCH(W364&amp;":"&amp;R364,CoefficientsIndex,0))</f>
        <v>0</v>
      </c>
      <c r="AI364">
        <f>INDEX(CoefficientsSAT,MATCH(W364&amp;":"&amp;R364,CoefficientsIndex,0))</f>
        <v>0</v>
      </c>
      <c r="AJ364">
        <f>INDEX(CoefficientsIntercept,MATCH(W364&amp;":"&amp;R364,CoefficientsIndex,0))</f>
        <v>0</v>
      </c>
      <c r="AK364">
        <f>AH364*S364+(T364-AC364)*AI364+AJ364</f>
        <v>0</v>
      </c>
      <c r="AL364">
        <f>IF(ISNUMBER(AG364),AG364,AK364)</f>
        <v>0</v>
      </c>
      <c r="AM364">
        <f>IF(ISNUMBER(AL364),IF(ISNUMBER(AH364),IF(AND(AH364=1,AI364=1,AJ364=1),100,MIN(99,ROUND(100*EXP(AL364)/(1+EXP(AL364)),2))),MIN(99,ROUND(100*EXP(AL364)/(1+EXP(AL364)),2))),IF(ISTEXT(R364),IF(LEFT(R364,1)="2",100,"N/A"),"N/A"))</f>
        <v>0</v>
      </c>
      <c r="AN364">
        <f>IF(ISNUMBER(AM364),IF(AM364&gt;=99,IF(OR(U364=10,U364=11),MatchLabel,SureThingLabel),IF(AM364&gt;=95,SecureLabel,IF(AM364&gt;=80,SafetyLabel,IF(AM364&gt;=50,MatchLabel,IF(AM364&gt;=20,ReachLabel,IF(AM364&gt;=10,LongshotLabel,HailMaryLabel)))))),"Other")</f>
        <v>0</v>
      </c>
      <c r="AO364">
        <f>IF(OR(I364="accepted",I364="cond. accept",I364="summer admit"),IF(J364="yes","CHOICE!","Accepted!"),IF(I364="guar. transfer","Guar. Xfer",IF(I364="denied","Denied",IF(K364=1,"Waitlist",IF(L364=1,"Deferred",IF(G364="pending","Pending",IF(OR(G364="initial materials submitted",G364="mid-year submitted",G364="final submitted"),"Submitted",IF(H364="interest","Interest","?"))))))))</f>
        <v>0</v>
      </c>
      <c r="AP364">
        <f>IF(OR(AN364=ReachLabel,AN364=LongshotLabel,AN364=HailMaryLabel),1,0)</f>
        <v>0</v>
      </c>
      <c r="AQ364">
        <f>IF(OR(AP364=1,AN364=MatchLabel),1,0)</f>
        <v>0</v>
      </c>
      <c r="AR364">
        <f>IF(OR(AN364=MatchLabel,AN364=SafetyLabel,AN364=SecureLabel,AN364=SureThingLabel),1,0)</f>
        <v>0</v>
      </c>
      <c r="AS364">
        <f>IF(OR(W364="H",W364="B",W364="I",W364="M"),IF(ISNUMBER(AB364),ROUND(AB364,2),0),IF(ISNUMBER(AA364),ROUND(AA364,2),0))</f>
        <v>0</v>
      </c>
      <c r="AT364">
        <f>IF(AS364&gt;=X364,1,0)</f>
        <v>0</v>
      </c>
      <c r="AU364">
        <f>IF(AS364&gt;=Y364,1,0)</f>
        <v>0</v>
      </c>
      <c r="AV364">
        <f>IF(AS364&lt;(X364-0.10),1,0)</f>
        <v>0</v>
      </c>
      <c r="AW364">
        <f>1-AM364/100</f>
        <v>0</v>
      </c>
      <c r="AX364">
        <f>IF(AQ364=1,AW364,1)</f>
        <v>0</v>
      </c>
      <c r="AY364">
        <f>IF(AP364=1,AW364,1)</f>
        <v>0</v>
      </c>
      <c r="AZ364">
        <f>IF(AND(AT364=1,ISNUMBER(AW364)),$AW364,1)</f>
        <v>0</v>
      </c>
      <c r="BA364">
        <f>IF(AND(AU364=1,ISNUMBER(AW364)),$AW364,1)</f>
        <v>0</v>
      </c>
      <c r="BB364">
        <f>IF(ISNUMBER(AB364),INDEX(AllCollegeMoney, MATCH(N364,AllCollegeNCES,0)),0)</f>
        <v>0</v>
      </c>
      <c r="BC364">
        <f>IF(AND(AT364=1,ISNUMBER(AW364),BB364=1),$AW364,1)</f>
        <v>0</v>
      </c>
      <c r="BD364">
        <f>IF(AND(AU364=1,ISNUMBER(AW364),BB364=1),$AW364,1)</f>
        <v>0</v>
      </c>
      <c r="BE364">
        <f>IF(ISNUMBER(AB364),INDEX(AllCollegeILPub, MATCH(N364,AllCollegeNCES,0)),0)</f>
        <v>0</v>
      </c>
      <c r="BF364">
        <f>IF(AN364=ReachLabel,AS364,0)</f>
        <v>0</v>
      </c>
      <c r="BG364">
        <f>IF(AN364=MatchLabel,AS364,0)</f>
        <v>0</v>
      </c>
      <c r="BH364">
        <f>IF(AN364=SafetyLabel,AS364,0)</f>
        <v>0</v>
      </c>
      <c r="BI364">
        <f>IF(AN364=SecureLabel,AS364,0)</f>
        <v>0</v>
      </c>
      <c r="BJ364">
        <f>IF(AN364=SureThingLabel,AS364,0)</f>
        <v>0</v>
      </c>
      <c r="BK364">
        <f>MAX(BF364:BJ364)</f>
        <v>0</v>
      </c>
      <c r="BL364">
        <f>MAX(BG364:BJ364)</f>
        <v>0</v>
      </c>
      <c r="BM364">
        <f>MAX(BH364:BJ364)</f>
        <v>0</v>
      </c>
      <c r="BN364">
        <f>IF(AND(AN364=ReachLabel,BB364=1),AS364,0)</f>
        <v>0</v>
      </c>
      <c r="BO364">
        <f>IF(AND(AN364=MatchLabel,BB364=1),AS364,0)</f>
        <v>0</v>
      </c>
      <c r="BP364">
        <f>IF(AND(AN364=SafetyLabel,BB364=1),AS364,0)</f>
        <v>0</v>
      </c>
      <c r="BQ364">
        <f>IF(AND(AN364=SecureLabel,BB364=1),AS364,0)</f>
        <v>0</v>
      </c>
      <c r="BR364">
        <f>IF(AND(AN364=SureThingLabel,BB364=1),AS364,0)</f>
        <v>0</v>
      </c>
      <c r="BS364">
        <f>MAX(BN364:BR364)</f>
        <v>0</v>
      </c>
      <c r="BT364">
        <f>MAX(BO364:BR364)</f>
        <v>0</v>
      </c>
      <c r="BU364">
        <f>MAX(BP364:BR364)</f>
        <v>0</v>
      </c>
      <c r="BV364">
        <f>IF(ISNUMBER(AB364),INDEX(AllCollegeChicago, MATCH(N364,AllCollegeNCES,0))*BB364,0)</f>
        <v>0</v>
      </c>
      <c r="BW364">
        <f>IF(ISNUMBER(AB364),INDEX(AllCollegeMoneyCode, MATCH(N364,AllCollegeNCES,0)),"?")</f>
        <v>0</v>
      </c>
      <c r="BX364">
        <f>IF(OR(BW364="---",BW364="--",BW364="+/--",BW364="+/---"),1,0)</f>
        <v>0</v>
      </c>
      <c r="BY364">
        <f>BB364*AR364*AT364</f>
        <v>0</v>
      </c>
    </row>
    <row r="365" spans="1:77">
      <c r="A365" t="s">
        <v>96</v>
      </c>
      <c r="B365">
        <v>23274999</v>
      </c>
      <c r="C365" t="s">
        <v>276</v>
      </c>
      <c r="D365" t="s">
        <v>277</v>
      </c>
      <c r="E365" t="s">
        <v>446</v>
      </c>
      <c r="F365" t="s">
        <v>478</v>
      </c>
      <c r="G365" t="s">
        <v>479</v>
      </c>
      <c r="H365" t="s">
        <v>449</v>
      </c>
      <c r="I365" t="s">
        <v>450</v>
      </c>
      <c r="J365" t="s">
        <v>450</v>
      </c>
      <c r="K365">
        <v>0</v>
      </c>
      <c r="L365" t="s">
        <v>446</v>
      </c>
      <c r="M365" t="s">
        <v>446</v>
      </c>
      <c r="N365">
        <v>168546</v>
      </c>
      <c r="O365">
        <f>INDEX(Counselor,MATCH(B365,KidIDs,0))</f>
        <v>0</v>
      </c>
      <c r="P365">
        <f>INDEX(Advisors,MATCH(B365,KidIDs,0))</f>
        <v>0</v>
      </c>
      <c r="Q365">
        <f>INDEX(Cohort,MATCH(B365,KidIDs,0))</f>
        <v>0</v>
      </c>
      <c r="R365">
        <f>INDEX(AllCollegeBarrons,MATCH(N365,AllCollegeNCES,0))</f>
        <v>0</v>
      </c>
      <c r="S365">
        <f>INDEX(KidGPAs,MATCH(B365,KidIDs,0))</f>
        <v>0</v>
      </c>
      <c r="T365">
        <f>INDEX(KidSATs,MATCH(B365,KidIDs,0))</f>
        <v>0</v>
      </c>
      <c r="U365">
        <f>INDEX(Strats,MATCH(B365,KidIDs,0))</f>
        <v>0</v>
      </c>
      <c r="V365">
        <f>INDEX(KidRace,MATCH(B365,KidIDs,0))</f>
        <v>0</v>
      </c>
      <c r="W365">
        <f>IF(OR(V365="M",V365="I"),"H",IF(V365="P","A",V365))</f>
        <v>0</v>
      </c>
      <c r="X365">
        <f>INDEX(StudentTargets,MATCH(B365,KidIDs,0))</f>
        <v>0</v>
      </c>
      <c r="Y365">
        <f>INDEX(ReachStudentTargets,MATCH(B365,KidIDs,0))</f>
        <v>0</v>
      </c>
      <c r="Z365">
        <f>IF(OR(M365="Posse"),1,0)</f>
        <v>0</v>
      </c>
      <c r="AA365">
        <f>IF(ISNUMBER(INDEX(AllCollegeGR, MATCH(N365,AllCollegeNCES,0))),ROUND(INDEX(AllCollegeGR, MATCH(N365,AllCollegeNCES,0))+Z365*IF(INDEX(AllCollegeGR, MATCH(N365,AllCollegeNCES,0))&gt;0.7,(1-INDEX(AllCollegeGR, MATCH(N365,AllCollegeNCES,0)))/2,0.15),2),INDEX(AllCollegeGR, MATCH(N365,AllCollegeNCES,0)))</f>
        <v>0</v>
      </c>
      <c r="AB365">
        <f>IF(ISNUMBER(INDEX(AllCollegeAAHGR, MATCH(N365,AllCollegeNCES,0))),ROUND(INDEX(AllCollegeAAHGR, MATCH(N365,AllCollegeNCES,0))+Z365*IF(INDEX(AllCollegeAAHGR, MATCH(N365,AllCollegeNCES,0))&gt;0.7,(1-INDEX(AllCollegeAAHGR, MATCH(N365,AllCollegeNCES,0)))/2,0.15),2),INDEX(AllCollegeAAHGR, MATCH(N365,AllCollegeNCES,0)))</f>
        <v>0</v>
      </c>
      <c r="AC365">
        <f>IF(OR(W365="H",W365="B"),INDEX(AllCollegeSAT25, MATCH(N365,AllCollegeNCES,0)),INDEX(AllCollegeSAT50, MATCH(N365,AllCollegeNCES,0)))</f>
        <v>0</v>
      </c>
      <c r="AD365">
        <f>INDEX(CustomWeightsGPA,MATCH(W365&amp;":"&amp;N365,CustomWeightsIndex,0))</f>
        <v>0</v>
      </c>
      <c r="AE365">
        <f>INDEX(CustomWeightsSAT,MATCH(W365&amp;":"&amp;N365,CustomWeightsIndex,0))</f>
        <v>0</v>
      </c>
      <c r="AF365">
        <f>INDEX(CustomWeightsIntercept,MATCH(W365&amp;":"&amp;N365,CustomWeightsIndex,0))</f>
        <v>0</v>
      </c>
      <c r="AG365">
        <f>AD365*S365+AE365*T365+AF365</f>
        <v>0</v>
      </c>
      <c r="AH365">
        <f>INDEX(CoefficientsGPA,MATCH(W365&amp;":"&amp;R365,CoefficientsIndex,0))</f>
        <v>0</v>
      </c>
      <c r="AI365">
        <f>INDEX(CoefficientsSAT,MATCH(W365&amp;":"&amp;R365,CoefficientsIndex,0))</f>
        <v>0</v>
      </c>
      <c r="AJ365">
        <f>INDEX(CoefficientsIntercept,MATCH(W365&amp;":"&amp;R365,CoefficientsIndex,0))</f>
        <v>0</v>
      </c>
      <c r="AK365">
        <f>AH365*S365+(T365-AC365)*AI365+AJ365</f>
        <v>0</v>
      </c>
      <c r="AL365">
        <f>IF(ISNUMBER(AG365),AG365,AK365)</f>
        <v>0</v>
      </c>
      <c r="AM365">
        <f>IF(ISNUMBER(AL365),IF(ISNUMBER(AH365),IF(AND(AH365=1,AI365=1,AJ365=1),100,MIN(99,ROUND(100*EXP(AL365)/(1+EXP(AL365)),2))),MIN(99,ROUND(100*EXP(AL365)/(1+EXP(AL365)),2))),IF(ISTEXT(R365),IF(LEFT(R365,1)="2",100,"N/A"),"N/A"))</f>
        <v>0</v>
      </c>
      <c r="AN365">
        <f>IF(ISNUMBER(AM365),IF(AM365&gt;=99,IF(OR(U365=10,U365=11),MatchLabel,SureThingLabel),IF(AM365&gt;=95,SecureLabel,IF(AM365&gt;=80,SafetyLabel,IF(AM365&gt;=50,MatchLabel,IF(AM365&gt;=20,ReachLabel,IF(AM365&gt;=10,LongshotLabel,HailMaryLabel)))))),"Other")</f>
        <v>0</v>
      </c>
      <c r="AO365">
        <f>IF(OR(I365="accepted",I365="cond. accept",I365="summer admit"),IF(J365="yes","CHOICE!","Accepted!"),IF(I365="guar. transfer","Guar. Xfer",IF(I365="denied","Denied",IF(K365=1,"Waitlist",IF(L365=1,"Deferred",IF(G365="pending","Pending",IF(OR(G365="initial materials submitted",G365="mid-year submitted",G365="final submitted"),"Submitted",IF(H365="interest","Interest","?"))))))))</f>
        <v>0</v>
      </c>
      <c r="AP365">
        <f>IF(OR(AN365=ReachLabel,AN365=LongshotLabel,AN365=HailMaryLabel),1,0)</f>
        <v>0</v>
      </c>
      <c r="AQ365">
        <f>IF(OR(AP365=1,AN365=MatchLabel),1,0)</f>
        <v>0</v>
      </c>
      <c r="AR365">
        <f>IF(OR(AN365=MatchLabel,AN365=SafetyLabel,AN365=SecureLabel,AN365=SureThingLabel),1,0)</f>
        <v>0</v>
      </c>
      <c r="AS365">
        <f>IF(OR(W365="H",W365="B",W365="I",W365="M"),IF(ISNUMBER(AB365),ROUND(AB365,2),0),IF(ISNUMBER(AA365),ROUND(AA365,2),0))</f>
        <v>0</v>
      </c>
      <c r="AT365">
        <f>IF(AS365&gt;=X365,1,0)</f>
        <v>0</v>
      </c>
      <c r="AU365">
        <f>IF(AS365&gt;=Y365,1,0)</f>
        <v>0</v>
      </c>
      <c r="AV365">
        <f>IF(AS365&lt;(X365-0.10),1,0)</f>
        <v>0</v>
      </c>
      <c r="AW365">
        <f>1-AM365/100</f>
        <v>0</v>
      </c>
      <c r="AX365">
        <f>IF(AQ365=1,AW365,1)</f>
        <v>0</v>
      </c>
      <c r="AY365">
        <f>IF(AP365=1,AW365,1)</f>
        <v>0</v>
      </c>
      <c r="AZ365">
        <f>IF(AND(AT365=1,ISNUMBER(AW365)),$AW365,1)</f>
        <v>0</v>
      </c>
      <c r="BA365">
        <f>IF(AND(AU365=1,ISNUMBER(AW365)),$AW365,1)</f>
        <v>0</v>
      </c>
      <c r="BB365">
        <f>IF(ISNUMBER(AB365),INDEX(AllCollegeMoney, MATCH(N365,AllCollegeNCES,0)),0)</f>
        <v>0</v>
      </c>
      <c r="BC365">
        <f>IF(AND(AT365=1,ISNUMBER(AW365),BB365=1),$AW365,1)</f>
        <v>0</v>
      </c>
      <c r="BD365">
        <f>IF(AND(AU365=1,ISNUMBER(AW365),BB365=1),$AW365,1)</f>
        <v>0</v>
      </c>
      <c r="BE365">
        <f>IF(ISNUMBER(AB365),INDEX(AllCollegeILPub, MATCH(N365,AllCollegeNCES,0)),0)</f>
        <v>0</v>
      </c>
      <c r="BF365">
        <f>IF(AN365=ReachLabel,AS365,0)</f>
        <v>0</v>
      </c>
      <c r="BG365">
        <f>IF(AN365=MatchLabel,AS365,0)</f>
        <v>0</v>
      </c>
      <c r="BH365">
        <f>IF(AN365=SafetyLabel,AS365,0)</f>
        <v>0</v>
      </c>
      <c r="BI365">
        <f>IF(AN365=SecureLabel,AS365,0)</f>
        <v>0</v>
      </c>
      <c r="BJ365">
        <f>IF(AN365=SureThingLabel,AS365,0)</f>
        <v>0</v>
      </c>
      <c r="BK365">
        <f>MAX(BF365:BJ365)</f>
        <v>0</v>
      </c>
      <c r="BL365">
        <f>MAX(BG365:BJ365)</f>
        <v>0</v>
      </c>
      <c r="BM365">
        <f>MAX(BH365:BJ365)</f>
        <v>0</v>
      </c>
      <c r="BN365">
        <f>IF(AND(AN365=ReachLabel,BB365=1),AS365,0)</f>
        <v>0</v>
      </c>
      <c r="BO365">
        <f>IF(AND(AN365=MatchLabel,BB365=1),AS365,0)</f>
        <v>0</v>
      </c>
      <c r="BP365">
        <f>IF(AND(AN365=SafetyLabel,BB365=1),AS365,0)</f>
        <v>0</v>
      </c>
      <c r="BQ365">
        <f>IF(AND(AN365=SecureLabel,BB365=1),AS365,0)</f>
        <v>0</v>
      </c>
      <c r="BR365">
        <f>IF(AND(AN365=SureThingLabel,BB365=1),AS365,0)</f>
        <v>0</v>
      </c>
      <c r="BS365">
        <f>MAX(BN365:BR365)</f>
        <v>0</v>
      </c>
      <c r="BT365">
        <f>MAX(BO365:BR365)</f>
        <v>0</v>
      </c>
      <c r="BU365">
        <f>MAX(BP365:BR365)</f>
        <v>0</v>
      </c>
      <c r="BV365">
        <f>IF(ISNUMBER(AB365),INDEX(AllCollegeChicago, MATCH(N365,AllCollegeNCES,0))*BB365,0)</f>
        <v>0</v>
      </c>
      <c r="BW365">
        <f>IF(ISNUMBER(AB365),INDEX(AllCollegeMoneyCode, MATCH(N365,AllCollegeNCES,0)),"?")</f>
        <v>0</v>
      </c>
      <c r="BX365">
        <f>IF(OR(BW365="---",BW365="--",BW365="+/--",BW365="+/---"),1,0)</f>
        <v>0</v>
      </c>
      <c r="BY365">
        <f>BB365*AR365*AT365</f>
        <v>0</v>
      </c>
    </row>
    <row r="366" spans="1:77">
      <c r="A366" t="s">
        <v>96</v>
      </c>
      <c r="B366">
        <v>23274999</v>
      </c>
      <c r="C366" t="s">
        <v>276</v>
      </c>
      <c r="D366" t="s">
        <v>277</v>
      </c>
      <c r="E366" t="s">
        <v>446</v>
      </c>
      <c r="F366" t="s">
        <v>502</v>
      </c>
      <c r="G366" t="s">
        <v>448</v>
      </c>
      <c r="H366" t="s">
        <v>449</v>
      </c>
      <c r="I366" t="s">
        <v>450</v>
      </c>
      <c r="J366" t="s">
        <v>450</v>
      </c>
      <c r="K366">
        <v>0</v>
      </c>
      <c r="L366" t="s">
        <v>446</v>
      </c>
      <c r="M366" t="s">
        <v>446</v>
      </c>
      <c r="N366">
        <v>170082</v>
      </c>
      <c r="O366">
        <f>INDEX(Counselor,MATCH(B366,KidIDs,0))</f>
        <v>0</v>
      </c>
      <c r="P366">
        <f>INDEX(Advisors,MATCH(B366,KidIDs,0))</f>
        <v>0</v>
      </c>
      <c r="Q366">
        <f>INDEX(Cohort,MATCH(B366,KidIDs,0))</f>
        <v>0</v>
      </c>
      <c r="R366">
        <f>INDEX(AllCollegeBarrons,MATCH(N366,AllCollegeNCES,0))</f>
        <v>0</v>
      </c>
      <c r="S366">
        <f>INDEX(KidGPAs,MATCH(B366,KidIDs,0))</f>
        <v>0</v>
      </c>
      <c r="T366">
        <f>INDEX(KidSATs,MATCH(B366,KidIDs,0))</f>
        <v>0</v>
      </c>
      <c r="U366">
        <f>INDEX(Strats,MATCH(B366,KidIDs,0))</f>
        <v>0</v>
      </c>
      <c r="V366">
        <f>INDEX(KidRace,MATCH(B366,KidIDs,0))</f>
        <v>0</v>
      </c>
      <c r="W366">
        <f>IF(OR(V366="M",V366="I"),"H",IF(V366="P","A",V366))</f>
        <v>0</v>
      </c>
      <c r="X366">
        <f>INDEX(StudentTargets,MATCH(B366,KidIDs,0))</f>
        <v>0</v>
      </c>
      <c r="Y366">
        <f>INDEX(ReachStudentTargets,MATCH(B366,KidIDs,0))</f>
        <v>0</v>
      </c>
      <c r="Z366">
        <f>IF(OR(M366="Posse"),1,0)</f>
        <v>0</v>
      </c>
      <c r="AA366">
        <f>IF(ISNUMBER(INDEX(AllCollegeGR, MATCH(N366,AllCollegeNCES,0))),ROUND(INDEX(AllCollegeGR, MATCH(N366,AllCollegeNCES,0))+Z366*IF(INDEX(AllCollegeGR, MATCH(N366,AllCollegeNCES,0))&gt;0.7,(1-INDEX(AllCollegeGR, MATCH(N366,AllCollegeNCES,0)))/2,0.15),2),INDEX(AllCollegeGR, MATCH(N366,AllCollegeNCES,0)))</f>
        <v>0</v>
      </c>
      <c r="AB366">
        <f>IF(ISNUMBER(INDEX(AllCollegeAAHGR, MATCH(N366,AllCollegeNCES,0))),ROUND(INDEX(AllCollegeAAHGR, MATCH(N366,AllCollegeNCES,0))+Z366*IF(INDEX(AllCollegeAAHGR, MATCH(N366,AllCollegeNCES,0))&gt;0.7,(1-INDEX(AllCollegeAAHGR, MATCH(N366,AllCollegeNCES,0)))/2,0.15),2),INDEX(AllCollegeAAHGR, MATCH(N366,AllCollegeNCES,0)))</f>
        <v>0</v>
      </c>
      <c r="AC366">
        <f>IF(OR(W366="H",W366="B"),INDEX(AllCollegeSAT25, MATCH(N366,AllCollegeNCES,0)),INDEX(AllCollegeSAT50, MATCH(N366,AllCollegeNCES,0)))</f>
        <v>0</v>
      </c>
      <c r="AD366">
        <f>INDEX(CustomWeightsGPA,MATCH(W366&amp;":"&amp;N366,CustomWeightsIndex,0))</f>
        <v>0</v>
      </c>
      <c r="AE366">
        <f>INDEX(CustomWeightsSAT,MATCH(W366&amp;":"&amp;N366,CustomWeightsIndex,0))</f>
        <v>0</v>
      </c>
      <c r="AF366">
        <f>INDEX(CustomWeightsIntercept,MATCH(W366&amp;":"&amp;N366,CustomWeightsIndex,0))</f>
        <v>0</v>
      </c>
      <c r="AG366">
        <f>AD366*S366+AE366*T366+AF366</f>
        <v>0</v>
      </c>
      <c r="AH366">
        <f>INDEX(CoefficientsGPA,MATCH(W366&amp;":"&amp;R366,CoefficientsIndex,0))</f>
        <v>0</v>
      </c>
      <c r="AI366">
        <f>INDEX(CoefficientsSAT,MATCH(W366&amp;":"&amp;R366,CoefficientsIndex,0))</f>
        <v>0</v>
      </c>
      <c r="AJ366">
        <f>INDEX(CoefficientsIntercept,MATCH(W366&amp;":"&amp;R366,CoefficientsIndex,0))</f>
        <v>0</v>
      </c>
      <c r="AK366">
        <f>AH366*S366+(T366-AC366)*AI366+AJ366</f>
        <v>0</v>
      </c>
      <c r="AL366">
        <f>IF(ISNUMBER(AG366),AG366,AK366)</f>
        <v>0</v>
      </c>
      <c r="AM366">
        <f>IF(ISNUMBER(AL366),IF(ISNUMBER(AH366),IF(AND(AH366=1,AI366=1,AJ366=1),100,MIN(99,ROUND(100*EXP(AL366)/(1+EXP(AL366)),2))),MIN(99,ROUND(100*EXP(AL366)/(1+EXP(AL366)),2))),IF(ISTEXT(R366),IF(LEFT(R366,1)="2",100,"N/A"),"N/A"))</f>
        <v>0</v>
      </c>
      <c r="AN366">
        <f>IF(ISNUMBER(AM366),IF(AM366&gt;=99,IF(OR(U366=10,U366=11),MatchLabel,SureThingLabel),IF(AM366&gt;=95,SecureLabel,IF(AM366&gt;=80,SafetyLabel,IF(AM366&gt;=50,MatchLabel,IF(AM366&gt;=20,ReachLabel,IF(AM366&gt;=10,LongshotLabel,HailMaryLabel)))))),"Other")</f>
        <v>0</v>
      </c>
      <c r="AO366">
        <f>IF(OR(I366="accepted",I366="cond. accept",I366="summer admit"),IF(J366="yes","CHOICE!","Accepted!"),IF(I366="guar. transfer","Guar. Xfer",IF(I366="denied","Denied",IF(K366=1,"Waitlist",IF(L366=1,"Deferred",IF(G366="pending","Pending",IF(OR(G366="initial materials submitted",G366="mid-year submitted",G366="final submitted"),"Submitted",IF(H366="interest","Interest","?"))))))))</f>
        <v>0</v>
      </c>
      <c r="AP366">
        <f>IF(OR(AN366=ReachLabel,AN366=LongshotLabel,AN366=HailMaryLabel),1,0)</f>
        <v>0</v>
      </c>
      <c r="AQ366">
        <f>IF(OR(AP366=1,AN366=MatchLabel),1,0)</f>
        <v>0</v>
      </c>
      <c r="AR366">
        <f>IF(OR(AN366=MatchLabel,AN366=SafetyLabel,AN366=SecureLabel,AN366=SureThingLabel),1,0)</f>
        <v>0</v>
      </c>
      <c r="AS366">
        <f>IF(OR(W366="H",W366="B",W366="I",W366="M"),IF(ISNUMBER(AB366),ROUND(AB366,2),0),IF(ISNUMBER(AA366),ROUND(AA366,2),0))</f>
        <v>0</v>
      </c>
      <c r="AT366">
        <f>IF(AS366&gt;=X366,1,0)</f>
        <v>0</v>
      </c>
      <c r="AU366">
        <f>IF(AS366&gt;=Y366,1,0)</f>
        <v>0</v>
      </c>
      <c r="AV366">
        <f>IF(AS366&lt;(X366-0.10),1,0)</f>
        <v>0</v>
      </c>
      <c r="AW366">
        <f>1-AM366/100</f>
        <v>0</v>
      </c>
      <c r="AX366">
        <f>IF(AQ366=1,AW366,1)</f>
        <v>0</v>
      </c>
      <c r="AY366">
        <f>IF(AP366=1,AW366,1)</f>
        <v>0</v>
      </c>
      <c r="AZ366">
        <f>IF(AND(AT366=1,ISNUMBER(AW366)),$AW366,1)</f>
        <v>0</v>
      </c>
      <c r="BA366">
        <f>IF(AND(AU366=1,ISNUMBER(AW366)),$AW366,1)</f>
        <v>0</v>
      </c>
      <c r="BB366">
        <f>IF(ISNUMBER(AB366),INDEX(AllCollegeMoney, MATCH(N366,AllCollegeNCES,0)),0)</f>
        <v>0</v>
      </c>
      <c r="BC366">
        <f>IF(AND(AT366=1,ISNUMBER(AW366),BB366=1),$AW366,1)</f>
        <v>0</v>
      </c>
      <c r="BD366">
        <f>IF(AND(AU366=1,ISNUMBER(AW366),BB366=1),$AW366,1)</f>
        <v>0</v>
      </c>
      <c r="BE366">
        <f>IF(ISNUMBER(AB366),INDEX(AllCollegeILPub, MATCH(N366,AllCollegeNCES,0)),0)</f>
        <v>0</v>
      </c>
      <c r="BF366">
        <f>IF(AN366=ReachLabel,AS366,0)</f>
        <v>0</v>
      </c>
      <c r="BG366">
        <f>IF(AN366=MatchLabel,AS366,0)</f>
        <v>0</v>
      </c>
      <c r="BH366">
        <f>IF(AN366=SafetyLabel,AS366,0)</f>
        <v>0</v>
      </c>
      <c r="BI366">
        <f>IF(AN366=SecureLabel,AS366,0)</f>
        <v>0</v>
      </c>
      <c r="BJ366">
        <f>IF(AN366=SureThingLabel,AS366,0)</f>
        <v>0</v>
      </c>
      <c r="BK366">
        <f>MAX(BF366:BJ366)</f>
        <v>0</v>
      </c>
      <c r="BL366">
        <f>MAX(BG366:BJ366)</f>
        <v>0</v>
      </c>
      <c r="BM366">
        <f>MAX(BH366:BJ366)</f>
        <v>0</v>
      </c>
      <c r="BN366">
        <f>IF(AND(AN366=ReachLabel,BB366=1),AS366,0)</f>
        <v>0</v>
      </c>
      <c r="BO366">
        <f>IF(AND(AN366=MatchLabel,BB366=1),AS366,0)</f>
        <v>0</v>
      </c>
      <c r="BP366">
        <f>IF(AND(AN366=SafetyLabel,BB366=1),AS366,0)</f>
        <v>0</v>
      </c>
      <c r="BQ366">
        <f>IF(AND(AN366=SecureLabel,BB366=1),AS366,0)</f>
        <v>0</v>
      </c>
      <c r="BR366">
        <f>IF(AND(AN366=SureThingLabel,BB366=1),AS366,0)</f>
        <v>0</v>
      </c>
      <c r="BS366">
        <f>MAX(BN366:BR366)</f>
        <v>0</v>
      </c>
      <c r="BT366">
        <f>MAX(BO366:BR366)</f>
        <v>0</v>
      </c>
      <c r="BU366">
        <f>MAX(BP366:BR366)</f>
        <v>0</v>
      </c>
      <c r="BV366">
        <f>IF(ISNUMBER(AB366),INDEX(AllCollegeChicago, MATCH(N366,AllCollegeNCES,0))*BB366,0)</f>
        <v>0</v>
      </c>
      <c r="BW366">
        <f>IF(ISNUMBER(AB366),INDEX(AllCollegeMoneyCode, MATCH(N366,AllCollegeNCES,0)),"?")</f>
        <v>0</v>
      </c>
      <c r="BX366">
        <f>IF(OR(BW366="---",BW366="--",BW366="+/--",BW366="+/---"),1,0)</f>
        <v>0</v>
      </c>
      <c r="BY366">
        <f>BB366*AR366*AT366</f>
        <v>0</v>
      </c>
    </row>
    <row r="367" spans="1:77">
      <c r="A367" t="s">
        <v>96</v>
      </c>
      <c r="B367">
        <v>23274999</v>
      </c>
      <c r="C367" t="s">
        <v>276</v>
      </c>
      <c r="D367" t="s">
        <v>277</v>
      </c>
      <c r="E367" t="s">
        <v>446</v>
      </c>
      <c r="F367" t="s">
        <v>506</v>
      </c>
      <c r="G367" t="s">
        <v>448</v>
      </c>
      <c r="H367" t="s">
        <v>449</v>
      </c>
      <c r="I367" t="s">
        <v>450</v>
      </c>
      <c r="J367" t="s">
        <v>450</v>
      </c>
      <c r="K367">
        <v>0</v>
      </c>
      <c r="L367" t="s">
        <v>446</v>
      </c>
      <c r="M367" t="s">
        <v>446</v>
      </c>
      <c r="N367">
        <v>147679</v>
      </c>
      <c r="O367">
        <f>INDEX(Counselor,MATCH(B367,KidIDs,0))</f>
        <v>0</v>
      </c>
      <c r="P367">
        <f>INDEX(Advisors,MATCH(B367,KidIDs,0))</f>
        <v>0</v>
      </c>
      <c r="Q367">
        <f>INDEX(Cohort,MATCH(B367,KidIDs,0))</f>
        <v>0</v>
      </c>
      <c r="R367">
        <f>INDEX(AllCollegeBarrons,MATCH(N367,AllCollegeNCES,0))</f>
        <v>0</v>
      </c>
      <c r="S367">
        <f>INDEX(KidGPAs,MATCH(B367,KidIDs,0))</f>
        <v>0</v>
      </c>
      <c r="T367">
        <f>INDEX(KidSATs,MATCH(B367,KidIDs,0))</f>
        <v>0</v>
      </c>
      <c r="U367">
        <f>INDEX(Strats,MATCH(B367,KidIDs,0))</f>
        <v>0</v>
      </c>
      <c r="V367">
        <f>INDEX(KidRace,MATCH(B367,KidIDs,0))</f>
        <v>0</v>
      </c>
      <c r="W367">
        <f>IF(OR(V367="M",V367="I"),"H",IF(V367="P","A",V367))</f>
        <v>0</v>
      </c>
      <c r="X367">
        <f>INDEX(StudentTargets,MATCH(B367,KidIDs,0))</f>
        <v>0</v>
      </c>
      <c r="Y367">
        <f>INDEX(ReachStudentTargets,MATCH(B367,KidIDs,0))</f>
        <v>0</v>
      </c>
      <c r="Z367">
        <f>IF(OR(M367="Posse"),1,0)</f>
        <v>0</v>
      </c>
      <c r="AA367">
        <f>IF(ISNUMBER(INDEX(AllCollegeGR, MATCH(N367,AllCollegeNCES,0))),ROUND(INDEX(AllCollegeGR, MATCH(N367,AllCollegeNCES,0))+Z367*IF(INDEX(AllCollegeGR, MATCH(N367,AllCollegeNCES,0))&gt;0.7,(1-INDEX(AllCollegeGR, MATCH(N367,AllCollegeNCES,0)))/2,0.15),2),INDEX(AllCollegeGR, MATCH(N367,AllCollegeNCES,0)))</f>
        <v>0</v>
      </c>
      <c r="AB367">
        <f>IF(ISNUMBER(INDEX(AllCollegeAAHGR, MATCH(N367,AllCollegeNCES,0))),ROUND(INDEX(AllCollegeAAHGR, MATCH(N367,AllCollegeNCES,0))+Z367*IF(INDEX(AllCollegeAAHGR, MATCH(N367,AllCollegeNCES,0))&gt;0.7,(1-INDEX(AllCollegeAAHGR, MATCH(N367,AllCollegeNCES,0)))/2,0.15),2),INDEX(AllCollegeAAHGR, MATCH(N367,AllCollegeNCES,0)))</f>
        <v>0</v>
      </c>
      <c r="AC367">
        <f>IF(OR(W367="H",W367="B"),INDEX(AllCollegeSAT25, MATCH(N367,AllCollegeNCES,0)),INDEX(AllCollegeSAT50, MATCH(N367,AllCollegeNCES,0)))</f>
        <v>0</v>
      </c>
      <c r="AD367">
        <f>INDEX(CustomWeightsGPA,MATCH(W367&amp;":"&amp;N367,CustomWeightsIndex,0))</f>
        <v>0</v>
      </c>
      <c r="AE367">
        <f>INDEX(CustomWeightsSAT,MATCH(W367&amp;":"&amp;N367,CustomWeightsIndex,0))</f>
        <v>0</v>
      </c>
      <c r="AF367">
        <f>INDEX(CustomWeightsIntercept,MATCH(W367&amp;":"&amp;N367,CustomWeightsIndex,0))</f>
        <v>0</v>
      </c>
      <c r="AG367">
        <f>AD367*S367+AE367*T367+AF367</f>
        <v>0</v>
      </c>
      <c r="AH367">
        <f>INDEX(CoefficientsGPA,MATCH(W367&amp;":"&amp;R367,CoefficientsIndex,0))</f>
        <v>0</v>
      </c>
      <c r="AI367">
        <f>INDEX(CoefficientsSAT,MATCH(W367&amp;":"&amp;R367,CoefficientsIndex,0))</f>
        <v>0</v>
      </c>
      <c r="AJ367">
        <f>INDEX(CoefficientsIntercept,MATCH(W367&amp;":"&amp;R367,CoefficientsIndex,0))</f>
        <v>0</v>
      </c>
      <c r="AK367">
        <f>AH367*S367+(T367-AC367)*AI367+AJ367</f>
        <v>0</v>
      </c>
      <c r="AL367">
        <f>IF(ISNUMBER(AG367),AG367,AK367)</f>
        <v>0</v>
      </c>
      <c r="AM367">
        <f>IF(ISNUMBER(AL367),IF(ISNUMBER(AH367),IF(AND(AH367=1,AI367=1,AJ367=1),100,MIN(99,ROUND(100*EXP(AL367)/(1+EXP(AL367)),2))),MIN(99,ROUND(100*EXP(AL367)/(1+EXP(AL367)),2))),IF(ISTEXT(R367),IF(LEFT(R367,1)="2",100,"N/A"),"N/A"))</f>
        <v>0</v>
      </c>
      <c r="AN367">
        <f>IF(ISNUMBER(AM367),IF(AM367&gt;=99,IF(OR(U367=10,U367=11),MatchLabel,SureThingLabel),IF(AM367&gt;=95,SecureLabel,IF(AM367&gt;=80,SafetyLabel,IF(AM367&gt;=50,MatchLabel,IF(AM367&gt;=20,ReachLabel,IF(AM367&gt;=10,LongshotLabel,HailMaryLabel)))))),"Other")</f>
        <v>0</v>
      </c>
      <c r="AO367">
        <f>IF(OR(I367="accepted",I367="cond. accept",I367="summer admit"),IF(J367="yes","CHOICE!","Accepted!"),IF(I367="guar. transfer","Guar. Xfer",IF(I367="denied","Denied",IF(K367=1,"Waitlist",IF(L367=1,"Deferred",IF(G367="pending","Pending",IF(OR(G367="initial materials submitted",G367="mid-year submitted",G367="final submitted"),"Submitted",IF(H367="interest","Interest","?"))))))))</f>
        <v>0</v>
      </c>
      <c r="AP367">
        <f>IF(OR(AN367=ReachLabel,AN367=LongshotLabel,AN367=HailMaryLabel),1,0)</f>
        <v>0</v>
      </c>
      <c r="AQ367">
        <f>IF(OR(AP367=1,AN367=MatchLabel),1,0)</f>
        <v>0</v>
      </c>
      <c r="AR367">
        <f>IF(OR(AN367=MatchLabel,AN367=SafetyLabel,AN367=SecureLabel,AN367=SureThingLabel),1,0)</f>
        <v>0</v>
      </c>
      <c r="AS367">
        <f>IF(OR(W367="H",W367="B",W367="I",W367="M"),IF(ISNUMBER(AB367),ROUND(AB367,2),0),IF(ISNUMBER(AA367),ROUND(AA367,2),0))</f>
        <v>0</v>
      </c>
      <c r="AT367">
        <f>IF(AS367&gt;=X367,1,0)</f>
        <v>0</v>
      </c>
      <c r="AU367">
        <f>IF(AS367&gt;=Y367,1,0)</f>
        <v>0</v>
      </c>
      <c r="AV367">
        <f>IF(AS367&lt;(X367-0.10),1,0)</f>
        <v>0</v>
      </c>
      <c r="AW367">
        <f>1-AM367/100</f>
        <v>0</v>
      </c>
      <c r="AX367">
        <f>IF(AQ367=1,AW367,1)</f>
        <v>0</v>
      </c>
      <c r="AY367">
        <f>IF(AP367=1,AW367,1)</f>
        <v>0</v>
      </c>
      <c r="AZ367">
        <f>IF(AND(AT367=1,ISNUMBER(AW367)),$AW367,1)</f>
        <v>0</v>
      </c>
      <c r="BA367">
        <f>IF(AND(AU367=1,ISNUMBER(AW367)),$AW367,1)</f>
        <v>0</v>
      </c>
      <c r="BB367">
        <f>IF(ISNUMBER(AB367),INDEX(AllCollegeMoney, MATCH(N367,AllCollegeNCES,0)),0)</f>
        <v>0</v>
      </c>
      <c r="BC367">
        <f>IF(AND(AT367=1,ISNUMBER(AW367),BB367=1),$AW367,1)</f>
        <v>0</v>
      </c>
      <c r="BD367">
        <f>IF(AND(AU367=1,ISNUMBER(AW367),BB367=1),$AW367,1)</f>
        <v>0</v>
      </c>
      <c r="BE367">
        <f>IF(ISNUMBER(AB367),INDEX(AllCollegeILPub, MATCH(N367,AllCollegeNCES,0)),0)</f>
        <v>0</v>
      </c>
      <c r="BF367">
        <f>IF(AN367=ReachLabel,AS367,0)</f>
        <v>0</v>
      </c>
      <c r="BG367">
        <f>IF(AN367=MatchLabel,AS367,0)</f>
        <v>0</v>
      </c>
      <c r="BH367">
        <f>IF(AN367=SafetyLabel,AS367,0)</f>
        <v>0</v>
      </c>
      <c r="BI367">
        <f>IF(AN367=SecureLabel,AS367,0)</f>
        <v>0</v>
      </c>
      <c r="BJ367">
        <f>IF(AN367=SureThingLabel,AS367,0)</f>
        <v>0</v>
      </c>
      <c r="BK367">
        <f>MAX(BF367:BJ367)</f>
        <v>0</v>
      </c>
      <c r="BL367">
        <f>MAX(BG367:BJ367)</f>
        <v>0</v>
      </c>
      <c r="BM367">
        <f>MAX(BH367:BJ367)</f>
        <v>0</v>
      </c>
      <c r="BN367">
        <f>IF(AND(AN367=ReachLabel,BB367=1),AS367,0)</f>
        <v>0</v>
      </c>
      <c r="BO367">
        <f>IF(AND(AN367=MatchLabel,BB367=1),AS367,0)</f>
        <v>0</v>
      </c>
      <c r="BP367">
        <f>IF(AND(AN367=SafetyLabel,BB367=1),AS367,0)</f>
        <v>0</v>
      </c>
      <c r="BQ367">
        <f>IF(AND(AN367=SecureLabel,BB367=1),AS367,0)</f>
        <v>0</v>
      </c>
      <c r="BR367">
        <f>IF(AND(AN367=SureThingLabel,BB367=1),AS367,0)</f>
        <v>0</v>
      </c>
      <c r="BS367">
        <f>MAX(BN367:BR367)</f>
        <v>0</v>
      </c>
      <c r="BT367">
        <f>MAX(BO367:BR367)</f>
        <v>0</v>
      </c>
      <c r="BU367">
        <f>MAX(BP367:BR367)</f>
        <v>0</v>
      </c>
      <c r="BV367">
        <f>IF(ISNUMBER(AB367),INDEX(AllCollegeChicago, MATCH(N367,AllCollegeNCES,0))*BB367,0)</f>
        <v>0</v>
      </c>
      <c r="BW367">
        <f>IF(ISNUMBER(AB367),INDEX(AllCollegeMoneyCode, MATCH(N367,AllCollegeNCES,0)),"?")</f>
        <v>0</v>
      </c>
      <c r="BX367">
        <f>IF(OR(BW367="---",BW367="--",BW367="+/--",BW367="+/---"),1,0)</f>
        <v>0</v>
      </c>
      <c r="BY367">
        <f>BB367*AR367*AT367</f>
        <v>0</v>
      </c>
    </row>
    <row r="368" spans="1:77">
      <c r="A368" t="s">
        <v>96</v>
      </c>
      <c r="B368">
        <v>23319069</v>
      </c>
      <c r="C368" t="s">
        <v>162</v>
      </c>
      <c r="D368" t="s">
        <v>163</v>
      </c>
      <c r="E368" t="s">
        <v>446</v>
      </c>
      <c r="F368" t="s">
        <v>470</v>
      </c>
      <c r="G368" t="s">
        <v>479</v>
      </c>
      <c r="H368" t="s">
        <v>449</v>
      </c>
      <c r="I368" t="s">
        <v>450</v>
      </c>
      <c r="J368" t="s">
        <v>450</v>
      </c>
      <c r="K368">
        <v>0</v>
      </c>
      <c r="L368" t="s">
        <v>446</v>
      </c>
      <c r="M368" t="s">
        <v>446</v>
      </c>
      <c r="N368">
        <v>240444</v>
      </c>
      <c r="O368">
        <f>INDEX(Counselor,MATCH(B368,KidIDs,0))</f>
        <v>0</v>
      </c>
      <c r="P368">
        <f>INDEX(Advisors,MATCH(B368,KidIDs,0))</f>
        <v>0</v>
      </c>
      <c r="Q368">
        <f>INDEX(Cohort,MATCH(B368,KidIDs,0))</f>
        <v>0</v>
      </c>
      <c r="R368">
        <f>INDEX(AllCollegeBarrons,MATCH(N368,AllCollegeNCES,0))</f>
        <v>0</v>
      </c>
      <c r="S368">
        <f>INDEX(KidGPAs,MATCH(B368,KidIDs,0))</f>
        <v>0</v>
      </c>
      <c r="T368">
        <f>INDEX(KidSATs,MATCH(B368,KidIDs,0))</f>
        <v>0</v>
      </c>
      <c r="U368">
        <f>INDEX(Strats,MATCH(B368,KidIDs,0))</f>
        <v>0</v>
      </c>
      <c r="V368">
        <f>INDEX(KidRace,MATCH(B368,KidIDs,0))</f>
        <v>0</v>
      </c>
      <c r="W368">
        <f>IF(OR(V368="M",V368="I"),"H",IF(V368="P","A",V368))</f>
        <v>0</v>
      </c>
      <c r="X368">
        <f>INDEX(StudentTargets,MATCH(B368,KidIDs,0))</f>
        <v>0</v>
      </c>
      <c r="Y368">
        <f>INDEX(ReachStudentTargets,MATCH(B368,KidIDs,0))</f>
        <v>0</v>
      </c>
      <c r="Z368">
        <f>IF(OR(M368="Posse"),1,0)</f>
        <v>0</v>
      </c>
      <c r="AA368">
        <f>IF(ISNUMBER(INDEX(AllCollegeGR, MATCH(N368,AllCollegeNCES,0))),ROUND(INDEX(AllCollegeGR, MATCH(N368,AllCollegeNCES,0))+Z368*IF(INDEX(AllCollegeGR, MATCH(N368,AllCollegeNCES,0))&gt;0.7,(1-INDEX(AllCollegeGR, MATCH(N368,AllCollegeNCES,0)))/2,0.15),2),INDEX(AllCollegeGR, MATCH(N368,AllCollegeNCES,0)))</f>
        <v>0</v>
      </c>
      <c r="AB368">
        <f>IF(ISNUMBER(INDEX(AllCollegeAAHGR, MATCH(N368,AllCollegeNCES,0))),ROUND(INDEX(AllCollegeAAHGR, MATCH(N368,AllCollegeNCES,0))+Z368*IF(INDEX(AllCollegeAAHGR, MATCH(N368,AllCollegeNCES,0))&gt;0.7,(1-INDEX(AllCollegeAAHGR, MATCH(N368,AllCollegeNCES,0)))/2,0.15),2),INDEX(AllCollegeAAHGR, MATCH(N368,AllCollegeNCES,0)))</f>
        <v>0</v>
      </c>
      <c r="AC368">
        <f>IF(OR(W368="H",W368="B"),INDEX(AllCollegeSAT25, MATCH(N368,AllCollegeNCES,0)),INDEX(AllCollegeSAT50, MATCH(N368,AllCollegeNCES,0)))</f>
        <v>0</v>
      </c>
      <c r="AD368">
        <f>INDEX(CustomWeightsGPA,MATCH(W368&amp;":"&amp;N368,CustomWeightsIndex,0))</f>
        <v>0</v>
      </c>
      <c r="AE368">
        <f>INDEX(CustomWeightsSAT,MATCH(W368&amp;":"&amp;N368,CustomWeightsIndex,0))</f>
        <v>0</v>
      </c>
      <c r="AF368">
        <f>INDEX(CustomWeightsIntercept,MATCH(W368&amp;":"&amp;N368,CustomWeightsIndex,0))</f>
        <v>0</v>
      </c>
      <c r="AG368">
        <f>AD368*S368+AE368*T368+AF368</f>
        <v>0</v>
      </c>
      <c r="AH368">
        <f>INDEX(CoefficientsGPA,MATCH(W368&amp;":"&amp;R368,CoefficientsIndex,0))</f>
        <v>0</v>
      </c>
      <c r="AI368">
        <f>INDEX(CoefficientsSAT,MATCH(W368&amp;":"&amp;R368,CoefficientsIndex,0))</f>
        <v>0</v>
      </c>
      <c r="AJ368">
        <f>INDEX(CoefficientsIntercept,MATCH(W368&amp;":"&amp;R368,CoefficientsIndex,0))</f>
        <v>0</v>
      </c>
      <c r="AK368">
        <f>AH368*S368+(T368-AC368)*AI368+AJ368</f>
        <v>0</v>
      </c>
      <c r="AL368">
        <f>IF(ISNUMBER(AG368),AG368,AK368)</f>
        <v>0</v>
      </c>
      <c r="AM368">
        <f>IF(ISNUMBER(AL368),IF(ISNUMBER(AH368),IF(AND(AH368=1,AI368=1,AJ368=1),100,MIN(99,ROUND(100*EXP(AL368)/(1+EXP(AL368)),2))),MIN(99,ROUND(100*EXP(AL368)/(1+EXP(AL368)),2))),IF(ISTEXT(R368),IF(LEFT(R368,1)="2",100,"N/A"),"N/A"))</f>
        <v>0</v>
      </c>
      <c r="AN368">
        <f>IF(ISNUMBER(AM368),IF(AM368&gt;=99,IF(OR(U368=10,U368=11),MatchLabel,SureThingLabel),IF(AM368&gt;=95,SecureLabel,IF(AM368&gt;=80,SafetyLabel,IF(AM368&gt;=50,MatchLabel,IF(AM368&gt;=20,ReachLabel,IF(AM368&gt;=10,LongshotLabel,HailMaryLabel)))))),"Other")</f>
        <v>0</v>
      </c>
      <c r="AO368">
        <f>IF(OR(I368="accepted",I368="cond. accept",I368="summer admit"),IF(J368="yes","CHOICE!","Accepted!"),IF(I368="guar. transfer","Guar. Xfer",IF(I368="denied","Denied",IF(K368=1,"Waitlist",IF(L368=1,"Deferred",IF(G368="pending","Pending",IF(OR(G368="initial materials submitted",G368="mid-year submitted",G368="final submitted"),"Submitted",IF(H368="interest","Interest","?"))))))))</f>
        <v>0</v>
      </c>
      <c r="AP368">
        <f>IF(OR(AN368=ReachLabel,AN368=LongshotLabel,AN368=HailMaryLabel),1,0)</f>
        <v>0</v>
      </c>
      <c r="AQ368">
        <f>IF(OR(AP368=1,AN368=MatchLabel),1,0)</f>
        <v>0</v>
      </c>
      <c r="AR368">
        <f>IF(OR(AN368=MatchLabel,AN368=SafetyLabel,AN368=SecureLabel,AN368=SureThingLabel),1,0)</f>
        <v>0</v>
      </c>
      <c r="AS368">
        <f>IF(OR(W368="H",W368="B",W368="I",W368="M"),IF(ISNUMBER(AB368),ROUND(AB368,2),0),IF(ISNUMBER(AA368),ROUND(AA368,2),0))</f>
        <v>0</v>
      </c>
      <c r="AT368">
        <f>IF(AS368&gt;=X368,1,0)</f>
        <v>0</v>
      </c>
      <c r="AU368">
        <f>IF(AS368&gt;=Y368,1,0)</f>
        <v>0</v>
      </c>
      <c r="AV368">
        <f>IF(AS368&lt;(X368-0.10),1,0)</f>
        <v>0</v>
      </c>
      <c r="AW368">
        <f>1-AM368/100</f>
        <v>0</v>
      </c>
      <c r="AX368">
        <f>IF(AQ368=1,AW368,1)</f>
        <v>0</v>
      </c>
      <c r="AY368">
        <f>IF(AP368=1,AW368,1)</f>
        <v>0</v>
      </c>
      <c r="AZ368">
        <f>IF(AND(AT368=1,ISNUMBER(AW368)),$AW368,1)</f>
        <v>0</v>
      </c>
      <c r="BA368">
        <f>IF(AND(AU368=1,ISNUMBER(AW368)),$AW368,1)</f>
        <v>0</v>
      </c>
      <c r="BB368">
        <f>IF(ISNUMBER(AB368),INDEX(AllCollegeMoney, MATCH(N368,AllCollegeNCES,0)),0)</f>
        <v>0</v>
      </c>
      <c r="BC368">
        <f>IF(AND(AT368=1,ISNUMBER(AW368),BB368=1),$AW368,1)</f>
        <v>0</v>
      </c>
      <c r="BD368">
        <f>IF(AND(AU368=1,ISNUMBER(AW368),BB368=1),$AW368,1)</f>
        <v>0</v>
      </c>
      <c r="BE368">
        <f>IF(ISNUMBER(AB368),INDEX(AllCollegeILPub, MATCH(N368,AllCollegeNCES,0)),0)</f>
        <v>0</v>
      </c>
      <c r="BF368">
        <f>IF(AN368=ReachLabel,AS368,0)</f>
        <v>0</v>
      </c>
      <c r="BG368">
        <f>IF(AN368=MatchLabel,AS368,0)</f>
        <v>0</v>
      </c>
      <c r="BH368">
        <f>IF(AN368=SafetyLabel,AS368,0)</f>
        <v>0</v>
      </c>
      <c r="BI368">
        <f>IF(AN368=SecureLabel,AS368,0)</f>
        <v>0</v>
      </c>
      <c r="BJ368">
        <f>IF(AN368=SureThingLabel,AS368,0)</f>
        <v>0</v>
      </c>
      <c r="BK368">
        <f>MAX(BF368:BJ368)</f>
        <v>0</v>
      </c>
      <c r="BL368">
        <f>MAX(BG368:BJ368)</f>
        <v>0</v>
      </c>
      <c r="BM368">
        <f>MAX(BH368:BJ368)</f>
        <v>0</v>
      </c>
      <c r="BN368">
        <f>IF(AND(AN368=ReachLabel,BB368=1),AS368,0)</f>
        <v>0</v>
      </c>
      <c r="BO368">
        <f>IF(AND(AN368=MatchLabel,BB368=1),AS368,0)</f>
        <v>0</v>
      </c>
      <c r="BP368">
        <f>IF(AND(AN368=SafetyLabel,BB368=1),AS368,0)</f>
        <v>0</v>
      </c>
      <c r="BQ368">
        <f>IF(AND(AN368=SecureLabel,BB368=1),AS368,0)</f>
        <v>0</v>
      </c>
      <c r="BR368">
        <f>IF(AND(AN368=SureThingLabel,BB368=1),AS368,0)</f>
        <v>0</v>
      </c>
      <c r="BS368">
        <f>MAX(BN368:BR368)</f>
        <v>0</v>
      </c>
      <c r="BT368">
        <f>MAX(BO368:BR368)</f>
        <v>0</v>
      </c>
      <c r="BU368">
        <f>MAX(BP368:BR368)</f>
        <v>0</v>
      </c>
      <c r="BV368">
        <f>IF(ISNUMBER(AB368),INDEX(AllCollegeChicago, MATCH(N368,AllCollegeNCES,0))*BB368,0)</f>
        <v>0</v>
      </c>
      <c r="BW368">
        <f>IF(ISNUMBER(AB368),INDEX(AllCollegeMoneyCode, MATCH(N368,AllCollegeNCES,0)),"?")</f>
        <v>0</v>
      </c>
      <c r="BX368">
        <f>IF(OR(BW368="---",BW368="--",BW368="+/--",BW368="+/---"),1,0)</f>
        <v>0</v>
      </c>
      <c r="BY368">
        <f>BB368*AR368*AT368</f>
        <v>0</v>
      </c>
    </row>
    <row r="369" spans="1:77">
      <c r="A369" t="s">
        <v>96</v>
      </c>
      <c r="B369">
        <v>23319069</v>
      </c>
      <c r="C369" t="s">
        <v>162</v>
      </c>
      <c r="D369" t="s">
        <v>163</v>
      </c>
      <c r="E369" t="s">
        <v>446</v>
      </c>
      <c r="F369" t="s">
        <v>471</v>
      </c>
      <c r="G369" t="s">
        <v>448</v>
      </c>
      <c r="H369" t="s">
        <v>449</v>
      </c>
      <c r="I369" t="s">
        <v>450</v>
      </c>
      <c r="J369" t="s">
        <v>450</v>
      </c>
      <c r="K369">
        <v>0</v>
      </c>
      <c r="L369" t="s">
        <v>446</v>
      </c>
      <c r="M369" t="s">
        <v>446</v>
      </c>
      <c r="N369">
        <v>202523</v>
      </c>
      <c r="O369">
        <f>INDEX(Counselor,MATCH(B369,KidIDs,0))</f>
        <v>0</v>
      </c>
      <c r="P369">
        <f>INDEX(Advisors,MATCH(B369,KidIDs,0))</f>
        <v>0</v>
      </c>
      <c r="Q369">
        <f>INDEX(Cohort,MATCH(B369,KidIDs,0))</f>
        <v>0</v>
      </c>
      <c r="R369">
        <f>INDEX(AllCollegeBarrons,MATCH(N369,AllCollegeNCES,0))</f>
        <v>0</v>
      </c>
      <c r="S369">
        <f>INDEX(KidGPAs,MATCH(B369,KidIDs,0))</f>
        <v>0</v>
      </c>
      <c r="T369">
        <f>INDEX(KidSATs,MATCH(B369,KidIDs,0))</f>
        <v>0</v>
      </c>
      <c r="U369">
        <f>INDEX(Strats,MATCH(B369,KidIDs,0))</f>
        <v>0</v>
      </c>
      <c r="V369">
        <f>INDEX(KidRace,MATCH(B369,KidIDs,0))</f>
        <v>0</v>
      </c>
      <c r="W369">
        <f>IF(OR(V369="M",V369="I"),"H",IF(V369="P","A",V369))</f>
        <v>0</v>
      </c>
      <c r="X369">
        <f>INDEX(StudentTargets,MATCH(B369,KidIDs,0))</f>
        <v>0</v>
      </c>
      <c r="Y369">
        <f>INDEX(ReachStudentTargets,MATCH(B369,KidIDs,0))</f>
        <v>0</v>
      </c>
      <c r="Z369">
        <f>IF(OR(M369="Posse"),1,0)</f>
        <v>0</v>
      </c>
      <c r="AA369">
        <f>IF(ISNUMBER(INDEX(AllCollegeGR, MATCH(N369,AllCollegeNCES,0))),ROUND(INDEX(AllCollegeGR, MATCH(N369,AllCollegeNCES,0))+Z369*IF(INDEX(AllCollegeGR, MATCH(N369,AllCollegeNCES,0))&gt;0.7,(1-INDEX(AllCollegeGR, MATCH(N369,AllCollegeNCES,0)))/2,0.15),2),INDEX(AllCollegeGR, MATCH(N369,AllCollegeNCES,0)))</f>
        <v>0</v>
      </c>
      <c r="AB369">
        <f>IF(ISNUMBER(INDEX(AllCollegeAAHGR, MATCH(N369,AllCollegeNCES,0))),ROUND(INDEX(AllCollegeAAHGR, MATCH(N369,AllCollegeNCES,0))+Z369*IF(INDEX(AllCollegeAAHGR, MATCH(N369,AllCollegeNCES,0))&gt;0.7,(1-INDEX(AllCollegeAAHGR, MATCH(N369,AllCollegeNCES,0)))/2,0.15),2),INDEX(AllCollegeAAHGR, MATCH(N369,AllCollegeNCES,0)))</f>
        <v>0</v>
      </c>
      <c r="AC369">
        <f>IF(OR(W369="H",W369="B"),INDEX(AllCollegeSAT25, MATCH(N369,AllCollegeNCES,0)),INDEX(AllCollegeSAT50, MATCH(N369,AllCollegeNCES,0)))</f>
        <v>0</v>
      </c>
      <c r="AD369">
        <f>INDEX(CustomWeightsGPA,MATCH(W369&amp;":"&amp;N369,CustomWeightsIndex,0))</f>
        <v>0</v>
      </c>
      <c r="AE369">
        <f>INDEX(CustomWeightsSAT,MATCH(W369&amp;":"&amp;N369,CustomWeightsIndex,0))</f>
        <v>0</v>
      </c>
      <c r="AF369">
        <f>INDEX(CustomWeightsIntercept,MATCH(W369&amp;":"&amp;N369,CustomWeightsIndex,0))</f>
        <v>0</v>
      </c>
      <c r="AG369">
        <f>AD369*S369+AE369*T369+AF369</f>
        <v>0</v>
      </c>
      <c r="AH369">
        <f>INDEX(CoefficientsGPA,MATCH(W369&amp;":"&amp;R369,CoefficientsIndex,0))</f>
        <v>0</v>
      </c>
      <c r="AI369">
        <f>INDEX(CoefficientsSAT,MATCH(W369&amp;":"&amp;R369,CoefficientsIndex,0))</f>
        <v>0</v>
      </c>
      <c r="AJ369">
        <f>INDEX(CoefficientsIntercept,MATCH(W369&amp;":"&amp;R369,CoefficientsIndex,0))</f>
        <v>0</v>
      </c>
      <c r="AK369">
        <f>AH369*S369+(T369-AC369)*AI369+AJ369</f>
        <v>0</v>
      </c>
      <c r="AL369">
        <f>IF(ISNUMBER(AG369),AG369,AK369)</f>
        <v>0</v>
      </c>
      <c r="AM369">
        <f>IF(ISNUMBER(AL369),IF(ISNUMBER(AH369),IF(AND(AH369=1,AI369=1,AJ369=1),100,MIN(99,ROUND(100*EXP(AL369)/(1+EXP(AL369)),2))),MIN(99,ROUND(100*EXP(AL369)/(1+EXP(AL369)),2))),IF(ISTEXT(R369),IF(LEFT(R369,1)="2",100,"N/A"),"N/A"))</f>
        <v>0</v>
      </c>
      <c r="AN369">
        <f>IF(ISNUMBER(AM369),IF(AM369&gt;=99,IF(OR(U369=10,U369=11),MatchLabel,SureThingLabel),IF(AM369&gt;=95,SecureLabel,IF(AM369&gt;=80,SafetyLabel,IF(AM369&gt;=50,MatchLabel,IF(AM369&gt;=20,ReachLabel,IF(AM369&gt;=10,LongshotLabel,HailMaryLabel)))))),"Other")</f>
        <v>0</v>
      </c>
      <c r="AO369">
        <f>IF(OR(I369="accepted",I369="cond. accept",I369="summer admit"),IF(J369="yes","CHOICE!","Accepted!"),IF(I369="guar. transfer","Guar. Xfer",IF(I369="denied","Denied",IF(K369=1,"Waitlist",IF(L369=1,"Deferred",IF(G369="pending","Pending",IF(OR(G369="initial materials submitted",G369="mid-year submitted",G369="final submitted"),"Submitted",IF(H369="interest","Interest","?"))))))))</f>
        <v>0</v>
      </c>
      <c r="AP369">
        <f>IF(OR(AN369=ReachLabel,AN369=LongshotLabel,AN369=HailMaryLabel),1,0)</f>
        <v>0</v>
      </c>
      <c r="AQ369">
        <f>IF(OR(AP369=1,AN369=MatchLabel),1,0)</f>
        <v>0</v>
      </c>
      <c r="AR369">
        <f>IF(OR(AN369=MatchLabel,AN369=SafetyLabel,AN369=SecureLabel,AN369=SureThingLabel),1,0)</f>
        <v>0</v>
      </c>
      <c r="AS369">
        <f>IF(OR(W369="H",W369="B",W369="I",W369="M"),IF(ISNUMBER(AB369),ROUND(AB369,2),0),IF(ISNUMBER(AA369),ROUND(AA369,2),0))</f>
        <v>0</v>
      </c>
      <c r="AT369">
        <f>IF(AS369&gt;=X369,1,0)</f>
        <v>0</v>
      </c>
      <c r="AU369">
        <f>IF(AS369&gt;=Y369,1,0)</f>
        <v>0</v>
      </c>
      <c r="AV369">
        <f>IF(AS369&lt;(X369-0.10),1,0)</f>
        <v>0</v>
      </c>
      <c r="AW369">
        <f>1-AM369/100</f>
        <v>0</v>
      </c>
      <c r="AX369">
        <f>IF(AQ369=1,AW369,1)</f>
        <v>0</v>
      </c>
      <c r="AY369">
        <f>IF(AP369=1,AW369,1)</f>
        <v>0</v>
      </c>
      <c r="AZ369">
        <f>IF(AND(AT369=1,ISNUMBER(AW369)),$AW369,1)</f>
        <v>0</v>
      </c>
      <c r="BA369">
        <f>IF(AND(AU369=1,ISNUMBER(AW369)),$AW369,1)</f>
        <v>0</v>
      </c>
      <c r="BB369">
        <f>IF(ISNUMBER(AB369),INDEX(AllCollegeMoney, MATCH(N369,AllCollegeNCES,0)),0)</f>
        <v>0</v>
      </c>
      <c r="BC369">
        <f>IF(AND(AT369=1,ISNUMBER(AW369),BB369=1),$AW369,1)</f>
        <v>0</v>
      </c>
      <c r="BD369">
        <f>IF(AND(AU369=1,ISNUMBER(AW369),BB369=1),$AW369,1)</f>
        <v>0</v>
      </c>
      <c r="BE369">
        <f>IF(ISNUMBER(AB369),INDEX(AllCollegeILPub, MATCH(N369,AllCollegeNCES,0)),0)</f>
        <v>0</v>
      </c>
      <c r="BF369">
        <f>IF(AN369=ReachLabel,AS369,0)</f>
        <v>0</v>
      </c>
      <c r="BG369">
        <f>IF(AN369=MatchLabel,AS369,0)</f>
        <v>0</v>
      </c>
      <c r="BH369">
        <f>IF(AN369=SafetyLabel,AS369,0)</f>
        <v>0</v>
      </c>
      <c r="BI369">
        <f>IF(AN369=SecureLabel,AS369,0)</f>
        <v>0</v>
      </c>
      <c r="BJ369">
        <f>IF(AN369=SureThingLabel,AS369,0)</f>
        <v>0</v>
      </c>
      <c r="BK369">
        <f>MAX(BF369:BJ369)</f>
        <v>0</v>
      </c>
      <c r="BL369">
        <f>MAX(BG369:BJ369)</f>
        <v>0</v>
      </c>
      <c r="BM369">
        <f>MAX(BH369:BJ369)</f>
        <v>0</v>
      </c>
      <c r="BN369">
        <f>IF(AND(AN369=ReachLabel,BB369=1),AS369,0)</f>
        <v>0</v>
      </c>
      <c r="BO369">
        <f>IF(AND(AN369=MatchLabel,BB369=1),AS369,0)</f>
        <v>0</v>
      </c>
      <c r="BP369">
        <f>IF(AND(AN369=SafetyLabel,BB369=1),AS369,0)</f>
        <v>0</v>
      </c>
      <c r="BQ369">
        <f>IF(AND(AN369=SecureLabel,BB369=1),AS369,0)</f>
        <v>0</v>
      </c>
      <c r="BR369">
        <f>IF(AND(AN369=SureThingLabel,BB369=1),AS369,0)</f>
        <v>0</v>
      </c>
      <c r="BS369">
        <f>MAX(BN369:BR369)</f>
        <v>0</v>
      </c>
      <c r="BT369">
        <f>MAX(BO369:BR369)</f>
        <v>0</v>
      </c>
      <c r="BU369">
        <f>MAX(BP369:BR369)</f>
        <v>0</v>
      </c>
      <c r="BV369">
        <f>IF(ISNUMBER(AB369),INDEX(AllCollegeChicago, MATCH(N369,AllCollegeNCES,0))*BB369,0)</f>
        <v>0</v>
      </c>
      <c r="BW369">
        <f>IF(ISNUMBER(AB369),INDEX(AllCollegeMoneyCode, MATCH(N369,AllCollegeNCES,0)),"?")</f>
        <v>0</v>
      </c>
      <c r="BX369">
        <f>IF(OR(BW369="---",BW369="--",BW369="+/--",BW369="+/---"),1,0)</f>
        <v>0</v>
      </c>
      <c r="BY369">
        <f>BB369*AR369*AT369</f>
        <v>0</v>
      </c>
    </row>
    <row r="370" spans="1:77">
      <c r="A370" t="s">
        <v>96</v>
      </c>
      <c r="B370">
        <v>23319069</v>
      </c>
      <c r="C370" t="s">
        <v>162</v>
      </c>
      <c r="D370" t="s">
        <v>163</v>
      </c>
      <c r="E370" t="s">
        <v>446</v>
      </c>
      <c r="F370" t="s">
        <v>472</v>
      </c>
      <c r="G370" t="s">
        <v>448</v>
      </c>
      <c r="H370" t="s">
        <v>449</v>
      </c>
      <c r="I370" t="s">
        <v>450</v>
      </c>
      <c r="J370" t="s">
        <v>450</v>
      </c>
      <c r="K370">
        <v>0</v>
      </c>
      <c r="L370" t="s">
        <v>446</v>
      </c>
      <c r="M370" t="s">
        <v>446</v>
      </c>
      <c r="N370">
        <v>212674</v>
      </c>
      <c r="O370">
        <f>INDEX(Counselor,MATCH(B370,KidIDs,0))</f>
        <v>0</v>
      </c>
      <c r="P370">
        <f>INDEX(Advisors,MATCH(B370,KidIDs,0))</f>
        <v>0</v>
      </c>
      <c r="Q370">
        <f>INDEX(Cohort,MATCH(B370,KidIDs,0))</f>
        <v>0</v>
      </c>
      <c r="R370">
        <f>INDEX(AllCollegeBarrons,MATCH(N370,AllCollegeNCES,0))</f>
        <v>0</v>
      </c>
      <c r="S370">
        <f>INDEX(KidGPAs,MATCH(B370,KidIDs,0))</f>
        <v>0</v>
      </c>
      <c r="T370">
        <f>INDEX(KidSATs,MATCH(B370,KidIDs,0))</f>
        <v>0</v>
      </c>
      <c r="U370">
        <f>INDEX(Strats,MATCH(B370,KidIDs,0))</f>
        <v>0</v>
      </c>
      <c r="V370">
        <f>INDEX(KidRace,MATCH(B370,KidIDs,0))</f>
        <v>0</v>
      </c>
      <c r="W370">
        <f>IF(OR(V370="M",V370="I"),"H",IF(V370="P","A",V370))</f>
        <v>0</v>
      </c>
      <c r="X370">
        <f>INDEX(StudentTargets,MATCH(B370,KidIDs,0))</f>
        <v>0</v>
      </c>
      <c r="Y370">
        <f>INDEX(ReachStudentTargets,MATCH(B370,KidIDs,0))</f>
        <v>0</v>
      </c>
      <c r="Z370">
        <f>IF(OR(M370="Posse"),1,0)</f>
        <v>0</v>
      </c>
      <c r="AA370">
        <f>IF(ISNUMBER(INDEX(AllCollegeGR, MATCH(N370,AllCollegeNCES,0))),ROUND(INDEX(AllCollegeGR, MATCH(N370,AllCollegeNCES,0))+Z370*IF(INDEX(AllCollegeGR, MATCH(N370,AllCollegeNCES,0))&gt;0.7,(1-INDEX(AllCollegeGR, MATCH(N370,AllCollegeNCES,0)))/2,0.15),2),INDEX(AllCollegeGR, MATCH(N370,AllCollegeNCES,0)))</f>
        <v>0</v>
      </c>
      <c r="AB370">
        <f>IF(ISNUMBER(INDEX(AllCollegeAAHGR, MATCH(N370,AllCollegeNCES,0))),ROUND(INDEX(AllCollegeAAHGR, MATCH(N370,AllCollegeNCES,0))+Z370*IF(INDEX(AllCollegeAAHGR, MATCH(N370,AllCollegeNCES,0))&gt;0.7,(1-INDEX(AllCollegeAAHGR, MATCH(N370,AllCollegeNCES,0)))/2,0.15),2),INDEX(AllCollegeAAHGR, MATCH(N370,AllCollegeNCES,0)))</f>
        <v>0</v>
      </c>
      <c r="AC370">
        <f>IF(OR(W370="H",W370="B"),INDEX(AllCollegeSAT25, MATCH(N370,AllCollegeNCES,0)),INDEX(AllCollegeSAT50, MATCH(N370,AllCollegeNCES,0)))</f>
        <v>0</v>
      </c>
      <c r="AD370">
        <f>INDEX(CustomWeightsGPA,MATCH(W370&amp;":"&amp;N370,CustomWeightsIndex,0))</f>
        <v>0</v>
      </c>
      <c r="AE370">
        <f>INDEX(CustomWeightsSAT,MATCH(W370&amp;":"&amp;N370,CustomWeightsIndex,0))</f>
        <v>0</v>
      </c>
      <c r="AF370">
        <f>INDEX(CustomWeightsIntercept,MATCH(W370&amp;":"&amp;N370,CustomWeightsIndex,0))</f>
        <v>0</v>
      </c>
      <c r="AG370">
        <f>AD370*S370+AE370*T370+AF370</f>
        <v>0</v>
      </c>
      <c r="AH370">
        <f>INDEX(CoefficientsGPA,MATCH(W370&amp;":"&amp;R370,CoefficientsIndex,0))</f>
        <v>0</v>
      </c>
      <c r="AI370">
        <f>INDEX(CoefficientsSAT,MATCH(W370&amp;":"&amp;R370,CoefficientsIndex,0))</f>
        <v>0</v>
      </c>
      <c r="AJ370">
        <f>INDEX(CoefficientsIntercept,MATCH(W370&amp;":"&amp;R370,CoefficientsIndex,0))</f>
        <v>0</v>
      </c>
      <c r="AK370">
        <f>AH370*S370+(T370-AC370)*AI370+AJ370</f>
        <v>0</v>
      </c>
      <c r="AL370">
        <f>IF(ISNUMBER(AG370),AG370,AK370)</f>
        <v>0</v>
      </c>
      <c r="AM370">
        <f>IF(ISNUMBER(AL370),IF(ISNUMBER(AH370),IF(AND(AH370=1,AI370=1,AJ370=1),100,MIN(99,ROUND(100*EXP(AL370)/(1+EXP(AL370)),2))),MIN(99,ROUND(100*EXP(AL370)/(1+EXP(AL370)),2))),IF(ISTEXT(R370),IF(LEFT(R370,1)="2",100,"N/A"),"N/A"))</f>
        <v>0</v>
      </c>
      <c r="AN370">
        <f>IF(ISNUMBER(AM370),IF(AM370&gt;=99,IF(OR(U370=10,U370=11),MatchLabel,SureThingLabel),IF(AM370&gt;=95,SecureLabel,IF(AM370&gt;=80,SafetyLabel,IF(AM370&gt;=50,MatchLabel,IF(AM370&gt;=20,ReachLabel,IF(AM370&gt;=10,LongshotLabel,HailMaryLabel)))))),"Other")</f>
        <v>0</v>
      </c>
      <c r="AO370">
        <f>IF(OR(I370="accepted",I370="cond. accept",I370="summer admit"),IF(J370="yes","CHOICE!","Accepted!"),IF(I370="guar. transfer","Guar. Xfer",IF(I370="denied","Denied",IF(K370=1,"Waitlist",IF(L370=1,"Deferred",IF(G370="pending","Pending",IF(OR(G370="initial materials submitted",G370="mid-year submitted",G370="final submitted"),"Submitted",IF(H370="interest","Interest","?"))))))))</f>
        <v>0</v>
      </c>
      <c r="AP370">
        <f>IF(OR(AN370=ReachLabel,AN370=LongshotLabel,AN370=HailMaryLabel),1,0)</f>
        <v>0</v>
      </c>
      <c r="AQ370">
        <f>IF(OR(AP370=1,AN370=MatchLabel),1,0)</f>
        <v>0</v>
      </c>
      <c r="AR370">
        <f>IF(OR(AN370=MatchLabel,AN370=SafetyLabel,AN370=SecureLabel,AN370=SureThingLabel),1,0)</f>
        <v>0</v>
      </c>
      <c r="AS370">
        <f>IF(OR(W370="H",W370="B",W370="I",W370="M"),IF(ISNUMBER(AB370),ROUND(AB370,2),0),IF(ISNUMBER(AA370),ROUND(AA370,2),0))</f>
        <v>0</v>
      </c>
      <c r="AT370">
        <f>IF(AS370&gt;=X370,1,0)</f>
        <v>0</v>
      </c>
      <c r="AU370">
        <f>IF(AS370&gt;=Y370,1,0)</f>
        <v>0</v>
      </c>
      <c r="AV370">
        <f>IF(AS370&lt;(X370-0.10),1,0)</f>
        <v>0</v>
      </c>
      <c r="AW370">
        <f>1-AM370/100</f>
        <v>0</v>
      </c>
      <c r="AX370">
        <f>IF(AQ370=1,AW370,1)</f>
        <v>0</v>
      </c>
      <c r="AY370">
        <f>IF(AP370=1,AW370,1)</f>
        <v>0</v>
      </c>
      <c r="AZ370">
        <f>IF(AND(AT370=1,ISNUMBER(AW370)),$AW370,1)</f>
        <v>0</v>
      </c>
      <c r="BA370">
        <f>IF(AND(AU370=1,ISNUMBER(AW370)),$AW370,1)</f>
        <v>0</v>
      </c>
      <c r="BB370">
        <f>IF(ISNUMBER(AB370),INDEX(AllCollegeMoney, MATCH(N370,AllCollegeNCES,0)),0)</f>
        <v>0</v>
      </c>
      <c r="BC370">
        <f>IF(AND(AT370=1,ISNUMBER(AW370),BB370=1),$AW370,1)</f>
        <v>0</v>
      </c>
      <c r="BD370">
        <f>IF(AND(AU370=1,ISNUMBER(AW370),BB370=1),$AW370,1)</f>
        <v>0</v>
      </c>
      <c r="BE370">
        <f>IF(ISNUMBER(AB370),INDEX(AllCollegeILPub, MATCH(N370,AllCollegeNCES,0)),0)</f>
        <v>0</v>
      </c>
      <c r="BF370">
        <f>IF(AN370=ReachLabel,AS370,0)</f>
        <v>0</v>
      </c>
      <c r="BG370">
        <f>IF(AN370=MatchLabel,AS370,0)</f>
        <v>0</v>
      </c>
      <c r="BH370">
        <f>IF(AN370=SafetyLabel,AS370,0)</f>
        <v>0</v>
      </c>
      <c r="BI370">
        <f>IF(AN370=SecureLabel,AS370,0)</f>
        <v>0</v>
      </c>
      <c r="BJ370">
        <f>IF(AN370=SureThingLabel,AS370,0)</f>
        <v>0</v>
      </c>
      <c r="BK370">
        <f>MAX(BF370:BJ370)</f>
        <v>0</v>
      </c>
      <c r="BL370">
        <f>MAX(BG370:BJ370)</f>
        <v>0</v>
      </c>
      <c r="BM370">
        <f>MAX(BH370:BJ370)</f>
        <v>0</v>
      </c>
      <c r="BN370">
        <f>IF(AND(AN370=ReachLabel,BB370=1),AS370,0)</f>
        <v>0</v>
      </c>
      <c r="BO370">
        <f>IF(AND(AN370=MatchLabel,BB370=1),AS370,0)</f>
        <v>0</v>
      </c>
      <c r="BP370">
        <f>IF(AND(AN370=SafetyLabel,BB370=1),AS370,0)</f>
        <v>0</v>
      </c>
      <c r="BQ370">
        <f>IF(AND(AN370=SecureLabel,BB370=1),AS370,0)</f>
        <v>0</v>
      </c>
      <c r="BR370">
        <f>IF(AND(AN370=SureThingLabel,BB370=1),AS370,0)</f>
        <v>0</v>
      </c>
      <c r="BS370">
        <f>MAX(BN370:BR370)</f>
        <v>0</v>
      </c>
      <c r="BT370">
        <f>MAX(BO370:BR370)</f>
        <v>0</v>
      </c>
      <c r="BU370">
        <f>MAX(BP370:BR370)</f>
        <v>0</v>
      </c>
      <c r="BV370">
        <f>IF(ISNUMBER(AB370),INDEX(AllCollegeChicago, MATCH(N370,AllCollegeNCES,0))*BB370,0)</f>
        <v>0</v>
      </c>
      <c r="BW370">
        <f>IF(ISNUMBER(AB370),INDEX(AllCollegeMoneyCode, MATCH(N370,AllCollegeNCES,0)),"?")</f>
        <v>0</v>
      </c>
      <c r="BX370">
        <f>IF(OR(BW370="---",BW370="--",BW370="+/--",BW370="+/---"),1,0)</f>
        <v>0</v>
      </c>
      <c r="BY370">
        <f>BB370*AR370*AT370</f>
        <v>0</v>
      </c>
    </row>
    <row r="371" spans="1:77">
      <c r="A371" t="s">
        <v>96</v>
      </c>
      <c r="B371">
        <v>23319069</v>
      </c>
      <c r="C371" t="s">
        <v>162</v>
      </c>
      <c r="D371" t="s">
        <v>163</v>
      </c>
      <c r="E371" t="s">
        <v>446</v>
      </c>
      <c r="F371" t="s">
        <v>485</v>
      </c>
      <c r="G371" t="s">
        <v>448</v>
      </c>
      <c r="H371" t="s">
        <v>449</v>
      </c>
      <c r="I371" t="s">
        <v>450</v>
      </c>
      <c r="J371" t="s">
        <v>450</v>
      </c>
      <c r="K371">
        <v>0</v>
      </c>
      <c r="L371" t="s">
        <v>446</v>
      </c>
      <c r="M371" t="s">
        <v>446</v>
      </c>
      <c r="N371">
        <v>212009</v>
      </c>
      <c r="O371">
        <f>INDEX(Counselor,MATCH(B371,KidIDs,0))</f>
        <v>0</v>
      </c>
      <c r="P371">
        <f>INDEX(Advisors,MATCH(B371,KidIDs,0))</f>
        <v>0</v>
      </c>
      <c r="Q371">
        <f>INDEX(Cohort,MATCH(B371,KidIDs,0))</f>
        <v>0</v>
      </c>
      <c r="R371">
        <f>INDEX(AllCollegeBarrons,MATCH(N371,AllCollegeNCES,0))</f>
        <v>0</v>
      </c>
      <c r="S371">
        <f>INDEX(KidGPAs,MATCH(B371,KidIDs,0))</f>
        <v>0</v>
      </c>
      <c r="T371">
        <f>INDEX(KidSATs,MATCH(B371,KidIDs,0))</f>
        <v>0</v>
      </c>
      <c r="U371">
        <f>INDEX(Strats,MATCH(B371,KidIDs,0))</f>
        <v>0</v>
      </c>
      <c r="V371">
        <f>INDEX(KidRace,MATCH(B371,KidIDs,0))</f>
        <v>0</v>
      </c>
      <c r="W371">
        <f>IF(OR(V371="M",V371="I"),"H",IF(V371="P","A",V371))</f>
        <v>0</v>
      </c>
      <c r="X371">
        <f>INDEX(StudentTargets,MATCH(B371,KidIDs,0))</f>
        <v>0</v>
      </c>
      <c r="Y371">
        <f>INDEX(ReachStudentTargets,MATCH(B371,KidIDs,0))</f>
        <v>0</v>
      </c>
      <c r="Z371">
        <f>IF(OR(M371="Posse"),1,0)</f>
        <v>0</v>
      </c>
      <c r="AA371">
        <f>IF(ISNUMBER(INDEX(AllCollegeGR, MATCH(N371,AllCollegeNCES,0))),ROUND(INDEX(AllCollegeGR, MATCH(N371,AllCollegeNCES,0))+Z371*IF(INDEX(AllCollegeGR, MATCH(N371,AllCollegeNCES,0))&gt;0.7,(1-INDEX(AllCollegeGR, MATCH(N371,AllCollegeNCES,0)))/2,0.15),2),INDEX(AllCollegeGR, MATCH(N371,AllCollegeNCES,0)))</f>
        <v>0</v>
      </c>
      <c r="AB371">
        <f>IF(ISNUMBER(INDEX(AllCollegeAAHGR, MATCH(N371,AllCollegeNCES,0))),ROUND(INDEX(AllCollegeAAHGR, MATCH(N371,AllCollegeNCES,0))+Z371*IF(INDEX(AllCollegeAAHGR, MATCH(N371,AllCollegeNCES,0))&gt;0.7,(1-INDEX(AllCollegeAAHGR, MATCH(N371,AllCollegeNCES,0)))/2,0.15),2),INDEX(AllCollegeAAHGR, MATCH(N371,AllCollegeNCES,0)))</f>
        <v>0</v>
      </c>
      <c r="AC371">
        <f>IF(OR(W371="H",W371="B"),INDEX(AllCollegeSAT25, MATCH(N371,AllCollegeNCES,0)),INDEX(AllCollegeSAT50, MATCH(N371,AllCollegeNCES,0)))</f>
        <v>0</v>
      </c>
      <c r="AD371">
        <f>INDEX(CustomWeightsGPA,MATCH(W371&amp;":"&amp;N371,CustomWeightsIndex,0))</f>
        <v>0</v>
      </c>
      <c r="AE371">
        <f>INDEX(CustomWeightsSAT,MATCH(W371&amp;":"&amp;N371,CustomWeightsIndex,0))</f>
        <v>0</v>
      </c>
      <c r="AF371">
        <f>INDEX(CustomWeightsIntercept,MATCH(W371&amp;":"&amp;N371,CustomWeightsIndex,0))</f>
        <v>0</v>
      </c>
      <c r="AG371">
        <f>AD371*S371+AE371*T371+AF371</f>
        <v>0</v>
      </c>
      <c r="AH371">
        <f>INDEX(CoefficientsGPA,MATCH(W371&amp;":"&amp;R371,CoefficientsIndex,0))</f>
        <v>0</v>
      </c>
      <c r="AI371">
        <f>INDEX(CoefficientsSAT,MATCH(W371&amp;":"&amp;R371,CoefficientsIndex,0))</f>
        <v>0</v>
      </c>
      <c r="AJ371">
        <f>INDEX(CoefficientsIntercept,MATCH(W371&amp;":"&amp;R371,CoefficientsIndex,0))</f>
        <v>0</v>
      </c>
      <c r="AK371">
        <f>AH371*S371+(T371-AC371)*AI371+AJ371</f>
        <v>0</v>
      </c>
      <c r="AL371">
        <f>IF(ISNUMBER(AG371),AG371,AK371)</f>
        <v>0</v>
      </c>
      <c r="AM371">
        <f>IF(ISNUMBER(AL371),IF(ISNUMBER(AH371),IF(AND(AH371=1,AI371=1,AJ371=1),100,MIN(99,ROUND(100*EXP(AL371)/(1+EXP(AL371)),2))),MIN(99,ROUND(100*EXP(AL371)/(1+EXP(AL371)),2))),IF(ISTEXT(R371),IF(LEFT(R371,1)="2",100,"N/A"),"N/A"))</f>
        <v>0</v>
      </c>
      <c r="AN371">
        <f>IF(ISNUMBER(AM371),IF(AM371&gt;=99,IF(OR(U371=10,U371=11),MatchLabel,SureThingLabel),IF(AM371&gt;=95,SecureLabel,IF(AM371&gt;=80,SafetyLabel,IF(AM371&gt;=50,MatchLabel,IF(AM371&gt;=20,ReachLabel,IF(AM371&gt;=10,LongshotLabel,HailMaryLabel)))))),"Other")</f>
        <v>0</v>
      </c>
      <c r="AO371">
        <f>IF(OR(I371="accepted",I371="cond. accept",I371="summer admit"),IF(J371="yes","CHOICE!","Accepted!"),IF(I371="guar. transfer","Guar. Xfer",IF(I371="denied","Denied",IF(K371=1,"Waitlist",IF(L371=1,"Deferred",IF(G371="pending","Pending",IF(OR(G371="initial materials submitted",G371="mid-year submitted",G371="final submitted"),"Submitted",IF(H371="interest","Interest","?"))))))))</f>
        <v>0</v>
      </c>
      <c r="AP371">
        <f>IF(OR(AN371=ReachLabel,AN371=LongshotLabel,AN371=HailMaryLabel),1,0)</f>
        <v>0</v>
      </c>
      <c r="AQ371">
        <f>IF(OR(AP371=1,AN371=MatchLabel),1,0)</f>
        <v>0</v>
      </c>
      <c r="AR371">
        <f>IF(OR(AN371=MatchLabel,AN371=SafetyLabel,AN371=SecureLabel,AN371=SureThingLabel),1,0)</f>
        <v>0</v>
      </c>
      <c r="AS371">
        <f>IF(OR(W371="H",W371="B",W371="I",W371="M"),IF(ISNUMBER(AB371),ROUND(AB371,2),0),IF(ISNUMBER(AA371),ROUND(AA371,2),0))</f>
        <v>0</v>
      </c>
      <c r="AT371">
        <f>IF(AS371&gt;=X371,1,0)</f>
        <v>0</v>
      </c>
      <c r="AU371">
        <f>IF(AS371&gt;=Y371,1,0)</f>
        <v>0</v>
      </c>
      <c r="AV371">
        <f>IF(AS371&lt;(X371-0.10),1,0)</f>
        <v>0</v>
      </c>
      <c r="AW371">
        <f>1-AM371/100</f>
        <v>0</v>
      </c>
      <c r="AX371">
        <f>IF(AQ371=1,AW371,1)</f>
        <v>0</v>
      </c>
      <c r="AY371">
        <f>IF(AP371=1,AW371,1)</f>
        <v>0</v>
      </c>
      <c r="AZ371">
        <f>IF(AND(AT371=1,ISNUMBER(AW371)),$AW371,1)</f>
        <v>0</v>
      </c>
      <c r="BA371">
        <f>IF(AND(AU371=1,ISNUMBER(AW371)),$AW371,1)</f>
        <v>0</v>
      </c>
      <c r="BB371">
        <f>IF(ISNUMBER(AB371),INDEX(AllCollegeMoney, MATCH(N371,AllCollegeNCES,0)),0)</f>
        <v>0</v>
      </c>
      <c r="BC371">
        <f>IF(AND(AT371=1,ISNUMBER(AW371),BB371=1),$AW371,1)</f>
        <v>0</v>
      </c>
      <c r="BD371">
        <f>IF(AND(AU371=1,ISNUMBER(AW371),BB371=1),$AW371,1)</f>
        <v>0</v>
      </c>
      <c r="BE371">
        <f>IF(ISNUMBER(AB371),INDEX(AllCollegeILPub, MATCH(N371,AllCollegeNCES,0)),0)</f>
        <v>0</v>
      </c>
      <c r="BF371">
        <f>IF(AN371=ReachLabel,AS371,0)</f>
        <v>0</v>
      </c>
      <c r="BG371">
        <f>IF(AN371=MatchLabel,AS371,0)</f>
        <v>0</v>
      </c>
      <c r="BH371">
        <f>IF(AN371=SafetyLabel,AS371,0)</f>
        <v>0</v>
      </c>
      <c r="BI371">
        <f>IF(AN371=SecureLabel,AS371,0)</f>
        <v>0</v>
      </c>
      <c r="BJ371">
        <f>IF(AN371=SureThingLabel,AS371,0)</f>
        <v>0</v>
      </c>
      <c r="BK371">
        <f>MAX(BF371:BJ371)</f>
        <v>0</v>
      </c>
      <c r="BL371">
        <f>MAX(BG371:BJ371)</f>
        <v>0</v>
      </c>
      <c r="BM371">
        <f>MAX(BH371:BJ371)</f>
        <v>0</v>
      </c>
      <c r="BN371">
        <f>IF(AND(AN371=ReachLabel,BB371=1),AS371,0)</f>
        <v>0</v>
      </c>
      <c r="BO371">
        <f>IF(AND(AN371=MatchLabel,BB371=1),AS371,0)</f>
        <v>0</v>
      </c>
      <c r="BP371">
        <f>IF(AND(AN371=SafetyLabel,BB371=1),AS371,0)</f>
        <v>0</v>
      </c>
      <c r="BQ371">
        <f>IF(AND(AN371=SecureLabel,BB371=1),AS371,0)</f>
        <v>0</v>
      </c>
      <c r="BR371">
        <f>IF(AND(AN371=SureThingLabel,BB371=1),AS371,0)</f>
        <v>0</v>
      </c>
      <c r="BS371">
        <f>MAX(BN371:BR371)</f>
        <v>0</v>
      </c>
      <c r="BT371">
        <f>MAX(BO371:BR371)</f>
        <v>0</v>
      </c>
      <c r="BU371">
        <f>MAX(BP371:BR371)</f>
        <v>0</v>
      </c>
      <c r="BV371">
        <f>IF(ISNUMBER(AB371),INDEX(AllCollegeChicago, MATCH(N371,AllCollegeNCES,0))*BB371,0)</f>
        <v>0</v>
      </c>
      <c r="BW371">
        <f>IF(ISNUMBER(AB371),INDEX(AllCollegeMoneyCode, MATCH(N371,AllCollegeNCES,0)),"?")</f>
        <v>0</v>
      </c>
      <c r="BX371">
        <f>IF(OR(BW371="---",BW371="--",BW371="+/--",BW371="+/---"),1,0)</f>
        <v>0</v>
      </c>
      <c r="BY371">
        <f>BB371*AR371*AT371</f>
        <v>0</v>
      </c>
    </row>
    <row r="372" spans="1:77">
      <c r="A372" t="s">
        <v>96</v>
      </c>
      <c r="B372">
        <v>23319069</v>
      </c>
      <c r="C372" t="s">
        <v>162</v>
      </c>
      <c r="D372" t="s">
        <v>163</v>
      </c>
      <c r="E372" t="s">
        <v>446</v>
      </c>
      <c r="F372" t="s">
        <v>486</v>
      </c>
      <c r="G372" t="s">
        <v>448</v>
      </c>
      <c r="H372" t="s">
        <v>449</v>
      </c>
      <c r="I372" t="s">
        <v>450</v>
      </c>
      <c r="J372" t="s">
        <v>450</v>
      </c>
      <c r="K372">
        <v>0</v>
      </c>
      <c r="L372" t="s">
        <v>446</v>
      </c>
      <c r="M372" t="s">
        <v>446</v>
      </c>
      <c r="N372">
        <v>206589</v>
      </c>
      <c r="O372">
        <f>INDEX(Counselor,MATCH(B372,KidIDs,0))</f>
        <v>0</v>
      </c>
      <c r="P372">
        <f>INDEX(Advisors,MATCH(B372,KidIDs,0))</f>
        <v>0</v>
      </c>
      <c r="Q372">
        <f>INDEX(Cohort,MATCH(B372,KidIDs,0))</f>
        <v>0</v>
      </c>
      <c r="R372">
        <f>INDEX(AllCollegeBarrons,MATCH(N372,AllCollegeNCES,0))</f>
        <v>0</v>
      </c>
      <c r="S372">
        <f>INDEX(KidGPAs,MATCH(B372,KidIDs,0))</f>
        <v>0</v>
      </c>
      <c r="T372">
        <f>INDEX(KidSATs,MATCH(B372,KidIDs,0))</f>
        <v>0</v>
      </c>
      <c r="U372">
        <f>INDEX(Strats,MATCH(B372,KidIDs,0))</f>
        <v>0</v>
      </c>
      <c r="V372">
        <f>INDEX(KidRace,MATCH(B372,KidIDs,0))</f>
        <v>0</v>
      </c>
      <c r="W372">
        <f>IF(OR(V372="M",V372="I"),"H",IF(V372="P","A",V372))</f>
        <v>0</v>
      </c>
      <c r="X372">
        <f>INDEX(StudentTargets,MATCH(B372,KidIDs,0))</f>
        <v>0</v>
      </c>
      <c r="Y372">
        <f>INDEX(ReachStudentTargets,MATCH(B372,KidIDs,0))</f>
        <v>0</v>
      </c>
      <c r="Z372">
        <f>IF(OR(M372="Posse"),1,0)</f>
        <v>0</v>
      </c>
      <c r="AA372">
        <f>IF(ISNUMBER(INDEX(AllCollegeGR, MATCH(N372,AllCollegeNCES,0))),ROUND(INDEX(AllCollegeGR, MATCH(N372,AllCollegeNCES,0))+Z372*IF(INDEX(AllCollegeGR, MATCH(N372,AllCollegeNCES,0))&gt;0.7,(1-INDEX(AllCollegeGR, MATCH(N372,AllCollegeNCES,0)))/2,0.15),2),INDEX(AllCollegeGR, MATCH(N372,AllCollegeNCES,0)))</f>
        <v>0</v>
      </c>
      <c r="AB372">
        <f>IF(ISNUMBER(INDEX(AllCollegeAAHGR, MATCH(N372,AllCollegeNCES,0))),ROUND(INDEX(AllCollegeAAHGR, MATCH(N372,AllCollegeNCES,0))+Z372*IF(INDEX(AllCollegeAAHGR, MATCH(N372,AllCollegeNCES,0))&gt;0.7,(1-INDEX(AllCollegeAAHGR, MATCH(N372,AllCollegeNCES,0)))/2,0.15),2),INDEX(AllCollegeAAHGR, MATCH(N372,AllCollegeNCES,0)))</f>
        <v>0</v>
      </c>
      <c r="AC372">
        <f>IF(OR(W372="H",W372="B"),INDEX(AllCollegeSAT25, MATCH(N372,AllCollegeNCES,0)),INDEX(AllCollegeSAT50, MATCH(N372,AllCollegeNCES,0)))</f>
        <v>0</v>
      </c>
      <c r="AD372">
        <f>INDEX(CustomWeightsGPA,MATCH(W372&amp;":"&amp;N372,CustomWeightsIndex,0))</f>
        <v>0</v>
      </c>
      <c r="AE372">
        <f>INDEX(CustomWeightsSAT,MATCH(W372&amp;":"&amp;N372,CustomWeightsIndex,0))</f>
        <v>0</v>
      </c>
      <c r="AF372">
        <f>INDEX(CustomWeightsIntercept,MATCH(W372&amp;":"&amp;N372,CustomWeightsIndex,0))</f>
        <v>0</v>
      </c>
      <c r="AG372">
        <f>AD372*S372+AE372*T372+AF372</f>
        <v>0</v>
      </c>
      <c r="AH372">
        <f>INDEX(CoefficientsGPA,MATCH(W372&amp;":"&amp;R372,CoefficientsIndex,0))</f>
        <v>0</v>
      </c>
      <c r="AI372">
        <f>INDEX(CoefficientsSAT,MATCH(W372&amp;":"&amp;R372,CoefficientsIndex,0))</f>
        <v>0</v>
      </c>
      <c r="AJ372">
        <f>INDEX(CoefficientsIntercept,MATCH(W372&amp;":"&amp;R372,CoefficientsIndex,0))</f>
        <v>0</v>
      </c>
      <c r="AK372">
        <f>AH372*S372+(T372-AC372)*AI372+AJ372</f>
        <v>0</v>
      </c>
      <c r="AL372">
        <f>IF(ISNUMBER(AG372),AG372,AK372)</f>
        <v>0</v>
      </c>
      <c r="AM372">
        <f>IF(ISNUMBER(AL372),IF(ISNUMBER(AH372),IF(AND(AH372=1,AI372=1,AJ372=1),100,MIN(99,ROUND(100*EXP(AL372)/(1+EXP(AL372)),2))),MIN(99,ROUND(100*EXP(AL372)/(1+EXP(AL372)),2))),IF(ISTEXT(R372),IF(LEFT(R372,1)="2",100,"N/A"),"N/A"))</f>
        <v>0</v>
      </c>
      <c r="AN372">
        <f>IF(ISNUMBER(AM372),IF(AM372&gt;=99,IF(OR(U372=10,U372=11),MatchLabel,SureThingLabel),IF(AM372&gt;=95,SecureLabel,IF(AM372&gt;=80,SafetyLabel,IF(AM372&gt;=50,MatchLabel,IF(AM372&gt;=20,ReachLabel,IF(AM372&gt;=10,LongshotLabel,HailMaryLabel)))))),"Other")</f>
        <v>0</v>
      </c>
      <c r="AO372">
        <f>IF(OR(I372="accepted",I372="cond. accept",I372="summer admit"),IF(J372="yes","CHOICE!","Accepted!"),IF(I372="guar. transfer","Guar. Xfer",IF(I372="denied","Denied",IF(K372=1,"Waitlist",IF(L372=1,"Deferred",IF(G372="pending","Pending",IF(OR(G372="initial materials submitted",G372="mid-year submitted",G372="final submitted"),"Submitted",IF(H372="interest","Interest","?"))))))))</f>
        <v>0</v>
      </c>
      <c r="AP372">
        <f>IF(OR(AN372=ReachLabel,AN372=LongshotLabel,AN372=HailMaryLabel),1,0)</f>
        <v>0</v>
      </c>
      <c r="AQ372">
        <f>IF(OR(AP372=1,AN372=MatchLabel),1,0)</f>
        <v>0</v>
      </c>
      <c r="AR372">
        <f>IF(OR(AN372=MatchLabel,AN372=SafetyLabel,AN372=SecureLabel,AN372=SureThingLabel),1,0)</f>
        <v>0</v>
      </c>
      <c r="AS372">
        <f>IF(OR(W372="H",W372="B",W372="I",W372="M"),IF(ISNUMBER(AB372),ROUND(AB372,2),0),IF(ISNUMBER(AA372),ROUND(AA372,2),0))</f>
        <v>0</v>
      </c>
      <c r="AT372">
        <f>IF(AS372&gt;=X372,1,0)</f>
        <v>0</v>
      </c>
      <c r="AU372">
        <f>IF(AS372&gt;=Y372,1,0)</f>
        <v>0</v>
      </c>
      <c r="AV372">
        <f>IF(AS372&lt;(X372-0.10),1,0)</f>
        <v>0</v>
      </c>
      <c r="AW372">
        <f>1-AM372/100</f>
        <v>0</v>
      </c>
      <c r="AX372">
        <f>IF(AQ372=1,AW372,1)</f>
        <v>0</v>
      </c>
      <c r="AY372">
        <f>IF(AP372=1,AW372,1)</f>
        <v>0</v>
      </c>
      <c r="AZ372">
        <f>IF(AND(AT372=1,ISNUMBER(AW372)),$AW372,1)</f>
        <v>0</v>
      </c>
      <c r="BA372">
        <f>IF(AND(AU372=1,ISNUMBER(AW372)),$AW372,1)</f>
        <v>0</v>
      </c>
      <c r="BB372">
        <f>IF(ISNUMBER(AB372),INDEX(AllCollegeMoney, MATCH(N372,AllCollegeNCES,0)),0)</f>
        <v>0</v>
      </c>
      <c r="BC372">
        <f>IF(AND(AT372=1,ISNUMBER(AW372),BB372=1),$AW372,1)</f>
        <v>0</v>
      </c>
      <c r="BD372">
        <f>IF(AND(AU372=1,ISNUMBER(AW372),BB372=1),$AW372,1)</f>
        <v>0</v>
      </c>
      <c r="BE372">
        <f>IF(ISNUMBER(AB372),INDEX(AllCollegeILPub, MATCH(N372,AllCollegeNCES,0)),0)</f>
        <v>0</v>
      </c>
      <c r="BF372">
        <f>IF(AN372=ReachLabel,AS372,0)</f>
        <v>0</v>
      </c>
      <c r="BG372">
        <f>IF(AN372=MatchLabel,AS372,0)</f>
        <v>0</v>
      </c>
      <c r="BH372">
        <f>IF(AN372=SafetyLabel,AS372,0)</f>
        <v>0</v>
      </c>
      <c r="BI372">
        <f>IF(AN372=SecureLabel,AS372,0)</f>
        <v>0</v>
      </c>
      <c r="BJ372">
        <f>IF(AN372=SureThingLabel,AS372,0)</f>
        <v>0</v>
      </c>
      <c r="BK372">
        <f>MAX(BF372:BJ372)</f>
        <v>0</v>
      </c>
      <c r="BL372">
        <f>MAX(BG372:BJ372)</f>
        <v>0</v>
      </c>
      <c r="BM372">
        <f>MAX(BH372:BJ372)</f>
        <v>0</v>
      </c>
      <c r="BN372">
        <f>IF(AND(AN372=ReachLabel,BB372=1),AS372,0)</f>
        <v>0</v>
      </c>
      <c r="BO372">
        <f>IF(AND(AN372=MatchLabel,BB372=1),AS372,0)</f>
        <v>0</v>
      </c>
      <c r="BP372">
        <f>IF(AND(AN372=SafetyLabel,BB372=1),AS372,0)</f>
        <v>0</v>
      </c>
      <c r="BQ372">
        <f>IF(AND(AN372=SecureLabel,BB372=1),AS372,0)</f>
        <v>0</v>
      </c>
      <c r="BR372">
        <f>IF(AND(AN372=SureThingLabel,BB372=1),AS372,0)</f>
        <v>0</v>
      </c>
      <c r="BS372">
        <f>MAX(BN372:BR372)</f>
        <v>0</v>
      </c>
      <c r="BT372">
        <f>MAX(BO372:BR372)</f>
        <v>0</v>
      </c>
      <c r="BU372">
        <f>MAX(BP372:BR372)</f>
        <v>0</v>
      </c>
      <c r="BV372">
        <f>IF(ISNUMBER(AB372),INDEX(AllCollegeChicago, MATCH(N372,AllCollegeNCES,0))*BB372,0)</f>
        <v>0</v>
      </c>
      <c r="BW372">
        <f>IF(ISNUMBER(AB372),INDEX(AllCollegeMoneyCode, MATCH(N372,AllCollegeNCES,0)),"?")</f>
        <v>0</v>
      </c>
      <c r="BX372">
        <f>IF(OR(BW372="---",BW372="--",BW372="+/--",BW372="+/---"),1,0)</f>
        <v>0</v>
      </c>
      <c r="BY372">
        <f>BB372*AR372*AT372</f>
        <v>0</v>
      </c>
    </row>
    <row r="373" spans="1:77">
      <c r="A373" t="s">
        <v>96</v>
      </c>
      <c r="B373">
        <v>23319069</v>
      </c>
      <c r="C373" t="s">
        <v>162</v>
      </c>
      <c r="D373" t="s">
        <v>163</v>
      </c>
      <c r="E373" t="s">
        <v>446</v>
      </c>
      <c r="F373" t="s">
        <v>474</v>
      </c>
      <c r="G373" t="s">
        <v>479</v>
      </c>
      <c r="H373" t="s">
        <v>449</v>
      </c>
      <c r="I373" t="s">
        <v>450</v>
      </c>
      <c r="J373" t="s">
        <v>450</v>
      </c>
      <c r="K373">
        <v>0</v>
      </c>
      <c r="L373" t="s">
        <v>446</v>
      </c>
      <c r="M373" t="s">
        <v>446</v>
      </c>
      <c r="N373">
        <v>170532</v>
      </c>
      <c r="O373">
        <f>INDEX(Counselor,MATCH(B373,KidIDs,0))</f>
        <v>0</v>
      </c>
      <c r="P373">
        <f>INDEX(Advisors,MATCH(B373,KidIDs,0))</f>
        <v>0</v>
      </c>
      <c r="Q373">
        <f>INDEX(Cohort,MATCH(B373,KidIDs,0))</f>
        <v>0</v>
      </c>
      <c r="R373">
        <f>INDEX(AllCollegeBarrons,MATCH(N373,AllCollegeNCES,0))</f>
        <v>0</v>
      </c>
      <c r="S373">
        <f>INDEX(KidGPAs,MATCH(B373,KidIDs,0))</f>
        <v>0</v>
      </c>
      <c r="T373">
        <f>INDEX(KidSATs,MATCH(B373,KidIDs,0))</f>
        <v>0</v>
      </c>
      <c r="U373">
        <f>INDEX(Strats,MATCH(B373,KidIDs,0))</f>
        <v>0</v>
      </c>
      <c r="V373">
        <f>INDEX(KidRace,MATCH(B373,KidIDs,0))</f>
        <v>0</v>
      </c>
      <c r="W373">
        <f>IF(OR(V373="M",V373="I"),"H",IF(V373="P","A",V373))</f>
        <v>0</v>
      </c>
      <c r="X373">
        <f>INDEX(StudentTargets,MATCH(B373,KidIDs,0))</f>
        <v>0</v>
      </c>
      <c r="Y373">
        <f>INDEX(ReachStudentTargets,MATCH(B373,KidIDs,0))</f>
        <v>0</v>
      </c>
      <c r="Z373">
        <f>IF(OR(M373="Posse"),1,0)</f>
        <v>0</v>
      </c>
      <c r="AA373">
        <f>IF(ISNUMBER(INDEX(AllCollegeGR, MATCH(N373,AllCollegeNCES,0))),ROUND(INDEX(AllCollegeGR, MATCH(N373,AllCollegeNCES,0))+Z373*IF(INDEX(AllCollegeGR, MATCH(N373,AllCollegeNCES,0))&gt;0.7,(1-INDEX(AllCollegeGR, MATCH(N373,AllCollegeNCES,0)))/2,0.15),2),INDEX(AllCollegeGR, MATCH(N373,AllCollegeNCES,0)))</f>
        <v>0</v>
      </c>
      <c r="AB373">
        <f>IF(ISNUMBER(INDEX(AllCollegeAAHGR, MATCH(N373,AllCollegeNCES,0))),ROUND(INDEX(AllCollegeAAHGR, MATCH(N373,AllCollegeNCES,0))+Z373*IF(INDEX(AllCollegeAAHGR, MATCH(N373,AllCollegeNCES,0))&gt;0.7,(1-INDEX(AllCollegeAAHGR, MATCH(N373,AllCollegeNCES,0)))/2,0.15),2),INDEX(AllCollegeAAHGR, MATCH(N373,AllCollegeNCES,0)))</f>
        <v>0</v>
      </c>
      <c r="AC373">
        <f>IF(OR(W373="H",W373="B"),INDEX(AllCollegeSAT25, MATCH(N373,AllCollegeNCES,0)),INDEX(AllCollegeSAT50, MATCH(N373,AllCollegeNCES,0)))</f>
        <v>0</v>
      </c>
      <c r="AD373">
        <f>INDEX(CustomWeightsGPA,MATCH(W373&amp;":"&amp;N373,CustomWeightsIndex,0))</f>
        <v>0</v>
      </c>
      <c r="AE373">
        <f>INDEX(CustomWeightsSAT,MATCH(W373&amp;":"&amp;N373,CustomWeightsIndex,0))</f>
        <v>0</v>
      </c>
      <c r="AF373">
        <f>INDEX(CustomWeightsIntercept,MATCH(W373&amp;":"&amp;N373,CustomWeightsIndex,0))</f>
        <v>0</v>
      </c>
      <c r="AG373">
        <f>AD373*S373+AE373*T373+AF373</f>
        <v>0</v>
      </c>
      <c r="AH373">
        <f>INDEX(CoefficientsGPA,MATCH(W373&amp;":"&amp;R373,CoefficientsIndex,0))</f>
        <v>0</v>
      </c>
      <c r="AI373">
        <f>INDEX(CoefficientsSAT,MATCH(W373&amp;":"&amp;R373,CoefficientsIndex,0))</f>
        <v>0</v>
      </c>
      <c r="AJ373">
        <f>INDEX(CoefficientsIntercept,MATCH(W373&amp;":"&amp;R373,CoefficientsIndex,0))</f>
        <v>0</v>
      </c>
      <c r="AK373">
        <f>AH373*S373+(T373-AC373)*AI373+AJ373</f>
        <v>0</v>
      </c>
      <c r="AL373">
        <f>IF(ISNUMBER(AG373),AG373,AK373)</f>
        <v>0</v>
      </c>
      <c r="AM373">
        <f>IF(ISNUMBER(AL373),IF(ISNUMBER(AH373),IF(AND(AH373=1,AI373=1,AJ373=1),100,MIN(99,ROUND(100*EXP(AL373)/(1+EXP(AL373)),2))),MIN(99,ROUND(100*EXP(AL373)/(1+EXP(AL373)),2))),IF(ISTEXT(R373),IF(LEFT(R373,1)="2",100,"N/A"),"N/A"))</f>
        <v>0</v>
      </c>
      <c r="AN373">
        <f>IF(ISNUMBER(AM373),IF(AM373&gt;=99,IF(OR(U373=10,U373=11),MatchLabel,SureThingLabel),IF(AM373&gt;=95,SecureLabel,IF(AM373&gt;=80,SafetyLabel,IF(AM373&gt;=50,MatchLabel,IF(AM373&gt;=20,ReachLabel,IF(AM373&gt;=10,LongshotLabel,HailMaryLabel)))))),"Other")</f>
        <v>0</v>
      </c>
      <c r="AO373">
        <f>IF(OR(I373="accepted",I373="cond. accept",I373="summer admit"),IF(J373="yes","CHOICE!","Accepted!"),IF(I373="guar. transfer","Guar. Xfer",IF(I373="denied","Denied",IF(K373=1,"Waitlist",IF(L373=1,"Deferred",IF(G373="pending","Pending",IF(OR(G373="initial materials submitted",G373="mid-year submitted",G373="final submitted"),"Submitted",IF(H373="interest","Interest","?"))))))))</f>
        <v>0</v>
      </c>
      <c r="AP373">
        <f>IF(OR(AN373=ReachLabel,AN373=LongshotLabel,AN373=HailMaryLabel),1,0)</f>
        <v>0</v>
      </c>
      <c r="AQ373">
        <f>IF(OR(AP373=1,AN373=MatchLabel),1,0)</f>
        <v>0</v>
      </c>
      <c r="AR373">
        <f>IF(OR(AN373=MatchLabel,AN373=SafetyLabel,AN373=SecureLabel,AN373=SureThingLabel),1,0)</f>
        <v>0</v>
      </c>
      <c r="AS373">
        <f>IF(OR(W373="H",W373="B",W373="I",W373="M"),IF(ISNUMBER(AB373),ROUND(AB373,2),0),IF(ISNUMBER(AA373),ROUND(AA373,2),0))</f>
        <v>0</v>
      </c>
      <c r="AT373">
        <f>IF(AS373&gt;=X373,1,0)</f>
        <v>0</v>
      </c>
      <c r="AU373">
        <f>IF(AS373&gt;=Y373,1,0)</f>
        <v>0</v>
      </c>
      <c r="AV373">
        <f>IF(AS373&lt;(X373-0.10),1,0)</f>
        <v>0</v>
      </c>
      <c r="AW373">
        <f>1-AM373/100</f>
        <v>0</v>
      </c>
      <c r="AX373">
        <f>IF(AQ373=1,AW373,1)</f>
        <v>0</v>
      </c>
      <c r="AY373">
        <f>IF(AP373=1,AW373,1)</f>
        <v>0</v>
      </c>
      <c r="AZ373">
        <f>IF(AND(AT373=1,ISNUMBER(AW373)),$AW373,1)</f>
        <v>0</v>
      </c>
      <c r="BA373">
        <f>IF(AND(AU373=1,ISNUMBER(AW373)),$AW373,1)</f>
        <v>0</v>
      </c>
      <c r="BB373">
        <f>IF(ISNUMBER(AB373),INDEX(AllCollegeMoney, MATCH(N373,AllCollegeNCES,0)),0)</f>
        <v>0</v>
      </c>
      <c r="BC373">
        <f>IF(AND(AT373=1,ISNUMBER(AW373),BB373=1),$AW373,1)</f>
        <v>0</v>
      </c>
      <c r="BD373">
        <f>IF(AND(AU373=1,ISNUMBER(AW373),BB373=1),$AW373,1)</f>
        <v>0</v>
      </c>
      <c r="BE373">
        <f>IF(ISNUMBER(AB373),INDEX(AllCollegeILPub, MATCH(N373,AllCollegeNCES,0)),0)</f>
        <v>0</v>
      </c>
      <c r="BF373">
        <f>IF(AN373=ReachLabel,AS373,0)</f>
        <v>0</v>
      </c>
      <c r="BG373">
        <f>IF(AN373=MatchLabel,AS373,0)</f>
        <v>0</v>
      </c>
      <c r="BH373">
        <f>IF(AN373=SafetyLabel,AS373,0)</f>
        <v>0</v>
      </c>
      <c r="BI373">
        <f>IF(AN373=SecureLabel,AS373,0)</f>
        <v>0</v>
      </c>
      <c r="BJ373">
        <f>IF(AN373=SureThingLabel,AS373,0)</f>
        <v>0</v>
      </c>
      <c r="BK373">
        <f>MAX(BF373:BJ373)</f>
        <v>0</v>
      </c>
      <c r="BL373">
        <f>MAX(BG373:BJ373)</f>
        <v>0</v>
      </c>
      <c r="BM373">
        <f>MAX(BH373:BJ373)</f>
        <v>0</v>
      </c>
      <c r="BN373">
        <f>IF(AND(AN373=ReachLabel,BB373=1),AS373,0)</f>
        <v>0</v>
      </c>
      <c r="BO373">
        <f>IF(AND(AN373=MatchLabel,BB373=1),AS373,0)</f>
        <v>0</v>
      </c>
      <c r="BP373">
        <f>IF(AND(AN373=SafetyLabel,BB373=1),AS373,0)</f>
        <v>0</v>
      </c>
      <c r="BQ373">
        <f>IF(AND(AN373=SecureLabel,BB373=1),AS373,0)</f>
        <v>0</v>
      </c>
      <c r="BR373">
        <f>IF(AND(AN373=SureThingLabel,BB373=1),AS373,0)</f>
        <v>0</v>
      </c>
      <c r="BS373">
        <f>MAX(BN373:BR373)</f>
        <v>0</v>
      </c>
      <c r="BT373">
        <f>MAX(BO373:BR373)</f>
        <v>0</v>
      </c>
      <c r="BU373">
        <f>MAX(BP373:BR373)</f>
        <v>0</v>
      </c>
      <c r="BV373">
        <f>IF(ISNUMBER(AB373),INDEX(AllCollegeChicago, MATCH(N373,AllCollegeNCES,0))*BB373,0)</f>
        <v>0</v>
      </c>
      <c r="BW373">
        <f>IF(ISNUMBER(AB373),INDEX(AllCollegeMoneyCode, MATCH(N373,AllCollegeNCES,0)),"?")</f>
        <v>0</v>
      </c>
      <c r="BX373">
        <f>IF(OR(BW373="---",BW373="--",BW373="+/--",BW373="+/---"),1,0)</f>
        <v>0</v>
      </c>
      <c r="BY373">
        <f>BB373*AR373*AT373</f>
        <v>0</v>
      </c>
    </row>
    <row r="374" spans="1:77">
      <c r="A374" t="s">
        <v>96</v>
      </c>
      <c r="B374">
        <v>23319069</v>
      </c>
      <c r="C374" t="s">
        <v>162</v>
      </c>
      <c r="D374" t="s">
        <v>163</v>
      </c>
      <c r="E374" t="s">
        <v>446</v>
      </c>
      <c r="F374" t="s">
        <v>475</v>
      </c>
      <c r="G374" t="s">
        <v>479</v>
      </c>
      <c r="H374" t="s">
        <v>449</v>
      </c>
      <c r="I374" t="s">
        <v>450</v>
      </c>
      <c r="J374" t="s">
        <v>450</v>
      </c>
      <c r="K374">
        <v>0</v>
      </c>
      <c r="L374" t="s">
        <v>446</v>
      </c>
      <c r="M374" t="s">
        <v>446</v>
      </c>
      <c r="N374">
        <v>145637</v>
      </c>
      <c r="O374">
        <f>INDEX(Counselor,MATCH(B374,KidIDs,0))</f>
        <v>0</v>
      </c>
      <c r="P374">
        <f>INDEX(Advisors,MATCH(B374,KidIDs,0))</f>
        <v>0</v>
      </c>
      <c r="Q374">
        <f>INDEX(Cohort,MATCH(B374,KidIDs,0))</f>
        <v>0</v>
      </c>
      <c r="R374">
        <f>INDEX(AllCollegeBarrons,MATCH(N374,AllCollegeNCES,0))</f>
        <v>0</v>
      </c>
      <c r="S374">
        <f>INDEX(KidGPAs,MATCH(B374,KidIDs,0))</f>
        <v>0</v>
      </c>
      <c r="T374">
        <f>INDEX(KidSATs,MATCH(B374,KidIDs,0))</f>
        <v>0</v>
      </c>
      <c r="U374">
        <f>INDEX(Strats,MATCH(B374,KidIDs,0))</f>
        <v>0</v>
      </c>
      <c r="V374">
        <f>INDEX(KidRace,MATCH(B374,KidIDs,0))</f>
        <v>0</v>
      </c>
      <c r="W374">
        <f>IF(OR(V374="M",V374="I"),"H",IF(V374="P","A",V374))</f>
        <v>0</v>
      </c>
      <c r="X374">
        <f>INDEX(StudentTargets,MATCH(B374,KidIDs,0))</f>
        <v>0</v>
      </c>
      <c r="Y374">
        <f>INDEX(ReachStudentTargets,MATCH(B374,KidIDs,0))</f>
        <v>0</v>
      </c>
      <c r="Z374">
        <f>IF(OR(M374="Posse"),1,0)</f>
        <v>0</v>
      </c>
      <c r="AA374">
        <f>IF(ISNUMBER(INDEX(AllCollegeGR, MATCH(N374,AllCollegeNCES,0))),ROUND(INDEX(AllCollegeGR, MATCH(N374,AllCollegeNCES,0))+Z374*IF(INDEX(AllCollegeGR, MATCH(N374,AllCollegeNCES,0))&gt;0.7,(1-INDEX(AllCollegeGR, MATCH(N374,AllCollegeNCES,0)))/2,0.15),2),INDEX(AllCollegeGR, MATCH(N374,AllCollegeNCES,0)))</f>
        <v>0</v>
      </c>
      <c r="AB374">
        <f>IF(ISNUMBER(INDEX(AllCollegeAAHGR, MATCH(N374,AllCollegeNCES,0))),ROUND(INDEX(AllCollegeAAHGR, MATCH(N374,AllCollegeNCES,0))+Z374*IF(INDEX(AllCollegeAAHGR, MATCH(N374,AllCollegeNCES,0))&gt;0.7,(1-INDEX(AllCollegeAAHGR, MATCH(N374,AllCollegeNCES,0)))/2,0.15),2),INDEX(AllCollegeAAHGR, MATCH(N374,AllCollegeNCES,0)))</f>
        <v>0</v>
      </c>
      <c r="AC374">
        <f>IF(OR(W374="H",W374="B"),INDEX(AllCollegeSAT25, MATCH(N374,AllCollegeNCES,0)),INDEX(AllCollegeSAT50, MATCH(N374,AllCollegeNCES,0)))</f>
        <v>0</v>
      </c>
      <c r="AD374">
        <f>INDEX(CustomWeightsGPA,MATCH(W374&amp;":"&amp;N374,CustomWeightsIndex,0))</f>
        <v>0</v>
      </c>
      <c r="AE374">
        <f>INDEX(CustomWeightsSAT,MATCH(W374&amp;":"&amp;N374,CustomWeightsIndex,0))</f>
        <v>0</v>
      </c>
      <c r="AF374">
        <f>INDEX(CustomWeightsIntercept,MATCH(W374&amp;":"&amp;N374,CustomWeightsIndex,0))</f>
        <v>0</v>
      </c>
      <c r="AG374">
        <f>AD374*S374+AE374*T374+AF374</f>
        <v>0</v>
      </c>
      <c r="AH374">
        <f>INDEX(CoefficientsGPA,MATCH(W374&amp;":"&amp;R374,CoefficientsIndex,0))</f>
        <v>0</v>
      </c>
      <c r="AI374">
        <f>INDEX(CoefficientsSAT,MATCH(W374&amp;":"&amp;R374,CoefficientsIndex,0))</f>
        <v>0</v>
      </c>
      <c r="AJ374">
        <f>INDEX(CoefficientsIntercept,MATCH(W374&amp;":"&amp;R374,CoefficientsIndex,0))</f>
        <v>0</v>
      </c>
      <c r="AK374">
        <f>AH374*S374+(T374-AC374)*AI374+AJ374</f>
        <v>0</v>
      </c>
      <c r="AL374">
        <f>IF(ISNUMBER(AG374),AG374,AK374)</f>
        <v>0</v>
      </c>
      <c r="AM374">
        <f>IF(ISNUMBER(AL374),IF(ISNUMBER(AH374),IF(AND(AH374=1,AI374=1,AJ374=1),100,MIN(99,ROUND(100*EXP(AL374)/(1+EXP(AL374)),2))),MIN(99,ROUND(100*EXP(AL374)/(1+EXP(AL374)),2))),IF(ISTEXT(R374),IF(LEFT(R374,1)="2",100,"N/A"),"N/A"))</f>
        <v>0</v>
      </c>
      <c r="AN374">
        <f>IF(ISNUMBER(AM374),IF(AM374&gt;=99,IF(OR(U374=10,U374=11),MatchLabel,SureThingLabel),IF(AM374&gt;=95,SecureLabel,IF(AM374&gt;=80,SafetyLabel,IF(AM374&gt;=50,MatchLabel,IF(AM374&gt;=20,ReachLabel,IF(AM374&gt;=10,LongshotLabel,HailMaryLabel)))))),"Other")</f>
        <v>0</v>
      </c>
      <c r="AO374">
        <f>IF(OR(I374="accepted",I374="cond. accept",I374="summer admit"),IF(J374="yes","CHOICE!","Accepted!"),IF(I374="guar. transfer","Guar. Xfer",IF(I374="denied","Denied",IF(K374=1,"Waitlist",IF(L374=1,"Deferred",IF(G374="pending","Pending",IF(OR(G374="initial materials submitted",G374="mid-year submitted",G374="final submitted"),"Submitted",IF(H374="interest","Interest","?"))))))))</f>
        <v>0</v>
      </c>
      <c r="AP374">
        <f>IF(OR(AN374=ReachLabel,AN374=LongshotLabel,AN374=HailMaryLabel),1,0)</f>
        <v>0</v>
      </c>
      <c r="AQ374">
        <f>IF(OR(AP374=1,AN374=MatchLabel),1,0)</f>
        <v>0</v>
      </c>
      <c r="AR374">
        <f>IF(OR(AN374=MatchLabel,AN374=SafetyLabel,AN374=SecureLabel,AN374=SureThingLabel),1,0)</f>
        <v>0</v>
      </c>
      <c r="AS374">
        <f>IF(OR(W374="H",W374="B",W374="I",W374="M"),IF(ISNUMBER(AB374),ROUND(AB374,2),0),IF(ISNUMBER(AA374),ROUND(AA374,2),0))</f>
        <v>0</v>
      </c>
      <c r="AT374">
        <f>IF(AS374&gt;=X374,1,0)</f>
        <v>0</v>
      </c>
      <c r="AU374">
        <f>IF(AS374&gt;=Y374,1,0)</f>
        <v>0</v>
      </c>
      <c r="AV374">
        <f>IF(AS374&lt;(X374-0.10),1,0)</f>
        <v>0</v>
      </c>
      <c r="AW374">
        <f>1-AM374/100</f>
        <v>0</v>
      </c>
      <c r="AX374">
        <f>IF(AQ374=1,AW374,1)</f>
        <v>0</v>
      </c>
      <c r="AY374">
        <f>IF(AP374=1,AW374,1)</f>
        <v>0</v>
      </c>
      <c r="AZ374">
        <f>IF(AND(AT374=1,ISNUMBER(AW374)),$AW374,1)</f>
        <v>0</v>
      </c>
      <c r="BA374">
        <f>IF(AND(AU374=1,ISNUMBER(AW374)),$AW374,1)</f>
        <v>0</v>
      </c>
      <c r="BB374">
        <f>IF(ISNUMBER(AB374),INDEX(AllCollegeMoney, MATCH(N374,AllCollegeNCES,0)),0)</f>
        <v>0</v>
      </c>
      <c r="BC374">
        <f>IF(AND(AT374=1,ISNUMBER(AW374),BB374=1),$AW374,1)</f>
        <v>0</v>
      </c>
      <c r="BD374">
        <f>IF(AND(AU374=1,ISNUMBER(AW374),BB374=1),$AW374,1)</f>
        <v>0</v>
      </c>
      <c r="BE374">
        <f>IF(ISNUMBER(AB374),INDEX(AllCollegeILPub, MATCH(N374,AllCollegeNCES,0)),0)</f>
        <v>0</v>
      </c>
      <c r="BF374">
        <f>IF(AN374=ReachLabel,AS374,0)</f>
        <v>0</v>
      </c>
      <c r="BG374">
        <f>IF(AN374=MatchLabel,AS374,0)</f>
        <v>0</v>
      </c>
      <c r="BH374">
        <f>IF(AN374=SafetyLabel,AS374,0)</f>
        <v>0</v>
      </c>
      <c r="BI374">
        <f>IF(AN374=SecureLabel,AS374,0)</f>
        <v>0</v>
      </c>
      <c r="BJ374">
        <f>IF(AN374=SureThingLabel,AS374,0)</f>
        <v>0</v>
      </c>
      <c r="BK374">
        <f>MAX(BF374:BJ374)</f>
        <v>0</v>
      </c>
      <c r="BL374">
        <f>MAX(BG374:BJ374)</f>
        <v>0</v>
      </c>
      <c r="BM374">
        <f>MAX(BH374:BJ374)</f>
        <v>0</v>
      </c>
      <c r="BN374">
        <f>IF(AND(AN374=ReachLabel,BB374=1),AS374,0)</f>
        <v>0</v>
      </c>
      <c r="BO374">
        <f>IF(AND(AN374=MatchLabel,BB374=1),AS374,0)</f>
        <v>0</v>
      </c>
      <c r="BP374">
        <f>IF(AND(AN374=SafetyLabel,BB374=1),AS374,0)</f>
        <v>0</v>
      </c>
      <c r="BQ374">
        <f>IF(AND(AN374=SecureLabel,BB374=1),AS374,0)</f>
        <v>0</v>
      </c>
      <c r="BR374">
        <f>IF(AND(AN374=SureThingLabel,BB374=1),AS374,0)</f>
        <v>0</v>
      </c>
      <c r="BS374">
        <f>MAX(BN374:BR374)</f>
        <v>0</v>
      </c>
      <c r="BT374">
        <f>MAX(BO374:BR374)</f>
        <v>0</v>
      </c>
      <c r="BU374">
        <f>MAX(BP374:BR374)</f>
        <v>0</v>
      </c>
      <c r="BV374">
        <f>IF(ISNUMBER(AB374),INDEX(AllCollegeChicago, MATCH(N374,AllCollegeNCES,0))*BB374,0)</f>
        <v>0</v>
      </c>
      <c r="BW374">
        <f>IF(ISNUMBER(AB374),INDEX(AllCollegeMoneyCode, MATCH(N374,AllCollegeNCES,0)),"?")</f>
        <v>0</v>
      </c>
      <c r="BX374">
        <f>IF(OR(BW374="---",BW374="--",BW374="+/--",BW374="+/---"),1,0)</f>
        <v>0</v>
      </c>
      <c r="BY374">
        <f>BB374*AR374*AT374</f>
        <v>0</v>
      </c>
    </row>
    <row r="375" spans="1:77">
      <c r="A375" t="s">
        <v>96</v>
      </c>
      <c r="B375">
        <v>23319069</v>
      </c>
      <c r="C375" t="s">
        <v>162</v>
      </c>
      <c r="D375" t="s">
        <v>163</v>
      </c>
      <c r="E375" t="s">
        <v>446</v>
      </c>
      <c r="F375" t="s">
        <v>477</v>
      </c>
      <c r="G375" t="s">
        <v>448</v>
      </c>
      <c r="H375" t="s">
        <v>449</v>
      </c>
      <c r="I375" t="s">
        <v>450</v>
      </c>
      <c r="J375" t="s">
        <v>450</v>
      </c>
      <c r="K375">
        <v>0</v>
      </c>
      <c r="L375" t="s">
        <v>446</v>
      </c>
      <c r="M375" t="s">
        <v>446</v>
      </c>
      <c r="N375">
        <v>146427</v>
      </c>
      <c r="O375">
        <f>INDEX(Counselor,MATCH(B375,KidIDs,0))</f>
        <v>0</v>
      </c>
      <c r="P375">
        <f>INDEX(Advisors,MATCH(B375,KidIDs,0))</f>
        <v>0</v>
      </c>
      <c r="Q375">
        <f>INDEX(Cohort,MATCH(B375,KidIDs,0))</f>
        <v>0</v>
      </c>
      <c r="R375">
        <f>INDEX(AllCollegeBarrons,MATCH(N375,AllCollegeNCES,0))</f>
        <v>0</v>
      </c>
      <c r="S375">
        <f>INDEX(KidGPAs,MATCH(B375,KidIDs,0))</f>
        <v>0</v>
      </c>
      <c r="T375">
        <f>INDEX(KidSATs,MATCH(B375,KidIDs,0))</f>
        <v>0</v>
      </c>
      <c r="U375">
        <f>INDEX(Strats,MATCH(B375,KidIDs,0))</f>
        <v>0</v>
      </c>
      <c r="V375">
        <f>INDEX(KidRace,MATCH(B375,KidIDs,0))</f>
        <v>0</v>
      </c>
      <c r="W375">
        <f>IF(OR(V375="M",V375="I"),"H",IF(V375="P","A",V375))</f>
        <v>0</v>
      </c>
      <c r="X375">
        <f>INDEX(StudentTargets,MATCH(B375,KidIDs,0))</f>
        <v>0</v>
      </c>
      <c r="Y375">
        <f>INDEX(ReachStudentTargets,MATCH(B375,KidIDs,0))</f>
        <v>0</v>
      </c>
      <c r="Z375">
        <f>IF(OR(M375="Posse"),1,0)</f>
        <v>0</v>
      </c>
      <c r="AA375">
        <f>IF(ISNUMBER(INDEX(AllCollegeGR, MATCH(N375,AllCollegeNCES,0))),ROUND(INDEX(AllCollegeGR, MATCH(N375,AllCollegeNCES,0))+Z375*IF(INDEX(AllCollegeGR, MATCH(N375,AllCollegeNCES,0))&gt;0.7,(1-INDEX(AllCollegeGR, MATCH(N375,AllCollegeNCES,0)))/2,0.15),2),INDEX(AllCollegeGR, MATCH(N375,AllCollegeNCES,0)))</f>
        <v>0</v>
      </c>
      <c r="AB375">
        <f>IF(ISNUMBER(INDEX(AllCollegeAAHGR, MATCH(N375,AllCollegeNCES,0))),ROUND(INDEX(AllCollegeAAHGR, MATCH(N375,AllCollegeNCES,0))+Z375*IF(INDEX(AllCollegeAAHGR, MATCH(N375,AllCollegeNCES,0))&gt;0.7,(1-INDEX(AllCollegeAAHGR, MATCH(N375,AllCollegeNCES,0)))/2,0.15),2),INDEX(AllCollegeAAHGR, MATCH(N375,AllCollegeNCES,0)))</f>
        <v>0</v>
      </c>
      <c r="AC375">
        <f>IF(OR(W375="H",W375="B"),INDEX(AllCollegeSAT25, MATCH(N375,AllCollegeNCES,0)),INDEX(AllCollegeSAT50, MATCH(N375,AllCollegeNCES,0)))</f>
        <v>0</v>
      </c>
      <c r="AD375">
        <f>INDEX(CustomWeightsGPA,MATCH(W375&amp;":"&amp;N375,CustomWeightsIndex,0))</f>
        <v>0</v>
      </c>
      <c r="AE375">
        <f>INDEX(CustomWeightsSAT,MATCH(W375&amp;":"&amp;N375,CustomWeightsIndex,0))</f>
        <v>0</v>
      </c>
      <c r="AF375">
        <f>INDEX(CustomWeightsIntercept,MATCH(W375&amp;":"&amp;N375,CustomWeightsIndex,0))</f>
        <v>0</v>
      </c>
      <c r="AG375">
        <f>AD375*S375+AE375*T375+AF375</f>
        <v>0</v>
      </c>
      <c r="AH375">
        <f>INDEX(CoefficientsGPA,MATCH(W375&amp;":"&amp;R375,CoefficientsIndex,0))</f>
        <v>0</v>
      </c>
      <c r="AI375">
        <f>INDEX(CoefficientsSAT,MATCH(W375&amp;":"&amp;R375,CoefficientsIndex,0))</f>
        <v>0</v>
      </c>
      <c r="AJ375">
        <f>INDEX(CoefficientsIntercept,MATCH(W375&amp;":"&amp;R375,CoefficientsIndex,0))</f>
        <v>0</v>
      </c>
      <c r="AK375">
        <f>AH375*S375+(T375-AC375)*AI375+AJ375</f>
        <v>0</v>
      </c>
      <c r="AL375">
        <f>IF(ISNUMBER(AG375),AG375,AK375)</f>
        <v>0</v>
      </c>
      <c r="AM375">
        <f>IF(ISNUMBER(AL375),IF(ISNUMBER(AH375),IF(AND(AH375=1,AI375=1,AJ375=1),100,MIN(99,ROUND(100*EXP(AL375)/(1+EXP(AL375)),2))),MIN(99,ROUND(100*EXP(AL375)/(1+EXP(AL375)),2))),IF(ISTEXT(R375),IF(LEFT(R375,1)="2",100,"N/A"),"N/A"))</f>
        <v>0</v>
      </c>
      <c r="AN375">
        <f>IF(ISNUMBER(AM375),IF(AM375&gt;=99,IF(OR(U375=10,U375=11),MatchLabel,SureThingLabel),IF(AM375&gt;=95,SecureLabel,IF(AM375&gt;=80,SafetyLabel,IF(AM375&gt;=50,MatchLabel,IF(AM375&gt;=20,ReachLabel,IF(AM375&gt;=10,LongshotLabel,HailMaryLabel)))))),"Other")</f>
        <v>0</v>
      </c>
      <c r="AO375">
        <f>IF(OR(I375="accepted",I375="cond. accept",I375="summer admit"),IF(J375="yes","CHOICE!","Accepted!"),IF(I375="guar. transfer","Guar. Xfer",IF(I375="denied","Denied",IF(K375=1,"Waitlist",IF(L375=1,"Deferred",IF(G375="pending","Pending",IF(OR(G375="initial materials submitted",G375="mid-year submitted",G375="final submitted"),"Submitted",IF(H375="interest","Interest","?"))))))))</f>
        <v>0</v>
      </c>
      <c r="AP375">
        <f>IF(OR(AN375=ReachLabel,AN375=LongshotLabel,AN375=HailMaryLabel),1,0)</f>
        <v>0</v>
      </c>
      <c r="AQ375">
        <f>IF(OR(AP375=1,AN375=MatchLabel),1,0)</f>
        <v>0</v>
      </c>
      <c r="AR375">
        <f>IF(OR(AN375=MatchLabel,AN375=SafetyLabel,AN375=SecureLabel,AN375=SureThingLabel),1,0)</f>
        <v>0</v>
      </c>
      <c r="AS375">
        <f>IF(OR(W375="H",W375="B",W375="I",W375="M"),IF(ISNUMBER(AB375),ROUND(AB375,2),0),IF(ISNUMBER(AA375),ROUND(AA375,2),0))</f>
        <v>0</v>
      </c>
      <c r="AT375">
        <f>IF(AS375&gt;=X375,1,0)</f>
        <v>0</v>
      </c>
      <c r="AU375">
        <f>IF(AS375&gt;=Y375,1,0)</f>
        <v>0</v>
      </c>
      <c r="AV375">
        <f>IF(AS375&lt;(X375-0.10),1,0)</f>
        <v>0</v>
      </c>
      <c r="AW375">
        <f>1-AM375/100</f>
        <v>0</v>
      </c>
      <c r="AX375">
        <f>IF(AQ375=1,AW375,1)</f>
        <v>0</v>
      </c>
      <c r="AY375">
        <f>IF(AP375=1,AW375,1)</f>
        <v>0</v>
      </c>
      <c r="AZ375">
        <f>IF(AND(AT375=1,ISNUMBER(AW375)),$AW375,1)</f>
        <v>0</v>
      </c>
      <c r="BA375">
        <f>IF(AND(AU375=1,ISNUMBER(AW375)),$AW375,1)</f>
        <v>0</v>
      </c>
      <c r="BB375">
        <f>IF(ISNUMBER(AB375),INDEX(AllCollegeMoney, MATCH(N375,AllCollegeNCES,0)),0)</f>
        <v>0</v>
      </c>
      <c r="BC375">
        <f>IF(AND(AT375=1,ISNUMBER(AW375),BB375=1),$AW375,1)</f>
        <v>0</v>
      </c>
      <c r="BD375">
        <f>IF(AND(AU375=1,ISNUMBER(AW375),BB375=1),$AW375,1)</f>
        <v>0</v>
      </c>
      <c r="BE375">
        <f>IF(ISNUMBER(AB375),INDEX(AllCollegeILPub, MATCH(N375,AllCollegeNCES,0)),0)</f>
        <v>0</v>
      </c>
      <c r="BF375">
        <f>IF(AN375=ReachLabel,AS375,0)</f>
        <v>0</v>
      </c>
      <c r="BG375">
        <f>IF(AN375=MatchLabel,AS375,0)</f>
        <v>0</v>
      </c>
      <c r="BH375">
        <f>IF(AN375=SafetyLabel,AS375,0)</f>
        <v>0</v>
      </c>
      <c r="BI375">
        <f>IF(AN375=SecureLabel,AS375,0)</f>
        <v>0</v>
      </c>
      <c r="BJ375">
        <f>IF(AN375=SureThingLabel,AS375,0)</f>
        <v>0</v>
      </c>
      <c r="BK375">
        <f>MAX(BF375:BJ375)</f>
        <v>0</v>
      </c>
      <c r="BL375">
        <f>MAX(BG375:BJ375)</f>
        <v>0</v>
      </c>
      <c r="BM375">
        <f>MAX(BH375:BJ375)</f>
        <v>0</v>
      </c>
      <c r="BN375">
        <f>IF(AND(AN375=ReachLabel,BB375=1),AS375,0)</f>
        <v>0</v>
      </c>
      <c r="BO375">
        <f>IF(AND(AN375=MatchLabel,BB375=1),AS375,0)</f>
        <v>0</v>
      </c>
      <c r="BP375">
        <f>IF(AND(AN375=SafetyLabel,BB375=1),AS375,0)</f>
        <v>0</v>
      </c>
      <c r="BQ375">
        <f>IF(AND(AN375=SecureLabel,BB375=1),AS375,0)</f>
        <v>0</v>
      </c>
      <c r="BR375">
        <f>IF(AND(AN375=SureThingLabel,BB375=1),AS375,0)</f>
        <v>0</v>
      </c>
      <c r="BS375">
        <f>MAX(BN375:BR375)</f>
        <v>0</v>
      </c>
      <c r="BT375">
        <f>MAX(BO375:BR375)</f>
        <v>0</v>
      </c>
      <c r="BU375">
        <f>MAX(BP375:BR375)</f>
        <v>0</v>
      </c>
      <c r="BV375">
        <f>IF(ISNUMBER(AB375),INDEX(AllCollegeChicago, MATCH(N375,AllCollegeNCES,0))*BB375,0)</f>
        <v>0</v>
      </c>
      <c r="BW375">
        <f>IF(ISNUMBER(AB375),INDEX(AllCollegeMoneyCode, MATCH(N375,AllCollegeNCES,0)),"?")</f>
        <v>0</v>
      </c>
      <c r="BX375">
        <f>IF(OR(BW375="---",BW375="--",BW375="+/--",BW375="+/---"),1,0)</f>
        <v>0</v>
      </c>
      <c r="BY375">
        <f>BB375*AR375*AT375</f>
        <v>0</v>
      </c>
    </row>
    <row r="376" spans="1:77">
      <c r="A376" t="s">
        <v>96</v>
      </c>
      <c r="B376">
        <v>23319069</v>
      </c>
      <c r="C376" t="s">
        <v>162</v>
      </c>
      <c r="D376" t="s">
        <v>163</v>
      </c>
      <c r="E376" t="s">
        <v>446</v>
      </c>
      <c r="F376" t="s">
        <v>478</v>
      </c>
      <c r="G376" t="s">
        <v>479</v>
      </c>
      <c r="H376" t="s">
        <v>449</v>
      </c>
      <c r="I376" t="s">
        <v>450</v>
      </c>
      <c r="J376" t="s">
        <v>450</v>
      </c>
      <c r="K376">
        <v>0</v>
      </c>
      <c r="L376" t="s">
        <v>446</v>
      </c>
      <c r="M376" t="s">
        <v>446</v>
      </c>
      <c r="N376">
        <v>168546</v>
      </c>
      <c r="O376">
        <f>INDEX(Counselor,MATCH(B376,KidIDs,0))</f>
        <v>0</v>
      </c>
      <c r="P376">
        <f>INDEX(Advisors,MATCH(B376,KidIDs,0))</f>
        <v>0</v>
      </c>
      <c r="Q376">
        <f>INDEX(Cohort,MATCH(B376,KidIDs,0))</f>
        <v>0</v>
      </c>
      <c r="R376">
        <f>INDEX(AllCollegeBarrons,MATCH(N376,AllCollegeNCES,0))</f>
        <v>0</v>
      </c>
      <c r="S376">
        <f>INDEX(KidGPAs,MATCH(B376,KidIDs,0))</f>
        <v>0</v>
      </c>
      <c r="T376">
        <f>INDEX(KidSATs,MATCH(B376,KidIDs,0))</f>
        <v>0</v>
      </c>
      <c r="U376">
        <f>INDEX(Strats,MATCH(B376,KidIDs,0))</f>
        <v>0</v>
      </c>
      <c r="V376">
        <f>INDEX(KidRace,MATCH(B376,KidIDs,0))</f>
        <v>0</v>
      </c>
      <c r="W376">
        <f>IF(OR(V376="M",V376="I"),"H",IF(V376="P","A",V376))</f>
        <v>0</v>
      </c>
      <c r="X376">
        <f>INDEX(StudentTargets,MATCH(B376,KidIDs,0))</f>
        <v>0</v>
      </c>
      <c r="Y376">
        <f>INDEX(ReachStudentTargets,MATCH(B376,KidIDs,0))</f>
        <v>0</v>
      </c>
      <c r="Z376">
        <f>IF(OR(M376="Posse"),1,0)</f>
        <v>0</v>
      </c>
      <c r="AA376">
        <f>IF(ISNUMBER(INDEX(AllCollegeGR, MATCH(N376,AllCollegeNCES,0))),ROUND(INDEX(AllCollegeGR, MATCH(N376,AllCollegeNCES,0))+Z376*IF(INDEX(AllCollegeGR, MATCH(N376,AllCollegeNCES,0))&gt;0.7,(1-INDEX(AllCollegeGR, MATCH(N376,AllCollegeNCES,0)))/2,0.15),2),INDEX(AllCollegeGR, MATCH(N376,AllCollegeNCES,0)))</f>
        <v>0</v>
      </c>
      <c r="AB376">
        <f>IF(ISNUMBER(INDEX(AllCollegeAAHGR, MATCH(N376,AllCollegeNCES,0))),ROUND(INDEX(AllCollegeAAHGR, MATCH(N376,AllCollegeNCES,0))+Z376*IF(INDEX(AllCollegeAAHGR, MATCH(N376,AllCollegeNCES,0))&gt;0.7,(1-INDEX(AllCollegeAAHGR, MATCH(N376,AllCollegeNCES,0)))/2,0.15),2),INDEX(AllCollegeAAHGR, MATCH(N376,AllCollegeNCES,0)))</f>
        <v>0</v>
      </c>
      <c r="AC376">
        <f>IF(OR(W376="H",W376="B"),INDEX(AllCollegeSAT25, MATCH(N376,AllCollegeNCES,0)),INDEX(AllCollegeSAT50, MATCH(N376,AllCollegeNCES,0)))</f>
        <v>0</v>
      </c>
      <c r="AD376">
        <f>INDEX(CustomWeightsGPA,MATCH(W376&amp;":"&amp;N376,CustomWeightsIndex,0))</f>
        <v>0</v>
      </c>
      <c r="AE376">
        <f>INDEX(CustomWeightsSAT,MATCH(W376&amp;":"&amp;N376,CustomWeightsIndex,0))</f>
        <v>0</v>
      </c>
      <c r="AF376">
        <f>INDEX(CustomWeightsIntercept,MATCH(W376&amp;":"&amp;N376,CustomWeightsIndex,0))</f>
        <v>0</v>
      </c>
      <c r="AG376">
        <f>AD376*S376+AE376*T376+AF376</f>
        <v>0</v>
      </c>
      <c r="AH376">
        <f>INDEX(CoefficientsGPA,MATCH(W376&amp;":"&amp;R376,CoefficientsIndex,0))</f>
        <v>0</v>
      </c>
      <c r="AI376">
        <f>INDEX(CoefficientsSAT,MATCH(W376&amp;":"&amp;R376,CoefficientsIndex,0))</f>
        <v>0</v>
      </c>
      <c r="AJ376">
        <f>INDEX(CoefficientsIntercept,MATCH(W376&amp;":"&amp;R376,CoefficientsIndex,0))</f>
        <v>0</v>
      </c>
      <c r="AK376">
        <f>AH376*S376+(T376-AC376)*AI376+AJ376</f>
        <v>0</v>
      </c>
      <c r="AL376">
        <f>IF(ISNUMBER(AG376),AG376,AK376)</f>
        <v>0</v>
      </c>
      <c r="AM376">
        <f>IF(ISNUMBER(AL376),IF(ISNUMBER(AH376),IF(AND(AH376=1,AI376=1,AJ376=1),100,MIN(99,ROUND(100*EXP(AL376)/(1+EXP(AL376)),2))),MIN(99,ROUND(100*EXP(AL376)/(1+EXP(AL376)),2))),IF(ISTEXT(R376),IF(LEFT(R376,1)="2",100,"N/A"),"N/A"))</f>
        <v>0</v>
      </c>
      <c r="AN376">
        <f>IF(ISNUMBER(AM376),IF(AM376&gt;=99,IF(OR(U376=10,U376=11),MatchLabel,SureThingLabel),IF(AM376&gt;=95,SecureLabel,IF(AM376&gt;=80,SafetyLabel,IF(AM376&gt;=50,MatchLabel,IF(AM376&gt;=20,ReachLabel,IF(AM376&gt;=10,LongshotLabel,HailMaryLabel)))))),"Other")</f>
        <v>0</v>
      </c>
      <c r="AO376">
        <f>IF(OR(I376="accepted",I376="cond. accept",I376="summer admit"),IF(J376="yes","CHOICE!","Accepted!"),IF(I376="guar. transfer","Guar. Xfer",IF(I376="denied","Denied",IF(K376=1,"Waitlist",IF(L376=1,"Deferred",IF(G376="pending","Pending",IF(OR(G376="initial materials submitted",G376="mid-year submitted",G376="final submitted"),"Submitted",IF(H376="interest","Interest","?"))))))))</f>
        <v>0</v>
      </c>
      <c r="AP376">
        <f>IF(OR(AN376=ReachLabel,AN376=LongshotLabel,AN376=HailMaryLabel),1,0)</f>
        <v>0</v>
      </c>
      <c r="AQ376">
        <f>IF(OR(AP376=1,AN376=MatchLabel),1,0)</f>
        <v>0</v>
      </c>
      <c r="AR376">
        <f>IF(OR(AN376=MatchLabel,AN376=SafetyLabel,AN376=SecureLabel,AN376=SureThingLabel),1,0)</f>
        <v>0</v>
      </c>
      <c r="AS376">
        <f>IF(OR(W376="H",W376="B",W376="I",W376="M"),IF(ISNUMBER(AB376),ROUND(AB376,2),0),IF(ISNUMBER(AA376),ROUND(AA376,2),0))</f>
        <v>0</v>
      </c>
      <c r="AT376">
        <f>IF(AS376&gt;=X376,1,0)</f>
        <v>0</v>
      </c>
      <c r="AU376">
        <f>IF(AS376&gt;=Y376,1,0)</f>
        <v>0</v>
      </c>
      <c r="AV376">
        <f>IF(AS376&lt;(X376-0.10),1,0)</f>
        <v>0</v>
      </c>
      <c r="AW376">
        <f>1-AM376/100</f>
        <v>0</v>
      </c>
      <c r="AX376">
        <f>IF(AQ376=1,AW376,1)</f>
        <v>0</v>
      </c>
      <c r="AY376">
        <f>IF(AP376=1,AW376,1)</f>
        <v>0</v>
      </c>
      <c r="AZ376">
        <f>IF(AND(AT376=1,ISNUMBER(AW376)),$AW376,1)</f>
        <v>0</v>
      </c>
      <c r="BA376">
        <f>IF(AND(AU376=1,ISNUMBER(AW376)),$AW376,1)</f>
        <v>0</v>
      </c>
      <c r="BB376">
        <f>IF(ISNUMBER(AB376),INDEX(AllCollegeMoney, MATCH(N376,AllCollegeNCES,0)),0)</f>
        <v>0</v>
      </c>
      <c r="BC376">
        <f>IF(AND(AT376=1,ISNUMBER(AW376),BB376=1),$AW376,1)</f>
        <v>0</v>
      </c>
      <c r="BD376">
        <f>IF(AND(AU376=1,ISNUMBER(AW376),BB376=1),$AW376,1)</f>
        <v>0</v>
      </c>
      <c r="BE376">
        <f>IF(ISNUMBER(AB376),INDEX(AllCollegeILPub, MATCH(N376,AllCollegeNCES,0)),0)</f>
        <v>0</v>
      </c>
      <c r="BF376">
        <f>IF(AN376=ReachLabel,AS376,0)</f>
        <v>0</v>
      </c>
      <c r="BG376">
        <f>IF(AN376=MatchLabel,AS376,0)</f>
        <v>0</v>
      </c>
      <c r="BH376">
        <f>IF(AN376=SafetyLabel,AS376,0)</f>
        <v>0</v>
      </c>
      <c r="BI376">
        <f>IF(AN376=SecureLabel,AS376,0)</f>
        <v>0</v>
      </c>
      <c r="BJ376">
        <f>IF(AN376=SureThingLabel,AS376,0)</f>
        <v>0</v>
      </c>
      <c r="BK376">
        <f>MAX(BF376:BJ376)</f>
        <v>0</v>
      </c>
      <c r="BL376">
        <f>MAX(BG376:BJ376)</f>
        <v>0</v>
      </c>
      <c r="BM376">
        <f>MAX(BH376:BJ376)</f>
        <v>0</v>
      </c>
      <c r="BN376">
        <f>IF(AND(AN376=ReachLabel,BB376=1),AS376,0)</f>
        <v>0</v>
      </c>
      <c r="BO376">
        <f>IF(AND(AN376=MatchLabel,BB376=1),AS376,0)</f>
        <v>0</v>
      </c>
      <c r="BP376">
        <f>IF(AND(AN376=SafetyLabel,BB376=1),AS376,0)</f>
        <v>0</v>
      </c>
      <c r="BQ376">
        <f>IF(AND(AN376=SecureLabel,BB376=1),AS376,0)</f>
        <v>0</v>
      </c>
      <c r="BR376">
        <f>IF(AND(AN376=SureThingLabel,BB376=1),AS376,0)</f>
        <v>0</v>
      </c>
      <c r="BS376">
        <f>MAX(BN376:BR376)</f>
        <v>0</v>
      </c>
      <c r="BT376">
        <f>MAX(BO376:BR376)</f>
        <v>0</v>
      </c>
      <c r="BU376">
        <f>MAX(BP376:BR376)</f>
        <v>0</v>
      </c>
      <c r="BV376">
        <f>IF(ISNUMBER(AB376),INDEX(AllCollegeChicago, MATCH(N376,AllCollegeNCES,0))*BB376,0)</f>
        <v>0</v>
      </c>
      <c r="BW376">
        <f>IF(ISNUMBER(AB376),INDEX(AllCollegeMoneyCode, MATCH(N376,AllCollegeNCES,0)),"?")</f>
        <v>0</v>
      </c>
      <c r="BX376">
        <f>IF(OR(BW376="---",BW376="--",BW376="+/--",BW376="+/---"),1,0)</f>
        <v>0</v>
      </c>
      <c r="BY376">
        <f>BB376*AR376*AT376</f>
        <v>0</v>
      </c>
    </row>
    <row r="377" spans="1:77">
      <c r="A377" t="s">
        <v>96</v>
      </c>
      <c r="B377">
        <v>23319069</v>
      </c>
      <c r="C377" t="s">
        <v>162</v>
      </c>
      <c r="D377" t="s">
        <v>163</v>
      </c>
      <c r="E377" t="s">
        <v>446</v>
      </c>
      <c r="F377" t="s">
        <v>518</v>
      </c>
      <c r="G377" t="s">
        <v>448</v>
      </c>
      <c r="H377" t="s">
        <v>449</v>
      </c>
      <c r="I377" t="s">
        <v>450</v>
      </c>
      <c r="J377" t="s">
        <v>450</v>
      </c>
      <c r="K377">
        <v>0</v>
      </c>
      <c r="L377" t="s">
        <v>446</v>
      </c>
      <c r="M377" t="s">
        <v>446</v>
      </c>
      <c r="N377">
        <v>145725</v>
      </c>
      <c r="O377">
        <f>INDEX(Counselor,MATCH(B377,KidIDs,0))</f>
        <v>0</v>
      </c>
      <c r="P377">
        <f>INDEX(Advisors,MATCH(B377,KidIDs,0))</f>
        <v>0</v>
      </c>
      <c r="Q377">
        <f>INDEX(Cohort,MATCH(B377,KidIDs,0))</f>
        <v>0</v>
      </c>
      <c r="R377">
        <f>INDEX(AllCollegeBarrons,MATCH(N377,AllCollegeNCES,0))</f>
        <v>0</v>
      </c>
      <c r="S377">
        <f>INDEX(KidGPAs,MATCH(B377,KidIDs,0))</f>
        <v>0</v>
      </c>
      <c r="T377">
        <f>INDEX(KidSATs,MATCH(B377,KidIDs,0))</f>
        <v>0</v>
      </c>
      <c r="U377">
        <f>INDEX(Strats,MATCH(B377,KidIDs,0))</f>
        <v>0</v>
      </c>
      <c r="V377">
        <f>INDEX(KidRace,MATCH(B377,KidIDs,0))</f>
        <v>0</v>
      </c>
      <c r="W377">
        <f>IF(OR(V377="M",V377="I"),"H",IF(V377="P","A",V377))</f>
        <v>0</v>
      </c>
      <c r="X377">
        <f>INDEX(StudentTargets,MATCH(B377,KidIDs,0))</f>
        <v>0</v>
      </c>
      <c r="Y377">
        <f>INDEX(ReachStudentTargets,MATCH(B377,KidIDs,0))</f>
        <v>0</v>
      </c>
      <c r="Z377">
        <f>IF(OR(M377="Posse"),1,0)</f>
        <v>0</v>
      </c>
      <c r="AA377">
        <f>IF(ISNUMBER(INDEX(AllCollegeGR, MATCH(N377,AllCollegeNCES,0))),ROUND(INDEX(AllCollegeGR, MATCH(N377,AllCollegeNCES,0))+Z377*IF(INDEX(AllCollegeGR, MATCH(N377,AllCollegeNCES,0))&gt;0.7,(1-INDEX(AllCollegeGR, MATCH(N377,AllCollegeNCES,0)))/2,0.15),2),INDEX(AllCollegeGR, MATCH(N377,AllCollegeNCES,0)))</f>
        <v>0</v>
      </c>
      <c r="AB377">
        <f>IF(ISNUMBER(INDEX(AllCollegeAAHGR, MATCH(N377,AllCollegeNCES,0))),ROUND(INDEX(AllCollegeAAHGR, MATCH(N377,AllCollegeNCES,0))+Z377*IF(INDEX(AllCollegeAAHGR, MATCH(N377,AllCollegeNCES,0))&gt;0.7,(1-INDEX(AllCollegeAAHGR, MATCH(N377,AllCollegeNCES,0)))/2,0.15),2),INDEX(AllCollegeAAHGR, MATCH(N377,AllCollegeNCES,0)))</f>
        <v>0</v>
      </c>
      <c r="AC377">
        <f>IF(OR(W377="H",W377="B"),INDEX(AllCollegeSAT25, MATCH(N377,AllCollegeNCES,0)),INDEX(AllCollegeSAT50, MATCH(N377,AllCollegeNCES,0)))</f>
        <v>0</v>
      </c>
      <c r="AD377">
        <f>INDEX(CustomWeightsGPA,MATCH(W377&amp;":"&amp;N377,CustomWeightsIndex,0))</f>
        <v>0</v>
      </c>
      <c r="AE377">
        <f>INDEX(CustomWeightsSAT,MATCH(W377&amp;":"&amp;N377,CustomWeightsIndex,0))</f>
        <v>0</v>
      </c>
      <c r="AF377">
        <f>INDEX(CustomWeightsIntercept,MATCH(W377&amp;":"&amp;N377,CustomWeightsIndex,0))</f>
        <v>0</v>
      </c>
      <c r="AG377">
        <f>AD377*S377+AE377*T377+AF377</f>
        <v>0</v>
      </c>
      <c r="AH377">
        <f>INDEX(CoefficientsGPA,MATCH(W377&amp;":"&amp;R377,CoefficientsIndex,0))</f>
        <v>0</v>
      </c>
      <c r="AI377">
        <f>INDEX(CoefficientsSAT,MATCH(W377&amp;":"&amp;R377,CoefficientsIndex,0))</f>
        <v>0</v>
      </c>
      <c r="AJ377">
        <f>INDEX(CoefficientsIntercept,MATCH(W377&amp;":"&amp;R377,CoefficientsIndex,0))</f>
        <v>0</v>
      </c>
      <c r="AK377">
        <f>AH377*S377+(T377-AC377)*AI377+AJ377</f>
        <v>0</v>
      </c>
      <c r="AL377">
        <f>IF(ISNUMBER(AG377),AG377,AK377)</f>
        <v>0</v>
      </c>
      <c r="AM377">
        <f>IF(ISNUMBER(AL377),IF(ISNUMBER(AH377),IF(AND(AH377=1,AI377=1,AJ377=1),100,MIN(99,ROUND(100*EXP(AL377)/(1+EXP(AL377)),2))),MIN(99,ROUND(100*EXP(AL377)/(1+EXP(AL377)),2))),IF(ISTEXT(R377),IF(LEFT(R377,1)="2",100,"N/A"),"N/A"))</f>
        <v>0</v>
      </c>
      <c r="AN377">
        <f>IF(ISNUMBER(AM377),IF(AM377&gt;=99,IF(OR(U377=10,U377=11),MatchLabel,SureThingLabel),IF(AM377&gt;=95,SecureLabel,IF(AM377&gt;=80,SafetyLabel,IF(AM377&gt;=50,MatchLabel,IF(AM377&gt;=20,ReachLabel,IF(AM377&gt;=10,LongshotLabel,HailMaryLabel)))))),"Other")</f>
        <v>0</v>
      </c>
      <c r="AO377">
        <f>IF(OR(I377="accepted",I377="cond. accept",I377="summer admit"),IF(J377="yes","CHOICE!","Accepted!"),IF(I377="guar. transfer","Guar. Xfer",IF(I377="denied","Denied",IF(K377=1,"Waitlist",IF(L377=1,"Deferred",IF(G377="pending","Pending",IF(OR(G377="initial materials submitted",G377="mid-year submitted",G377="final submitted"),"Submitted",IF(H377="interest","Interest","?"))))))))</f>
        <v>0</v>
      </c>
      <c r="AP377">
        <f>IF(OR(AN377=ReachLabel,AN377=LongshotLabel,AN377=HailMaryLabel),1,0)</f>
        <v>0</v>
      </c>
      <c r="AQ377">
        <f>IF(OR(AP377=1,AN377=MatchLabel),1,0)</f>
        <v>0</v>
      </c>
      <c r="AR377">
        <f>IF(OR(AN377=MatchLabel,AN377=SafetyLabel,AN377=SecureLabel,AN377=SureThingLabel),1,0)</f>
        <v>0</v>
      </c>
      <c r="AS377">
        <f>IF(OR(W377="H",W377="B",W377="I",W377="M"),IF(ISNUMBER(AB377),ROUND(AB377,2),0),IF(ISNUMBER(AA377),ROUND(AA377,2),0))</f>
        <v>0</v>
      </c>
      <c r="AT377">
        <f>IF(AS377&gt;=X377,1,0)</f>
        <v>0</v>
      </c>
      <c r="AU377">
        <f>IF(AS377&gt;=Y377,1,0)</f>
        <v>0</v>
      </c>
      <c r="AV377">
        <f>IF(AS377&lt;(X377-0.10),1,0)</f>
        <v>0</v>
      </c>
      <c r="AW377">
        <f>1-AM377/100</f>
        <v>0</v>
      </c>
      <c r="AX377">
        <f>IF(AQ377=1,AW377,1)</f>
        <v>0</v>
      </c>
      <c r="AY377">
        <f>IF(AP377=1,AW377,1)</f>
        <v>0</v>
      </c>
      <c r="AZ377">
        <f>IF(AND(AT377=1,ISNUMBER(AW377)),$AW377,1)</f>
        <v>0</v>
      </c>
      <c r="BA377">
        <f>IF(AND(AU377=1,ISNUMBER(AW377)),$AW377,1)</f>
        <v>0</v>
      </c>
      <c r="BB377">
        <f>IF(ISNUMBER(AB377),INDEX(AllCollegeMoney, MATCH(N377,AllCollegeNCES,0)),0)</f>
        <v>0</v>
      </c>
      <c r="BC377">
        <f>IF(AND(AT377=1,ISNUMBER(AW377),BB377=1),$AW377,1)</f>
        <v>0</v>
      </c>
      <c r="BD377">
        <f>IF(AND(AU377=1,ISNUMBER(AW377),BB377=1),$AW377,1)</f>
        <v>0</v>
      </c>
      <c r="BE377">
        <f>IF(ISNUMBER(AB377),INDEX(AllCollegeILPub, MATCH(N377,AllCollegeNCES,0)),0)</f>
        <v>0</v>
      </c>
      <c r="BF377">
        <f>IF(AN377=ReachLabel,AS377,0)</f>
        <v>0</v>
      </c>
      <c r="BG377">
        <f>IF(AN377=MatchLabel,AS377,0)</f>
        <v>0</v>
      </c>
      <c r="BH377">
        <f>IF(AN377=SafetyLabel,AS377,0)</f>
        <v>0</v>
      </c>
      <c r="BI377">
        <f>IF(AN377=SecureLabel,AS377,0)</f>
        <v>0</v>
      </c>
      <c r="BJ377">
        <f>IF(AN377=SureThingLabel,AS377,0)</f>
        <v>0</v>
      </c>
      <c r="BK377">
        <f>MAX(BF377:BJ377)</f>
        <v>0</v>
      </c>
      <c r="BL377">
        <f>MAX(BG377:BJ377)</f>
        <v>0</v>
      </c>
      <c r="BM377">
        <f>MAX(BH377:BJ377)</f>
        <v>0</v>
      </c>
      <c r="BN377">
        <f>IF(AND(AN377=ReachLabel,BB377=1),AS377,0)</f>
        <v>0</v>
      </c>
      <c r="BO377">
        <f>IF(AND(AN377=MatchLabel,BB377=1),AS377,0)</f>
        <v>0</v>
      </c>
      <c r="BP377">
        <f>IF(AND(AN377=SafetyLabel,BB377=1),AS377,0)</f>
        <v>0</v>
      </c>
      <c r="BQ377">
        <f>IF(AND(AN377=SecureLabel,BB377=1),AS377,0)</f>
        <v>0</v>
      </c>
      <c r="BR377">
        <f>IF(AND(AN377=SureThingLabel,BB377=1),AS377,0)</f>
        <v>0</v>
      </c>
      <c r="BS377">
        <f>MAX(BN377:BR377)</f>
        <v>0</v>
      </c>
      <c r="BT377">
        <f>MAX(BO377:BR377)</f>
        <v>0</v>
      </c>
      <c r="BU377">
        <f>MAX(BP377:BR377)</f>
        <v>0</v>
      </c>
      <c r="BV377">
        <f>IF(ISNUMBER(AB377),INDEX(AllCollegeChicago, MATCH(N377,AllCollegeNCES,0))*BB377,0)</f>
        <v>0</v>
      </c>
      <c r="BW377">
        <f>IF(ISNUMBER(AB377),INDEX(AllCollegeMoneyCode, MATCH(N377,AllCollegeNCES,0)),"?")</f>
        <v>0</v>
      </c>
      <c r="BX377">
        <f>IF(OR(BW377="---",BW377="--",BW377="+/--",BW377="+/---"),1,0)</f>
        <v>0</v>
      </c>
      <c r="BY377">
        <f>BB377*AR377*AT377</f>
        <v>0</v>
      </c>
    </row>
    <row r="378" spans="1:77">
      <c r="A378" t="s">
        <v>96</v>
      </c>
      <c r="B378">
        <v>23319069</v>
      </c>
      <c r="C378" t="s">
        <v>162</v>
      </c>
      <c r="D378" t="s">
        <v>163</v>
      </c>
      <c r="E378" t="s">
        <v>446</v>
      </c>
      <c r="F378" t="s">
        <v>481</v>
      </c>
      <c r="G378" t="s">
        <v>479</v>
      </c>
      <c r="H378" t="s">
        <v>449</v>
      </c>
      <c r="I378" t="s">
        <v>450</v>
      </c>
      <c r="J378" t="s">
        <v>450</v>
      </c>
      <c r="K378">
        <v>0</v>
      </c>
      <c r="L378" t="s">
        <v>446</v>
      </c>
      <c r="M378" t="s">
        <v>446</v>
      </c>
      <c r="N378">
        <v>153834</v>
      </c>
      <c r="O378">
        <f>INDEX(Counselor,MATCH(B378,KidIDs,0))</f>
        <v>0</v>
      </c>
      <c r="P378">
        <f>INDEX(Advisors,MATCH(B378,KidIDs,0))</f>
        <v>0</v>
      </c>
      <c r="Q378">
        <f>INDEX(Cohort,MATCH(B378,KidIDs,0))</f>
        <v>0</v>
      </c>
      <c r="R378">
        <f>INDEX(AllCollegeBarrons,MATCH(N378,AllCollegeNCES,0))</f>
        <v>0</v>
      </c>
      <c r="S378">
        <f>INDEX(KidGPAs,MATCH(B378,KidIDs,0))</f>
        <v>0</v>
      </c>
      <c r="T378">
        <f>INDEX(KidSATs,MATCH(B378,KidIDs,0))</f>
        <v>0</v>
      </c>
      <c r="U378">
        <f>INDEX(Strats,MATCH(B378,KidIDs,0))</f>
        <v>0</v>
      </c>
      <c r="V378">
        <f>INDEX(KidRace,MATCH(B378,KidIDs,0))</f>
        <v>0</v>
      </c>
      <c r="W378">
        <f>IF(OR(V378="M",V378="I"),"H",IF(V378="P","A",V378))</f>
        <v>0</v>
      </c>
      <c r="X378">
        <f>INDEX(StudentTargets,MATCH(B378,KidIDs,0))</f>
        <v>0</v>
      </c>
      <c r="Y378">
        <f>INDEX(ReachStudentTargets,MATCH(B378,KidIDs,0))</f>
        <v>0</v>
      </c>
      <c r="Z378">
        <f>IF(OR(M378="Posse"),1,0)</f>
        <v>0</v>
      </c>
      <c r="AA378">
        <f>IF(ISNUMBER(INDEX(AllCollegeGR, MATCH(N378,AllCollegeNCES,0))),ROUND(INDEX(AllCollegeGR, MATCH(N378,AllCollegeNCES,0))+Z378*IF(INDEX(AllCollegeGR, MATCH(N378,AllCollegeNCES,0))&gt;0.7,(1-INDEX(AllCollegeGR, MATCH(N378,AllCollegeNCES,0)))/2,0.15),2),INDEX(AllCollegeGR, MATCH(N378,AllCollegeNCES,0)))</f>
        <v>0</v>
      </c>
      <c r="AB378">
        <f>IF(ISNUMBER(INDEX(AllCollegeAAHGR, MATCH(N378,AllCollegeNCES,0))),ROUND(INDEX(AllCollegeAAHGR, MATCH(N378,AllCollegeNCES,0))+Z378*IF(INDEX(AllCollegeAAHGR, MATCH(N378,AllCollegeNCES,0))&gt;0.7,(1-INDEX(AllCollegeAAHGR, MATCH(N378,AllCollegeNCES,0)))/2,0.15),2),INDEX(AllCollegeAAHGR, MATCH(N378,AllCollegeNCES,0)))</f>
        <v>0</v>
      </c>
      <c r="AC378">
        <f>IF(OR(W378="H",W378="B"),INDEX(AllCollegeSAT25, MATCH(N378,AllCollegeNCES,0)),INDEX(AllCollegeSAT50, MATCH(N378,AllCollegeNCES,0)))</f>
        <v>0</v>
      </c>
      <c r="AD378">
        <f>INDEX(CustomWeightsGPA,MATCH(W378&amp;":"&amp;N378,CustomWeightsIndex,0))</f>
        <v>0</v>
      </c>
      <c r="AE378">
        <f>INDEX(CustomWeightsSAT,MATCH(W378&amp;":"&amp;N378,CustomWeightsIndex,0))</f>
        <v>0</v>
      </c>
      <c r="AF378">
        <f>INDEX(CustomWeightsIntercept,MATCH(W378&amp;":"&amp;N378,CustomWeightsIndex,0))</f>
        <v>0</v>
      </c>
      <c r="AG378">
        <f>AD378*S378+AE378*T378+AF378</f>
        <v>0</v>
      </c>
      <c r="AH378">
        <f>INDEX(CoefficientsGPA,MATCH(W378&amp;":"&amp;R378,CoefficientsIndex,0))</f>
        <v>0</v>
      </c>
      <c r="AI378">
        <f>INDEX(CoefficientsSAT,MATCH(W378&amp;":"&amp;R378,CoefficientsIndex,0))</f>
        <v>0</v>
      </c>
      <c r="AJ378">
        <f>INDEX(CoefficientsIntercept,MATCH(W378&amp;":"&amp;R378,CoefficientsIndex,0))</f>
        <v>0</v>
      </c>
      <c r="AK378">
        <f>AH378*S378+(T378-AC378)*AI378+AJ378</f>
        <v>0</v>
      </c>
      <c r="AL378">
        <f>IF(ISNUMBER(AG378),AG378,AK378)</f>
        <v>0</v>
      </c>
      <c r="AM378">
        <f>IF(ISNUMBER(AL378),IF(ISNUMBER(AH378),IF(AND(AH378=1,AI378=1,AJ378=1),100,MIN(99,ROUND(100*EXP(AL378)/(1+EXP(AL378)),2))),MIN(99,ROUND(100*EXP(AL378)/(1+EXP(AL378)),2))),IF(ISTEXT(R378),IF(LEFT(R378,1)="2",100,"N/A"),"N/A"))</f>
        <v>0</v>
      </c>
      <c r="AN378">
        <f>IF(ISNUMBER(AM378),IF(AM378&gt;=99,IF(OR(U378=10,U378=11),MatchLabel,SureThingLabel),IF(AM378&gt;=95,SecureLabel,IF(AM378&gt;=80,SafetyLabel,IF(AM378&gt;=50,MatchLabel,IF(AM378&gt;=20,ReachLabel,IF(AM378&gt;=10,LongshotLabel,HailMaryLabel)))))),"Other")</f>
        <v>0</v>
      </c>
      <c r="AO378">
        <f>IF(OR(I378="accepted",I378="cond. accept",I378="summer admit"),IF(J378="yes","CHOICE!","Accepted!"),IF(I378="guar. transfer","Guar. Xfer",IF(I378="denied","Denied",IF(K378=1,"Waitlist",IF(L378=1,"Deferred",IF(G378="pending","Pending",IF(OR(G378="initial materials submitted",G378="mid-year submitted",G378="final submitted"),"Submitted",IF(H378="interest","Interest","?"))))))))</f>
        <v>0</v>
      </c>
      <c r="AP378">
        <f>IF(OR(AN378=ReachLabel,AN378=LongshotLabel,AN378=HailMaryLabel),1,0)</f>
        <v>0</v>
      </c>
      <c r="AQ378">
        <f>IF(OR(AP378=1,AN378=MatchLabel),1,0)</f>
        <v>0</v>
      </c>
      <c r="AR378">
        <f>IF(OR(AN378=MatchLabel,AN378=SafetyLabel,AN378=SecureLabel,AN378=SureThingLabel),1,0)</f>
        <v>0</v>
      </c>
      <c r="AS378">
        <f>IF(OR(W378="H",W378="B",W378="I",W378="M"),IF(ISNUMBER(AB378),ROUND(AB378,2),0),IF(ISNUMBER(AA378),ROUND(AA378,2),0))</f>
        <v>0</v>
      </c>
      <c r="AT378">
        <f>IF(AS378&gt;=X378,1,0)</f>
        <v>0</v>
      </c>
      <c r="AU378">
        <f>IF(AS378&gt;=Y378,1,0)</f>
        <v>0</v>
      </c>
      <c r="AV378">
        <f>IF(AS378&lt;(X378-0.10),1,0)</f>
        <v>0</v>
      </c>
      <c r="AW378">
        <f>1-AM378/100</f>
        <v>0</v>
      </c>
      <c r="AX378">
        <f>IF(AQ378=1,AW378,1)</f>
        <v>0</v>
      </c>
      <c r="AY378">
        <f>IF(AP378=1,AW378,1)</f>
        <v>0</v>
      </c>
      <c r="AZ378">
        <f>IF(AND(AT378=1,ISNUMBER(AW378)),$AW378,1)</f>
        <v>0</v>
      </c>
      <c r="BA378">
        <f>IF(AND(AU378=1,ISNUMBER(AW378)),$AW378,1)</f>
        <v>0</v>
      </c>
      <c r="BB378">
        <f>IF(ISNUMBER(AB378),INDEX(AllCollegeMoney, MATCH(N378,AllCollegeNCES,0)),0)</f>
        <v>0</v>
      </c>
      <c r="BC378">
        <f>IF(AND(AT378=1,ISNUMBER(AW378),BB378=1),$AW378,1)</f>
        <v>0</v>
      </c>
      <c r="BD378">
        <f>IF(AND(AU378=1,ISNUMBER(AW378),BB378=1),$AW378,1)</f>
        <v>0</v>
      </c>
      <c r="BE378">
        <f>IF(ISNUMBER(AB378),INDEX(AllCollegeILPub, MATCH(N378,AllCollegeNCES,0)),0)</f>
        <v>0</v>
      </c>
      <c r="BF378">
        <f>IF(AN378=ReachLabel,AS378,0)</f>
        <v>0</v>
      </c>
      <c r="BG378">
        <f>IF(AN378=MatchLabel,AS378,0)</f>
        <v>0</v>
      </c>
      <c r="BH378">
        <f>IF(AN378=SafetyLabel,AS378,0)</f>
        <v>0</v>
      </c>
      <c r="BI378">
        <f>IF(AN378=SecureLabel,AS378,0)</f>
        <v>0</v>
      </c>
      <c r="BJ378">
        <f>IF(AN378=SureThingLabel,AS378,0)</f>
        <v>0</v>
      </c>
      <c r="BK378">
        <f>MAX(BF378:BJ378)</f>
        <v>0</v>
      </c>
      <c r="BL378">
        <f>MAX(BG378:BJ378)</f>
        <v>0</v>
      </c>
      <c r="BM378">
        <f>MAX(BH378:BJ378)</f>
        <v>0</v>
      </c>
      <c r="BN378">
        <f>IF(AND(AN378=ReachLabel,BB378=1),AS378,0)</f>
        <v>0</v>
      </c>
      <c r="BO378">
        <f>IF(AND(AN378=MatchLabel,BB378=1),AS378,0)</f>
        <v>0</v>
      </c>
      <c r="BP378">
        <f>IF(AND(AN378=SafetyLabel,BB378=1),AS378,0)</f>
        <v>0</v>
      </c>
      <c r="BQ378">
        <f>IF(AND(AN378=SecureLabel,BB378=1),AS378,0)</f>
        <v>0</v>
      </c>
      <c r="BR378">
        <f>IF(AND(AN378=SureThingLabel,BB378=1),AS378,0)</f>
        <v>0</v>
      </c>
      <c r="BS378">
        <f>MAX(BN378:BR378)</f>
        <v>0</v>
      </c>
      <c r="BT378">
        <f>MAX(BO378:BR378)</f>
        <v>0</v>
      </c>
      <c r="BU378">
        <f>MAX(BP378:BR378)</f>
        <v>0</v>
      </c>
      <c r="BV378">
        <f>IF(ISNUMBER(AB378),INDEX(AllCollegeChicago, MATCH(N378,AllCollegeNCES,0))*BB378,0)</f>
        <v>0</v>
      </c>
      <c r="BW378">
        <f>IF(ISNUMBER(AB378),INDEX(AllCollegeMoneyCode, MATCH(N378,AllCollegeNCES,0)),"?")</f>
        <v>0</v>
      </c>
      <c r="BX378">
        <f>IF(OR(BW378="---",BW378="--",BW378="+/--",BW378="+/---"),1,0)</f>
        <v>0</v>
      </c>
      <c r="BY378">
        <f>BB378*AR378*AT378</f>
        <v>0</v>
      </c>
    </row>
    <row r="379" spans="1:77">
      <c r="A379" t="s">
        <v>96</v>
      </c>
      <c r="B379">
        <v>23334800</v>
      </c>
      <c r="C379" t="s">
        <v>324</v>
      </c>
      <c r="D379" t="s">
        <v>325</v>
      </c>
      <c r="E379" t="s">
        <v>446</v>
      </c>
      <c r="F379" t="s">
        <v>493</v>
      </c>
      <c r="G379" t="s">
        <v>448</v>
      </c>
      <c r="H379" t="s">
        <v>449</v>
      </c>
      <c r="I379" t="s">
        <v>450</v>
      </c>
      <c r="J379" t="s">
        <v>450</v>
      </c>
      <c r="K379">
        <v>0</v>
      </c>
      <c r="L379" t="s">
        <v>446</v>
      </c>
      <c r="M379" t="s">
        <v>446</v>
      </c>
      <c r="N379">
        <v>147767</v>
      </c>
      <c r="O379">
        <f>INDEX(Counselor,MATCH(B379,KidIDs,0))</f>
        <v>0</v>
      </c>
      <c r="P379">
        <f>INDEX(Advisors,MATCH(B379,KidIDs,0))</f>
        <v>0</v>
      </c>
      <c r="Q379">
        <f>INDEX(Cohort,MATCH(B379,KidIDs,0))</f>
        <v>0</v>
      </c>
      <c r="R379">
        <f>INDEX(AllCollegeBarrons,MATCH(N379,AllCollegeNCES,0))</f>
        <v>0</v>
      </c>
      <c r="S379">
        <f>INDEX(KidGPAs,MATCH(B379,KidIDs,0))</f>
        <v>0</v>
      </c>
      <c r="T379">
        <f>INDEX(KidSATs,MATCH(B379,KidIDs,0))</f>
        <v>0</v>
      </c>
      <c r="U379">
        <f>INDEX(Strats,MATCH(B379,KidIDs,0))</f>
        <v>0</v>
      </c>
      <c r="V379">
        <f>INDEX(KidRace,MATCH(B379,KidIDs,0))</f>
        <v>0</v>
      </c>
      <c r="W379">
        <f>IF(OR(V379="M",V379="I"),"H",IF(V379="P","A",V379))</f>
        <v>0</v>
      </c>
      <c r="X379">
        <f>INDEX(StudentTargets,MATCH(B379,KidIDs,0))</f>
        <v>0</v>
      </c>
      <c r="Y379">
        <f>INDEX(ReachStudentTargets,MATCH(B379,KidIDs,0))</f>
        <v>0</v>
      </c>
      <c r="Z379">
        <f>IF(OR(M379="Posse"),1,0)</f>
        <v>0</v>
      </c>
      <c r="AA379">
        <f>IF(ISNUMBER(INDEX(AllCollegeGR, MATCH(N379,AllCollegeNCES,0))),ROUND(INDEX(AllCollegeGR, MATCH(N379,AllCollegeNCES,0))+Z379*IF(INDEX(AllCollegeGR, MATCH(N379,AllCollegeNCES,0))&gt;0.7,(1-INDEX(AllCollegeGR, MATCH(N379,AllCollegeNCES,0)))/2,0.15),2),INDEX(AllCollegeGR, MATCH(N379,AllCollegeNCES,0)))</f>
        <v>0</v>
      </c>
      <c r="AB379">
        <f>IF(ISNUMBER(INDEX(AllCollegeAAHGR, MATCH(N379,AllCollegeNCES,0))),ROUND(INDEX(AllCollegeAAHGR, MATCH(N379,AllCollegeNCES,0))+Z379*IF(INDEX(AllCollegeAAHGR, MATCH(N379,AllCollegeNCES,0))&gt;0.7,(1-INDEX(AllCollegeAAHGR, MATCH(N379,AllCollegeNCES,0)))/2,0.15),2),INDEX(AllCollegeAAHGR, MATCH(N379,AllCollegeNCES,0)))</f>
        <v>0</v>
      </c>
      <c r="AC379">
        <f>IF(OR(W379="H",W379="B"),INDEX(AllCollegeSAT25, MATCH(N379,AllCollegeNCES,0)),INDEX(AllCollegeSAT50, MATCH(N379,AllCollegeNCES,0)))</f>
        <v>0</v>
      </c>
      <c r="AD379">
        <f>INDEX(CustomWeightsGPA,MATCH(W379&amp;":"&amp;N379,CustomWeightsIndex,0))</f>
        <v>0</v>
      </c>
      <c r="AE379">
        <f>INDEX(CustomWeightsSAT,MATCH(W379&amp;":"&amp;N379,CustomWeightsIndex,0))</f>
        <v>0</v>
      </c>
      <c r="AF379">
        <f>INDEX(CustomWeightsIntercept,MATCH(W379&amp;":"&amp;N379,CustomWeightsIndex,0))</f>
        <v>0</v>
      </c>
      <c r="AG379">
        <f>AD379*S379+AE379*T379+AF379</f>
        <v>0</v>
      </c>
      <c r="AH379">
        <f>INDEX(CoefficientsGPA,MATCH(W379&amp;":"&amp;R379,CoefficientsIndex,0))</f>
        <v>0</v>
      </c>
      <c r="AI379">
        <f>INDEX(CoefficientsSAT,MATCH(W379&amp;":"&amp;R379,CoefficientsIndex,0))</f>
        <v>0</v>
      </c>
      <c r="AJ379">
        <f>INDEX(CoefficientsIntercept,MATCH(W379&amp;":"&amp;R379,CoefficientsIndex,0))</f>
        <v>0</v>
      </c>
      <c r="AK379">
        <f>AH379*S379+(T379-AC379)*AI379+AJ379</f>
        <v>0</v>
      </c>
      <c r="AL379">
        <f>IF(ISNUMBER(AG379),AG379,AK379)</f>
        <v>0</v>
      </c>
      <c r="AM379">
        <f>IF(ISNUMBER(AL379),IF(ISNUMBER(AH379),IF(AND(AH379=1,AI379=1,AJ379=1),100,MIN(99,ROUND(100*EXP(AL379)/(1+EXP(AL379)),2))),MIN(99,ROUND(100*EXP(AL379)/(1+EXP(AL379)),2))),IF(ISTEXT(R379),IF(LEFT(R379,1)="2",100,"N/A"),"N/A"))</f>
        <v>0</v>
      </c>
      <c r="AN379">
        <f>IF(ISNUMBER(AM379),IF(AM379&gt;=99,IF(OR(U379=10,U379=11),MatchLabel,SureThingLabel),IF(AM379&gt;=95,SecureLabel,IF(AM379&gt;=80,SafetyLabel,IF(AM379&gt;=50,MatchLabel,IF(AM379&gt;=20,ReachLabel,IF(AM379&gt;=10,LongshotLabel,HailMaryLabel)))))),"Other")</f>
        <v>0</v>
      </c>
      <c r="AO379">
        <f>IF(OR(I379="accepted",I379="cond. accept",I379="summer admit"),IF(J379="yes","CHOICE!","Accepted!"),IF(I379="guar. transfer","Guar. Xfer",IF(I379="denied","Denied",IF(K379=1,"Waitlist",IF(L379=1,"Deferred",IF(G379="pending","Pending",IF(OR(G379="initial materials submitted",G379="mid-year submitted",G379="final submitted"),"Submitted",IF(H379="interest","Interest","?"))))))))</f>
        <v>0</v>
      </c>
      <c r="AP379">
        <f>IF(OR(AN379=ReachLabel,AN379=LongshotLabel,AN379=HailMaryLabel),1,0)</f>
        <v>0</v>
      </c>
      <c r="AQ379">
        <f>IF(OR(AP379=1,AN379=MatchLabel),1,0)</f>
        <v>0</v>
      </c>
      <c r="AR379">
        <f>IF(OR(AN379=MatchLabel,AN379=SafetyLabel,AN379=SecureLabel,AN379=SureThingLabel),1,0)</f>
        <v>0</v>
      </c>
      <c r="AS379">
        <f>IF(OR(W379="H",W379="B",W379="I",W379="M"),IF(ISNUMBER(AB379),ROUND(AB379,2),0),IF(ISNUMBER(AA379),ROUND(AA379,2),0))</f>
        <v>0</v>
      </c>
      <c r="AT379">
        <f>IF(AS379&gt;=X379,1,0)</f>
        <v>0</v>
      </c>
      <c r="AU379">
        <f>IF(AS379&gt;=Y379,1,0)</f>
        <v>0</v>
      </c>
      <c r="AV379">
        <f>IF(AS379&lt;(X379-0.10),1,0)</f>
        <v>0</v>
      </c>
      <c r="AW379">
        <f>1-AM379/100</f>
        <v>0</v>
      </c>
      <c r="AX379">
        <f>IF(AQ379=1,AW379,1)</f>
        <v>0</v>
      </c>
      <c r="AY379">
        <f>IF(AP379=1,AW379,1)</f>
        <v>0</v>
      </c>
      <c r="AZ379">
        <f>IF(AND(AT379=1,ISNUMBER(AW379)),$AW379,1)</f>
        <v>0</v>
      </c>
      <c r="BA379">
        <f>IF(AND(AU379=1,ISNUMBER(AW379)),$AW379,1)</f>
        <v>0</v>
      </c>
      <c r="BB379">
        <f>IF(ISNUMBER(AB379),INDEX(AllCollegeMoney, MATCH(N379,AllCollegeNCES,0)),0)</f>
        <v>0</v>
      </c>
      <c r="BC379">
        <f>IF(AND(AT379=1,ISNUMBER(AW379),BB379=1),$AW379,1)</f>
        <v>0</v>
      </c>
      <c r="BD379">
        <f>IF(AND(AU379=1,ISNUMBER(AW379),BB379=1),$AW379,1)</f>
        <v>0</v>
      </c>
      <c r="BE379">
        <f>IF(ISNUMBER(AB379),INDEX(AllCollegeILPub, MATCH(N379,AllCollegeNCES,0)),0)</f>
        <v>0</v>
      </c>
      <c r="BF379">
        <f>IF(AN379=ReachLabel,AS379,0)</f>
        <v>0</v>
      </c>
      <c r="BG379">
        <f>IF(AN379=MatchLabel,AS379,0)</f>
        <v>0</v>
      </c>
      <c r="BH379">
        <f>IF(AN379=SafetyLabel,AS379,0)</f>
        <v>0</v>
      </c>
      <c r="BI379">
        <f>IF(AN379=SecureLabel,AS379,0)</f>
        <v>0</v>
      </c>
      <c r="BJ379">
        <f>IF(AN379=SureThingLabel,AS379,0)</f>
        <v>0</v>
      </c>
      <c r="BK379">
        <f>MAX(BF379:BJ379)</f>
        <v>0</v>
      </c>
      <c r="BL379">
        <f>MAX(BG379:BJ379)</f>
        <v>0</v>
      </c>
      <c r="BM379">
        <f>MAX(BH379:BJ379)</f>
        <v>0</v>
      </c>
      <c r="BN379">
        <f>IF(AND(AN379=ReachLabel,BB379=1),AS379,0)</f>
        <v>0</v>
      </c>
      <c r="BO379">
        <f>IF(AND(AN379=MatchLabel,BB379=1),AS379,0)</f>
        <v>0</v>
      </c>
      <c r="BP379">
        <f>IF(AND(AN379=SafetyLabel,BB379=1),AS379,0)</f>
        <v>0</v>
      </c>
      <c r="BQ379">
        <f>IF(AND(AN379=SecureLabel,BB379=1),AS379,0)</f>
        <v>0</v>
      </c>
      <c r="BR379">
        <f>IF(AND(AN379=SureThingLabel,BB379=1),AS379,0)</f>
        <v>0</v>
      </c>
      <c r="BS379">
        <f>MAX(BN379:BR379)</f>
        <v>0</v>
      </c>
      <c r="BT379">
        <f>MAX(BO379:BR379)</f>
        <v>0</v>
      </c>
      <c r="BU379">
        <f>MAX(BP379:BR379)</f>
        <v>0</v>
      </c>
      <c r="BV379">
        <f>IF(ISNUMBER(AB379),INDEX(AllCollegeChicago, MATCH(N379,AllCollegeNCES,0))*BB379,0)</f>
        <v>0</v>
      </c>
      <c r="BW379">
        <f>IF(ISNUMBER(AB379),INDEX(AllCollegeMoneyCode, MATCH(N379,AllCollegeNCES,0)),"?")</f>
        <v>0</v>
      </c>
      <c r="BX379">
        <f>IF(OR(BW379="---",BW379="--",BW379="+/--",BW379="+/---"),1,0)</f>
        <v>0</v>
      </c>
      <c r="BY379">
        <f>BB379*AR379*AT379</f>
        <v>0</v>
      </c>
    </row>
    <row r="380" spans="1:77">
      <c r="A380" t="s">
        <v>96</v>
      </c>
      <c r="B380">
        <v>23334800</v>
      </c>
      <c r="C380" t="s">
        <v>324</v>
      </c>
      <c r="D380" t="s">
        <v>325</v>
      </c>
      <c r="E380" t="s">
        <v>446</v>
      </c>
      <c r="F380" t="s">
        <v>495</v>
      </c>
      <c r="G380" t="s">
        <v>448</v>
      </c>
      <c r="H380" t="s">
        <v>449</v>
      </c>
      <c r="I380" t="s">
        <v>450</v>
      </c>
      <c r="J380" t="s">
        <v>450</v>
      </c>
      <c r="K380">
        <v>0</v>
      </c>
      <c r="L380" t="s">
        <v>446</v>
      </c>
      <c r="M380" t="s">
        <v>446</v>
      </c>
      <c r="N380">
        <v>190099</v>
      </c>
      <c r="O380">
        <f>INDEX(Counselor,MATCH(B380,KidIDs,0))</f>
        <v>0</v>
      </c>
      <c r="P380">
        <f>INDEX(Advisors,MATCH(B380,KidIDs,0))</f>
        <v>0</v>
      </c>
      <c r="Q380">
        <f>INDEX(Cohort,MATCH(B380,KidIDs,0))</f>
        <v>0</v>
      </c>
      <c r="R380">
        <f>INDEX(AllCollegeBarrons,MATCH(N380,AllCollegeNCES,0))</f>
        <v>0</v>
      </c>
      <c r="S380">
        <f>INDEX(KidGPAs,MATCH(B380,KidIDs,0))</f>
        <v>0</v>
      </c>
      <c r="T380">
        <f>INDEX(KidSATs,MATCH(B380,KidIDs,0))</f>
        <v>0</v>
      </c>
      <c r="U380">
        <f>INDEX(Strats,MATCH(B380,KidIDs,0))</f>
        <v>0</v>
      </c>
      <c r="V380">
        <f>INDEX(KidRace,MATCH(B380,KidIDs,0))</f>
        <v>0</v>
      </c>
      <c r="W380">
        <f>IF(OR(V380="M",V380="I"),"H",IF(V380="P","A",V380))</f>
        <v>0</v>
      </c>
      <c r="X380">
        <f>INDEX(StudentTargets,MATCH(B380,KidIDs,0))</f>
        <v>0</v>
      </c>
      <c r="Y380">
        <f>INDEX(ReachStudentTargets,MATCH(B380,KidIDs,0))</f>
        <v>0</v>
      </c>
      <c r="Z380">
        <f>IF(OR(M380="Posse"),1,0)</f>
        <v>0</v>
      </c>
      <c r="AA380">
        <f>IF(ISNUMBER(INDEX(AllCollegeGR, MATCH(N380,AllCollegeNCES,0))),ROUND(INDEX(AllCollegeGR, MATCH(N380,AllCollegeNCES,0))+Z380*IF(INDEX(AllCollegeGR, MATCH(N380,AllCollegeNCES,0))&gt;0.7,(1-INDEX(AllCollegeGR, MATCH(N380,AllCollegeNCES,0)))/2,0.15),2),INDEX(AllCollegeGR, MATCH(N380,AllCollegeNCES,0)))</f>
        <v>0</v>
      </c>
      <c r="AB380">
        <f>IF(ISNUMBER(INDEX(AllCollegeAAHGR, MATCH(N380,AllCollegeNCES,0))),ROUND(INDEX(AllCollegeAAHGR, MATCH(N380,AllCollegeNCES,0))+Z380*IF(INDEX(AllCollegeAAHGR, MATCH(N380,AllCollegeNCES,0))&gt;0.7,(1-INDEX(AllCollegeAAHGR, MATCH(N380,AllCollegeNCES,0)))/2,0.15),2),INDEX(AllCollegeAAHGR, MATCH(N380,AllCollegeNCES,0)))</f>
        <v>0</v>
      </c>
      <c r="AC380">
        <f>IF(OR(W380="H",W380="B"),INDEX(AllCollegeSAT25, MATCH(N380,AllCollegeNCES,0)),INDEX(AllCollegeSAT50, MATCH(N380,AllCollegeNCES,0)))</f>
        <v>0</v>
      </c>
      <c r="AD380">
        <f>INDEX(CustomWeightsGPA,MATCH(W380&amp;":"&amp;N380,CustomWeightsIndex,0))</f>
        <v>0</v>
      </c>
      <c r="AE380">
        <f>INDEX(CustomWeightsSAT,MATCH(W380&amp;":"&amp;N380,CustomWeightsIndex,0))</f>
        <v>0</v>
      </c>
      <c r="AF380">
        <f>INDEX(CustomWeightsIntercept,MATCH(W380&amp;":"&amp;N380,CustomWeightsIndex,0))</f>
        <v>0</v>
      </c>
      <c r="AG380">
        <f>AD380*S380+AE380*T380+AF380</f>
        <v>0</v>
      </c>
      <c r="AH380">
        <f>INDEX(CoefficientsGPA,MATCH(W380&amp;":"&amp;R380,CoefficientsIndex,0))</f>
        <v>0</v>
      </c>
      <c r="AI380">
        <f>INDEX(CoefficientsSAT,MATCH(W380&amp;":"&amp;R380,CoefficientsIndex,0))</f>
        <v>0</v>
      </c>
      <c r="AJ380">
        <f>INDEX(CoefficientsIntercept,MATCH(W380&amp;":"&amp;R380,CoefficientsIndex,0))</f>
        <v>0</v>
      </c>
      <c r="AK380">
        <f>AH380*S380+(T380-AC380)*AI380+AJ380</f>
        <v>0</v>
      </c>
      <c r="AL380">
        <f>IF(ISNUMBER(AG380),AG380,AK380)</f>
        <v>0</v>
      </c>
      <c r="AM380">
        <f>IF(ISNUMBER(AL380),IF(ISNUMBER(AH380),IF(AND(AH380=1,AI380=1,AJ380=1),100,MIN(99,ROUND(100*EXP(AL380)/(1+EXP(AL380)),2))),MIN(99,ROUND(100*EXP(AL380)/(1+EXP(AL380)),2))),IF(ISTEXT(R380),IF(LEFT(R380,1)="2",100,"N/A"),"N/A"))</f>
        <v>0</v>
      </c>
      <c r="AN380">
        <f>IF(ISNUMBER(AM380),IF(AM380&gt;=99,IF(OR(U380=10,U380=11),MatchLabel,SureThingLabel),IF(AM380&gt;=95,SecureLabel,IF(AM380&gt;=80,SafetyLabel,IF(AM380&gt;=50,MatchLabel,IF(AM380&gt;=20,ReachLabel,IF(AM380&gt;=10,LongshotLabel,HailMaryLabel)))))),"Other")</f>
        <v>0</v>
      </c>
      <c r="AO380">
        <f>IF(OR(I380="accepted",I380="cond. accept",I380="summer admit"),IF(J380="yes","CHOICE!","Accepted!"),IF(I380="guar. transfer","Guar. Xfer",IF(I380="denied","Denied",IF(K380=1,"Waitlist",IF(L380=1,"Deferred",IF(G380="pending","Pending",IF(OR(G380="initial materials submitted",G380="mid-year submitted",G380="final submitted"),"Submitted",IF(H380="interest","Interest","?"))))))))</f>
        <v>0</v>
      </c>
      <c r="AP380">
        <f>IF(OR(AN380=ReachLabel,AN380=LongshotLabel,AN380=HailMaryLabel),1,0)</f>
        <v>0</v>
      </c>
      <c r="AQ380">
        <f>IF(OR(AP380=1,AN380=MatchLabel),1,0)</f>
        <v>0</v>
      </c>
      <c r="AR380">
        <f>IF(OR(AN380=MatchLabel,AN380=SafetyLabel,AN380=SecureLabel,AN380=SureThingLabel),1,0)</f>
        <v>0</v>
      </c>
      <c r="AS380">
        <f>IF(OR(W380="H",W380="B",W380="I",W380="M"),IF(ISNUMBER(AB380),ROUND(AB380,2),0),IF(ISNUMBER(AA380),ROUND(AA380,2),0))</f>
        <v>0</v>
      </c>
      <c r="AT380">
        <f>IF(AS380&gt;=X380,1,0)</f>
        <v>0</v>
      </c>
      <c r="AU380">
        <f>IF(AS380&gt;=Y380,1,0)</f>
        <v>0</v>
      </c>
      <c r="AV380">
        <f>IF(AS380&lt;(X380-0.10),1,0)</f>
        <v>0</v>
      </c>
      <c r="AW380">
        <f>1-AM380/100</f>
        <v>0</v>
      </c>
      <c r="AX380">
        <f>IF(AQ380=1,AW380,1)</f>
        <v>0</v>
      </c>
      <c r="AY380">
        <f>IF(AP380=1,AW380,1)</f>
        <v>0</v>
      </c>
      <c r="AZ380">
        <f>IF(AND(AT380=1,ISNUMBER(AW380)),$AW380,1)</f>
        <v>0</v>
      </c>
      <c r="BA380">
        <f>IF(AND(AU380=1,ISNUMBER(AW380)),$AW380,1)</f>
        <v>0</v>
      </c>
      <c r="BB380">
        <f>IF(ISNUMBER(AB380),INDEX(AllCollegeMoney, MATCH(N380,AllCollegeNCES,0)),0)</f>
        <v>0</v>
      </c>
      <c r="BC380">
        <f>IF(AND(AT380=1,ISNUMBER(AW380),BB380=1),$AW380,1)</f>
        <v>0</v>
      </c>
      <c r="BD380">
        <f>IF(AND(AU380=1,ISNUMBER(AW380),BB380=1),$AW380,1)</f>
        <v>0</v>
      </c>
      <c r="BE380">
        <f>IF(ISNUMBER(AB380),INDEX(AllCollegeILPub, MATCH(N380,AllCollegeNCES,0)),0)</f>
        <v>0</v>
      </c>
      <c r="BF380">
        <f>IF(AN380=ReachLabel,AS380,0)</f>
        <v>0</v>
      </c>
      <c r="BG380">
        <f>IF(AN380=MatchLabel,AS380,0)</f>
        <v>0</v>
      </c>
      <c r="BH380">
        <f>IF(AN380=SafetyLabel,AS380,0)</f>
        <v>0</v>
      </c>
      <c r="BI380">
        <f>IF(AN380=SecureLabel,AS380,0)</f>
        <v>0</v>
      </c>
      <c r="BJ380">
        <f>IF(AN380=SureThingLabel,AS380,0)</f>
        <v>0</v>
      </c>
      <c r="BK380">
        <f>MAX(BF380:BJ380)</f>
        <v>0</v>
      </c>
      <c r="BL380">
        <f>MAX(BG380:BJ380)</f>
        <v>0</v>
      </c>
      <c r="BM380">
        <f>MAX(BH380:BJ380)</f>
        <v>0</v>
      </c>
      <c r="BN380">
        <f>IF(AND(AN380=ReachLabel,BB380=1),AS380,0)</f>
        <v>0</v>
      </c>
      <c r="BO380">
        <f>IF(AND(AN380=MatchLabel,BB380=1),AS380,0)</f>
        <v>0</v>
      </c>
      <c r="BP380">
        <f>IF(AND(AN380=SafetyLabel,BB380=1),AS380,0)</f>
        <v>0</v>
      </c>
      <c r="BQ380">
        <f>IF(AND(AN380=SecureLabel,BB380=1),AS380,0)</f>
        <v>0</v>
      </c>
      <c r="BR380">
        <f>IF(AND(AN380=SureThingLabel,BB380=1),AS380,0)</f>
        <v>0</v>
      </c>
      <c r="BS380">
        <f>MAX(BN380:BR380)</f>
        <v>0</v>
      </c>
      <c r="BT380">
        <f>MAX(BO380:BR380)</f>
        <v>0</v>
      </c>
      <c r="BU380">
        <f>MAX(BP380:BR380)</f>
        <v>0</v>
      </c>
      <c r="BV380">
        <f>IF(ISNUMBER(AB380),INDEX(AllCollegeChicago, MATCH(N380,AllCollegeNCES,0))*BB380,0)</f>
        <v>0</v>
      </c>
      <c r="BW380">
        <f>IF(ISNUMBER(AB380),INDEX(AllCollegeMoneyCode, MATCH(N380,AllCollegeNCES,0)),"?")</f>
        <v>0</v>
      </c>
      <c r="BX380">
        <f>IF(OR(BW380="---",BW380="--",BW380="+/--",BW380="+/---"),1,0)</f>
        <v>0</v>
      </c>
      <c r="BY380">
        <f>BB380*AR380*AT380</f>
        <v>0</v>
      </c>
    </row>
    <row r="381" spans="1:77">
      <c r="A381" t="s">
        <v>96</v>
      </c>
      <c r="B381">
        <v>23334800</v>
      </c>
      <c r="C381" t="s">
        <v>324</v>
      </c>
      <c r="D381" t="s">
        <v>325</v>
      </c>
      <c r="E381" t="s">
        <v>446</v>
      </c>
      <c r="F381" t="s">
        <v>482</v>
      </c>
      <c r="G381" t="s">
        <v>448</v>
      </c>
      <c r="H381" t="s">
        <v>449</v>
      </c>
      <c r="I381" t="s">
        <v>450</v>
      </c>
      <c r="J381" t="s">
        <v>450</v>
      </c>
      <c r="K381">
        <v>0</v>
      </c>
      <c r="L381" t="s">
        <v>446</v>
      </c>
      <c r="M381" t="s">
        <v>446</v>
      </c>
      <c r="N381">
        <v>170976</v>
      </c>
      <c r="O381">
        <f>INDEX(Counselor,MATCH(B381,KidIDs,0))</f>
        <v>0</v>
      </c>
      <c r="P381">
        <f>INDEX(Advisors,MATCH(B381,KidIDs,0))</f>
        <v>0</v>
      </c>
      <c r="Q381">
        <f>INDEX(Cohort,MATCH(B381,KidIDs,0))</f>
        <v>0</v>
      </c>
      <c r="R381">
        <f>INDEX(AllCollegeBarrons,MATCH(N381,AllCollegeNCES,0))</f>
        <v>0</v>
      </c>
      <c r="S381">
        <f>INDEX(KidGPAs,MATCH(B381,KidIDs,0))</f>
        <v>0</v>
      </c>
      <c r="T381">
        <f>INDEX(KidSATs,MATCH(B381,KidIDs,0))</f>
        <v>0</v>
      </c>
      <c r="U381">
        <f>INDEX(Strats,MATCH(B381,KidIDs,0))</f>
        <v>0</v>
      </c>
      <c r="V381">
        <f>INDEX(KidRace,MATCH(B381,KidIDs,0))</f>
        <v>0</v>
      </c>
      <c r="W381">
        <f>IF(OR(V381="M",V381="I"),"H",IF(V381="P","A",V381))</f>
        <v>0</v>
      </c>
      <c r="X381">
        <f>INDEX(StudentTargets,MATCH(B381,KidIDs,0))</f>
        <v>0</v>
      </c>
      <c r="Y381">
        <f>INDEX(ReachStudentTargets,MATCH(B381,KidIDs,0))</f>
        <v>0</v>
      </c>
      <c r="Z381">
        <f>IF(OR(M381="Posse"),1,0)</f>
        <v>0</v>
      </c>
      <c r="AA381">
        <f>IF(ISNUMBER(INDEX(AllCollegeGR, MATCH(N381,AllCollegeNCES,0))),ROUND(INDEX(AllCollegeGR, MATCH(N381,AllCollegeNCES,0))+Z381*IF(INDEX(AllCollegeGR, MATCH(N381,AllCollegeNCES,0))&gt;0.7,(1-INDEX(AllCollegeGR, MATCH(N381,AllCollegeNCES,0)))/2,0.15),2),INDEX(AllCollegeGR, MATCH(N381,AllCollegeNCES,0)))</f>
        <v>0</v>
      </c>
      <c r="AB381">
        <f>IF(ISNUMBER(INDEX(AllCollegeAAHGR, MATCH(N381,AllCollegeNCES,0))),ROUND(INDEX(AllCollegeAAHGR, MATCH(N381,AllCollegeNCES,0))+Z381*IF(INDEX(AllCollegeAAHGR, MATCH(N381,AllCollegeNCES,0))&gt;0.7,(1-INDEX(AllCollegeAAHGR, MATCH(N381,AllCollegeNCES,0)))/2,0.15),2),INDEX(AllCollegeAAHGR, MATCH(N381,AllCollegeNCES,0)))</f>
        <v>0</v>
      </c>
      <c r="AC381">
        <f>IF(OR(W381="H",W381="B"),INDEX(AllCollegeSAT25, MATCH(N381,AllCollegeNCES,0)),INDEX(AllCollegeSAT50, MATCH(N381,AllCollegeNCES,0)))</f>
        <v>0</v>
      </c>
      <c r="AD381">
        <f>INDEX(CustomWeightsGPA,MATCH(W381&amp;":"&amp;N381,CustomWeightsIndex,0))</f>
        <v>0</v>
      </c>
      <c r="AE381">
        <f>INDEX(CustomWeightsSAT,MATCH(W381&amp;":"&amp;N381,CustomWeightsIndex,0))</f>
        <v>0</v>
      </c>
      <c r="AF381">
        <f>INDEX(CustomWeightsIntercept,MATCH(W381&amp;":"&amp;N381,CustomWeightsIndex,0))</f>
        <v>0</v>
      </c>
      <c r="AG381">
        <f>AD381*S381+AE381*T381+AF381</f>
        <v>0</v>
      </c>
      <c r="AH381">
        <f>INDEX(CoefficientsGPA,MATCH(W381&amp;":"&amp;R381,CoefficientsIndex,0))</f>
        <v>0</v>
      </c>
      <c r="AI381">
        <f>INDEX(CoefficientsSAT,MATCH(W381&amp;":"&amp;R381,CoefficientsIndex,0))</f>
        <v>0</v>
      </c>
      <c r="AJ381">
        <f>INDEX(CoefficientsIntercept,MATCH(W381&amp;":"&amp;R381,CoefficientsIndex,0))</f>
        <v>0</v>
      </c>
      <c r="AK381">
        <f>AH381*S381+(T381-AC381)*AI381+AJ381</f>
        <v>0</v>
      </c>
      <c r="AL381">
        <f>IF(ISNUMBER(AG381),AG381,AK381)</f>
        <v>0</v>
      </c>
      <c r="AM381">
        <f>IF(ISNUMBER(AL381),IF(ISNUMBER(AH381),IF(AND(AH381=1,AI381=1,AJ381=1),100,MIN(99,ROUND(100*EXP(AL381)/(1+EXP(AL381)),2))),MIN(99,ROUND(100*EXP(AL381)/(1+EXP(AL381)),2))),IF(ISTEXT(R381),IF(LEFT(R381,1)="2",100,"N/A"),"N/A"))</f>
        <v>0</v>
      </c>
      <c r="AN381">
        <f>IF(ISNUMBER(AM381),IF(AM381&gt;=99,IF(OR(U381=10,U381=11),MatchLabel,SureThingLabel),IF(AM381&gt;=95,SecureLabel,IF(AM381&gt;=80,SafetyLabel,IF(AM381&gt;=50,MatchLabel,IF(AM381&gt;=20,ReachLabel,IF(AM381&gt;=10,LongshotLabel,HailMaryLabel)))))),"Other")</f>
        <v>0</v>
      </c>
      <c r="AO381">
        <f>IF(OR(I381="accepted",I381="cond. accept",I381="summer admit"),IF(J381="yes","CHOICE!","Accepted!"),IF(I381="guar. transfer","Guar. Xfer",IF(I381="denied","Denied",IF(K381=1,"Waitlist",IF(L381=1,"Deferred",IF(G381="pending","Pending",IF(OR(G381="initial materials submitted",G381="mid-year submitted",G381="final submitted"),"Submitted",IF(H381="interest","Interest","?"))))))))</f>
        <v>0</v>
      </c>
      <c r="AP381">
        <f>IF(OR(AN381=ReachLabel,AN381=LongshotLabel,AN381=HailMaryLabel),1,0)</f>
        <v>0</v>
      </c>
      <c r="AQ381">
        <f>IF(OR(AP381=1,AN381=MatchLabel),1,0)</f>
        <v>0</v>
      </c>
      <c r="AR381">
        <f>IF(OR(AN381=MatchLabel,AN381=SafetyLabel,AN381=SecureLabel,AN381=SureThingLabel),1,0)</f>
        <v>0</v>
      </c>
      <c r="AS381">
        <f>IF(OR(W381="H",W381="B",W381="I",W381="M"),IF(ISNUMBER(AB381),ROUND(AB381,2),0),IF(ISNUMBER(AA381),ROUND(AA381,2),0))</f>
        <v>0</v>
      </c>
      <c r="AT381">
        <f>IF(AS381&gt;=X381,1,0)</f>
        <v>0</v>
      </c>
      <c r="AU381">
        <f>IF(AS381&gt;=Y381,1,0)</f>
        <v>0</v>
      </c>
      <c r="AV381">
        <f>IF(AS381&lt;(X381-0.10),1,0)</f>
        <v>0</v>
      </c>
      <c r="AW381">
        <f>1-AM381/100</f>
        <v>0</v>
      </c>
      <c r="AX381">
        <f>IF(AQ381=1,AW381,1)</f>
        <v>0</v>
      </c>
      <c r="AY381">
        <f>IF(AP381=1,AW381,1)</f>
        <v>0</v>
      </c>
      <c r="AZ381">
        <f>IF(AND(AT381=1,ISNUMBER(AW381)),$AW381,1)</f>
        <v>0</v>
      </c>
      <c r="BA381">
        <f>IF(AND(AU381=1,ISNUMBER(AW381)),$AW381,1)</f>
        <v>0</v>
      </c>
      <c r="BB381">
        <f>IF(ISNUMBER(AB381),INDEX(AllCollegeMoney, MATCH(N381,AllCollegeNCES,0)),0)</f>
        <v>0</v>
      </c>
      <c r="BC381">
        <f>IF(AND(AT381=1,ISNUMBER(AW381),BB381=1),$AW381,1)</f>
        <v>0</v>
      </c>
      <c r="BD381">
        <f>IF(AND(AU381=1,ISNUMBER(AW381),BB381=1),$AW381,1)</f>
        <v>0</v>
      </c>
      <c r="BE381">
        <f>IF(ISNUMBER(AB381),INDEX(AllCollegeILPub, MATCH(N381,AllCollegeNCES,0)),0)</f>
        <v>0</v>
      </c>
      <c r="BF381">
        <f>IF(AN381=ReachLabel,AS381,0)</f>
        <v>0</v>
      </c>
      <c r="BG381">
        <f>IF(AN381=MatchLabel,AS381,0)</f>
        <v>0</v>
      </c>
      <c r="BH381">
        <f>IF(AN381=SafetyLabel,AS381,0)</f>
        <v>0</v>
      </c>
      <c r="BI381">
        <f>IF(AN381=SecureLabel,AS381,0)</f>
        <v>0</v>
      </c>
      <c r="BJ381">
        <f>IF(AN381=SureThingLabel,AS381,0)</f>
        <v>0</v>
      </c>
      <c r="BK381">
        <f>MAX(BF381:BJ381)</f>
        <v>0</v>
      </c>
      <c r="BL381">
        <f>MAX(BG381:BJ381)</f>
        <v>0</v>
      </c>
      <c r="BM381">
        <f>MAX(BH381:BJ381)</f>
        <v>0</v>
      </c>
      <c r="BN381">
        <f>IF(AND(AN381=ReachLabel,BB381=1),AS381,0)</f>
        <v>0</v>
      </c>
      <c r="BO381">
        <f>IF(AND(AN381=MatchLabel,BB381=1),AS381,0)</f>
        <v>0</v>
      </c>
      <c r="BP381">
        <f>IF(AND(AN381=SafetyLabel,BB381=1),AS381,0)</f>
        <v>0</v>
      </c>
      <c r="BQ381">
        <f>IF(AND(AN381=SecureLabel,BB381=1),AS381,0)</f>
        <v>0</v>
      </c>
      <c r="BR381">
        <f>IF(AND(AN381=SureThingLabel,BB381=1),AS381,0)</f>
        <v>0</v>
      </c>
      <c r="BS381">
        <f>MAX(BN381:BR381)</f>
        <v>0</v>
      </c>
      <c r="BT381">
        <f>MAX(BO381:BR381)</f>
        <v>0</v>
      </c>
      <c r="BU381">
        <f>MAX(BP381:BR381)</f>
        <v>0</v>
      </c>
      <c r="BV381">
        <f>IF(ISNUMBER(AB381),INDEX(AllCollegeChicago, MATCH(N381,AllCollegeNCES,0))*BB381,0)</f>
        <v>0</v>
      </c>
      <c r="BW381">
        <f>IF(ISNUMBER(AB381),INDEX(AllCollegeMoneyCode, MATCH(N381,AllCollegeNCES,0)),"?")</f>
        <v>0</v>
      </c>
      <c r="BX381">
        <f>IF(OR(BW381="---",BW381="--",BW381="+/--",BW381="+/---"),1,0)</f>
        <v>0</v>
      </c>
      <c r="BY381">
        <f>BB381*AR381*AT381</f>
        <v>0</v>
      </c>
    </row>
    <row r="382" spans="1:77">
      <c r="A382" t="s">
        <v>96</v>
      </c>
      <c r="B382">
        <v>23334800</v>
      </c>
      <c r="C382" t="s">
        <v>324</v>
      </c>
      <c r="D382" t="s">
        <v>325</v>
      </c>
      <c r="E382" t="s">
        <v>446</v>
      </c>
      <c r="F382" t="s">
        <v>499</v>
      </c>
      <c r="G382" t="s">
        <v>448</v>
      </c>
      <c r="H382" t="s">
        <v>449</v>
      </c>
      <c r="I382" t="s">
        <v>450</v>
      </c>
      <c r="J382" t="s">
        <v>450</v>
      </c>
      <c r="K382">
        <v>0</v>
      </c>
      <c r="L382" t="s">
        <v>446</v>
      </c>
      <c r="M382" t="s">
        <v>446</v>
      </c>
      <c r="N382">
        <v>173902</v>
      </c>
      <c r="O382">
        <f>INDEX(Counselor,MATCH(B382,KidIDs,0))</f>
        <v>0</v>
      </c>
      <c r="P382">
        <f>INDEX(Advisors,MATCH(B382,KidIDs,0))</f>
        <v>0</v>
      </c>
      <c r="Q382">
        <f>INDEX(Cohort,MATCH(B382,KidIDs,0))</f>
        <v>0</v>
      </c>
      <c r="R382">
        <f>INDEX(AllCollegeBarrons,MATCH(N382,AllCollegeNCES,0))</f>
        <v>0</v>
      </c>
      <c r="S382">
        <f>INDEX(KidGPAs,MATCH(B382,KidIDs,0))</f>
        <v>0</v>
      </c>
      <c r="T382">
        <f>INDEX(KidSATs,MATCH(B382,KidIDs,0))</f>
        <v>0</v>
      </c>
      <c r="U382">
        <f>INDEX(Strats,MATCH(B382,KidIDs,0))</f>
        <v>0</v>
      </c>
      <c r="V382">
        <f>INDEX(KidRace,MATCH(B382,KidIDs,0))</f>
        <v>0</v>
      </c>
      <c r="W382">
        <f>IF(OR(V382="M",V382="I"),"H",IF(V382="P","A",V382))</f>
        <v>0</v>
      </c>
      <c r="X382">
        <f>INDEX(StudentTargets,MATCH(B382,KidIDs,0))</f>
        <v>0</v>
      </c>
      <c r="Y382">
        <f>INDEX(ReachStudentTargets,MATCH(B382,KidIDs,0))</f>
        <v>0</v>
      </c>
      <c r="Z382">
        <f>IF(OR(M382="Posse"),1,0)</f>
        <v>0</v>
      </c>
      <c r="AA382">
        <f>IF(ISNUMBER(INDEX(AllCollegeGR, MATCH(N382,AllCollegeNCES,0))),ROUND(INDEX(AllCollegeGR, MATCH(N382,AllCollegeNCES,0))+Z382*IF(INDEX(AllCollegeGR, MATCH(N382,AllCollegeNCES,0))&gt;0.7,(1-INDEX(AllCollegeGR, MATCH(N382,AllCollegeNCES,0)))/2,0.15),2),INDEX(AllCollegeGR, MATCH(N382,AllCollegeNCES,0)))</f>
        <v>0</v>
      </c>
      <c r="AB382">
        <f>IF(ISNUMBER(INDEX(AllCollegeAAHGR, MATCH(N382,AllCollegeNCES,0))),ROUND(INDEX(AllCollegeAAHGR, MATCH(N382,AllCollegeNCES,0))+Z382*IF(INDEX(AllCollegeAAHGR, MATCH(N382,AllCollegeNCES,0))&gt;0.7,(1-INDEX(AllCollegeAAHGR, MATCH(N382,AllCollegeNCES,0)))/2,0.15),2),INDEX(AllCollegeAAHGR, MATCH(N382,AllCollegeNCES,0)))</f>
        <v>0</v>
      </c>
      <c r="AC382">
        <f>IF(OR(W382="H",W382="B"),INDEX(AllCollegeSAT25, MATCH(N382,AllCollegeNCES,0)),INDEX(AllCollegeSAT50, MATCH(N382,AllCollegeNCES,0)))</f>
        <v>0</v>
      </c>
      <c r="AD382">
        <f>INDEX(CustomWeightsGPA,MATCH(W382&amp;":"&amp;N382,CustomWeightsIndex,0))</f>
        <v>0</v>
      </c>
      <c r="AE382">
        <f>INDEX(CustomWeightsSAT,MATCH(W382&amp;":"&amp;N382,CustomWeightsIndex,0))</f>
        <v>0</v>
      </c>
      <c r="AF382">
        <f>INDEX(CustomWeightsIntercept,MATCH(W382&amp;":"&amp;N382,CustomWeightsIndex,0))</f>
        <v>0</v>
      </c>
      <c r="AG382">
        <f>AD382*S382+AE382*T382+AF382</f>
        <v>0</v>
      </c>
      <c r="AH382">
        <f>INDEX(CoefficientsGPA,MATCH(W382&amp;":"&amp;R382,CoefficientsIndex,0))</f>
        <v>0</v>
      </c>
      <c r="AI382">
        <f>INDEX(CoefficientsSAT,MATCH(W382&amp;":"&amp;R382,CoefficientsIndex,0))</f>
        <v>0</v>
      </c>
      <c r="AJ382">
        <f>INDEX(CoefficientsIntercept,MATCH(W382&amp;":"&amp;R382,CoefficientsIndex,0))</f>
        <v>0</v>
      </c>
      <c r="AK382">
        <f>AH382*S382+(T382-AC382)*AI382+AJ382</f>
        <v>0</v>
      </c>
      <c r="AL382">
        <f>IF(ISNUMBER(AG382),AG382,AK382)</f>
        <v>0</v>
      </c>
      <c r="AM382">
        <f>IF(ISNUMBER(AL382),IF(ISNUMBER(AH382),IF(AND(AH382=1,AI382=1,AJ382=1),100,MIN(99,ROUND(100*EXP(AL382)/(1+EXP(AL382)),2))),MIN(99,ROUND(100*EXP(AL382)/(1+EXP(AL382)),2))),IF(ISTEXT(R382),IF(LEFT(R382,1)="2",100,"N/A"),"N/A"))</f>
        <v>0</v>
      </c>
      <c r="AN382">
        <f>IF(ISNUMBER(AM382),IF(AM382&gt;=99,IF(OR(U382=10,U382=11),MatchLabel,SureThingLabel),IF(AM382&gt;=95,SecureLabel,IF(AM382&gt;=80,SafetyLabel,IF(AM382&gt;=50,MatchLabel,IF(AM382&gt;=20,ReachLabel,IF(AM382&gt;=10,LongshotLabel,HailMaryLabel)))))),"Other")</f>
        <v>0</v>
      </c>
      <c r="AO382">
        <f>IF(OR(I382="accepted",I382="cond. accept",I382="summer admit"),IF(J382="yes","CHOICE!","Accepted!"),IF(I382="guar. transfer","Guar. Xfer",IF(I382="denied","Denied",IF(K382=1,"Waitlist",IF(L382=1,"Deferred",IF(G382="pending","Pending",IF(OR(G382="initial materials submitted",G382="mid-year submitted",G382="final submitted"),"Submitted",IF(H382="interest","Interest","?"))))))))</f>
        <v>0</v>
      </c>
      <c r="AP382">
        <f>IF(OR(AN382=ReachLabel,AN382=LongshotLabel,AN382=HailMaryLabel),1,0)</f>
        <v>0</v>
      </c>
      <c r="AQ382">
        <f>IF(OR(AP382=1,AN382=MatchLabel),1,0)</f>
        <v>0</v>
      </c>
      <c r="AR382">
        <f>IF(OR(AN382=MatchLabel,AN382=SafetyLabel,AN382=SecureLabel,AN382=SureThingLabel),1,0)</f>
        <v>0</v>
      </c>
      <c r="AS382">
        <f>IF(OR(W382="H",W382="B",W382="I",W382="M"),IF(ISNUMBER(AB382),ROUND(AB382,2),0),IF(ISNUMBER(AA382),ROUND(AA382,2),0))</f>
        <v>0</v>
      </c>
      <c r="AT382">
        <f>IF(AS382&gt;=X382,1,0)</f>
        <v>0</v>
      </c>
      <c r="AU382">
        <f>IF(AS382&gt;=Y382,1,0)</f>
        <v>0</v>
      </c>
      <c r="AV382">
        <f>IF(AS382&lt;(X382-0.10),1,0)</f>
        <v>0</v>
      </c>
      <c r="AW382">
        <f>1-AM382/100</f>
        <v>0</v>
      </c>
      <c r="AX382">
        <f>IF(AQ382=1,AW382,1)</f>
        <v>0</v>
      </c>
      <c r="AY382">
        <f>IF(AP382=1,AW382,1)</f>
        <v>0</v>
      </c>
      <c r="AZ382">
        <f>IF(AND(AT382=1,ISNUMBER(AW382)),$AW382,1)</f>
        <v>0</v>
      </c>
      <c r="BA382">
        <f>IF(AND(AU382=1,ISNUMBER(AW382)),$AW382,1)</f>
        <v>0</v>
      </c>
      <c r="BB382">
        <f>IF(ISNUMBER(AB382),INDEX(AllCollegeMoney, MATCH(N382,AllCollegeNCES,0)),0)</f>
        <v>0</v>
      </c>
      <c r="BC382">
        <f>IF(AND(AT382=1,ISNUMBER(AW382),BB382=1),$AW382,1)</f>
        <v>0</v>
      </c>
      <c r="BD382">
        <f>IF(AND(AU382=1,ISNUMBER(AW382),BB382=1),$AW382,1)</f>
        <v>0</v>
      </c>
      <c r="BE382">
        <f>IF(ISNUMBER(AB382),INDEX(AllCollegeILPub, MATCH(N382,AllCollegeNCES,0)),0)</f>
        <v>0</v>
      </c>
      <c r="BF382">
        <f>IF(AN382=ReachLabel,AS382,0)</f>
        <v>0</v>
      </c>
      <c r="BG382">
        <f>IF(AN382=MatchLabel,AS382,0)</f>
        <v>0</v>
      </c>
      <c r="BH382">
        <f>IF(AN382=SafetyLabel,AS382,0)</f>
        <v>0</v>
      </c>
      <c r="BI382">
        <f>IF(AN382=SecureLabel,AS382,0)</f>
        <v>0</v>
      </c>
      <c r="BJ382">
        <f>IF(AN382=SureThingLabel,AS382,0)</f>
        <v>0</v>
      </c>
      <c r="BK382">
        <f>MAX(BF382:BJ382)</f>
        <v>0</v>
      </c>
      <c r="BL382">
        <f>MAX(BG382:BJ382)</f>
        <v>0</v>
      </c>
      <c r="BM382">
        <f>MAX(BH382:BJ382)</f>
        <v>0</v>
      </c>
      <c r="BN382">
        <f>IF(AND(AN382=ReachLabel,BB382=1),AS382,0)</f>
        <v>0</v>
      </c>
      <c r="BO382">
        <f>IF(AND(AN382=MatchLabel,BB382=1),AS382,0)</f>
        <v>0</v>
      </c>
      <c r="BP382">
        <f>IF(AND(AN382=SafetyLabel,BB382=1),AS382,0)</f>
        <v>0</v>
      </c>
      <c r="BQ382">
        <f>IF(AND(AN382=SecureLabel,BB382=1),AS382,0)</f>
        <v>0</v>
      </c>
      <c r="BR382">
        <f>IF(AND(AN382=SureThingLabel,BB382=1),AS382,0)</f>
        <v>0</v>
      </c>
      <c r="BS382">
        <f>MAX(BN382:BR382)</f>
        <v>0</v>
      </c>
      <c r="BT382">
        <f>MAX(BO382:BR382)</f>
        <v>0</v>
      </c>
      <c r="BU382">
        <f>MAX(BP382:BR382)</f>
        <v>0</v>
      </c>
      <c r="BV382">
        <f>IF(ISNUMBER(AB382),INDEX(AllCollegeChicago, MATCH(N382,AllCollegeNCES,0))*BB382,0)</f>
        <v>0</v>
      </c>
      <c r="BW382">
        <f>IF(ISNUMBER(AB382),INDEX(AllCollegeMoneyCode, MATCH(N382,AllCollegeNCES,0)),"?")</f>
        <v>0</v>
      </c>
      <c r="BX382">
        <f>IF(OR(BW382="---",BW382="--",BW382="+/--",BW382="+/---"),1,0)</f>
        <v>0</v>
      </c>
      <c r="BY382">
        <f>BB382*AR382*AT382</f>
        <v>0</v>
      </c>
    </row>
    <row r="383" spans="1:77">
      <c r="A383" t="s">
        <v>96</v>
      </c>
      <c r="B383">
        <v>23334800</v>
      </c>
      <c r="C383" t="s">
        <v>324</v>
      </c>
      <c r="D383" t="s">
        <v>325</v>
      </c>
      <c r="E383" t="s">
        <v>446</v>
      </c>
      <c r="F383" t="s">
        <v>470</v>
      </c>
      <c r="G383" t="s">
        <v>448</v>
      </c>
      <c r="H383" t="s">
        <v>449</v>
      </c>
      <c r="I383" t="s">
        <v>450</v>
      </c>
      <c r="J383" t="s">
        <v>450</v>
      </c>
      <c r="K383">
        <v>0</v>
      </c>
      <c r="L383" t="s">
        <v>446</v>
      </c>
      <c r="M383" t="s">
        <v>446</v>
      </c>
      <c r="N383">
        <v>240444</v>
      </c>
      <c r="O383">
        <f>INDEX(Counselor,MATCH(B383,KidIDs,0))</f>
        <v>0</v>
      </c>
      <c r="P383">
        <f>INDEX(Advisors,MATCH(B383,KidIDs,0))</f>
        <v>0</v>
      </c>
      <c r="Q383">
        <f>INDEX(Cohort,MATCH(B383,KidIDs,0))</f>
        <v>0</v>
      </c>
      <c r="R383">
        <f>INDEX(AllCollegeBarrons,MATCH(N383,AllCollegeNCES,0))</f>
        <v>0</v>
      </c>
      <c r="S383">
        <f>INDEX(KidGPAs,MATCH(B383,KidIDs,0))</f>
        <v>0</v>
      </c>
      <c r="T383">
        <f>INDEX(KidSATs,MATCH(B383,KidIDs,0))</f>
        <v>0</v>
      </c>
      <c r="U383">
        <f>INDEX(Strats,MATCH(B383,KidIDs,0))</f>
        <v>0</v>
      </c>
      <c r="V383">
        <f>INDEX(KidRace,MATCH(B383,KidIDs,0))</f>
        <v>0</v>
      </c>
      <c r="W383">
        <f>IF(OR(V383="M",V383="I"),"H",IF(V383="P","A",V383))</f>
        <v>0</v>
      </c>
      <c r="X383">
        <f>INDEX(StudentTargets,MATCH(B383,KidIDs,0))</f>
        <v>0</v>
      </c>
      <c r="Y383">
        <f>INDEX(ReachStudentTargets,MATCH(B383,KidIDs,0))</f>
        <v>0</v>
      </c>
      <c r="Z383">
        <f>IF(OR(M383="Posse"),1,0)</f>
        <v>0</v>
      </c>
      <c r="AA383">
        <f>IF(ISNUMBER(INDEX(AllCollegeGR, MATCH(N383,AllCollegeNCES,0))),ROUND(INDEX(AllCollegeGR, MATCH(N383,AllCollegeNCES,0))+Z383*IF(INDEX(AllCollegeGR, MATCH(N383,AllCollegeNCES,0))&gt;0.7,(1-INDEX(AllCollegeGR, MATCH(N383,AllCollegeNCES,0)))/2,0.15),2),INDEX(AllCollegeGR, MATCH(N383,AllCollegeNCES,0)))</f>
        <v>0</v>
      </c>
      <c r="AB383">
        <f>IF(ISNUMBER(INDEX(AllCollegeAAHGR, MATCH(N383,AllCollegeNCES,0))),ROUND(INDEX(AllCollegeAAHGR, MATCH(N383,AllCollegeNCES,0))+Z383*IF(INDEX(AllCollegeAAHGR, MATCH(N383,AllCollegeNCES,0))&gt;0.7,(1-INDEX(AllCollegeAAHGR, MATCH(N383,AllCollegeNCES,0)))/2,0.15),2),INDEX(AllCollegeAAHGR, MATCH(N383,AllCollegeNCES,0)))</f>
        <v>0</v>
      </c>
      <c r="AC383">
        <f>IF(OR(W383="H",W383="B"),INDEX(AllCollegeSAT25, MATCH(N383,AllCollegeNCES,0)),INDEX(AllCollegeSAT50, MATCH(N383,AllCollegeNCES,0)))</f>
        <v>0</v>
      </c>
      <c r="AD383">
        <f>INDEX(CustomWeightsGPA,MATCH(W383&amp;":"&amp;N383,CustomWeightsIndex,0))</f>
        <v>0</v>
      </c>
      <c r="AE383">
        <f>INDEX(CustomWeightsSAT,MATCH(W383&amp;":"&amp;N383,CustomWeightsIndex,0))</f>
        <v>0</v>
      </c>
      <c r="AF383">
        <f>INDEX(CustomWeightsIntercept,MATCH(W383&amp;":"&amp;N383,CustomWeightsIndex,0))</f>
        <v>0</v>
      </c>
      <c r="AG383">
        <f>AD383*S383+AE383*T383+AF383</f>
        <v>0</v>
      </c>
      <c r="AH383">
        <f>INDEX(CoefficientsGPA,MATCH(W383&amp;":"&amp;R383,CoefficientsIndex,0))</f>
        <v>0</v>
      </c>
      <c r="AI383">
        <f>INDEX(CoefficientsSAT,MATCH(W383&amp;":"&amp;R383,CoefficientsIndex,0))</f>
        <v>0</v>
      </c>
      <c r="AJ383">
        <f>INDEX(CoefficientsIntercept,MATCH(W383&amp;":"&amp;R383,CoefficientsIndex,0))</f>
        <v>0</v>
      </c>
      <c r="AK383">
        <f>AH383*S383+(T383-AC383)*AI383+AJ383</f>
        <v>0</v>
      </c>
      <c r="AL383">
        <f>IF(ISNUMBER(AG383),AG383,AK383)</f>
        <v>0</v>
      </c>
      <c r="AM383">
        <f>IF(ISNUMBER(AL383),IF(ISNUMBER(AH383),IF(AND(AH383=1,AI383=1,AJ383=1),100,MIN(99,ROUND(100*EXP(AL383)/(1+EXP(AL383)),2))),MIN(99,ROUND(100*EXP(AL383)/(1+EXP(AL383)),2))),IF(ISTEXT(R383),IF(LEFT(R383,1)="2",100,"N/A"),"N/A"))</f>
        <v>0</v>
      </c>
      <c r="AN383">
        <f>IF(ISNUMBER(AM383),IF(AM383&gt;=99,IF(OR(U383=10,U383=11),MatchLabel,SureThingLabel),IF(AM383&gt;=95,SecureLabel,IF(AM383&gt;=80,SafetyLabel,IF(AM383&gt;=50,MatchLabel,IF(AM383&gt;=20,ReachLabel,IF(AM383&gt;=10,LongshotLabel,HailMaryLabel)))))),"Other")</f>
        <v>0</v>
      </c>
      <c r="AO383">
        <f>IF(OR(I383="accepted",I383="cond. accept",I383="summer admit"),IF(J383="yes","CHOICE!","Accepted!"),IF(I383="guar. transfer","Guar. Xfer",IF(I383="denied","Denied",IF(K383=1,"Waitlist",IF(L383=1,"Deferred",IF(G383="pending","Pending",IF(OR(G383="initial materials submitted",G383="mid-year submitted",G383="final submitted"),"Submitted",IF(H383="interest","Interest","?"))))))))</f>
        <v>0</v>
      </c>
      <c r="AP383">
        <f>IF(OR(AN383=ReachLabel,AN383=LongshotLabel,AN383=HailMaryLabel),1,0)</f>
        <v>0</v>
      </c>
      <c r="AQ383">
        <f>IF(OR(AP383=1,AN383=MatchLabel),1,0)</f>
        <v>0</v>
      </c>
      <c r="AR383">
        <f>IF(OR(AN383=MatchLabel,AN383=SafetyLabel,AN383=SecureLabel,AN383=SureThingLabel),1,0)</f>
        <v>0</v>
      </c>
      <c r="AS383">
        <f>IF(OR(W383="H",W383="B",W383="I",W383="M"),IF(ISNUMBER(AB383),ROUND(AB383,2),0),IF(ISNUMBER(AA383),ROUND(AA383,2),0))</f>
        <v>0</v>
      </c>
      <c r="AT383">
        <f>IF(AS383&gt;=X383,1,0)</f>
        <v>0</v>
      </c>
      <c r="AU383">
        <f>IF(AS383&gt;=Y383,1,0)</f>
        <v>0</v>
      </c>
      <c r="AV383">
        <f>IF(AS383&lt;(X383-0.10),1,0)</f>
        <v>0</v>
      </c>
      <c r="AW383">
        <f>1-AM383/100</f>
        <v>0</v>
      </c>
      <c r="AX383">
        <f>IF(AQ383=1,AW383,1)</f>
        <v>0</v>
      </c>
      <c r="AY383">
        <f>IF(AP383=1,AW383,1)</f>
        <v>0</v>
      </c>
      <c r="AZ383">
        <f>IF(AND(AT383=1,ISNUMBER(AW383)),$AW383,1)</f>
        <v>0</v>
      </c>
      <c r="BA383">
        <f>IF(AND(AU383=1,ISNUMBER(AW383)),$AW383,1)</f>
        <v>0</v>
      </c>
      <c r="BB383">
        <f>IF(ISNUMBER(AB383),INDEX(AllCollegeMoney, MATCH(N383,AllCollegeNCES,0)),0)</f>
        <v>0</v>
      </c>
      <c r="BC383">
        <f>IF(AND(AT383=1,ISNUMBER(AW383),BB383=1),$AW383,1)</f>
        <v>0</v>
      </c>
      <c r="BD383">
        <f>IF(AND(AU383=1,ISNUMBER(AW383),BB383=1),$AW383,1)</f>
        <v>0</v>
      </c>
      <c r="BE383">
        <f>IF(ISNUMBER(AB383),INDEX(AllCollegeILPub, MATCH(N383,AllCollegeNCES,0)),0)</f>
        <v>0</v>
      </c>
      <c r="BF383">
        <f>IF(AN383=ReachLabel,AS383,0)</f>
        <v>0</v>
      </c>
      <c r="BG383">
        <f>IF(AN383=MatchLabel,AS383,0)</f>
        <v>0</v>
      </c>
      <c r="BH383">
        <f>IF(AN383=SafetyLabel,AS383,0)</f>
        <v>0</v>
      </c>
      <c r="BI383">
        <f>IF(AN383=SecureLabel,AS383,0)</f>
        <v>0</v>
      </c>
      <c r="BJ383">
        <f>IF(AN383=SureThingLabel,AS383,0)</f>
        <v>0</v>
      </c>
      <c r="BK383">
        <f>MAX(BF383:BJ383)</f>
        <v>0</v>
      </c>
      <c r="BL383">
        <f>MAX(BG383:BJ383)</f>
        <v>0</v>
      </c>
      <c r="BM383">
        <f>MAX(BH383:BJ383)</f>
        <v>0</v>
      </c>
      <c r="BN383">
        <f>IF(AND(AN383=ReachLabel,BB383=1),AS383,0)</f>
        <v>0</v>
      </c>
      <c r="BO383">
        <f>IF(AND(AN383=MatchLabel,BB383=1),AS383,0)</f>
        <v>0</v>
      </c>
      <c r="BP383">
        <f>IF(AND(AN383=SafetyLabel,BB383=1),AS383,0)</f>
        <v>0</v>
      </c>
      <c r="BQ383">
        <f>IF(AND(AN383=SecureLabel,BB383=1),AS383,0)</f>
        <v>0</v>
      </c>
      <c r="BR383">
        <f>IF(AND(AN383=SureThingLabel,BB383=1),AS383,0)</f>
        <v>0</v>
      </c>
      <c r="BS383">
        <f>MAX(BN383:BR383)</f>
        <v>0</v>
      </c>
      <c r="BT383">
        <f>MAX(BO383:BR383)</f>
        <v>0</v>
      </c>
      <c r="BU383">
        <f>MAX(BP383:BR383)</f>
        <v>0</v>
      </c>
      <c r="BV383">
        <f>IF(ISNUMBER(AB383),INDEX(AllCollegeChicago, MATCH(N383,AllCollegeNCES,0))*BB383,0)</f>
        <v>0</v>
      </c>
      <c r="BW383">
        <f>IF(ISNUMBER(AB383),INDEX(AllCollegeMoneyCode, MATCH(N383,AllCollegeNCES,0)),"?")</f>
        <v>0</v>
      </c>
      <c r="BX383">
        <f>IF(OR(BW383="---",BW383="--",BW383="+/--",BW383="+/---"),1,0)</f>
        <v>0</v>
      </c>
      <c r="BY383">
        <f>BB383*AR383*AT383</f>
        <v>0</v>
      </c>
    </row>
    <row r="384" spans="1:77">
      <c r="A384" t="s">
        <v>96</v>
      </c>
      <c r="B384">
        <v>23334800</v>
      </c>
      <c r="C384" t="s">
        <v>324</v>
      </c>
      <c r="D384" t="s">
        <v>325</v>
      </c>
      <c r="E384" t="s">
        <v>446</v>
      </c>
      <c r="F384" t="s">
        <v>484</v>
      </c>
      <c r="G384" t="s">
        <v>448</v>
      </c>
      <c r="H384" t="s">
        <v>449</v>
      </c>
      <c r="I384" t="s">
        <v>450</v>
      </c>
      <c r="J384" t="s">
        <v>450</v>
      </c>
      <c r="K384">
        <v>0</v>
      </c>
      <c r="L384" t="s">
        <v>446</v>
      </c>
      <c r="M384" t="s">
        <v>446</v>
      </c>
      <c r="N384">
        <v>213385</v>
      </c>
      <c r="O384">
        <f>INDEX(Counselor,MATCH(B384,KidIDs,0))</f>
        <v>0</v>
      </c>
      <c r="P384">
        <f>INDEX(Advisors,MATCH(B384,KidIDs,0))</f>
        <v>0</v>
      </c>
      <c r="Q384">
        <f>INDEX(Cohort,MATCH(B384,KidIDs,0))</f>
        <v>0</v>
      </c>
      <c r="R384">
        <f>INDEX(AllCollegeBarrons,MATCH(N384,AllCollegeNCES,0))</f>
        <v>0</v>
      </c>
      <c r="S384">
        <f>INDEX(KidGPAs,MATCH(B384,KidIDs,0))</f>
        <v>0</v>
      </c>
      <c r="T384">
        <f>INDEX(KidSATs,MATCH(B384,KidIDs,0))</f>
        <v>0</v>
      </c>
      <c r="U384">
        <f>INDEX(Strats,MATCH(B384,KidIDs,0))</f>
        <v>0</v>
      </c>
      <c r="V384">
        <f>INDEX(KidRace,MATCH(B384,KidIDs,0))</f>
        <v>0</v>
      </c>
      <c r="W384">
        <f>IF(OR(V384="M",V384="I"),"H",IF(V384="P","A",V384))</f>
        <v>0</v>
      </c>
      <c r="X384">
        <f>INDEX(StudentTargets,MATCH(B384,KidIDs,0))</f>
        <v>0</v>
      </c>
      <c r="Y384">
        <f>INDEX(ReachStudentTargets,MATCH(B384,KidIDs,0))</f>
        <v>0</v>
      </c>
      <c r="Z384">
        <f>IF(OR(M384="Posse"),1,0)</f>
        <v>0</v>
      </c>
      <c r="AA384">
        <f>IF(ISNUMBER(INDEX(AllCollegeGR, MATCH(N384,AllCollegeNCES,0))),ROUND(INDEX(AllCollegeGR, MATCH(N384,AllCollegeNCES,0))+Z384*IF(INDEX(AllCollegeGR, MATCH(N384,AllCollegeNCES,0))&gt;0.7,(1-INDEX(AllCollegeGR, MATCH(N384,AllCollegeNCES,0)))/2,0.15),2),INDEX(AllCollegeGR, MATCH(N384,AllCollegeNCES,0)))</f>
        <v>0</v>
      </c>
      <c r="AB384">
        <f>IF(ISNUMBER(INDEX(AllCollegeAAHGR, MATCH(N384,AllCollegeNCES,0))),ROUND(INDEX(AllCollegeAAHGR, MATCH(N384,AllCollegeNCES,0))+Z384*IF(INDEX(AllCollegeAAHGR, MATCH(N384,AllCollegeNCES,0))&gt;0.7,(1-INDEX(AllCollegeAAHGR, MATCH(N384,AllCollegeNCES,0)))/2,0.15),2),INDEX(AllCollegeAAHGR, MATCH(N384,AllCollegeNCES,0)))</f>
        <v>0</v>
      </c>
      <c r="AC384">
        <f>IF(OR(W384="H",W384="B"),INDEX(AllCollegeSAT25, MATCH(N384,AllCollegeNCES,0)),INDEX(AllCollegeSAT50, MATCH(N384,AllCollegeNCES,0)))</f>
        <v>0</v>
      </c>
      <c r="AD384">
        <f>INDEX(CustomWeightsGPA,MATCH(W384&amp;":"&amp;N384,CustomWeightsIndex,0))</f>
        <v>0</v>
      </c>
      <c r="AE384">
        <f>INDEX(CustomWeightsSAT,MATCH(W384&amp;":"&amp;N384,CustomWeightsIndex,0))</f>
        <v>0</v>
      </c>
      <c r="AF384">
        <f>INDEX(CustomWeightsIntercept,MATCH(W384&amp;":"&amp;N384,CustomWeightsIndex,0))</f>
        <v>0</v>
      </c>
      <c r="AG384">
        <f>AD384*S384+AE384*T384+AF384</f>
        <v>0</v>
      </c>
      <c r="AH384">
        <f>INDEX(CoefficientsGPA,MATCH(W384&amp;":"&amp;R384,CoefficientsIndex,0))</f>
        <v>0</v>
      </c>
      <c r="AI384">
        <f>INDEX(CoefficientsSAT,MATCH(W384&amp;":"&amp;R384,CoefficientsIndex,0))</f>
        <v>0</v>
      </c>
      <c r="AJ384">
        <f>INDEX(CoefficientsIntercept,MATCH(W384&amp;":"&amp;R384,CoefficientsIndex,0))</f>
        <v>0</v>
      </c>
      <c r="AK384">
        <f>AH384*S384+(T384-AC384)*AI384+AJ384</f>
        <v>0</v>
      </c>
      <c r="AL384">
        <f>IF(ISNUMBER(AG384),AG384,AK384)</f>
        <v>0</v>
      </c>
      <c r="AM384">
        <f>IF(ISNUMBER(AL384),IF(ISNUMBER(AH384),IF(AND(AH384=1,AI384=1,AJ384=1),100,MIN(99,ROUND(100*EXP(AL384)/(1+EXP(AL384)),2))),MIN(99,ROUND(100*EXP(AL384)/(1+EXP(AL384)),2))),IF(ISTEXT(R384),IF(LEFT(R384,1)="2",100,"N/A"),"N/A"))</f>
        <v>0</v>
      </c>
      <c r="AN384">
        <f>IF(ISNUMBER(AM384),IF(AM384&gt;=99,IF(OR(U384=10,U384=11),MatchLabel,SureThingLabel),IF(AM384&gt;=95,SecureLabel,IF(AM384&gt;=80,SafetyLabel,IF(AM384&gt;=50,MatchLabel,IF(AM384&gt;=20,ReachLabel,IF(AM384&gt;=10,LongshotLabel,HailMaryLabel)))))),"Other")</f>
        <v>0</v>
      </c>
      <c r="AO384">
        <f>IF(OR(I384="accepted",I384="cond. accept",I384="summer admit"),IF(J384="yes","CHOICE!","Accepted!"),IF(I384="guar. transfer","Guar. Xfer",IF(I384="denied","Denied",IF(K384=1,"Waitlist",IF(L384=1,"Deferred",IF(G384="pending","Pending",IF(OR(G384="initial materials submitted",G384="mid-year submitted",G384="final submitted"),"Submitted",IF(H384="interest","Interest","?"))))))))</f>
        <v>0</v>
      </c>
      <c r="AP384">
        <f>IF(OR(AN384=ReachLabel,AN384=LongshotLabel,AN384=HailMaryLabel),1,0)</f>
        <v>0</v>
      </c>
      <c r="AQ384">
        <f>IF(OR(AP384=1,AN384=MatchLabel),1,0)</f>
        <v>0</v>
      </c>
      <c r="AR384">
        <f>IF(OR(AN384=MatchLabel,AN384=SafetyLabel,AN384=SecureLabel,AN384=SureThingLabel),1,0)</f>
        <v>0</v>
      </c>
      <c r="AS384">
        <f>IF(OR(W384="H",W384="B",W384="I",W384="M"),IF(ISNUMBER(AB384),ROUND(AB384,2),0),IF(ISNUMBER(AA384),ROUND(AA384,2),0))</f>
        <v>0</v>
      </c>
      <c r="AT384">
        <f>IF(AS384&gt;=X384,1,0)</f>
        <v>0</v>
      </c>
      <c r="AU384">
        <f>IF(AS384&gt;=Y384,1,0)</f>
        <v>0</v>
      </c>
      <c r="AV384">
        <f>IF(AS384&lt;(X384-0.10),1,0)</f>
        <v>0</v>
      </c>
      <c r="AW384">
        <f>1-AM384/100</f>
        <v>0</v>
      </c>
      <c r="AX384">
        <f>IF(AQ384=1,AW384,1)</f>
        <v>0</v>
      </c>
      <c r="AY384">
        <f>IF(AP384=1,AW384,1)</f>
        <v>0</v>
      </c>
      <c r="AZ384">
        <f>IF(AND(AT384=1,ISNUMBER(AW384)),$AW384,1)</f>
        <v>0</v>
      </c>
      <c r="BA384">
        <f>IF(AND(AU384=1,ISNUMBER(AW384)),$AW384,1)</f>
        <v>0</v>
      </c>
      <c r="BB384">
        <f>IF(ISNUMBER(AB384),INDEX(AllCollegeMoney, MATCH(N384,AllCollegeNCES,0)),0)</f>
        <v>0</v>
      </c>
      <c r="BC384">
        <f>IF(AND(AT384=1,ISNUMBER(AW384),BB384=1),$AW384,1)</f>
        <v>0</v>
      </c>
      <c r="BD384">
        <f>IF(AND(AU384=1,ISNUMBER(AW384),BB384=1),$AW384,1)</f>
        <v>0</v>
      </c>
      <c r="BE384">
        <f>IF(ISNUMBER(AB384),INDEX(AllCollegeILPub, MATCH(N384,AllCollegeNCES,0)),0)</f>
        <v>0</v>
      </c>
      <c r="BF384">
        <f>IF(AN384=ReachLabel,AS384,0)</f>
        <v>0</v>
      </c>
      <c r="BG384">
        <f>IF(AN384=MatchLabel,AS384,0)</f>
        <v>0</v>
      </c>
      <c r="BH384">
        <f>IF(AN384=SafetyLabel,AS384,0)</f>
        <v>0</v>
      </c>
      <c r="BI384">
        <f>IF(AN384=SecureLabel,AS384,0)</f>
        <v>0</v>
      </c>
      <c r="BJ384">
        <f>IF(AN384=SureThingLabel,AS384,0)</f>
        <v>0</v>
      </c>
      <c r="BK384">
        <f>MAX(BF384:BJ384)</f>
        <v>0</v>
      </c>
      <c r="BL384">
        <f>MAX(BG384:BJ384)</f>
        <v>0</v>
      </c>
      <c r="BM384">
        <f>MAX(BH384:BJ384)</f>
        <v>0</v>
      </c>
      <c r="BN384">
        <f>IF(AND(AN384=ReachLabel,BB384=1),AS384,0)</f>
        <v>0</v>
      </c>
      <c r="BO384">
        <f>IF(AND(AN384=MatchLabel,BB384=1),AS384,0)</f>
        <v>0</v>
      </c>
      <c r="BP384">
        <f>IF(AND(AN384=SafetyLabel,BB384=1),AS384,0)</f>
        <v>0</v>
      </c>
      <c r="BQ384">
        <f>IF(AND(AN384=SecureLabel,BB384=1),AS384,0)</f>
        <v>0</v>
      </c>
      <c r="BR384">
        <f>IF(AND(AN384=SureThingLabel,BB384=1),AS384,0)</f>
        <v>0</v>
      </c>
      <c r="BS384">
        <f>MAX(BN384:BR384)</f>
        <v>0</v>
      </c>
      <c r="BT384">
        <f>MAX(BO384:BR384)</f>
        <v>0</v>
      </c>
      <c r="BU384">
        <f>MAX(BP384:BR384)</f>
        <v>0</v>
      </c>
      <c r="BV384">
        <f>IF(ISNUMBER(AB384),INDEX(AllCollegeChicago, MATCH(N384,AllCollegeNCES,0))*BB384,0)</f>
        <v>0</v>
      </c>
      <c r="BW384">
        <f>IF(ISNUMBER(AB384),INDEX(AllCollegeMoneyCode, MATCH(N384,AllCollegeNCES,0)),"?")</f>
        <v>0</v>
      </c>
      <c r="BX384">
        <f>IF(OR(BW384="---",BW384="--",BW384="+/--",BW384="+/---"),1,0)</f>
        <v>0</v>
      </c>
      <c r="BY384">
        <f>BB384*AR384*AT384</f>
        <v>0</v>
      </c>
    </row>
    <row r="385" spans="1:77">
      <c r="A385" t="s">
        <v>96</v>
      </c>
      <c r="B385">
        <v>23334800</v>
      </c>
      <c r="C385" t="s">
        <v>324</v>
      </c>
      <c r="D385" t="s">
        <v>325</v>
      </c>
      <c r="E385" t="s">
        <v>446</v>
      </c>
      <c r="F385" t="s">
        <v>472</v>
      </c>
      <c r="G385" t="s">
        <v>448</v>
      </c>
      <c r="H385" t="s">
        <v>449</v>
      </c>
      <c r="I385" t="s">
        <v>450</v>
      </c>
      <c r="J385" t="s">
        <v>450</v>
      </c>
      <c r="K385">
        <v>0</v>
      </c>
      <c r="L385" t="s">
        <v>446</v>
      </c>
      <c r="M385" t="s">
        <v>446</v>
      </c>
      <c r="N385">
        <v>212674</v>
      </c>
      <c r="O385">
        <f>INDEX(Counselor,MATCH(B385,KidIDs,0))</f>
        <v>0</v>
      </c>
      <c r="P385">
        <f>INDEX(Advisors,MATCH(B385,KidIDs,0))</f>
        <v>0</v>
      </c>
      <c r="Q385">
        <f>INDEX(Cohort,MATCH(B385,KidIDs,0))</f>
        <v>0</v>
      </c>
      <c r="R385">
        <f>INDEX(AllCollegeBarrons,MATCH(N385,AllCollegeNCES,0))</f>
        <v>0</v>
      </c>
      <c r="S385">
        <f>INDEX(KidGPAs,MATCH(B385,KidIDs,0))</f>
        <v>0</v>
      </c>
      <c r="T385">
        <f>INDEX(KidSATs,MATCH(B385,KidIDs,0))</f>
        <v>0</v>
      </c>
      <c r="U385">
        <f>INDEX(Strats,MATCH(B385,KidIDs,0))</f>
        <v>0</v>
      </c>
      <c r="V385">
        <f>INDEX(KidRace,MATCH(B385,KidIDs,0))</f>
        <v>0</v>
      </c>
      <c r="W385">
        <f>IF(OR(V385="M",V385="I"),"H",IF(V385="P","A",V385))</f>
        <v>0</v>
      </c>
      <c r="X385">
        <f>INDEX(StudentTargets,MATCH(B385,KidIDs,0))</f>
        <v>0</v>
      </c>
      <c r="Y385">
        <f>INDEX(ReachStudentTargets,MATCH(B385,KidIDs,0))</f>
        <v>0</v>
      </c>
      <c r="Z385">
        <f>IF(OR(M385="Posse"),1,0)</f>
        <v>0</v>
      </c>
      <c r="AA385">
        <f>IF(ISNUMBER(INDEX(AllCollegeGR, MATCH(N385,AllCollegeNCES,0))),ROUND(INDEX(AllCollegeGR, MATCH(N385,AllCollegeNCES,0))+Z385*IF(INDEX(AllCollegeGR, MATCH(N385,AllCollegeNCES,0))&gt;0.7,(1-INDEX(AllCollegeGR, MATCH(N385,AllCollegeNCES,0)))/2,0.15),2),INDEX(AllCollegeGR, MATCH(N385,AllCollegeNCES,0)))</f>
        <v>0</v>
      </c>
      <c r="AB385">
        <f>IF(ISNUMBER(INDEX(AllCollegeAAHGR, MATCH(N385,AllCollegeNCES,0))),ROUND(INDEX(AllCollegeAAHGR, MATCH(N385,AllCollegeNCES,0))+Z385*IF(INDEX(AllCollegeAAHGR, MATCH(N385,AllCollegeNCES,0))&gt;0.7,(1-INDEX(AllCollegeAAHGR, MATCH(N385,AllCollegeNCES,0)))/2,0.15),2),INDEX(AllCollegeAAHGR, MATCH(N385,AllCollegeNCES,0)))</f>
        <v>0</v>
      </c>
      <c r="AC385">
        <f>IF(OR(W385="H",W385="B"),INDEX(AllCollegeSAT25, MATCH(N385,AllCollegeNCES,0)),INDEX(AllCollegeSAT50, MATCH(N385,AllCollegeNCES,0)))</f>
        <v>0</v>
      </c>
      <c r="AD385">
        <f>INDEX(CustomWeightsGPA,MATCH(W385&amp;":"&amp;N385,CustomWeightsIndex,0))</f>
        <v>0</v>
      </c>
      <c r="AE385">
        <f>INDEX(CustomWeightsSAT,MATCH(W385&amp;":"&amp;N385,CustomWeightsIndex,0))</f>
        <v>0</v>
      </c>
      <c r="AF385">
        <f>INDEX(CustomWeightsIntercept,MATCH(W385&amp;":"&amp;N385,CustomWeightsIndex,0))</f>
        <v>0</v>
      </c>
      <c r="AG385">
        <f>AD385*S385+AE385*T385+AF385</f>
        <v>0</v>
      </c>
      <c r="AH385">
        <f>INDEX(CoefficientsGPA,MATCH(W385&amp;":"&amp;R385,CoefficientsIndex,0))</f>
        <v>0</v>
      </c>
      <c r="AI385">
        <f>INDEX(CoefficientsSAT,MATCH(W385&amp;":"&amp;R385,CoefficientsIndex,0))</f>
        <v>0</v>
      </c>
      <c r="AJ385">
        <f>INDEX(CoefficientsIntercept,MATCH(W385&amp;":"&amp;R385,CoefficientsIndex,0))</f>
        <v>0</v>
      </c>
      <c r="AK385">
        <f>AH385*S385+(T385-AC385)*AI385+AJ385</f>
        <v>0</v>
      </c>
      <c r="AL385">
        <f>IF(ISNUMBER(AG385),AG385,AK385)</f>
        <v>0</v>
      </c>
      <c r="AM385">
        <f>IF(ISNUMBER(AL385),IF(ISNUMBER(AH385),IF(AND(AH385=1,AI385=1,AJ385=1),100,MIN(99,ROUND(100*EXP(AL385)/(1+EXP(AL385)),2))),MIN(99,ROUND(100*EXP(AL385)/(1+EXP(AL385)),2))),IF(ISTEXT(R385),IF(LEFT(R385,1)="2",100,"N/A"),"N/A"))</f>
        <v>0</v>
      </c>
      <c r="AN385">
        <f>IF(ISNUMBER(AM385),IF(AM385&gt;=99,IF(OR(U385=10,U385=11),MatchLabel,SureThingLabel),IF(AM385&gt;=95,SecureLabel,IF(AM385&gt;=80,SafetyLabel,IF(AM385&gt;=50,MatchLabel,IF(AM385&gt;=20,ReachLabel,IF(AM385&gt;=10,LongshotLabel,HailMaryLabel)))))),"Other")</f>
        <v>0</v>
      </c>
      <c r="AO385">
        <f>IF(OR(I385="accepted",I385="cond. accept",I385="summer admit"),IF(J385="yes","CHOICE!","Accepted!"),IF(I385="guar. transfer","Guar. Xfer",IF(I385="denied","Denied",IF(K385=1,"Waitlist",IF(L385=1,"Deferred",IF(G385="pending","Pending",IF(OR(G385="initial materials submitted",G385="mid-year submitted",G385="final submitted"),"Submitted",IF(H385="interest","Interest","?"))))))))</f>
        <v>0</v>
      </c>
      <c r="AP385">
        <f>IF(OR(AN385=ReachLabel,AN385=LongshotLabel,AN385=HailMaryLabel),1,0)</f>
        <v>0</v>
      </c>
      <c r="AQ385">
        <f>IF(OR(AP385=1,AN385=MatchLabel),1,0)</f>
        <v>0</v>
      </c>
      <c r="AR385">
        <f>IF(OR(AN385=MatchLabel,AN385=SafetyLabel,AN385=SecureLabel,AN385=SureThingLabel),1,0)</f>
        <v>0</v>
      </c>
      <c r="AS385">
        <f>IF(OR(W385="H",W385="B",W385="I",W385="M"),IF(ISNUMBER(AB385),ROUND(AB385,2),0),IF(ISNUMBER(AA385),ROUND(AA385,2),0))</f>
        <v>0</v>
      </c>
      <c r="AT385">
        <f>IF(AS385&gt;=X385,1,0)</f>
        <v>0</v>
      </c>
      <c r="AU385">
        <f>IF(AS385&gt;=Y385,1,0)</f>
        <v>0</v>
      </c>
      <c r="AV385">
        <f>IF(AS385&lt;(X385-0.10),1,0)</f>
        <v>0</v>
      </c>
      <c r="AW385">
        <f>1-AM385/100</f>
        <v>0</v>
      </c>
      <c r="AX385">
        <f>IF(AQ385=1,AW385,1)</f>
        <v>0</v>
      </c>
      <c r="AY385">
        <f>IF(AP385=1,AW385,1)</f>
        <v>0</v>
      </c>
      <c r="AZ385">
        <f>IF(AND(AT385=1,ISNUMBER(AW385)),$AW385,1)</f>
        <v>0</v>
      </c>
      <c r="BA385">
        <f>IF(AND(AU385=1,ISNUMBER(AW385)),$AW385,1)</f>
        <v>0</v>
      </c>
      <c r="BB385">
        <f>IF(ISNUMBER(AB385),INDEX(AllCollegeMoney, MATCH(N385,AllCollegeNCES,0)),0)</f>
        <v>0</v>
      </c>
      <c r="BC385">
        <f>IF(AND(AT385=1,ISNUMBER(AW385),BB385=1),$AW385,1)</f>
        <v>0</v>
      </c>
      <c r="BD385">
        <f>IF(AND(AU385=1,ISNUMBER(AW385),BB385=1),$AW385,1)</f>
        <v>0</v>
      </c>
      <c r="BE385">
        <f>IF(ISNUMBER(AB385),INDEX(AllCollegeILPub, MATCH(N385,AllCollegeNCES,0)),0)</f>
        <v>0</v>
      </c>
      <c r="BF385">
        <f>IF(AN385=ReachLabel,AS385,0)</f>
        <v>0</v>
      </c>
      <c r="BG385">
        <f>IF(AN385=MatchLabel,AS385,0)</f>
        <v>0</v>
      </c>
      <c r="BH385">
        <f>IF(AN385=SafetyLabel,AS385,0)</f>
        <v>0</v>
      </c>
      <c r="BI385">
        <f>IF(AN385=SecureLabel,AS385,0)</f>
        <v>0</v>
      </c>
      <c r="BJ385">
        <f>IF(AN385=SureThingLabel,AS385,0)</f>
        <v>0</v>
      </c>
      <c r="BK385">
        <f>MAX(BF385:BJ385)</f>
        <v>0</v>
      </c>
      <c r="BL385">
        <f>MAX(BG385:BJ385)</f>
        <v>0</v>
      </c>
      <c r="BM385">
        <f>MAX(BH385:BJ385)</f>
        <v>0</v>
      </c>
      <c r="BN385">
        <f>IF(AND(AN385=ReachLabel,BB385=1),AS385,0)</f>
        <v>0</v>
      </c>
      <c r="BO385">
        <f>IF(AND(AN385=MatchLabel,BB385=1),AS385,0)</f>
        <v>0</v>
      </c>
      <c r="BP385">
        <f>IF(AND(AN385=SafetyLabel,BB385=1),AS385,0)</f>
        <v>0</v>
      </c>
      <c r="BQ385">
        <f>IF(AND(AN385=SecureLabel,BB385=1),AS385,0)</f>
        <v>0</v>
      </c>
      <c r="BR385">
        <f>IF(AND(AN385=SureThingLabel,BB385=1),AS385,0)</f>
        <v>0</v>
      </c>
      <c r="BS385">
        <f>MAX(BN385:BR385)</f>
        <v>0</v>
      </c>
      <c r="BT385">
        <f>MAX(BO385:BR385)</f>
        <v>0</v>
      </c>
      <c r="BU385">
        <f>MAX(BP385:BR385)</f>
        <v>0</v>
      </c>
      <c r="BV385">
        <f>IF(ISNUMBER(AB385),INDEX(AllCollegeChicago, MATCH(N385,AllCollegeNCES,0))*BB385,0)</f>
        <v>0</v>
      </c>
      <c r="BW385">
        <f>IF(ISNUMBER(AB385),INDEX(AllCollegeMoneyCode, MATCH(N385,AllCollegeNCES,0)),"?")</f>
        <v>0</v>
      </c>
      <c r="BX385">
        <f>IF(OR(BW385="---",BW385="--",BW385="+/--",BW385="+/---"),1,0)</f>
        <v>0</v>
      </c>
      <c r="BY385">
        <f>BB385*AR385*AT385</f>
        <v>0</v>
      </c>
    </row>
    <row r="386" spans="1:77">
      <c r="A386" t="s">
        <v>96</v>
      </c>
      <c r="B386">
        <v>23334800</v>
      </c>
      <c r="C386" t="s">
        <v>324</v>
      </c>
      <c r="D386" t="s">
        <v>325</v>
      </c>
      <c r="E386" t="s">
        <v>446</v>
      </c>
      <c r="F386" t="s">
        <v>474</v>
      </c>
      <c r="G386" t="s">
        <v>448</v>
      </c>
      <c r="H386" t="s">
        <v>449</v>
      </c>
      <c r="I386" t="s">
        <v>450</v>
      </c>
      <c r="J386" t="s">
        <v>450</v>
      </c>
      <c r="K386">
        <v>0</v>
      </c>
      <c r="L386" t="s">
        <v>446</v>
      </c>
      <c r="M386" t="s">
        <v>446</v>
      </c>
      <c r="N386">
        <v>170532</v>
      </c>
      <c r="O386">
        <f>INDEX(Counselor,MATCH(B386,KidIDs,0))</f>
        <v>0</v>
      </c>
      <c r="P386">
        <f>INDEX(Advisors,MATCH(B386,KidIDs,0))</f>
        <v>0</v>
      </c>
      <c r="Q386">
        <f>INDEX(Cohort,MATCH(B386,KidIDs,0))</f>
        <v>0</v>
      </c>
      <c r="R386">
        <f>INDEX(AllCollegeBarrons,MATCH(N386,AllCollegeNCES,0))</f>
        <v>0</v>
      </c>
      <c r="S386">
        <f>INDEX(KidGPAs,MATCH(B386,KidIDs,0))</f>
        <v>0</v>
      </c>
      <c r="T386">
        <f>INDEX(KidSATs,MATCH(B386,KidIDs,0))</f>
        <v>0</v>
      </c>
      <c r="U386">
        <f>INDEX(Strats,MATCH(B386,KidIDs,0))</f>
        <v>0</v>
      </c>
      <c r="V386">
        <f>INDEX(KidRace,MATCH(B386,KidIDs,0))</f>
        <v>0</v>
      </c>
      <c r="W386">
        <f>IF(OR(V386="M",V386="I"),"H",IF(V386="P","A",V386))</f>
        <v>0</v>
      </c>
      <c r="X386">
        <f>INDEX(StudentTargets,MATCH(B386,KidIDs,0))</f>
        <v>0</v>
      </c>
      <c r="Y386">
        <f>INDEX(ReachStudentTargets,MATCH(B386,KidIDs,0))</f>
        <v>0</v>
      </c>
      <c r="Z386">
        <f>IF(OR(M386="Posse"),1,0)</f>
        <v>0</v>
      </c>
      <c r="AA386">
        <f>IF(ISNUMBER(INDEX(AllCollegeGR, MATCH(N386,AllCollegeNCES,0))),ROUND(INDEX(AllCollegeGR, MATCH(N386,AllCollegeNCES,0))+Z386*IF(INDEX(AllCollegeGR, MATCH(N386,AllCollegeNCES,0))&gt;0.7,(1-INDEX(AllCollegeGR, MATCH(N386,AllCollegeNCES,0)))/2,0.15),2),INDEX(AllCollegeGR, MATCH(N386,AllCollegeNCES,0)))</f>
        <v>0</v>
      </c>
      <c r="AB386">
        <f>IF(ISNUMBER(INDEX(AllCollegeAAHGR, MATCH(N386,AllCollegeNCES,0))),ROUND(INDEX(AllCollegeAAHGR, MATCH(N386,AllCollegeNCES,0))+Z386*IF(INDEX(AllCollegeAAHGR, MATCH(N386,AllCollegeNCES,0))&gt;0.7,(1-INDEX(AllCollegeAAHGR, MATCH(N386,AllCollegeNCES,0)))/2,0.15),2),INDEX(AllCollegeAAHGR, MATCH(N386,AllCollegeNCES,0)))</f>
        <v>0</v>
      </c>
      <c r="AC386">
        <f>IF(OR(W386="H",W386="B"),INDEX(AllCollegeSAT25, MATCH(N386,AllCollegeNCES,0)),INDEX(AllCollegeSAT50, MATCH(N386,AllCollegeNCES,0)))</f>
        <v>0</v>
      </c>
      <c r="AD386">
        <f>INDEX(CustomWeightsGPA,MATCH(W386&amp;":"&amp;N386,CustomWeightsIndex,0))</f>
        <v>0</v>
      </c>
      <c r="AE386">
        <f>INDEX(CustomWeightsSAT,MATCH(W386&amp;":"&amp;N386,CustomWeightsIndex,0))</f>
        <v>0</v>
      </c>
      <c r="AF386">
        <f>INDEX(CustomWeightsIntercept,MATCH(W386&amp;":"&amp;N386,CustomWeightsIndex,0))</f>
        <v>0</v>
      </c>
      <c r="AG386">
        <f>AD386*S386+AE386*T386+AF386</f>
        <v>0</v>
      </c>
      <c r="AH386">
        <f>INDEX(CoefficientsGPA,MATCH(W386&amp;":"&amp;R386,CoefficientsIndex,0))</f>
        <v>0</v>
      </c>
      <c r="AI386">
        <f>INDEX(CoefficientsSAT,MATCH(W386&amp;":"&amp;R386,CoefficientsIndex,0))</f>
        <v>0</v>
      </c>
      <c r="AJ386">
        <f>INDEX(CoefficientsIntercept,MATCH(W386&amp;":"&amp;R386,CoefficientsIndex,0))</f>
        <v>0</v>
      </c>
      <c r="AK386">
        <f>AH386*S386+(T386-AC386)*AI386+AJ386</f>
        <v>0</v>
      </c>
      <c r="AL386">
        <f>IF(ISNUMBER(AG386),AG386,AK386)</f>
        <v>0</v>
      </c>
      <c r="AM386">
        <f>IF(ISNUMBER(AL386),IF(ISNUMBER(AH386),IF(AND(AH386=1,AI386=1,AJ386=1),100,MIN(99,ROUND(100*EXP(AL386)/(1+EXP(AL386)),2))),MIN(99,ROUND(100*EXP(AL386)/(1+EXP(AL386)),2))),IF(ISTEXT(R386),IF(LEFT(R386,1)="2",100,"N/A"),"N/A"))</f>
        <v>0</v>
      </c>
      <c r="AN386">
        <f>IF(ISNUMBER(AM386),IF(AM386&gt;=99,IF(OR(U386=10,U386=11),MatchLabel,SureThingLabel),IF(AM386&gt;=95,SecureLabel,IF(AM386&gt;=80,SafetyLabel,IF(AM386&gt;=50,MatchLabel,IF(AM386&gt;=20,ReachLabel,IF(AM386&gt;=10,LongshotLabel,HailMaryLabel)))))),"Other")</f>
        <v>0</v>
      </c>
      <c r="AO386">
        <f>IF(OR(I386="accepted",I386="cond. accept",I386="summer admit"),IF(J386="yes","CHOICE!","Accepted!"),IF(I386="guar. transfer","Guar. Xfer",IF(I386="denied","Denied",IF(K386=1,"Waitlist",IF(L386=1,"Deferred",IF(G386="pending","Pending",IF(OR(G386="initial materials submitted",G386="mid-year submitted",G386="final submitted"),"Submitted",IF(H386="interest","Interest","?"))))))))</f>
        <v>0</v>
      </c>
      <c r="AP386">
        <f>IF(OR(AN386=ReachLabel,AN386=LongshotLabel,AN386=HailMaryLabel),1,0)</f>
        <v>0</v>
      </c>
      <c r="AQ386">
        <f>IF(OR(AP386=1,AN386=MatchLabel),1,0)</f>
        <v>0</v>
      </c>
      <c r="AR386">
        <f>IF(OR(AN386=MatchLabel,AN386=SafetyLabel,AN386=SecureLabel,AN386=SureThingLabel),1,0)</f>
        <v>0</v>
      </c>
      <c r="AS386">
        <f>IF(OR(W386="H",W386="B",W386="I",W386="M"),IF(ISNUMBER(AB386),ROUND(AB386,2),0),IF(ISNUMBER(AA386),ROUND(AA386,2),0))</f>
        <v>0</v>
      </c>
      <c r="AT386">
        <f>IF(AS386&gt;=X386,1,0)</f>
        <v>0</v>
      </c>
      <c r="AU386">
        <f>IF(AS386&gt;=Y386,1,0)</f>
        <v>0</v>
      </c>
      <c r="AV386">
        <f>IF(AS386&lt;(X386-0.10),1,0)</f>
        <v>0</v>
      </c>
      <c r="AW386">
        <f>1-AM386/100</f>
        <v>0</v>
      </c>
      <c r="AX386">
        <f>IF(AQ386=1,AW386,1)</f>
        <v>0</v>
      </c>
      <c r="AY386">
        <f>IF(AP386=1,AW386,1)</f>
        <v>0</v>
      </c>
      <c r="AZ386">
        <f>IF(AND(AT386=1,ISNUMBER(AW386)),$AW386,1)</f>
        <v>0</v>
      </c>
      <c r="BA386">
        <f>IF(AND(AU386=1,ISNUMBER(AW386)),$AW386,1)</f>
        <v>0</v>
      </c>
      <c r="BB386">
        <f>IF(ISNUMBER(AB386),INDEX(AllCollegeMoney, MATCH(N386,AllCollegeNCES,0)),0)</f>
        <v>0</v>
      </c>
      <c r="BC386">
        <f>IF(AND(AT386=1,ISNUMBER(AW386),BB386=1),$AW386,1)</f>
        <v>0</v>
      </c>
      <c r="BD386">
        <f>IF(AND(AU386=1,ISNUMBER(AW386),BB386=1),$AW386,1)</f>
        <v>0</v>
      </c>
      <c r="BE386">
        <f>IF(ISNUMBER(AB386),INDEX(AllCollegeILPub, MATCH(N386,AllCollegeNCES,0)),0)</f>
        <v>0</v>
      </c>
      <c r="BF386">
        <f>IF(AN386=ReachLabel,AS386,0)</f>
        <v>0</v>
      </c>
      <c r="BG386">
        <f>IF(AN386=MatchLabel,AS386,0)</f>
        <v>0</v>
      </c>
      <c r="BH386">
        <f>IF(AN386=SafetyLabel,AS386,0)</f>
        <v>0</v>
      </c>
      <c r="BI386">
        <f>IF(AN386=SecureLabel,AS386,0)</f>
        <v>0</v>
      </c>
      <c r="BJ386">
        <f>IF(AN386=SureThingLabel,AS386,0)</f>
        <v>0</v>
      </c>
      <c r="BK386">
        <f>MAX(BF386:BJ386)</f>
        <v>0</v>
      </c>
      <c r="BL386">
        <f>MAX(BG386:BJ386)</f>
        <v>0</v>
      </c>
      <c r="BM386">
        <f>MAX(BH386:BJ386)</f>
        <v>0</v>
      </c>
      <c r="BN386">
        <f>IF(AND(AN386=ReachLabel,BB386=1),AS386,0)</f>
        <v>0</v>
      </c>
      <c r="BO386">
        <f>IF(AND(AN386=MatchLabel,BB386=1),AS386,0)</f>
        <v>0</v>
      </c>
      <c r="BP386">
        <f>IF(AND(AN386=SafetyLabel,BB386=1),AS386,0)</f>
        <v>0</v>
      </c>
      <c r="BQ386">
        <f>IF(AND(AN386=SecureLabel,BB386=1),AS386,0)</f>
        <v>0</v>
      </c>
      <c r="BR386">
        <f>IF(AND(AN386=SureThingLabel,BB386=1),AS386,0)</f>
        <v>0</v>
      </c>
      <c r="BS386">
        <f>MAX(BN386:BR386)</f>
        <v>0</v>
      </c>
      <c r="BT386">
        <f>MAX(BO386:BR386)</f>
        <v>0</v>
      </c>
      <c r="BU386">
        <f>MAX(BP386:BR386)</f>
        <v>0</v>
      </c>
      <c r="BV386">
        <f>IF(ISNUMBER(AB386),INDEX(AllCollegeChicago, MATCH(N386,AllCollegeNCES,0))*BB386,0)</f>
        <v>0</v>
      </c>
      <c r="BW386">
        <f>IF(ISNUMBER(AB386),INDEX(AllCollegeMoneyCode, MATCH(N386,AllCollegeNCES,0)),"?")</f>
        <v>0</v>
      </c>
      <c r="BX386">
        <f>IF(OR(BW386="---",BW386="--",BW386="+/--",BW386="+/---"),1,0)</f>
        <v>0</v>
      </c>
      <c r="BY386">
        <f>BB386*AR386*AT386</f>
        <v>0</v>
      </c>
    </row>
    <row r="387" spans="1:77">
      <c r="A387" t="s">
        <v>96</v>
      </c>
      <c r="B387">
        <v>23334800</v>
      </c>
      <c r="C387" t="s">
        <v>324</v>
      </c>
      <c r="D387" t="s">
        <v>325</v>
      </c>
      <c r="E387" t="s">
        <v>446</v>
      </c>
      <c r="F387" t="s">
        <v>475</v>
      </c>
      <c r="G387" t="s">
        <v>448</v>
      </c>
      <c r="H387" t="s">
        <v>449</v>
      </c>
      <c r="I387" t="s">
        <v>450</v>
      </c>
      <c r="J387" t="s">
        <v>450</v>
      </c>
      <c r="K387">
        <v>0</v>
      </c>
      <c r="L387" t="s">
        <v>446</v>
      </c>
      <c r="M387" t="s">
        <v>446</v>
      </c>
      <c r="N387">
        <v>145637</v>
      </c>
      <c r="O387">
        <f>INDEX(Counselor,MATCH(B387,KidIDs,0))</f>
        <v>0</v>
      </c>
      <c r="P387">
        <f>INDEX(Advisors,MATCH(B387,KidIDs,0))</f>
        <v>0</v>
      </c>
      <c r="Q387">
        <f>INDEX(Cohort,MATCH(B387,KidIDs,0))</f>
        <v>0</v>
      </c>
      <c r="R387">
        <f>INDEX(AllCollegeBarrons,MATCH(N387,AllCollegeNCES,0))</f>
        <v>0</v>
      </c>
      <c r="S387">
        <f>INDEX(KidGPAs,MATCH(B387,KidIDs,0))</f>
        <v>0</v>
      </c>
      <c r="T387">
        <f>INDEX(KidSATs,MATCH(B387,KidIDs,0))</f>
        <v>0</v>
      </c>
      <c r="U387">
        <f>INDEX(Strats,MATCH(B387,KidIDs,0))</f>
        <v>0</v>
      </c>
      <c r="V387">
        <f>INDEX(KidRace,MATCH(B387,KidIDs,0))</f>
        <v>0</v>
      </c>
      <c r="W387">
        <f>IF(OR(V387="M",V387="I"),"H",IF(V387="P","A",V387))</f>
        <v>0</v>
      </c>
      <c r="X387">
        <f>INDEX(StudentTargets,MATCH(B387,KidIDs,0))</f>
        <v>0</v>
      </c>
      <c r="Y387">
        <f>INDEX(ReachStudentTargets,MATCH(B387,KidIDs,0))</f>
        <v>0</v>
      </c>
      <c r="Z387">
        <f>IF(OR(M387="Posse"),1,0)</f>
        <v>0</v>
      </c>
      <c r="AA387">
        <f>IF(ISNUMBER(INDEX(AllCollegeGR, MATCH(N387,AllCollegeNCES,0))),ROUND(INDEX(AllCollegeGR, MATCH(N387,AllCollegeNCES,0))+Z387*IF(INDEX(AllCollegeGR, MATCH(N387,AllCollegeNCES,0))&gt;0.7,(1-INDEX(AllCollegeGR, MATCH(N387,AllCollegeNCES,0)))/2,0.15),2),INDEX(AllCollegeGR, MATCH(N387,AllCollegeNCES,0)))</f>
        <v>0</v>
      </c>
      <c r="AB387">
        <f>IF(ISNUMBER(INDEX(AllCollegeAAHGR, MATCH(N387,AllCollegeNCES,0))),ROUND(INDEX(AllCollegeAAHGR, MATCH(N387,AllCollegeNCES,0))+Z387*IF(INDEX(AllCollegeAAHGR, MATCH(N387,AllCollegeNCES,0))&gt;0.7,(1-INDEX(AllCollegeAAHGR, MATCH(N387,AllCollegeNCES,0)))/2,0.15),2),INDEX(AllCollegeAAHGR, MATCH(N387,AllCollegeNCES,0)))</f>
        <v>0</v>
      </c>
      <c r="AC387">
        <f>IF(OR(W387="H",W387="B"),INDEX(AllCollegeSAT25, MATCH(N387,AllCollegeNCES,0)),INDEX(AllCollegeSAT50, MATCH(N387,AllCollegeNCES,0)))</f>
        <v>0</v>
      </c>
      <c r="AD387">
        <f>INDEX(CustomWeightsGPA,MATCH(W387&amp;":"&amp;N387,CustomWeightsIndex,0))</f>
        <v>0</v>
      </c>
      <c r="AE387">
        <f>INDEX(CustomWeightsSAT,MATCH(W387&amp;":"&amp;N387,CustomWeightsIndex,0))</f>
        <v>0</v>
      </c>
      <c r="AF387">
        <f>INDEX(CustomWeightsIntercept,MATCH(W387&amp;":"&amp;N387,CustomWeightsIndex,0))</f>
        <v>0</v>
      </c>
      <c r="AG387">
        <f>AD387*S387+AE387*T387+AF387</f>
        <v>0</v>
      </c>
      <c r="AH387">
        <f>INDEX(CoefficientsGPA,MATCH(W387&amp;":"&amp;R387,CoefficientsIndex,0))</f>
        <v>0</v>
      </c>
      <c r="AI387">
        <f>INDEX(CoefficientsSAT,MATCH(W387&amp;":"&amp;R387,CoefficientsIndex,0))</f>
        <v>0</v>
      </c>
      <c r="AJ387">
        <f>INDEX(CoefficientsIntercept,MATCH(W387&amp;":"&amp;R387,CoefficientsIndex,0))</f>
        <v>0</v>
      </c>
      <c r="AK387">
        <f>AH387*S387+(T387-AC387)*AI387+AJ387</f>
        <v>0</v>
      </c>
      <c r="AL387">
        <f>IF(ISNUMBER(AG387),AG387,AK387)</f>
        <v>0</v>
      </c>
      <c r="AM387">
        <f>IF(ISNUMBER(AL387),IF(ISNUMBER(AH387),IF(AND(AH387=1,AI387=1,AJ387=1),100,MIN(99,ROUND(100*EXP(AL387)/(1+EXP(AL387)),2))),MIN(99,ROUND(100*EXP(AL387)/(1+EXP(AL387)),2))),IF(ISTEXT(R387),IF(LEFT(R387,1)="2",100,"N/A"),"N/A"))</f>
        <v>0</v>
      </c>
      <c r="AN387">
        <f>IF(ISNUMBER(AM387),IF(AM387&gt;=99,IF(OR(U387=10,U387=11),MatchLabel,SureThingLabel),IF(AM387&gt;=95,SecureLabel,IF(AM387&gt;=80,SafetyLabel,IF(AM387&gt;=50,MatchLabel,IF(AM387&gt;=20,ReachLabel,IF(AM387&gt;=10,LongshotLabel,HailMaryLabel)))))),"Other")</f>
        <v>0</v>
      </c>
      <c r="AO387">
        <f>IF(OR(I387="accepted",I387="cond. accept",I387="summer admit"),IF(J387="yes","CHOICE!","Accepted!"),IF(I387="guar. transfer","Guar. Xfer",IF(I387="denied","Denied",IF(K387=1,"Waitlist",IF(L387=1,"Deferred",IF(G387="pending","Pending",IF(OR(G387="initial materials submitted",G387="mid-year submitted",G387="final submitted"),"Submitted",IF(H387="interest","Interest","?"))))))))</f>
        <v>0</v>
      </c>
      <c r="AP387">
        <f>IF(OR(AN387=ReachLabel,AN387=LongshotLabel,AN387=HailMaryLabel),1,0)</f>
        <v>0</v>
      </c>
      <c r="AQ387">
        <f>IF(OR(AP387=1,AN387=MatchLabel),1,0)</f>
        <v>0</v>
      </c>
      <c r="AR387">
        <f>IF(OR(AN387=MatchLabel,AN387=SafetyLabel,AN387=SecureLabel,AN387=SureThingLabel),1,0)</f>
        <v>0</v>
      </c>
      <c r="AS387">
        <f>IF(OR(W387="H",W387="B",W387="I",W387="M"),IF(ISNUMBER(AB387),ROUND(AB387,2),0),IF(ISNUMBER(AA387),ROUND(AA387,2),0))</f>
        <v>0</v>
      </c>
      <c r="AT387">
        <f>IF(AS387&gt;=X387,1,0)</f>
        <v>0</v>
      </c>
      <c r="AU387">
        <f>IF(AS387&gt;=Y387,1,0)</f>
        <v>0</v>
      </c>
      <c r="AV387">
        <f>IF(AS387&lt;(X387-0.10),1,0)</f>
        <v>0</v>
      </c>
      <c r="AW387">
        <f>1-AM387/100</f>
        <v>0</v>
      </c>
      <c r="AX387">
        <f>IF(AQ387=1,AW387,1)</f>
        <v>0</v>
      </c>
      <c r="AY387">
        <f>IF(AP387=1,AW387,1)</f>
        <v>0</v>
      </c>
      <c r="AZ387">
        <f>IF(AND(AT387=1,ISNUMBER(AW387)),$AW387,1)</f>
        <v>0</v>
      </c>
      <c r="BA387">
        <f>IF(AND(AU387=1,ISNUMBER(AW387)),$AW387,1)</f>
        <v>0</v>
      </c>
      <c r="BB387">
        <f>IF(ISNUMBER(AB387),INDEX(AllCollegeMoney, MATCH(N387,AllCollegeNCES,0)),0)</f>
        <v>0</v>
      </c>
      <c r="BC387">
        <f>IF(AND(AT387=1,ISNUMBER(AW387),BB387=1),$AW387,1)</f>
        <v>0</v>
      </c>
      <c r="BD387">
        <f>IF(AND(AU387=1,ISNUMBER(AW387),BB387=1),$AW387,1)</f>
        <v>0</v>
      </c>
      <c r="BE387">
        <f>IF(ISNUMBER(AB387),INDEX(AllCollegeILPub, MATCH(N387,AllCollegeNCES,0)),0)</f>
        <v>0</v>
      </c>
      <c r="BF387">
        <f>IF(AN387=ReachLabel,AS387,0)</f>
        <v>0</v>
      </c>
      <c r="BG387">
        <f>IF(AN387=MatchLabel,AS387,0)</f>
        <v>0</v>
      </c>
      <c r="BH387">
        <f>IF(AN387=SafetyLabel,AS387,0)</f>
        <v>0</v>
      </c>
      <c r="BI387">
        <f>IF(AN387=SecureLabel,AS387,0)</f>
        <v>0</v>
      </c>
      <c r="BJ387">
        <f>IF(AN387=SureThingLabel,AS387,0)</f>
        <v>0</v>
      </c>
      <c r="BK387">
        <f>MAX(BF387:BJ387)</f>
        <v>0</v>
      </c>
      <c r="BL387">
        <f>MAX(BG387:BJ387)</f>
        <v>0</v>
      </c>
      <c r="BM387">
        <f>MAX(BH387:BJ387)</f>
        <v>0</v>
      </c>
      <c r="BN387">
        <f>IF(AND(AN387=ReachLabel,BB387=1),AS387,0)</f>
        <v>0</v>
      </c>
      <c r="BO387">
        <f>IF(AND(AN387=MatchLabel,BB387=1),AS387,0)</f>
        <v>0</v>
      </c>
      <c r="BP387">
        <f>IF(AND(AN387=SafetyLabel,BB387=1),AS387,0)</f>
        <v>0</v>
      </c>
      <c r="BQ387">
        <f>IF(AND(AN387=SecureLabel,BB387=1),AS387,0)</f>
        <v>0</v>
      </c>
      <c r="BR387">
        <f>IF(AND(AN387=SureThingLabel,BB387=1),AS387,0)</f>
        <v>0</v>
      </c>
      <c r="BS387">
        <f>MAX(BN387:BR387)</f>
        <v>0</v>
      </c>
      <c r="BT387">
        <f>MAX(BO387:BR387)</f>
        <v>0</v>
      </c>
      <c r="BU387">
        <f>MAX(BP387:BR387)</f>
        <v>0</v>
      </c>
      <c r="BV387">
        <f>IF(ISNUMBER(AB387),INDEX(AllCollegeChicago, MATCH(N387,AllCollegeNCES,0))*BB387,0)</f>
        <v>0</v>
      </c>
      <c r="BW387">
        <f>IF(ISNUMBER(AB387),INDEX(AllCollegeMoneyCode, MATCH(N387,AllCollegeNCES,0)),"?")</f>
        <v>0</v>
      </c>
      <c r="BX387">
        <f>IF(OR(BW387="---",BW387="--",BW387="+/--",BW387="+/---"),1,0)</f>
        <v>0</v>
      </c>
      <c r="BY387">
        <f>BB387*AR387*AT387</f>
        <v>0</v>
      </c>
    </row>
    <row r="388" spans="1:77">
      <c r="A388" t="s">
        <v>96</v>
      </c>
      <c r="B388">
        <v>23334800</v>
      </c>
      <c r="C388" t="s">
        <v>324</v>
      </c>
      <c r="D388" t="s">
        <v>325</v>
      </c>
      <c r="E388" t="s">
        <v>446</v>
      </c>
      <c r="F388" t="s">
        <v>488</v>
      </c>
      <c r="G388" t="s">
        <v>448</v>
      </c>
      <c r="H388" t="s">
        <v>449</v>
      </c>
      <c r="I388" t="s">
        <v>450</v>
      </c>
      <c r="J388" t="s">
        <v>450</v>
      </c>
      <c r="K388">
        <v>0</v>
      </c>
      <c r="L388" t="s">
        <v>446</v>
      </c>
      <c r="M388" t="s">
        <v>446</v>
      </c>
      <c r="N388">
        <v>202480</v>
      </c>
      <c r="O388">
        <f>INDEX(Counselor,MATCH(B388,KidIDs,0))</f>
        <v>0</v>
      </c>
      <c r="P388">
        <f>INDEX(Advisors,MATCH(B388,KidIDs,0))</f>
        <v>0</v>
      </c>
      <c r="Q388">
        <f>INDEX(Cohort,MATCH(B388,KidIDs,0))</f>
        <v>0</v>
      </c>
      <c r="R388">
        <f>INDEX(AllCollegeBarrons,MATCH(N388,AllCollegeNCES,0))</f>
        <v>0</v>
      </c>
      <c r="S388">
        <f>INDEX(KidGPAs,MATCH(B388,KidIDs,0))</f>
        <v>0</v>
      </c>
      <c r="T388">
        <f>INDEX(KidSATs,MATCH(B388,KidIDs,0))</f>
        <v>0</v>
      </c>
      <c r="U388">
        <f>INDEX(Strats,MATCH(B388,KidIDs,0))</f>
        <v>0</v>
      </c>
      <c r="V388">
        <f>INDEX(KidRace,MATCH(B388,KidIDs,0))</f>
        <v>0</v>
      </c>
      <c r="W388">
        <f>IF(OR(V388="M",V388="I"),"H",IF(V388="P","A",V388))</f>
        <v>0</v>
      </c>
      <c r="X388">
        <f>INDEX(StudentTargets,MATCH(B388,KidIDs,0))</f>
        <v>0</v>
      </c>
      <c r="Y388">
        <f>INDEX(ReachStudentTargets,MATCH(B388,KidIDs,0))</f>
        <v>0</v>
      </c>
      <c r="Z388">
        <f>IF(OR(M388="Posse"),1,0)</f>
        <v>0</v>
      </c>
      <c r="AA388">
        <f>IF(ISNUMBER(INDEX(AllCollegeGR, MATCH(N388,AllCollegeNCES,0))),ROUND(INDEX(AllCollegeGR, MATCH(N388,AllCollegeNCES,0))+Z388*IF(INDEX(AllCollegeGR, MATCH(N388,AllCollegeNCES,0))&gt;0.7,(1-INDEX(AllCollegeGR, MATCH(N388,AllCollegeNCES,0)))/2,0.15),2),INDEX(AllCollegeGR, MATCH(N388,AllCollegeNCES,0)))</f>
        <v>0</v>
      </c>
      <c r="AB388">
        <f>IF(ISNUMBER(INDEX(AllCollegeAAHGR, MATCH(N388,AllCollegeNCES,0))),ROUND(INDEX(AllCollegeAAHGR, MATCH(N388,AllCollegeNCES,0))+Z388*IF(INDEX(AllCollegeAAHGR, MATCH(N388,AllCollegeNCES,0))&gt;0.7,(1-INDEX(AllCollegeAAHGR, MATCH(N388,AllCollegeNCES,0)))/2,0.15),2),INDEX(AllCollegeAAHGR, MATCH(N388,AllCollegeNCES,0)))</f>
        <v>0</v>
      </c>
      <c r="AC388">
        <f>IF(OR(W388="H",W388="B"),INDEX(AllCollegeSAT25, MATCH(N388,AllCollegeNCES,0)),INDEX(AllCollegeSAT50, MATCH(N388,AllCollegeNCES,0)))</f>
        <v>0</v>
      </c>
      <c r="AD388">
        <f>INDEX(CustomWeightsGPA,MATCH(W388&amp;":"&amp;N388,CustomWeightsIndex,0))</f>
        <v>0</v>
      </c>
      <c r="AE388">
        <f>INDEX(CustomWeightsSAT,MATCH(W388&amp;":"&amp;N388,CustomWeightsIndex,0))</f>
        <v>0</v>
      </c>
      <c r="AF388">
        <f>INDEX(CustomWeightsIntercept,MATCH(W388&amp;":"&amp;N388,CustomWeightsIndex,0))</f>
        <v>0</v>
      </c>
      <c r="AG388">
        <f>AD388*S388+AE388*T388+AF388</f>
        <v>0</v>
      </c>
      <c r="AH388">
        <f>INDEX(CoefficientsGPA,MATCH(W388&amp;":"&amp;R388,CoefficientsIndex,0))</f>
        <v>0</v>
      </c>
      <c r="AI388">
        <f>INDEX(CoefficientsSAT,MATCH(W388&amp;":"&amp;R388,CoefficientsIndex,0))</f>
        <v>0</v>
      </c>
      <c r="AJ388">
        <f>INDEX(CoefficientsIntercept,MATCH(W388&amp;":"&amp;R388,CoefficientsIndex,0))</f>
        <v>0</v>
      </c>
      <c r="AK388">
        <f>AH388*S388+(T388-AC388)*AI388+AJ388</f>
        <v>0</v>
      </c>
      <c r="AL388">
        <f>IF(ISNUMBER(AG388),AG388,AK388)</f>
        <v>0</v>
      </c>
      <c r="AM388">
        <f>IF(ISNUMBER(AL388),IF(ISNUMBER(AH388),IF(AND(AH388=1,AI388=1,AJ388=1),100,MIN(99,ROUND(100*EXP(AL388)/(1+EXP(AL388)),2))),MIN(99,ROUND(100*EXP(AL388)/(1+EXP(AL388)),2))),IF(ISTEXT(R388),IF(LEFT(R388,1)="2",100,"N/A"),"N/A"))</f>
        <v>0</v>
      </c>
      <c r="AN388">
        <f>IF(ISNUMBER(AM388),IF(AM388&gt;=99,IF(OR(U388=10,U388=11),MatchLabel,SureThingLabel),IF(AM388&gt;=95,SecureLabel,IF(AM388&gt;=80,SafetyLabel,IF(AM388&gt;=50,MatchLabel,IF(AM388&gt;=20,ReachLabel,IF(AM388&gt;=10,LongshotLabel,HailMaryLabel)))))),"Other")</f>
        <v>0</v>
      </c>
      <c r="AO388">
        <f>IF(OR(I388="accepted",I388="cond. accept",I388="summer admit"),IF(J388="yes","CHOICE!","Accepted!"),IF(I388="guar. transfer","Guar. Xfer",IF(I388="denied","Denied",IF(K388=1,"Waitlist",IF(L388=1,"Deferred",IF(G388="pending","Pending",IF(OR(G388="initial materials submitted",G388="mid-year submitted",G388="final submitted"),"Submitted",IF(H388="interest","Interest","?"))))))))</f>
        <v>0</v>
      </c>
      <c r="AP388">
        <f>IF(OR(AN388=ReachLabel,AN388=LongshotLabel,AN388=HailMaryLabel),1,0)</f>
        <v>0</v>
      </c>
      <c r="AQ388">
        <f>IF(OR(AP388=1,AN388=MatchLabel),1,0)</f>
        <v>0</v>
      </c>
      <c r="AR388">
        <f>IF(OR(AN388=MatchLabel,AN388=SafetyLabel,AN388=SecureLabel,AN388=SureThingLabel),1,0)</f>
        <v>0</v>
      </c>
      <c r="AS388">
        <f>IF(OR(W388="H",W388="B",W388="I",W388="M"),IF(ISNUMBER(AB388),ROUND(AB388,2),0),IF(ISNUMBER(AA388),ROUND(AA388,2),0))</f>
        <v>0</v>
      </c>
      <c r="AT388">
        <f>IF(AS388&gt;=X388,1,0)</f>
        <v>0</v>
      </c>
      <c r="AU388">
        <f>IF(AS388&gt;=Y388,1,0)</f>
        <v>0</v>
      </c>
      <c r="AV388">
        <f>IF(AS388&lt;(X388-0.10),1,0)</f>
        <v>0</v>
      </c>
      <c r="AW388">
        <f>1-AM388/100</f>
        <v>0</v>
      </c>
      <c r="AX388">
        <f>IF(AQ388=1,AW388,1)</f>
        <v>0</v>
      </c>
      <c r="AY388">
        <f>IF(AP388=1,AW388,1)</f>
        <v>0</v>
      </c>
      <c r="AZ388">
        <f>IF(AND(AT388=1,ISNUMBER(AW388)),$AW388,1)</f>
        <v>0</v>
      </c>
      <c r="BA388">
        <f>IF(AND(AU388=1,ISNUMBER(AW388)),$AW388,1)</f>
        <v>0</v>
      </c>
      <c r="BB388">
        <f>IF(ISNUMBER(AB388),INDEX(AllCollegeMoney, MATCH(N388,AllCollegeNCES,0)),0)</f>
        <v>0</v>
      </c>
      <c r="BC388">
        <f>IF(AND(AT388=1,ISNUMBER(AW388),BB388=1),$AW388,1)</f>
        <v>0</v>
      </c>
      <c r="BD388">
        <f>IF(AND(AU388=1,ISNUMBER(AW388),BB388=1),$AW388,1)</f>
        <v>0</v>
      </c>
      <c r="BE388">
        <f>IF(ISNUMBER(AB388),INDEX(AllCollegeILPub, MATCH(N388,AllCollegeNCES,0)),0)</f>
        <v>0</v>
      </c>
      <c r="BF388">
        <f>IF(AN388=ReachLabel,AS388,0)</f>
        <v>0</v>
      </c>
      <c r="BG388">
        <f>IF(AN388=MatchLabel,AS388,0)</f>
        <v>0</v>
      </c>
      <c r="BH388">
        <f>IF(AN388=SafetyLabel,AS388,0)</f>
        <v>0</v>
      </c>
      <c r="BI388">
        <f>IF(AN388=SecureLabel,AS388,0)</f>
        <v>0</v>
      </c>
      <c r="BJ388">
        <f>IF(AN388=SureThingLabel,AS388,0)</f>
        <v>0</v>
      </c>
      <c r="BK388">
        <f>MAX(BF388:BJ388)</f>
        <v>0</v>
      </c>
      <c r="BL388">
        <f>MAX(BG388:BJ388)</f>
        <v>0</v>
      </c>
      <c r="BM388">
        <f>MAX(BH388:BJ388)</f>
        <v>0</v>
      </c>
      <c r="BN388">
        <f>IF(AND(AN388=ReachLabel,BB388=1),AS388,0)</f>
        <v>0</v>
      </c>
      <c r="BO388">
        <f>IF(AND(AN388=MatchLabel,BB388=1),AS388,0)</f>
        <v>0</v>
      </c>
      <c r="BP388">
        <f>IF(AND(AN388=SafetyLabel,BB388=1),AS388,0)</f>
        <v>0</v>
      </c>
      <c r="BQ388">
        <f>IF(AND(AN388=SecureLabel,BB388=1),AS388,0)</f>
        <v>0</v>
      </c>
      <c r="BR388">
        <f>IF(AND(AN388=SureThingLabel,BB388=1),AS388,0)</f>
        <v>0</v>
      </c>
      <c r="BS388">
        <f>MAX(BN388:BR388)</f>
        <v>0</v>
      </c>
      <c r="BT388">
        <f>MAX(BO388:BR388)</f>
        <v>0</v>
      </c>
      <c r="BU388">
        <f>MAX(BP388:BR388)</f>
        <v>0</v>
      </c>
      <c r="BV388">
        <f>IF(ISNUMBER(AB388),INDEX(AllCollegeChicago, MATCH(N388,AllCollegeNCES,0))*BB388,0)</f>
        <v>0</v>
      </c>
      <c r="BW388">
        <f>IF(ISNUMBER(AB388),INDEX(AllCollegeMoneyCode, MATCH(N388,AllCollegeNCES,0)),"?")</f>
        <v>0</v>
      </c>
      <c r="BX388">
        <f>IF(OR(BW388="---",BW388="--",BW388="+/--",BW388="+/---"),1,0)</f>
        <v>0</v>
      </c>
      <c r="BY388">
        <f>BB388*AR388*AT388</f>
        <v>0</v>
      </c>
    </row>
    <row r="389" spans="1:77">
      <c r="A389" t="s">
        <v>96</v>
      </c>
      <c r="B389">
        <v>23334800</v>
      </c>
      <c r="C389" t="s">
        <v>324</v>
      </c>
      <c r="D389" t="s">
        <v>325</v>
      </c>
      <c r="E389" t="s">
        <v>446</v>
      </c>
      <c r="F389" t="s">
        <v>489</v>
      </c>
      <c r="G389" t="s">
        <v>479</v>
      </c>
      <c r="H389" t="s">
        <v>449</v>
      </c>
      <c r="I389" t="s">
        <v>450</v>
      </c>
      <c r="J389" t="s">
        <v>450</v>
      </c>
      <c r="K389">
        <v>0</v>
      </c>
      <c r="L389" t="s">
        <v>446</v>
      </c>
      <c r="M389" t="s">
        <v>446</v>
      </c>
      <c r="N389">
        <v>170301</v>
      </c>
      <c r="O389">
        <f>INDEX(Counselor,MATCH(B389,KidIDs,0))</f>
        <v>0</v>
      </c>
      <c r="P389">
        <f>INDEX(Advisors,MATCH(B389,KidIDs,0))</f>
        <v>0</v>
      </c>
      <c r="Q389">
        <f>INDEX(Cohort,MATCH(B389,KidIDs,0))</f>
        <v>0</v>
      </c>
      <c r="R389">
        <f>INDEX(AllCollegeBarrons,MATCH(N389,AllCollegeNCES,0))</f>
        <v>0</v>
      </c>
      <c r="S389">
        <f>INDEX(KidGPAs,MATCH(B389,KidIDs,0))</f>
        <v>0</v>
      </c>
      <c r="T389">
        <f>INDEX(KidSATs,MATCH(B389,KidIDs,0))</f>
        <v>0</v>
      </c>
      <c r="U389">
        <f>INDEX(Strats,MATCH(B389,KidIDs,0))</f>
        <v>0</v>
      </c>
      <c r="V389">
        <f>INDEX(KidRace,MATCH(B389,KidIDs,0))</f>
        <v>0</v>
      </c>
      <c r="W389">
        <f>IF(OR(V389="M",V389="I"),"H",IF(V389="P","A",V389))</f>
        <v>0</v>
      </c>
      <c r="X389">
        <f>INDEX(StudentTargets,MATCH(B389,KidIDs,0))</f>
        <v>0</v>
      </c>
      <c r="Y389">
        <f>INDEX(ReachStudentTargets,MATCH(B389,KidIDs,0))</f>
        <v>0</v>
      </c>
      <c r="Z389">
        <f>IF(OR(M389="Posse"),1,0)</f>
        <v>0</v>
      </c>
      <c r="AA389">
        <f>IF(ISNUMBER(INDEX(AllCollegeGR, MATCH(N389,AllCollegeNCES,0))),ROUND(INDEX(AllCollegeGR, MATCH(N389,AllCollegeNCES,0))+Z389*IF(INDEX(AllCollegeGR, MATCH(N389,AllCollegeNCES,0))&gt;0.7,(1-INDEX(AllCollegeGR, MATCH(N389,AllCollegeNCES,0)))/2,0.15),2),INDEX(AllCollegeGR, MATCH(N389,AllCollegeNCES,0)))</f>
        <v>0</v>
      </c>
      <c r="AB389">
        <f>IF(ISNUMBER(INDEX(AllCollegeAAHGR, MATCH(N389,AllCollegeNCES,0))),ROUND(INDEX(AllCollegeAAHGR, MATCH(N389,AllCollegeNCES,0))+Z389*IF(INDEX(AllCollegeAAHGR, MATCH(N389,AllCollegeNCES,0))&gt;0.7,(1-INDEX(AllCollegeAAHGR, MATCH(N389,AllCollegeNCES,0)))/2,0.15),2),INDEX(AllCollegeAAHGR, MATCH(N389,AllCollegeNCES,0)))</f>
        <v>0</v>
      </c>
      <c r="AC389">
        <f>IF(OR(W389="H",W389="B"),INDEX(AllCollegeSAT25, MATCH(N389,AllCollegeNCES,0)),INDEX(AllCollegeSAT50, MATCH(N389,AllCollegeNCES,0)))</f>
        <v>0</v>
      </c>
      <c r="AD389">
        <f>INDEX(CustomWeightsGPA,MATCH(W389&amp;":"&amp;N389,CustomWeightsIndex,0))</f>
        <v>0</v>
      </c>
      <c r="AE389">
        <f>INDEX(CustomWeightsSAT,MATCH(W389&amp;":"&amp;N389,CustomWeightsIndex,0))</f>
        <v>0</v>
      </c>
      <c r="AF389">
        <f>INDEX(CustomWeightsIntercept,MATCH(W389&amp;":"&amp;N389,CustomWeightsIndex,0))</f>
        <v>0</v>
      </c>
      <c r="AG389">
        <f>AD389*S389+AE389*T389+AF389</f>
        <v>0</v>
      </c>
      <c r="AH389">
        <f>INDEX(CoefficientsGPA,MATCH(W389&amp;":"&amp;R389,CoefficientsIndex,0))</f>
        <v>0</v>
      </c>
      <c r="AI389">
        <f>INDEX(CoefficientsSAT,MATCH(W389&amp;":"&amp;R389,CoefficientsIndex,0))</f>
        <v>0</v>
      </c>
      <c r="AJ389">
        <f>INDEX(CoefficientsIntercept,MATCH(W389&amp;":"&amp;R389,CoefficientsIndex,0))</f>
        <v>0</v>
      </c>
      <c r="AK389">
        <f>AH389*S389+(T389-AC389)*AI389+AJ389</f>
        <v>0</v>
      </c>
      <c r="AL389">
        <f>IF(ISNUMBER(AG389),AG389,AK389)</f>
        <v>0</v>
      </c>
      <c r="AM389">
        <f>IF(ISNUMBER(AL389),IF(ISNUMBER(AH389),IF(AND(AH389=1,AI389=1,AJ389=1),100,MIN(99,ROUND(100*EXP(AL389)/(1+EXP(AL389)),2))),MIN(99,ROUND(100*EXP(AL389)/(1+EXP(AL389)),2))),IF(ISTEXT(R389),IF(LEFT(R389,1)="2",100,"N/A"),"N/A"))</f>
        <v>0</v>
      </c>
      <c r="AN389">
        <f>IF(ISNUMBER(AM389),IF(AM389&gt;=99,IF(OR(U389=10,U389=11),MatchLabel,SureThingLabel),IF(AM389&gt;=95,SecureLabel,IF(AM389&gt;=80,SafetyLabel,IF(AM389&gt;=50,MatchLabel,IF(AM389&gt;=20,ReachLabel,IF(AM389&gt;=10,LongshotLabel,HailMaryLabel)))))),"Other")</f>
        <v>0</v>
      </c>
      <c r="AO389">
        <f>IF(OR(I389="accepted",I389="cond. accept",I389="summer admit"),IF(J389="yes","CHOICE!","Accepted!"),IF(I389="guar. transfer","Guar. Xfer",IF(I389="denied","Denied",IF(K389=1,"Waitlist",IF(L389=1,"Deferred",IF(G389="pending","Pending",IF(OR(G389="initial materials submitted",G389="mid-year submitted",G389="final submitted"),"Submitted",IF(H389="interest","Interest","?"))))))))</f>
        <v>0</v>
      </c>
      <c r="AP389">
        <f>IF(OR(AN389=ReachLabel,AN389=LongshotLabel,AN389=HailMaryLabel),1,0)</f>
        <v>0</v>
      </c>
      <c r="AQ389">
        <f>IF(OR(AP389=1,AN389=MatchLabel),1,0)</f>
        <v>0</v>
      </c>
      <c r="AR389">
        <f>IF(OR(AN389=MatchLabel,AN389=SafetyLabel,AN389=SecureLabel,AN389=SureThingLabel),1,0)</f>
        <v>0</v>
      </c>
      <c r="AS389">
        <f>IF(OR(W389="H",W389="B",W389="I",W389="M"),IF(ISNUMBER(AB389),ROUND(AB389,2),0),IF(ISNUMBER(AA389),ROUND(AA389,2),0))</f>
        <v>0</v>
      </c>
      <c r="AT389">
        <f>IF(AS389&gt;=X389,1,0)</f>
        <v>0</v>
      </c>
      <c r="AU389">
        <f>IF(AS389&gt;=Y389,1,0)</f>
        <v>0</v>
      </c>
      <c r="AV389">
        <f>IF(AS389&lt;(X389-0.10),1,0)</f>
        <v>0</v>
      </c>
      <c r="AW389">
        <f>1-AM389/100</f>
        <v>0</v>
      </c>
      <c r="AX389">
        <f>IF(AQ389=1,AW389,1)</f>
        <v>0</v>
      </c>
      <c r="AY389">
        <f>IF(AP389=1,AW389,1)</f>
        <v>0</v>
      </c>
      <c r="AZ389">
        <f>IF(AND(AT389=1,ISNUMBER(AW389)),$AW389,1)</f>
        <v>0</v>
      </c>
      <c r="BA389">
        <f>IF(AND(AU389=1,ISNUMBER(AW389)),$AW389,1)</f>
        <v>0</v>
      </c>
      <c r="BB389">
        <f>IF(ISNUMBER(AB389),INDEX(AllCollegeMoney, MATCH(N389,AllCollegeNCES,0)),0)</f>
        <v>0</v>
      </c>
      <c r="BC389">
        <f>IF(AND(AT389=1,ISNUMBER(AW389),BB389=1),$AW389,1)</f>
        <v>0</v>
      </c>
      <c r="BD389">
        <f>IF(AND(AU389=1,ISNUMBER(AW389),BB389=1),$AW389,1)</f>
        <v>0</v>
      </c>
      <c r="BE389">
        <f>IF(ISNUMBER(AB389),INDEX(AllCollegeILPub, MATCH(N389,AllCollegeNCES,0)),0)</f>
        <v>0</v>
      </c>
      <c r="BF389">
        <f>IF(AN389=ReachLabel,AS389,0)</f>
        <v>0</v>
      </c>
      <c r="BG389">
        <f>IF(AN389=MatchLabel,AS389,0)</f>
        <v>0</v>
      </c>
      <c r="BH389">
        <f>IF(AN389=SafetyLabel,AS389,0)</f>
        <v>0</v>
      </c>
      <c r="BI389">
        <f>IF(AN389=SecureLabel,AS389,0)</f>
        <v>0</v>
      </c>
      <c r="BJ389">
        <f>IF(AN389=SureThingLabel,AS389,0)</f>
        <v>0</v>
      </c>
      <c r="BK389">
        <f>MAX(BF389:BJ389)</f>
        <v>0</v>
      </c>
      <c r="BL389">
        <f>MAX(BG389:BJ389)</f>
        <v>0</v>
      </c>
      <c r="BM389">
        <f>MAX(BH389:BJ389)</f>
        <v>0</v>
      </c>
      <c r="BN389">
        <f>IF(AND(AN389=ReachLabel,BB389=1),AS389,0)</f>
        <v>0</v>
      </c>
      <c r="BO389">
        <f>IF(AND(AN389=MatchLabel,BB389=1),AS389,0)</f>
        <v>0</v>
      </c>
      <c r="BP389">
        <f>IF(AND(AN389=SafetyLabel,BB389=1),AS389,0)</f>
        <v>0</v>
      </c>
      <c r="BQ389">
        <f>IF(AND(AN389=SecureLabel,BB389=1),AS389,0)</f>
        <v>0</v>
      </c>
      <c r="BR389">
        <f>IF(AND(AN389=SureThingLabel,BB389=1),AS389,0)</f>
        <v>0</v>
      </c>
      <c r="BS389">
        <f>MAX(BN389:BR389)</f>
        <v>0</v>
      </c>
      <c r="BT389">
        <f>MAX(BO389:BR389)</f>
        <v>0</v>
      </c>
      <c r="BU389">
        <f>MAX(BP389:BR389)</f>
        <v>0</v>
      </c>
      <c r="BV389">
        <f>IF(ISNUMBER(AB389),INDEX(AllCollegeChicago, MATCH(N389,AllCollegeNCES,0))*BB389,0)</f>
        <v>0</v>
      </c>
      <c r="BW389">
        <f>IF(ISNUMBER(AB389),INDEX(AllCollegeMoneyCode, MATCH(N389,AllCollegeNCES,0)),"?")</f>
        <v>0</v>
      </c>
      <c r="BX389">
        <f>IF(OR(BW389="---",BW389="--",BW389="+/--",BW389="+/---"),1,0)</f>
        <v>0</v>
      </c>
      <c r="BY389">
        <f>BB389*AR389*AT389</f>
        <v>0</v>
      </c>
    </row>
    <row r="390" spans="1:77">
      <c r="A390" t="s">
        <v>96</v>
      </c>
      <c r="B390">
        <v>23340223</v>
      </c>
      <c r="C390" t="s">
        <v>185</v>
      </c>
      <c r="D390" t="s">
        <v>186</v>
      </c>
      <c r="E390" t="s">
        <v>446</v>
      </c>
      <c r="F390" t="s">
        <v>555</v>
      </c>
      <c r="G390" t="s">
        <v>448</v>
      </c>
      <c r="H390" t="s">
        <v>449</v>
      </c>
      <c r="I390" t="s">
        <v>450</v>
      </c>
      <c r="J390" t="s">
        <v>450</v>
      </c>
      <c r="K390">
        <v>0</v>
      </c>
      <c r="L390" t="s">
        <v>446</v>
      </c>
      <c r="M390" t="s">
        <v>446</v>
      </c>
      <c r="N390">
        <v>236948</v>
      </c>
      <c r="O390">
        <f>INDEX(Counselor,MATCH(B390,KidIDs,0))</f>
        <v>0</v>
      </c>
      <c r="P390">
        <f>INDEX(Advisors,MATCH(B390,KidIDs,0))</f>
        <v>0</v>
      </c>
      <c r="Q390">
        <f>INDEX(Cohort,MATCH(B390,KidIDs,0))</f>
        <v>0</v>
      </c>
      <c r="R390">
        <f>INDEX(AllCollegeBarrons,MATCH(N390,AllCollegeNCES,0))</f>
        <v>0</v>
      </c>
      <c r="S390">
        <f>INDEX(KidGPAs,MATCH(B390,KidIDs,0))</f>
        <v>0</v>
      </c>
      <c r="T390">
        <f>INDEX(KidSATs,MATCH(B390,KidIDs,0))</f>
        <v>0</v>
      </c>
      <c r="U390">
        <f>INDEX(Strats,MATCH(B390,KidIDs,0))</f>
        <v>0</v>
      </c>
      <c r="V390">
        <f>INDEX(KidRace,MATCH(B390,KidIDs,0))</f>
        <v>0</v>
      </c>
      <c r="W390">
        <f>IF(OR(V390="M",V390="I"),"H",IF(V390="P","A",V390))</f>
        <v>0</v>
      </c>
      <c r="X390">
        <f>INDEX(StudentTargets,MATCH(B390,KidIDs,0))</f>
        <v>0</v>
      </c>
      <c r="Y390">
        <f>INDEX(ReachStudentTargets,MATCH(B390,KidIDs,0))</f>
        <v>0</v>
      </c>
      <c r="Z390">
        <f>IF(OR(M390="Posse"),1,0)</f>
        <v>0</v>
      </c>
      <c r="AA390">
        <f>IF(ISNUMBER(INDEX(AllCollegeGR, MATCH(N390,AllCollegeNCES,0))),ROUND(INDEX(AllCollegeGR, MATCH(N390,AllCollegeNCES,0))+Z390*IF(INDEX(AllCollegeGR, MATCH(N390,AllCollegeNCES,0))&gt;0.7,(1-INDEX(AllCollegeGR, MATCH(N390,AllCollegeNCES,0)))/2,0.15),2),INDEX(AllCollegeGR, MATCH(N390,AllCollegeNCES,0)))</f>
        <v>0</v>
      </c>
      <c r="AB390">
        <f>IF(ISNUMBER(INDEX(AllCollegeAAHGR, MATCH(N390,AllCollegeNCES,0))),ROUND(INDEX(AllCollegeAAHGR, MATCH(N390,AllCollegeNCES,0))+Z390*IF(INDEX(AllCollegeAAHGR, MATCH(N390,AllCollegeNCES,0))&gt;0.7,(1-INDEX(AllCollegeAAHGR, MATCH(N390,AllCollegeNCES,0)))/2,0.15),2),INDEX(AllCollegeAAHGR, MATCH(N390,AllCollegeNCES,0)))</f>
        <v>0</v>
      </c>
      <c r="AC390">
        <f>IF(OR(W390="H",W390="B"),INDEX(AllCollegeSAT25, MATCH(N390,AllCollegeNCES,0)),INDEX(AllCollegeSAT50, MATCH(N390,AllCollegeNCES,0)))</f>
        <v>0</v>
      </c>
      <c r="AD390">
        <f>INDEX(CustomWeightsGPA,MATCH(W390&amp;":"&amp;N390,CustomWeightsIndex,0))</f>
        <v>0</v>
      </c>
      <c r="AE390">
        <f>INDEX(CustomWeightsSAT,MATCH(W390&amp;":"&amp;N390,CustomWeightsIndex,0))</f>
        <v>0</v>
      </c>
      <c r="AF390">
        <f>INDEX(CustomWeightsIntercept,MATCH(W390&amp;":"&amp;N390,CustomWeightsIndex,0))</f>
        <v>0</v>
      </c>
      <c r="AG390">
        <f>AD390*S390+AE390*T390+AF390</f>
        <v>0</v>
      </c>
      <c r="AH390">
        <f>INDEX(CoefficientsGPA,MATCH(W390&amp;":"&amp;R390,CoefficientsIndex,0))</f>
        <v>0</v>
      </c>
      <c r="AI390">
        <f>INDEX(CoefficientsSAT,MATCH(W390&amp;":"&amp;R390,CoefficientsIndex,0))</f>
        <v>0</v>
      </c>
      <c r="AJ390">
        <f>INDEX(CoefficientsIntercept,MATCH(W390&amp;":"&amp;R390,CoefficientsIndex,0))</f>
        <v>0</v>
      </c>
      <c r="AK390">
        <f>AH390*S390+(T390-AC390)*AI390+AJ390</f>
        <v>0</v>
      </c>
      <c r="AL390">
        <f>IF(ISNUMBER(AG390),AG390,AK390)</f>
        <v>0</v>
      </c>
      <c r="AM390">
        <f>IF(ISNUMBER(AL390),IF(ISNUMBER(AH390),IF(AND(AH390=1,AI390=1,AJ390=1),100,MIN(99,ROUND(100*EXP(AL390)/(1+EXP(AL390)),2))),MIN(99,ROUND(100*EXP(AL390)/(1+EXP(AL390)),2))),IF(ISTEXT(R390),IF(LEFT(R390,1)="2",100,"N/A"),"N/A"))</f>
        <v>0</v>
      </c>
      <c r="AN390">
        <f>IF(ISNUMBER(AM390),IF(AM390&gt;=99,IF(OR(U390=10,U390=11),MatchLabel,SureThingLabel),IF(AM390&gt;=95,SecureLabel,IF(AM390&gt;=80,SafetyLabel,IF(AM390&gt;=50,MatchLabel,IF(AM390&gt;=20,ReachLabel,IF(AM390&gt;=10,LongshotLabel,HailMaryLabel)))))),"Other")</f>
        <v>0</v>
      </c>
      <c r="AO390">
        <f>IF(OR(I390="accepted",I390="cond. accept",I390="summer admit"),IF(J390="yes","CHOICE!","Accepted!"),IF(I390="guar. transfer","Guar. Xfer",IF(I390="denied","Denied",IF(K390=1,"Waitlist",IF(L390=1,"Deferred",IF(G390="pending","Pending",IF(OR(G390="initial materials submitted",G390="mid-year submitted",G390="final submitted"),"Submitted",IF(H390="interest","Interest","?"))))))))</f>
        <v>0</v>
      </c>
      <c r="AP390">
        <f>IF(OR(AN390=ReachLabel,AN390=LongshotLabel,AN390=HailMaryLabel),1,0)</f>
        <v>0</v>
      </c>
      <c r="AQ390">
        <f>IF(OR(AP390=1,AN390=MatchLabel),1,0)</f>
        <v>0</v>
      </c>
      <c r="AR390">
        <f>IF(OR(AN390=MatchLabel,AN390=SafetyLabel,AN390=SecureLabel,AN390=SureThingLabel),1,0)</f>
        <v>0</v>
      </c>
      <c r="AS390">
        <f>IF(OR(W390="H",W390="B",W390="I",W390="M"),IF(ISNUMBER(AB390),ROUND(AB390,2),0),IF(ISNUMBER(AA390),ROUND(AA390,2),0))</f>
        <v>0</v>
      </c>
      <c r="AT390">
        <f>IF(AS390&gt;=X390,1,0)</f>
        <v>0</v>
      </c>
      <c r="AU390">
        <f>IF(AS390&gt;=Y390,1,0)</f>
        <v>0</v>
      </c>
      <c r="AV390">
        <f>IF(AS390&lt;(X390-0.10),1,0)</f>
        <v>0</v>
      </c>
      <c r="AW390">
        <f>1-AM390/100</f>
        <v>0</v>
      </c>
      <c r="AX390">
        <f>IF(AQ390=1,AW390,1)</f>
        <v>0</v>
      </c>
      <c r="AY390">
        <f>IF(AP390=1,AW390,1)</f>
        <v>0</v>
      </c>
      <c r="AZ390">
        <f>IF(AND(AT390=1,ISNUMBER(AW390)),$AW390,1)</f>
        <v>0</v>
      </c>
      <c r="BA390">
        <f>IF(AND(AU390=1,ISNUMBER(AW390)),$AW390,1)</f>
        <v>0</v>
      </c>
      <c r="BB390">
        <f>IF(ISNUMBER(AB390),INDEX(AllCollegeMoney, MATCH(N390,AllCollegeNCES,0)),0)</f>
        <v>0</v>
      </c>
      <c r="BC390">
        <f>IF(AND(AT390=1,ISNUMBER(AW390),BB390=1),$AW390,1)</f>
        <v>0</v>
      </c>
      <c r="BD390">
        <f>IF(AND(AU390=1,ISNUMBER(AW390),BB390=1),$AW390,1)</f>
        <v>0</v>
      </c>
      <c r="BE390">
        <f>IF(ISNUMBER(AB390),INDEX(AllCollegeILPub, MATCH(N390,AllCollegeNCES,0)),0)</f>
        <v>0</v>
      </c>
      <c r="BF390">
        <f>IF(AN390=ReachLabel,AS390,0)</f>
        <v>0</v>
      </c>
      <c r="BG390">
        <f>IF(AN390=MatchLabel,AS390,0)</f>
        <v>0</v>
      </c>
      <c r="BH390">
        <f>IF(AN390=SafetyLabel,AS390,0)</f>
        <v>0</v>
      </c>
      <c r="BI390">
        <f>IF(AN390=SecureLabel,AS390,0)</f>
        <v>0</v>
      </c>
      <c r="BJ390">
        <f>IF(AN390=SureThingLabel,AS390,0)</f>
        <v>0</v>
      </c>
      <c r="BK390">
        <f>MAX(BF390:BJ390)</f>
        <v>0</v>
      </c>
      <c r="BL390">
        <f>MAX(BG390:BJ390)</f>
        <v>0</v>
      </c>
      <c r="BM390">
        <f>MAX(BH390:BJ390)</f>
        <v>0</v>
      </c>
      <c r="BN390">
        <f>IF(AND(AN390=ReachLabel,BB390=1),AS390,0)</f>
        <v>0</v>
      </c>
      <c r="BO390">
        <f>IF(AND(AN390=MatchLabel,BB390=1),AS390,0)</f>
        <v>0</v>
      </c>
      <c r="BP390">
        <f>IF(AND(AN390=SafetyLabel,BB390=1),AS390,0)</f>
        <v>0</v>
      </c>
      <c r="BQ390">
        <f>IF(AND(AN390=SecureLabel,BB390=1),AS390,0)</f>
        <v>0</v>
      </c>
      <c r="BR390">
        <f>IF(AND(AN390=SureThingLabel,BB390=1),AS390,0)</f>
        <v>0</v>
      </c>
      <c r="BS390">
        <f>MAX(BN390:BR390)</f>
        <v>0</v>
      </c>
      <c r="BT390">
        <f>MAX(BO390:BR390)</f>
        <v>0</v>
      </c>
      <c r="BU390">
        <f>MAX(BP390:BR390)</f>
        <v>0</v>
      </c>
      <c r="BV390">
        <f>IF(ISNUMBER(AB390),INDEX(AllCollegeChicago, MATCH(N390,AllCollegeNCES,0))*BB390,0)</f>
        <v>0</v>
      </c>
      <c r="BW390">
        <f>IF(ISNUMBER(AB390),INDEX(AllCollegeMoneyCode, MATCH(N390,AllCollegeNCES,0)),"?")</f>
        <v>0</v>
      </c>
      <c r="BX390">
        <f>IF(OR(BW390="---",BW390="--",BW390="+/--",BW390="+/---"),1,0)</f>
        <v>0</v>
      </c>
      <c r="BY390">
        <f>BB390*AR390*AT390</f>
        <v>0</v>
      </c>
    </row>
    <row r="391" spans="1:77">
      <c r="A391" t="s">
        <v>96</v>
      </c>
      <c r="B391">
        <v>23340223</v>
      </c>
      <c r="C391" t="s">
        <v>185</v>
      </c>
      <c r="D391" t="s">
        <v>186</v>
      </c>
      <c r="E391" t="s">
        <v>446</v>
      </c>
      <c r="F391" t="s">
        <v>556</v>
      </c>
      <c r="G391" t="s">
        <v>448</v>
      </c>
      <c r="H391" t="s">
        <v>449</v>
      </c>
      <c r="I391" t="s">
        <v>450</v>
      </c>
      <c r="J391" t="s">
        <v>450</v>
      </c>
      <c r="K391">
        <v>0</v>
      </c>
      <c r="L391" t="s">
        <v>446</v>
      </c>
      <c r="M391" t="s">
        <v>446</v>
      </c>
      <c r="N391">
        <v>152673</v>
      </c>
      <c r="O391">
        <f>INDEX(Counselor,MATCH(B391,KidIDs,0))</f>
        <v>0</v>
      </c>
      <c r="P391">
        <f>INDEX(Advisors,MATCH(B391,KidIDs,0))</f>
        <v>0</v>
      </c>
      <c r="Q391">
        <f>INDEX(Cohort,MATCH(B391,KidIDs,0))</f>
        <v>0</v>
      </c>
      <c r="R391">
        <f>INDEX(AllCollegeBarrons,MATCH(N391,AllCollegeNCES,0))</f>
        <v>0</v>
      </c>
      <c r="S391">
        <f>INDEX(KidGPAs,MATCH(B391,KidIDs,0))</f>
        <v>0</v>
      </c>
      <c r="T391">
        <f>INDEX(KidSATs,MATCH(B391,KidIDs,0))</f>
        <v>0</v>
      </c>
      <c r="U391">
        <f>INDEX(Strats,MATCH(B391,KidIDs,0))</f>
        <v>0</v>
      </c>
      <c r="V391">
        <f>INDEX(KidRace,MATCH(B391,KidIDs,0))</f>
        <v>0</v>
      </c>
      <c r="W391">
        <f>IF(OR(V391="M",V391="I"),"H",IF(V391="P","A",V391))</f>
        <v>0</v>
      </c>
      <c r="X391">
        <f>INDEX(StudentTargets,MATCH(B391,KidIDs,0))</f>
        <v>0</v>
      </c>
      <c r="Y391">
        <f>INDEX(ReachStudentTargets,MATCH(B391,KidIDs,0))</f>
        <v>0</v>
      </c>
      <c r="Z391">
        <f>IF(OR(M391="Posse"),1,0)</f>
        <v>0</v>
      </c>
      <c r="AA391">
        <f>IF(ISNUMBER(INDEX(AllCollegeGR, MATCH(N391,AllCollegeNCES,0))),ROUND(INDEX(AllCollegeGR, MATCH(N391,AllCollegeNCES,0))+Z391*IF(INDEX(AllCollegeGR, MATCH(N391,AllCollegeNCES,0))&gt;0.7,(1-INDEX(AllCollegeGR, MATCH(N391,AllCollegeNCES,0)))/2,0.15),2),INDEX(AllCollegeGR, MATCH(N391,AllCollegeNCES,0)))</f>
        <v>0</v>
      </c>
      <c r="AB391">
        <f>IF(ISNUMBER(INDEX(AllCollegeAAHGR, MATCH(N391,AllCollegeNCES,0))),ROUND(INDEX(AllCollegeAAHGR, MATCH(N391,AllCollegeNCES,0))+Z391*IF(INDEX(AllCollegeAAHGR, MATCH(N391,AllCollegeNCES,0))&gt;0.7,(1-INDEX(AllCollegeAAHGR, MATCH(N391,AllCollegeNCES,0)))/2,0.15),2),INDEX(AllCollegeAAHGR, MATCH(N391,AllCollegeNCES,0)))</f>
        <v>0</v>
      </c>
      <c r="AC391">
        <f>IF(OR(W391="H",W391="B"),INDEX(AllCollegeSAT25, MATCH(N391,AllCollegeNCES,0)),INDEX(AllCollegeSAT50, MATCH(N391,AllCollegeNCES,0)))</f>
        <v>0</v>
      </c>
      <c r="AD391">
        <f>INDEX(CustomWeightsGPA,MATCH(W391&amp;":"&amp;N391,CustomWeightsIndex,0))</f>
        <v>0</v>
      </c>
      <c r="AE391">
        <f>INDEX(CustomWeightsSAT,MATCH(W391&amp;":"&amp;N391,CustomWeightsIndex,0))</f>
        <v>0</v>
      </c>
      <c r="AF391">
        <f>INDEX(CustomWeightsIntercept,MATCH(W391&amp;":"&amp;N391,CustomWeightsIndex,0))</f>
        <v>0</v>
      </c>
      <c r="AG391">
        <f>AD391*S391+AE391*T391+AF391</f>
        <v>0</v>
      </c>
      <c r="AH391">
        <f>INDEX(CoefficientsGPA,MATCH(W391&amp;":"&amp;R391,CoefficientsIndex,0))</f>
        <v>0</v>
      </c>
      <c r="AI391">
        <f>INDEX(CoefficientsSAT,MATCH(W391&amp;":"&amp;R391,CoefficientsIndex,0))</f>
        <v>0</v>
      </c>
      <c r="AJ391">
        <f>INDEX(CoefficientsIntercept,MATCH(W391&amp;":"&amp;R391,CoefficientsIndex,0))</f>
        <v>0</v>
      </c>
      <c r="AK391">
        <f>AH391*S391+(T391-AC391)*AI391+AJ391</f>
        <v>0</v>
      </c>
      <c r="AL391">
        <f>IF(ISNUMBER(AG391),AG391,AK391)</f>
        <v>0</v>
      </c>
      <c r="AM391">
        <f>IF(ISNUMBER(AL391),IF(ISNUMBER(AH391),IF(AND(AH391=1,AI391=1,AJ391=1),100,MIN(99,ROUND(100*EXP(AL391)/(1+EXP(AL391)),2))),MIN(99,ROUND(100*EXP(AL391)/(1+EXP(AL391)),2))),IF(ISTEXT(R391),IF(LEFT(R391,1)="2",100,"N/A"),"N/A"))</f>
        <v>0</v>
      </c>
      <c r="AN391">
        <f>IF(ISNUMBER(AM391),IF(AM391&gt;=99,IF(OR(U391=10,U391=11),MatchLabel,SureThingLabel),IF(AM391&gt;=95,SecureLabel,IF(AM391&gt;=80,SafetyLabel,IF(AM391&gt;=50,MatchLabel,IF(AM391&gt;=20,ReachLabel,IF(AM391&gt;=10,LongshotLabel,HailMaryLabel)))))),"Other")</f>
        <v>0</v>
      </c>
      <c r="AO391">
        <f>IF(OR(I391="accepted",I391="cond. accept",I391="summer admit"),IF(J391="yes","CHOICE!","Accepted!"),IF(I391="guar. transfer","Guar. Xfer",IF(I391="denied","Denied",IF(K391=1,"Waitlist",IF(L391=1,"Deferred",IF(G391="pending","Pending",IF(OR(G391="initial materials submitted",G391="mid-year submitted",G391="final submitted"),"Submitted",IF(H391="interest","Interest","?"))))))))</f>
        <v>0</v>
      </c>
      <c r="AP391">
        <f>IF(OR(AN391=ReachLabel,AN391=LongshotLabel,AN391=HailMaryLabel),1,0)</f>
        <v>0</v>
      </c>
      <c r="AQ391">
        <f>IF(OR(AP391=1,AN391=MatchLabel),1,0)</f>
        <v>0</v>
      </c>
      <c r="AR391">
        <f>IF(OR(AN391=MatchLabel,AN391=SafetyLabel,AN391=SecureLabel,AN391=SureThingLabel),1,0)</f>
        <v>0</v>
      </c>
      <c r="AS391">
        <f>IF(OR(W391="H",W391="B",W391="I",W391="M"),IF(ISNUMBER(AB391),ROUND(AB391,2),0),IF(ISNUMBER(AA391),ROUND(AA391,2),0))</f>
        <v>0</v>
      </c>
      <c r="AT391">
        <f>IF(AS391&gt;=X391,1,0)</f>
        <v>0</v>
      </c>
      <c r="AU391">
        <f>IF(AS391&gt;=Y391,1,0)</f>
        <v>0</v>
      </c>
      <c r="AV391">
        <f>IF(AS391&lt;(X391-0.10),1,0)</f>
        <v>0</v>
      </c>
      <c r="AW391">
        <f>1-AM391/100</f>
        <v>0</v>
      </c>
      <c r="AX391">
        <f>IF(AQ391=1,AW391,1)</f>
        <v>0</v>
      </c>
      <c r="AY391">
        <f>IF(AP391=1,AW391,1)</f>
        <v>0</v>
      </c>
      <c r="AZ391">
        <f>IF(AND(AT391=1,ISNUMBER(AW391)),$AW391,1)</f>
        <v>0</v>
      </c>
      <c r="BA391">
        <f>IF(AND(AU391=1,ISNUMBER(AW391)),$AW391,1)</f>
        <v>0</v>
      </c>
      <c r="BB391">
        <f>IF(ISNUMBER(AB391),INDEX(AllCollegeMoney, MATCH(N391,AllCollegeNCES,0)),0)</f>
        <v>0</v>
      </c>
      <c r="BC391">
        <f>IF(AND(AT391=1,ISNUMBER(AW391),BB391=1),$AW391,1)</f>
        <v>0</v>
      </c>
      <c r="BD391">
        <f>IF(AND(AU391=1,ISNUMBER(AW391),BB391=1),$AW391,1)</f>
        <v>0</v>
      </c>
      <c r="BE391">
        <f>IF(ISNUMBER(AB391),INDEX(AllCollegeILPub, MATCH(N391,AllCollegeNCES,0)),0)</f>
        <v>0</v>
      </c>
      <c r="BF391">
        <f>IF(AN391=ReachLabel,AS391,0)</f>
        <v>0</v>
      </c>
      <c r="BG391">
        <f>IF(AN391=MatchLabel,AS391,0)</f>
        <v>0</v>
      </c>
      <c r="BH391">
        <f>IF(AN391=SafetyLabel,AS391,0)</f>
        <v>0</v>
      </c>
      <c r="BI391">
        <f>IF(AN391=SecureLabel,AS391,0)</f>
        <v>0</v>
      </c>
      <c r="BJ391">
        <f>IF(AN391=SureThingLabel,AS391,0)</f>
        <v>0</v>
      </c>
      <c r="BK391">
        <f>MAX(BF391:BJ391)</f>
        <v>0</v>
      </c>
      <c r="BL391">
        <f>MAX(BG391:BJ391)</f>
        <v>0</v>
      </c>
      <c r="BM391">
        <f>MAX(BH391:BJ391)</f>
        <v>0</v>
      </c>
      <c r="BN391">
        <f>IF(AND(AN391=ReachLabel,BB391=1),AS391,0)</f>
        <v>0</v>
      </c>
      <c r="BO391">
        <f>IF(AND(AN391=MatchLabel,BB391=1),AS391,0)</f>
        <v>0</v>
      </c>
      <c r="BP391">
        <f>IF(AND(AN391=SafetyLabel,BB391=1),AS391,0)</f>
        <v>0</v>
      </c>
      <c r="BQ391">
        <f>IF(AND(AN391=SecureLabel,BB391=1),AS391,0)</f>
        <v>0</v>
      </c>
      <c r="BR391">
        <f>IF(AND(AN391=SureThingLabel,BB391=1),AS391,0)</f>
        <v>0</v>
      </c>
      <c r="BS391">
        <f>MAX(BN391:BR391)</f>
        <v>0</v>
      </c>
      <c r="BT391">
        <f>MAX(BO391:BR391)</f>
        <v>0</v>
      </c>
      <c r="BU391">
        <f>MAX(BP391:BR391)</f>
        <v>0</v>
      </c>
      <c r="BV391">
        <f>IF(ISNUMBER(AB391),INDEX(AllCollegeChicago, MATCH(N391,AllCollegeNCES,0))*BB391,0)</f>
        <v>0</v>
      </c>
      <c r="BW391">
        <f>IF(ISNUMBER(AB391),INDEX(AllCollegeMoneyCode, MATCH(N391,AllCollegeNCES,0)),"?")</f>
        <v>0</v>
      </c>
      <c r="BX391">
        <f>IF(OR(BW391="---",BW391="--",BW391="+/--",BW391="+/---"),1,0)</f>
        <v>0</v>
      </c>
      <c r="BY391">
        <f>BB391*AR391*AT391</f>
        <v>0</v>
      </c>
    </row>
    <row r="392" spans="1:77">
      <c r="A392" t="s">
        <v>96</v>
      </c>
      <c r="B392">
        <v>23340223</v>
      </c>
      <c r="C392" t="s">
        <v>185</v>
      </c>
      <c r="D392" t="s">
        <v>186</v>
      </c>
      <c r="E392" t="s">
        <v>446</v>
      </c>
      <c r="F392" t="s">
        <v>447</v>
      </c>
      <c r="G392" t="s">
        <v>448</v>
      </c>
      <c r="H392" t="s">
        <v>449</v>
      </c>
      <c r="I392" t="s">
        <v>450</v>
      </c>
      <c r="J392" t="s">
        <v>450</v>
      </c>
      <c r="K392">
        <v>0</v>
      </c>
      <c r="L392" t="s">
        <v>446</v>
      </c>
      <c r="M392" t="s">
        <v>446</v>
      </c>
      <c r="N392">
        <v>148496</v>
      </c>
      <c r="O392">
        <f>INDEX(Counselor,MATCH(B392,KidIDs,0))</f>
        <v>0</v>
      </c>
      <c r="P392">
        <f>INDEX(Advisors,MATCH(B392,KidIDs,0))</f>
        <v>0</v>
      </c>
      <c r="Q392">
        <f>INDEX(Cohort,MATCH(B392,KidIDs,0))</f>
        <v>0</v>
      </c>
      <c r="R392">
        <f>INDEX(AllCollegeBarrons,MATCH(N392,AllCollegeNCES,0))</f>
        <v>0</v>
      </c>
      <c r="S392">
        <f>INDEX(KidGPAs,MATCH(B392,KidIDs,0))</f>
        <v>0</v>
      </c>
      <c r="T392">
        <f>INDEX(KidSATs,MATCH(B392,KidIDs,0))</f>
        <v>0</v>
      </c>
      <c r="U392">
        <f>INDEX(Strats,MATCH(B392,KidIDs,0))</f>
        <v>0</v>
      </c>
      <c r="V392">
        <f>INDEX(KidRace,MATCH(B392,KidIDs,0))</f>
        <v>0</v>
      </c>
      <c r="W392">
        <f>IF(OR(V392="M",V392="I"),"H",IF(V392="P","A",V392))</f>
        <v>0</v>
      </c>
      <c r="X392">
        <f>INDEX(StudentTargets,MATCH(B392,KidIDs,0))</f>
        <v>0</v>
      </c>
      <c r="Y392">
        <f>INDEX(ReachStudentTargets,MATCH(B392,KidIDs,0))</f>
        <v>0</v>
      </c>
      <c r="Z392">
        <f>IF(OR(M392="Posse"),1,0)</f>
        <v>0</v>
      </c>
      <c r="AA392">
        <f>IF(ISNUMBER(INDEX(AllCollegeGR, MATCH(N392,AllCollegeNCES,0))),ROUND(INDEX(AllCollegeGR, MATCH(N392,AllCollegeNCES,0))+Z392*IF(INDEX(AllCollegeGR, MATCH(N392,AllCollegeNCES,0))&gt;0.7,(1-INDEX(AllCollegeGR, MATCH(N392,AllCollegeNCES,0)))/2,0.15),2),INDEX(AllCollegeGR, MATCH(N392,AllCollegeNCES,0)))</f>
        <v>0</v>
      </c>
      <c r="AB392">
        <f>IF(ISNUMBER(INDEX(AllCollegeAAHGR, MATCH(N392,AllCollegeNCES,0))),ROUND(INDEX(AllCollegeAAHGR, MATCH(N392,AllCollegeNCES,0))+Z392*IF(INDEX(AllCollegeAAHGR, MATCH(N392,AllCollegeNCES,0))&gt;0.7,(1-INDEX(AllCollegeAAHGR, MATCH(N392,AllCollegeNCES,0)))/2,0.15),2),INDEX(AllCollegeAAHGR, MATCH(N392,AllCollegeNCES,0)))</f>
        <v>0</v>
      </c>
      <c r="AC392">
        <f>IF(OR(W392="H",W392="B"),INDEX(AllCollegeSAT25, MATCH(N392,AllCollegeNCES,0)),INDEX(AllCollegeSAT50, MATCH(N392,AllCollegeNCES,0)))</f>
        <v>0</v>
      </c>
      <c r="AD392">
        <f>INDEX(CustomWeightsGPA,MATCH(W392&amp;":"&amp;N392,CustomWeightsIndex,0))</f>
        <v>0</v>
      </c>
      <c r="AE392">
        <f>INDEX(CustomWeightsSAT,MATCH(W392&amp;":"&amp;N392,CustomWeightsIndex,0))</f>
        <v>0</v>
      </c>
      <c r="AF392">
        <f>INDEX(CustomWeightsIntercept,MATCH(W392&amp;":"&amp;N392,CustomWeightsIndex,0))</f>
        <v>0</v>
      </c>
      <c r="AG392">
        <f>AD392*S392+AE392*T392+AF392</f>
        <v>0</v>
      </c>
      <c r="AH392">
        <f>INDEX(CoefficientsGPA,MATCH(W392&amp;":"&amp;R392,CoefficientsIndex,0))</f>
        <v>0</v>
      </c>
      <c r="AI392">
        <f>INDEX(CoefficientsSAT,MATCH(W392&amp;":"&amp;R392,CoefficientsIndex,0))</f>
        <v>0</v>
      </c>
      <c r="AJ392">
        <f>INDEX(CoefficientsIntercept,MATCH(W392&amp;":"&amp;R392,CoefficientsIndex,0))</f>
        <v>0</v>
      </c>
      <c r="AK392">
        <f>AH392*S392+(T392-AC392)*AI392+AJ392</f>
        <v>0</v>
      </c>
      <c r="AL392">
        <f>IF(ISNUMBER(AG392),AG392,AK392)</f>
        <v>0</v>
      </c>
      <c r="AM392">
        <f>IF(ISNUMBER(AL392),IF(ISNUMBER(AH392),IF(AND(AH392=1,AI392=1,AJ392=1),100,MIN(99,ROUND(100*EXP(AL392)/(1+EXP(AL392)),2))),MIN(99,ROUND(100*EXP(AL392)/(1+EXP(AL392)),2))),IF(ISTEXT(R392),IF(LEFT(R392,1)="2",100,"N/A"),"N/A"))</f>
        <v>0</v>
      </c>
      <c r="AN392">
        <f>IF(ISNUMBER(AM392),IF(AM392&gt;=99,IF(OR(U392=10,U392=11),MatchLabel,SureThingLabel),IF(AM392&gt;=95,SecureLabel,IF(AM392&gt;=80,SafetyLabel,IF(AM392&gt;=50,MatchLabel,IF(AM392&gt;=20,ReachLabel,IF(AM392&gt;=10,LongshotLabel,HailMaryLabel)))))),"Other")</f>
        <v>0</v>
      </c>
      <c r="AO392">
        <f>IF(OR(I392="accepted",I392="cond. accept",I392="summer admit"),IF(J392="yes","CHOICE!","Accepted!"),IF(I392="guar. transfer","Guar. Xfer",IF(I392="denied","Denied",IF(K392=1,"Waitlist",IF(L392=1,"Deferred",IF(G392="pending","Pending",IF(OR(G392="initial materials submitted",G392="mid-year submitted",G392="final submitted"),"Submitted",IF(H392="interest","Interest","?"))))))))</f>
        <v>0</v>
      </c>
      <c r="AP392">
        <f>IF(OR(AN392=ReachLabel,AN392=LongshotLabel,AN392=HailMaryLabel),1,0)</f>
        <v>0</v>
      </c>
      <c r="AQ392">
        <f>IF(OR(AP392=1,AN392=MatchLabel),1,0)</f>
        <v>0</v>
      </c>
      <c r="AR392">
        <f>IF(OR(AN392=MatchLabel,AN392=SafetyLabel,AN392=SecureLabel,AN392=SureThingLabel),1,0)</f>
        <v>0</v>
      </c>
      <c r="AS392">
        <f>IF(OR(W392="H",W392="B",W392="I",W392="M"),IF(ISNUMBER(AB392),ROUND(AB392,2),0),IF(ISNUMBER(AA392),ROUND(AA392,2),0))</f>
        <v>0</v>
      </c>
      <c r="AT392">
        <f>IF(AS392&gt;=X392,1,0)</f>
        <v>0</v>
      </c>
      <c r="AU392">
        <f>IF(AS392&gt;=Y392,1,0)</f>
        <v>0</v>
      </c>
      <c r="AV392">
        <f>IF(AS392&lt;(X392-0.10),1,0)</f>
        <v>0</v>
      </c>
      <c r="AW392">
        <f>1-AM392/100</f>
        <v>0</v>
      </c>
      <c r="AX392">
        <f>IF(AQ392=1,AW392,1)</f>
        <v>0</v>
      </c>
      <c r="AY392">
        <f>IF(AP392=1,AW392,1)</f>
        <v>0</v>
      </c>
      <c r="AZ392">
        <f>IF(AND(AT392=1,ISNUMBER(AW392)),$AW392,1)</f>
        <v>0</v>
      </c>
      <c r="BA392">
        <f>IF(AND(AU392=1,ISNUMBER(AW392)),$AW392,1)</f>
        <v>0</v>
      </c>
      <c r="BB392">
        <f>IF(ISNUMBER(AB392),INDEX(AllCollegeMoney, MATCH(N392,AllCollegeNCES,0)),0)</f>
        <v>0</v>
      </c>
      <c r="BC392">
        <f>IF(AND(AT392=1,ISNUMBER(AW392),BB392=1),$AW392,1)</f>
        <v>0</v>
      </c>
      <c r="BD392">
        <f>IF(AND(AU392=1,ISNUMBER(AW392),BB392=1),$AW392,1)</f>
        <v>0</v>
      </c>
      <c r="BE392">
        <f>IF(ISNUMBER(AB392),INDEX(AllCollegeILPub, MATCH(N392,AllCollegeNCES,0)),0)</f>
        <v>0</v>
      </c>
      <c r="BF392">
        <f>IF(AN392=ReachLabel,AS392,0)</f>
        <v>0</v>
      </c>
      <c r="BG392">
        <f>IF(AN392=MatchLabel,AS392,0)</f>
        <v>0</v>
      </c>
      <c r="BH392">
        <f>IF(AN392=SafetyLabel,AS392,0)</f>
        <v>0</v>
      </c>
      <c r="BI392">
        <f>IF(AN392=SecureLabel,AS392,0)</f>
        <v>0</v>
      </c>
      <c r="BJ392">
        <f>IF(AN392=SureThingLabel,AS392,0)</f>
        <v>0</v>
      </c>
      <c r="BK392">
        <f>MAX(BF392:BJ392)</f>
        <v>0</v>
      </c>
      <c r="BL392">
        <f>MAX(BG392:BJ392)</f>
        <v>0</v>
      </c>
      <c r="BM392">
        <f>MAX(BH392:BJ392)</f>
        <v>0</v>
      </c>
      <c r="BN392">
        <f>IF(AND(AN392=ReachLabel,BB392=1),AS392,0)</f>
        <v>0</v>
      </c>
      <c r="BO392">
        <f>IF(AND(AN392=MatchLabel,BB392=1),AS392,0)</f>
        <v>0</v>
      </c>
      <c r="BP392">
        <f>IF(AND(AN392=SafetyLabel,BB392=1),AS392,0)</f>
        <v>0</v>
      </c>
      <c r="BQ392">
        <f>IF(AND(AN392=SecureLabel,BB392=1),AS392,0)</f>
        <v>0</v>
      </c>
      <c r="BR392">
        <f>IF(AND(AN392=SureThingLabel,BB392=1),AS392,0)</f>
        <v>0</v>
      </c>
      <c r="BS392">
        <f>MAX(BN392:BR392)</f>
        <v>0</v>
      </c>
      <c r="BT392">
        <f>MAX(BO392:BR392)</f>
        <v>0</v>
      </c>
      <c r="BU392">
        <f>MAX(BP392:BR392)</f>
        <v>0</v>
      </c>
      <c r="BV392">
        <f>IF(ISNUMBER(AB392),INDEX(AllCollegeChicago, MATCH(N392,AllCollegeNCES,0))*BB392,0)</f>
        <v>0</v>
      </c>
      <c r="BW392">
        <f>IF(ISNUMBER(AB392),INDEX(AllCollegeMoneyCode, MATCH(N392,AllCollegeNCES,0)),"?")</f>
        <v>0</v>
      </c>
      <c r="BX392">
        <f>IF(OR(BW392="---",BW392="--",BW392="+/--",BW392="+/---"),1,0)</f>
        <v>0</v>
      </c>
      <c r="BY392">
        <f>BB392*AR392*AT392</f>
        <v>0</v>
      </c>
    </row>
    <row r="393" spans="1:77">
      <c r="A393" t="s">
        <v>96</v>
      </c>
      <c r="B393">
        <v>23340223</v>
      </c>
      <c r="C393" t="s">
        <v>185</v>
      </c>
      <c r="D393" t="s">
        <v>186</v>
      </c>
      <c r="E393" t="s">
        <v>446</v>
      </c>
      <c r="F393" t="s">
        <v>525</v>
      </c>
      <c r="G393" t="s">
        <v>448</v>
      </c>
      <c r="H393" t="s">
        <v>449</v>
      </c>
      <c r="I393" t="s">
        <v>450</v>
      </c>
      <c r="J393" t="s">
        <v>450</v>
      </c>
      <c r="K393">
        <v>0</v>
      </c>
      <c r="L393" t="s">
        <v>446</v>
      </c>
      <c r="M393" t="s">
        <v>446</v>
      </c>
      <c r="N393">
        <v>209056</v>
      </c>
      <c r="O393">
        <f>INDEX(Counselor,MATCH(B393,KidIDs,0))</f>
        <v>0</v>
      </c>
      <c r="P393">
        <f>INDEX(Advisors,MATCH(B393,KidIDs,0))</f>
        <v>0</v>
      </c>
      <c r="Q393">
        <f>INDEX(Cohort,MATCH(B393,KidIDs,0))</f>
        <v>0</v>
      </c>
      <c r="R393">
        <f>INDEX(AllCollegeBarrons,MATCH(N393,AllCollegeNCES,0))</f>
        <v>0</v>
      </c>
      <c r="S393">
        <f>INDEX(KidGPAs,MATCH(B393,KidIDs,0))</f>
        <v>0</v>
      </c>
      <c r="T393">
        <f>INDEX(KidSATs,MATCH(B393,KidIDs,0))</f>
        <v>0</v>
      </c>
      <c r="U393">
        <f>INDEX(Strats,MATCH(B393,KidIDs,0))</f>
        <v>0</v>
      </c>
      <c r="V393">
        <f>INDEX(KidRace,MATCH(B393,KidIDs,0))</f>
        <v>0</v>
      </c>
      <c r="W393">
        <f>IF(OR(V393="M",V393="I"),"H",IF(V393="P","A",V393))</f>
        <v>0</v>
      </c>
      <c r="X393">
        <f>INDEX(StudentTargets,MATCH(B393,KidIDs,0))</f>
        <v>0</v>
      </c>
      <c r="Y393">
        <f>INDEX(ReachStudentTargets,MATCH(B393,KidIDs,0))</f>
        <v>0</v>
      </c>
      <c r="Z393">
        <f>IF(OR(M393="Posse"),1,0)</f>
        <v>0</v>
      </c>
      <c r="AA393">
        <f>IF(ISNUMBER(INDEX(AllCollegeGR, MATCH(N393,AllCollegeNCES,0))),ROUND(INDEX(AllCollegeGR, MATCH(N393,AllCollegeNCES,0))+Z393*IF(INDEX(AllCollegeGR, MATCH(N393,AllCollegeNCES,0))&gt;0.7,(1-INDEX(AllCollegeGR, MATCH(N393,AllCollegeNCES,0)))/2,0.15),2),INDEX(AllCollegeGR, MATCH(N393,AllCollegeNCES,0)))</f>
        <v>0</v>
      </c>
      <c r="AB393">
        <f>IF(ISNUMBER(INDEX(AllCollegeAAHGR, MATCH(N393,AllCollegeNCES,0))),ROUND(INDEX(AllCollegeAAHGR, MATCH(N393,AllCollegeNCES,0))+Z393*IF(INDEX(AllCollegeAAHGR, MATCH(N393,AllCollegeNCES,0))&gt;0.7,(1-INDEX(AllCollegeAAHGR, MATCH(N393,AllCollegeNCES,0)))/2,0.15),2),INDEX(AllCollegeAAHGR, MATCH(N393,AllCollegeNCES,0)))</f>
        <v>0</v>
      </c>
      <c r="AC393">
        <f>IF(OR(W393="H",W393="B"),INDEX(AllCollegeSAT25, MATCH(N393,AllCollegeNCES,0)),INDEX(AllCollegeSAT50, MATCH(N393,AllCollegeNCES,0)))</f>
        <v>0</v>
      </c>
      <c r="AD393">
        <f>INDEX(CustomWeightsGPA,MATCH(W393&amp;":"&amp;N393,CustomWeightsIndex,0))</f>
        <v>0</v>
      </c>
      <c r="AE393">
        <f>INDEX(CustomWeightsSAT,MATCH(W393&amp;":"&amp;N393,CustomWeightsIndex,0))</f>
        <v>0</v>
      </c>
      <c r="AF393">
        <f>INDEX(CustomWeightsIntercept,MATCH(W393&amp;":"&amp;N393,CustomWeightsIndex,0))</f>
        <v>0</v>
      </c>
      <c r="AG393">
        <f>AD393*S393+AE393*T393+AF393</f>
        <v>0</v>
      </c>
      <c r="AH393">
        <f>INDEX(CoefficientsGPA,MATCH(W393&amp;":"&amp;R393,CoefficientsIndex,0))</f>
        <v>0</v>
      </c>
      <c r="AI393">
        <f>INDEX(CoefficientsSAT,MATCH(W393&amp;":"&amp;R393,CoefficientsIndex,0))</f>
        <v>0</v>
      </c>
      <c r="AJ393">
        <f>INDEX(CoefficientsIntercept,MATCH(W393&amp;":"&amp;R393,CoefficientsIndex,0))</f>
        <v>0</v>
      </c>
      <c r="AK393">
        <f>AH393*S393+(T393-AC393)*AI393+AJ393</f>
        <v>0</v>
      </c>
      <c r="AL393">
        <f>IF(ISNUMBER(AG393),AG393,AK393)</f>
        <v>0</v>
      </c>
      <c r="AM393">
        <f>IF(ISNUMBER(AL393),IF(ISNUMBER(AH393),IF(AND(AH393=1,AI393=1,AJ393=1),100,MIN(99,ROUND(100*EXP(AL393)/(1+EXP(AL393)),2))),MIN(99,ROUND(100*EXP(AL393)/(1+EXP(AL393)),2))),IF(ISTEXT(R393),IF(LEFT(R393,1)="2",100,"N/A"),"N/A"))</f>
        <v>0</v>
      </c>
      <c r="AN393">
        <f>IF(ISNUMBER(AM393),IF(AM393&gt;=99,IF(OR(U393=10,U393=11),MatchLabel,SureThingLabel),IF(AM393&gt;=95,SecureLabel,IF(AM393&gt;=80,SafetyLabel,IF(AM393&gt;=50,MatchLabel,IF(AM393&gt;=20,ReachLabel,IF(AM393&gt;=10,LongshotLabel,HailMaryLabel)))))),"Other")</f>
        <v>0</v>
      </c>
      <c r="AO393">
        <f>IF(OR(I393="accepted",I393="cond. accept",I393="summer admit"),IF(J393="yes","CHOICE!","Accepted!"),IF(I393="guar. transfer","Guar. Xfer",IF(I393="denied","Denied",IF(K393=1,"Waitlist",IF(L393=1,"Deferred",IF(G393="pending","Pending",IF(OR(G393="initial materials submitted",G393="mid-year submitted",G393="final submitted"),"Submitted",IF(H393="interest","Interest","?"))))))))</f>
        <v>0</v>
      </c>
      <c r="AP393">
        <f>IF(OR(AN393=ReachLabel,AN393=LongshotLabel,AN393=HailMaryLabel),1,0)</f>
        <v>0</v>
      </c>
      <c r="AQ393">
        <f>IF(OR(AP393=1,AN393=MatchLabel),1,0)</f>
        <v>0</v>
      </c>
      <c r="AR393">
        <f>IF(OR(AN393=MatchLabel,AN393=SafetyLabel,AN393=SecureLabel,AN393=SureThingLabel),1,0)</f>
        <v>0</v>
      </c>
      <c r="AS393">
        <f>IF(OR(W393="H",W393="B",W393="I",W393="M"),IF(ISNUMBER(AB393),ROUND(AB393,2),0),IF(ISNUMBER(AA393),ROUND(AA393,2),0))</f>
        <v>0</v>
      </c>
      <c r="AT393">
        <f>IF(AS393&gt;=X393,1,0)</f>
        <v>0</v>
      </c>
      <c r="AU393">
        <f>IF(AS393&gt;=Y393,1,0)</f>
        <v>0</v>
      </c>
      <c r="AV393">
        <f>IF(AS393&lt;(X393-0.10),1,0)</f>
        <v>0</v>
      </c>
      <c r="AW393">
        <f>1-AM393/100</f>
        <v>0</v>
      </c>
      <c r="AX393">
        <f>IF(AQ393=1,AW393,1)</f>
        <v>0</v>
      </c>
      <c r="AY393">
        <f>IF(AP393=1,AW393,1)</f>
        <v>0</v>
      </c>
      <c r="AZ393">
        <f>IF(AND(AT393=1,ISNUMBER(AW393)),$AW393,1)</f>
        <v>0</v>
      </c>
      <c r="BA393">
        <f>IF(AND(AU393=1,ISNUMBER(AW393)),$AW393,1)</f>
        <v>0</v>
      </c>
      <c r="BB393">
        <f>IF(ISNUMBER(AB393),INDEX(AllCollegeMoney, MATCH(N393,AllCollegeNCES,0)),0)</f>
        <v>0</v>
      </c>
      <c r="BC393">
        <f>IF(AND(AT393=1,ISNUMBER(AW393),BB393=1),$AW393,1)</f>
        <v>0</v>
      </c>
      <c r="BD393">
        <f>IF(AND(AU393=1,ISNUMBER(AW393),BB393=1),$AW393,1)</f>
        <v>0</v>
      </c>
      <c r="BE393">
        <f>IF(ISNUMBER(AB393),INDEX(AllCollegeILPub, MATCH(N393,AllCollegeNCES,0)),0)</f>
        <v>0</v>
      </c>
      <c r="BF393">
        <f>IF(AN393=ReachLabel,AS393,0)</f>
        <v>0</v>
      </c>
      <c r="BG393">
        <f>IF(AN393=MatchLabel,AS393,0)</f>
        <v>0</v>
      </c>
      <c r="BH393">
        <f>IF(AN393=SafetyLabel,AS393,0)</f>
        <v>0</v>
      </c>
      <c r="BI393">
        <f>IF(AN393=SecureLabel,AS393,0)</f>
        <v>0</v>
      </c>
      <c r="BJ393">
        <f>IF(AN393=SureThingLabel,AS393,0)</f>
        <v>0</v>
      </c>
      <c r="BK393">
        <f>MAX(BF393:BJ393)</f>
        <v>0</v>
      </c>
      <c r="BL393">
        <f>MAX(BG393:BJ393)</f>
        <v>0</v>
      </c>
      <c r="BM393">
        <f>MAX(BH393:BJ393)</f>
        <v>0</v>
      </c>
      <c r="BN393">
        <f>IF(AND(AN393=ReachLabel,BB393=1),AS393,0)</f>
        <v>0</v>
      </c>
      <c r="BO393">
        <f>IF(AND(AN393=MatchLabel,BB393=1),AS393,0)</f>
        <v>0</v>
      </c>
      <c r="BP393">
        <f>IF(AND(AN393=SafetyLabel,BB393=1),AS393,0)</f>
        <v>0</v>
      </c>
      <c r="BQ393">
        <f>IF(AND(AN393=SecureLabel,BB393=1),AS393,0)</f>
        <v>0</v>
      </c>
      <c r="BR393">
        <f>IF(AND(AN393=SureThingLabel,BB393=1),AS393,0)</f>
        <v>0</v>
      </c>
      <c r="BS393">
        <f>MAX(BN393:BR393)</f>
        <v>0</v>
      </c>
      <c r="BT393">
        <f>MAX(BO393:BR393)</f>
        <v>0</v>
      </c>
      <c r="BU393">
        <f>MAX(BP393:BR393)</f>
        <v>0</v>
      </c>
      <c r="BV393">
        <f>IF(ISNUMBER(AB393),INDEX(AllCollegeChicago, MATCH(N393,AllCollegeNCES,0))*BB393,0)</f>
        <v>0</v>
      </c>
      <c r="BW393">
        <f>IF(ISNUMBER(AB393),INDEX(AllCollegeMoneyCode, MATCH(N393,AllCollegeNCES,0)),"?")</f>
        <v>0</v>
      </c>
      <c r="BX393">
        <f>IF(OR(BW393="---",BW393="--",BW393="+/--",BW393="+/---"),1,0)</f>
        <v>0</v>
      </c>
      <c r="BY393">
        <f>BB393*AR393*AT393</f>
        <v>0</v>
      </c>
    </row>
    <row r="394" spans="1:77">
      <c r="A394" t="s">
        <v>96</v>
      </c>
      <c r="B394">
        <v>23340223</v>
      </c>
      <c r="C394" t="s">
        <v>185</v>
      </c>
      <c r="D394" t="s">
        <v>186</v>
      </c>
      <c r="E394" t="s">
        <v>446</v>
      </c>
      <c r="F394" t="s">
        <v>478</v>
      </c>
      <c r="G394" t="s">
        <v>479</v>
      </c>
      <c r="H394" t="s">
        <v>449</v>
      </c>
      <c r="I394" t="s">
        <v>450</v>
      </c>
      <c r="J394" t="s">
        <v>450</v>
      </c>
      <c r="K394">
        <v>0</v>
      </c>
      <c r="L394" t="s">
        <v>446</v>
      </c>
      <c r="M394" t="s">
        <v>446</v>
      </c>
      <c r="N394">
        <v>168546</v>
      </c>
      <c r="O394">
        <f>INDEX(Counselor,MATCH(B394,KidIDs,0))</f>
        <v>0</v>
      </c>
      <c r="P394">
        <f>INDEX(Advisors,MATCH(B394,KidIDs,0))</f>
        <v>0</v>
      </c>
      <c r="Q394">
        <f>INDEX(Cohort,MATCH(B394,KidIDs,0))</f>
        <v>0</v>
      </c>
      <c r="R394">
        <f>INDEX(AllCollegeBarrons,MATCH(N394,AllCollegeNCES,0))</f>
        <v>0</v>
      </c>
      <c r="S394">
        <f>INDEX(KidGPAs,MATCH(B394,KidIDs,0))</f>
        <v>0</v>
      </c>
      <c r="T394">
        <f>INDEX(KidSATs,MATCH(B394,KidIDs,0))</f>
        <v>0</v>
      </c>
      <c r="U394">
        <f>INDEX(Strats,MATCH(B394,KidIDs,0))</f>
        <v>0</v>
      </c>
      <c r="V394">
        <f>INDEX(KidRace,MATCH(B394,KidIDs,0))</f>
        <v>0</v>
      </c>
      <c r="W394">
        <f>IF(OR(V394="M",V394="I"),"H",IF(V394="P","A",V394))</f>
        <v>0</v>
      </c>
      <c r="X394">
        <f>INDEX(StudentTargets,MATCH(B394,KidIDs,0))</f>
        <v>0</v>
      </c>
      <c r="Y394">
        <f>INDEX(ReachStudentTargets,MATCH(B394,KidIDs,0))</f>
        <v>0</v>
      </c>
      <c r="Z394">
        <f>IF(OR(M394="Posse"),1,0)</f>
        <v>0</v>
      </c>
      <c r="AA394">
        <f>IF(ISNUMBER(INDEX(AllCollegeGR, MATCH(N394,AllCollegeNCES,0))),ROUND(INDEX(AllCollegeGR, MATCH(N394,AllCollegeNCES,0))+Z394*IF(INDEX(AllCollegeGR, MATCH(N394,AllCollegeNCES,0))&gt;0.7,(1-INDEX(AllCollegeGR, MATCH(N394,AllCollegeNCES,0)))/2,0.15),2),INDEX(AllCollegeGR, MATCH(N394,AllCollegeNCES,0)))</f>
        <v>0</v>
      </c>
      <c r="AB394">
        <f>IF(ISNUMBER(INDEX(AllCollegeAAHGR, MATCH(N394,AllCollegeNCES,0))),ROUND(INDEX(AllCollegeAAHGR, MATCH(N394,AllCollegeNCES,0))+Z394*IF(INDEX(AllCollegeAAHGR, MATCH(N394,AllCollegeNCES,0))&gt;0.7,(1-INDEX(AllCollegeAAHGR, MATCH(N394,AllCollegeNCES,0)))/2,0.15),2),INDEX(AllCollegeAAHGR, MATCH(N394,AllCollegeNCES,0)))</f>
        <v>0</v>
      </c>
      <c r="AC394">
        <f>IF(OR(W394="H",W394="B"),INDEX(AllCollegeSAT25, MATCH(N394,AllCollegeNCES,0)),INDEX(AllCollegeSAT50, MATCH(N394,AllCollegeNCES,0)))</f>
        <v>0</v>
      </c>
      <c r="AD394">
        <f>INDEX(CustomWeightsGPA,MATCH(W394&amp;":"&amp;N394,CustomWeightsIndex,0))</f>
        <v>0</v>
      </c>
      <c r="AE394">
        <f>INDEX(CustomWeightsSAT,MATCH(W394&amp;":"&amp;N394,CustomWeightsIndex,0))</f>
        <v>0</v>
      </c>
      <c r="AF394">
        <f>INDEX(CustomWeightsIntercept,MATCH(W394&amp;":"&amp;N394,CustomWeightsIndex,0))</f>
        <v>0</v>
      </c>
      <c r="AG394">
        <f>AD394*S394+AE394*T394+AF394</f>
        <v>0</v>
      </c>
      <c r="AH394">
        <f>INDEX(CoefficientsGPA,MATCH(W394&amp;":"&amp;R394,CoefficientsIndex,0))</f>
        <v>0</v>
      </c>
      <c r="AI394">
        <f>INDEX(CoefficientsSAT,MATCH(W394&amp;":"&amp;R394,CoefficientsIndex,0))</f>
        <v>0</v>
      </c>
      <c r="AJ394">
        <f>INDEX(CoefficientsIntercept,MATCH(W394&amp;":"&amp;R394,CoefficientsIndex,0))</f>
        <v>0</v>
      </c>
      <c r="AK394">
        <f>AH394*S394+(T394-AC394)*AI394+AJ394</f>
        <v>0</v>
      </c>
      <c r="AL394">
        <f>IF(ISNUMBER(AG394),AG394,AK394)</f>
        <v>0</v>
      </c>
      <c r="AM394">
        <f>IF(ISNUMBER(AL394),IF(ISNUMBER(AH394),IF(AND(AH394=1,AI394=1,AJ394=1),100,MIN(99,ROUND(100*EXP(AL394)/(1+EXP(AL394)),2))),MIN(99,ROUND(100*EXP(AL394)/(1+EXP(AL394)),2))),IF(ISTEXT(R394),IF(LEFT(R394,1)="2",100,"N/A"),"N/A"))</f>
        <v>0</v>
      </c>
      <c r="AN394">
        <f>IF(ISNUMBER(AM394),IF(AM394&gt;=99,IF(OR(U394=10,U394=11),MatchLabel,SureThingLabel),IF(AM394&gt;=95,SecureLabel,IF(AM394&gt;=80,SafetyLabel,IF(AM394&gt;=50,MatchLabel,IF(AM394&gt;=20,ReachLabel,IF(AM394&gt;=10,LongshotLabel,HailMaryLabel)))))),"Other")</f>
        <v>0</v>
      </c>
      <c r="AO394">
        <f>IF(OR(I394="accepted",I394="cond. accept",I394="summer admit"),IF(J394="yes","CHOICE!","Accepted!"),IF(I394="guar. transfer","Guar. Xfer",IF(I394="denied","Denied",IF(K394=1,"Waitlist",IF(L394=1,"Deferred",IF(G394="pending","Pending",IF(OR(G394="initial materials submitted",G394="mid-year submitted",G394="final submitted"),"Submitted",IF(H394="interest","Interest","?"))))))))</f>
        <v>0</v>
      </c>
      <c r="AP394">
        <f>IF(OR(AN394=ReachLabel,AN394=LongshotLabel,AN394=HailMaryLabel),1,0)</f>
        <v>0</v>
      </c>
      <c r="AQ394">
        <f>IF(OR(AP394=1,AN394=MatchLabel),1,0)</f>
        <v>0</v>
      </c>
      <c r="AR394">
        <f>IF(OR(AN394=MatchLabel,AN394=SafetyLabel,AN394=SecureLabel,AN394=SureThingLabel),1,0)</f>
        <v>0</v>
      </c>
      <c r="AS394">
        <f>IF(OR(W394="H",W394="B",W394="I",W394="M"),IF(ISNUMBER(AB394),ROUND(AB394,2),0),IF(ISNUMBER(AA394),ROUND(AA394,2),0))</f>
        <v>0</v>
      </c>
      <c r="AT394">
        <f>IF(AS394&gt;=X394,1,0)</f>
        <v>0</v>
      </c>
      <c r="AU394">
        <f>IF(AS394&gt;=Y394,1,0)</f>
        <v>0</v>
      </c>
      <c r="AV394">
        <f>IF(AS394&lt;(X394-0.10),1,0)</f>
        <v>0</v>
      </c>
      <c r="AW394">
        <f>1-AM394/100</f>
        <v>0</v>
      </c>
      <c r="AX394">
        <f>IF(AQ394=1,AW394,1)</f>
        <v>0</v>
      </c>
      <c r="AY394">
        <f>IF(AP394=1,AW394,1)</f>
        <v>0</v>
      </c>
      <c r="AZ394">
        <f>IF(AND(AT394=1,ISNUMBER(AW394)),$AW394,1)</f>
        <v>0</v>
      </c>
      <c r="BA394">
        <f>IF(AND(AU394=1,ISNUMBER(AW394)),$AW394,1)</f>
        <v>0</v>
      </c>
      <c r="BB394">
        <f>IF(ISNUMBER(AB394),INDEX(AllCollegeMoney, MATCH(N394,AllCollegeNCES,0)),0)</f>
        <v>0</v>
      </c>
      <c r="BC394">
        <f>IF(AND(AT394=1,ISNUMBER(AW394),BB394=1),$AW394,1)</f>
        <v>0</v>
      </c>
      <c r="BD394">
        <f>IF(AND(AU394=1,ISNUMBER(AW394),BB394=1),$AW394,1)</f>
        <v>0</v>
      </c>
      <c r="BE394">
        <f>IF(ISNUMBER(AB394),INDEX(AllCollegeILPub, MATCH(N394,AllCollegeNCES,0)),0)</f>
        <v>0</v>
      </c>
      <c r="BF394">
        <f>IF(AN394=ReachLabel,AS394,0)</f>
        <v>0</v>
      </c>
      <c r="BG394">
        <f>IF(AN394=MatchLabel,AS394,0)</f>
        <v>0</v>
      </c>
      <c r="BH394">
        <f>IF(AN394=SafetyLabel,AS394,0)</f>
        <v>0</v>
      </c>
      <c r="BI394">
        <f>IF(AN394=SecureLabel,AS394,0)</f>
        <v>0</v>
      </c>
      <c r="BJ394">
        <f>IF(AN394=SureThingLabel,AS394,0)</f>
        <v>0</v>
      </c>
      <c r="BK394">
        <f>MAX(BF394:BJ394)</f>
        <v>0</v>
      </c>
      <c r="BL394">
        <f>MAX(BG394:BJ394)</f>
        <v>0</v>
      </c>
      <c r="BM394">
        <f>MAX(BH394:BJ394)</f>
        <v>0</v>
      </c>
      <c r="BN394">
        <f>IF(AND(AN394=ReachLabel,BB394=1),AS394,0)</f>
        <v>0</v>
      </c>
      <c r="BO394">
        <f>IF(AND(AN394=MatchLabel,BB394=1),AS394,0)</f>
        <v>0</v>
      </c>
      <c r="BP394">
        <f>IF(AND(AN394=SafetyLabel,BB394=1),AS394,0)</f>
        <v>0</v>
      </c>
      <c r="BQ394">
        <f>IF(AND(AN394=SecureLabel,BB394=1),AS394,0)</f>
        <v>0</v>
      </c>
      <c r="BR394">
        <f>IF(AND(AN394=SureThingLabel,BB394=1),AS394,0)</f>
        <v>0</v>
      </c>
      <c r="BS394">
        <f>MAX(BN394:BR394)</f>
        <v>0</v>
      </c>
      <c r="BT394">
        <f>MAX(BO394:BR394)</f>
        <v>0</v>
      </c>
      <c r="BU394">
        <f>MAX(BP394:BR394)</f>
        <v>0</v>
      </c>
      <c r="BV394">
        <f>IF(ISNUMBER(AB394),INDEX(AllCollegeChicago, MATCH(N394,AllCollegeNCES,0))*BB394,0)</f>
        <v>0</v>
      </c>
      <c r="BW394">
        <f>IF(ISNUMBER(AB394),INDEX(AllCollegeMoneyCode, MATCH(N394,AllCollegeNCES,0)),"?")</f>
        <v>0</v>
      </c>
      <c r="BX394">
        <f>IF(OR(BW394="---",BW394="--",BW394="+/--",BW394="+/---"),1,0)</f>
        <v>0</v>
      </c>
      <c r="BY394">
        <f>BB394*AR394*AT394</f>
        <v>0</v>
      </c>
    </row>
    <row r="395" spans="1:77">
      <c r="A395" t="s">
        <v>96</v>
      </c>
      <c r="B395">
        <v>23340223</v>
      </c>
      <c r="C395" t="s">
        <v>185</v>
      </c>
      <c r="D395" t="s">
        <v>186</v>
      </c>
      <c r="E395" t="s">
        <v>446</v>
      </c>
      <c r="F395" t="s">
        <v>451</v>
      </c>
      <c r="G395" t="s">
        <v>448</v>
      </c>
      <c r="H395" t="s">
        <v>449</v>
      </c>
      <c r="I395" t="s">
        <v>450</v>
      </c>
      <c r="J395" t="s">
        <v>450</v>
      </c>
      <c r="K395">
        <v>0</v>
      </c>
      <c r="L395" t="s">
        <v>446</v>
      </c>
      <c r="M395" t="s">
        <v>446</v>
      </c>
      <c r="N395">
        <v>144962</v>
      </c>
      <c r="O395">
        <f>INDEX(Counselor,MATCH(B395,KidIDs,0))</f>
        <v>0</v>
      </c>
      <c r="P395">
        <f>INDEX(Advisors,MATCH(B395,KidIDs,0))</f>
        <v>0</v>
      </c>
      <c r="Q395">
        <f>INDEX(Cohort,MATCH(B395,KidIDs,0))</f>
        <v>0</v>
      </c>
      <c r="R395">
        <f>INDEX(AllCollegeBarrons,MATCH(N395,AllCollegeNCES,0))</f>
        <v>0</v>
      </c>
      <c r="S395">
        <f>INDEX(KidGPAs,MATCH(B395,KidIDs,0))</f>
        <v>0</v>
      </c>
      <c r="T395">
        <f>INDEX(KidSATs,MATCH(B395,KidIDs,0))</f>
        <v>0</v>
      </c>
      <c r="U395">
        <f>INDEX(Strats,MATCH(B395,KidIDs,0))</f>
        <v>0</v>
      </c>
      <c r="V395">
        <f>INDEX(KidRace,MATCH(B395,KidIDs,0))</f>
        <v>0</v>
      </c>
      <c r="W395">
        <f>IF(OR(V395="M",V395="I"),"H",IF(V395="P","A",V395))</f>
        <v>0</v>
      </c>
      <c r="X395">
        <f>INDEX(StudentTargets,MATCH(B395,KidIDs,0))</f>
        <v>0</v>
      </c>
      <c r="Y395">
        <f>INDEX(ReachStudentTargets,MATCH(B395,KidIDs,0))</f>
        <v>0</v>
      </c>
      <c r="Z395">
        <f>IF(OR(M395="Posse"),1,0)</f>
        <v>0</v>
      </c>
      <c r="AA395">
        <f>IF(ISNUMBER(INDEX(AllCollegeGR, MATCH(N395,AllCollegeNCES,0))),ROUND(INDEX(AllCollegeGR, MATCH(N395,AllCollegeNCES,0))+Z395*IF(INDEX(AllCollegeGR, MATCH(N395,AllCollegeNCES,0))&gt;0.7,(1-INDEX(AllCollegeGR, MATCH(N395,AllCollegeNCES,0)))/2,0.15),2),INDEX(AllCollegeGR, MATCH(N395,AllCollegeNCES,0)))</f>
        <v>0</v>
      </c>
      <c r="AB395">
        <f>IF(ISNUMBER(INDEX(AllCollegeAAHGR, MATCH(N395,AllCollegeNCES,0))),ROUND(INDEX(AllCollegeAAHGR, MATCH(N395,AllCollegeNCES,0))+Z395*IF(INDEX(AllCollegeAAHGR, MATCH(N395,AllCollegeNCES,0))&gt;0.7,(1-INDEX(AllCollegeAAHGR, MATCH(N395,AllCollegeNCES,0)))/2,0.15),2),INDEX(AllCollegeAAHGR, MATCH(N395,AllCollegeNCES,0)))</f>
        <v>0</v>
      </c>
      <c r="AC395">
        <f>IF(OR(W395="H",W395="B"),INDEX(AllCollegeSAT25, MATCH(N395,AllCollegeNCES,0)),INDEX(AllCollegeSAT50, MATCH(N395,AllCollegeNCES,0)))</f>
        <v>0</v>
      </c>
      <c r="AD395">
        <f>INDEX(CustomWeightsGPA,MATCH(W395&amp;":"&amp;N395,CustomWeightsIndex,0))</f>
        <v>0</v>
      </c>
      <c r="AE395">
        <f>INDEX(CustomWeightsSAT,MATCH(W395&amp;":"&amp;N395,CustomWeightsIndex,0))</f>
        <v>0</v>
      </c>
      <c r="AF395">
        <f>INDEX(CustomWeightsIntercept,MATCH(W395&amp;":"&amp;N395,CustomWeightsIndex,0))</f>
        <v>0</v>
      </c>
      <c r="AG395">
        <f>AD395*S395+AE395*T395+AF395</f>
        <v>0</v>
      </c>
      <c r="AH395">
        <f>INDEX(CoefficientsGPA,MATCH(W395&amp;":"&amp;R395,CoefficientsIndex,0))</f>
        <v>0</v>
      </c>
      <c r="AI395">
        <f>INDEX(CoefficientsSAT,MATCH(W395&amp;":"&amp;R395,CoefficientsIndex,0))</f>
        <v>0</v>
      </c>
      <c r="AJ395">
        <f>INDEX(CoefficientsIntercept,MATCH(W395&amp;":"&amp;R395,CoefficientsIndex,0))</f>
        <v>0</v>
      </c>
      <c r="AK395">
        <f>AH395*S395+(T395-AC395)*AI395+AJ395</f>
        <v>0</v>
      </c>
      <c r="AL395">
        <f>IF(ISNUMBER(AG395),AG395,AK395)</f>
        <v>0</v>
      </c>
      <c r="AM395">
        <f>IF(ISNUMBER(AL395),IF(ISNUMBER(AH395),IF(AND(AH395=1,AI395=1,AJ395=1),100,MIN(99,ROUND(100*EXP(AL395)/(1+EXP(AL395)),2))),MIN(99,ROUND(100*EXP(AL395)/(1+EXP(AL395)),2))),IF(ISTEXT(R395),IF(LEFT(R395,1)="2",100,"N/A"),"N/A"))</f>
        <v>0</v>
      </c>
      <c r="AN395">
        <f>IF(ISNUMBER(AM395),IF(AM395&gt;=99,IF(OR(U395=10,U395=11),MatchLabel,SureThingLabel),IF(AM395&gt;=95,SecureLabel,IF(AM395&gt;=80,SafetyLabel,IF(AM395&gt;=50,MatchLabel,IF(AM395&gt;=20,ReachLabel,IF(AM395&gt;=10,LongshotLabel,HailMaryLabel)))))),"Other")</f>
        <v>0</v>
      </c>
      <c r="AO395">
        <f>IF(OR(I395="accepted",I395="cond. accept",I395="summer admit"),IF(J395="yes","CHOICE!","Accepted!"),IF(I395="guar. transfer","Guar. Xfer",IF(I395="denied","Denied",IF(K395=1,"Waitlist",IF(L395=1,"Deferred",IF(G395="pending","Pending",IF(OR(G395="initial materials submitted",G395="mid-year submitted",G395="final submitted"),"Submitted",IF(H395="interest","Interest","?"))))))))</f>
        <v>0</v>
      </c>
      <c r="AP395">
        <f>IF(OR(AN395=ReachLabel,AN395=LongshotLabel,AN395=HailMaryLabel),1,0)</f>
        <v>0</v>
      </c>
      <c r="AQ395">
        <f>IF(OR(AP395=1,AN395=MatchLabel),1,0)</f>
        <v>0</v>
      </c>
      <c r="AR395">
        <f>IF(OR(AN395=MatchLabel,AN395=SafetyLabel,AN395=SecureLabel,AN395=SureThingLabel),1,0)</f>
        <v>0</v>
      </c>
      <c r="AS395">
        <f>IF(OR(W395="H",W395="B",W395="I",W395="M"),IF(ISNUMBER(AB395),ROUND(AB395,2),0),IF(ISNUMBER(AA395),ROUND(AA395,2),0))</f>
        <v>0</v>
      </c>
      <c r="AT395">
        <f>IF(AS395&gt;=X395,1,0)</f>
        <v>0</v>
      </c>
      <c r="AU395">
        <f>IF(AS395&gt;=Y395,1,0)</f>
        <v>0</v>
      </c>
      <c r="AV395">
        <f>IF(AS395&lt;(X395-0.10),1,0)</f>
        <v>0</v>
      </c>
      <c r="AW395">
        <f>1-AM395/100</f>
        <v>0</v>
      </c>
      <c r="AX395">
        <f>IF(AQ395=1,AW395,1)</f>
        <v>0</v>
      </c>
      <c r="AY395">
        <f>IF(AP395=1,AW395,1)</f>
        <v>0</v>
      </c>
      <c r="AZ395">
        <f>IF(AND(AT395=1,ISNUMBER(AW395)),$AW395,1)</f>
        <v>0</v>
      </c>
      <c r="BA395">
        <f>IF(AND(AU395=1,ISNUMBER(AW395)),$AW395,1)</f>
        <v>0</v>
      </c>
      <c r="BB395">
        <f>IF(ISNUMBER(AB395),INDEX(AllCollegeMoney, MATCH(N395,AllCollegeNCES,0)),0)</f>
        <v>0</v>
      </c>
      <c r="BC395">
        <f>IF(AND(AT395=1,ISNUMBER(AW395),BB395=1),$AW395,1)</f>
        <v>0</v>
      </c>
      <c r="BD395">
        <f>IF(AND(AU395=1,ISNUMBER(AW395),BB395=1),$AW395,1)</f>
        <v>0</v>
      </c>
      <c r="BE395">
        <f>IF(ISNUMBER(AB395),INDEX(AllCollegeILPub, MATCH(N395,AllCollegeNCES,0)),0)</f>
        <v>0</v>
      </c>
      <c r="BF395">
        <f>IF(AN395=ReachLabel,AS395,0)</f>
        <v>0</v>
      </c>
      <c r="BG395">
        <f>IF(AN395=MatchLabel,AS395,0)</f>
        <v>0</v>
      </c>
      <c r="BH395">
        <f>IF(AN395=SafetyLabel,AS395,0)</f>
        <v>0</v>
      </c>
      <c r="BI395">
        <f>IF(AN395=SecureLabel,AS395,0)</f>
        <v>0</v>
      </c>
      <c r="BJ395">
        <f>IF(AN395=SureThingLabel,AS395,0)</f>
        <v>0</v>
      </c>
      <c r="BK395">
        <f>MAX(BF395:BJ395)</f>
        <v>0</v>
      </c>
      <c r="BL395">
        <f>MAX(BG395:BJ395)</f>
        <v>0</v>
      </c>
      <c r="BM395">
        <f>MAX(BH395:BJ395)</f>
        <v>0</v>
      </c>
      <c r="BN395">
        <f>IF(AND(AN395=ReachLabel,BB395=1),AS395,0)</f>
        <v>0</v>
      </c>
      <c r="BO395">
        <f>IF(AND(AN395=MatchLabel,BB395=1),AS395,0)</f>
        <v>0</v>
      </c>
      <c r="BP395">
        <f>IF(AND(AN395=SafetyLabel,BB395=1),AS395,0)</f>
        <v>0</v>
      </c>
      <c r="BQ395">
        <f>IF(AND(AN395=SecureLabel,BB395=1),AS395,0)</f>
        <v>0</v>
      </c>
      <c r="BR395">
        <f>IF(AND(AN395=SureThingLabel,BB395=1),AS395,0)</f>
        <v>0</v>
      </c>
      <c r="BS395">
        <f>MAX(BN395:BR395)</f>
        <v>0</v>
      </c>
      <c r="BT395">
        <f>MAX(BO395:BR395)</f>
        <v>0</v>
      </c>
      <c r="BU395">
        <f>MAX(BP395:BR395)</f>
        <v>0</v>
      </c>
      <c r="BV395">
        <f>IF(ISNUMBER(AB395),INDEX(AllCollegeChicago, MATCH(N395,AllCollegeNCES,0))*BB395,0)</f>
        <v>0</v>
      </c>
      <c r="BW395">
        <f>IF(ISNUMBER(AB395),INDEX(AllCollegeMoneyCode, MATCH(N395,AllCollegeNCES,0)),"?")</f>
        <v>0</v>
      </c>
      <c r="BX395">
        <f>IF(OR(BW395="---",BW395="--",BW395="+/--",BW395="+/---"),1,0)</f>
        <v>0</v>
      </c>
      <c r="BY395">
        <f>BB395*AR395*AT395</f>
        <v>0</v>
      </c>
    </row>
    <row r="396" spans="1:77">
      <c r="A396" t="s">
        <v>96</v>
      </c>
      <c r="B396">
        <v>23340223</v>
      </c>
      <c r="C396" t="s">
        <v>185</v>
      </c>
      <c r="D396" t="s">
        <v>186</v>
      </c>
      <c r="E396" t="s">
        <v>446</v>
      </c>
      <c r="F396" t="s">
        <v>502</v>
      </c>
      <c r="G396" t="s">
        <v>448</v>
      </c>
      <c r="H396" t="s">
        <v>449</v>
      </c>
      <c r="I396" t="s">
        <v>450</v>
      </c>
      <c r="J396" t="s">
        <v>450</v>
      </c>
      <c r="K396">
        <v>0</v>
      </c>
      <c r="L396" t="s">
        <v>446</v>
      </c>
      <c r="M396" t="s">
        <v>446</v>
      </c>
      <c r="N396">
        <v>170082</v>
      </c>
      <c r="O396">
        <f>INDEX(Counselor,MATCH(B396,KidIDs,0))</f>
        <v>0</v>
      </c>
      <c r="P396">
        <f>INDEX(Advisors,MATCH(B396,KidIDs,0))</f>
        <v>0</v>
      </c>
      <c r="Q396">
        <f>INDEX(Cohort,MATCH(B396,KidIDs,0))</f>
        <v>0</v>
      </c>
      <c r="R396">
        <f>INDEX(AllCollegeBarrons,MATCH(N396,AllCollegeNCES,0))</f>
        <v>0</v>
      </c>
      <c r="S396">
        <f>INDEX(KidGPAs,MATCH(B396,KidIDs,0))</f>
        <v>0</v>
      </c>
      <c r="T396">
        <f>INDEX(KidSATs,MATCH(B396,KidIDs,0))</f>
        <v>0</v>
      </c>
      <c r="U396">
        <f>INDEX(Strats,MATCH(B396,KidIDs,0))</f>
        <v>0</v>
      </c>
      <c r="V396">
        <f>INDEX(KidRace,MATCH(B396,KidIDs,0))</f>
        <v>0</v>
      </c>
      <c r="W396">
        <f>IF(OR(V396="M",V396="I"),"H",IF(V396="P","A",V396))</f>
        <v>0</v>
      </c>
      <c r="X396">
        <f>INDEX(StudentTargets,MATCH(B396,KidIDs,0))</f>
        <v>0</v>
      </c>
      <c r="Y396">
        <f>INDEX(ReachStudentTargets,MATCH(B396,KidIDs,0))</f>
        <v>0</v>
      </c>
      <c r="Z396">
        <f>IF(OR(M396="Posse"),1,0)</f>
        <v>0</v>
      </c>
      <c r="AA396">
        <f>IF(ISNUMBER(INDEX(AllCollegeGR, MATCH(N396,AllCollegeNCES,0))),ROUND(INDEX(AllCollegeGR, MATCH(N396,AllCollegeNCES,0))+Z396*IF(INDEX(AllCollegeGR, MATCH(N396,AllCollegeNCES,0))&gt;0.7,(1-INDEX(AllCollegeGR, MATCH(N396,AllCollegeNCES,0)))/2,0.15),2),INDEX(AllCollegeGR, MATCH(N396,AllCollegeNCES,0)))</f>
        <v>0</v>
      </c>
      <c r="AB396">
        <f>IF(ISNUMBER(INDEX(AllCollegeAAHGR, MATCH(N396,AllCollegeNCES,0))),ROUND(INDEX(AllCollegeAAHGR, MATCH(N396,AllCollegeNCES,0))+Z396*IF(INDEX(AllCollegeAAHGR, MATCH(N396,AllCollegeNCES,0))&gt;0.7,(1-INDEX(AllCollegeAAHGR, MATCH(N396,AllCollegeNCES,0)))/2,0.15),2),INDEX(AllCollegeAAHGR, MATCH(N396,AllCollegeNCES,0)))</f>
        <v>0</v>
      </c>
      <c r="AC396">
        <f>IF(OR(W396="H",W396="B"),INDEX(AllCollegeSAT25, MATCH(N396,AllCollegeNCES,0)),INDEX(AllCollegeSAT50, MATCH(N396,AllCollegeNCES,0)))</f>
        <v>0</v>
      </c>
      <c r="AD396">
        <f>INDEX(CustomWeightsGPA,MATCH(W396&amp;":"&amp;N396,CustomWeightsIndex,0))</f>
        <v>0</v>
      </c>
      <c r="AE396">
        <f>INDEX(CustomWeightsSAT,MATCH(W396&amp;":"&amp;N396,CustomWeightsIndex,0))</f>
        <v>0</v>
      </c>
      <c r="AF396">
        <f>INDEX(CustomWeightsIntercept,MATCH(W396&amp;":"&amp;N396,CustomWeightsIndex,0))</f>
        <v>0</v>
      </c>
      <c r="AG396">
        <f>AD396*S396+AE396*T396+AF396</f>
        <v>0</v>
      </c>
      <c r="AH396">
        <f>INDEX(CoefficientsGPA,MATCH(W396&amp;":"&amp;R396,CoefficientsIndex,0))</f>
        <v>0</v>
      </c>
      <c r="AI396">
        <f>INDEX(CoefficientsSAT,MATCH(W396&amp;":"&amp;R396,CoefficientsIndex,0))</f>
        <v>0</v>
      </c>
      <c r="AJ396">
        <f>INDEX(CoefficientsIntercept,MATCH(W396&amp;":"&amp;R396,CoefficientsIndex,0))</f>
        <v>0</v>
      </c>
      <c r="AK396">
        <f>AH396*S396+(T396-AC396)*AI396+AJ396</f>
        <v>0</v>
      </c>
      <c r="AL396">
        <f>IF(ISNUMBER(AG396),AG396,AK396)</f>
        <v>0</v>
      </c>
      <c r="AM396">
        <f>IF(ISNUMBER(AL396),IF(ISNUMBER(AH396),IF(AND(AH396=1,AI396=1,AJ396=1),100,MIN(99,ROUND(100*EXP(AL396)/(1+EXP(AL396)),2))),MIN(99,ROUND(100*EXP(AL396)/(1+EXP(AL396)),2))),IF(ISTEXT(R396),IF(LEFT(R396,1)="2",100,"N/A"),"N/A"))</f>
        <v>0</v>
      </c>
      <c r="AN396">
        <f>IF(ISNUMBER(AM396),IF(AM396&gt;=99,IF(OR(U396=10,U396=11),MatchLabel,SureThingLabel),IF(AM396&gt;=95,SecureLabel,IF(AM396&gt;=80,SafetyLabel,IF(AM396&gt;=50,MatchLabel,IF(AM396&gt;=20,ReachLabel,IF(AM396&gt;=10,LongshotLabel,HailMaryLabel)))))),"Other")</f>
        <v>0</v>
      </c>
      <c r="AO396">
        <f>IF(OR(I396="accepted",I396="cond. accept",I396="summer admit"),IF(J396="yes","CHOICE!","Accepted!"),IF(I396="guar. transfer","Guar. Xfer",IF(I396="denied","Denied",IF(K396=1,"Waitlist",IF(L396=1,"Deferred",IF(G396="pending","Pending",IF(OR(G396="initial materials submitted",G396="mid-year submitted",G396="final submitted"),"Submitted",IF(H396="interest","Interest","?"))))))))</f>
        <v>0</v>
      </c>
      <c r="AP396">
        <f>IF(OR(AN396=ReachLabel,AN396=LongshotLabel,AN396=HailMaryLabel),1,0)</f>
        <v>0</v>
      </c>
      <c r="AQ396">
        <f>IF(OR(AP396=1,AN396=MatchLabel),1,0)</f>
        <v>0</v>
      </c>
      <c r="AR396">
        <f>IF(OR(AN396=MatchLabel,AN396=SafetyLabel,AN396=SecureLabel,AN396=SureThingLabel),1,0)</f>
        <v>0</v>
      </c>
      <c r="AS396">
        <f>IF(OR(W396="H",W396="B",W396="I",W396="M"),IF(ISNUMBER(AB396),ROUND(AB396,2),0),IF(ISNUMBER(AA396),ROUND(AA396,2),0))</f>
        <v>0</v>
      </c>
      <c r="AT396">
        <f>IF(AS396&gt;=X396,1,0)</f>
        <v>0</v>
      </c>
      <c r="AU396">
        <f>IF(AS396&gt;=Y396,1,0)</f>
        <v>0</v>
      </c>
      <c r="AV396">
        <f>IF(AS396&lt;(X396-0.10),1,0)</f>
        <v>0</v>
      </c>
      <c r="AW396">
        <f>1-AM396/100</f>
        <v>0</v>
      </c>
      <c r="AX396">
        <f>IF(AQ396=1,AW396,1)</f>
        <v>0</v>
      </c>
      <c r="AY396">
        <f>IF(AP396=1,AW396,1)</f>
        <v>0</v>
      </c>
      <c r="AZ396">
        <f>IF(AND(AT396=1,ISNUMBER(AW396)),$AW396,1)</f>
        <v>0</v>
      </c>
      <c r="BA396">
        <f>IF(AND(AU396=1,ISNUMBER(AW396)),$AW396,1)</f>
        <v>0</v>
      </c>
      <c r="BB396">
        <f>IF(ISNUMBER(AB396),INDEX(AllCollegeMoney, MATCH(N396,AllCollegeNCES,0)),0)</f>
        <v>0</v>
      </c>
      <c r="BC396">
        <f>IF(AND(AT396=1,ISNUMBER(AW396),BB396=1),$AW396,1)</f>
        <v>0</v>
      </c>
      <c r="BD396">
        <f>IF(AND(AU396=1,ISNUMBER(AW396),BB396=1),$AW396,1)</f>
        <v>0</v>
      </c>
      <c r="BE396">
        <f>IF(ISNUMBER(AB396),INDEX(AllCollegeILPub, MATCH(N396,AllCollegeNCES,0)),0)</f>
        <v>0</v>
      </c>
      <c r="BF396">
        <f>IF(AN396=ReachLabel,AS396,0)</f>
        <v>0</v>
      </c>
      <c r="BG396">
        <f>IF(AN396=MatchLabel,AS396,0)</f>
        <v>0</v>
      </c>
      <c r="BH396">
        <f>IF(AN396=SafetyLabel,AS396,0)</f>
        <v>0</v>
      </c>
      <c r="BI396">
        <f>IF(AN396=SecureLabel,AS396,0)</f>
        <v>0</v>
      </c>
      <c r="BJ396">
        <f>IF(AN396=SureThingLabel,AS396,0)</f>
        <v>0</v>
      </c>
      <c r="BK396">
        <f>MAX(BF396:BJ396)</f>
        <v>0</v>
      </c>
      <c r="BL396">
        <f>MAX(BG396:BJ396)</f>
        <v>0</v>
      </c>
      <c r="BM396">
        <f>MAX(BH396:BJ396)</f>
        <v>0</v>
      </c>
      <c r="BN396">
        <f>IF(AND(AN396=ReachLabel,BB396=1),AS396,0)</f>
        <v>0</v>
      </c>
      <c r="BO396">
        <f>IF(AND(AN396=MatchLabel,BB396=1),AS396,0)</f>
        <v>0</v>
      </c>
      <c r="BP396">
        <f>IF(AND(AN396=SafetyLabel,BB396=1),AS396,0)</f>
        <v>0</v>
      </c>
      <c r="BQ396">
        <f>IF(AND(AN396=SecureLabel,BB396=1),AS396,0)</f>
        <v>0</v>
      </c>
      <c r="BR396">
        <f>IF(AND(AN396=SureThingLabel,BB396=1),AS396,0)</f>
        <v>0</v>
      </c>
      <c r="BS396">
        <f>MAX(BN396:BR396)</f>
        <v>0</v>
      </c>
      <c r="BT396">
        <f>MAX(BO396:BR396)</f>
        <v>0</v>
      </c>
      <c r="BU396">
        <f>MAX(BP396:BR396)</f>
        <v>0</v>
      </c>
      <c r="BV396">
        <f>IF(ISNUMBER(AB396),INDEX(AllCollegeChicago, MATCH(N396,AllCollegeNCES,0))*BB396,0)</f>
        <v>0</v>
      </c>
      <c r="BW396">
        <f>IF(ISNUMBER(AB396),INDEX(AllCollegeMoneyCode, MATCH(N396,AllCollegeNCES,0)),"?")</f>
        <v>0</v>
      </c>
      <c r="BX396">
        <f>IF(OR(BW396="---",BW396="--",BW396="+/--",BW396="+/---"),1,0)</f>
        <v>0</v>
      </c>
      <c r="BY396">
        <f>BB396*AR396*AT396</f>
        <v>0</v>
      </c>
    </row>
    <row r="397" spans="1:77">
      <c r="A397" t="s">
        <v>96</v>
      </c>
      <c r="B397">
        <v>23340223</v>
      </c>
      <c r="C397" t="s">
        <v>185</v>
      </c>
      <c r="D397" t="s">
        <v>186</v>
      </c>
      <c r="E397" t="s">
        <v>446</v>
      </c>
      <c r="F397" t="s">
        <v>465</v>
      </c>
      <c r="G397" t="s">
        <v>448</v>
      </c>
      <c r="H397" t="s">
        <v>449</v>
      </c>
      <c r="I397" t="s">
        <v>450</v>
      </c>
      <c r="J397" t="s">
        <v>450</v>
      </c>
      <c r="K397">
        <v>0</v>
      </c>
      <c r="L397" t="s">
        <v>446</v>
      </c>
      <c r="M397" t="s">
        <v>446</v>
      </c>
      <c r="N397">
        <v>145600</v>
      </c>
      <c r="O397">
        <f>INDEX(Counselor,MATCH(B397,KidIDs,0))</f>
        <v>0</v>
      </c>
      <c r="P397">
        <f>INDEX(Advisors,MATCH(B397,KidIDs,0))</f>
        <v>0</v>
      </c>
      <c r="Q397">
        <f>INDEX(Cohort,MATCH(B397,KidIDs,0))</f>
        <v>0</v>
      </c>
      <c r="R397">
        <f>INDEX(AllCollegeBarrons,MATCH(N397,AllCollegeNCES,0))</f>
        <v>0</v>
      </c>
      <c r="S397">
        <f>INDEX(KidGPAs,MATCH(B397,KidIDs,0))</f>
        <v>0</v>
      </c>
      <c r="T397">
        <f>INDEX(KidSATs,MATCH(B397,KidIDs,0))</f>
        <v>0</v>
      </c>
      <c r="U397">
        <f>INDEX(Strats,MATCH(B397,KidIDs,0))</f>
        <v>0</v>
      </c>
      <c r="V397">
        <f>INDEX(KidRace,MATCH(B397,KidIDs,0))</f>
        <v>0</v>
      </c>
      <c r="W397">
        <f>IF(OR(V397="M",V397="I"),"H",IF(V397="P","A",V397))</f>
        <v>0</v>
      </c>
      <c r="X397">
        <f>INDEX(StudentTargets,MATCH(B397,KidIDs,0))</f>
        <v>0</v>
      </c>
      <c r="Y397">
        <f>INDEX(ReachStudentTargets,MATCH(B397,KidIDs,0))</f>
        <v>0</v>
      </c>
      <c r="Z397">
        <f>IF(OR(M397="Posse"),1,0)</f>
        <v>0</v>
      </c>
      <c r="AA397">
        <f>IF(ISNUMBER(INDEX(AllCollegeGR, MATCH(N397,AllCollegeNCES,0))),ROUND(INDEX(AllCollegeGR, MATCH(N397,AllCollegeNCES,0))+Z397*IF(INDEX(AllCollegeGR, MATCH(N397,AllCollegeNCES,0))&gt;0.7,(1-INDEX(AllCollegeGR, MATCH(N397,AllCollegeNCES,0)))/2,0.15),2),INDEX(AllCollegeGR, MATCH(N397,AllCollegeNCES,0)))</f>
        <v>0</v>
      </c>
      <c r="AB397">
        <f>IF(ISNUMBER(INDEX(AllCollegeAAHGR, MATCH(N397,AllCollegeNCES,0))),ROUND(INDEX(AllCollegeAAHGR, MATCH(N397,AllCollegeNCES,0))+Z397*IF(INDEX(AllCollegeAAHGR, MATCH(N397,AllCollegeNCES,0))&gt;0.7,(1-INDEX(AllCollegeAAHGR, MATCH(N397,AllCollegeNCES,0)))/2,0.15),2),INDEX(AllCollegeAAHGR, MATCH(N397,AllCollegeNCES,0)))</f>
        <v>0</v>
      </c>
      <c r="AC397">
        <f>IF(OR(W397="H",W397="B"),INDEX(AllCollegeSAT25, MATCH(N397,AllCollegeNCES,0)),INDEX(AllCollegeSAT50, MATCH(N397,AllCollegeNCES,0)))</f>
        <v>0</v>
      </c>
      <c r="AD397">
        <f>INDEX(CustomWeightsGPA,MATCH(W397&amp;":"&amp;N397,CustomWeightsIndex,0))</f>
        <v>0</v>
      </c>
      <c r="AE397">
        <f>INDEX(CustomWeightsSAT,MATCH(W397&amp;":"&amp;N397,CustomWeightsIndex,0))</f>
        <v>0</v>
      </c>
      <c r="AF397">
        <f>INDEX(CustomWeightsIntercept,MATCH(W397&amp;":"&amp;N397,CustomWeightsIndex,0))</f>
        <v>0</v>
      </c>
      <c r="AG397">
        <f>AD397*S397+AE397*T397+AF397</f>
        <v>0</v>
      </c>
      <c r="AH397">
        <f>INDEX(CoefficientsGPA,MATCH(W397&amp;":"&amp;R397,CoefficientsIndex,0))</f>
        <v>0</v>
      </c>
      <c r="AI397">
        <f>INDEX(CoefficientsSAT,MATCH(W397&amp;":"&amp;R397,CoefficientsIndex,0))</f>
        <v>0</v>
      </c>
      <c r="AJ397">
        <f>INDEX(CoefficientsIntercept,MATCH(W397&amp;":"&amp;R397,CoefficientsIndex,0))</f>
        <v>0</v>
      </c>
      <c r="AK397">
        <f>AH397*S397+(T397-AC397)*AI397+AJ397</f>
        <v>0</v>
      </c>
      <c r="AL397">
        <f>IF(ISNUMBER(AG397),AG397,AK397)</f>
        <v>0</v>
      </c>
      <c r="AM397">
        <f>IF(ISNUMBER(AL397),IF(ISNUMBER(AH397),IF(AND(AH397=1,AI397=1,AJ397=1),100,MIN(99,ROUND(100*EXP(AL397)/(1+EXP(AL397)),2))),MIN(99,ROUND(100*EXP(AL397)/(1+EXP(AL397)),2))),IF(ISTEXT(R397),IF(LEFT(R397,1)="2",100,"N/A"),"N/A"))</f>
        <v>0</v>
      </c>
      <c r="AN397">
        <f>IF(ISNUMBER(AM397),IF(AM397&gt;=99,IF(OR(U397=10,U397=11),MatchLabel,SureThingLabel),IF(AM397&gt;=95,SecureLabel,IF(AM397&gt;=80,SafetyLabel,IF(AM397&gt;=50,MatchLabel,IF(AM397&gt;=20,ReachLabel,IF(AM397&gt;=10,LongshotLabel,HailMaryLabel)))))),"Other")</f>
        <v>0</v>
      </c>
      <c r="AO397">
        <f>IF(OR(I397="accepted",I397="cond. accept",I397="summer admit"),IF(J397="yes","CHOICE!","Accepted!"),IF(I397="guar. transfer","Guar. Xfer",IF(I397="denied","Denied",IF(K397=1,"Waitlist",IF(L397=1,"Deferred",IF(G397="pending","Pending",IF(OR(G397="initial materials submitted",G397="mid-year submitted",G397="final submitted"),"Submitted",IF(H397="interest","Interest","?"))))))))</f>
        <v>0</v>
      </c>
      <c r="AP397">
        <f>IF(OR(AN397=ReachLabel,AN397=LongshotLabel,AN397=HailMaryLabel),1,0)</f>
        <v>0</v>
      </c>
      <c r="AQ397">
        <f>IF(OR(AP397=1,AN397=MatchLabel),1,0)</f>
        <v>0</v>
      </c>
      <c r="AR397">
        <f>IF(OR(AN397=MatchLabel,AN397=SafetyLabel,AN397=SecureLabel,AN397=SureThingLabel),1,0)</f>
        <v>0</v>
      </c>
      <c r="AS397">
        <f>IF(OR(W397="H",W397="B",W397="I",W397="M"),IF(ISNUMBER(AB397),ROUND(AB397,2),0),IF(ISNUMBER(AA397),ROUND(AA397,2),0))</f>
        <v>0</v>
      </c>
      <c r="AT397">
        <f>IF(AS397&gt;=X397,1,0)</f>
        <v>0</v>
      </c>
      <c r="AU397">
        <f>IF(AS397&gt;=Y397,1,0)</f>
        <v>0</v>
      </c>
      <c r="AV397">
        <f>IF(AS397&lt;(X397-0.10),1,0)</f>
        <v>0</v>
      </c>
      <c r="AW397">
        <f>1-AM397/100</f>
        <v>0</v>
      </c>
      <c r="AX397">
        <f>IF(AQ397=1,AW397,1)</f>
        <v>0</v>
      </c>
      <c r="AY397">
        <f>IF(AP397=1,AW397,1)</f>
        <v>0</v>
      </c>
      <c r="AZ397">
        <f>IF(AND(AT397=1,ISNUMBER(AW397)),$AW397,1)</f>
        <v>0</v>
      </c>
      <c r="BA397">
        <f>IF(AND(AU397=1,ISNUMBER(AW397)),$AW397,1)</f>
        <v>0</v>
      </c>
      <c r="BB397">
        <f>IF(ISNUMBER(AB397),INDEX(AllCollegeMoney, MATCH(N397,AllCollegeNCES,0)),0)</f>
        <v>0</v>
      </c>
      <c r="BC397">
        <f>IF(AND(AT397=1,ISNUMBER(AW397),BB397=1),$AW397,1)</f>
        <v>0</v>
      </c>
      <c r="BD397">
        <f>IF(AND(AU397=1,ISNUMBER(AW397),BB397=1),$AW397,1)</f>
        <v>0</v>
      </c>
      <c r="BE397">
        <f>IF(ISNUMBER(AB397),INDEX(AllCollegeILPub, MATCH(N397,AllCollegeNCES,0)),0)</f>
        <v>0</v>
      </c>
      <c r="BF397">
        <f>IF(AN397=ReachLabel,AS397,0)</f>
        <v>0</v>
      </c>
      <c r="BG397">
        <f>IF(AN397=MatchLabel,AS397,0)</f>
        <v>0</v>
      </c>
      <c r="BH397">
        <f>IF(AN397=SafetyLabel,AS397,0)</f>
        <v>0</v>
      </c>
      <c r="BI397">
        <f>IF(AN397=SecureLabel,AS397,0)</f>
        <v>0</v>
      </c>
      <c r="BJ397">
        <f>IF(AN397=SureThingLabel,AS397,0)</f>
        <v>0</v>
      </c>
      <c r="BK397">
        <f>MAX(BF397:BJ397)</f>
        <v>0</v>
      </c>
      <c r="BL397">
        <f>MAX(BG397:BJ397)</f>
        <v>0</v>
      </c>
      <c r="BM397">
        <f>MAX(BH397:BJ397)</f>
        <v>0</v>
      </c>
      <c r="BN397">
        <f>IF(AND(AN397=ReachLabel,BB397=1),AS397,0)</f>
        <v>0</v>
      </c>
      <c r="BO397">
        <f>IF(AND(AN397=MatchLabel,BB397=1),AS397,0)</f>
        <v>0</v>
      </c>
      <c r="BP397">
        <f>IF(AND(AN397=SafetyLabel,BB397=1),AS397,0)</f>
        <v>0</v>
      </c>
      <c r="BQ397">
        <f>IF(AND(AN397=SecureLabel,BB397=1),AS397,0)</f>
        <v>0</v>
      </c>
      <c r="BR397">
        <f>IF(AND(AN397=SureThingLabel,BB397=1),AS397,0)</f>
        <v>0</v>
      </c>
      <c r="BS397">
        <f>MAX(BN397:BR397)</f>
        <v>0</v>
      </c>
      <c r="BT397">
        <f>MAX(BO397:BR397)</f>
        <v>0</v>
      </c>
      <c r="BU397">
        <f>MAX(BP397:BR397)</f>
        <v>0</v>
      </c>
      <c r="BV397">
        <f>IF(ISNUMBER(AB397),INDEX(AllCollegeChicago, MATCH(N397,AllCollegeNCES,0))*BB397,0)</f>
        <v>0</v>
      </c>
      <c r="BW397">
        <f>IF(ISNUMBER(AB397),INDEX(AllCollegeMoneyCode, MATCH(N397,AllCollegeNCES,0)),"?")</f>
        <v>0</v>
      </c>
      <c r="BX397">
        <f>IF(OR(BW397="---",BW397="--",BW397="+/--",BW397="+/---"),1,0)</f>
        <v>0</v>
      </c>
      <c r="BY397">
        <f>BB397*AR397*AT397</f>
        <v>0</v>
      </c>
    </row>
    <row r="398" spans="1:77">
      <c r="A398" t="s">
        <v>96</v>
      </c>
      <c r="B398">
        <v>23340223</v>
      </c>
      <c r="C398" t="s">
        <v>185</v>
      </c>
      <c r="D398" t="s">
        <v>186</v>
      </c>
      <c r="E398" t="s">
        <v>446</v>
      </c>
      <c r="F398" t="s">
        <v>519</v>
      </c>
      <c r="G398" t="s">
        <v>448</v>
      </c>
      <c r="H398" t="s">
        <v>449</v>
      </c>
      <c r="I398" t="s">
        <v>450</v>
      </c>
      <c r="J398" t="s">
        <v>450</v>
      </c>
      <c r="K398">
        <v>0</v>
      </c>
      <c r="L398" t="s">
        <v>446</v>
      </c>
      <c r="M398" t="s">
        <v>446</v>
      </c>
      <c r="N398">
        <v>145813</v>
      </c>
      <c r="O398">
        <f>INDEX(Counselor,MATCH(B398,KidIDs,0))</f>
        <v>0</v>
      </c>
      <c r="P398">
        <f>INDEX(Advisors,MATCH(B398,KidIDs,0))</f>
        <v>0</v>
      </c>
      <c r="Q398">
        <f>INDEX(Cohort,MATCH(B398,KidIDs,0))</f>
        <v>0</v>
      </c>
      <c r="R398">
        <f>INDEX(AllCollegeBarrons,MATCH(N398,AllCollegeNCES,0))</f>
        <v>0</v>
      </c>
      <c r="S398">
        <f>INDEX(KidGPAs,MATCH(B398,KidIDs,0))</f>
        <v>0</v>
      </c>
      <c r="T398">
        <f>INDEX(KidSATs,MATCH(B398,KidIDs,0))</f>
        <v>0</v>
      </c>
      <c r="U398">
        <f>INDEX(Strats,MATCH(B398,KidIDs,0))</f>
        <v>0</v>
      </c>
      <c r="V398">
        <f>INDEX(KidRace,MATCH(B398,KidIDs,0))</f>
        <v>0</v>
      </c>
      <c r="W398">
        <f>IF(OR(V398="M",V398="I"),"H",IF(V398="P","A",V398))</f>
        <v>0</v>
      </c>
      <c r="X398">
        <f>INDEX(StudentTargets,MATCH(B398,KidIDs,0))</f>
        <v>0</v>
      </c>
      <c r="Y398">
        <f>INDEX(ReachStudentTargets,MATCH(B398,KidIDs,0))</f>
        <v>0</v>
      </c>
      <c r="Z398">
        <f>IF(OR(M398="Posse"),1,0)</f>
        <v>0</v>
      </c>
      <c r="AA398">
        <f>IF(ISNUMBER(INDEX(AllCollegeGR, MATCH(N398,AllCollegeNCES,0))),ROUND(INDEX(AllCollegeGR, MATCH(N398,AllCollegeNCES,0))+Z398*IF(INDEX(AllCollegeGR, MATCH(N398,AllCollegeNCES,0))&gt;0.7,(1-INDEX(AllCollegeGR, MATCH(N398,AllCollegeNCES,0)))/2,0.15),2),INDEX(AllCollegeGR, MATCH(N398,AllCollegeNCES,0)))</f>
        <v>0</v>
      </c>
      <c r="AB398">
        <f>IF(ISNUMBER(INDEX(AllCollegeAAHGR, MATCH(N398,AllCollegeNCES,0))),ROUND(INDEX(AllCollegeAAHGR, MATCH(N398,AllCollegeNCES,0))+Z398*IF(INDEX(AllCollegeAAHGR, MATCH(N398,AllCollegeNCES,0))&gt;0.7,(1-INDEX(AllCollegeAAHGR, MATCH(N398,AllCollegeNCES,0)))/2,0.15),2),INDEX(AllCollegeAAHGR, MATCH(N398,AllCollegeNCES,0)))</f>
        <v>0</v>
      </c>
      <c r="AC398">
        <f>IF(OR(W398="H",W398="B"),INDEX(AllCollegeSAT25, MATCH(N398,AllCollegeNCES,0)),INDEX(AllCollegeSAT50, MATCH(N398,AllCollegeNCES,0)))</f>
        <v>0</v>
      </c>
      <c r="AD398">
        <f>INDEX(CustomWeightsGPA,MATCH(W398&amp;":"&amp;N398,CustomWeightsIndex,0))</f>
        <v>0</v>
      </c>
      <c r="AE398">
        <f>INDEX(CustomWeightsSAT,MATCH(W398&amp;":"&amp;N398,CustomWeightsIndex,0))</f>
        <v>0</v>
      </c>
      <c r="AF398">
        <f>INDEX(CustomWeightsIntercept,MATCH(W398&amp;":"&amp;N398,CustomWeightsIndex,0))</f>
        <v>0</v>
      </c>
      <c r="AG398">
        <f>AD398*S398+AE398*T398+AF398</f>
        <v>0</v>
      </c>
      <c r="AH398">
        <f>INDEX(CoefficientsGPA,MATCH(W398&amp;":"&amp;R398,CoefficientsIndex,0))</f>
        <v>0</v>
      </c>
      <c r="AI398">
        <f>INDEX(CoefficientsSAT,MATCH(W398&amp;":"&amp;R398,CoefficientsIndex,0))</f>
        <v>0</v>
      </c>
      <c r="AJ398">
        <f>INDEX(CoefficientsIntercept,MATCH(W398&amp;":"&amp;R398,CoefficientsIndex,0))</f>
        <v>0</v>
      </c>
      <c r="AK398">
        <f>AH398*S398+(T398-AC398)*AI398+AJ398</f>
        <v>0</v>
      </c>
      <c r="AL398">
        <f>IF(ISNUMBER(AG398),AG398,AK398)</f>
        <v>0</v>
      </c>
      <c r="AM398">
        <f>IF(ISNUMBER(AL398),IF(ISNUMBER(AH398),IF(AND(AH398=1,AI398=1,AJ398=1),100,MIN(99,ROUND(100*EXP(AL398)/(1+EXP(AL398)),2))),MIN(99,ROUND(100*EXP(AL398)/(1+EXP(AL398)),2))),IF(ISTEXT(R398),IF(LEFT(R398,1)="2",100,"N/A"),"N/A"))</f>
        <v>0</v>
      </c>
      <c r="AN398">
        <f>IF(ISNUMBER(AM398),IF(AM398&gt;=99,IF(OR(U398=10,U398=11),MatchLabel,SureThingLabel),IF(AM398&gt;=95,SecureLabel,IF(AM398&gt;=80,SafetyLabel,IF(AM398&gt;=50,MatchLabel,IF(AM398&gt;=20,ReachLabel,IF(AM398&gt;=10,LongshotLabel,HailMaryLabel)))))),"Other")</f>
        <v>0</v>
      </c>
      <c r="AO398">
        <f>IF(OR(I398="accepted",I398="cond. accept",I398="summer admit"),IF(J398="yes","CHOICE!","Accepted!"),IF(I398="guar. transfer","Guar. Xfer",IF(I398="denied","Denied",IF(K398=1,"Waitlist",IF(L398=1,"Deferred",IF(G398="pending","Pending",IF(OR(G398="initial materials submitted",G398="mid-year submitted",G398="final submitted"),"Submitted",IF(H398="interest","Interest","?"))))))))</f>
        <v>0</v>
      </c>
      <c r="AP398">
        <f>IF(OR(AN398=ReachLabel,AN398=LongshotLabel,AN398=HailMaryLabel),1,0)</f>
        <v>0</v>
      </c>
      <c r="AQ398">
        <f>IF(OR(AP398=1,AN398=MatchLabel),1,0)</f>
        <v>0</v>
      </c>
      <c r="AR398">
        <f>IF(OR(AN398=MatchLabel,AN398=SafetyLabel,AN398=SecureLabel,AN398=SureThingLabel),1,0)</f>
        <v>0</v>
      </c>
      <c r="AS398">
        <f>IF(OR(W398="H",W398="B",W398="I",W398="M"),IF(ISNUMBER(AB398),ROUND(AB398,2),0),IF(ISNUMBER(AA398),ROUND(AA398,2),0))</f>
        <v>0</v>
      </c>
      <c r="AT398">
        <f>IF(AS398&gt;=X398,1,0)</f>
        <v>0</v>
      </c>
      <c r="AU398">
        <f>IF(AS398&gt;=Y398,1,0)</f>
        <v>0</v>
      </c>
      <c r="AV398">
        <f>IF(AS398&lt;(X398-0.10),1,0)</f>
        <v>0</v>
      </c>
      <c r="AW398">
        <f>1-AM398/100</f>
        <v>0</v>
      </c>
      <c r="AX398">
        <f>IF(AQ398=1,AW398,1)</f>
        <v>0</v>
      </c>
      <c r="AY398">
        <f>IF(AP398=1,AW398,1)</f>
        <v>0</v>
      </c>
      <c r="AZ398">
        <f>IF(AND(AT398=1,ISNUMBER(AW398)),$AW398,1)</f>
        <v>0</v>
      </c>
      <c r="BA398">
        <f>IF(AND(AU398=1,ISNUMBER(AW398)),$AW398,1)</f>
        <v>0</v>
      </c>
      <c r="BB398">
        <f>IF(ISNUMBER(AB398),INDEX(AllCollegeMoney, MATCH(N398,AllCollegeNCES,0)),0)</f>
        <v>0</v>
      </c>
      <c r="BC398">
        <f>IF(AND(AT398=1,ISNUMBER(AW398),BB398=1),$AW398,1)</f>
        <v>0</v>
      </c>
      <c r="BD398">
        <f>IF(AND(AU398=1,ISNUMBER(AW398),BB398=1),$AW398,1)</f>
        <v>0</v>
      </c>
      <c r="BE398">
        <f>IF(ISNUMBER(AB398),INDEX(AllCollegeILPub, MATCH(N398,AllCollegeNCES,0)),0)</f>
        <v>0</v>
      </c>
      <c r="BF398">
        <f>IF(AN398=ReachLabel,AS398,0)</f>
        <v>0</v>
      </c>
      <c r="BG398">
        <f>IF(AN398=MatchLabel,AS398,0)</f>
        <v>0</v>
      </c>
      <c r="BH398">
        <f>IF(AN398=SafetyLabel,AS398,0)</f>
        <v>0</v>
      </c>
      <c r="BI398">
        <f>IF(AN398=SecureLabel,AS398,0)</f>
        <v>0</v>
      </c>
      <c r="BJ398">
        <f>IF(AN398=SureThingLabel,AS398,0)</f>
        <v>0</v>
      </c>
      <c r="BK398">
        <f>MAX(BF398:BJ398)</f>
        <v>0</v>
      </c>
      <c r="BL398">
        <f>MAX(BG398:BJ398)</f>
        <v>0</v>
      </c>
      <c r="BM398">
        <f>MAX(BH398:BJ398)</f>
        <v>0</v>
      </c>
      <c r="BN398">
        <f>IF(AND(AN398=ReachLabel,BB398=1),AS398,0)</f>
        <v>0</v>
      </c>
      <c r="BO398">
        <f>IF(AND(AN398=MatchLabel,BB398=1),AS398,0)</f>
        <v>0</v>
      </c>
      <c r="BP398">
        <f>IF(AND(AN398=SafetyLabel,BB398=1),AS398,0)</f>
        <v>0</v>
      </c>
      <c r="BQ398">
        <f>IF(AND(AN398=SecureLabel,BB398=1),AS398,0)</f>
        <v>0</v>
      </c>
      <c r="BR398">
        <f>IF(AND(AN398=SureThingLabel,BB398=1),AS398,0)</f>
        <v>0</v>
      </c>
      <c r="BS398">
        <f>MAX(BN398:BR398)</f>
        <v>0</v>
      </c>
      <c r="BT398">
        <f>MAX(BO398:BR398)</f>
        <v>0</v>
      </c>
      <c r="BU398">
        <f>MAX(BP398:BR398)</f>
        <v>0</v>
      </c>
      <c r="BV398">
        <f>IF(ISNUMBER(AB398),INDEX(AllCollegeChicago, MATCH(N398,AllCollegeNCES,0))*BB398,0)</f>
        <v>0</v>
      </c>
      <c r="BW398">
        <f>IF(ISNUMBER(AB398),INDEX(AllCollegeMoneyCode, MATCH(N398,AllCollegeNCES,0)),"?")</f>
        <v>0</v>
      </c>
      <c r="BX398">
        <f>IF(OR(BW398="---",BW398="--",BW398="+/--",BW398="+/---"),1,0)</f>
        <v>0</v>
      </c>
      <c r="BY398">
        <f>BB398*AR398*AT398</f>
        <v>0</v>
      </c>
    </row>
    <row r="399" spans="1:77">
      <c r="A399" t="s">
        <v>96</v>
      </c>
      <c r="B399">
        <v>23383224</v>
      </c>
      <c r="C399" t="s">
        <v>258</v>
      </c>
      <c r="D399" t="s">
        <v>259</v>
      </c>
      <c r="E399" t="s">
        <v>446</v>
      </c>
      <c r="F399" t="s">
        <v>470</v>
      </c>
      <c r="G399" t="s">
        <v>448</v>
      </c>
      <c r="H399" t="s">
        <v>449</v>
      </c>
      <c r="I399" t="s">
        <v>450</v>
      </c>
      <c r="J399" t="s">
        <v>450</v>
      </c>
      <c r="K399">
        <v>0</v>
      </c>
      <c r="L399" t="s">
        <v>446</v>
      </c>
      <c r="M399" t="s">
        <v>446</v>
      </c>
      <c r="N399">
        <v>240444</v>
      </c>
      <c r="O399">
        <f>INDEX(Counselor,MATCH(B399,KidIDs,0))</f>
        <v>0</v>
      </c>
      <c r="P399">
        <f>INDEX(Advisors,MATCH(B399,KidIDs,0))</f>
        <v>0</v>
      </c>
      <c r="Q399">
        <f>INDEX(Cohort,MATCH(B399,KidIDs,0))</f>
        <v>0</v>
      </c>
      <c r="R399">
        <f>INDEX(AllCollegeBarrons,MATCH(N399,AllCollegeNCES,0))</f>
        <v>0</v>
      </c>
      <c r="S399">
        <f>INDEX(KidGPAs,MATCH(B399,KidIDs,0))</f>
        <v>0</v>
      </c>
      <c r="T399">
        <f>INDEX(KidSATs,MATCH(B399,KidIDs,0))</f>
        <v>0</v>
      </c>
      <c r="U399">
        <f>INDEX(Strats,MATCH(B399,KidIDs,0))</f>
        <v>0</v>
      </c>
      <c r="V399">
        <f>INDEX(KidRace,MATCH(B399,KidIDs,0))</f>
        <v>0</v>
      </c>
      <c r="W399">
        <f>IF(OR(V399="M",V399="I"),"H",IF(V399="P","A",V399))</f>
        <v>0</v>
      </c>
      <c r="X399">
        <f>INDEX(StudentTargets,MATCH(B399,KidIDs,0))</f>
        <v>0</v>
      </c>
      <c r="Y399">
        <f>INDEX(ReachStudentTargets,MATCH(B399,KidIDs,0))</f>
        <v>0</v>
      </c>
      <c r="Z399">
        <f>IF(OR(M399="Posse"),1,0)</f>
        <v>0</v>
      </c>
      <c r="AA399">
        <f>IF(ISNUMBER(INDEX(AllCollegeGR, MATCH(N399,AllCollegeNCES,0))),ROUND(INDEX(AllCollegeGR, MATCH(N399,AllCollegeNCES,0))+Z399*IF(INDEX(AllCollegeGR, MATCH(N399,AllCollegeNCES,0))&gt;0.7,(1-INDEX(AllCollegeGR, MATCH(N399,AllCollegeNCES,0)))/2,0.15),2),INDEX(AllCollegeGR, MATCH(N399,AllCollegeNCES,0)))</f>
        <v>0</v>
      </c>
      <c r="AB399">
        <f>IF(ISNUMBER(INDEX(AllCollegeAAHGR, MATCH(N399,AllCollegeNCES,0))),ROUND(INDEX(AllCollegeAAHGR, MATCH(N399,AllCollegeNCES,0))+Z399*IF(INDEX(AllCollegeAAHGR, MATCH(N399,AllCollegeNCES,0))&gt;0.7,(1-INDEX(AllCollegeAAHGR, MATCH(N399,AllCollegeNCES,0)))/2,0.15),2),INDEX(AllCollegeAAHGR, MATCH(N399,AllCollegeNCES,0)))</f>
        <v>0</v>
      </c>
      <c r="AC399">
        <f>IF(OR(W399="H",W399="B"),INDEX(AllCollegeSAT25, MATCH(N399,AllCollegeNCES,0)),INDEX(AllCollegeSAT50, MATCH(N399,AllCollegeNCES,0)))</f>
        <v>0</v>
      </c>
      <c r="AD399">
        <f>INDEX(CustomWeightsGPA,MATCH(W399&amp;":"&amp;N399,CustomWeightsIndex,0))</f>
        <v>0</v>
      </c>
      <c r="AE399">
        <f>INDEX(CustomWeightsSAT,MATCH(W399&amp;":"&amp;N399,CustomWeightsIndex,0))</f>
        <v>0</v>
      </c>
      <c r="AF399">
        <f>INDEX(CustomWeightsIntercept,MATCH(W399&amp;":"&amp;N399,CustomWeightsIndex,0))</f>
        <v>0</v>
      </c>
      <c r="AG399">
        <f>AD399*S399+AE399*T399+AF399</f>
        <v>0</v>
      </c>
      <c r="AH399">
        <f>INDEX(CoefficientsGPA,MATCH(W399&amp;":"&amp;R399,CoefficientsIndex,0))</f>
        <v>0</v>
      </c>
      <c r="AI399">
        <f>INDEX(CoefficientsSAT,MATCH(W399&amp;":"&amp;R399,CoefficientsIndex,0))</f>
        <v>0</v>
      </c>
      <c r="AJ399">
        <f>INDEX(CoefficientsIntercept,MATCH(W399&amp;":"&amp;R399,CoefficientsIndex,0))</f>
        <v>0</v>
      </c>
      <c r="AK399">
        <f>AH399*S399+(T399-AC399)*AI399+AJ399</f>
        <v>0</v>
      </c>
      <c r="AL399">
        <f>IF(ISNUMBER(AG399),AG399,AK399)</f>
        <v>0</v>
      </c>
      <c r="AM399">
        <f>IF(ISNUMBER(AL399),IF(ISNUMBER(AH399),IF(AND(AH399=1,AI399=1,AJ399=1),100,MIN(99,ROUND(100*EXP(AL399)/(1+EXP(AL399)),2))),MIN(99,ROUND(100*EXP(AL399)/(1+EXP(AL399)),2))),IF(ISTEXT(R399),IF(LEFT(R399,1)="2",100,"N/A"),"N/A"))</f>
        <v>0</v>
      </c>
      <c r="AN399">
        <f>IF(ISNUMBER(AM399),IF(AM399&gt;=99,IF(OR(U399=10,U399=11),MatchLabel,SureThingLabel),IF(AM399&gt;=95,SecureLabel,IF(AM399&gt;=80,SafetyLabel,IF(AM399&gt;=50,MatchLabel,IF(AM399&gt;=20,ReachLabel,IF(AM399&gt;=10,LongshotLabel,HailMaryLabel)))))),"Other")</f>
        <v>0</v>
      </c>
      <c r="AO399">
        <f>IF(OR(I399="accepted",I399="cond. accept",I399="summer admit"),IF(J399="yes","CHOICE!","Accepted!"),IF(I399="guar. transfer","Guar. Xfer",IF(I399="denied","Denied",IF(K399=1,"Waitlist",IF(L399=1,"Deferred",IF(G399="pending","Pending",IF(OR(G399="initial materials submitted",G399="mid-year submitted",G399="final submitted"),"Submitted",IF(H399="interest","Interest","?"))))))))</f>
        <v>0</v>
      </c>
      <c r="AP399">
        <f>IF(OR(AN399=ReachLabel,AN399=LongshotLabel,AN399=HailMaryLabel),1,0)</f>
        <v>0</v>
      </c>
      <c r="AQ399">
        <f>IF(OR(AP399=1,AN399=MatchLabel),1,0)</f>
        <v>0</v>
      </c>
      <c r="AR399">
        <f>IF(OR(AN399=MatchLabel,AN399=SafetyLabel,AN399=SecureLabel,AN399=SureThingLabel),1,0)</f>
        <v>0</v>
      </c>
      <c r="AS399">
        <f>IF(OR(W399="H",W399="B",W399="I",W399="M"),IF(ISNUMBER(AB399),ROUND(AB399,2),0),IF(ISNUMBER(AA399),ROUND(AA399,2),0))</f>
        <v>0</v>
      </c>
      <c r="AT399">
        <f>IF(AS399&gt;=X399,1,0)</f>
        <v>0</v>
      </c>
      <c r="AU399">
        <f>IF(AS399&gt;=Y399,1,0)</f>
        <v>0</v>
      </c>
      <c r="AV399">
        <f>IF(AS399&lt;(X399-0.10),1,0)</f>
        <v>0</v>
      </c>
      <c r="AW399">
        <f>1-AM399/100</f>
        <v>0</v>
      </c>
      <c r="AX399">
        <f>IF(AQ399=1,AW399,1)</f>
        <v>0</v>
      </c>
      <c r="AY399">
        <f>IF(AP399=1,AW399,1)</f>
        <v>0</v>
      </c>
      <c r="AZ399">
        <f>IF(AND(AT399=1,ISNUMBER(AW399)),$AW399,1)</f>
        <v>0</v>
      </c>
      <c r="BA399">
        <f>IF(AND(AU399=1,ISNUMBER(AW399)),$AW399,1)</f>
        <v>0</v>
      </c>
      <c r="BB399">
        <f>IF(ISNUMBER(AB399),INDEX(AllCollegeMoney, MATCH(N399,AllCollegeNCES,0)),0)</f>
        <v>0</v>
      </c>
      <c r="BC399">
        <f>IF(AND(AT399=1,ISNUMBER(AW399),BB399=1),$AW399,1)</f>
        <v>0</v>
      </c>
      <c r="BD399">
        <f>IF(AND(AU399=1,ISNUMBER(AW399),BB399=1),$AW399,1)</f>
        <v>0</v>
      </c>
      <c r="BE399">
        <f>IF(ISNUMBER(AB399),INDEX(AllCollegeILPub, MATCH(N399,AllCollegeNCES,0)),0)</f>
        <v>0</v>
      </c>
      <c r="BF399">
        <f>IF(AN399=ReachLabel,AS399,0)</f>
        <v>0</v>
      </c>
      <c r="BG399">
        <f>IF(AN399=MatchLabel,AS399,0)</f>
        <v>0</v>
      </c>
      <c r="BH399">
        <f>IF(AN399=SafetyLabel,AS399,0)</f>
        <v>0</v>
      </c>
      <c r="BI399">
        <f>IF(AN399=SecureLabel,AS399,0)</f>
        <v>0</v>
      </c>
      <c r="BJ399">
        <f>IF(AN399=SureThingLabel,AS399,0)</f>
        <v>0</v>
      </c>
      <c r="BK399">
        <f>MAX(BF399:BJ399)</f>
        <v>0</v>
      </c>
      <c r="BL399">
        <f>MAX(BG399:BJ399)</f>
        <v>0</v>
      </c>
      <c r="BM399">
        <f>MAX(BH399:BJ399)</f>
        <v>0</v>
      </c>
      <c r="BN399">
        <f>IF(AND(AN399=ReachLabel,BB399=1),AS399,0)</f>
        <v>0</v>
      </c>
      <c r="BO399">
        <f>IF(AND(AN399=MatchLabel,BB399=1),AS399,0)</f>
        <v>0</v>
      </c>
      <c r="BP399">
        <f>IF(AND(AN399=SafetyLabel,BB399=1),AS399,0)</f>
        <v>0</v>
      </c>
      <c r="BQ399">
        <f>IF(AND(AN399=SecureLabel,BB399=1),AS399,0)</f>
        <v>0</v>
      </c>
      <c r="BR399">
        <f>IF(AND(AN399=SureThingLabel,BB399=1),AS399,0)</f>
        <v>0</v>
      </c>
      <c r="BS399">
        <f>MAX(BN399:BR399)</f>
        <v>0</v>
      </c>
      <c r="BT399">
        <f>MAX(BO399:BR399)</f>
        <v>0</v>
      </c>
      <c r="BU399">
        <f>MAX(BP399:BR399)</f>
        <v>0</v>
      </c>
      <c r="BV399">
        <f>IF(ISNUMBER(AB399),INDEX(AllCollegeChicago, MATCH(N399,AllCollegeNCES,0))*BB399,0)</f>
        <v>0</v>
      </c>
      <c r="BW399">
        <f>IF(ISNUMBER(AB399),INDEX(AllCollegeMoneyCode, MATCH(N399,AllCollegeNCES,0)),"?")</f>
        <v>0</v>
      </c>
      <c r="BX399">
        <f>IF(OR(BW399="---",BW399="--",BW399="+/--",BW399="+/---"),1,0)</f>
        <v>0</v>
      </c>
      <c r="BY399">
        <f>BB399*AR399*AT399</f>
        <v>0</v>
      </c>
    </row>
    <row r="400" spans="1:77">
      <c r="A400" t="s">
        <v>96</v>
      </c>
      <c r="B400">
        <v>23383224</v>
      </c>
      <c r="C400" t="s">
        <v>258</v>
      </c>
      <c r="D400" t="s">
        <v>259</v>
      </c>
      <c r="E400" t="s">
        <v>446</v>
      </c>
      <c r="F400" t="s">
        <v>471</v>
      </c>
      <c r="G400" t="s">
        <v>448</v>
      </c>
      <c r="H400" t="s">
        <v>449</v>
      </c>
      <c r="I400" t="s">
        <v>450</v>
      </c>
      <c r="J400" t="s">
        <v>450</v>
      </c>
      <c r="K400">
        <v>0</v>
      </c>
      <c r="L400" t="s">
        <v>446</v>
      </c>
      <c r="M400" t="s">
        <v>446</v>
      </c>
      <c r="N400">
        <v>202523</v>
      </c>
      <c r="O400">
        <f>INDEX(Counselor,MATCH(B400,KidIDs,0))</f>
        <v>0</v>
      </c>
      <c r="P400">
        <f>INDEX(Advisors,MATCH(B400,KidIDs,0))</f>
        <v>0</v>
      </c>
      <c r="Q400">
        <f>INDEX(Cohort,MATCH(B400,KidIDs,0))</f>
        <v>0</v>
      </c>
      <c r="R400">
        <f>INDEX(AllCollegeBarrons,MATCH(N400,AllCollegeNCES,0))</f>
        <v>0</v>
      </c>
      <c r="S400">
        <f>INDEX(KidGPAs,MATCH(B400,KidIDs,0))</f>
        <v>0</v>
      </c>
      <c r="T400">
        <f>INDEX(KidSATs,MATCH(B400,KidIDs,0))</f>
        <v>0</v>
      </c>
      <c r="U400">
        <f>INDEX(Strats,MATCH(B400,KidIDs,0))</f>
        <v>0</v>
      </c>
      <c r="V400">
        <f>INDEX(KidRace,MATCH(B400,KidIDs,0))</f>
        <v>0</v>
      </c>
      <c r="W400">
        <f>IF(OR(V400="M",V400="I"),"H",IF(V400="P","A",V400))</f>
        <v>0</v>
      </c>
      <c r="X400">
        <f>INDEX(StudentTargets,MATCH(B400,KidIDs,0))</f>
        <v>0</v>
      </c>
      <c r="Y400">
        <f>INDEX(ReachStudentTargets,MATCH(B400,KidIDs,0))</f>
        <v>0</v>
      </c>
      <c r="Z400">
        <f>IF(OR(M400="Posse"),1,0)</f>
        <v>0</v>
      </c>
      <c r="AA400">
        <f>IF(ISNUMBER(INDEX(AllCollegeGR, MATCH(N400,AllCollegeNCES,0))),ROUND(INDEX(AllCollegeGR, MATCH(N400,AllCollegeNCES,0))+Z400*IF(INDEX(AllCollegeGR, MATCH(N400,AllCollegeNCES,0))&gt;0.7,(1-INDEX(AllCollegeGR, MATCH(N400,AllCollegeNCES,0)))/2,0.15),2),INDEX(AllCollegeGR, MATCH(N400,AllCollegeNCES,0)))</f>
        <v>0</v>
      </c>
      <c r="AB400">
        <f>IF(ISNUMBER(INDEX(AllCollegeAAHGR, MATCH(N400,AllCollegeNCES,0))),ROUND(INDEX(AllCollegeAAHGR, MATCH(N400,AllCollegeNCES,0))+Z400*IF(INDEX(AllCollegeAAHGR, MATCH(N400,AllCollegeNCES,0))&gt;0.7,(1-INDEX(AllCollegeAAHGR, MATCH(N400,AllCollegeNCES,0)))/2,0.15),2),INDEX(AllCollegeAAHGR, MATCH(N400,AllCollegeNCES,0)))</f>
        <v>0</v>
      </c>
      <c r="AC400">
        <f>IF(OR(W400="H",W400="B"),INDEX(AllCollegeSAT25, MATCH(N400,AllCollegeNCES,0)),INDEX(AllCollegeSAT50, MATCH(N400,AllCollegeNCES,0)))</f>
        <v>0</v>
      </c>
      <c r="AD400">
        <f>INDEX(CustomWeightsGPA,MATCH(W400&amp;":"&amp;N400,CustomWeightsIndex,0))</f>
        <v>0</v>
      </c>
      <c r="AE400">
        <f>INDEX(CustomWeightsSAT,MATCH(W400&amp;":"&amp;N400,CustomWeightsIndex,0))</f>
        <v>0</v>
      </c>
      <c r="AF400">
        <f>INDEX(CustomWeightsIntercept,MATCH(W400&amp;":"&amp;N400,CustomWeightsIndex,0))</f>
        <v>0</v>
      </c>
      <c r="AG400">
        <f>AD400*S400+AE400*T400+AF400</f>
        <v>0</v>
      </c>
      <c r="AH400">
        <f>INDEX(CoefficientsGPA,MATCH(W400&amp;":"&amp;R400,CoefficientsIndex,0))</f>
        <v>0</v>
      </c>
      <c r="AI400">
        <f>INDEX(CoefficientsSAT,MATCH(W400&amp;":"&amp;R400,CoefficientsIndex,0))</f>
        <v>0</v>
      </c>
      <c r="AJ400">
        <f>INDEX(CoefficientsIntercept,MATCH(W400&amp;":"&amp;R400,CoefficientsIndex,0))</f>
        <v>0</v>
      </c>
      <c r="AK400">
        <f>AH400*S400+(T400-AC400)*AI400+AJ400</f>
        <v>0</v>
      </c>
      <c r="AL400">
        <f>IF(ISNUMBER(AG400),AG400,AK400)</f>
        <v>0</v>
      </c>
      <c r="AM400">
        <f>IF(ISNUMBER(AL400),IF(ISNUMBER(AH400),IF(AND(AH400=1,AI400=1,AJ400=1),100,MIN(99,ROUND(100*EXP(AL400)/(1+EXP(AL400)),2))),MIN(99,ROUND(100*EXP(AL400)/(1+EXP(AL400)),2))),IF(ISTEXT(R400),IF(LEFT(R400,1)="2",100,"N/A"),"N/A"))</f>
        <v>0</v>
      </c>
      <c r="AN400">
        <f>IF(ISNUMBER(AM400),IF(AM400&gt;=99,IF(OR(U400=10,U400=11),MatchLabel,SureThingLabel),IF(AM400&gt;=95,SecureLabel,IF(AM400&gt;=80,SafetyLabel,IF(AM400&gt;=50,MatchLabel,IF(AM400&gt;=20,ReachLabel,IF(AM400&gt;=10,LongshotLabel,HailMaryLabel)))))),"Other")</f>
        <v>0</v>
      </c>
      <c r="AO400">
        <f>IF(OR(I400="accepted",I400="cond. accept",I400="summer admit"),IF(J400="yes","CHOICE!","Accepted!"),IF(I400="guar. transfer","Guar. Xfer",IF(I400="denied","Denied",IF(K400=1,"Waitlist",IF(L400=1,"Deferred",IF(G400="pending","Pending",IF(OR(G400="initial materials submitted",G400="mid-year submitted",G400="final submitted"),"Submitted",IF(H400="interest","Interest","?"))))))))</f>
        <v>0</v>
      </c>
      <c r="AP400">
        <f>IF(OR(AN400=ReachLabel,AN400=LongshotLabel,AN400=HailMaryLabel),1,0)</f>
        <v>0</v>
      </c>
      <c r="AQ400">
        <f>IF(OR(AP400=1,AN400=MatchLabel),1,0)</f>
        <v>0</v>
      </c>
      <c r="AR400">
        <f>IF(OR(AN400=MatchLabel,AN400=SafetyLabel,AN400=SecureLabel,AN400=SureThingLabel),1,0)</f>
        <v>0</v>
      </c>
      <c r="AS400">
        <f>IF(OR(W400="H",W400="B",W400="I",W400="M"),IF(ISNUMBER(AB400),ROUND(AB400,2),0),IF(ISNUMBER(AA400),ROUND(AA400,2),0))</f>
        <v>0</v>
      </c>
      <c r="AT400">
        <f>IF(AS400&gt;=X400,1,0)</f>
        <v>0</v>
      </c>
      <c r="AU400">
        <f>IF(AS400&gt;=Y400,1,0)</f>
        <v>0</v>
      </c>
      <c r="AV400">
        <f>IF(AS400&lt;(X400-0.10),1,0)</f>
        <v>0</v>
      </c>
      <c r="AW400">
        <f>1-AM400/100</f>
        <v>0</v>
      </c>
      <c r="AX400">
        <f>IF(AQ400=1,AW400,1)</f>
        <v>0</v>
      </c>
      <c r="AY400">
        <f>IF(AP400=1,AW400,1)</f>
        <v>0</v>
      </c>
      <c r="AZ400">
        <f>IF(AND(AT400=1,ISNUMBER(AW400)),$AW400,1)</f>
        <v>0</v>
      </c>
      <c r="BA400">
        <f>IF(AND(AU400=1,ISNUMBER(AW400)),$AW400,1)</f>
        <v>0</v>
      </c>
      <c r="BB400">
        <f>IF(ISNUMBER(AB400),INDEX(AllCollegeMoney, MATCH(N400,AllCollegeNCES,0)),0)</f>
        <v>0</v>
      </c>
      <c r="BC400">
        <f>IF(AND(AT400=1,ISNUMBER(AW400),BB400=1),$AW400,1)</f>
        <v>0</v>
      </c>
      <c r="BD400">
        <f>IF(AND(AU400=1,ISNUMBER(AW400),BB400=1),$AW400,1)</f>
        <v>0</v>
      </c>
      <c r="BE400">
        <f>IF(ISNUMBER(AB400),INDEX(AllCollegeILPub, MATCH(N400,AllCollegeNCES,0)),0)</f>
        <v>0</v>
      </c>
      <c r="BF400">
        <f>IF(AN400=ReachLabel,AS400,0)</f>
        <v>0</v>
      </c>
      <c r="BG400">
        <f>IF(AN400=MatchLabel,AS400,0)</f>
        <v>0</v>
      </c>
      <c r="BH400">
        <f>IF(AN400=SafetyLabel,AS400,0)</f>
        <v>0</v>
      </c>
      <c r="BI400">
        <f>IF(AN400=SecureLabel,AS400,0)</f>
        <v>0</v>
      </c>
      <c r="BJ400">
        <f>IF(AN400=SureThingLabel,AS400,0)</f>
        <v>0</v>
      </c>
      <c r="BK400">
        <f>MAX(BF400:BJ400)</f>
        <v>0</v>
      </c>
      <c r="BL400">
        <f>MAX(BG400:BJ400)</f>
        <v>0</v>
      </c>
      <c r="BM400">
        <f>MAX(BH400:BJ400)</f>
        <v>0</v>
      </c>
      <c r="BN400">
        <f>IF(AND(AN400=ReachLabel,BB400=1),AS400,0)</f>
        <v>0</v>
      </c>
      <c r="BO400">
        <f>IF(AND(AN400=MatchLabel,BB400=1),AS400,0)</f>
        <v>0</v>
      </c>
      <c r="BP400">
        <f>IF(AND(AN400=SafetyLabel,BB400=1),AS400,0)</f>
        <v>0</v>
      </c>
      <c r="BQ400">
        <f>IF(AND(AN400=SecureLabel,BB400=1),AS400,0)</f>
        <v>0</v>
      </c>
      <c r="BR400">
        <f>IF(AND(AN400=SureThingLabel,BB400=1),AS400,0)</f>
        <v>0</v>
      </c>
      <c r="BS400">
        <f>MAX(BN400:BR400)</f>
        <v>0</v>
      </c>
      <c r="BT400">
        <f>MAX(BO400:BR400)</f>
        <v>0</v>
      </c>
      <c r="BU400">
        <f>MAX(BP400:BR400)</f>
        <v>0</v>
      </c>
      <c r="BV400">
        <f>IF(ISNUMBER(AB400),INDEX(AllCollegeChicago, MATCH(N400,AllCollegeNCES,0))*BB400,0)</f>
        <v>0</v>
      </c>
      <c r="BW400">
        <f>IF(ISNUMBER(AB400),INDEX(AllCollegeMoneyCode, MATCH(N400,AllCollegeNCES,0)),"?")</f>
        <v>0</v>
      </c>
      <c r="BX400">
        <f>IF(OR(BW400="---",BW400="--",BW400="+/--",BW400="+/---"),1,0)</f>
        <v>0</v>
      </c>
      <c r="BY400">
        <f>BB400*AR400*AT400</f>
        <v>0</v>
      </c>
    </row>
    <row r="401" spans="1:77">
      <c r="A401" t="s">
        <v>96</v>
      </c>
      <c r="B401">
        <v>23383224</v>
      </c>
      <c r="C401" t="s">
        <v>258</v>
      </c>
      <c r="D401" t="s">
        <v>259</v>
      </c>
      <c r="E401" t="s">
        <v>446</v>
      </c>
      <c r="F401" t="s">
        <v>485</v>
      </c>
      <c r="G401" t="s">
        <v>448</v>
      </c>
      <c r="H401" t="s">
        <v>449</v>
      </c>
      <c r="I401" t="s">
        <v>450</v>
      </c>
      <c r="J401" t="s">
        <v>450</v>
      </c>
      <c r="K401">
        <v>0</v>
      </c>
      <c r="L401" t="s">
        <v>446</v>
      </c>
      <c r="M401" t="s">
        <v>446</v>
      </c>
      <c r="N401">
        <v>212009</v>
      </c>
      <c r="O401">
        <f>INDEX(Counselor,MATCH(B401,KidIDs,0))</f>
        <v>0</v>
      </c>
      <c r="P401">
        <f>INDEX(Advisors,MATCH(B401,KidIDs,0))</f>
        <v>0</v>
      </c>
      <c r="Q401">
        <f>INDEX(Cohort,MATCH(B401,KidIDs,0))</f>
        <v>0</v>
      </c>
      <c r="R401">
        <f>INDEX(AllCollegeBarrons,MATCH(N401,AllCollegeNCES,0))</f>
        <v>0</v>
      </c>
      <c r="S401">
        <f>INDEX(KidGPAs,MATCH(B401,KidIDs,0))</f>
        <v>0</v>
      </c>
      <c r="T401">
        <f>INDEX(KidSATs,MATCH(B401,KidIDs,0))</f>
        <v>0</v>
      </c>
      <c r="U401">
        <f>INDEX(Strats,MATCH(B401,KidIDs,0))</f>
        <v>0</v>
      </c>
      <c r="V401">
        <f>INDEX(KidRace,MATCH(B401,KidIDs,0))</f>
        <v>0</v>
      </c>
      <c r="W401">
        <f>IF(OR(V401="M",V401="I"),"H",IF(V401="P","A",V401))</f>
        <v>0</v>
      </c>
      <c r="X401">
        <f>INDEX(StudentTargets,MATCH(B401,KidIDs,0))</f>
        <v>0</v>
      </c>
      <c r="Y401">
        <f>INDEX(ReachStudentTargets,MATCH(B401,KidIDs,0))</f>
        <v>0</v>
      </c>
      <c r="Z401">
        <f>IF(OR(M401="Posse"),1,0)</f>
        <v>0</v>
      </c>
      <c r="AA401">
        <f>IF(ISNUMBER(INDEX(AllCollegeGR, MATCH(N401,AllCollegeNCES,0))),ROUND(INDEX(AllCollegeGR, MATCH(N401,AllCollegeNCES,0))+Z401*IF(INDEX(AllCollegeGR, MATCH(N401,AllCollegeNCES,0))&gt;0.7,(1-INDEX(AllCollegeGR, MATCH(N401,AllCollegeNCES,0)))/2,0.15),2),INDEX(AllCollegeGR, MATCH(N401,AllCollegeNCES,0)))</f>
        <v>0</v>
      </c>
      <c r="AB401">
        <f>IF(ISNUMBER(INDEX(AllCollegeAAHGR, MATCH(N401,AllCollegeNCES,0))),ROUND(INDEX(AllCollegeAAHGR, MATCH(N401,AllCollegeNCES,0))+Z401*IF(INDEX(AllCollegeAAHGR, MATCH(N401,AllCollegeNCES,0))&gt;0.7,(1-INDEX(AllCollegeAAHGR, MATCH(N401,AllCollegeNCES,0)))/2,0.15),2),INDEX(AllCollegeAAHGR, MATCH(N401,AllCollegeNCES,0)))</f>
        <v>0</v>
      </c>
      <c r="AC401">
        <f>IF(OR(W401="H",W401="B"),INDEX(AllCollegeSAT25, MATCH(N401,AllCollegeNCES,0)),INDEX(AllCollegeSAT50, MATCH(N401,AllCollegeNCES,0)))</f>
        <v>0</v>
      </c>
      <c r="AD401">
        <f>INDEX(CustomWeightsGPA,MATCH(W401&amp;":"&amp;N401,CustomWeightsIndex,0))</f>
        <v>0</v>
      </c>
      <c r="AE401">
        <f>INDEX(CustomWeightsSAT,MATCH(W401&amp;":"&amp;N401,CustomWeightsIndex,0))</f>
        <v>0</v>
      </c>
      <c r="AF401">
        <f>INDEX(CustomWeightsIntercept,MATCH(W401&amp;":"&amp;N401,CustomWeightsIndex,0))</f>
        <v>0</v>
      </c>
      <c r="AG401">
        <f>AD401*S401+AE401*T401+AF401</f>
        <v>0</v>
      </c>
      <c r="AH401">
        <f>INDEX(CoefficientsGPA,MATCH(W401&amp;":"&amp;R401,CoefficientsIndex,0))</f>
        <v>0</v>
      </c>
      <c r="AI401">
        <f>INDEX(CoefficientsSAT,MATCH(W401&amp;":"&amp;R401,CoefficientsIndex,0))</f>
        <v>0</v>
      </c>
      <c r="AJ401">
        <f>INDEX(CoefficientsIntercept,MATCH(W401&amp;":"&amp;R401,CoefficientsIndex,0))</f>
        <v>0</v>
      </c>
      <c r="AK401">
        <f>AH401*S401+(T401-AC401)*AI401+AJ401</f>
        <v>0</v>
      </c>
      <c r="AL401">
        <f>IF(ISNUMBER(AG401),AG401,AK401)</f>
        <v>0</v>
      </c>
      <c r="AM401">
        <f>IF(ISNUMBER(AL401),IF(ISNUMBER(AH401),IF(AND(AH401=1,AI401=1,AJ401=1),100,MIN(99,ROUND(100*EXP(AL401)/(1+EXP(AL401)),2))),MIN(99,ROUND(100*EXP(AL401)/(1+EXP(AL401)),2))),IF(ISTEXT(R401),IF(LEFT(R401,1)="2",100,"N/A"),"N/A"))</f>
        <v>0</v>
      </c>
      <c r="AN401">
        <f>IF(ISNUMBER(AM401),IF(AM401&gt;=99,IF(OR(U401=10,U401=11),MatchLabel,SureThingLabel),IF(AM401&gt;=95,SecureLabel,IF(AM401&gt;=80,SafetyLabel,IF(AM401&gt;=50,MatchLabel,IF(AM401&gt;=20,ReachLabel,IF(AM401&gt;=10,LongshotLabel,HailMaryLabel)))))),"Other")</f>
        <v>0</v>
      </c>
      <c r="AO401">
        <f>IF(OR(I401="accepted",I401="cond. accept",I401="summer admit"),IF(J401="yes","CHOICE!","Accepted!"),IF(I401="guar. transfer","Guar. Xfer",IF(I401="denied","Denied",IF(K401=1,"Waitlist",IF(L401=1,"Deferred",IF(G401="pending","Pending",IF(OR(G401="initial materials submitted",G401="mid-year submitted",G401="final submitted"),"Submitted",IF(H401="interest","Interest","?"))))))))</f>
        <v>0</v>
      </c>
      <c r="AP401">
        <f>IF(OR(AN401=ReachLabel,AN401=LongshotLabel,AN401=HailMaryLabel),1,0)</f>
        <v>0</v>
      </c>
      <c r="AQ401">
        <f>IF(OR(AP401=1,AN401=MatchLabel),1,0)</f>
        <v>0</v>
      </c>
      <c r="AR401">
        <f>IF(OR(AN401=MatchLabel,AN401=SafetyLabel,AN401=SecureLabel,AN401=SureThingLabel),1,0)</f>
        <v>0</v>
      </c>
      <c r="AS401">
        <f>IF(OR(W401="H",W401="B",W401="I",W401="M"),IF(ISNUMBER(AB401),ROUND(AB401,2),0),IF(ISNUMBER(AA401),ROUND(AA401,2),0))</f>
        <v>0</v>
      </c>
      <c r="AT401">
        <f>IF(AS401&gt;=X401,1,0)</f>
        <v>0</v>
      </c>
      <c r="AU401">
        <f>IF(AS401&gt;=Y401,1,0)</f>
        <v>0</v>
      </c>
      <c r="AV401">
        <f>IF(AS401&lt;(X401-0.10),1,0)</f>
        <v>0</v>
      </c>
      <c r="AW401">
        <f>1-AM401/100</f>
        <v>0</v>
      </c>
      <c r="AX401">
        <f>IF(AQ401=1,AW401,1)</f>
        <v>0</v>
      </c>
      <c r="AY401">
        <f>IF(AP401=1,AW401,1)</f>
        <v>0</v>
      </c>
      <c r="AZ401">
        <f>IF(AND(AT401=1,ISNUMBER(AW401)),$AW401,1)</f>
        <v>0</v>
      </c>
      <c r="BA401">
        <f>IF(AND(AU401=1,ISNUMBER(AW401)),$AW401,1)</f>
        <v>0</v>
      </c>
      <c r="BB401">
        <f>IF(ISNUMBER(AB401),INDEX(AllCollegeMoney, MATCH(N401,AllCollegeNCES,0)),0)</f>
        <v>0</v>
      </c>
      <c r="BC401">
        <f>IF(AND(AT401=1,ISNUMBER(AW401),BB401=1),$AW401,1)</f>
        <v>0</v>
      </c>
      <c r="BD401">
        <f>IF(AND(AU401=1,ISNUMBER(AW401),BB401=1),$AW401,1)</f>
        <v>0</v>
      </c>
      <c r="BE401">
        <f>IF(ISNUMBER(AB401),INDEX(AllCollegeILPub, MATCH(N401,AllCollegeNCES,0)),0)</f>
        <v>0</v>
      </c>
      <c r="BF401">
        <f>IF(AN401=ReachLabel,AS401,0)</f>
        <v>0</v>
      </c>
      <c r="BG401">
        <f>IF(AN401=MatchLabel,AS401,0)</f>
        <v>0</v>
      </c>
      <c r="BH401">
        <f>IF(AN401=SafetyLabel,AS401,0)</f>
        <v>0</v>
      </c>
      <c r="BI401">
        <f>IF(AN401=SecureLabel,AS401,0)</f>
        <v>0</v>
      </c>
      <c r="BJ401">
        <f>IF(AN401=SureThingLabel,AS401,0)</f>
        <v>0</v>
      </c>
      <c r="BK401">
        <f>MAX(BF401:BJ401)</f>
        <v>0</v>
      </c>
      <c r="BL401">
        <f>MAX(BG401:BJ401)</f>
        <v>0</v>
      </c>
      <c r="BM401">
        <f>MAX(BH401:BJ401)</f>
        <v>0</v>
      </c>
      <c r="BN401">
        <f>IF(AND(AN401=ReachLabel,BB401=1),AS401,0)</f>
        <v>0</v>
      </c>
      <c r="BO401">
        <f>IF(AND(AN401=MatchLabel,BB401=1),AS401,0)</f>
        <v>0</v>
      </c>
      <c r="BP401">
        <f>IF(AND(AN401=SafetyLabel,BB401=1),AS401,0)</f>
        <v>0</v>
      </c>
      <c r="BQ401">
        <f>IF(AND(AN401=SecureLabel,BB401=1),AS401,0)</f>
        <v>0</v>
      </c>
      <c r="BR401">
        <f>IF(AND(AN401=SureThingLabel,BB401=1),AS401,0)</f>
        <v>0</v>
      </c>
      <c r="BS401">
        <f>MAX(BN401:BR401)</f>
        <v>0</v>
      </c>
      <c r="BT401">
        <f>MAX(BO401:BR401)</f>
        <v>0</v>
      </c>
      <c r="BU401">
        <f>MAX(BP401:BR401)</f>
        <v>0</v>
      </c>
      <c r="BV401">
        <f>IF(ISNUMBER(AB401),INDEX(AllCollegeChicago, MATCH(N401,AllCollegeNCES,0))*BB401,0)</f>
        <v>0</v>
      </c>
      <c r="BW401">
        <f>IF(ISNUMBER(AB401),INDEX(AllCollegeMoneyCode, MATCH(N401,AllCollegeNCES,0)),"?")</f>
        <v>0</v>
      </c>
      <c r="BX401">
        <f>IF(OR(BW401="---",BW401="--",BW401="+/--",BW401="+/---"),1,0)</f>
        <v>0</v>
      </c>
      <c r="BY401">
        <f>BB401*AR401*AT401</f>
        <v>0</v>
      </c>
    </row>
    <row r="402" spans="1:77">
      <c r="A402" t="s">
        <v>96</v>
      </c>
      <c r="B402">
        <v>23383224</v>
      </c>
      <c r="C402" t="s">
        <v>258</v>
      </c>
      <c r="D402" t="s">
        <v>259</v>
      </c>
      <c r="E402" t="s">
        <v>446</v>
      </c>
      <c r="F402" t="s">
        <v>486</v>
      </c>
      <c r="G402" t="s">
        <v>448</v>
      </c>
      <c r="H402" t="s">
        <v>449</v>
      </c>
      <c r="I402" t="s">
        <v>450</v>
      </c>
      <c r="J402" t="s">
        <v>450</v>
      </c>
      <c r="K402">
        <v>0</v>
      </c>
      <c r="L402" t="s">
        <v>446</v>
      </c>
      <c r="M402" t="s">
        <v>446</v>
      </c>
      <c r="N402">
        <v>206589</v>
      </c>
      <c r="O402">
        <f>INDEX(Counselor,MATCH(B402,KidIDs,0))</f>
        <v>0</v>
      </c>
      <c r="P402">
        <f>INDEX(Advisors,MATCH(B402,KidIDs,0))</f>
        <v>0</v>
      </c>
      <c r="Q402">
        <f>INDEX(Cohort,MATCH(B402,KidIDs,0))</f>
        <v>0</v>
      </c>
      <c r="R402">
        <f>INDEX(AllCollegeBarrons,MATCH(N402,AllCollegeNCES,0))</f>
        <v>0</v>
      </c>
      <c r="S402">
        <f>INDEX(KidGPAs,MATCH(B402,KidIDs,0))</f>
        <v>0</v>
      </c>
      <c r="T402">
        <f>INDEX(KidSATs,MATCH(B402,KidIDs,0))</f>
        <v>0</v>
      </c>
      <c r="U402">
        <f>INDEX(Strats,MATCH(B402,KidIDs,0))</f>
        <v>0</v>
      </c>
      <c r="V402">
        <f>INDEX(KidRace,MATCH(B402,KidIDs,0))</f>
        <v>0</v>
      </c>
      <c r="W402">
        <f>IF(OR(V402="M",V402="I"),"H",IF(V402="P","A",V402))</f>
        <v>0</v>
      </c>
      <c r="X402">
        <f>INDEX(StudentTargets,MATCH(B402,KidIDs,0))</f>
        <v>0</v>
      </c>
      <c r="Y402">
        <f>INDEX(ReachStudentTargets,MATCH(B402,KidIDs,0))</f>
        <v>0</v>
      </c>
      <c r="Z402">
        <f>IF(OR(M402="Posse"),1,0)</f>
        <v>0</v>
      </c>
      <c r="AA402">
        <f>IF(ISNUMBER(INDEX(AllCollegeGR, MATCH(N402,AllCollegeNCES,0))),ROUND(INDEX(AllCollegeGR, MATCH(N402,AllCollegeNCES,0))+Z402*IF(INDEX(AllCollegeGR, MATCH(N402,AllCollegeNCES,0))&gt;0.7,(1-INDEX(AllCollegeGR, MATCH(N402,AllCollegeNCES,0)))/2,0.15),2),INDEX(AllCollegeGR, MATCH(N402,AllCollegeNCES,0)))</f>
        <v>0</v>
      </c>
      <c r="AB402">
        <f>IF(ISNUMBER(INDEX(AllCollegeAAHGR, MATCH(N402,AllCollegeNCES,0))),ROUND(INDEX(AllCollegeAAHGR, MATCH(N402,AllCollegeNCES,0))+Z402*IF(INDEX(AllCollegeAAHGR, MATCH(N402,AllCollegeNCES,0))&gt;0.7,(1-INDEX(AllCollegeAAHGR, MATCH(N402,AllCollegeNCES,0)))/2,0.15),2),INDEX(AllCollegeAAHGR, MATCH(N402,AllCollegeNCES,0)))</f>
        <v>0</v>
      </c>
      <c r="AC402">
        <f>IF(OR(W402="H",W402="B"),INDEX(AllCollegeSAT25, MATCH(N402,AllCollegeNCES,0)),INDEX(AllCollegeSAT50, MATCH(N402,AllCollegeNCES,0)))</f>
        <v>0</v>
      </c>
      <c r="AD402">
        <f>INDEX(CustomWeightsGPA,MATCH(W402&amp;":"&amp;N402,CustomWeightsIndex,0))</f>
        <v>0</v>
      </c>
      <c r="AE402">
        <f>INDEX(CustomWeightsSAT,MATCH(W402&amp;":"&amp;N402,CustomWeightsIndex,0))</f>
        <v>0</v>
      </c>
      <c r="AF402">
        <f>INDEX(CustomWeightsIntercept,MATCH(W402&amp;":"&amp;N402,CustomWeightsIndex,0))</f>
        <v>0</v>
      </c>
      <c r="AG402">
        <f>AD402*S402+AE402*T402+AF402</f>
        <v>0</v>
      </c>
      <c r="AH402">
        <f>INDEX(CoefficientsGPA,MATCH(W402&amp;":"&amp;R402,CoefficientsIndex,0))</f>
        <v>0</v>
      </c>
      <c r="AI402">
        <f>INDEX(CoefficientsSAT,MATCH(W402&amp;":"&amp;R402,CoefficientsIndex,0))</f>
        <v>0</v>
      </c>
      <c r="AJ402">
        <f>INDEX(CoefficientsIntercept,MATCH(W402&amp;":"&amp;R402,CoefficientsIndex,0))</f>
        <v>0</v>
      </c>
      <c r="AK402">
        <f>AH402*S402+(T402-AC402)*AI402+AJ402</f>
        <v>0</v>
      </c>
      <c r="AL402">
        <f>IF(ISNUMBER(AG402),AG402,AK402)</f>
        <v>0</v>
      </c>
      <c r="AM402">
        <f>IF(ISNUMBER(AL402),IF(ISNUMBER(AH402),IF(AND(AH402=1,AI402=1,AJ402=1),100,MIN(99,ROUND(100*EXP(AL402)/(1+EXP(AL402)),2))),MIN(99,ROUND(100*EXP(AL402)/(1+EXP(AL402)),2))),IF(ISTEXT(R402),IF(LEFT(R402,1)="2",100,"N/A"),"N/A"))</f>
        <v>0</v>
      </c>
      <c r="AN402">
        <f>IF(ISNUMBER(AM402),IF(AM402&gt;=99,IF(OR(U402=10,U402=11),MatchLabel,SureThingLabel),IF(AM402&gt;=95,SecureLabel,IF(AM402&gt;=80,SafetyLabel,IF(AM402&gt;=50,MatchLabel,IF(AM402&gt;=20,ReachLabel,IF(AM402&gt;=10,LongshotLabel,HailMaryLabel)))))),"Other")</f>
        <v>0</v>
      </c>
      <c r="AO402">
        <f>IF(OR(I402="accepted",I402="cond. accept",I402="summer admit"),IF(J402="yes","CHOICE!","Accepted!"),IF(I402="guar. transfer","Guar. Xfer",IF(I402="denied","Denied",IF(K402=1,"Waitlist",IF(L402=1,"Deferred",IF(G402="pending","Pending",IF(OR(G402="initial materials submitted",G402="mid-year submitted",G402="final submitted"),"Submitted",IF(H402="interest","Interest","?"))))))))</f>
        <v>0</v>
      </c>
      <c r="AP402">
        <f>IF(OR(AN402=ReachLabel,AN402=LongshotLabel,AN402=HailMaryLabel),1,0)</f>
        <v>0</v>
      </c>
      <c r="AQ402">
        <f>IF(OR(AP402=1,AN402=MatchLabel),1,0)</f>
        <v>0</v>
      </c>
      <c r="AR402">
        <f>IF(OR(AN402=MatchLabel,AN402=SafetyLabel,AN402=SecureLabel,AN402=SureThingLabel),1,0)</f>
        <v>0</v>
      </c>
      <c r="AS402">
        <f>IF(OR(W402="H",W402="B",W402="I",W402="M"),IF(ISNUMBER(AB402),ROUND(AB402,2),0),IF(ISNUMBER(AA402),ROUND(AA402,2),0))</f>
        <v>0</v>
      </c>
      <c r="AT402">
        <f>IF(AS402&gt;=X402,1,0)</f>
        <v>0</v>
      </c>
      <c r="AU402">
        <f>IF(AS402&gt;=Y402,1,0)</f>
        <v>0</v>
      </c>
      <c r="AV402">
        <f>IF(AS402&lt;(X402-0.10),1,0)</f>
        <v>0</v>
      </c>
      <c r="AW402">
        <f>1-AM402/100</f>
        <v>0</v>
      </c>
      <c r="AX402">
        <f>IF(AQ402=1,AW402,1)</f>
        <v>0</v>
      </c>
      <c r="AY402">
        <f>IF(AP402=1,AW402,1)</f>
        <v>0</v>
      </c>
      <c r="AZ402">
        <f>IF(AND(AT402=1,ISNUMBER(AW402)),$AW402,1)</f>
        <v>0</v>
      </c>
      <c r="BA402">
        <f>IF(AND(AU402=1,ISNUMBER(AW402)),$AW402,1)</f>
        <v>0</v>
      </c>
      <c r="BB402">
        <f>IF(ISNUMBER(AB402),INDEX(AllCollegeMoney, MATCH(N402,AllCollegeNCES,0)),0)</f>
        <v>0</v>
      </c>
      <c r="BC402">
        <f>IF(AND(AT402=1,ISNUMBER(AW402),BB402=1),$AW402,1)</f>
        <v>0</v>
      </c>
      <c r="BD402">
        <f>IF(AND(AU402=1,ISNUMBER(AW402),BB402=1),$AW402,1)</f>
        <v>0</v>
      </c>
      <c r="BE402">
        <f>IF(ISNUMBER(AB402),INDEX(AllCollegeILPub, MATCH(N402,AllCollegeNCES,0)),0)</f>
        <v>0</v>
      </c>
      <c r="BF402">
        <f>IF(AN402=ReachLabel,AS402,0)</f>
        <v>0</v>
      </c>
      <c r="BG402">
        <f>IF(AN402=MatchLabel,AS402,0)</f>
        <v>0</v>
      </c>
      <c r="BH402">
        <f>IF(AN402=SafetyLabel,AS402,0)</f>
        <v>0</v>
      </c>
      <c r="BI402">
        <f>IF(AN402=SecureLabel,AS402,0)</f>
        <v>0</v>
      </c>
      <c r="BJ402">
        <f>IF(AN402=SureThingLabel,AS402,0)</f>
        <v>0</v>
      </c>
      <c r="BK402">
        <f>MAX(BF402:BJ402)</f>
        <v>0</v>
      </c>
      <c r="BL402">
        <f>MAX(BG402:BJ402)</f>
        <v>0</v>
      </c>
      <c r="BM402">
        <f>MAX(BH402:BJ402)</f>
        <v>0</v>
      </c>
      <c r="BN402">
        <f>IF(AND(AN402=ReachLabel,BB402=1),AS402,0)</f>
        <v>0</v>
      </c>
      <c r="BO402">
        <f>IF(AND(AN402=MatchLabel,BB402=1),AS402,0)</f>
        <v>0</v>
      </c>
      <c r="BP402">
        <f>IF(AND(AN402=SafetyLabel,BB402=1),AS402,0)</f>
        <v>0</v>
      </c>
      <c r="BQ402">
        <f>IF(AND(AN402=SecureLabel,BB402=1),AS402,0)</f>
        <v>0</v>
      </c>
      <c r="BR402">
        <f>IF(AND(AN402=SureThingLabel,BB402=1),AS402,0)</f>
        <v>0</v>
      </c>
      <c r="BS402">
        <f>MAX(BN402:BR402)</f>
        <v>0</v>
      </c>
      <c r="BT402">
        <f>MAX(BO402:BR402)</f>
        <v>0</v>
      </c>
      <c r="BU402">
        <f>MAX(BP402:BR402)</f>
        <v>0</v>
      </c>
      <c r="BV402">
        <f>IF(ISNUMBER(AB402),INDEX(AllCollegeChicago, MATCH(N402,AllCollegeNCES,0))*BB402,0)</f>
        <v>0</v>
      </c>
      <c r="BW402">
        <f>IF(ISNUMBER(AB402),INDEX(AllCollegeMoneyCode, MATCH(N402,AllCollegeNCES,0)),"?")</f>
        <v>0</v>
      </c>
      <c r="BX402">
        <f>IF(OR(BW402="---",BW402="--",BW402="+/--",BW402="+/---"),1,0)</f>
        <v>0</v>
      </c>
      <c r="BY402">
        <f>BB402*AR402*AT402</f>
        <v>0</v>
      </c>
    </row>
    <row r="403" spans="1:77">
      <c r="A403" t="s">
        <v>96</v>
      </c>
      <c r="B403">
        <v>23383224</v>
      </c>
      <c r="C403" t="s">
        <v>258</v>
      </c>
      <c r="D403" t="s">
        <v>259</v>
      </c>
      <c r="E403" t="s">
        <v>446</v>
      </c>
      <c r="F403" t="s">
        <v>473</v>
      </c>
      <c r="G403" t="s">
        <v>448</v>
      </c>
      <c r="H403" t="s">
        <v>449</v>
      </c>
      <c r="I403" t="s">
        <v>450</v>
      </c>
      <c r="J403" t="s">
        <v>450</v>
      </c>
      <c r="K403">
        <v>0</v>
      </c>
      <c r="L403" t="s">
        <v>446</v>
      </c>
      <c r="M403" t="s">
        <v>446</v>
      </c>
      <c r="N403">
        <v>221519</v>
      </c>
      <c r="O403">
        <f>INDEX(Counselor,MATCH(B403,KidIDs,0))</f>
        <v>0</v>
      </c>
      <c r="P403">
        <f>INDEX(Advisors,MATCH(B403,KidIDs,0))</f>
        <v>0</v>
      </c>
      <c r="Q403">
        <f>INDEX(Cohort,MATCH(B403,KidIDs,0))</f>
        <v>0</v>
      </c>
      <c r="R403">
        <f>INDEX(AllCollegeBarrons,MATCH(N403,AllCollegeNCES,0))</f>
        <v>0</v>
      </c>
      <c r="S403">
        <f>INDEX(KidGPAs,MATCH(B403,KidIDs,0))</f>
        <v>0</v>
      </c>
      <c r="T403">
        <f>INDEX(KidSATs,MATCH(B403,KidIDs,0))</f>
        <v>0</v>
      </c>
      <c r="U403">
        <f>INDEX(Strats,MATCH(B403,KidIDs,0))</f>
        <v>0</v>
      </c>
      <c r="V403">
        <f>INDEX(KidRace,MATCH(B403,KidIDs,0))</f>
        <v>0</v>
      </c>
      <c r="W403">
        <f>IF(OR(V403="M",V403="I"),"H",IF(V403="P","A",V403))</f>
        <v>0</v>
      </c>
      <c r="X403">
        <f>INDEX(StudentTargets,MATCH(B403,KidIDs,0))</f>
        <v>0</v>
      </c>
      <c r="Y403">
        <f>INDEX(ReachStudentTargets,MATCH(B403,KidIDs,0))</f>
        <v>0</v>
      </c>
      <c r="Z403">
        <f>IF(OR(M403="Posse"),1,0)</f>
        <v>0</v>
      </c>
      <c r="AA403">
        <f>IF(ISNUMBER(INDEX(AllCollegeGR, MATCH(N403,AllCollegeNCES,0))),ROUND(INDEX(AllCollegeGR, MATCH(N403,AllCollegeNCES,0))+Z403*IF(INDEX(AllCollegeGR, MATCH(N403,AllCollegeNCES,0))&gt;0.7,(1-INDEX(AllCollegeGR, MATCH(N403,AllCollegeNCES,0)))/2,0.15),2),INDEX(AllCollegeGR, MATCH(N403,AllCollegeNCES,0)))</f>
        <v>0</v>
      </c>
      <c r="AB403">
        <f>IF(ISNUMBER(INDEX(AllCollegeAAHGR, MATCH(N403,AllCollegeNCES,0))),ROUND(INDEX(AllCollegeAAHGR, MATCH(N403,AllCollegeNCES,0))+Z403*IF(INDEX(AllCollegeAAHGR, MATCH(N403,AllCollegeNCES,0))&gt;0.7,(1-INDEX(AllCollegeAAHGR, MATCH(N403,AllCollegeNCES,0)))/2,0.15),2),INDEX(AllCollegeAAHGR, MATCH(N403,AllCollegeNCES,0)))</f>
        <v>0</v>
      </c>
      <c r="AC403">
        <f>IF(OR(W403="H",W403="B"),INDEX(AllCollegeSAT25, MATCH(N403,AllCollegeNCES,0)),INDEX(AllCollegeSAT50, MATCH(N403,AllCollegeNCES,0)))</f>
        <v>0</v>
      </c>
      <c r="AD403">
        <f>INDEX(CustomWeightsGPA,MATCH(W403&amp;":"&amp;N403,CustomWeightsIndex,0))</f>
        <v>0</v>
      </c>
      <c r="AE403">
        <f>INDEX(CustomWeightsSAT,MATCH(W403&amp;":"&amp;N403,CustomWeightsIndex,0))</f>
        <v>0</v>
      </c>
      <c r="AF403">
        <f>INDEX(CustomWeightsIntercept,MATCH(W403&amp;":"&amp;N403,CustomWeightsIndex,0))</f>
        <v>0</v>
      </c>
      <c r="AG403">
        <f>AD403*S403+AE403*T403+AF403</f>
        <v>0</v>
      </c>
      <c r="AH403">
        <f>INDEX(CoefficientsGPA,MATCH(W403&amp;":"&amp;R403,CoefficientsIndex,0))</f>
        <v>0</v>
      </c>
      <c r="AI403">
        <f>INDEX(CoefficientsSAT,MATCH(W403&amp;":"&amp;R403,CoefficientsIndex,0))</f>
        <v>0</v>
      </c>
      <c r="AJ403">
        <f>INDEX(CoefficientsIntercept,MATCH(W403&amp;":"&amp;R403,CoefficientsIndex,0))</f>
        <v>0</v>
      </c>
      <c r="AK403">
        <f>AH403*S403+(T403-AC403)*AI403+AJ403</f>
        <v>0</v>
      </c>
      <c r="AL403">
        <f>IF(ISNUMBER(AG403),AG403,AK403)</f>
        <v>0</v>
      </c>
      <c r="AM403">
        <f>IF(ISNUMBER(AL403),IF(ISNUMBER(AH403),IF(AND(AH403=1,AI403=1,AJ403=1),100,MIN(99,ROUND(100*EXP(AL403)/(1+EXP(AL403)),2))),MIN(99,ROUND(100*EXP(AL403)/(1+EXP(AL403)),2))),IF(ISTEXT(R403),IF(LEFT(R403,1)="2",100,"N/A"),"N/A"))</f>
        <v>0</v>
      </c>
      <c r="AN403">
        <f>IF(ISNUMBER(AM403),IF(AM403&gt;=99,IF(OR(U403=10,U403=11),MatchLabel,SureThingLabel),IF(AM403&gt;=95,SecureLabel,IF(AM403&gt;=80,SafetyLabel,IF(AM403&gt;=50,MatchLabel,IF(AM403&gt;=20,ReachLabel,IF(AM403&gt;=10,LongshotLabel,HailMaryLabel)))))),"Other")</f>
        <v>0</v>
      </c>
      <c r="AO403">
        <f>IF(OR(I403="accepted",I403="cond. accept",I403="summer admit"),IF(J403="yes","CHOICE!","Accepted!"),IF(I403="guar. transfer","Guar. Xfer",IF(I403="denied","Denied",IF(K403=1,"Waitlist",IF(L403=1,"Deferred",IF(G403="pending","Pending",IF(OR(G403="initial materials submitted",G403="mid-year submitted",G403="final submitted"),"Submitted",IF(H403="interest","Interest","?"))))))))</f>
        <v>0</v>
      </c>
      <c r="AP403">
        <f>IF(OR(AN403=ReachLabel,AN403=LongshotLabel,AN403=HailMaryLabel),1,0)</f>
        <v>0</v>
      </c>
      <c r="AQ403">
        <f>IF(OR(AP403=1,AN403=MatchLabel),1,0)</f>
        <v>0</v>
      </c>
      <c r="AR403">
        <f>IF(OR(AN403=MatchLabel,AN403=SafetyLabel,AN403=SecureLabel,AN403=SureThingLabel),1,0)</f>
        <v>0</v>
      </c>
      <c r="AS403">
        <f>IF(OR(W403="H",W403="B",W403="I",W403="M"),IF(ISNUMBER(AB403),ROUND(AB403,2),0),IF(ISNUMBER(AA403),ROUND(AA403,2),0))</f>
        <v>0</v>
      </c>
      <c r="AT403">
        <f>IF(AS403&gt;=X403,1,0)</f>
        <v>0</v>
      </c>
      <c r="AU403">
        <f>IF(AS403&gt;=Y403,1,0)</f>
        <v>0</v>
      </c>
      <c r="AV403">
        <f>IF(AS403&lt;(X403-0.10),1,0)</f>
        <v>0</v>
      </c>
      <c r="AW403">
        <f>1-AM403/100</f>
        <v>0</v>
      </c>
      <c r="AX403">
        <f>IF(AQ403=1,AW403,1)</f>
        <v>0</v>
      </c>
      <c r="AY403">
        <f>IF(AP403=1,AW403,1)</f>
        <v>0</v>
      </c>
      <c r="AZ403">
        <f>IF(AND(AT403=1,ISNUMBER(AW403)),$AW403,1)</f>
        <v>0</v>
      </c>
      <c r="BA403">
        <f>IF(AND(AU403=1,ISNUMBER(AW403)),$AW403,1)</f>
        <v>0</v>
      </c>
      <c r="BB403">
        <f>IF(ISNUMBER(AB403),INDEX(AllCollegeMoney, MATCH(N403,AllCollegeNCES,0)),0)</f>
        <v>0</v>
      </c>
      <c r="BC403">
        <f>IF(AND(AT403=1,ISNUMBER(AW403),BB403=1),$AW403,1)</f>
        <v>0</v>
      </c>
      <c r="BD403">
        <f>IF(AND(AU403=1,ISNUMBER(AW403),BB403=1),$AW403,1)</f>
        <v>0</v>
      </c>
      <c r="BE403">
        <f>IF(ISNUMBER(AB403),INDEX(AllCollegeILPub, MATCH(N403,AllCollegeNCES,0)),0)</f>
        <v>0</v>
      </c>
      <c r="BF403">
        <f>IF(AN403=ReachLabel,AS403,0)</f>
        <v>0</v>
      </c>
      <c r="BG403">
        <f>IF(AN403=MatchLabel,AS403,0)</f>
        <v>0</v>
      </c>
      <c r="BH403">
        <f>IF(AN403=SafetyLabel,AS403,0)</f>
        <v>0</v>
      </c>
      <c r="BI403">
        <f>IF(AN403=SecureLabel,AS403,0)</f>
        <v>0</v>
      </c>
      <c r="BJ403">
        <f>IF(AN403=SureThingLabel,AS403,0)</f>
        <v>0</v>
      </c>
      <c r="BK403">
        <f>MAX(BF403:BJ403)</f>
        <v>0</v>
      </c>
      <c r="BL403">
        <f>MAX(BG403:BJ403)</f>
        <v>0</v>
      </c>
      <c r="BM403">
        <f>MAX(BH403:BJ403)</f>
        <v>0</v>
      </c>
      <c r="BN403">
        <f>IF(AND(AN403=ReachLabel,BB403=1),AS403,0)</f>
        <v>0</v>
      </c>
      <c r="BO403">
        <f>IF(AND(AN403=MatchLabel,BB403=1),AS403,0)</f>
        <v>0</v>
      </c>
      <c r="BP403">
        <f>IF(AND(AN403=SafetyLabel,BB403=1),AS403,0)</f>
        <v>0</v>
      </c>
      <c r="BQ403">
        <f>IF(AND(AN403=SecureLabel,BB403=1),AS403,0)</f>
        <v>0</v>
      </c>
      <c r="BR403">
        <f>IF(AND(AN403=SureThingLabel,BB403=1),AS403,0)</f>
        <v>0</v>
      </c>
      <c r="BS403">
        <f>MAX(BN403:BR403)</f>
        <v>0</v>
      </c>
      <c r="BT403">
        <f>MAX(BO403:BR403)</f>
        <v>0</v>
      </c>
      <c r="BU403">
        <f>MAX(BP403:BR403)</f>
        <v>0</v>
      </c>
      <c r="BV403">
        <f>IF(ISNUMBER(AB403),INDEX(AllCollegeChicago, MATCH(N403,AllCollegeNCES,0))*BB403,0)</f>
        <v>0</v>
      </c>
      <c r="BW403">
        <f>IF(ISNUMBER(AB403),INDEX(AllCollegeMoneyCode, MATCH(N403,AllCollegeNCES,0)),"?")</f>
        <v>0</v>
      </c>
      <c r="BX403">
        <f>IF(OR(BW403="---",BW403="--",BW403="+/--",BW403="+/---"),1,0)</f>
        <v>0</v>
      </c>
      <c r="BY403">
        <f>BB403*AR403*AT403</f>
        <v>0</v>
      </c>
    </row>
    <row r="404" spans="1:77">
      <c r="A404" t="s">
        <v>96</v>
      </c>
      <c r="B404">
        <v>23383224</v>
      </c>
      <c r="C404" t="s">
        <v>258</v>
      </c>
      <c r="D404" t="s">
        <v>259</v>
      </c>
      <c r="E404" t="s">
        <v>446</v>
      </c>
      <c r="F404" t="s">
        <v>475</v>
      </c>
      <c r="G404" t="s">
        <v>448</v>
      </c>
      <c r="H404" t="s">
        <v>449</v>
      </c>
      <c r="I404" t="s">
        <v>450</v>
      </c>
      <c r="J404" t="s">
        <v>450</v>
      </c>
      <c r="K404">
        <v>0</v>
      </c>
      <c r="L404" t="s">
        <v>446</v>
      </c>
      <c r="M404" t="s">
        <v>446</v>
      </c>
      <c r="N404">
        <v>145637</v>
      </c>
      <c r="O404">
        <f>INDEX(Counselor,MATCH(B404,KidIDs,0))</f>
        <v>0</v>
      </c>
      <c r="P404">
        <f>INDEX(Advisors,MATCH(B404,KidIDs,0))</f>
        <v>0</v>
      </c>
      <c r="Q404">
        <f>INDEX(Cohort,MATCH(B404,KidIDs,0))</f>
        <v>0</v>
      </c>
      <c r="R404">
        <f>INDEX(AllCollegeBarrons,MATCH(N404,AllCollegeNCES,0))</f>
        <v>0</v>
      </c>
      <c r="S404">
        <f>INDEX(KidGPAs,MATCH(B404,KidIDs,0))</f>
        <v>0</v>
      </c>
      <c r="T404">
        <f>INDEX(KidSATs,MATCH(B404,KidIDs,0))</f>
        <v>0</v>
      </c>
      <c r="U404">
        <f>INDEX(Strats,MATCH(B404,KidIDs,0))</f>
        <v>0</v>
      </c>
      <c r="V404">
        <f>INDEX(KidRace,MATCH(B404,KidIDs,0))</f>
        <v>0</v>
      </c>
      <c r="W404">
        <f>IF(OR(V404="M",V404="I"),"H",IF(V404="P","A",V404))</f>
        <v>0</v>
      </c>
      <c r="X404">
        <f>INDEX(StudentTargets,MATCH(B404,KidIDs,0))</f>
        <v>0</v>
      </c>
      <c r="Y404">
        <f>INDEX(ReachStudentTargets,MATCH(B404,KidIDs,0))</f>
        <v>0</v>
      </c>
      <c r="Z404">
        <f>IF(OR(M404="Posse"),1,0)</f>
        <v>0</v>
      </c>
      <c r="AA404">
        <f>IF(ISNUMBER(INDEX(AllCollegeGR, MATCH(N404,AllCollegeNCES,0))),ROUND(INDEX(AllCollegeGR, MATCH(N404,AllCollegeNCES,0))+Z404*IF(INDEX(AllCollegeGR, MATCH(N404,AllCollegeNCES,0))&gt;0.7,(1-INDEX(AllCollegeGR, MATCH(N404,AllCollegeNCES,0)))/2,0.15),2),INDEX(AllCollegeGR, MATCH(N404,AllCollegeNCES,0)))</f>
        <v>0</v>
      </c>
      <c r="AB404">
        <f>IF(ISNUMBER(INDEX(AllCollegeAAHGR, MATCH(N404,AllCollegeNCES,0))),ROUND(INDEX(AllCollegeAAHGR, MATCH(N404,AllCollegeNCES,0))+Z404*IF(INDEX(AllCollegeAAHGR, MATCH(N404,AllCollegeNCES,0))&gt;0.7,(1-INDEX(AllCollegeAAHGR, MATCH(N404,AllCollegeNCES,0)))/2,0.15),2),INDEX(AllCollegeAAHGR, MATCH(N404,AllCollegeNCES,0)))</f>
        <v>0</v>
      </c>
      <c r="AC404">
        <f>IF(OR(W404="H",W404="B"),INDEX(AllCollegeSAT25, MATCH(N404,AllCollegeNCES,0)),INDEX(AllCollegeSAT50, MATCH(N404,AllCollegeNCES,0)))</f>
        <v>0</v>
      </c>
      <c r="AD404">
        <f>INDEX(CustomWeightsGPA,MATCH(W404&amp;":"&amp;N404,CustomWeightsIndex,0))</f>
        <v>0</v>
      </c>
      <c r="AE404">
        <f>INDEX(CustomWeightsSAT,MATCH(W404&amp;":"&amp;N404,CustomWeightsIndex,0))</f>
        <v>0</v>
      </c>
      <c r="AF404">
        <f>INDEX(CustomWeightsIntercept,MATCH(W404&amp;":"&amp;N404,CustomWeightsIndex,0))</f>
        <v>0</v>
      </c>
      <c r="AG404">
        <f>AD404*S404+AE404*T404+AF404</f>
        <v>0</v>
      </c>
      <c r="AH404">
        <f>INDEX(CoefficientsGPA,MATCH(W404&amp;":"&amp;R404,CoefficientsIndex,0))</f>
        <v>0</v>
      </c>
      <c r="AI404">
        <f>INDEX(CoefficientsSAT,MATCH(W404&amp;":"&amp;R404,CoefficientsIndex,0))</f>
        <v>0</v>
      </c>
      <c r="AJ404">
        <f>INDEX(CoefficientsIntercept,MATCH(W404&amp;":"&amp;R404,CoefficientsIndex,0))</f>
        <v>0</v>
      </c>
      <c r="AK404">
        <f>AH404*S404+(T404-AC404)*AI404+AJ404</f>
        <v>0</v>
      </c>
      <c r="AL404">
        <f>IF(ISNUMBER(AG404),AG404,AK404)</f>
        <v>0</v>
      </c>
      <c r="AM404">
        <f>IF(ISNUMBER(AL404),IF(ISNUMBER(AH404),IF(AND(AH404=1,AI404=1,AJ404=1),100,MIN(99,ROUND(100*EXP(AL404)/(1+EXP(AL404)),2))),MIN(99,ROUND(100*EXP(AL404)/(1+EXP(AL404)),2))),IF(ISTEXT(R404),IF(LEFT(R404,1)="2",100,"N/A"),"N/A"))</f>
        <v>0</v>
      </c>
      <c r="AN404">
        <f>IF(ISNUMBER(AM404),IF(AM404&gt;=99,IF(OR(U404=10,U404=11),MatchLabel,SureThingLabel),IF(AM404&gt;=95,SecureLabel,IF(AM404&gt;=80,SafetyLabel,IF(AM404&gt;=50,MatchLabel,IF(AM404&gt;=20,ReachLabel,IF(AM404&gt;=10,LongshotLabel,HailMaryLabel)))))),"Other")</f>
        <v>0</v>
      </c>
      <c r="AO404">
        <f>IF(OR(I404="accepted",I404="cond. accept",I404="summer admit"),IF(J404="yes","CHOICE!","Accepted!"),IF(I404="guar. transfer","Guar. Xfer",IF(I404="denied","Denied",IF(K404=1,"Waitlist",IF(L404=1,"Deferred",IF(G404="pending","Pending",IF(OR(G404="initial materials submitted",G404="mid-year submitted",G404="final submitted"),"Submitted",IF(H404="interest","Interest","?"))))))))</f>
        <v>0</v>
      </c>
      <c r="AP404">
        <f>IF(OR(AN404=ReachLabel,AN404=LongshotLabel,AN404=HailMaryLabel),1,0)</f>
        <v>0</v>
      </c>
      <c r="AQ404">
        <f>IF(OR(AP404=1,AN404=MatchLabel),1,0)</f>
        <v>0</v>
      </c>
      <c r="AR404">
        <f>IF(OR(AN404=MatchLabel,AN404=SafetyLabel,AN404=SecureLabel,AN404=SureThingLabel),1,0)</f>
        <v>0</v>
      </c>
      <c r="AS404">
        <f>IF(OR(W404="H",W404="B",W404="I",W404="M"),IF(ISNUMBER(AB404),ROUND(AB404,2),0),IF(ISNUMBER(AA404),ROUND(AA404,2),0))</f>
        <v>0</v>
      </c>
      <c r="AT404">
        <f>IF(AS404&gt;=X404,1,0)</f>
        <v>0</v>
      </c>
      <c r="AU404">
        <f>IF(AS404&gt;=Y404,1,0)</f>
        <v>0</v>
      </c>
      <c r="AV404">
        <f>IF(AS404&lt;(X404-0.10),1,0)</f>
        <v>0</v>
      </c>
      <c r="AW404">
        <f>1-AM404/100</f>
        <v>0</v>
      </c>
      <c r="AX404">
        <f>IF(AQ404=1,AW404,1)</f>
        <v>0</v>
      </c>
      <c r="AY404">
        <f>IF(AP404=1,AW404,1)</f>
        <v>0</v>
      </c>
      <c r="AZ404">
        <f>IF(AND(AT404=1,ISNUMBER(AW404)),$AW404,1)</f>
        <v>0</v>
      </c>
      <c r="BA404">
        <f>IF(AND(AU404=1,ISNUMBER(AW404)),$AW404,1)</f>
        <v>0</v>
      </c>
      <c r="BB404">
        <f>IF(ISNUMBER(AB404),INDEX(AllCollegeMoney, MATCH(N404,AllCollegeNCES,0)),0)</f>
        <v>0</v>
      </c>
      <c r="BC404">
        <f>IF(AND(AT404=1,ISNUMBER(AW404),BB404=1),$AW404,1)</f>
        <v>0</v>
      </c>
      <c r="BD404">
        <f>IF(AND(AU404=1,ISNUMBER(AW404),BB404=1),$AW404,1)</f>
        <v>0</v>
      </c>
      <c r="BE404">
        <f>IF(ISNUMBER(AB404),INDEX(AllCollegeILPub, MATCH(N404,AllCollegeNCES,0)),0)</f>
        <v>0</v>
      </c>
      <c r="BF404">
        <f>IF(AN404=ReachLabel,AS404,0)</f>
        <v>0</v>
      </c>
      <c r="BG404">
        <f>IF(AN404=MatchLabel,AS404,0)</f>
        <v>0</v>
      </c>
      <c r="BH404">
        <f>IF(AN404=SafetyLabel,AS404,0)</f>
        <v>0</v>
      </c>
      <c r="BI404">
        <f>IF(AN404=SecureLabel,AS404,0)</f>
        <v>0</v>
      </c>
      <c r="BJ404">
        <f>IF(AN404=SureThingLabel,AS404,0)</f>
        <v>0</v>
      </c>
      <c r="BK404">
        <f>MAX(BF404:BJ404)</f>
        <v>0</v>
      </c>
      <c r="BL404">
        <f>MAX(BG404:BJ404)</f>
        <v>0</v>
      </c>
      <c r="BM404">
        <f>MAX(BH404:BJ404)</f>
        <v>0</v>
      </c>
      <c r="BN404">
        <f>IF(AND(AN404=ReachLabel,BB404=1),AS404,0)</f>
        <v>0</v>
      </c>
      <c r="BO404">
        <f>IF(AND(AN404=MatchLabel,BB404=1),AS404,0)</f>
        <v>0</v>
      </c>
      <c r="BP404">
        <f>IF(AND(AN404=SafetyLabel,BB404=1),AS404,0)</f>
        <v>0</v>
      </c>
      <c r="BQ404">
        <f>IF(AND(AN404=SecureLabel,BB404=1),AS404,0)</f>
        <v>0</v>
      </c>
      <c r="BR404">
        <f>IF(AND(AN404=SureThingLabel,BB404=1),AS404,0)</f>
        <v>0</v>
      </c>
      <c r="BS404">
        <f>MAX(BN404:BR404)</f>
        <v>0</v>
      </c>
      <c r="BT404">
        <f>MAX(BO404:BR404)</f>
        <v>0</v>
      </c>
      <c r="BU404">
        <f>MAX(BP404:BR404)</f>
        <v>0</v>
      </c>
      <c r="BV404">
        <f>IF(ISNUMBER(AB404),INDEX(AllCollegeChicago, MATCH(N404,AllCollegeNCES,0))*BB404,0)</f>
        <v>0</v>
      </c>
      <c r="BW404">
        <f>IF(ISNUMBER(AB404),INDEX(AllCollegeMoneyCode, MATCH(N404,AllCollegeNCES,0)),"?")</f>
        <v>0</v>
      </c>
      <c r="BX404">
        <f>IF(OR(BW404="---",BW404="--",BW404="+/--",BW404="+/---"),1,0)</f>
        <v>0</v>
      </c>
      <c r="BY404">
        <f>BB404*AR404*AT404</f>
        <v>0</v>
      </c>
    </row>
    <row r="405" spans="1:77">
      <c r="A405" t="s">
        <v>96</v>
      </c>
      <c r="B405">
        <v>23383224</v>
      </c>
      <c r="C405" t="s">
        <v>258</v>
      </c>
      <c r="D405" t="s">
        <v>259</v>
      </c>
      <c r="E405" t="s">
        <v>446</v>
      </c>
      <c r="F405" t="s">
        <v>557</v>
      </c>
      <c r="G405" t="s">
        <v>448</v>
      </c>
      <c r="H405" t="s">
        <v>449</v>
      </c>
      <c r="I405" t="s">
        <v>450</v>
      </c>
      <c r="J405" t="s">
        <v>450</v>
      </c>
      <c r="K405">
        <v>0</v>
      </c>
      <c r="L405" t="s">
        <v>446</v>
      </c>
      <c r="M405" t="s">
        <v>446</v>
      </c>
      <c r="N405">
        <v>146481</v>
      </c>
      <c r="O405">
        <f>INDEX(Counselor,MATCH(B405,KidIDs,0))</f>
        <v>0</v>
      </c>
      <c r="P405">
        <f>INDEX(Advisors,MATCH(B405,KidIDs,0))</f>
        <v>0</v>
      </c>
      <c r="Q405">
        <f>INDEX(Cohort,MATCH(B405,KidIDs,0))</f>
        <v>0</v>
      </c>
      <c r="R405">
        <f>INDEX(AllCollegeBarrons,MATCH(N405,AllCollegeNCES,0))</f>
        <v>0</v>
      </c>
      <c r="S405">
        <f>INDEX(KidGPAs,MATCH(B405,KidIDs,0))</f>
        <v>0</v>
      </c>
      <c r="T405">
        <f>INDEX(KidSATs,MATCH(B405,KidIDs,0))</f>
        <v>0</v>
      </c>
      <c r="U405">
        <f>INDEX(Strats,MATCH(B405,KidIDs,0))</f>
        <v>0</v>
      </c>
      <c r="V405">
        <f>INDEX(KidRace,MATCH(B405,KidIDs,0))</f>
        <v>0</v>
      </c>
      <c r="W405">
        <f>IF(OR(V405="M",V405="I"),"H",IF(V405="P","A",V405))</f>
        <v>0</v>
      </c>
      <c r="X405">
        <f>INDEX(StudentTargets,MATCH(B405,KidIDs,0))</f>
        <v>0</v>
      </c>
      <c r="Y405">
        <f>INDEX(ReachStudentTargets,MATCH(B405,KidIDs,0))</f>
        <v>0</v>
      </c>
      <c r="Z405">
        <f>IF(OR(M405="Posse"),1,0)</f>
        <v>0</v>
      </c>
      <c r="AA405">
        <f>IF(ISNUMBER(INDEX(AllCollegeGR, MATCH(N405,AllCollegeNCES,0))),ROUND(INDEX(AllCollegeGR, MATCH(N405,AllCollegeNCES,0))+Z405*IF(INDEX(AllCollegeGR, MATCH(N405,AllCollegeNCES,0))&gt;0.7,(1-INDEX(AllCollegeGR, MATCH(N405,AllCollegeNCES,0)))/2,0.15),2),INDEX(AllCollegeGR, MATCH(N405,AllCollegeNCES,0)))</f>
        <v>0</v>
      </c>
      <c r="AB405">
        <f>IF(ISNUMBER(INDEX(AllCollegeAAHGR, MATCH(N405,AllCollegeNCES,0))),ROUND(INDEX(AllCollegeAAHGR, MATCH(N405,AllCollegeNCES,0))+Z405*IF(INDEX(AllCollegeAAHGR, MATCH(N405,AllCollegeNCES,0))&gt;0.7,(1-INDEX(AllCollegeAAHGR, MATCH(N405,AllCollegeNCES,0)))/2,0.15),2),INDEX(AllCollegeAAHGR, MATCH(N405,AllCollegeNCES,0)))</f>
        <v>0</v>
      </c>
      <c r="AC405">
        <f>IF(OR(W405="H",W405="B"),INDEX(AllCollegeSAT25, MATCH(N405,AllCollegeNCES,0)),INDEX(AllCollegeSAT50, MATCH(N405,AllCollegeNCES,0)))</f>
        <v>0</v>
      </c>
      <c r="AD405">
        <f>INDEX(CustomWeightsGPA,MATCH(W405&amp;":"&amp;N405,CustomWeightsIndex,0))</f>
        <v>0</v>
      </c>
      <c r="AE405">
        <f>INDEX(CustomWeightsSAT,MATCH(W405&amp;":"&amp;N405,CustomWeightsIndex,0))</f>
        <v>0</v>
      </c>
      <c r="AF405">
        <f>INDEX(CustomWeightsIntercept,MATCH(W405&amp;":"&amp;N405,CustomWeightsIndex,0))</f>
        <v>0</v>
      </c>
      <c r="AG405">
        <f>AD405*S405+AE405*T405+AF405</f>
        <v>0</v>
      </c>
      <c r="AH405">
        <f>INDEX(CoefficientsGPA,MATCH(W405&amp;":"&amp;R405,CoefficientsIndex,0))</f>
        <v>0</v>
      </c>
      <c r="AI405">
        <f>INDEX(CoefficientsSAT,MATCH(W405&amp;":"&amp;R405,CoefficientsIndex,0))</f>
        <v>0</v>
      </c>
      <c r="AJ405">
        <f>INDEX(CoefficientsIntercept,MATCH(W405&amp;":"&amp;R405,CoefficientsIndex,0))</f>
        <v>0</v>
      </c>
      <c r="AK405">
        <f>AH405*S405+(T405-AC405)*AI405+AJ405</f>
        <v>0</v>
      </c>
      <c r="AL405">
        <f>IF(ISNUMBER(AG405),AG405,AK405)</f>
        <v>0</v>
      </c>
      <c r="AM405">
        <f>IF(ISNUMBER(AL405),IF(ISNUMBER(AH405),IF(AND(AH405=1,AI405=1,AJ405=1),100,MIN(99,ROUND(100*EXP(AL405)/(1+EXP(AL405)),2))),MIN(99,ROUND(100*EXP(AL405)/(1+EXP(AL405)),2))),IF(ISTEXT(R405),IF(LEFT(R405,1)="2",100,"N/A"),"N/A"))</f>
        <v>0</v>
      </c>
      <c r="AN405">
        <f>IF(ISNUMBER(AM405),IF(AM405&gt;=99,IF(OR(U405=10,U405=11),MatchLabel,SureThingLabel),IF(AM405&gt;=95,SecureLabel,IF(AM405&gt;=80,SafetyLabel,IF(AM405&gt;=50,MatchLabel,IF(AM405&gt;=20,ReachLabel,IF(AM405&gt;=10,LongshotLabel,HailMaryLabel)))))),"Other")</f>
        <v>0</v>
      </c>
      <c r="AO405">
        <f>IF(OR(I405="accepted",I405="cond. accept",I405="summer admit"),IF(J405="yes","CHOICE!","Accepted!"),IF(I405="guar. transfer","Guar. Xfer",IF(I405="denied","Denied",IF(K405=1,"Waitlist",IF(L405=1,"Deferred",IF(G405="pending","Pending",IF(OR(G405="initial materials submitted",G405="mid-year submitted",G405="final submitted"),"Submitted",IF(H405="interest","Interest","?"))))))))</f>
        <v>0</v>
      </c>
      <c r="AP405">
        <f>IF(OR(AN405=ReachLabel,AN405=LongshotLabel,AN405=HailMaryLabel),1,0)</f>
        <v>0</v>
      </c>
      <c r="AQ405">
        <f>IF(OR(AP405=1,AN405=MatchLabel),1,0)</f>
        <v>0</v>
      </c>
      <c r="AR405">
        <f>IF(OR(AN405=MatchLabel,AN405=SafetyLabel,AN405=SecureLabel,AN405=SureThingLabel),1,0)</f>
        <v>0</v>
      </c>
      <c r="AS405">
        <f>IF(OR(W405="H",W405="B",W405="I",W405="M"),IF(ISNUMBER(AB405),ROUND(AB405,2),0),IF(ISNUMBER(AA405),ROUND(AA405,2),0))</f>
        <v>0</v>
      </c>
      <c r="AT405">
        <f>IF(AS405&gt;=X405,1,0)</f>
        <v>0</v>
      </c>
      <c r="AU405">
        <f>IF(AS405&gt;=Y405,1,0)</f>
        <v>0</v>
      </c>
      <c r="AV405">
        <f>IF(AS405&lt;(X405-0.10),1,0)</f>
        <v>0</v>
      </c>
      <c r="AW405">
        <f>1-AM405/100</f>
        <v>0</v>
      </c>
      <c r="AX405">
        <f>IF(AQ405=1,AW405,1)</f>
        <v>0</v>
      </c>
      <c r="AY405">
        <f>IF(AP405=1,AW405,1)</f>
        <v>0</v>
      </c>
      <c r="AZ405">
        <f>IF(AND(AT405=1,ISNUMBER(AW405)),$AW405,1)</f>
        <v>0</v>
      </c>
      <c r="BA405">
        <f>IF(AND(AU405=1,ISNUMBER(AW405)),$AW405,1)</f>
        <v>0</v>
      </c>
      <c r="BB405">
        <f>IF(ISNUMBER(AB405),INDEX(AllCollegeMoney, MATCH(N405,AllCollegeNCES,0)),0)</f>
        <v>0</v>
      </c>
      <c r="BC405">
        <f>IF(AND(AT405=1,ISNUMBER(AW405),BB405=1),$AW405,1)</f>
        <v>0</v>
      </c>
      <c r="BD405">
        <f>IF(AND(AU405=1,ISNUMBER(AW405),BB405=1),$AW405,1)</f>
        <v>0</v>
      </c>
      <c r="BE405">
        <f>IF(ISNUMBER(AB405),INDEX(AllCollegeILPub, MATCH(N405,AllCollegeNCES,0)),0)</f>
        <v>0</v>
      </c>
      <c r="BF405">
        <f>IF(AN405=ReachLabel,AS405,0)</f>
        <v>0</v>
      </c>
      <c r="BG405">
        <f>IF(AN405=MatchLabel,AS405,0)</f>
        <v>0</v>
      </c>
      <c r="BH405">
        <f>IF(AN405=SafetyLabel,AS405,0)</f>
        <v>0</v>
      </c>
      <c r="BI405">
        <f>IF(AN405=SecureLabel,AS405,0)</f>
        <v>0</v>
      </c>
      <c r="BJ405">
        <f>IF(AN405=SureThingLabel,AS405,0)</f>
        <v>0</v>
      </c>
      <c r="BK405">
        <f>MAX(BF405:BJ405)</f>
        <v>0</v>
      </c>
      <c r="BL405">
        <f>MAX(BG405:BJ405)</f>
        <v>0</v>
      </c>
      <c r="BM405">
        <f>MAX(BH405:BJ405)</f>
        <v>0</v>
      </c>
      <c r="BN405">
        <f>IF(AND(AN405=ReachLabel,BB405=1),AS405,0)</f>
        <v>0</v>
      </c>
      <c r="BO405">
        <f>IF(AND(AN405=MatchLabel,BB405=1),AS405,0)</f>
        <v>0</v>
      </c>
      <c r="BP405">
        <f>IF(AND(AN405=SafetyLabel,BB405=1),AS405,0)</f>
        <v>0</v>
      </c>
      <c r="BQ405">
        <f>IF(AND(AN405=SecureLabel,BB405=1),AS405,0)</f>
        <v>0</v>
      </c>
      <c r="BR405">
        <f>IF(AND(AN405=SureThingLabel,BB405=1),AS405,0)</f>
        <v>0</v>
      </c>
      <c r="BS405">
        <f>MAX(BN405:BR405)</f>
        <v>0</v>
      </c>
      <c r="BT405">
        <f>MAX(BO405:BR405)</f>
        <v>0</v>
      </c>
      <c r="BU405">
        <f>MAX(BP405:BR405)</f>
        <v>0</v>
      </c>
      <c r="BV405">
        <f>IF(ISNUMBER(AB405),INDEX(AllCollegeChicago, MATCH(N405,AllCollegeNCES,0))*BB405,0)</f>
        <v>0</v>
      </c>
      <c r="BW405">
        <f>IF(ISNUMBER(AB405),INDEX(AllCollegeMoneyCode, MATCH(N405,AllCollegeNCES,0)),"?")</f>
        <v>0</v>
      </c>
      <c r="BX405">
        <f>IF(OR(BW405="---",BW405="--",BW405="+/--",BW405="+/---"),1,0)</f>
        <v>0</v>
      </c>
      <c r="BY405">
        <f>BB405*AR405*AT405</f>
        <v>0</v>
      </c>
    </row>
    <row r="406" spans="1:77">
      <c r="A406" t="s">
        <v>96</v>
      </c>
      <c r="B406">
        <v>23383224</v>
      </c>
      <c r="C406" t="s">
        <v>258</v>
      </c>
      <c r="D406" t="s">
        <v>259</v>
      </c>
      <c r="E406" t="s">
        <v>446</v>
      </c>
      <c r="F406" t="s">
        <v>447</v>
      </c>
      <c r="G406" t="s">
        <v>448</v>
      </c>
      <c r="H406" t="s">
        <v>449</v>
      </c>
      <c r="I406" t="s">
        <v>450</v>
      </c>
      <c r="J406" t="s">
        <v>450</v>
      </c>
      <c r="K406">
        <v>0</v>
      </c>
      <c r="L406" t="s">
        <v>446</v>
      </c>
      <c r="M406" t="s">
        <v>446</v>
      </c>
      <c r="N406">
        <v>148496</v>
      </c>
      <c r="O406">
        <f>INDEX(Counselor,MATCH(B406,KidIDs,0))</f>
        <v>0</v>
      </c>
      <c r="P406">
        <f>INDEX(Advisors,MATCH(B406,KidIDs,0))</f>
        <v>0</v>
      </c>
      <c r="Q406">
        <f>INDEX(Cohort,MATCH(B406,KidIDs,0))</f>
        <v>0</v>
      </c>
      <c r="R406">
        <f>INDEX(AllCollegeBarrons,MATCH(N406,AllCollegeNCES,0))</f>
        <v>0</v>
      </c>
      <c r="S406">
        <f>INDEX(KidGPAs,MATCH(B406,KidIDs,0))</f>
        <v>0</v>
      </c>
      <c r="T406">
        <f>INDEX(KidSATs,MATCH(B406,KidIDs,0))</f>
        <v>0</v>
      </c>
      <c r="U406">
        <f>INDEX(Strats,MATCH(B406,KidIDs,0))</f>
        <v>0</v>
      </c>
      <c r="V406">
        <f>INDEX(KidRace,MATCH(B406,KidIDs,0))</f>
        <v>0</v>
      </c>
      <c r="W406">
        <f>IF(OR(V406="M",V406="I"),"H",IF(V406="P","A",V406))</f>
        <v>0</v>
      </c>
      <c r="X406">
        <f>INDEX(StudentTargets,MATCH(B406,KidIDs,0))</f>
        <v>0</v>
      </c>
      <c r="Y406">
        <f>INDEX(ReachStudentTargets,MATCH(B406,KidIDs,0))</f>
        <v>0</v>
      </c>
      <c r="Z406">
        <f>IF(OR(M406="Posse"),1,0)</f>
        <v>0</v>
      </c>
      <c r="AA406">
        <f>IF(ISNUMBER(INDEX(AllCollegeGR, MATCH(N406,AllCollegeNCES,0))),ROUND(INDEX(AllCollegeGR, MATCH(N406,AllCollegeNCES,0))+Z406*IF(INDEX(AllCollegeGR, MATCH(N406,AllCollegeNCES,0))&gt;0.7,(1-INDEX(AllCollegeGR, MATCH(N406,AllCollegeNCES,0)))/2,0.15),2),INDEX(AllCollegeGR, MATCH(N406,AllCollegeNCES,0)))</f>
        <v>0</v>
      </c>
      <c r="AB406">
        <f>IF(ISNUMBER(INDEX(AllCollegeAAHGR, MATCH(N406,AllCollegeNCES,0))),ROUND(INDEX(AllCollegeAAHGR, MATCH(N406,AllCollegeNCES,0))+Z406*IF(INDEX(AllCollegeAAHGR, MATCH(N406,AllCollegeNCES,0))&gt;0.7,(1-INDEX(AllCollegeAAHGR, MATCH(N406,AllCollegeNCES,0)))/2,0.15),2),INDEX(AllCollegeAAHGR, MATCH(N406,AllCollegeNCES,0)))</f>
        <v>0</v>
      </c>
      <c r="AC406">
        <f>IF(OR(W406="H",W406="B"),INDEX(AllCollegeSAT25, MATCH(N406,AllCollegeNCES,0)),INDEX(AllCollegeSAT50, MATCH(N406,AllCollegeNCES,0)))</f>
        <v>0</v>
      </c>
      <c r="AD406">
        <f>INDEX(CustomWeightsGPA,MATCH(W406&amp;":"&amp;N406,CustomWeightsIndex,0))</f>
        <v>0</v>
      </c>
      <c r="AE406">
        <f>INDEX(CustomWeightsSAT,MATCH(W406&amp;":"&amp;N406,CustomWeightsIndex,0))</f>
        <v>0</v>
      </c>
      <c r="AF406">
        <f>INDEX(CustomWeightsIntercept,MATCH(W406&amp;":"&amp;N406,CustomWeightsIndex,0))</f>
        <v>0</v>
      </c>
      <c r="AG406">
        <f>AD406*S406+AE406*T406+AF406</f>
        <v>0</v>
      </c>
      <c r="AH406">
        <f>INDEX(CoefficientsGPA,MATCH(W406&amp;":"&amp;R406,CoefficientsIndex,0))</f>
        <v>0</v>
      </c>
      <c r="AI406">
        <f>INDEX(CoefficientsSAT,MATCH(W406&amp;":"&amp;R406,CoefficientsIndex,0))</f>
        <v>0</v>
      </c>
      <c r="AJ406">
        <f>INDEX(CoefficientsIntercept,MATCH(W406&amp;":"&amp;R406,CoefficientsIndex,0))</f>
        <v>0</v>
      </c>
      <c r="AK406">
        <f>AH406*S406+(T406-AC406)*AI406+AJ406</f>
        <v>0</v>
      </c>
      <c r="AL406">
        <f>IF(ISNUMBER(AG406),AG406,AK406)</f>
        <v>0</v>
      </c>
      <c r="AM406">
        <f>IF(ISNUMBER(AL406),IF(ISNUMBER(AH406),IF(AND(AH406=1,AI406=1,AJ406=1),100,MIN(99,ROUND(100*EXP(AL406)/(1+EXP(AL406)),2))),MIN(99,ROUND(100*EXP(AL406)/(1+EXP(AL406)),2))),IF(ISTEXT(R406),IF(LEFT(R406,1)="2",100,"N/A"),"N/A"))</f>
        <v>0</v>
      </c>
      <c r="AN406">
        <f>IF(ISNUMBER(AM406),IF(AM406&gt;=99,IF(OR(U406=10,U406=11),MatchLabel,SureThingLabel),IF(AM406&gt;=95,SecureLabel,IF(AM406&gt;=80,SafetyLabel,IF(AM406&gt;=50,MatchLabel,IF(AM406&gt;=20,ReachLabel,IF(AM406&gt;=10,LongshotLabel,HailMaryLabel)))))),"Other")</f>
        <v>0</v>
      </c>
      <c r="AO406">
        <f>IF(OR(I406="accepted",I406="cond. accept",I406="summer admit"),IF(J406="yes","CHOICE!","Accepted!"),IF(I406="guar. transfer","Guar. Xfer",IF(I406="denied","Denied",IF(K406=1,"Waitlist",IF(L406=1,"Deferred",IF(G406="pending","Pending",IF(OR(G406="initial materials submitted",G406="mid-year submitted",G406="final submitted"),"Submitted",IF(H406="interest","Interest","?"))))))))</f>
        <v>0</v>
      </c>
      <c r="AP406">
        <f>IF(OR(AN406=ReachLabel,AN406=LongshotLabel,AN406=HailMaryLabel),1,0)</f>
        <v>0</v>
      </c>
      <c r="AQ406">
        <f>IF(OR(AP406=1,AN406=MatchLabel),1,0)</f>
        <v>0</v>
      </c>
      <c r="AR406">
        <f>IF(OR(AN406=MatchLabel,AN406=SafetyLabel,AN406=SecureLabel,AN406=SureThingLabel),1,0)</f>
        <v>0</v>
      </c>
      <c r="AS406">
        <f>IF(OR(W406="H",W406="B",W406="I",W406="M"),IF(ISNUMBER(AB406),ROUND(AB406,2),0),IF(ISNUMBER(AA406),ROUND(AA406,2),0))</f>
        <v>0</v>
      </c>
      <c r="AT406">
        <f>IF(AS406&gt;=X406,1,0)</f>
        <v>0</v>
      </c>
      <c r="AU406">
        <f>IF(AS406&gt;=Y406,1,0)</f>
        <v>0</v>
      </c>
      <c r="AV406">
        <f>IF(AS406&lt;(X406-0.10),1,0)</f>
        <v>0</v>
      </c>
      <c r="AW406">
        <f>1-AM406/100</f>
        <v>0</v>
      </c>
      <c r="AX406">
        <f>IF(AQ406=1,AW406,1)</f>
        <v>0</v>
      </c>
      <c r="AY406">
        <f>IF(AP406=1,AW406,1)</f>
        <v>0</v>
      </c>
      <c r="AZ406">
        <f>IF(AND(AT406=1,ISNUMBER(AW406)),$AW406,1)</f>
        <v>0</v>
      </c>
      <c r="BA406">
        <f>IF(AND(AU406=1,ISNUMBER(AW406)),$AW406,1)</f>
        <v>0</v>
      </c>
      <c r="BB406">
        <f>IF(ISNUMBER(AB406),INDEX(AllCollegeMoney, MATCH(N406,AllCollegeNCES,0)),0)</f>
        <v>0</v>
      </c>
      <c r="BC406">
        <f>IF(AND(AT406=1,ISNUMBER(AW406),BB406=1),$AW406,1)</f>
        <v>0</v>
      </c>
      <c r="BD406">
        <f>IF(AND(AU406=1,ISNUMBER(AW406),BB406=1),$AW406,1)</f>
        <v>0</v>
      </c>
      <c r="BE406">
        <f>IF(ISNUMBER(AB406),INDEX(AllCollegeILPub, MATCH(N406,AllCollegeNCES,0)),0)</f>
        <v>0</v>
      </c>
      <c r="BF406">
        <f>IF(AN406=ReachLabel,AS406,0)</f>
        <v>0</v>
      </c>
      <c r="BG406">
        <f>IF(AN406=MatchLabel,AS406,0)</f>
        <v>0</v>
      </c>
      <c r="BH406">
        <f>IF(AN406=SafetyLabel,AS406,0)</f>
        <v>0</v>
      </c>
      <c r="BI406">
        <f>IF(AN406=SecureLabel,AS406,0)</f>
        <v>0</v>
      </c>
      <c r="BJ406">
        <f>IF(AN406=SureThingLabel,AS406,0)</f>
        <v>0</v>
      </c>
      <c r="BK406">
        <f>MAX(BF406:BJ406)</f>
        <v>0</v>
      </c>
      <c r="BL406">
        <f>MAX(BG406:BJ406)</f>
        <v>0</v>
      </c>
      <c r="BM406">
        <f>MAX(BH406:BJ406)</f>
        <v>0</v>
      </c>
      <c r="BN406">
        <f>IF(AND(AN406=ReachLabel,BB406=1),AS406,0)</f>
        <v>0</v>
      </c>
      <c r="BO406">
        <f>IF(AND(AN406=MatchLabel,BB406=1),AS406,0)</f>
        <v>0</v>
      </c>
      <c r="BP406">
        <f>IF(AND(AN406=SafetyLabel,BB406=1),AS406,0)</f>
        <v>0</v>
      </c>
      <c r="BQ406">
        <f>IF(AND(AN406=SecureLabel,BB406=1),AS406,0)</f>
        <v>0</v>
      </c>
      <c r="BR406">
        <f>IF(AND(AN406=SureThingLabel,BB406=1),AS406,0)</f>
        <v>0</v>
      </c>
      <c r="BS406">
        <f>MAX(BN406:BR406)</f>
        <v>0</v>
      </c>
      <c r="BT406">
        <f>MAX(BO406:BR406)</f>
        <v>0</v>
      </c>
      <c r="BU406">
        <f>MAX(BP406:BR406)</f>
        <v>0</v>
      </c>
      <c r="BV406">
        <f>IF(ISNUMBER(AB406),INDEX(AllCollegeChicago, MATCH(N406,AllCollegeNCES,0))*BB406,0)</f>
        <v>0</v>
      </c>
      <c r="BW406">
        <f>IF(ISNUMBER(AB406),INDEX(AllCollegeMoneyCode, MATCH(N406,AllCollegeNCES,0)),"?")</f>
        <v>0</v>
      </c>
      <c r="BX406">
        <f>IF(OR(BW406="---",BW406="--",BW406="+/--",BW406="+/---"),1,0)</f>
        <v>0</v>
      </c>
      <c r="BY406">
        <f>BB406*AR406*AT406</f>
        <v>0</v>
      </c>
    </row>
    <row r="407" spans="1:77">
      <c r="A407" t="s">
        <v>96</v>
      </c>
      <c r="B407">
        <v>23383224</v>
      </c>
      <c r="C407" t="s">
        <v>258</v>
      </c>
      <c r="D407" t="s">
        <v>259</v>
      </c>
      <c r="E407" t="s">
        <v>446</v>
      </c>
      <c r="F407" t="s">
        <v>477</v>
      </c>
      <c r="G407" t="s">
        <v>448</v>
      </c>
      <c r="H407" t="s">
        <v>449</v>
      </c>
      <c r="I407" t="s">
        <v>450</v>
      </c>
      <c r="J407" t="s">
        <v>450</v>
      </c>
      <c r="K407">
        <v>0</v>
      </c>
      <c r="L407" t="s">
        <v>446</v>
      </c>
      <c r="M407" t="s">
        <v>446</v>
      </c>
      <c r="N407">
        <v>146427</v>
      </c>
      <c r="O407">
        <f>INDEX(Counselor,MATCH(B407,KidIDs,0))</f>
        <v>0</v>
      </c>
      <c r="P407">
        <f>INDEX(Advisors,MATCH(B407,KidIDs,0))</f>
        <v>0</v>
      </c>
      <c r="Q407">
        <f>INDEX(Cohort,MATCH(B407,KidIDs,0))</f>
        <v>0</v>
      </c>
      <c r="R407">
        <f>INDEX(AllCollegeBarrons,MATCH(N407,AllCollegeNCES,0))</f>
        <v>0</v>
      </c>
      <c r="S407">
        <f>INDEX(KidGPAs,MATCH(B407,KidIDs,0))</f>
        <v>0</v>
      </c>
      <c r="T407">
        <f>INDEX(KidSATs,MATCH(B407,KidIDs,0))</f>
        <v>0</v>
      </c>
      <c r="U407">
        <f>INDEX(Strats,MATCH(B407,KidIDs,0))</f>
        <v>0</v>
      </c>
      <c r="V407">
        <f>INDEX(KidRace,MATCH(B407,KidIDs,0))</f>
        <v>0</v>
      </c>
      <c r="W407">
        <f>IF(OR(V407="M",V407="I"),"H",IF(V407="P","A",V407))</f>
        <v>0</v>
      </c>
      <c r="X407">
        <f>INDEX(StudentTargets,MATCH(B407,KidIDs,0))</f>
        <v>0</v>
      </c>
      <c r="Y407">
        <f>INDEX(ReachStudentTargets,MATCH(B407,KidIDs,0))</f>
        <v>0</v>
      </c>
      <c r="Z407">
        <f>IF(OR(M407="Posse"),1,0)</f>
        <v>0</v>
      </c>
      <c r="AA407">
        <f>IF(ISNUMBER(INDEX(AllCollegeGR, MATCH(N407,AllCollegeNCES,0))),ROUND(INDEX(AllCollegeGR, MATCH(N407,AllCollegeNCES,0))+Z407*IF(INDEX(AllCollegeGR, MATCH(N407,AllCollegeNCES,0))&gt;0.7,(1-INDEX(AllCollegeGR, MATCH(N407,AllCollegeNCES,0)))/2,0.15),2),INDEX(AllCollegeGR, MATCH(N407,AllCollegeNCES,0)))</f>
        <v>0</v>
      </c>
      <c r="AB407">
        <f>IF(ISNUMBER(INDEX(AllCollegeAAHGR, MATCH(N407,AllCollegeNCES,0))),ROUND(INDEX(AllCollegeAAHGR, MATCH(N407,AllCollegeNCES,0))+Z407*IF(INDEX(AllCollegeAAHGR, MATCH(N407,AllCollegeNCES,0))&gt;0.7,(1-INDEX(AllCollegeAAHGR, MATCH(N407,AllCollegeNCES,0)))/2,0.15),2),INDEX(AllCollegeAAHGR, MATCH(N407,AllCollegeNCES,0)))</f>
        <v>0</v>
      </c>
      <c r="AC407">
        <f>IF(OR(W407="H",W407="B"),INDEX(AllCollegeSAT25, MATCH(N407,AllCollegeNCES,0)),INDEX(AllCollegeSAT50, MATCH(N407,AllCollegeNCES,0)))</f>
        <v>0</v>
      </c>
      <c r="AD407">
        <f>INDEX(CustomWeightsGPA,MATCH(W407&amp;":"&amp;N407,CustomWeightsIndex,0))</f>
        <v>0</v>
      </c>
      <c r="AE407">
        <f>INDEX(CustomWeightsSAT,MATCH(W407&amp;":"&amp;N407,CustomWeightsIndex,0))</f>
        <v>0</v>
      </c>
      <c r="AF407">
        <f>INDEX(CustomWeightsIntercept,MATCH(W407&amp;":"&amp;N407,CustomWeightsIndex,0))</f>
        <v>0</v>
      </c>
      <c r="AG407">
        <f>AD407*S407+AE407*T407+AF407</f>
        <v>0</v>
      </c>
      <c r="AH407">
        <f>INDEX(CoefficientsGPA,MATCH(W407&amp;":"&amp;R407,CoefficientsIndex,0))</f>
        <v>0</v>
      </c>
      <c r="AI407">
        <f>INDEX(CoefficientsSAT,MATCH(W407&amp;":"&amp;R407,CoefficientsIndex,0))</f>
        <v>0</v>
      </c>
      <c r="AJ407">
        <f>INDEX(CoefficientsIntercept,MATCH(W407&amp;":"&amp;R407,CoefficientsIndex,0))</f>
        <v>0</v>
      </c>
      <c r="AK407">
        <f>AH407*S407+(T407-AC407)*AI407+AJ407</f>
        <v>0</v>
      </c>
      <c r="AL407">
        <f>IF(ISNUMBER(AG407),AG407,AK407)</f>
        <v>0</v>
      </c>
      <c r="AM407">
        <f>IF(ISNUMBER(AL407),IF(ISNUMBER(AH407),IF(AND(AH407=1,AI407=1,AJ407=1),100,MIN(99,ROUND(100*EXP(AL407)/(1+EXP(AL407)),2))),MIN(99,ROUND(100*EXP(AL407)/(1+EXP(AL407)),2))),IF(ISTEXT(R407),IF(LEFT(R407,1)="2",100,"N/A"),"N/A"))</f>
        <v>0</v>
      </c>
      <c r="AN407">
        <f>IF(ISNUMBER(AM407),IF(AM407&gt;=99,IF(OR(U407=10,U407=11),MatchLabel,SureThingLabel),IF(AM407&gt;=95,SecureLabel,IF(AM407&gt;=80,SafetyLabel,IF(AM407&gt;=50,MatchLabel,IF(AM407&gt;=20,ReachLabel,IF(AM407&gt;=10,LongshotLabel,HailMaryLabel)))))),"Other")</f>
        <v>0</v>
      </c>
      <c r="AO407">
        <f>IF(OR(I407="accepted",I407="cond. accept",I407="summer admit"),IF(J407="yes","CHOICE!","Accepted!"),IF(I407="guar. transfer","Guar. Xfer",IF(I407="denied","Denied",IF(K407=1,"Waitlist",IF(L407=1,"Deferred",IF(G407="pending","Pending",IF(OR(G407="initial materials submitted",G407="mid-year submitted",G407="final submitted"),"Submitted",IF(H407="interest","Interest","?"))))))))</f>
        <v>0</v>
      </c>
      <c r="AP407">
        <f>IF(OR(AN407=ReachLabel,AN407=LongshotLabel,AN407=HailMaryLabel),1,0)</f>
        <v>0</v>
      </c>
      <c r="AQ407">
        <f>IF(OR(AP407=1,AN407=MatchLabel),1,0)</f>
        <v>0</v>
      </c>
      <c r="AR407">
        <f>IF(OR(AN407=MatchLabel,AN407=SafetyLabel,AN407=SecureLabel,AN407=SureThingLabel),1,0)</f>
        <v>0</v>
      </c>
      <c r="AS407">
        <f>IF(OR(W407="H",W407="B",W407="I",W407="M"),IF(ISNUMBER(AB407),ROUND(AB407,2),0),IF(ISNUMBER(AA407),ROUND(AA407,2),0))</f>
        <v>0</v>
      </c>
      <c r="AT407">
        <f>IF(AS407&gt;=X407,1,0)</f>
        <v>0</v>
      </c>
      <c r="AU407">
        <f>IF(AS407&gt;=Y407,1,0)</f>
        <v>0</v>
      </c>
      <c r="AV407">
        <f>IF(AS407&lt;(X407-0.10),1,0)</f>
        <v>0</v>
      </c>
      <c r="AW407">
        <f>1-AM407/100</f>
        <v>0</v>
      </c>
      <c r="AX407">
        <f>IF(AQ407=1,AW407,1)</f>
        <v>0</v>
      </c>
      <c r="AY407">
        <f>IF(AP407=1,AW407,1)</f>
        <v>0</v>
      </c>
      <c r="AZ407">
        <f>IF(AND(AT407=1,ISNUMBER(AW407)),$AW407,1)</f>
        <v>0</v>
      </c>
      <c r="BA407">
        <f>IF(AND(AU407=1,ISNUMBER(AW407)),$AW407,1)</f>
        <v>0</v>
      </c>
      <c r="BB407">
        <f>IF(ISNUMBER(AB407),INDEX(AllCollegeMoney, MATCH(N407,AllCollegeNCES,0)),0)</f>
        <v>0</v>
      </c>
      <c r="BC407">
        <f>IF(AND(AT407=1,ISNUMBER(AW407),BB407=1),$AW407,1)</f>
        <v>0</v>
      </c>
      <c r="BD407">
        <f>IF(AND(AU407=1,ISNUMBER(AW407),BB407=1),$AW407,1)</f>
        <v>0</v>
      </c>
      <c r="BE407">
        <f>IF(ISNUMBER(AB407),INDEX(AllCollegeILPub, MATCH(N407,AllCollegeNCES,0)),0)</f>
        <v>0</v>
      </c>
      <c r="BF407">
        <f>IF(AN407=ReachLabel,AS407,0)</f>
        <v>0</v>
      </c>
      <c r="BG407">
        <f>IF(AN407=MatchLabel,AS407,0)</f>
        <v>0</v>
      </c>
      <c r="BH407">
        <f>IF(AN407=SafetyLabel,AS407,0)</f>
        <v>0</v>
      </c>
      <c r="BI407">
        <f>IF(AN407=SecureLabel,AS407,0)</f>
        <v>0</v>
      </c>
      <c r="BJ407">
        <f>IF(AN407=SureThingLabel,AS407,0)</f>
        <v>0</v>
      </c>
      <c r="BK407">
        <f>MAX(BF407:BJ407)</f>
        <v>0</v>
      </c>
      <c r="BL407">
        <f>MAX(BG407:BJ407)</f>
        <v>0</v>
      </c>
      <c r="BM407">
        <f>MAX(BH407:BJ407)</f>
        <v>0</v>
      </c>
      <c r="BN407">
        <f>IF(AND(AN407=ReachLabel,BB407=1),AS407,0)</f>
        <v>0</v>
      </c>
      <c r="BO407">
        <f>IF(AND(AN407=MatchLabel,BB407=1),AS407,0)</f>
        <v>0</v>
      </c>
      <c r="BP407">
        <f>IF(AND(AN407=SafetyLabel,BB407=1),AS407,0)</f>
        <v>0</v>
      </c>
      <c r="BQ407">
        <f>IF(AND(AN407=SecureLabel,BB407=1),AS407,0)</f>
        <v>0</v>
      </c>
      <c r="BR407">
        <f>IF(AND(AN407=SureThingLabel,BB407=1),AS407,0)</f>
        <v>0</v>
      </c>
      <c r="BS407">
        <f>MAX(BN407:BR407)</f>
        <v>0</v>
      </c>
      <c r="BT407">
        <f>MAX(BO407:BR407)</f>
        <v>0</v>
      </c>
      <c r="BU407">
        <f>MAX(BP407:BR407)</f>
        <v>0</v>
      </c>
      <c r="BV407">
        <f>IF(ISNUMBER(AB407),INDEX(AllCollegeChicago, MATCH(N407,AllCollegeNCES,0))*BB407,0)</f>
        <v>0</v>
      </c>
      <c r="BW407">
        <f>IF(ISNUMBER(AB407),INDEX(AllCollegeMoneyCode, MATCH(N407,AllCollegeNCES,0)),"?")</f>
        <v>0</v>
      </c>
      <c r="BX407">
        <f>IF(OR(BW407="---",BW407="--",BW407="+/--",BW407="+/---"),1,0)</f>
        <v>0</v>
      </c>
      <c r="BY407">
        <f>BB407*AR407*AT407</f>
        <v>0</v>
      </c>
    </row>
    <row r="408" spans="1:77">
      <c r="A408" t="s">
        <v>96</v>
      </c>
      <c r="B408">
        <v>23383224</v>
      </c>
      <c r="C408" t="s">
        <v>258</v>
      </c>
      <c r="D408" t="s">
        <v>259</v>
      </c>
      <c r="E408" t="s">
        <v>446</v>
      </c>
      <c r="F408" t="s">
        <v>489</v>
      </c>
      <c r="G408" t="s">
        <v>448</v>
      </c>
      <c r="H408" t="s">
        <v>449</v>
      </c>
      <c r="I408" t="s">
        <v>450</v>
      </c>
      <c r="J408" t="s">
        <v>450</v>
      </c>
      <c r="K408">
        <v>0</v>
      </c>
      <c r="L408" t="s">
        <v>446</v>
      </c>
      <c r="M408" t="s">
        <v>446</v>
      </c>
      <c r="N408">
        <v>170301</v>
      </c>
      <c r="O408">
        <f>INDEX(Counselor,MATCH(B408,KidIDs,0))</f>
        <v>0</v>
      </c>
      <c r="P408">
        <f>INDEX(Advisors,MATCH(B408,KidIDs,0))</f>
        <v>0</v>
      </c>
      <c r="Q408">
        <f>INDEX(Cohort,MATCH(B408,KidIDs,0))</f>
        <v>0</v>
      </c>
      <c r="R408">
        <f>INDEX(AllCollegeBarrons,MATCH(N408,AllCollegeNCES,0))</f>
        <v>0</v>
      </c>
      <c r="S408">
        <f>INDEX(KidGPAs,MATCH(B408,KidIDs,0))</f>
        <v>0</v>
      </c>
      <c r="T408">
        <f>INDEX(KidSATs,MATCH(B408,KidIDs,0))</f>
        <v>0</v>
      </c>
      <c r="U408">
        <f>INDEX(Strats,MATCH(B408,KidIDs,0))</f>
        <v>0</v>
      </c>
      <c r="V408">
        <f>INDEX(KidRace,MATCH(B408,KidIDs,0))</f>
        <v>0</v>
      </c>
      <c r="W408">
        <f>IF(OR(V408="M",V408="I"),"H",IF(V408="P","A",V408))</f>
        <v>0</v>
      </c>
      <c r="X408">
        <f>INDEX(StudentTargets,MATCH(B408,KidIDs,0))</f>
        <v>0</v>
      </c>
      <c r="Y408">
        <f>INDEX(ReachStudentTargets,MATCH(B408,KidIDs,0))</f>
        <v>0</v>
      </c>
      <c r="Z408">
        <f>IF(OR(M408="Posse"),1,0)</f>
        <v>0</v>
      </c>
      <c r="AA408">
        <f>IF(ISNUMBER(INDEX(AllCollegeGR, MATCH(N408,AllCollegeNCES,0))),ROUND(INDEX(AllCollegeGR, MATCH(N408,AllCollegeNCES,0))+Z408*IF(INDEX(AllCollegeGR, MATCH(N408,AllCollegeNCES,0))&gt;0.7,(1-INDEX(AllCollegeGR, MATCH(N408,AllCollegeNCES,0)))/2,0.15),2),INDEX(AllCollegeGR, MATCH(N408,AllCollegeNCES,0)))</f>
        <v>0</v>
      </c>
      <c r="AB408">
        <f>IF(ISNUMBER(INDEX(AllCollegeAAHGR, MATCH(N408,AllCollegeNCES,0))),ROUND(INDEX(AllCollegeAAHGR, MATCH(N408,AllCollegeNCES,0))+Z408*IF(INDEX(AllCollegeAAHGR, MATCH(N408,AllCollegeNCES,0))&gt;0.7,(1-INDEX(AllCollegeAAHGR, MATCH(N408,AllCollegeNCES,0)))/2,0.15),2),INDEX(AllCollegeAAHGR, MATCH(N408,AllCollegeNCES,0)))</f>
        <v>0</v>
      </c>
      <c r="AC408">
        <f>IF(OR(W408="H",W408="B"),INDEX(AllCollegeSAT25, MATCH(N408,AllCollegeNCES,0)),INDEX(AllCollegeSAT50, MATCH(N408,AllCollegeNCES,0)))</f>
        <v>0</v>
      </c>
      <c r="AD408">
        <f>INDEX(CustomWeightsGPA,MATCH(W408&amp;":"&amp;N408,CustomWeightsIndex,0))</f>
        <v>0</v>
      </c>
      <c r="AE408">
        <f>INDEX(CustomWeightsSAT,MATCH(W408&amp;":"&amp;N408,CustomWeightsIndex,0))</f>
        <v>0</v>
      </c>
      <c r="AF408">
        <f>INDEX(CustomWeightsIntercept,MATCH(W408&amp;":"&amp;N408,CustomWeightsIndex,0))</f>
        <v>0</v>
      </c>
      <c r="AG408">
        <f>AD408*S408+AE408*T408+AF408</f>
        <v>0</v>
      </c>
      <c r="AH408">
        <f>INDEX(CoefficientsGPA,MATCH(W408&amp;":"&amp;R408,CoefficientsIndex,0))</f>
        <v>0</v>
      </c>
      <c r="AI408">
        <f>INDEX(CoefficientsSAT,MATCH(W408&amp;":"&amp;R408,CoefficientsIndex,0))</f>
        <v>0</v>
      </c>
      <c r="AJ408">
        <f>INDEX(CoefficientsIntercept,MATCH(W408&amp;":"&amp;R408,CoefficientsIndex,0))</f>
        <v>0</v>
      </c>
      <c r="AK408">
        <f>AH408*S408+(T408-AC408)*AI408+AJ408</f>
        <v>0</v>
      </c>
      <c r="AL408">
        <f>IF(ISNUMBER(AG408),AG408,AK408)</f>
        <v>0</v>
      </c>
      <c r="AM408">
        <f>IF(ISNUMBER(AL408),IF(ISNUMBER(AH408),IF(AND(AH408=1,AI408=1,AJ408=1),100,MIN(99,ROUND(100*EXP(AL408)/(1+EXP(AL408)),2))),MIN(99,ROUND(100*EXP(AL408)/(1+EXP(AL408)),2))),IF(ISTEXT(R408),IF(LEFT(R408,1)="2",100,"N/A"),"N/A"))</f>
        <v>0</v>
      </c>
      <c r="AN408">
        <f>IF(ISNUMBER(AM408),IF(AM408&gt;=99,IF(OR(U408=10,U408=11),MatchLabel,SureThingLabel),IF(AM408&gt;=95,SecureLabel,IF(AM408&gt;=80,SafetyLabel,IF(AM408&gt;=50,MatchLabel,IF(AM408&gt;=20,ReachLabel,IF(AM408&gt;=10,LongshotLabel,HailMaryLabel)))))),"Other")</f>
        <v>0</v>
      </c>
      <c r="AO408">
        <f>IF(OR(I408="accepted",I408="cond. accept",I408="summer admit"),IF(J408="yes","CHOICE!","Accepted!"),IF(I408="guar. transfer","Guar. Xfer",IF(I408="denied","Denied",IF(K408=1,"Waitlist",IF(L408=1,"Deferred",IF(G408="pending","Pending",IF(OR(G408="initial materials submitted",G408="mid-year submitted",G408="final submitted"),"Submitted",IF(H408="interest","Interest","?"))))))))</f>
        <v>0</v>
      </c>
      <c r="AP408">
        <f>IF(OR(AN408=ReachLabel,AN408=LongshotLabel,AN408=HailMaryLabel),1,0)</f>
        <v>0</v>
      </c>
      <c r="AQ408">
        <f>IF(OR(AP408=1,AN408=MatchLabel),1,0)</f>
        <v>0</v>
      </c>
      <c r="AR408">
        <f>IF(OR(AN408=MatchLabel,AN408=SafetyLabel,AN408=SecureLabel,AN408=SureThingLabel),1,0)</f>
        <v>0</v>
      </c>
      <c r="AS408">
        <f>IF(OR(W408="H",W408="B",W408="I",W408="M"),IF(ISNUMBER(AB408),ROUND(AB408,2),0),IF(ISNUMBER(AA408),ROUND(AA408,2),0))</f>
        <v>0</v>
      </c>
      <c r="AT408">
        <f>IF(AS408&gt;=X408,1,0)</f>
        <v>0</v>
      </c>
      <c r="AU408">
        <f>IF(AS408&gt;=Y408,1,0)</f>
        <v>0</v>
      </c>
      <c r="AV408">
        <f>IF(AS408&lt;(X408-0.10),1,0)</f>
        <v>0</v>
      </c>
      <c r="AW408">
        <f>1-AM408/100</f>
        <v>0</v>
      </c>
      <c r="AX408">
        <f>IF(AQ408=1,AW408,1)</f>
        <v>0</v>
      </c>
      <c r="AY408">
        <f>IF(AP408=1,AW408,1)</f>
        <v>0</v>
      </c>
      <c r="AZ408">
        <f>IF(AND(AT408=1,ISNUMBER(AW408)),$AW408,1)</f>
        <v>0</v>
      </c>
      <c r="BA408">
        <f>IF(AND(AU408=1,ISNUMBER(AW408)),$AW408,1)</f>
        <v>0</v>
      </c>
      <c r="BB408">
        <f>IF(ISNUMBER(AB408),INDEX(AllCollegeMoney, MATCH(N408,AllCollegeNCES,0)),0)</f>
        <v>0</v>
      </c>
      <c r="BC408">
        <f>IF(AND(AT408=1,ISNUMBER(AW408),BB408=1),$AW408,1)</f>
        <v>0</v>
      </c>
      <c r="BD408">
        <f>IF(AND(AU408=1,ISNUMBER(AW408),BB408=1),$AW408,1)</f>
        <v>0</v>
      </c>
      <c r="BE408">
        <f>IF(ISNUMBER(AB408),INDEX(AllCollegeILPub, MATCH(N408,AllCollegeNCES,0)),0)</f>
        <v>0</v>
      </c>
      <c r="BF408">
        <f>IF(AN408=ReachLabel,AS408,0)</f>
        <v>0</v>
      </c>
      <c r="BG408">
        <f>IF(AN408=MatchLabel,AS408,0)</f>
        <v>0</v>
      </c>
      <c r="BH408">
        <f>IF(AN408=SafetyLabel,AS408,0)</f>
        <v>0</v>
      </c>
      <c r="BI408">
        <f>IF(AN408=SecureLabel,AS408,0)</f>
        <v>0</v>
      </c>
      <c r="BJ408">
        <f>IF(AN408=SureThingLabel,AS408,0)</f>
        <v>0</v>
      </c>
      <c r="BK408">
        <f>MAX(BF408:BJ408)</f>
        <v>0</v>
      </c>
      <c r="BL408">
        <f>MAX(BG408:BJ408)</f>
        <v>0</v>
      </c>
      <c r="BM408">
        <f>MAX(BH408:BJ408)</f>
        <v>0</v>
      </c>
      <c r="BN408">
        <f>IF(AND(AN408=ReachLabel,BB408=1),AS408,0)</f>
        <v>0</v>
      </c>
      <c r="BO408">
        <f>IF(AND(AN408=MatchLabel,BB408=1),AS408,0)</f>
        <v>0</v>
      </c>
      <c r="BP408">
        <f>IF(AND(AN408=SafetyLabel,BB408=1),AS408,0)</f>
        <v>0</v>
      </c>
      <c r="BQ408">
        <f>IF(AND(AN408=SecureLabel,BB408=1),AS408,0)</f>
        <v>0</v>
      </c>
      <c r="BR408">
        <f>IF(AND(AN408=SureThingLabel,BB408=1),AS408,0)</f>
        <v>0</v>
      </c>
      <c r="BS408">
        <f>MAX(BN408:BR408)</f>
        <v>0</v>
      </c>
      <c r="BT408">
        <f>MAX(BO408:BR408)</f>
        <v>0</v>
      </c>
      <c r="BU408">
        <f>MAX(BP408:BR408)</f>
        <v>0</v>
      </c>
      <c r="BV408">
        <f>IF(ISNUMBER(AB408),INDEX(AllCollegeChicago, MATCH(N408,AllCollegeNCES,0))*BB408,0)</f>
        <v>0</v>
      </c>
      <c r="BW408">
        <f>IF(ISNUMBER(AB408),INDEX(AllCollegeMoneyCode, MATCH(N408,AllCollegeNCES,0)),"?")</f>
        <v>0</v>
      </c>
      <c r="BX408">
        <f>IF(OR(BW408="---",BW408="--",BW408="+/--",BW408="+/---"),1,0)</f>
        <v>0</v>
      </c>
      <c r="BY408">
        <f>BB408*AR408*AT408</f>
        <v>0</v>
      </c>
    </row>
    <row r="409" spans="1:77">
      <c r="A409" t="s">
        <v>96</v>
      </c>
      <c r="B409">
        <v>23383224</v>
      </c>
      <c r="C409" t="s">
        <v>258</v>
      </c>
      <c r="D409" t="s">
        <v>259</v>
      </c>
      <c r="E409" t="s">
        <v>446</v>
      </c>
      <c r="F409" t="s">
        <v>478</v>
      </c>
      <c r="G409" t="s">
        <v>448</v>
      </c>
      <c r="H409" t="s">
        <v>449</v>
      </c>
      <c r="I409" t="s">
        <v>450</v>
      </c>
      <c r="J409" t="s">
        <v>450</v>
      </c>
      <c r="K409">
        <v>0</v>
      </c>
      <c r="L409" t="s">
        <v>446</v>
      </c>
      <c r="M409" t="s">
        <v>446</v>
      </c>
      <c r="N409">
        <v>168546</v>
      </c>
      <c r="O409">
        <f>INDEX(Counselor,MATCH(B409,KidIDs,0))</f>
        <v>0</v>
      </c>
      <c r="P409">
        <f>INDEX(Advisors,MATCH(B409,KidIDs,0))</f>
        <v>0</v>
      </c>
      <c r="Q409">
        <f>INDEX(Cohort,MATCH(B409,KidIDs,0))</f>
        <v>0</v>
      </c>
      <c r="R409">
        <f>INDEX(AllCollegeBarrons,MATCH(N409,AllCollegeNCES,0))</f>
        <v>0</v>
      </c>
      <c r="S409">
        <f>INDEX(KidGPAs,MATCH(B409,KidIDs,0))</f>
        <v>0</v>
      </c>
      <c r="T409">
        <f>INDEX(KidSATs,MATCH(B409,KidIDs,0))</f>
        <v>0</v>
      </c>
      <c r="U409">
        <f>INDEX(Strats,MATCH(B409,KidIDs,0))</f>
        <v>0</v>
      </c>
      <c r="V409">
        <f>INDEX(KidRace,MATCH(B409,KidIDs,0))</f>
        <v>0</v>
      </c>
      <c r="W409">
        <f>IF(OR(V409="M",V409="I"),"H",IF(V409="P","A",V409))</f>
        <v>0</v>
      </c>
      <c r="X409">
        <f>INDEX(StudentTargets,MATCH(B409,KidIDs,0))</f>
        <v>0</v>
      </c>
      <c r="Y409">
        <f>INDEX(ReachStudentTargets,MATCH(B409,KidIDs,0))</f>
        <v>0</v>
      </c>
      <c r="Z409">
        <f>IF(OR(M409="Posse"),1,0)</f>
        <v>0</v>
      </c>
      <c r="AA409">
        <f>IF(ISNUMBER(INDEX(AllCollegeGR, MATCH(N409,AllCollegeNCES,0))),ROUND(INDEX(AllCollegeGR, MATCH(N409,AllCollegeNCES,0))+Z409*IF(INDEX(AllCollegeGR, MATCH(N409,AllCollegeNCES,0))&gt;0.7,(1-INDEX(AllCollegeGR, MATCH(N409,AllCollegeNCES,0)))/2,0.15),2),INDEX(AllCollegeGR, MATCH(N409,AllCollegeNCES,0)))</f>
        <v>0</v>
      </c>
      <c r="AB409">
        <f>IF(ISNUMBER(INDEX(AllCollegeAAHGR, MATCH(N409,AllCollegeNCES,0))),ROUND(INDEX(AllCollegeAAHGR, MATCH(N409,AllCollegeNCES,0))+Z409*IF(INDEX(AllCollegeAAHGR, MATCH(N409,AllCollegeNCES,0))&gt;0.7,(1-INDEX(AllCollegeAAHGR, MATCH(N409,AllCollegeNCES,0)))/2,0.15),2),INDEX(AllCollegeAAHGR, MATCH(N409,AllCollegeNCES,0)))</f>
        <v>0</v>
      </c>
      <c r="AC409">
        <f>IF(OR(W409="H",W409="B"),INDEX(AllCollegeSAT25, MATCH(N409,AllCollegeNCES,0)),INDEX(AllCollegeSAT50, MATCH(N409,AllCollegeNCES,0)))</f>
        <v>0</v>
      </c>
      <c r="AD409">
        <f>INDEX(CustomWeightsGPA,MATCH(W409&amp;":"&amp;N409,CustomWeightsIndex,0))</f>
        <v>0</v>
      </c>
      <c r="AE409">
        <f>INDEX(CustomWeightsSAT,MATCH(W409&amp;":"&amp;N409,CustomWeightsIndex,0))</f>
        <v>0</v>
      </c>
      <c r="AF409">
        <f>INDEX(CustomWeightsIntercept,MATCH(W409&amp;":"&amp;N409,CustomWeightsIndex,0))</f>
        <v>0</v>
      </c>
      <c r="AG409">
        <f>AD409*S409+AE409*T409+AF409</f>
        <v>0</v>
      </c>
      <c r="AH409">
        <f>INDEX(CoefficientsGPA,MATCH(W409&amp;":"&amp;R409,CoefficientsIndex,0))</f>
        <v>0</v>
      </c>
      <c r="AI409">
        <f>INDEX(CoefficientsSAT,MATCH(W409&amp;":"&amp;R409,CoefficientsIndex,0))</f>
        <v>0</v>
      </c>
      <c r="AJ409">
        <f>INDEX(CoefficientsIntercept,MATCH(W409&amp;":"&amp;R409,CoefficientsIndex,0))</f>
        <v>0</v>
      </c>
      <c r="AK409">
        <f>AH409*S409+(T409-AC409)*AI409+AJ409</f>
        <v>0</v>
      </c>
      <c r="AL409">
        <f>IF(ISNUMBER(AG409),AG409,AK409)</f>
        <v>0</v>
      </c>
      <c r="AM409">
        <f>IF(ISNUMBER(AL409),IF(ISNUMBER(AH409),IF(AND(AH409=1,AI409=1,AJ409=1),100,MIN(99,ROUND(100*EXP(AL409)/(1+EXP(AL409)),2))),MIN(99,ROUND(100*EXP(AL409)/(1+EXP(AL409)),2))),IF(ISTEXT(R409),IF(LEFT(R409,1)="2",100,"N/A"),"N/A"))</f>
        <v>0</v>
      </c>
      <c r="AN409">
        <f>IF(ISNUMBER(AM409),IF(AM409&gt;=99,IF(OR(U409=10,U409=11),MatchLabel,SureThingLabel),IF(AM409&gt;=95,SecureLabel,IF(AM409&gt;=80,SafetyLabel,IF(AM409&gt;=50,MatchLabel,IF(AM409&gt;=20,ReachLabel,IF(AM409&gt;=10,LongshotLabel,HailMaryLabel)))))),"Other")</f>
        <v>0</v>
      </c>
      <c r="AO409">
        <f>IF(OR(I409="accepted",I409="cond. accept",I409="summer admit"),IF(J409="yes","CHOICE!","Accepted!"),IF(I409="guar. transfer","Guar. Xfer",IF(I409="denied","Denied",IF(K409=1,"Waitlist",IF(L409=1,"Deferred",IF(G409="pending","Pending",IF(OR(G409="initial materials submitted",G409="mid-year submitted",G409="final submitted"),"Submitted",IF(H409="interest","Interest","?"))))))))</f>
        <v>0</v>
      </c>
      <c r="AP409">
        <f>IF(OR(AN409=ReachLabel,AN409=LongshotLabel,AN409=HailMaryLabel),1,0)</f>
        <v>0</v>
      </c>
      <c r="AQ409">
        <f>IF(OR(AP409=1,AN409=MatchLabel),1,0)</f>
        <v>0</v>
      </c>
      <c r="AR409">
        <f>IF(OR(AN409=MatchLabel,AN409=SafetyLabel,AN409=SecureLabel,AN409=SureThingLabel),1,0)</f>
        <v>0</v>
      </c>
      <c r="AS409">
        <f>IF(OR(W409="H",W409="B",W409="I",W409="M"),IF(ISNUMBER(AB409),ROUND(AB409,2),0),IF(ISNUMBER(AA409),ROUND(AA409,2),0))</f>
        <v>0</v>
      </c>
      <c r="AT409">
        <f>IF(AS409&gt;=X409,1,0)</f>
        <v>0</v>
      </c>
      <c r="AU409">
        <f>IF(AS409&gt;=Y409,1,0)</f>
        <v>0</v>
      </c>
      <c r="AV409">
        <f>IF(AS409&lt;(X409-0.10),1,0)</f>
        <v>0</v>
      </c>
      <c r="AW409">
        <f>1-AM409/100</f>
        <v>0</v>
      </c>
      <c r="AX409">
        <f>IF(AQ409=1,AW409,1)</f>
        <v>0</v>
      </c>
      <c r="AY409">
        <f>IF(AP409=1,AW409,1)</f>
        <v>0</v>
      </c>
      <c r="AZ409">
        <f>IF(AND(AT409=1,ISNUMBER(AW409)),$AW409,1)</f>
        <v>0</v>
      </c>
      <c r="BA409">
        <f>IF(AND(AU409=1,ISNUMBER(AW409)),$AW409,1)</f>
        <v>0</v>
      </c>
      <c r="BB409">
        <f>IF(ISNUMBER(AB409),INDEX(AllCollegeMoney, MATCH(N409,AllCollegeNCES,0)),0)</f>
        <v>0</v>
      </c>
      <c r="BC409">
        <f>IF(AND(AT409=1,ISNUMBER(AW409),BB409=1),$AW409,1)</f>
        <v>0</v>
      </c>
      <c r="BD409">
        <f>IF(AND(AU409=1,ISNUMBER(AW409),BB409=1),$AW409,1)</f>
        <v>0</v>
      </c>
      <c r="BE409">
        <f>IF(ISNUMBER(AB409),INDEX(AllCollegeILPub, MATCH(N409,AllCollegeNCES,0)),0)</f>
        <v>0</v>
      </c>
      <c r="BF409">
        <f>IF(AN409=ReachLabel,AS409,0)</f>
        <v>0</v>
      </c>
      <c r="BG409">
        <f>IF(AN409=MatchLabel,AS409,0)</f>
        <v>0</v>
      </c>
      <c r="BH409">
        <f>IF(AN409=SafetyLabel,AS409,0)</f>
        <v>0</v>
      </c>
      <c r="BI409">
        <f>IF(AN409=SecureLabel,AS409,0)</f>
        <v>0</v>
      </c>
      <c r="BJ409">
        <f>IF(AN409=SureThingLabel,AS409,0)</f>
        <v>0</v>
      </c>
      <c r="BK409">
        <f>MAX(BF409:BJ409)</f>
        <v>0</v>
      </c>
      <c r="BL409">
        <f>MAX(BG409:BJ409)</f>
        <v>0</v>
      </c>
      <c r="BM409">
        <f>MAX(BH409:BJ409)</f>
        <v>0</v>
      </c>
      <c r="BN409">
        <f>IF(AND(AN409=ReachLabel,BB409=1),AS409,0)</f>
        <v>0</v>
      </c>
      <c r="BO409">
        <f>IF(AND(AN409=MatchLabel,BB409=1),AS409,0)</f>
        <v>0</v>
      </c>
      <c r="BP409">
        <f>IF(AND(AN409=SafetyLabel,BB409=1),AS409,0)</f>
        <v>0</v>
      </c>
      <c r="BQ409">
        <f>IF(AND(AN409=SecureLabel,BB409=1),AS409,0)</f>
        <v>0</v>
      </c>
      <c r="BR409">
        <f>IF(AND(AN409=SureThingLabel,BB409=1),AS409,0)</f>
        <v>0</v>
      </c>
      <c r="BS409">
        <f>MAX(BN409:BR409)</f>
        <v>0</v>
      </c>
      <c r="BT409">
        <f>MAX(BO409:BR409)</f>
        <v>0</v>
      </c>
      <c r="BU409">
        <f>MAX(BP409:BR409)</f>
        <v>0</v>
      </c>
      <c r="BV409">
        <f>IF(ISNUMBER(AB409),INDEX(AllCollegeChicago, MATCH(N409,AllCollegeNCES,0))*BB409,0)</f>
        <v>0</v>
      </c>
      <c r="BW409">
        <f>IF(ISNUMBER(AB409),INDEX(AllCollegeMoneyCode, MATCH(N409,AllCollegeNCES,0)),"?")</f>
        <v>0</v>
      </c>
      <c r="BX409">
        <f>IF(OR(BW409="---",BW409="--",BW409="+/--",BW409="+/---"),1,0)</f>
        <v>0</v>
      </c>
      <c r="BY409">
        <f>BB409*AR409*AT409</f>
        <v>0</v>
      </c>
    </row>
    <row r="410" spans="1:77">
      <c r="A410" t="s">
        <v>96</v>
      </c>
      <c r="B410">
        <v>23383224</v>
      </c>
      <c r="C410" t="s">
        <v>258</v>
      </c>
      <c r="D410" t="s">
        <v>259</v>
      </c>
      <c r="E410" t="s">
        <v>446</v>
      </c>
      <c r="F410" t="s">
        <v>465</v>
      </c>
      <c r="G410" t="s">
        <v>448</v>
      </c>
      <c r="H410" t="s">
        <v>449</v>
      </c>
      <c r="I410" t="s">
        <v>450</v>
      </c>
      <c r="J410" t="s">
        <v>450</v>
      </c>
      <c r="K410">
        <v>0</v>
      </c>
      <c r="L410" t="s">
        <v>446</v>
      </c>
      <c r="M410" t="s">
        <v>446</v>
      </c>
      <c r="N410">
        <v>145600</v>
      </c>
      <c r="O410">
        <f>INDEX(Counselor,MATCH(B410,KidIDs,0))</f>
        <v>0</v>
      </c>
      <c r="P410">
        <f>INDEX(Advisors,MATCH(B410,KidIDs,0))</f>
        <v>0</v>
      </c>
      <c r="Q410">
        <f>INDEX(Cohort,MATCH(B410,KidIDs,0))</f>
        <v>0</v>
      </c>
      <c r="R410">
        <f>INDEX(AllCollegeBarrons,MATCH(N410,AllCollegeNCES,0))</f>
        <v>0</v>
      </c>
      <c r="S410">
        <f>INDEX(KidGPAs,MATCH(B410,KidIDs,0))</f>
        <v>0</v>
      </c>
      <c r="T410">
        <f>INDEX(KidSATs,MATCH(B410,KidIDs,0))</f>
        <v>0</v>
      </c>
      <c r="U410">
        <f>INDEX(Strats,MATCH(B410,KidIDs,0))</f>
        <v>0</v>
      </c>
      <c r="V410">
        <f>INDEX(KidRace,MATCH(B410,KidIDs,0))</f>
        <v>0</v>
      </c>
      <c r="W410">
        <f>IF(OR(V410="M",V410="I"),"H",IF(V410="P","A",V410))</f>
        <v>0</v>
      </c>
      <c r="X410">
        <f>INDEX(StudentTargets,MATCH(B410,KidIDs,0))</f>
        <v>0</v>
      </c>
      <c r="Y410">
        <f>INDEX(ReachStudentTargets,MATCH(B410,KidIDs,0))</f>
        <v>0</v>
      </c>
      <c r="Z410">
        <f>IF(OR(M410="Posse"),1,0)</f>
        <v>0</v>
      </c>
      <c r="AA410">
        <f>IF(ISNUMBER(INDEX(AllCollegeGR, MATCH(N410,AllCollegeNCES,0))),ROUND(INDEX(AllCollegeGR, MATCH(N410,AllCollegeNCES,0))+Z410*IF(INDEX(AllCollegeGR, MATCH(N410,AllCollegeNCES,0))&gt;0.7,(1-INDEX(AllCollegeGR, MATCH(N410,AllCollegeNCES,0)))/2,0.15),2),INDEX(AllCollegeGR, MATCH(N410,AllCollegeNCES,0)))</f>
        <v>0</v>
      </c>
      <c r="AB410">
        <f>IF(ISNUMBER(INDEX(AllCollegeAAHGR, MATCH(N410,AllCollegeNCES,0))),ROUND(INDEX(AllCollegeAAHGR, MATCH(N410,AllCollegeNCES,0))+Z410*IF(INDEX(AllCollegeAAHGR, MATCH(N410,AllCollegeNCES,0))&gt;0.7,(1-INDEX(AllCollegeAAHGR, MATCH(N410,AllCollegeNCES,0)))/2,0.15),2),INDEX(AllCollegeAAHGR, MATCH(N410,AllCollegeNCES,0)))</f>
        <v>0</v>
      </c>
      <c r="AC410">
        <f>IF(OR(W410="H",W410="B"),INDEX(AllCollegeSAT25, MATCH(N410,AllCollegeNCES,0)),INDEX(AllCollegeSAT50, MATCH(N410,AllCollegeNCES,0)))</f>
        <v>0</v>
      </c>
      <c r="AD410">
        <f>INDEX(CustomWeightsGPA,MATCH(W410&amp;":"&amp;N410,CustomWeightsIndex,0))</f>
        <v>0</v>
      </c>
      <c r="AE410">
        <f>INDEX(CustomWeightsSAT,MATCH(W410&amp;":"&amp;N410,CustomWeightsIndex,0))</f>
        <v>0</v>
      </c>
      <c r="AF410">
        <f>INDEX(CustomWeightsIntercept,MATCH(W410&amp;":"&amp;N410,CustomWeightsIndex,0))</f>
        <v>0</v>
      </c>
      <c r="AG410">
        <f>AD410*S410+AE410*T410+AF410</f>
        <v>0</v>
      </c>
      <c r="AH410">
        <f>INDEX(CoefficientsGPA,MATCH(W410&amp;":"&amp;R410,CoefficientsIndex,0))</f>
        <v>0</v>
      </c>
      <c r="AI410">
        <f>INDEX(CoefficientsSAT,MATCH(W410&amp;":"&amp;R410,CoefficientsIndex,0))</f>
        <v>0</v>
      </c>
      <c r="AJ410">
        <f>INDEX(CoefficientsIntercept,MATCH(W410&amp;":"&amp;R410,CoefficientsIndex,0))</f>
        <v>0</v>
      </c>
      <c r="AK410">
        <f>AH410*S410+(T410-AC410)*AI410+AJ410</f>
        <v>0</v>
      </c>
      <c r="AL410">
        <f>IF(ISNUMBER(AG410),AG410,AK410)</f>
        <v>0</v>
      </c>
      <c r="AM410">
        <f>IF(ISNUMBER(AL410),IF(ISNUMBER(AH410),IF(AND(AH410=1,AI410=1,AJ410=1),100,MIN(99,ROUND(100*EXP(AL410)/(1+EXP(AL410)),2))),MIN(99,ROUND(100*EXP(AL410)/(1+EXP(AL410)),2))),IF(ISTEXT(R410),IF(LEFT(R410,1)="2",100,"N/A"),"N/A"))</f>
        <v>0</v>
      </c>
      <c r="AN410">
        <f>IF(ISNUMBER(AM410),IF(AM410&gt;=99,IF(OR(U410=10,U410=11),MatchLabel,SureThingLabel),IF(AM410&gt;=95,SecureLabel,IF(AM410&gt;=80,SafetyLabel,IF(AM410&gt;=50,MatchLabel,IF(AM410&gt;=20,ReachLabel,IF(AM410&gt;=10,LongshotLabel,HailMaryLabel)))))),"Other")</f>
        <v>0</v>
      </c>
      <c r="AO410">
        <f>IF(OR(I410="accepted",I410="cond. accept",I410="summer admit"),IF(J410="yes","CHOICE!","Accepted!"),IF(I410="guar. transfer","Guar. Xfer",IF(I410="denied","Denied",IF(K410=1,"Waitlist",IF(L410=1,"Deferred",IF(G410="pending","Pending",IF(OR(G410="initial materials submitted",G410="mid-year submitted",G410="final submitted"),"Submitted",IF(H410="interest","Interest","?"))))))))</f>
        <v>0</v>
      </c>
      <c r="AP410">
        <f>IF(OR(AN410=ReachLabel,AN410=LongshotLabel,AN410=HailMaryLabel),1,0)</f>
        <v>0</v>
      </c>
      <c r="AQ410">
        <f>IF(OR(AP410=1,AN410=MatchLabel),1,0)</f>
        <v>0</v>
      </c>
      <c r="AR410">
        <f>IF(OR(AN410=MatchLabel,AN410=SafetyLabel,AN410=SecureLabel,AN410=SureThingLabel),1,0)</f>
        <v>0</v>
      </c>
      <c r="AS410">
        <f>IF(OR(W410="H",W410="B",W410="I",W410="M"),IF(ISNUMBER(AB410),ROUND(AB410,2),0),IF(ISNUMBER(AA410),ROUND(AA410,2),0))</f>
        <v>0</v>
      </c>
      <c r="AT410">
        <f>IF(AS410&gt;=X410,1,0)</f>
        <v>0</v>
      </c>
      <c r="AU410">
        <f>IF(AS410&gt;=Y410,1,0)</f>
        <v>0</v>
      </c>
      <c r="AV410">
        <f>IF(AS410&lt;(X410-0.10),1,0)</f>
        <v>0</v>
      </c>
      <c r="AW410">
        <f>1-AM410/100</f>
        <v>0</v>
      </c>
      <c r="AX410">
        <f>IF(AQ410=1,AW410,1)</f>
        <v>0</v>
      </c>
      <c r="AY410">
        <f>IF(AP410=1,AW410,1)</f>
        <v>0</v>
      </c>
      <c r="AZ410">
        <f>IF(AND(AT410=1,ISNUMBER(AW410)),$AW410,1)</f>
        <v>0</v>
      </c>
      <c r="BA410">
        <f>IF(AND(AU410=1,ISNUMBER(AW410)),$AW410,1)</f>
        <v>0</v>
      </c>
      <c r="BB410">
        <f>IF(ISNUMBER(AB410),INDEX(AllCollegeMoney, MATCH(N410,AllCollegeNCES,0)),0)</f>
        <v>0</v>
      </c>
      <c r="BC410">
        <f>IF(AND(AT410=1,ISNUMBER(AW410),BB410=1),$AW410,1)</f>
        <v>0</v>
      </c>
      <c r="BD410">
        <f>IF(AND(AU410=1,ISNUMBER(AW410),BB410=1),$AW410,1)</f>
        <v>0</v>
      </c>
      <c r="BE410">
        <f>IF(ISNUMBER(AB410),INDEX(AllCollegeILPub, MATCH(N410,AllCollegeNCES,0)),0)</f>
        <v>0</v>
      </c>
      <c r="BF410">
        <f>IF(AN410=ReachLabel,AS410,0)</f>
        <v>0</v>
      </c>
      <c r="BG410">
        <f>IF(AN410=MatchLabel,AS410,0)</f>
        <v>0</v>
      </c>
      <c r="BH410">
        <f>IF(AN410=SafetyLabel,AS410,0)</f>
        <v>0</v>
      </c>
      <c r="BI410">
        <f>IF(AN410=SecureLabel,AS410,0)</f>
        <v>0</v>
      </c>
      <c r="BJ410">
        <f>IF(AN410=SureThingLabel,AS410,0)</f>
        <v>0</v>
      </c>
      <c r="BK410">
        <f>MAX(BF410:BJ410)</f>
        <v>0</v>
      </c>
      <c r="BL410">
        <f>MAX(BG410:BJ410)</f>
        <v>0</v>
      </c>
      <c r="BM410">
        <f>MAX(BH410:BJ410)</f>
        <v>0</v>
      </c>
      <c r="BN410">
        <f>IF(AND(AN410=ReachLabel,BB410=1),AS410,0)</f>
        <v>0</v>
      </c>
      <c r="BO410">
        <f>IF(AND(AN410=MatchLabel,BB410=1),AS410,0)</f>
        <v>0</v>
      </c>
      <c r="BP410">
        <f>IF(AND(AN410=SafetyLabel,BB410=1),AS410,0)</f>
        <v>0</v>
      </c>
      <c r="BQ410">
        <f>IF(AND(AN410=SecureLabel,BB410=1),AS410,0)</f>
        <v>0</v>
      </c>
      <c r="BR410">
        <f>IF(AND(AN410=SureThingLabel,BB410=1),AS410,0)</f>
        <v>0</v>
      </c>
      <c r="BS410">
        <f>MAX(BN410:BR410)</f>
        <v>0</v>
      </c>
      <c r="BT410">
        <f>MAX(BO410:BR410)</f>
        <v>0</v>
      </c>
      <c r="BU410">
        <f>MAX(BP410:BR410)</f>
        <v>0</v>
      </c>
      <c r="BV410">
        <f>IF(ISNUMBER(AB410),INDEX(AllCollegeChicago, MATCH(N410,AllCollegeNCES,0))*BB410,0)</f>
        <v>0</v>
      </c>
      <c r="BW410">
        <f>IF(ISNUMBER(AB410),INDEX(AllCollegeMoneyCode, MATCH(N410,AllCollegeNCES,0)),"?")</f>
        <v>0</v>
      </c>
      <c r="BX410">
        <f>IF(OR(BW410="---",BW410="--",BW410="+/--",BW410="+/---"),1,0)</f>
        <v>0</v>
      </c>
      <c r="BY410">
        <f>BB410*AR410*AT410</f>
        <v>0</v>
      </c>
    </row>
    <row r="411" spans="1:77">
      <c r="A411" t="s">
        <v>96</v>
      </c>
      <c r="B411">
        <v>23395591</v>
      </c>
      <c r="C411" t="s">
        <v>285</v>
      </c>
      <c r="D411" t="s">
        <v>286</v>
      </c>
      <c r="E411" t="s">
        <v>446</v>
      </c>
      <c r="F411" t="s">
        <v>558</v>
      </c>
      <c r="G411" t="s">
        <v>448</v>
      </c>
      <c r="H411" t="s">
        <v>449</v>
      </c>
      <c r="I411" t="s">
        <v>450</v>
      </c>
      <c r="J411" t="s">
        <v>450</v>
      </c>
      <c r="K411">
        <v>0</v>
      </c>
      <c r="L411" t="s">
        <v>446</v>
      </c>
      <c r="M411" t="s">
        <v>446</v>
      </c>
      <c r="N411">
        <v>204501</v>
      </c>
      <c r="O411">
        <f>INDEX(Counselor,MATCH(B411,KidIDs,0))</f>
        <v>0</v>
      </c>
      <c r="P411">
        <f>INDEX(Advisors,MATCH(B411,KidIDs,0))</f>
        <v>0</v>
      </c>
      <c r="Q411">
        <f>INDEX(Cohort,MATCH(B411,KidIDs,0))</f>
        <v>0</v>
      </c>
      <c r="R411">
        <f>INDEX(AllCollegeBarrons,MATCH(N411,AllCollegeNCES,0))</f>
        <v>0</v>
      </c>
      <c r="S411">
        <f>INDEX(KidGPAs,MATCH(B411,KidIDs,0))</f>
        <v>0</v>
      </c>
      <c r="T411">
        <f>INDEX(KidSATs,MATCH(B411,KidIDs,0))</f>
        <v>0</v>
      </c>
      <c r="U411">
        <f>INDEX(Strats,MATCH(B411,KidIDs,0))</f>
        <v>0</v>
      </c>
      <c r="V411">
        <f>INDEX(KidRace,MATCH(B411,KidIDs,0))</f>
        <v>0</v>
      </c>
      <c r="W411">
        <f>IF(OR(V411="M",V411="I"),"H",IF(V411="P","A",V411))</f>
        <v>0</v>
      </c>
      <c r="X411">
        <f>INDEX(StudentTargets,MATCH(B411,KidIDs,0))</f>
        <v>0</v>
      </c>
      <c r="Y411">
        <f>INDEX(ReachStudentTargets,MATCH(B411,KidIDs,0))</f>
        <v>0</v>
      </c>
      <c r="Z411">
        <f>IF(OR(M411="Posse"),1,0)</f>
        <v>0</v>
      </c>
      <c r="AA411">
        <f>IF(ISNUMBER(INDEX(AllCollegeGR, MATCH(N411,AllCollegeNCES,0))),ROUND(INDEX(AllCollegeGR, MATCH(N411,AllCollegeNCES,0))+Z411*IF(INDEX(AllCollegeGR, MATCH(N411,AllCollegeNCES,0))&gt;0.7,(1-INDEX(AllCollegeGR, MATCH(N411,AllCollegeNCES,0)))/2,0.15),2),INDEX(AllCollegeGR, MATCH(N411,AllCollegeNCES,0)))</f>
        <v>0</v>
      </c>
      <c r="AB411">
        <f>IF(ISNUMBER(INDEX(AllCollegeAAHGR, MATCH(N411,AllCollegeNCES,0))),ROUND(INDEX(AllCollegeAAHGR, MATCH(N411,AllCollegeNCES,0))+Z411*IF(INDEX(AllCollegeAAHGR, MATCH(N411,AllCollegeNCES,0))&gt;0.7,(1-INDEX(AllCollegeAAHGR, MATCH(N411,AllCollegeNCES,0)))/2,0.15),2),INDEX(AllCollegeAAHGR, MATCH(N411,AllCollegeNCES,0)))</f>
        <v>0</v>
      </c>
      <c r="AC411">
        <f>IF(OR(W411="H",W411="B"),INDEX(AllCollegeSAT25, MATCH(N411,AllCollegeNCES,0)),INDEX(AllCollegeSAT50, MATCH(N411,AllCollegeNCES,0)))</f>
        <v>0</v>
      </c>
      <c r="AD411">
        <f>INDEX(CustomWeightsGPA,MATCH(W411&amp;":"&amp;N411,CustomWeightsIndex,0))</f>
        <v>0</v>
      </c>
      <c r="AE411">
        <f>INDEX(CustomWeightsSAT,MATCH(W411&amp;":"&amp;N411,CustomWeightsIndex,0))</f>
        <v>0</v>
      </c>
      <c r="AF411">
        <f>INDEX(CustomWeightsIntercept,MATCH(W411&amp;":"&amp;N411,CustomWeightsIndex,0))</f>
        <v>0</v>
      </c>
      <c r="AG411">
        <f>AD411*S411+AE411*T411+AF411</f>
        <v>0</v>
      </c>
      <c r="AH411">
        <f>INDEX(CoefficientsGPA,MATCH(W411&amp;":"&amp;R411,CoefficientsIndex,0))</f>
        <v>0</v>
      </c>
      <c r="AI411">
        <f>INDEX(CoefficientsSAT,MATCH(W411&amp;":"&amp;R411,CoefficientsIndex,0))</f>
        <v>0</v>
      </c>
      <c r="AJ411">
        <f>INDEX(CoefficientsIntercept,MATCH(W411&amp;":"&amp;R411,CoefficientsIndex,0))</f>
        <v>0</v>
      </c>
      <c r="AK411">
        <f>AH411*S411+(T411-AC411)*AI411+AJ411</f>
        <v>0</v>
      </c>
      <c r="AL411">
        <f>IF(ISNUMBER(AG411),AG411,AK411)</f>
        <v>0</v>
      </c>
      <c r="AM411">
        <f>IF(ISNUMBER(AL411),IF(ISNUMBER(AH411),IF(AND(AH411=1,AI411=1,AJ411=1),100,MIN(99,ROUND(100*EXP(AL411)/(1+EXP(AL411)),2))),MIN(99,ROUND(100*EXP(AL411)/(1+EXP(AL411)),2))),IF(ISTEXT(R411),IF(LEFT(R411,1)="2",100,"N/A"),"N/A"))</f>
        <v>0</v>
      </c>
      <c r="AN411">
        <f>IF(ISNUMBER(AM411),IF(AM411&gt;=99,IF(OR(U411=10,U411=11),MatchLabel,SureThingLabel),IF(AM411&gt;=95,SecureLabel,IF(AM411&gt;=80,SafetyLabel,IF(AM411&gt;=50,MatchLabel,IF(AM411&gt;=20,ReachLabel,IF(AM411&gt;=10,LongshotLabel,HailMaryLabel)))))),"Other")</f>
        <v>0</v>
      </c>
      <c r="AO411">
        <f>IF(OR(I411="accepted",I411="cond. accept",I411="summer admit"),IF(J411="yes","CHOICE!","Accepted!"),IF(I411="guar. transfer","Guar. Xfer",IF(I411="denied","Denied",IF(K411=1,"Waitlist",IF(L411=1,"Deferred",IF(G411="pending","Pending",IF(OR(G411="initial materials submitted",G411="mid-year submitted",G411="final submitted"),"Submitted",IF(H411="interest","Interest","?"))))))))</f>
        <v>0</v>
      </c>
      <c r="AP411">
        <f>IF(OR(AN411=ReachLabel,AN411=LongshotLabel,AN411=HailMaryLabel),1,0)</f>
        <v>0</v>
      </c>
      <c r="AQ411">
        <f>IF(OR(AP411=1,AN411=MatchLabel),1,0)</f>
        <v>0</v>
      </c>
      <c r="AR411">
        <f>IF(OR(AN411=MatchLabel,AN411=SafetyLabel,AN411=SecureLabel,AN411=SureThingLabel),1,0)</f>
        <v>0</v>
      </c>
      <c r="AS411">
        <f>IF(OR(W411="H",W411="B",W411="I",W411="M"),IF(ISNUMBER(AB411),ROUND(AB411,2),0),IF(ISNUMBER(AA411),ROUND(AA411,2),0))</f>
        <v>0</v>
      </c>
      <c r="AT411">
        <f>IF(AS411&gt;=X411,1,0)</f>
        <v>0</v>
      </c>
      <c r="AU411">
        <f>IF(AS411&gt;=Y411,1,0)</f>
        <v>0</v>
      </c>
      <c r="AV411">
        <f>IF(AS411&lt;(X411-0.10),1,0)</f>
        <v>0</v>
      </c>
      <c r="AW411">
        <f>1-AM411/100</f>
        <v>0</v>
      </c>
      <c r="AX411">
        <f>IF(AQ411=1,AW411,1)</f>
        <v>0</v>
      </c>
      <c r="AY411">
        <f>IF(AP411=1,AW411,1)</f>
        <v>0</v>
      </c>
      <c r="AZ411">
        <f>IF(AND(AT411=1,ISNUMBER(AW411)),$AW411,1)</f>
        <v>0</v>
      </c>
      <c r="BA411">
        <f>IF(AND(AU411=1,ISNUMBER(AW411)),$AW411,1)</f>
        <v>0</v>
      </c>
      <c r="BB411">
        <f>IF(ISNUMBER(AB411),INDEX(AllCollegeMoney, MATCH(N411,AllCollegeNCES,0)),0)</f>
        <v>0</v>
      </c>
      <c r="BC411">
        <f>IF(AND(AT411=1,ISNUMBER(AW411),BB411=1),$AW411,1)</f>
        <v>0</v>
      </c>
      <c r="BD411">
        <f>IF(AND(AU411=1,ISNUMBER(AW411),BB411=1),$AW411,1)</f>
        <v>0</v>
      </c>
      <c r="BE411">
        <f>IF(ISNUMBER(AB411),INDEX(AllCollegeILPub, MATCH(N411,AllCollegeNCES,0)),0)</f>
        <v>0</v>
      </c>
      <c r="BF411">
        <f>IF(AN411=ReachLabel,AS411,0)</f>
        <v>0</v>
      </c>
      <c r="BG411">
        <f>IF(AN411=MatchLabel,AS411,0)</f>
        <v>0</v>
      </c>
      <c r="BH411">
        <f>IF(AN411=SafetyLabel,AS411,0)</f>
        <v>0</v>
      </c>
      <c r="BI411">
        <f>IF(AN411=SecureLabel,AS411,0)</f>
        <v>0</v>
      </c>
      <c r="BJ411">
        <f>IF(AN411=SureThingLabel,AS411,0)</f>
        <v>0</v>
      </c>
      <c r="BK411">
        <f>MAX(BF411:BJ411)</f>
        <v>0</v>
      </c>
      <c r="BL411">
        <f>MAX(BG411:BJ411)</f>
        <v>0</v>
      </c>
      <c r="BM411">
        <f>MAX(BH411:BJ411)</f>
        <v>0</v>
      </c>
      <c r="BN411">
        <f>IF(AND(AN411=ReachLabel,BB411=1),AS411,0)</f>
        <v>0</v>
      </c>
      <c r="BO411">
        <f>IF(AND(AN411=MatchLabel,BB411=1),AS411,0)</f>
        <v>0</v>
      </c>
      <c r="BP411">
        <f>IF(AND(AN411=SafetyLabel,BB411=1),AS411,0)</f>
        <v>0</v>
      </c>
      <c r="BQ411">
        <f>IF(AND(AN411=SecureLabel,BB411=1),AS411,0)</f>
        <v>0</v>
      </c>
      <c r="BR411">
        <f>IF(AND(AN411=SureThingLabel,BB411=1),AS411,0)</f>
        <v>0</v>
      </c>
      <c r="BS411">
        <f>MAX(BN411:BR411)</f>
        <v>0</v>
      </c>
      <c r="BT411">
        <f>MAX(BO411:BR411)</f>
        <v>0</v>
      </c>
      <c r="BU411">
        <f>MAX(BP411:BR411)</f>
        <v>0</v>
      </c>
      <c r="BV411">
        <f>IF(ISNUMBER(AB411),INDEX(AllCollegeChicago, MATCH(N411,AllCollegeNCES,0))*BB411,0)</f>
        <v>0</v>
      </c>
      <c r="BW411">
        <f>IF(ISNUMBER(AB411),INDEX(AllCollegeMoneyCode, MATCH(N411,AllCollegeNCES,0)),"?")</f>
        <v>0</v>
      </c>
      <c r="BX411">
        <f>IF(OR(BW411="---",BW411="--",BW411="+/--",BW411="+/---"),1,0)</f>
        <v>0</v>
      </c>
      <c r="BY411">
        <f>BB411*AR411*AT411</f>
        <v>0</v>
      </c>
    </row>
    <row r="412" spans="1:77">
      <c r="A412" t="s">
        <v>96</v>
      </c>
      <c r="B412">
        <v>23395591</v>
      </c>
      <c r="C412" t="s">
        <v>285</v>
      </c>
      <c r="D412" t="s">
        <v>286</v>
      </c>
      <c r="E412" t="s">
        <v>446</v>
      </c>
      <c r="F412" t="s">
        <v>559</v>
      </c>
      <c r="G412" t="s">
        <v>448</v>
      </c>
      <c r="H412" t="s">
        <v>449</v>
      </c>
      <c r="I412" t="s">
        <v>450</v>
      </c>
      <c r="J412" t="s">
        <v>450</v>
      </c>
      <c r="K412">
        <v>0</v>
      </c>
      <c r="L412" t="s">
        <v>446</v>
      </c>
      <c r="M412" t="s">
        <v>446</v>
      </c>
      <c r="N412">
        <v>163295</v>
      </c>
      <c r="O412">
        <f>INDEX(Counselor,MATCH(B412,KidIDs,0))</f>
        <v>0</v>
      </c>
      <c r="P412">
        <f>INDEX(Advisors,MATCH(B412,KidIDs,0))</f>
        <v>0</v>
      </c>
      <c r="Q412">
        <f>INDEX(Cohort,MATCH(B412,KidIDs,0))</f>
        <v>0</v>
      </c>
      <c r="R412">
        <f>INDEX(AllCollegeBarrons,MATCH(N412,AllCollegeNCES,0))</f>
        <v>0</v>
      </c>
      <c r="S412">
        <f>INDEX(KidGPAs,MATCH(B412,KidIDs,0))</f>
        <v>0</v>
      </c>
      <c r="T412">
        <f>INDEX(KidSATs,MATCH(B412,KidIDs,0))</f>
        <v>0</v>
      </c>
      <c r="U412">
        <f>INDEX(Strats,MATCH(B412,KidIDs,0))</f>
        <v>0</v>
      </c>
      <c r="V412">
        <f>INDEX(KidRace,MATCH(B412,KidIDs,0))</f>
        <v>0</v>
      </c>
      <c r="W412">
        <f>IF(OR(V412="M",V412="I"),"H",IF(V412="P","A",V412))</f>
        <v>0</v>
      </c>
      <c r="X412">
        <f>INDEX(StudentTargets,MATCH(B412,KidIDs,0))</f>
        <v>0</v>
      </c>
      <c r="Y412">
        <f>INDEX(ReachStudentTargets,MATCH(B412,KidIDs,0))</f>
        <v>0</v>
      </c>
      <c r="Z412">
        <f>IF(OR(M412="Posse"),1,0)</f>
        <v>0</v>
      </c>
      <c r="AA412">
        <f>IF(ISNUMBER(INDEX(AllCollegeGR, MATCH(N412,AllCollegeNCES,0))),ROUND(INDEX(AllCollegeGR, MATCH(N412,AllCollegeNCES,0))+Z412*IF(INDEX(AllCollegeGR, MATCH(N412,AllCollegeNCES,0))&gt;0.7,(1-INDEX(AllCollegeGR, MATCH(N412,AllCollegeNCES,0)))/2,0.15),2),INDEX(AllCollegeGR, MATCH(N412,AllCollegeNCES,0)))</f>
        <v>0</v>
      </c>
      <c r="AB412">
        <f>IF(ISNUMBER(INDEX(AllCollegeAAHGR, MATCH(N412,AllCollegeNCES,0))),ROUND(INDEX(AllCollegeAAHGR, MATCH(N412,AllCollegeNCES,0))+Z412*IF(INDEX(AllCollegeAAHGR, MATCH(N412,AllCollegeNCES,0))&gt;0.7,(1-INDEX(AllCollegeAAHGR, MATCH(N412,AllCollegeNCES,0)))/2,0.15),2),INDEX(AllCollegeAAHGR, MATCH(N412,AllCollegeNCES,0)))</f>
        <v>0</v>
      </c>
      <c r="AC412">
        <f>IF(OR(W412="H",W412="B"),INDEX(AllCollegeSAT25, MATCH(N412,AllCollegeNCES,0)),INDEX(AllCollegeSAT50, MATCH(N412,AllCollegeNCES,0)))</f>
        <v>0</v>
      </c>
      <c r="AD412">
        <f>INDEX(CustomWeightsGPA,MATCH(W412&amp;":"&amp;N412,CustomWeightsIndex,0))</f>
        <v>0</v>
      </c>
      <c r="AE412">
        <f>INDEX(CustomWeightsSAT,MATCH(W412&amp;":"&amp;N412,CustomWeightsIndex,0))</f>
        <v>0</v>
      </c>
      <c r="AF412">
        <f>INDEX(CustomWeightsIntercept,MATCH(W412&amp;":"&amp;N412,CustomWeightsIndex,0))</f>
        <v>0</v>
      </c>
      <c r="AG412">
        <f>AD412*S412+AE412*T412+AF412</f>
        <v>0</v>
      </c>
      <c r="AH412">
        <f>INDEX(CoefficientsGPA,MATCH(W412&amp;":"&amp;R412,CoefficientsIndex,0))</f>
        <v>0</v>
      </c>
      <c r="AI412">
        <f>INDEX(CoefficientsSAT,MATCH(W412&amp;":"&amp;R412,CoefficientsIndex,0))</f>
        <v>0</v>
      </c>
      <c r="AJ412">
        <f>INDEX(CoefficientsIntercept,MATCH(W412&amp;":"&amp;R412,CoefficientsIndex,0))</f>
        <v>0</v>
      </c>
      <c r="AK412">
        <f>AH412*S412+(T412-AC412)*AI412+AJ412</f>
        <v>0</v>
      </c>
      <c r="AL412">
        <f>IF(ISNUMBER(AG412),AG412,AK412)</f>
        <v>0</v>
      </c>
      <c r="AM412">
        <f>IF(ISNUMBER(AL412),IF(ISNUMBER(AH412),IF(AND(AH412=1,AI412=1,AJ412=1),100,MIN(99,ROUND(100*EXP(AL412)/(1+EXP(AL412)),2))),MIN(99,ROUND(100*EXP(AL412)/(1+EXP(AL412)),2))),IF(ISTEXT(R412),IF(LEFT(R412,1)="2",100,"N/A"),"N/A"))</f>
        <v>0</v>
      </c>
      <c r="AN412">
        <f>IF(ISNUMBER(AM412),IF(AM412&gt;=99,IF(OR(U412=10,U412=11),MatchLabel,SureThingLabel),IF(AM412&gt;=95,SecureLabel,IF(AM412&gt;=80,SafetyLabel,IF(AM412&gt;=50,MatchLabel,IF(AM412&gt;=20,ReachLabel,IF(AM412&gt;=10,LongshotLabel,HailMaryLabel)))))),"Other")</f>
        <v>0</v>
      </c>
      <c r="AO412">
        <f>IF(OR(I412="accepted",I412="cond. accept",I412="summer admit"),IF(J412="yes","CHOICE!","Accepted!"),IF(I412="guar. transfer","Guar. Xfer",IF(I412="denied","Denied",IF(K412=1,"Waitlist",IF(L412=1,"Deferred",IF(G412="pending","Pending",IF(OR(G412="initial materials submitted",G412="mid-year submitted",G412="final submitted"),"Submitted",IF(H412="interest","Interest","?"))))))))</f>
        <v>0</v>
      </c>
      <c r="AP412">
        <f>IF(OR(AN412=ReachLabel,AN412=LongshotLabel,AN412=HailMaryLabel),1,0)</f>
        <v>0</v>
      </c>
      <c r="AQ412">
        <f>IF(OR(AP412=1,AN412=MatchLabel),1,0)</f>
        <v>0</v>
      </c>
      <c r="AR412">
        <f>IF(OR(AN412=MatchLabel,AN412=SafetyLabel,AN412=SecureLabel,AN412=SureThingLabel),1,0)</f>
        <v>0</v>
      </c>
      <c r="AS412">
        <f>IF(OR(W412="H",W412="B",W412="I",W412="M"),IF(ISNUMBER(AB412),ROUND(AB412,2),0),IF(ISNUMBER(AA412),ROUND(AA412,2),0))</f>
        <v>0</v>
      </c>
      <c r="AT412">
        <f>IF(AS412&gt;=X412,1,0)</f>
        <v>0</v>
      </c>
      <c r="AU412">
        <f>IF(AS412&gt;=Y412,1,0)</f>
        <v>0</v>
      </c>
      <c r="AV412">
        <f>IF(AS412&lt;(X412-0.10),1,0)</f>
        <v>0</v>
      </c>
      <c r="AW412">
        <f>1-AM412/100</f>
        <v>0</v>
      </c>
      <c r="AX412">
        <f>IF(AQ412=1,AW412,1)</f>
        <v>0</v>
      </c>
      <c r="AY412">
        <f>IF(AP412=1,AW412,1)</f>
        <v>0</v>
      </c>
      <c r="AZ412">
        <f>IF(AND(AT412=1,ISNUMBER(AW412)),$AW412,1)</f>
        <v>0</v>
      </c>
      <c r="BA412">
        <f>IF(AND(AU412=1,ISNUMBER(AW412)),$AW412,1)</f>
        <v>0</v>
      </c>
      <c r="BB412">
        <f>IF(ISNUMBER(AB412),INDEX(AllCollegeMoney, MATCH(N412,AllCollegeNCES,0)),0)</f>
        <v>0</v>
      </c>
      <c r="BC412">
        <f>IF(AND(AT412=1,ISNUMBER(AW412),BB412=1),$AW412,1)</f>
        <v>0</v>
      </c>
      <c r="BD412">
        <f>IF(AND(AU412=1,ISNUMBER(AW412),BB412=1),$AW412,1)</f>
        <v>0</v>
      </c>
      <c r="BE412">
        <f>IF(ISNUMBER(AB412),INDEX(AllCollegeILPub, MATCH(N412,AllCollegeNCES,0)),0)</f>
        <v>0</v>
      </c>
      <c r="BF412">
        <f>IF(AN412=ReachLabel,AS412,0)</f>
        <v>0</v>
      </c>
      <c r="BG412">
        <f>IF(AN412=MatchLabel,AS412,0)</f>
        <v>0</v>
      </c>
      <c r="BH412">
        <f>IF(AN412=SafetyLabel,AS412,0)</f>
        <v>0</v>
      </c>
      <c r="BI412">
        <f>IF(AN412=SecureLabel,AS412,0)</f>
        <v>0</v>
      </c>
      <c r="BJ412">
        <f>IF(AN412=SureThingLabel,AS412,0)</f>
        <v>0</v>
      </c>
      <c r="BK412">
        <f>MAX(BF412:BJ412)</f>
        <v>0</v>
      </c>
      <c r="BL412">
        <f>MAX(BG412:BJ412)</f>
        <v>0</v>
      </c>
      <c r="BM412">
        <f>MAX(BH412:BJ412)</f>
        <v>0</v>
      </c>
      <c r="BN412">
        <f>IF(AND(AN412=ReachLabel,BB412=1),AS412,0)</f>
        <v>0</v>
      </c>
      <c r="BO412">
        <f>IF(AND(AN412=MatchLabel,BB412=1),AS412,0)</f>
        <v>0</v>
      </c>
      <c r="BP412">
        <f>IF(AND(AN412=SafetyLabel,BB412=1),AS412,0)</f>
        <v>0</v>
      </c>
      <c r="BQ412">
        <f>IF(AND(AN412=SecureLabel,BB412=1),AS412,0)</f>
        <v>0</v>
      </c>
      <c r="BR412">
        <f>IF(AND(AN412=SureThingLabel,BB412=1),AS412,0)</f>
        <v>0</v>
      </c>
      <c r="BS412">
        <f>MAX(BN412:BR412)</f>
        <v>0</v>
      </c>
      <c r="BT412">
        <f>MAX(BO412:BR412)</f>
        <v>0</v>
      </c>
      <c r="BU412">
        <f>MAX(BP412:BR412)</f>
        <v>0</v>
      </c>
      <c r="BV412">
        <f>IF(ISNUMBER(AB412),INDEX(AllCollegeChicago, MATCH(N412,AllCollegeNCES,0))*BB412,0)</f>
        <v>0</v>
      </c>
      <c r="BW412">
        <f>IF(ISNUMBER(AB412),INDEX(AllCollegeMoneyCode, MATCH(N412,AllCollegeNCES,0)),"?")</f>
        <v>0</v>
      </c>
      <c r="BX412">
        <f>IF(OR(BW412="---",BW412="--",BW412="+/--",BW412="+/---"),1,0)</f>
        <v>0</v>
      </c>
      <c r="BY412">
        <f>BB412*AR412*AT412</f>
        <v>0</v>
      </c>
    </row>
    <row r="413" spans="1:77">
      <c r="A413" t="s">
        <v>96</v>
      </c>
      <c r="B413">
        <v>23395591</v>
      </c>
      <c r="C413" t="s">
        <v>285</v>
      </c>
      <c r="D413" t="s">
        <v>286</v>
      </c>
      <c r="E413" t="s">
        <v>446</v>
      </c>
      <c r="F413" t="s">
        <v>477</v>
      </c>
      <c r="G413" t="s">
        <v>448</v>
      </c>
      <c r="H413" t="s">
        <v>449</v>
      </c>
      <c r="I413" t="s">
        <v>450</v>
      </c>
      <c r="J413" t="s">
        <v>450</v>
      </c>
      <c r="K413">
        <v>0</v>
      </c>
      <c r="L413" t="s">
        <v>446</v>
      </c>
      <c r="M413" t="s">
        <v>446</v>
      </c>
      <c r="N413">
        <v>146427</v>
      </c>
      <c r="O413">
        <f>INDEX(Counselor,MATCH(B413,KidIDs,0))</f>
        <v>0</v>
      </c>
      <c r="P413">
        <f>INDEX(Advisors,MATCH(B413,KidIDs,0))</f>
        <v>0</v>
      </c>
      <c r="Q413">
        <f>INDEX(Cohort,MATCH(B413,KidIDs,0))</f>
        <v>0</v>
      </c>
      <c r="R413">
        <f>INDEX(AllCollegeBarrons,MATCH(N413,AllCollegeNCES,0))</f>
        <v>0</v>
      </c>
      <c r="S413">
        <f>INDEX(KidGPAs,MATCH(B413,KidIDs,0))</f>
        <v>0</v>
      </c>
      <c r="T413">
        <f>INDEX(KidSATs,MATCH(B413,KidIDs,0))</f>
        <v>0</v>
      </c>
      <c r="U413">
        <f>INDEX(Strats,MATCH(B413,KidIDs,0))</f>
        <v>0</v>
      </c>
      <c r="V413">
        <f>INDEX(KidRace,MATCH(B413,KidIDs,0))</f>
        <v>0</v>
      </c>
      <c r="W413">
        <f>IF(OR(V413="M",V413="I"),"H",IF(V413="P","A",V413))</f>
        <v>0</v>
      </c>
      <c r="X413">
        <f>INDEX(StudentTargets,MATCH(B413,KidIDs,0))</f>
        <v>0</v>
      </c>
      <c r="Y413">
        <f>INDEX(ReachStudentTargets,MATCH(B413,KidIDs,0))</f>
        <v>0</v>
      </c>
      <c r="Z413">
        <f>IF(OR(M413="Posse"),1,0)</f>
        <v>0</v>
      </c>
      <c r="AA413">
        <f>IF(ISNUMBER(INDEX(AllCollegeGR, MATCH(N413,AllCollegeNCES,0))),ROUND(INDEX(AllCollegeGR, MATCH(N413,AllCollegeNCES,0))+Z413*IF(INDEX(AllCollegeGR, MATCH(N413,AllCollegeNCES,0))&gt;0.7,(1-INDEX(AllCollegeGR, MATCH(N413,AllCollegeNCES,0)))/2,0.15),2),INDEX(AllCollegeGR, MATCH(N413,AllCollegeNCES,0)))</f>
        <v>0</v>
      </c>
      <c r="AB413">
        <f>IF(ISNUMBER(INDEX(AllCollegeAAHGR, MATCH(N413,AllCollegeNCES,0))),ROUND(INDEX(AllCollegeAAHGR, MATCH(N413,AllCollegeNCES,0))+Z413*IF(INDEX(AllCollegeAAHGR, MATCH(N413,AllCollegeNCES,0))&gt;0.7,(1-INDEX(AllCollegeAAHGR, MATCH(N413,AllCollegeNCES,0)))/2,0.15),2),INDEX(AllCollegeAAHGR, MATCH(N413,AllCollegeNCES,0)))</f>
        <v>0</v>
      </c>
      <c r="AC413">
        <f>IF(OR(W413="H",W413="B"),INDEX(AllCollegeSAT25, MATCH(N413,AllCollegeNCES,0)),INDEX(AllCollegeSAT50, MATCH(N413,AllCollegeNCES,0)))</f>
        <v>0</v>
      </c>
      <c r="AD413">
        <f>INDEX(CustomWeightsGPA,MATCH(W413&amp;":"&amp;N413,CustomWeightsIndex,0))</f>
        <v>0</v>
      </c>
      <c r="AE413">
        <f>INDEX(CustomWeightsSAT,MATCH(W413&amp;":"&amp;N413,CustomWeightsIndex,0))</f>
        <v>0</v>
      </c>
      <c r="AF413">
        <f>INDEX(CustomWeightsIntercept,MATCH(W413&amp;":"&amp;N413,CustomWeightsIndex,0))</f>
        <v>0</v>
      </c>
      <c r="AG413">
        <f>AD413*S413+AE413*T413+AF413</f>
        <v>0</v>
      </c>
      <c r="AH413">
        <f>INDEX(CoefficientsGPA,MATCH(W413&amp;":"&amp;R413,CoefficientsIndex,0))</f>
        <v>0</v>
      </c>
      <c r="AI413">
        <f>INDEX(CoefficientsSAT,MATCH(W413&amp;":"&amp;R413,CoefficientsIndex,0))</f>
        <v>0</v>
      </c>
      <c r="AJ413">
        <f>INDEX(CoefficientsIntercept,MATCH(W413&amp;":"&amp;R413,CoefficientsIndex,0))</f>
        <v>0</v>
      </c>
      <c r="AK413">
        <f>AH413*S413+(T413-AC413)*AI413+AJ413</f>
        <v>0</v>
      </c>
      <c r="AL413">
        <f>IF(ISNUMBER(AG413),AG413,AK413)</f>
        <v>0</v>
      </c>
      <c r="AM413">
        <f>IF(ISNUMBER(AL413),IF(ISNUMBER(AH413),IF(AND(AH413=1,AI413=1,AJ413=1),100,MIN(99,ROUND(100*EXP(AL413)/(1+EXP(AL413)),2))),MIN(99,ROUND(100*EXP(AL413)/(1+EXP(AL413)),2))),IF(ISTEXT(R413),IF(LEFT(R413,1)="2",100,"N/A"),"N/A"))</f>
        <v>0</v>
      </c>
      <c r="AN413">
        <f>IF(ISNUMBER(AM413),IF(AM413&gt;=99,IF(OR(U413=10,U413=11),MatchLabel,SureThingLabel),IF(AM413&gt;=95,SecureLabel,IF(AM413&gt;=80,SafetyLabel,IF(AM413&gt;=50,MatchLabel,IF(AM413&gt;=20,ReachLabel,IF(AM413&gt;=10,LongshotLabel,HailMaryLabel)))))),"Other")</f>
        <v>0</v>
      </c>
      <c r="AO413">
        <f>IF(OR(I413="accepted",I413="cond. accept",I413="summer admit"),IF(J413="yes","CHOICE!","Accepted!"),IF(I413="guar. transfer","Guar. Xfer",IF(I413="denied","Denied",IF(K413=1,"Waitlist",IF(L413=1,"Deferred",IF(G413="pending","Pending",IF(OR(G413="initial materials submitted",G413="mid-year submitted",G413="final submitted"),"Submitted",IF(H413="interest","Interest","?"))))))))</f>
        <v>0</v>
      </c>
      <c r="AP413">
        <f>IF(OR(AN413=ReachLabel,AN413=LongshotLabel,AN413=HailMaryLabel),1,0)</f>
        <v>0</v>
      </c>
      <c r="AQ413">
        <f>IF(OR(AP413=1,AN413=MatchLabel),1,0)</f>
        <v>0</v>
      </c>
      <c r="AR413">
        <f>IF(OR(AN413=MatchLabel,AN413=SafetyLabel,AN413=SecureLabel,AN413=SureThingLabel),1,0)</f>
        <v>0</v>
      </c>
      <c r="AS413">
        <f>IF(OR(W413="H",W413="B",W413="I",W413="M"),IF(ISNUMBER(AB413),ROUND(AB413,2),0),IF(ISNUMBER(AA413),ROUND(AA413,2),0))</f>
        <v>0</v>
      </c>
      <c r="AT413">
        <f>IF(AS413&gt;=X413,1,0)</f>
        <v>0</v>
      </c>
      <c r="AU413">
        <f>IF(AS413&gt;=Y413,1,0)</f>
        <v>0</v>
      </c>
      <c r="AV413">
        <f>IF(AS413&lt;(X413-0.10),1,0)</f>
        <v>0</v>
      </c>
      <c r="AW413">
        <f>1-AM413/100</f>
        <v>0</v>
      </c>
      <c r="AX413">
        <f>IF(AQ413=1,AW413,1)</f>
        <v>0</v>
      </c>
      <c r="AY413">
        <f>IF(AP413=1,AW413,1)</f>
        <v>0</v>
      </c>
      <c r="AZ413">
        <f>IF(AND(AT413=1,ISNUMBER(AW413)),$AW413,1)</f>
        <v>0</v>
      </c>
      <c r="BA413">
        <f>IF(AND(AU413=1,ISNUMBER(AW413)),$AW413,1)</f>
        <v>0</v>
      </c>
      <c r="BB413">
        <f>IF(ISNUMBER(AB413),INDEX(AllCollegeMoney, MATCH(N413,AllCollegeNCES,0)),0)</f>
        <v>0</v>
      </c>
      <c r="BC413">
        <f>IF(AND(AT413=1,ISNUMBER(AW413),BB413=1),$AW413,1)</f>
        <v>0</v>
      </c>
      <c r="BD413">
        <f>IF(AND(AU413=1,ISNUMBER(AW413),BB413=1),$AW413,1)</f>
        <v>0</v>
      </c>
      <c r="BE413">
        <f>IF(ISNUMBER(AB413),INDEX(AllCollegeILPub, MATCH(N413,AllCollegeNCES,0)),0)</f>
        <v>0</v>
      </c>
      <c r="BF413">
        <f>IF(AN413=ReachLabel,AS413,0)</f>
        <v>0</v>
      </c>
      <c r="BG413">
        <f>IF(AN413=MatchLabel,AS413,0)</f>
        <v>0</v>
      </c>
      <c r="BH413">
        <f>IF(AN413=SafetyLabel,AS413,0)</f>
        <v>0</v>
      </c>
      <c r="BI413">
        <f>IF(AN413=SecureLabel,AS413,0)</f>
        <v>0</v>
      </c>
      <c r="BJ413">
        <f>IF(AN413=SureThingLabel,AS413,0)</f>
        <v>0</v>
      </c>
      <c r="BK413">
        <f>MAX(BF413:BJ413)</f>
        <v>0</v>
      </c>
      <c r="BL413">
        <f>MAX(BG413:BJ413)</f>
        <v>0</v>
      </c>
      <c r="BM413">
        <f>MAX(BH413:BJ413)</f>
        <v>0</v>
      </c>
      <c r="BN413">
        <f>IF(AND(AN413=ReachLabel,BB413=1),AS413,0)</f>
        <v>0</v>
      </c>
      <c r="BO413">
        <f>IF(AND(AN413=MatchLabel,BB413=1),AS413,0)</f>
        <v>0</v>
      </c>
      <c r="BP413">
        <f>IF(AND(AN413=SafetyLabel,BB413=1),AS413,0)</f>
        <v>0</v>
      </c>
      <c r="BQ413">
        <f>IF(AND(AN413=SecureLabel,BB413=1),AS413,0)</f>
        <v>0</v>
      </c>
      <c r="BR413">
        <f>IF(AND(AN413=SureThingLabel,BB413=1),AS413,0)</f>
        <v>0</v>
      </c>
      <c r="BS413">
        <f>MAX(BN413:BR413)</f>
        <v>0</v>
      </c>
      <c r="BT413">
        <f>MAX(BO413:BR413)</f>
        <v>0</v>
      </c>
      <c r="BU413">
        <f>MAX(BP413:BR413)</f>
        <v>0</v>
      </c>
      <c r="BV413">
        <f>IF(ISNUMBER(AB413),INDEX(AllCollegeChicago, MATCH(N413,AllCollegeNCES,0))*BB413,0)</f>
        <v>0</v>
      </c>
      <c r="BW413">
        <f>IF(ISNUMBER(AB413),INDEX(AllCollegeMoneyCode, MATCH(N413,AllCollegeNCES,0)),"?")</f>
        <v>0</v>
      </c>
      <c r="BX413">
        <f>IF(OR(BW413="---",BW413="--",BW413="+/--",BW413="+/---"),1,0)</f>
        <v>0</v>
      </c>
      <c r="BY413">
        <f>BB413*AR413*AT413</f>
        <v>0</v>
      </c>
    </row>
    <row r="414" spans="1:77">
      <c r="A414" t="s">
        <v>96</v>
      </c>
      <c r="B414">
        <v>23395591</v>
      </c>
      <c r="C414" t="s">
        <v>285</v>
      </c>
      <c r="D414" t="s">
        <v>286</v>
      </c>
      <c r="E414" t="s">
        <v>446</v>
      </c>
      <c r="F414" t="s">
        <v>478</v>
      </c>
      <c r="G414" t="s">
        <v>448</v>
      </c>
      <c r="H414" t="s">
        <v>449</v>
      </c>
      <c r="I414" t="s">
        <v>450</v>
      </c>
      <c r="J414" t="s">
        <v>450</v>
      </c>
      <c r="K414">
        <v>0</v>
      </c>
      <c r="L414" t="s">
        <v>446</v>
      </c>
      <c r="M414" t="s">
        <v>446</v>
      </c>
      <c r="N414">
        <v>168546</v>
      </c>
      <c r="O414">
        <f>INDEX(Counselor,MATCH(B414,KidIDs,0))</f>
        <v>0</v>
      </c>
      <c r="P414">
        <f>INDEX(Advisors,MATCH(B414,KidIDs,0))</f>
        <v>0</v>
      </c>
      <c r="Q414">
        <f>INDEX(Cohort,MATCH(B414,KidIDs,0))</f>
        <v>0</v>
      </c>
      <c r="R414">
        <f>INDEX(AllCollegeBarrons,MATCH(N414,AllCollegeNCES,0))</f>
        <v>0</v>
      </c>
      <c r="S414">
        <f>INDEX(KidGPAs,MATCH(B414,KidIDs,0))</f>
        <v>0</v>
      </c>
      <c r="T414">
        <f>INDEX(KidSATs,MATCH(B414,KidIDs,0))</f>
        <v>0</v>
      </c>
      <c r="U414">
        <f>INDEX(Strats,MATCH(B414,KidIDs,0))</f>
        <v>0</v>
      </c>
      <c r="V414">
        <f>INDEX(KidRace,MATCH(B414,KidIDs,0))</f>
        <v>0</v>
      </c>
      <c r="W414">
        <f>IF(OR(V414="M",V414="I"),"H",IF(V414="P","A",V414))</f>
        <v>0</v>
      </c>
      <c r="X414">
        <f>INDEX(StudentTargets,MATCH(B414,KidIDs,0))</f>
        <v>0</v>
      </c>
      <c r="Y414">
        <f>INDEX(ReachStudentTargets,MATCH(B414,KidIDs,0))</f>
        <v>0</v>
      </c>
      <c r="Z414">
        <f>IF(OR(M414="Posse"),1,0)</f>
        <v>0</v>
      </c>
      <c r="AA414">
        <f>IF(ISNUMBER(INDEX(AllCollegeGR, MATCH(N414,AllCollegeNCES,0))),ROUND(INDEX(AllCollegeGR, MATCH(N414,AllCollegeNCES,0))+Z414*IF(INDEX(AllCollegeGR, MATCH(N414,AllCollegeNCES,0))&gt;0.7,(1-INDEX(AllCollegeGR, MATCH(N414,AllCollegeNCES,0)))/2,0.15),2),INDEX(AllCollegeGR, MATCH(N414,AllCollegeNCES,0)))</f>
        <v>0</v>
      </c>
      <c r="AB414">
        <f>IF(ISNUMBER(INDEX(AllCollegeAAHGR, MATCH(N414,AllCollegeNCES,0))),ROUND(INDEX(AllCollegeAAHGR, MATCH(N414,AllCollegeNCES,0))+Z414*IF(INDEX(AllCollegeAAHGR, MATCH(N414,AllCollegeNCES,0))&gt;0.7,(1-INDEX(AllCollegeAAHGR, MATCH(N414,AllCollegeNCES,0)))/2,0.15),2),INDEX(AllCollegeAAHGR, MATCH(N414,AllCollegeNCES,0)))</f>
        <v>0</v>
      </c>
      <c r="AC414">
        <f>IF(OR(W414="H",W414="B"),INDEX(AllCollegeSAT25, MATCH(N414,AllCollegeNCES,0)),INDEX(AllCollegeSAT50, MATCH(N414,AllCollegeNCES,0)))</f>
        <v>0</v>
      </c>
      <c r="AD414">
        <f>INDEX(CustomWeightsGPA,MATCH(W414&amp;":"&amp;N414,CustomWeightsIndex,0))</f>
        <v>0</v>
      </c>
      <c r="AE414">
        <f>INDEX(CustomWeightsSAT,MATCH(W414&amp;":"&amp;N414,CustomWeightsIndex,0))</f>
        <v>0</v>
      </c>
      <c r="AF414">
        <f>INDEX(CustomWeightsIntercept,MATCH(W414&amp;":"&amp;N414,CustomWeightsIndex,0))</f>
        <v>0</v>
      </c>
      <c r="AG414">
        <f>AD414*S414+AE414*T414+AF414</f>
        <v>0</v>
      </c>
      <c r="AH414">
        <f>INDEX(CoefficientsGPA,MATCH(W414&amp;":"&amp;R414,CoefficientsIndex,0))</f>
        <v>0</v>
      </c>
      <c r="AI414">
        <f>INDEX(CoefficientsSAT,MATCH(W414&amp;":"&amp;R414,CoefficientsIndex,0))</f>
        <v>0</v>
      </c>
      <c r="AJ414">
        <f>INDEX(CoefficientsIntercept,MATCH(W414&amp;":"&amp;R414,CoefficientsIndex,0))</f>
        <v>0</v>
      </c>
      <c r="AK414">
        <f>AH414*S414+(T414-AC414)*AI414+AJ414</f>
        <v>0</v>
      </c>
      <c r="AL414">
        <f>IF(ISNUMBER(AG414),AG414,AK414)</f>
        <v>0</v>
      </c>
      <c r="AM414">
        <f>IF(ISNUMBER(AL414),IF(ISNUMBER(AH414),IF(AND(AH414=1,AI414=1,AJ414=1),100,MIN(99,ROUND(100*EXP(AL414)/(1+EXP(AL414)),2))),MIN(99,ROUND(100*EXP(AL414)/(1+EXP(AL414)),2))),IF(ISTEXT(R414),IF(LEFT(R414,1)="2",100,"N/A"),"N/A"))</f>
        <v>0</v>
      </c>
      <c r="AN414">
        <f>IF(ISNUMBER(AM414),IF(AM414&gt;=99,IF(OR(U414=10,U414=11),MatchLabel,SureThingLabel),IF(AM414&gt;=95,SecureLabel,IF(AM414&gt;=80,SafetyLabel,IF(AM414&gt;=50,MatchLabel,IF(AM414&gt;=20,ReachLabel,IF(AM414&gt;=10,LongshotLabel,HailMaryLabel)))))),"Other")</f>
        <v>0</v>
      </c>
      <c r="AO414">
        <f>IF(OR(I414="accepted",I414="cond. accept",I414="summer admit"),IF(J414="yes","CHOICE!","Accepted!"),IF(I414="guar. transfer","Guar. Xfer",IF(I414="denied","Denied",IF(K414=1,"Waitlist",IF(L414=1,"Deferred",IF(G414="pending","Pending",IF(OR(G414="initial materials submitted",G414="mid-year submitted",G414="final submitted"),"Submitted",IF(H414="interest","Interest","?"))))))))</f>
        <v>0</v>
      </c>
      <c r="AP414">
        <f>IF(OR(AN414=ReachLabel,AN414=LongshotLabel,AN414=HailMaryLabel),1,0)</f>
        <v>0</v>
      </c>
      <c r="AQ414">
        <f>IF(OR(AP414=1,AN414=MatchLabel),1,0)</f>
        <v>0</v>
      </c>
      <c r="AR414">
        <f>IF(OR(AN414=MatchLabel,AN414=SafetyLabel,AN414=SecureLabel,AN414=SureThingLabel),1,0)</f>
        <v>0</v>
      </c>
      <c r="AS414">
        <f>IF(OR(W414="H",W414="B",W414="I",W414="M"),IF(ISNUMBER(AB414),ROUND(AB414,2),0),IF(ISNUMBER(AA414),ROUND(AA414,2),0))</f>
        <v>0</v>
      </c>
      <c r="AT414">
        <f>IF(AS414&gt;=X414,1,0)</f>
        <v>0</v>
      </c>
      <c r="AU414">
        <f>IF(AS414&gt;=Y414,1,0)</f>
        <v>0</v>
      </c>
      <c r="AV414">
        <f>IF(AS414&lt;(X414-0.10),1,0)</f>
        <v>0</v>
      </c>
      <c r="AW414">
        <f>1-AM414/100</f>
        <v>0</v>
      </c>
      <c r="AX414">
        <f>IF(AQ414=1,AW414,1)</f>
        <v>0</v>
      </c>
      <c r="AY414">
        <f>IF(AP414=1,AW414,1)</f>
        <v>0</v>
      </c>
      <c r="AZ414">
        <f>IF(AND(AT414=1,ISNUMBER(AW414)),$AW414,1)</f>
        <v>0</v>
      </c>
      <c r="BA414">
        <f>IF(AND(AU414=1,ISNUMBER(AW414)),$AW414,1)</f>
        <v>0</v>
      </c>
      <c r="BB414">
        <f>IF(ISNUMBER(AB414),INDEX(AllCollegeMoney, MATCH(N414,AllCollegeNCES,0)),0)</f>
        <v>0</v>
      </c>
      <c r="BC414">
        <f>IF(AND(AT414=1,ISNUMBER(AW414),BB414=1),$AW414,1)</f>
        <v>0</v>
      </c>
      <c r="BD414">
        <f>IF(AND(AU414=1,ISNUMBER(AW414),BB414=1),$AW414,1)</f>
        <v>0</v>
      </c>
      <c r="BE414">
        <f>IF(ISNUMBER(AB414),INDEX(AllCollegeILPub, MATCH(N414,AllCollegeNCES,0)),0)</f>
        <v>0</v>
      </c>
      <c r="BF414">
        <f>IF(AN414=ReachLabel,AS414,0)</f>
        <v>0</v>
      </c>
      <c r="BG414">
        <f>IF(AN414=MatchLabel,AS414,0)</f>
        <v>0</v>
      </c>
      <c r="BH414">
        <f>IF(AN414=SafetyLabel,AS414,0)</f>
        <v>0</v>
      </c>
      <c r="BI414">
        <f>IF(AN414=SecureLabel,AS414,0)</f>
        <v>0</v>
      </c>
      <c r="BJ414">
        <f>IF(AN414=SureThingLabel,AS414,0)</f>
        <v>0</v>
      </c>
      <c r="BK414">
        <f>MAX(BF414:BJ414)</f>
        <v>0</v>
      </c>
      <c r="BL414">
        <f>MAX(BG414:BJ414)</f>
        <v>0</v>
      </c>
      <c r="BM414">
        <f>MAX(BH414:BJ414)</f>
        <v>0</v>
      </c>
      <c r="BN414">
        <f>IF(AND(AN414=ReachLabel,BB414=1),AS414,0)</f>
        <v>0</v>
      </c>
      <c r="BO414">
        <f>IF(AND(AN414=MatchLabel,BB414=1),AS414,0)</f>
        <v>0</v>
      </c>
      <c r="BP414">
        <f>IF(AND(AN414=SafetyLabel,BB414=1),AS414,0)</f>
        <v>0</v>
      </c>
      <c r="BQ414">
        <f>IF(AND(AN414=SecureLabel,BB414=1),AS414,0)</f>
        <v>0</v>
      </c>
      <c r="BR414">
        <f>IF(AND(AN414=SureThingLabel,BB414=1),AS414,0)</f>
        <v>0</v>
      </c>
      <c r="BS414">
        <f>MAX(BN414:BR414)</f>
        <v>0</v>
      </c>
      <c r="BT414">
        <f>MAX(BO414:BR414)</f>
        <v>0</v>
      </c>
      <c r="BU414">
        <f>MAX(BP414:BR414)</f>
        <v>0</v>
      </c>
      <c r="BV414">
        <f>IF(ISNUMBER(AB414),INDEX(AllCollegeChicago, MATCH(N414,AllCollegeNCES,0))*BB414,0)</f>
        <v>0</v>
      </c>
      <c r="BW414">
        <f>IF(ISNUMBER(AB414),INDEX(AllCollegeMoneyCode, MATCH(N414,AllCollegeNCES,0)),"?")</f>
        <v>0</v>
      </c>
      <c r="BX414">
        <f>IF(OR(BW414="---",BW414="--",BW414="+/--",BW414="+/---"),1,0)</f>
        <v>0</v>
      </c>
      <c r="BY414">
        <f>BB414*AR414*AT414</f>
        <v>0</v>
      </c>
    </row>
    <row r="415" spans="1:77">
      <c r="A415" t="s">
        <v>96</v>
      </c>
      <c r="B415">
        <v>23395591</v>
      </c>
      <c r="C415" t="s">
        <v>285</v>
      </c>
      <c r="D415" t="s">
        <v>286</v>
      </c>
      <c r="E415" t="s">
        <v>446</v>
      </c>
      <c r="F415" t="s">
        <v>517</v>
      </c>
      <c r="G415" t="s">
        <v>448</v>
      </c>
      <c r="H415" t="s">
        <v>449</v>
      </c>
      <c r="I415" t="s">
        <v>450</v>
      </c>
      <c r="J415" t="s">
        <v>450</v>
      </c>
      <c r="K415">
        <v>0</v>
      </c>
      <c r="L415" t="s">
        <v>446</v>
      </c>
      <c r="M415" t="s">
        <v>446</v>
      </c>
      <c r="N415">
        <v>143048</v>
      </c>
      <c r="O415">
        <f>INDEX(Counselor,MATCH(B415,KidIDs,0))</f>
        <v>0</v>
      </c>
      <c r="P415">
        <f>INDEX(Advisors,MATCH(B415,KidIDs,0))</f>
        <v>0</v>
      </c>
      <c r="Q415">
        <f>INDEX(Cohort,MATCH(B415,KidIDs,0))</f>
        <v>0</v>
      </c>
      <c r="R415">
        <f>INDEX(AllCollegeBarrons,MATCH(N415,AllCollegeNCES,0))</f>
        <v>0</v>
      </c>
      <c r="S415">
        <f>INDEX(KidGPAs,MATCH(B415,KidIDs,0))</f>
        <v>0</v>
      </c>
      <c r="T415">
        <f>INDEX(KidSATs,MATCH(B415,KidIDs,0))</f>
        <v>0</v>
      </c>
      <c r="U415">
        <f>INDEX(Strats,MATCH(B415,KidIDs,0))</f>
        <v>0</v>
      </c>
      <c r="V415">
        <f>INDEX(KidRace,MATCH(B415,KidIDs,0))</f>
        <v>0</v>
      </c>
      <c r="W415">
        <f>IF(OR(V415="M",V415="I"),"H",IF(V415="P","A",V415))</f>
        <v>0</v>
      </c>
      <c r="X415">
        <f>INDEX(StudentTargets,MATCH(B415,KidIDs,0))</f>
        <v>0</v>
      </c>
      <c r="Y415">
        <f>INDEX(ReachStudentTargets,MATCH(B415,KidIDs,0))</f>
        <v>0</v>
      </c>
      <c r="Z415">
        <f>IF(OR(M415="Posse"),1,0)</f>
        <v>0</v>
      </c>
      <c r="AA415">
        <f>IF(ISNUMBER(INDEX(AllCollegeGR, MATCH(N415,AllCollegeNCES,0))),ROUND(INDEX(AllCollegeGR, MATCH(N415,AllCollegeNCES,0))+Z415*IF(INDEX(AllCollegeGR, MATCH(N415,AllCollegeNCES,0))&gt;0.7,(1-INDEX(AllCollegeGR, MATCH(N415,AllCollegeNCES,0)))/2,0.15),2),INDEX(AllCollegeGR, MATCH(N415,AllCollegeNCES,0)))</f>
        <v>0</v>
      </c>
      <c r="AB415">
        <f>IF(ISNUMBER(INDEX(AllCollegeAAHGR, MATCH(N415,AllCollegeNCES,0))),ROUND(INDEX(AllCollegeAAHGR, MATCH(N415,AllCollegeNCES,0))+Z415*IF(INDEX(AllCollegeAAHGR, MATCH(N415,AllCollegeNCES,0))&gt;0.7,(1-INDEX(AllCollegeAAHGR, MATCH(N415,AllCollegeNCES,0)))/2,0.15),2),INDEX(AllCollegeAAHGR, MATCH(N415,AllCollegeNCES,0)))</f>
        <v>0</v>
      </c>
      <c r="AC415">
        <f>IF(OR(W415="H",W415="B"),INDEX(AllCollegeSAT25, MATCH(N415,AllCollegeNCES,0)),INDEX(AllCollegeSAT50, MATCH(N415,AllCollegeNCES,0)))</f>
        <v>0</v>
      </c>
      <c r="AD415">
        <f>INDEX(CustomWeightsGPA,MATCH(W415&amp;":"&amp;N415,CustomWeightsIndex,0))</f>
        <v>0</v>
      </c>
      <c r="AE415">
        <f>INDEX(CustomWeightsSAT,MATCH(W415&amp;":"&amp;N415,CustomWeightsIndex,0))</f>
        <v>0</v>
      </c>
      <c r="AF415">
        <f>INDEX(CustomWeightsIntercept,MATCH(W415&amp;":"&amp;N415,CustomWeightsIndex,0))</f>
        <v>0</v>
      </c>
      <c r="AG415">
        <f>AD415*S415+AE415*T415+AF415</f>
        <v>0</v>
      </c>
      <c r="AH415">
        <f>INDEX(CoefficientsGPA,MATCH(W415&amp;":"&amp;R415,CoefficientsIndex,0))</f>
        <v>0</v>
      </c>
      <c r="AI415">
        <f>INDEX(CoefficientsSAT,MATCH(W415&amp;":"&amp;R415,CoefficientsIndex,0))</f>
        <v>0</v>
      </c>
      <c r="AJ415">
        <f>INDEX(CoefficientsIntercept,MATCH(W415&amp;":"&amp;R415,CoefficientsIndex,0))</f>
        <v>0</v>
      </c>
      <c r="AK415">
        <f>AH415*S415+(T415-AC415)*AI415+AJ415</f>
        <v>0</v>
      </c>
      <c r="AL415">
        <f>IF(ISNUMBER(AG415),AG415,AK415)</f>
        <v>0</v>
      </c>
      <c r="AM415">
        <f>IF(ISNUMBER(AL415),IF(ISNUMBER(AH415),IF(AND(AH415=1,AI415=1,AJ415=1),100,MIN(99,ROUND(100*EXP(AL415)/(1+EXP(AL415)),2))),MIN(99,ROUND(100*EXP(AL415)/(1+EXP(AL415)),2))),IF(ISTEXT(R415),IF(LEFT(R415,1)="2",100,"N/A"),"N/A"))</f>
        <v>0</v>
      </c>
      <c r="AN415">
        <f>IF(ISNUMBER(AM415),IF(AM415&gt;=99,IF(OR(U415=10,U415=11),MatchLabel,SureThingLabel),IF(AM415&gt;=95,SecureLabel,IF(AM415&gt;=80,SafetyLabel,IF(AM415&gt;=50,MatchLabel,IF(AM415&gt;=20,ReachLabel,IF(AM415&gt;=10,LongshotLabel,HailMaryLabel)))))),"Other")</f>
        <v>0</v>
      </c>
      <c r="AO415">
        <f>IF(OR(I415="accepted",I415="cond. accept",I415="summer admit"),IF(J415="yes","CHOICE!","Accepted!"),IF(I415="guar. transfer","Guar. Xfer",IF(I415="denied","Denied",IF(K415=1,"Waitlist",IF(L415=1,"Deferred",IF(G415="pending","Pending",IF(OR(G415="initial materials submitted",G415="mid-year submitted",G415="final submitted"),"Submitted",IF(H415="interest","Interest","?"))))))))</f>
        <v>0</v>
      </c>
      <c r="AP415">
        <f>IF(OR(AN415=ReachLabel,AN415=LongshotLabel,AN415=HailMaryLabel),1,0)</f>
        <v>0</v>
      </c>
      <c r="AQ415">
        <f>IF(OR(AP415=1,AN415=MatchLabel),1,0)</f>
        <v>0</v>
      </c>
      <c r="AR415">
        <f>IF(OR(AN415=MatchLabel,AN415=SafetyLabel,AN415=SecureLabel,AN415=SureThingLabel),1,0)</f>
        <v>0</v>
      </c>
      <c r="AS415">
        <f>IF(OR(W415="H",W415="B",W415="I",W415="M"),IF(ISNUMBER(AB415),ROUND(AB415,2),0),IF(ISNUMBER(AA415),ROUND(AA415,2),0))</f>
        <v>0</v>
      </c>
      <c r="AT415">
        <f>IF(AS415&gt;=X415,1,0)</f>
        <v>0</v>
      </c>
      <c r="AU415">
        <f>IF(AS415&gt;=Y415,1,0)</f>
        <v>0</v>
      </c>
      <c r="AV415">
        <f>IF(AS415&lt;(X415-0.10),1,0)</f>
        <v>0</v>
      </c>
      <c r="AW415">
        <f>1-AM415/100</f>
        <v>0</v>
      </c>
      <c r="AX415">
        <f>IF(AQ415=1,AW415,1)</f>
        <v>0</v>
      </c>
      <c r="AY415">
        <f>IF(AP415=1,AW415,1)</f>
        <v>0</v>
      </c>
      <c r="AZ415">
        <f>IF(AND(AT415=1,ISNUMBER(AW415)),$AW415,1)</f>
        <v>0</v>
      </c>
      <c r="BA415">
        <f>IF(AND(AU415=1,ISNUMBER(AW415)),$AW415,1)</f>
        <v>0</v>
      </c>
      <c r="BB415">
        <f>IF(ISNUMBER(AB415),INDEX(AllCollegeMoney, MATCH(N415,AllCollegeNCES,0)),0)</f>
        <v>0</v>
      </c>
      <c r="BC415">
        <f>IF(AND(AT415=1,ISNUMBER(AW415),BB415=1),$AW415,1)</f>
        <v>0</v>
      </c>
      <c r="BD415">
        <f>IF(AND(AU415=1,ISNUMBER(AW415),BB415=1),$AW415,1)</f>
        <v>0</v>
      </c>
      <c r="BE415">
        <f>IF(ISNUMBER(AB415),INDEX(AllCollegeILPub, MATCH(N415,AllCollegeNCES,0)),0)</f>
        <v>0</v>
      </c>
      <c r="BF415">
        <f>IF(AN415=ReachLabel,AS415,0)</f>
        <v>0</v>
      </c>
      <c r="BG415">
        <f>IF(AN415=MatchLabel,AS415,0)</f>
        <v>0</v>
      </c>
      <c r="BH415">
        <f>IF(AN415=SafetyLabel,AS415,0)</f>
        <v>0</v>
      </c>
      <c r="BI415">
        <f>IF(AN415=SecureLabel,AS415,0)</f>
        <v>0</v>
      </c>
      <c r="BJ415">
        <f>IF(AN415=SureThingLabel,AS415,0)</f>
        <v>0</v>
      </c>
      <c r="BK415">
        <f>MAX(BF415:BJ415)</f>
        <v>0</v>
      </c>
      <c r="BL415">
        <f>MAX(BG415:BJ415)</f>
        <v>0</v>
      </c>
      <c r="BM415">
        <f>MAX(BH415:BJ415)</f>
        <v>0</v>
      </c>
      <c r="BN415">
        <f>IF(AND(AN415=ReachLabel,BB415=1),AS415,0)</f>
        <v>0</v>
      </c>
      <c r="BO415">
        <f>IF(AND(AN415=MatchLabel,BB415=1),AS415,0)</f>
        <v>0</v>
      </c>
      <c r="BP415">
        <f>IF(AND(AN415=SafetyLabel,BB415=1),AS415,0)</f>
        <v>0</v>
      </c>
      <c r="BQ415">
        <f>IF(AND(AN415=SecureLabel,BB415=1),AS415,0)</f>
        <v>0</v>
      </c>
      <c r="BR415">
        <f>IF(AND(AN415=SureThingLabel,BB415=1),AS415,0)</f>
        <v>0</v>
      </c>
      <c r="BS415">
        <f>MAX(BN415:BR415)</f>
        <v>0</v>
      </c>
      <c r="BT415">
        <f>MAX(BO415:BR415)</f>
        <v>0</v>
      </c>
      <c r="BU415">
        <f>MAX(BP415:BR415)</f>
        <v>0</v>
      </c>
      <c r="BV415">
        <f>IF(ISNUMBER(AB415),INDEX(AllCollegeChicago, MATCH(N415,AllCollegeNCES,0))*BB415,0)</f>
        <v>0</v>
      </c>
      <c r="BW415">
        <f>IF(ISNUMBER(AB415),INDEX(AllCollegeMoneyCode, MATCH(N415,AllCollegeNCES,0)),"?")</f>
        <v>0</v>
      </c>
      <c r="BX415">
        <f>IF(OR(BW415="---",BW415="--",BW415="+/--",BW415="+/---"),1,0)</f>
        <v>0</v>
      </c>
      <c r="BY415">
        <f>BB415*AR415*AT415</f>
        <v>0</v>
      </c>
    </row>
    <row r="416" spans="1:77">
      <c r="A416" t="s">
        <v>96</v>
      </c>
      <c r="B416">
        <v>23395591</v>
      </c>
      <c r="C416" t="s">
        <v>285</v>
      </c>
      <c r="D416" t="s">
        <v>286</v>
      </c>
      <c r="E416" t="s">
        <v>446</v>
      </c>
      <c r="F416" t="s">
        <v>465</v>
      </c>
      <c r="G416" t="s">
        <v>448</v>
      </c>
      <c r="H416" t="s">
        <v>449</v>
      </c>
      <c r="I416" t="s">
        <v>450</v>
      </c>
      <c r="J416" t="s">
        <v>450</v>
      </c>
      <c r="K416">
        <v>0</v>
      </c>
      <c r="L416" t="s">
        <v>446</v>
      </c>
      <c r="M416" t="s">
        <v>446</v>
      </c>
      <c r="N416">
        <v>145600</v>
      </c>
      <c r="O416">
        <f>INDEX(Counselor,MATCH(B416,KidIDs,0))</f>
        <v>0</v>
      </c>
      <c r="P416">
        <f>INDEX(Advisors,MATCH(B416,KidIDs,0))</f>
        <v>0</v>
      </c>
      <c r="Q416">
        <f>INDEX(Cohort,MATCH(B416,KidIDs,0))</f>
        <v>0</v>
      </c>
      <c r="R416">
        <f>INDEX(AllCollegeBarrons,MATCH(N416,AllCollegeNCES,0))</f>
        <v>0</v>
      </c>
      <c r="S416">
        <f>INDEX(KidGPAs,MATCH(B416,KidIDs,0))</f>
        <v>0</v>
      </c>
      <c r="T416">
        <f>INDEX(KidSATs,MATCH(B416,KidIDs,0))</f>
        <v>0</v>
      </c>
      <c r="U416">
        <f>INDEX(Strats,MATCH(B416,KidIDs,0))</f>
        <v>0</v>
      </c>
      <c r="V416">
        <f>INDEX(KidRace,MATCH(B416,KidIDs,0))</f>
        <v>0</v>
      </c>
      <c r="W416">
        <f>IF(OR(V416="M",V416="I"),"H",IF(V416="P","A",V416))</f>
        <v>0</v>
      </c>
      <c r="X416">
        <f>INDEX(StudentTargets,MATCH(B416,KidIDs,0))</f>
        <v>0</v>
      </c>
      <c r="Y416">
        <f>INDEX(ReachStudentTargets,MATCH(B416,KidIDs,0))</f>
        <v>0</v>
      </c>
      <c r="Z416">
        <f>IF(OR(M416="Posse"),1,0)</f>
        <v>0</v>
      </c>
      <c r="AA416">
        <f>IF(ISNUMBER(INDEX(AllCollegeGR, MATCH(N416,AllCollegeNCES,0))),ROUND(INDEX(AllCollegeGR, MATCH(N416,AllCollegeNCES,0))+Z416*IF(INDEX(AllCollegeGR, MATCH(N416,AllCollegeNCES,0))&gt;0.7,(1-INDEX(AllCollegeGR, MATCH(N416,AllCollegeNCES,0)))/2,0.15),2),INDEX(AllCollegeGR, MATCH(N416,AllCollegeNCES,0)))</f>
        <v>0</v>
      </c>
      <c r="AB416">
        <f>IF(ISNUMBER(INDEX(AllCollegeAAHGR, MATCH(N416,AllCollegeNCES,0))),ROUND(INDEX(AllCollegeAAHGR, MATCH(N416,AllCollegeNCES,0))+Z416*IF(INDEX(AllCollegeAAHGR, MATCH(N416,AllCollegeNCES,0))&gt;0.7,(1-INDEX(AllCollegeAAHGR, MATCH(N416,AllCollegeNCES,0)))/2,0.15),2),INDEX(AllCollegeAAHGR, MATCH(N416,AllCollegeNCES,0)))</f>
        <v>0</v>
      </c>
      <c r="AC416">
        <f>IF(OR(W416="H",W416="B"),INDEX(AllCollegeSAT25, MATCH(N416,AllCollegeNCES,0)),INDEX(AllCollegeSAT50, MATCH(N416,AllCollegeNCES,0)))</f>
        <v>0</v>
      </c>
      <c r="AD416">
        <f>INDEX(CustomWeightsGPA,MATCH(W416&amp;":"&amp;N416,CustomWeightsIndex,0))</f>
        <v>0</v>
      </c>
      <c r="AE416">
        <f>INDEX(CustomWeightsSAT,MATCH(W416&amp;":"&amp;N416,CustomWeightsIndex,0))</f>
        <v>0</v>
      </c>
      <c r="AF416">
        <f>INDEX(CustomWeightsIntercept,MATCH(W416&amp;":"&amp;N416,CustomWeightsIndex,0))</f>
        <v>0</v>
      </c>
      <c r="AG416">
        <f>AD416*S416+AE416*T416+AF416</f>
        <v>0</v>
      </c>
      <c r="AH416">
        <f>INDEX(CoefficientsGPA,MATCH(W416&amp;":"&amp;R416,CoefficientsIndex,0))</f>
        <v>0</v>
      </c>
      <c r="AI416">
        <f>INDEX(CoefficientsSAT,MATCH(W416&amp;":"&amp;R416,CoefficientsIndex,0))</f>
        <v>0</v>
      </c>
      <c r="AJ416">
        <f>INDEX(CoefficientsIntercept,MATCH(W416&amp;":"&amp;R416,CoefficientsIndex,0))</f>
        <v>0</v>
      </c>
      <c r="AK416">
        <f>AH416*S416+(T416-AC416)*AI416+AJ416</f>
        <v>0</v>
      </c>
      <c r="AL416">
        <f>IF(ISNUMBER(AG416),AG416,AK416)</f>
        <v>0</v>
      </c>
      <c r="AM416">
        <f>IF(ISNUMBER(AL416),IF(ISNUMBER(AH416),IF(AND(AH416=1,AI416=1,AJ416=1),100,MIN(99,ROUND(100*EXP(AL416)/(1+EXP(AL416)),2))),MIN(99,ROUND(100*EXP(AL416)/(1+EXP(AL416)),2))),IF(ISTEXT(R416),IF(LEFT(R416,1)="2",100,"N/A"),"N/A"))</f>
        <v>0</v>
      </c>
      <c r="AN416">
        <f>IF(ISNUMBER(AM416),IF(AM416&gt;=99,IF(OR(U416=10,U416=11),MatchLabel,SureThingLabel),IF(AM416&gt;=95,SecureLabel,IF(AM416&gt;=80,SafetyLabel,IF(AM416&gt;=50,MatchLabel,IF(AM416&gt;=20,ReachLabel,IF(AM416&gt;=10,LongshotLabel,HailMaryLabel)))))),"Other")</f>
        <v>0</v>
      </c>
      <c r="AO416">
        <f>IF(OR(I416="accepted",I416="cond. accept",I416="summer admit"),IF(J416="yes","CHOICE!","Accepted!"),IF(I416="guar. transfer","Guar. Xfer",IF(I416="denied","Denied",IF(K416=1,"Waitlist",IF(L416=1,"Deferred",IF(G416="pending","Pending",IF(OR(G416="initial materials submitted",G416="mid-year submitted",G416="final submitted"),"Submitted",IF(H416="interest","Interest","?"))))))))</f>
        <v>0</v>
      </c>
      <c r="AP416">
        <f>IF(OR(AN416=ReachLabel,AN416=LongshotLabel,AN416=HailMaryLabel),1,0)</f>
        <v>0</v>
      </c>
      <c r="AQ416">
        <f>IF(OR(AP416=1,AN416=MatchLabel),1,0)</f>
        <v>0</v>
      </c>
      <c r="AR416">
        <f>IF(OR(AN416=MatchLabel,AN416=SafetyLabel,AN416=SecureLabel,AN416=SureThingLabel),1,0)</f>
        <v>0</v>
      </c>
      <c r="AS416">
        <f>IF(OR(W416="H",W416="B",W416="I",W416="M"),IF(ISNUMBER(AB416),ROUND(AB416,2),0),IF(ISNUMBER(AA416),ROUND(AA416,2),0))</f>
        <v>0</v>
      </c>
      <c r="AT416">
        <f>IF(AS416&gt;=X416,1,0)</f>
        <v>0</v>
      </c>
      <c r="AU416">
        <f>IF(AS416&gt;=Y416,1,0)</f>
        <v>0</v>
      </c>
      <c r="AV416">
        <f>IF(AS416&lt;(X416-0.10),1,0)</f>
        <v>0</v>
      </c>
      <c r="AW416">
        <f>1-AM416/100</f>
        <v>0</v>
      </c>
      <c r="AX416">
        <f>IF(AQ416=1,AW416,1)</f>
        <v>0</v>
      </c>
      <c r="AY416">
        <f>IF(AP416=1,AW416,1)</f>
        <v>0</v>
      </c>
      <c r="AZ416">
        <f>IF(AND(AT416=1,ISNUMBER(AW416)),$AW416,1)</f>
        <v>0</v>
      </c>
      <c r="BA416">
        <f>IF(AND(AU416=1,ISNUMBER(AW416)),$AW416,1)</f>
        <v>0</v>
      </c>
      <c r="BB416">
        <f>IF(ISNUMBER(AB416),INDEX(AllCollegeMoney, MATCH(N416,AllCollegeNCES,0)),0)</f>
        <v>0</v>
      </c>
      <c r="BC416">
        <f>IF(AND(AT416=1,ISNUMBER(AW416),BB416=1),$AW416,1)</f>
        <v>0</v>
      </c>
      <c r="BD416">
        <f>IF(AND(AU416=1,ISNUMBER(AW416),BB416=1),$AW416,1)</f>
        <v>0</v>
      </c>
      <c r="BE416">
        <f>IF(ISNUMBER(AB416),INDEX(AllCollegeILPub, MATCH(N416,AllCollegeNCES,0)),0)</f>
        <v>0</v>
      </c>
      <c r="BF416">
        <f>IF(AN416=ReachLabel,AS416,0)</f>
        <v>0</v>
      </c>
      <c r="BG416">
        <f>IF(AN416=MatchLabel,AS416,0)</f>
        <v>0</v>
      </c>
      <c r="BH416">
        <f>IF(AN416=SafetyLabel,AS416,0)</f>
        <v>0</v>
      </c>
      <c r="BI416">
        <f>IF(AN416=SecureLabel,AS416,0)</f>
        <v>0</v>
      </c>
      <c r="BJ416">
        <f>IF(AN416=SureThingLabel,AS416,0)</f>
        <v>0</v>
      </c>
      <c r="BK416">
        <f>MAX(BF416:BJ416)</f>
        <v>0</v>
      </c>
      <c r="BL416">
        <f>MAX(BG416:BJ416)</f>
        <v>0</v>
      </c>
      <c r="BM416">
        <f>MAX(BH416:BJ416)</f>
        <v>0</v>
      </c>
      <c r="BN416">
        <f>IF(AND(AN416=ReachLabel,BB416=1),AS416,0)</f>
        <v>0</v>
      </c>
      <c r="BO416">
        <f>IF(AND(AN416=MatchLabel,BB416=1),AS416,0)</f>
        <v>0</v>
      </c>
      <c r="BP416">
        <f>IF(AND(AN416=SafetyLabel,BB416=1),AS416,0)</f>
        <v>0</v>
      </c>
      <c r="BQ416">
        <f>IF(AND(AN416=SecureLabel,BB416=1),AS416,0)</f>
        <v>0</v>
      </c>
      <c r="BR416">
        <f>IF(AND(AN416=SureThingLabel,BB416=1),AS416,0)</f>
        <v>0</v>
      </c>
      <c r="BS416">
        <f>MAX(BN416:BR416)</f>
        <v>0</v>
      </c>
      <c r="BT416">
        <f>MAX(BO416:BR416)</f>
        <v>0</v>
      </c>
      <c r="BU416">
        <f>MAX(BP416:BR416)</f>
        <v>0</v>
      </c>
      <c r="BV416">
        <f>IF(ISNUMBER(AB416),INDEX(AllCollegeChicago, MATCH(N416,AllCollegeNCES,0))*BB416,0)</f>
        <v>0</v>
      </c>
      <c r="BW416">
        <f>IF(ISNUMBER(AB416),INDEX(AllCollegeMoneyCode, MATCH(N416,AllCollegeNCES,0)),"?")</f>
        <v>0</v>
      </c>
      <c r="BX416">
        <f>IF(OR(BW416="---",BW416="--",BW416="+/--",BW416="+/---"),1,0)</f>
        <v>0</v>
      </c>
      <c r="BY416">
        <f>BB416*AR416*AT416</f>
        <v>0</v>
      </c>
    </row>
    <row r="417" spans="1:77">
      <c r="A417" t="s">
        <v>96</v>
      </c>
      <c r="B417">
        <v>23395591</v>
      </c>
      <c r="C417" t="s">
        <v>285</v>
      </c>
      <c r="D417" t="s">
        <v>286</v>
      </c>
      <c r="E417" t="s">
        <v>446</v>
      </c>
      <c r="F417" t="s">
        <v>560</v>
      </c>
      <c r="G417" t="s">
        <v>543</v>
      </c>
      <c r="H417" t="s">
        <v>543</v>
      </c>
      <c r="I417" t="s">
        <v>544</v>
      </c>
      <c r="J417" t="s">
        <v>446</v>
      </c>
      <c r="K417" t="s">
        <v>446</v>
      </c>
      <c r="L417" t="s">
        <v>446</v>
      </c>
      <c r="M417" t="s">
        <v>446</v>
      </c>
      <c r="N417">
        <v>145813</v>
      </c>
      <c r="O417">
        <f>INDEX(Counselor,MATCH(B417,KidIDs,0))</f>
        <v>0</v>
      </c>
      <c r="P417">
        <f>INDEX(Advisors,MATCH(B417,KidIDs,0))</f>
        <v>0</v>
      </c>
      <c r="Q417">
        <f>INDEX(Cohort,MATCH(B417,KidIDs,0))</f>
        <v>0</v>
      </c>
      <c r="R417">
        <f>INDEX(AllCollegeBarrons,MATCH(N417,AllCollegeNCES,0))</f>
        <v>0</v>
      </c>
      <c r="S417">
        <f>INDEX(KidGPAs,MATCH(B417,KidIDs,0))</f>
        <v>0</v>
      </c>
      <c r="T417">
        <f>INDEX(KidSATs,MATCH(B417,KidIDs,0))</f>
        <v>0</v>
      </c>
      <c r="U417">
        <f>INDEX(Strats,MATCH(B417,KidIDs,0))</f>
        <v>0</v>
      </c>
      <c r="V417">
        <f>INDEX(KidRace,MATCH(B417,KidIDs,0))</f>
        <v>0</v>
      </c>
      <c r="W417">
        <f>IF(OR(V417="M",V417="I"),"H",IF(V417="P","A",V417))</f>
        <v>0</v>
      </c>
      <c r="X417">
        <f>INDEX(StudentTargets,MATCH(B417,KidIDs,0))</f>
        <v>0</v>
      </c>
      <c r="Y417">
        <f>INDEX(ReachStudentTargets,MATCH(B417,KidIDs,0))</f>
        <v>0</v>
      </c>
      <c r="Z417">
        <f>IF(OR(M417="Posse"),1,0)</f>
        <v>0</v>
      </c>
      <c r="AA417">
        <f>IF(ISNUMBER(INDEX(AllCollegeGR, MATCH(N417,AllCollegeNCES,0))),ROUND(INDEX(AllCollegeGR, MATCH(N417,AllCollegeNCES,0))+Z417*IF(INDEX(AllCollegeGR, MATCH(N417,AllCollegeNCES,0))&gt;0.7,(1-INDEX(AllCollegeGR, MATCH(N417,AllCollegeNCES,0)))/2,0.15),2),INDEX(AllCollegeGR, MATCH(N417,AllCollegeNCES,0)))</f>
        <v>0</v>
      </c>
      <c r="AB417">
        <f>IF(ISNUMBER(INDEX(AllCollegeAAHGR, MATCH(N417,AllCollegeNCES,0))),ROUND(INDEX(AllCollegeAAHGR, MATCH(N417,AllCollegeNCES,0))+Z417*IF(INDEX(AllCollegeAAHGR, MATCH(N417,AllCollegeNCES,0))&gt;0.7,(1-INDEX(AllCollegeAAHGR, MATCH(N417,AllCollegeNCES,0)))/2,0.15),2),INDEX(AllCollegeAAHGR, MATCH(N417,AllCollegeNCES,0)))</f>
        <v>0</v>
      </c>
      <c r="AC417">
        <f>IF(OR(W417="H",W417="B"),INDEX(AllCollegeSAT25, MATCH(N417,AllCollegeNCES,0)),INDEX(AllCollegeSAT50, MATCH(N417,AllCollegeNCES,0)))</f>
        <v>0</v>
      </c>
      <c r="AD417">
        <f>INDEX(CustomWeightsGPA,MATCH(W417&amp;":"&amp;N417,CustomWeightsIndex,0))</f>
        <v>0</v>
      </c>
      <c r="AE417">
        <f>INDEX(CustomWeightsSAT,MATCH(W417&amp;":"&amp;N417,CustomWeightsIndex,0))</f>
        <v>0</v>
      </c>
      <c r="AF417">
        <f>INDEX(CustomWeightsIntercept,MATCH(W417&amp;":"&amp;N417,CustomWeightsIndex,0))</f>
        <v>0</v>
      </c>
      <c r="AG417">
        <f>AD417*S417+AE417*T417+AF417</f>
        <v>0</v>
      </c>
      <c r="AH417">
        <f>INDEX(CoefficientsGPA,MATCH(W417&amp;":"&amp;R417,CoefficientsIndex,0))</f>
        <v>0</v>
      </c>
      <c r="AI417">
        <f>INDEX(CoefficientsSAT,MATCH(W417&amp;":"&amp;R417,CoefficientsIndex,0))</f>
        <v>0</v>
      </c>
      <c r="AJ417">
        <f>INDEX(CoefficientsIntercept,MATCH(W417&amp;":"&amp;R417,CoefficientsIndex,0))</f>
        <v>0</v>
      </c>
      <c r="AK417">
        <f>AH417*S417+(T417-AC417)*AI417+AJ417</f>
        <v>0</v>
      </c>
      <c r="AL417">
        <f>IF(ISNUMBER(AG417),AG417,AK417)</f>
        <v>0</v>
      </c>
      <c r="AM417">
        <f>IF(ISNUMBER(AL417),IF(ISNUMBER(AH417),IF(AND(AH417=1,AI417=1,AJ417=1),100,MIN(99,ROUND(100*EXP(AL417)/(1+EXP(AL417)),2))),MIN(99,ROUND(100*EXP(AL417)/(1+EXP(AL417)),2))),IF(ISTEXT(R417),IF(LEFT(R417,1)="2",100,"N/A"),"N/A"))</f>
        <v>0</v>
      </c>
      <c r="AN417">
        <f>IF(ISNUMBER(AM417),IF(AM417&gt;=99,IF(OR(U417=10,U417=11),MatchLabel,SureThingLabel),IF(AM417&gt;=95,SecureLabel,IF(AM417&gt;=80,SafetyLabel,IF(AM417&gt;=50,MatchLabel,IF(AM417&gt;=20,ReachLabel,IF(AM417&gt;=10,LongshotLabel,HailMaryLabel)))))),"Other")</f>
        <v>0</v>
      </c>
      <c r="AO417">
        <f>IF(OR(I417="accepted",I417="cond. accept",I417="summer admit"),IF(J417="yes","CHOICE!","Accepted!"),IF(I417="guar. transfer","Guar. Xfer",IF(I417="denied","Denied",IF(K417=1,"Waitlist",IF(L417=1,"Deferred",IF(G417="pending","Pending",IF(OR(G417="initial materials submitted",G417="mid-year submitted",G417="final submitted"),"Submitted",IF(H417="interest","Interest","?"))))))))</f>
        <v>0</v>
      </c>
      <c r="AP417">
        <f>IF(OR(AN417=ReachLabel,AN417=LongshotLabel,AN417=HailMaryLabel),1,0)</f>
        <v>0</v>
      </c>
      <c r="AQ417">
        <f>IF(OR(AP417=1,AN417=MatchLabel),1,0)</f>
        <v>0</v>
      </c>
      <c r="AR417">
        <f>IF(OR(AN417=MatchLabel,AN417=SafetyLabel,AN417=SecureLabel,AN417=SureThingLabel),1,0)</f>
        <v>0</v>
      </c>
      <c r="AS417">
        <f>IF(OR(W417="H",W417="B",W417="I",W417="M"),IF(ISNUMBER(AB417),ROUND(AB417,2),0),IF(ISNUMBER(AA417),ROUND(AA417,2),0))</f>
        <v>0</v>
      </c>
      <c r="AT417">
        <f>IF(AS417&gt;=X417,1,0)</f>
        <v>0</v>
      </c>
      <c r="AU417">
        <f>IF(AS417&gt;=Y417,1,0)</f>
        <v>0</v>
      </c>
      <c r="AV417">
        <f>IF(AS417&lt;(X417-0.10),1,0)</f>
        <v>0</v>
      </c>
      <c r="AW417">
        <f>1-AM417/100</f>
        <v>0</v>
      </c>
      <c r="AX417">
        <f>IF(AQ417=1,AW417,1)</f>
        <v>0</v>
      </c>
      <c r="AY417">
        <f>IF(AP417=1,AW417,1)</f>
        <v>0</v>
      </c>
      <c r="AZ417">
        <f>IF(AND(AT417=1,ISNUMBER(AW417)),$AW417,1)</f>
        <v>0</v>
      </c>
      <c r="BA417">
        <f>IF(AND(AU417=1,ISNUMBER(AW417)),$AW417,1)</f>
        <v>0</v>
      </c>
      <c r="BB417">
        <f>IF(ISNUMBER(AB417),INDEX(AllCollegeMoney, MATCH(N417,AllCollegeNCES,0)),0)</f>
        <v>0</v>
      </c>
      <c r="BC417">
        <f>IF(AND(AT417=1,ISNUMBER(AW417),BB417=1),$AW417,1)</f>
        <v>0</v>
      </c>
      <c r="BD417">
        <f>IF(AND(AU417=1,ISNUMBER(AW417),BB417=1),$AW417,1)</f>
        <v>0</v>
      </c>
      <c r="BE417">
        <f>IF(ISNUMBER(AB417),INDEX(AllCollegeILPub, MATCH(N417,AllCollegeNCES,0)),0)</f>
        <v>0</v>
      </c>
      <c r="BF417">
        <f>IF(AN417=ReachLabel,AS417,0)</f>
        <v>0</v>
      </c>
      <c r="BG417">
        <f>IF(AN417=MatchLabel,AS417,0)</f>
        <v>0</v>
      </c>
      <c r="BH417">
        <f>IF(AN417=SafetyLabel,AS417,0)</f>
        <v>0</v>
      </c>
      <c r="BI417">
        <f>IF(AN417=SecureLabel,AS417,0)</f>
        <v>0</v>
      </c>
      <c r="BJ417">
        <f>IF(AN417=SureThingLabel,AS417,0)</f>
        <v>0</v>
      </c>
      <c r="BK417">
        <f>MAX(BF417:BJ417)</f>
        <v>0</v>
      </c>
      <c r="BL417">
        <f>MAX(BG417:BJ417)</f>
        <v>0</v>
      </c>
      <c r="BM417">
        <f>MAX(BH417:BJ417)</f>
        <v>0</v>
      </c>
      <c r="BN417">
        <f>IF(AND(AN417=ReachLabel,BB417=1),AS417,0)</f>
        <v>0</v>
      </c>
      <c r="BO417">
        <f>IF(AND(AN417=MatchLabel,BB417=1),AS417,0)</f>
        <v>0</v>
      </c>
      <c r="BP417">
        <f>IF(AND(AN417=SafetyLabel,BB417=1),AS417,0)</f>
        <v>0</v>
      </c>
      <c r="BQ417">
        <f>IF(AND(AN417=SecureLabel,BB417=1),AS417,0)</f>
        <v>0</v>
      </c>
      <c r="BR417">
        <f>IF(AND(AN417=SureThingLabel,BB417=1),AS417,0)</f>
        <v>0</v>
      </c>
      <c r="BS417">
        <f>MAX(BN417:BR417)</f>
        <v>0</v>
      </c>
      <c r="BT417">
        <f>MAX(BO417:BR417)</f>
        <v>0</v>
      </c>
      <c r="BU417">
        <f>MAX(BP417:BR417)</f>
        <v>0</v>
      </c>
      <c r="BV417">
        <f>IF(ISNUMBER(AB417),INDEX(AllCollegeChicago, MATCH(N417,AllCollegeNCES,0))*BB417,0)</f>
        <v>0</v>
      </c>
      <c r="BW417">
        <f>IF(ISNUMBER(AB417),INDEX(AllCollegeMoneyCode, MATCH(N417,AllCollegeNCES,0)),"?")</f>
        <v>0</v>
      </c>
      <c r="BX417">
        <f>IF(OR(BW417="---",BW417="--",BW417="+/--",BW417="+/---"),1,0)</f>
        <v>0</v>
      </c>
      <c r="BY417">
        <f>BB417*AR417*AT417</f>
        <v>0</v>
      </c>
    </row>
    <row r="418" spans="1:77">
      <c r="A418" t="s">
        <v>96</v>
      </c>
      <c r="B418">
        <v>23395591</v>
      </c>
      <c r="C418" t="s">
        <v>285</v>
      </c>
      <c r="D418" t="s">
        <v>286</v>
      </c>
      <c r="E418" t="s">
        <v>446</v>
      </c>
      <c r="F418" t="s">
        <v>561</v>
      </c>
      <c r="G418" t="s">
        <v>543</v>
      </c>
      <c r="H418" t="s">
        <v>543</v>
      </c>
      <c r="I418" t="s">
        <v>544</v>
      </c>
      <c r="J418" t="s">
        <v>446</v>
      </c>
      <c r="K418" t="s">
        <v>446</v>
      </c>
      <c r="L418" t="s">
        <v>446</v>
      </c>
      <c r="M418" t="s">
        <v>446</v>
      </c>
      <c r="N418">
        <v>100000001</v>
      </c>
      <c r="O418">
        <f>INDEX(Counselor,MATCH(B418,KidIDs,0))</f>
        <v>0</v>
      </c>
      <c r="P418">
        <f>INDEX(Advisors,MATCH(B418,KidIDs,0))</f>
        <v>0</v>
      </c>
      <c r="Q418">
        <f>INDEX(Cohort,MATCH(B418,KidIDs,0))</f>
        <v>0</v>
      </c>
      <c r="R418">
        <f>INDEX(AllCollegeBarrons,MATCH(N418,AllCollegeNCES,0))</f>
        <v>0</v>
      </c>
      <c r="S418">
        <f>INDEX(KidGPAs,MATCH(B418,KidIDs,0))</f>
        <v>0</v>
      </c>
      <c r="T418">
        <f>INDEX(KidSATs,MATCH(B418,KidIDs,0))</f>
        <v>0</v>
      </c>
      <c r="U418">
        <f>INDEX(Strats,MATCH(B418,KidIDs,0))</f>
        <v>0</v>
      </c>
      <c r="V418">
        <f>INDEX(KidRace,MATCH(B418,KidIDs,0))</f>
        <v>0</v>
      </c>
      <c r="W418">
        <f>IF(OR(V418="M",V418="I"),"H",IF(V418="P","A",V418))</f>
        <v>0</v>
      </c>
      <c r="X418">
        <f>INDEX(StudentTargets,MATCH(B418,KidIDs,0))</f>
        <v>0</v>
      </c>
      <c r="Y418">
        <f>INDEX(ReachStudentTargets,MATCH(B418,KidIDs,0))</f>
        <v>0</v>
      </c>
      <c r="Z418">
        <f>IF(OR(M418="Posse"),1,0)</f>
        <v>0</v>
      </c>
      <c r="AA418">
        <f>IF(ISNUMBER(INDEX(AllCollegeGR, MATCH(N418,AllCollegeNCES,0))),ROUND(INDEX(AllCollegeGR, MATCH(N418,AllCollegeNCES,0))+Z418*IF(INDEX(AllCollegeGR, MATCH(N418,AllCollegeNCES,0))&gt;0.7,(1-INDEX(AllCollegeGR, MATCH(N418,AllCollegeNCES,0)))/2,0.15),2),INDEX(AllCollegeGR, MATCH(N418,AllCollegeNCES,0)))</f>
        <v>0</v>
      </c>
      <c r="AB418">
        <f>IF(ISNUMBER(INDEX(AllCollegeAAHGR, MATCH(N418,AllCollegeNCES,0))),ROUND(INDEX(AllCollegeAAHGR, MATCH(N418,AllCollegeNCES,0))+Z418*IF(INDEX(AllCollegeAAHGR, MATCH(N418,AllCollegeNCES,0))&gt;0.7,(1-INDEX(AllCollegeAAHGR, MATCH(N418,AllCollegeNCES,0)))/2,0.15),2),INDEX(AllCollegeAAHGR, MATCH(N418,AllCollegeNCES,0)))</f>
        <v>0</v>
      </c>
      <c r="AC418">
        <f>IF(OR(W418="H",W418="B"),INDEX(AllCollegeSAT25, MATCH(N418,AllCollegeNCES,0)),INDEX(AllCollegeSAT50, MATCH(N418,AllCollegeNCES,0)))</f>
        <v>0</v>
      </c>
      <c r="AD418">
        <f>INDEX(CustomWeightsGPA,MATCH(W418&amp;":"&amp;N418,CustomWeightsIndex,0))</f>
        <v>0</v>
      </c>
      <c r="AE418">
        <f>INDEX(CustomWeightsSAT,MATCH(W418&amp;":"&amp;N418,CustomWeightsIndex,0))</f>
        <v>0</v>
      </c>
      <c r="AF418">
        <f>INDEX(CustomWeightsIntercept,MATCH(W418&amp;":"&amp;N418,CustomWeightsIndex,0))</f>
        <v>0</v>
      </c>
      <c r="AG418">
        <f>AD418*S418+AE418*T418+AF418</f>
        <v>0</v>
      </c>
      <c r="AH418">
        <f>INDEX(CoefficientsGPA,MATCH(W418&amp;":"&amp;R418,CoefficientsIndex,0))</f>
        <v>0</v>
      </c>
      <c r="AI418">
        <f>INDEX(CoefficientsSAT,MATCH(W418&amp;":"&amp;R418,CoefficientsIndex,0))</f>
        <v>0</v>
      </c>
      <c r="AJ418">
        <f>INDEX(CoefficientsIntercept,MATCH(W418&amp;":"&amp;R418,CoefficientsIndex,0))</f>
        <v>0</v>
      </c>
      <c r="AK418">
        <f>AH418*S418+(T418-AC418)*AI418+AJ418</f>
        <v>0</v>
      </c>
      <c r="AL418">
        <f>IF(ISNUMBER(AG418),AG418,AK418)</f>
        <v>0</v>
      </c>
      <c r="AM418">
        <f>IF(ISNUMBER(AL418),IF(ISNUMBER(AH418),IF(AND(AH418=1,AI418=1,AJ418=1),100,MIN(99,ROUND(100*EXP(AL418)/(1+EXP(AL418)),2))),MIN(99,ROUND(100*EXP(AL418)/(1+EXP(AL418)),2))),IF(ISTEXT(R418),IF(LEFT(R418,1)="2",100,"N/A"),"N/A"))</f>
        <v>0</v>
      </c>
      <c r="AN418">
        <f>IF(ISNUMBER(AM418),IF(AM418&gt;=99,IF(OR(U418=10,U418=11),MatchLabel,SureThingLabel),IF(AM418&gt;=95,SecureLabel,IF(AM418&gt;=80,SafetyLabel,IF(AM418&gt;=50,MatchLabel,IF(AM418&gt;=20,ReachLabel,IF(AM418&gt;=10,LongshotLabel,HailMaryLabel)))))),"Other")</f>
        <v>0</v>
      </c>
      <c r="AO418">
        <f>IF(OR(I418="accepted",I418="cond. accept",I418="summer admit"),IF(J418="yes","CHOICE!","Accepted!"),IF(I418="guar. transfer","Guar. Xfer",IF(I418="denied","Denied",IF(K418=1,"Waitlist",IF(L418=1,"Deferred",IF(G418="pending","Pending",IF(OR(G418="initial materials submitted",G418="mid-year submitted",G418="final submitted"),"Submitted",IF(H418="interest","Interest","?"))))))))</f>
        <v>0</v>
      </c>
      <c r="AP418">
        <f>IF(OR(AN418=ReachLabel,AN418=LongshotLabel,AN418=HailMaryLabel),1,0)</f>
        <v>0</v>
      </c>
      <c r="AQ418">
        <f>IF(OR(AP418=1,AN418=MatchLabel),1,0)</f>
        <v>0</v>
      </c>
      <c r="AR418">
        <f>IF(OR(AN418=MatchLabel,AN418=SafetyLabel,AN418=SecureLabel,AN418=SureThingLabel),1,0)</f>
        <v>0</v>
      </c>
      <c r="AS418">
        <f>IF(OR(W418="H",W418="B",W418="I",W418="M"),IF(ISNUMBER(AB418),ROUND(AB418,2),0),IF(ISNUMBER(AA418),ROUND(AA418,2),0))</f>
        <v>0</v>
      </c>
      <c r="AT418">
        <f>IF(AS418&gt;=X418,1,0)</f>
        <v>0</v>
      </c>
      <c r="AU418">
        <f>IF(AS418&gt;=Y418,1,0)</f>
        <v>0</v>
      </c>
      <c r="AV418">
        <f>IF(AS418&lt;(X418-0.10),1,0)</f>
        <v>0</v>
      </c>
      <c r="AW418">
        <f>1-AM418/100</f>
        <v>0</v>
      </c>
      <c r="AX418">
        <f>IF(AQ418=1,AW418,1)</f>
        <v>0</v>
      </c>
      <c r="AY418">
        <f>IF(AP418=1,AW418,1)</f>
        <v>0</v>
      </c>
      <c r="AZ418">
        <f>IF(AND(AT418=1,ISNUMBER(AW418)),$AW418,1)</f>
        <v>0</v>
      </c>
      <c r="BA418">
        <f>IF(AND(AU418=1,ISNUMBER(AW418)),$AW418,1)</f>
        <v>0</v>
      </c>
      <c r="BB418">
        <f>IF(ISNUMBER(AB418),INDEX(AllCollegeMoney, MATCH(N418,AllCollegeNCES,0)),0)</f>
        <v>0</v>
      </c>
      <c r="BC418">
        <f>IF(AND(AT418=1,ISNUMBER(AW418),BB418=1),$AW418,1)</f>
        <v>0</v>
      </c>
      <c r="BD418">
        <f>IF(AND(AU418=1,ISNUMBER(AW418),BB418=1),$AW418,1)</f>
        <v>0</v>
      </c>
      <c r="BE418">
        <f>IF(ISNUMBER(AB418),INDEX(AllCollegeILPub, MATCH(N418,AllCollegeNCES,0)),0)</f>
        <v>0</v>
      </c>
      <c r="BF418">
        <f>IF(AN418=ReachLabel,AS418,0)</f>
        <v>0</v>
      </c>
      <c r="BG418">
        <f>IF(AN418=MatchLabel,AS418,0)</f>
        <v>0</v>
      </c>
      <c r="BH418">
        <f>IF(AN418=SafetyLabel,AS418,0)</f>
        <v>0</v>
      </c>
      <c r="BI418">
        <f>IF(AN418=SecureLabel,AS418,0)</f>
        <v>0</v>
      </c>
      <c r="BJ418">
        <f>IF(AN418=SureThingLabel,AS418,0)</f>
        <v>0</v>
      </c>
      <c r="BK418">
        <f>MAX(BF418:BJ418)</f>
        <v>0</v>
      </c>
      <c r="BL418">
        <f>MAX(BG418:BJ418)</f>
        <v>0</v>
      </c>
      <c r="BM418">
        <f>MAX(BH418:BJ418)</f>
        <v>0</v>
      </c>
      <c r="BN418">
        <f>IF(AND(AN418=ReachLabel,BB418=1),AS418,0)</f>
        <v>0</v>
      </c>
      <c r="BO418">
        <f>IF(AND(AN418=MatchLabel,BB418=1),AS418,0)</f>
        <v>0</v>
      </c>
      <c r="BP418">
        <f>IF(AND(AN418=SafetyLabel,BB418=1),AS418,0)</f>
        <v>0</v>
      </c>
      <c r="BQ418">
        <f>IF(AND(AN418=SecureLabel,BB418=1),AS418,0)</f>
        <v>0</v>
      </c>
      <c r="BR418">
        <f>IF(AND(AN418=SureThingLabel,BB418=1),AS418,0)</f>
        <v>0</v>
      </c>
      <c r="BS418">
        <f>MAX(BN418:BR418)</f>
        <v>0</v>
      </c>
      <c r="BT418">
        <f>MAX(BO418:BR418)</f>
        <v>0</v>
      </c>
      <c r="BU418">
        <f>MAX(BP418:BR418)</f>
        <v>0</v>
      </c>
      <c r="BV418">
        <f>IF(ISNUMBER(AB418),INDEX(AllCollegeChicago, MATCH(N418,AllCollegeNCES,0))*BB418,0)</f>
        <v>0</v>
      </c>
      <c r="BW418">
        <f>IF(ISNUMBER(AB418),INDEX(AllCollegeMoneyCode, MATCH(N418,AllCollegeNCES,0)),"?")</f>
        <v>0</v>
      </c>
      <c r="BX418">
        <f>IF(OR(BW418="---",BW418="--",BW418="+/--",BW418="+/---"),1,0)</f>
        <v>0</v>
      </c>
      <c r="BY418">
        <f>BB418*AR418*AT418</f>
        <v>0</v>
      </c>
    </row>
    <row r="419" spans="1:77">
      <c r="A419" t="s">
        <v>96</v>
      </c>
      <c r="B419">
        <v>23395591</v>
      </c>
      <c r="C419" t="s">
        <v>285</v>
      </c>
      <c r="D419" t="s">
        <v>286</v>
      </c>
      <c r="E419" t="s">
        <v>446</v>
      </c>
      <c r="F419" t="s">
        <v>562</v>
      </c>
      <c r="G419" t="s">
        <v>448</v>
      </c>
      <c r="H419" t="s">
        <v>449</v>
      </c>
      <c r="I419" t="s">
        <v>450</v>
      </c>
      <c r="J419" t="s">
        <v>450</v>
      </c>
      <c r="K419">
        <v>0</v>
      </c>
      <c r="L419" t="s">
        <v>446</v>
      </c>
      <c r="M419" t="s">
        <v>446</v>
      </c>
      <c r="N419">
        <v>144281</v>
      </c>
      <c r="O419">
        <f>INDEX(Counselor,MATCH(B419,KidIDs,0))</f>
        <v>0</v>
      </c>
      <c r="P419">
        <f>INDEX(Advisors,MATCH(B419,KidIDs,0))</f>
        <v>0</v>
      </c>
      <c r="Q419">
        <f>INDEX(Cohort,MATCH(B419,KidIDs,0))</f>
        <v>0</v>
      </c>
      <c r="R419">
        <f>INDEX(AllCollegeBarrons,MATCH(N419,AllCollegeNCES,0))</f>
        <v>0</v>
      </c>
      <c r="S419">
        <f>INDEX(KidGPAs,MATCH(B419,KidIDs,0))</f>
        <v>0</v>
      </c>
      <c r="T419">
        <f>INDEX(KidSATs,MATCH(B419,KidIDs,0))</f>
        <v>0</v>
      </c>
      <c r="U419">
        <f>INDEX(Strats,MATCH(B419,KidIDs,0))</f>
        <v>0</v>
      </c>
      <c r="V419">
        <f>INDEX(KidRace,MATCH(B419,KidIDs,0))</f>
        <v>0</v>
      </c>
      <c r="W419">
        <f>IF(OR(V419="M",V419="I"),"H",IF(V419="P","A",V419))</f>
        <v>0</v>
      </c>
      <c r="X419">
        <f>INDEX(StudentTargets,MATCH(B419,KidIDs,0))</f>
        <v>0</v>
      </c>
      <c r="Y419">
        <f>INDEX(ReachStudentTargets,MATCH(B419,KidIDs,0))</f>
        <v>0</v>
      </c>
      <c r="Z419">
        <f>IF(OR(M419="Posse"),1,0)</f>
        <v>0</v>
      </c>
      <c r="AA419">
        <f>IF(ISNUMBER(INDEX(AllCollegeGR, MATCH(N419,AllCollegeNCES,0))),ROUND(INDEX(AllCollegeGR, MATCH(N419,AllCollegeNCES,0))+Z419*IF(INDEX(AllCollegeGR, MATCH(N419,AllCollegeNCES,0))&gt;0.7,(1-INDEX(AllCollegeGR, MATCH(N419,AllCollegeNCES,0)))/2,0.15),2),INDEX(AllCollegeGR, MATCH(N419,AllCollegeNCES,0)))</f>
        <v>0</v>
      </c>
      <c r="AB419">
        <f>IF(ISNUMBER(INDEX(AllCollegeAAHGR, MATCH(N419,AllCollegeNCES,0))),ROUND(INDEX(AllCollegeAAHGR, MATCH(N419,AllCollegeNCES,0))+Z419*IF(INDEX(AllCollegeAAHGR, MATCH(N419,AllCollegeNCES,0))&gt;0.7,(1-INDEX(AllCollegeAAHGR, MATCH(N419,AllCollegeNCES,0)))/2,0.15),2),INDEX(AllCollegeAAHGR, MATCH(N419,AllCollegeNCES,0)))</f>
        <v>0</v>
      </c>
      <c r="AC419">
        <f>IF(OR(W419="H",W419="B"),INDEX(AllCollegeSAT25, MATCH(N419,AllCollegeNCES,0)),INDEX(AllCollegeSAT50, MATCH(N419,AllCollegeNCES,0)))</f>
        <v>0</v>
      </c>
      <c r="AD419">
        <f>INDEX(CustomWeightsGPA,MATCH(W419&amp;":"&amp;N419,CustomWeightsIndex,0))</f>
        <v>0</v>
      </c>
      <c r="AE419">
        <f>INDEX(CustomWeightsSAT,MATCH(W419&amp;":"&amp;N419,CustomWeightsIndex,0))</f>
        <v>0</v>
      </c>
      <c r="AF419">
        <f>INDEX(CustomWeightsIntercept,MATCH(W419&amp;":"&amp;N419,CustomWeightsIndex,0))</f>
        <v>0</v>
      </c>
      <c r="AG419">
        <f>AD419*S419+AE419*T419+AF419</f>
        <v>0</v>
      </c>
      <c r="AH419">
        <f>INDEX(CoefficientsGPA,MATCH(W419&amp;":"&amp;R419,CoefficientsIndex,0))</f>
        <v>0</v>
      </c>
      <c r="AI419">
        <f>INDEX(CoefficientsSAT,MATCH(W419&amp;":"&amp;R419,CoefficientsIndex,0))</f>
        <v>0</v>
      </c>
      <c r="AJ419">
        <f>INDEX(CoefficientsIntercept,MATCH(W419&amp;":"&amp;R419,CoefficientsIndex,0))</f>
        <v>0</v>
      </c>
      <c r="AK419">
        <f>AH419*S419+(T419-AC419)*AI419+AJ419</f>
        <v>0</v>
      </c>
      <c r="AL419">
        <f>IF(ISNUMBER(AG419),AG419,AK419)</f>
        <v>0</v>
      </c>
      <c r="AM419">
        <f>IF(ISNUMBER(AL419),IF(ISNUMBER(AH419),IF(AND(AH419=1,AI419=1,AJ419=1),100,MIN(99,ROUND(100*EXP(AL419)/(1+EXP(AL419)),2))),MIN(99,ROUND(100*EXP(AL419)/(1+EXP(AL419)),2))),IF(ISTEXT(R419),IF(LEFT(R419,1)="2",100,"N/A"),"N/A"))</f>
        <v>0</v>
      </c>
      <c r="AN419">
        <f>IF(ISNUMBER(AM419),IF(AM419&gt;=99,IF(OR(U419=10,U419=11),MatchLabel,SureThingLabel),IF(AM419&gt;=95,SecureLabel,IF(AM419&gt;=80,SafetyLabel,IF(AM419&gt;=50,MatchLabel,IF(AM419&gt;=20,ReachLabel,IF(AM419&gt;=10,LongshotLabel,HailMaryLabel)))))),"Other")</f>
        <v>0</v>
      </c>
      <c r="AO419">
        <f>IF(OR(I419="accepted",I419="cond. accept",I419="summer admit"),IF(J419="yes","CHOICE!","Accepted!"),IF(I419="guar. transfer","Guar. Xfer",IF(I419="denied","Denied",IF(K419=1,"Waitlist",IF(L419=1,"Deferred",IF(G419="pending","Pending",IF(OR(G419="initial materials submitted",G419="mid-year submitted",G419="final submitted"),"Submitted",IF(H419="interest","Interest","?"))))))))</f>
        <v>0</v>
      </c>
      <c r="AP419">
        <f>IF(OR(AN419=ReachLabel,AN419=LongshotLabel,AN419=HailMaryLabel),1,0)</f>
        <v>0</v>
      </c>
      <c r="AQ419">
        <f>IF(OR(AP419=1,AN419=MatchLabel),1,0)</f>
        <v>0</v>
      </c>
      <c r="AR419">
        <f>IF(OR(AN419=MatchLabel,AN419=SafetyLabel,AN419=SecureLabel,AN419=SureThingLabel),1,0)</f>
        <v>0</v>
      </c>
      <c r="AS419">
        <f>IF(OR(W419="H",W419="B",W419="I",W419="M"),IF(ISNUMBER(AB419),ROUND(AB419,2),0),IF(ISNUMBER(AA419),ROUND(AA419,2),0))</f>
        <v>0</v>
      </c>
      <c r="AT419">
        <f>IF(AS419&gt;=X419,1,0)</f>
        <v>0</v>
      </c>
      <c r="AU419">
        <f>IF(AS419&gt;=Y419,1,0)</f>
        <v>0</v>
      </c>
      <c r="AV419">
        <f>IF(AS419&lt;(X419-0.10),1,0)</f>
        <v>0</v>
      </c>
      <c r="AW419">
        <f>1-AM419/100</f>
        <v>0</v>
      </c>
      <c r="AX419">
        <f>IF(AQ419=1,AW419,1)</f>
        <v>0</v>
      </c>
      <c r="AY419">
        <f>IF(AP419=1,AW419,1)</f>
        <v>0</v>
      </c>
      <c r="AZ419">
        <f>IF(AND(AT419=1,ISNUMBER(AW419)),$AW419,1)</f>
        <v>0</v>
      </c>
      <c r="BA419">
        <f>IF(AND(AU419=1,ISNUMBER(AW419)),$AW419,1)</f>
        <v>0</v>
      </c>
      <c r="BB419">
        <f>IF(ISNUMBER(AB419),INDEX(AllCollegeMoney, MATCH(N419,AllCollegeNCES,0)),0)</f>
        <v>0</v>
      </c>
      <c r="BC419">
        <f>IF(AND(AT419=1,ISNUMBER(AW419),BB419=1),$AW419,1)</f>
        <v>0</v>
      </c>
      <c r="BD419">
        <f>IF(AND(AU419=1,ISNUMBER(AW419),BB419=1),$AW419,1)</f>
        <v>0</v>
      </c>
      <c r="BE419">
        <f>IF(ISNUMBER(AB419),INDEX(AllCollegeILPub, MATCH(N419,AllCollegeNCES,0)),0)</f>
        <v>0</v>
      </c>
      <c r="BF419">
        <f>IF(AN419=ReachLabel,AS419,0)</f>
        <v>0</v>
      </c>
      <c r="BG419">
        <f>IF(AN419=MatchLabel,AS419,0)</f>
        <v>0</v>
      </c>
      <c r="BH419">
        <f>IF(AN419=SafetyLabel,AS419,0)</f>
        <v>0</v>
      </c>
      <c r="BI419">
        <f>IF(AN419=SecureLabel,AS419,0)</f>
        <v>0</v>
      </c>
      <c r="BJ419">
        <f>IF(AN419=SureThingLabel,AS419,0)</f>
        <v>0</v>
      </c>
      <c r="BK419">
        <f>MAX(BF419:BJ419)</f>
        <v>0</v>
      </c>
      <c r="BL419">
        <f>MAX(BG419:BJ419)</f>
        <v>0</v>
      </c>
      <c r="BM419">
        <f>MAX(BH419:BJ419)</f>
        <v>0</v>
      </c>
      <c r="BN419">
        <f>IF(AND(AN419=ReachLabel,BB419=1),AS419,0)</f>
        <v>0</v>
      </c>
      <c r="BO419">
        <f>IF(AND(AN419=MatchLabel,BB419=1),AS419,0)</f>
        <v>0</v>
      </c>
      <c r="BP419">
        <f>IF(AND(AN419=SafetyLabel,BB419=1),AS419,0)</f>
        <v>0</v>
      </c>
      <c r="BQ419">
        <f>IF(AND(AN419=SecureLabel,BB419=1),AS419,0)</f>
        <v>0</v>
      </c>
      <c r="BR419">
        <f>IF(AND(AN419=SureThingLabel,BB419=1),AS419,0)</f>
        <v>0</v>
      </c>
      <c r="BS419">
        <f>MAX(BN419:BR419)</f>
        <v>0</v>
      </c>
      <c r="BT419">
        <f>MAX(BO419:BR419)</f>
        <v>0</v>
      </c>
      <c r="BU419">
        <f>MAX(BP419:BR419)</f>
        <v>0</v>
      </c>
      <c r="BV419">
        <f>IF(ISNUMBER(AB419),INDEX(AllCollegeChicago, MATCH(N419,AllCollegeNCES,0))*BB419,0)</f>
        <v>0</v>
      </c>
      <c r="BW419">
        <f>IF(ISNUMBER(AB419),INDEX(AllCollegeMoneyCode, MATCH(N419,AllCollegeNCES,0)),"?")</f>
        <v>0</v>
      </c>
      <c r="BX419">
        <f>IF(OR(BW419="---",BW419="--",BW419="+/--",BW419="+/---"),1,0)</f>
        <v>0</v>
      </c>
      <c r="BY419">
        <f>BB419*AR419*AT419</f>
        <v>0</v>
      </c>
    </row>
    <row r="420" spans="1:77">
      <c r="A420" t="s">
        <v>96</v>
      </c>
      <c r="B420">
        <v>23395591</v>
      </c>
      <c r="C420" t="s">
        <v>285</v>
      </c>
      <c r="D420" t="s">
        <v>286</v>
      </c>
      <c r="E420" t="s">
        <v>446</v>
      </c>
      <c r="F420" t="s">
        <v>563</v>
      </c>
      <c r="G420" t="s">
        <v>543</v>
      </c>
      <c r="H420" t="s">
        <v>543</v>
      </c>
      <c r="I420" t="s">
        <v>544</v>
      </c>
      <c r="J420" t="s">
        <v>446</v>
      </c>
      <c r="K420" t="s">
        <v>446</v>
      </c>
      <c r="L420" t="s">
        <v>446</v>
      </c>
      <c r="M420" t="s">
        <v>446</v>
      </c>
      <c r="N420">
        <v>148487</v>
      </c>
      <c r="O420">
        <f>INDEX(Counselor,MATCH(B420,KidIDs,0))</f>
        <v>0</v>
      </c>
      <c r="P420">
        <f>INDEX(Advisors,MATCH(B420,KidIDs,0))</f>
        <v>0</v>
      </c>
      <c r="Q420">
        <f>INDEX(Cohort,MATCH(B420,KidIDs,0))</f>
        <v>0</v>
      </c>
      <c r="R420">
        <f>INDEX(AllCollegeBarrons,MATCH(N420,AllCollegeNCES,0))</f>
        <v>0</v>
      </c>
      <c r="S420">
        <f>INDEX(KidGPAs,MATCH(B420,KidIDs,0))</f>
        <v>0</v>
      </c>
      <c r="T420">
        <f>INDEX(KidSATs,MATCH(B420,KidIDs,0))</f>
        <v>0</v>
      </c>
      <c r="U420">
        <f>INDEX(Strats,MATCH(B420,KidIDs,0))</f>
        <v>0</v>
      </c>
      <c r="V420">
        <f>INDEX(KidRace,MATCH(B420,KidIDs,0))</f>
        <v>0</v>
      </c>
      <c r="W420">
        <f>IF(OR(V420="M",V420="I"),"H",IF(V420="P","A",V420))</f>
        <v>0</v>
      </c>
      <c r="X420">
        <f>INDEX(StudentTargets,MATCH(B420,KidIDs,0))</f>
        <v>0</v>
      </c>
      <c r="Y420">
        <f>INDEX(ReachStudentTargets,MATCH(B420,KidIDs,0))</f>
        <v>0</v>
      </c>
      <c r="Z420">
        <f>IF(OR(M420="Posse"),1,0)</f>
        <v>0</v>
      </c>
      <c r="AA420">
        <f>IF(ISNUMBER(INDEX(AllCollegeGR, MATCH(N420,AllCollegeNCES,0))),ROUND(INDEX(AllCollegeGR, MATCH(N420,AllCollegeNCES,0))+Z420*IF(INDEX(AllCollegeGR, MATCH(N420,AllCollegeNCES,0))&gt;0.7,(1-INDEX(AllCollegeGR, MATCH(N420,AllCollegeNCES,0)))/2,0.15),2),INDEX(AllCollegeGR, MATCH(N420,AllCollegeNCES,0)))</f>
        <v>0</v>
      </c>
      <c r="AB420">
        <f>IF(ISNUMBER(INDEX(AllCollegeAAHGR, MATCH(N420,AllCollegeNCES,0))),ROUND(INDEX(AllCollegeAAHGR, MATCH(N420,AllCollegeNCES,0))+Z420*IF(INDEX(AllCollegeAAHGR, MATCH(N420,AllCollegeNCES,0))&gt;0.7,(1-INDEX(AllCollegeAAHGR, MATCH(N420,AllCollegeNCES,0)))/2,0.15),2),INDEX(AllCollegeAAHGR, MATCH(N420,AllCollegeNCES,0)))</f>
        <v>0</v>
      </c>
      <c r="AC420">
        <f>IF(OR(W420="H",W420="B"),INDEX(AllCollegeSAT25, MATCH(N420,AllCollegeNCES,0)),INDEX(AllCollegeSAT50, MATCH(N420,AllCollegeNCES,0)))</f>
        <v>0</v>
      </c>
      <c r="AD420">
        <f>INDEX(CustomWeightsGPA,MATCH(W420&amp;":"&amp;N420,CustomWeightsIndex,0))</f>
        <v>0</v>
      </c>
      <c r="AE420">
        <f>INDEX(CustomWeightsSAT,MATCH(W420&amp;":"&amp;N420,CustomWeightsIndex,0))</f>
        <v>0</v>
      </c>
      <c r="AF420">
        <f>INDEX(CustomWeightsIntercept,MATCH(W420&amp;":"&amp;N420,CustomWeightsIndex,0))</f>
        <v>0</v>
      </c>
      <c r="AG420">
        <f>AD420*S420+AE420*T420+AF420</f>
        <v>0</v>
      </c>
      <c r="AH420">
        <f>INDEX(CoefficientsGPA,MATCH(W420&amp;":"&amp;R420,CoefficientsIndex,0))</f>
        <v>0</v>
      </c>
      <c r="AI420">
        <f>INDEX(CoefficientsSAT,MATCH(W420&amp;":"&amp;R420,CoefficientsIndex,0))</f>
        <v>0</v>
      </c>
      <c r="AJ420">
        <f>INDEX(CoefficientsIntercept,MATCH(W420&amp;":"&amp;R420,CoefficientsIndex,0))</f>
        <v>0</v>
      </c>
      <c r="AK420">
        <f>AH420*S420+(T420-AC420)*AI420+AJ420</f>
        <v>0</v>
      </c>
      <c r="AL420">
        <f>IF(ISNUMBER(AG420),AG420,AK420)</f>
        <v>0</v>
      </c>
      <c r="AM420">
        <f>IF(ISNUMBER(AL420),IF(ISNUMBER(AH420),IF(AND(AH420=1,AI420=1,AJ420=1),100,MIN(99,ROUND(100*EXP(AL420)/(1+EXP(AL420)),2))),MIN(99,ROUND(100*EXP(AL420)/(1+EXP(AL420)),2))),IF(ISTEXT(R420),IF(LEFT(R420,1)="2",100,"N/A"),"N/A"))</f>
        <v>0</v>
      </c>
      <c r="AN420">
        <f>IF(ISNUMBER(AM420),IF(AM420&gt;=99,IF(OR(U420=10,U420=11),MatchLabel,SureThingLabel),IF(AM420&gt;=95,SecureLabel,IF(AM420&gt;=80,SafetyLabel,IF(AM420&gt;=50,MatchLabel,IF(AM420&gt;=20,ReachLabel,IF(AM420&gt;=10,LongshotLabel,HailMaryLabel)))))),"Other")</f>
        <v>0</v>
      </c>
      <c r="AO420">
        <f>IF(OR(I420="accepted",I420="cond. accept",I420="summer admit"),IF(J420="yes","CHOICE!","Accepted!"),IF(I420="guar. transfer","Guar. Xfer",IF(I420="denied","Denied",IF(K420=1,"Waitlist",IF(L420=1,"Deferred",IF(G420="pending","Pending",IF(OR(G420="initial materials submitted",G420="mid-year submitted",G420="final submitted"),"Submitted",IF(H420="interest","Interest","?"))))))))</f>
        <v>0</v>
      </c>
      <c r="AP420">
        <f>IF(OR(AN420=ReachLabel,AN420=LongshotLabel,AN420=HailMaryLabel),1,0)</f>
        <v>0</v>
      </c>
      <c r="AQ420">
        <f>IF(OR(AP420=1,AN420=MatchLabel),1,0)</f>
        <v>0</v>
      </c>
      <c r="AR420">
        <f>IF(OR(AN420=MatchLabel,AN420=SafetyLabel,AN420=SecureLabel,AN420=SureThingLabel),1,0)</f>
        <v>0</v>
      </c>
      <c r="AS420">
        <f>IF(OR(W420="H",W420="B",W420="I",W420="M"),IF(ISNUMBER(AB420),ROUND(AB420,2),0),IF(ISNUMBER(AA420),ROUND(AA420,2),0))</f>
        <v>0</v>
      </c>
      <c r="AT420">
        <f>IF(AS420&gt;=X420,1,0)</f>
        <v>0</v>
      </c>
      <c r="AU420">
        <f>IF(AS420&gt;=Y420,1,0)</f>
        <v>0</v>
      </c>
      <c r="AV420">
        <f>IF(AS420&lt;(X420-0.10),1,0)</f>
        <v>0</v>
      </c>
      <c r="AW420">
        <f>1-AM420/100</f>
        <v>0</v>
      </c>
      <c r="AX420">
        <f>IF(AQ420=1,AW420,1)</f>
        <v>0</v>
      </c>
      <c r="AY420">
        <f>IF(AP420=1,AW420,1)</f>
        <v>0</v>
      </c>
      <c r="AZ420">
        <f>IF(AND(AT420=1,ISNUMBER(AW420)),$AW420,1)</f>
        <v>0</v>
      </c>
      <c r="BA420">
        <f>IF(AND(AU420=1,ISNUMBER(AW420)),$AW420,1)</f>
        <v>0</v>
      </c>
      <c r="BB420">
        <f>IF(ISNUMBER(AB420),INDEX(AllCollegeMoney, MATCH(N420,AllCollegeNCES,0)),0)</f>
        <v>0</v>
      </c>
      <c r="BC420">
        <f>IF(AND(AT420=1,ISNUMBER(AW420),BB420=1),$AW420,1)</f>
        <v>0</v>
      </c>
      <c r="BD420">
        <f>IF(AND(AU420=1,ISNUMBER(AW420),BB420=1),$AW420,1)</f>
        <v>0</v>
      </c>
      <c r="BE420">
        <f>IF(ISNUMBER(AB420),INDEX(AllCollegeILPub, MATCH(N420,AllCollegeNCES,0)),0)</f>
        <v>0</v>
      </c>
      <c r="BF420">
        <f>IF(AN420=ReachLabel,AS420,0)</f>
        <v>0</v>
      </c>
      <c r="BG420">
        <f>IF(AN420=MatchLabel,AS420,0)</f>
        <v>0</v>
      </c>
      <c r="BH420">
        <f>IF(AN420=SafetyLabel,AS420,0)</f>
        <v>0</v>
      </c>
      <c r="BI420">
        <f>IF(AN420=SecureLabel,AS420,0)</f>
        <v>0</v>
      </c>
      <c r="BJ420">
        <f>IF(AN420=SureThingLabel,AS420,0)</f>
        <v>0</v>
      </c>
      <c r="BK420">
        <f>MAX(BF420:BJ420)</f>
        <v>0</v>
      </c>
      <c r="BL420">
        <f>MAX(BG420:BJ420)</f>
        <v>0</v>
      </c>
      <c r="BM420">
        <f>MAX(BH420:BJ420)</f>
        <v>0</v>
      </c>
      <c r="BN420">
        <f>IF(AND(AN420=ReachLabel,BB420=1),AS420,0)</f>
        <v>0</v>
      </c>
      <c r="BO420">
        <f>IF(AND(AN420=MatchLabel,BB420=1),AS420,0)</f>
        <v>0</v>
      </c>
      <c r="BP420">
        <f>IF(AND(AN420=SafetyLabel,BB420=1),AS420,0)</f>
        <v>0</v>
      </c>
      <c r="BQ420">
        <f>IF(AND(AN420=SecureLabel,BB420=1),AS420,0)</f>
        <v>0</v>
      </c>
      <c r="BR420">
        <f>IF(AND(AN420=SureThingLabel,BB420=1),AS420,0)</f>
        <v>0</v>
      </c>
      <c r="BS420">
        <f>MAX(BN420:BR420)</f>
        <v>0</v>
      </c>
      <c r="BT420">
        <f>MAX(BO420:BR420)</f>
        <v>0</v>
      </c>
      <c r="BU420">
        <f>MAX(BP420:BR420)</f>
        <v>0</v>
      </c>
      <c r="BV420">
        <f>IF(ISNUMBER(AB420),INDEX(AllCollegeChicago, MATCH(N420,AllCollegeNCES,0))*BB420,0)</f>
        <v>0</v>
      </c>
      <c r="BW420">
        <f>IF(ISNUMBER(AB420),INDEX(AllCollegeMoneyCode, MATCH(N420,AllCollegeNCES,0)),"?")</f>
        <v>0</v>
      </c>
      <c r="BX420">
        <f>IF(OR(BW420="---",BW420="--",BW420="+/--",BW420="+/---"),1,0)</f>
        <v>0</v>
      </c>
      <c r="BY420">
        <f>BB420*AR420*AT420</f>
        <v>0</v>
      </c>
    </row>
    <row r="421" spans="1:77">
      <c r="A421" t="s">
        <v>96</v>
      </c>
      <c r="B421">
        <v>23395591</v>
      </c>
      <c r="C421" t="s">
        <v>285</v>
      </c>
      <c r="D421" t="s">
        <v>286</v>
      </c>
      <c r="E421" t="s">
        <v>446</v>
      </c>
      <c r="F421" t="s">
        <v>564</v>
      </c>
      <c r="G421" t="s">
        <v>543</v>
      </c>
      <c r="H421" t="s">
        <v>543</v>
      </c>
      <c r="I421" t="s">
        <v>544</v>
      </c>
      <c r="J421" t="s">
        <v>446</v>
      </c>
      <c r="K421" t="s">
        <v>446</v>
      </c>
      <c r="L421" t="s">
        <v>446</v>
      </c>
      <c r="M421" t="s">
        <v>446</v>
      </c>
      <c r="N421">
        <v>144209</v>
      </c>
      <c r="O421">
        <f>INDEX(Counselor,MATCH(B421,KidIDs,0))</f>
        <v>0</v>
      </c>
      <c r="P421">
        <f>INDEX(Advisors,MATCH(B421,KidIDs,0))</f>
        <v>0</v>
      </c>
      <c r="Q421">
        <f>INDEX(Cohort,MATCH(B421,KidIDs,0))</f>
        <v>0</v>
      </c>
      <c r="R421">
        <f>INDEX(AllCollegeBarrons,MATCH(N421,AllCollegeNCES,0))</f>
        <v>0</v>
      </c>
      <c r="S421">
        <f>INDEX(KidGPAs,MATCH(B421,KidIDs,0))</f>
        <v>0</v>
      </c>
      <c r="T421">
        <f>INDEX(KidSATs,MATCH(B421,KidIDs,0))</f>
        <v>0</v>
      </c>
      <c r="U421">
        <f>INDEX(Strats,MATCH(B421,KidIDs,0))</f>
        <v>0</v>
      </c>
      <c r="V421">
        <f>INDEX(KidRace,MATCH(B421,KidIDs,0))</f>
        <v>0</v>
      </c>
      <c r="W421">
        <f>IF(OR(V421="M",V421="I"),"H",IF(V421="P","A",V421))</f>
        <v>0</v>
      </c>
      <c r="X421">
        <f>INDEX(StudentTargets,MATCH(B421,KidIDs,0))</f>
        <v>0</v>
      </c>
      <c r="Y421">
        <f>INDEX(ReachStudentTargets,MATCH(B421,KidIDs,0))</f>
        <v>0</v>
      </c>
      <c r="Z421">
        <f>IF(OR(M421="Posse"),1,0)</f>
        <v>0</v>
      </c>
      <c r="AA421">
        <f>IF(ISNUMBER(INDEX(AllCollegeGR, MATCH(N421,AllCollegeNCES,0))),ROUND(INDEX(AllCollegeGR, MATCH(N421,AllCollegeNCES,0))+Z421*IF(INDEX(AllCollegeGR, MATCH(N421,AllCollegeNCES,0))&gt;0.7,(1-INDEX(AllCollegeGR, MATCH(N421,AllCollegeNCES,0)))/2,0.15),2),INDEX(AllCollegeGR, MATCH(N421,AllCollegeNCES,0)))</f>
        <v>0</v>
      </c>
      <c r="AB421">
        <f>IF(ISNUMBER(INDEX(AllCollegeAAHGR, MATCH(N421,AllCollegeNCES,0))),ROUND(INDEX(AllCollegeAAHGR, MATCH(N421,AllCollegeNCES,0))+Z421*IF(INDEX(AllCollegeAAHGR, MATCH(N421,AllCollegeNCES,0))&gt;0.7,(1-INDEX(AllCollegeAAHGR, MATCH(N421,AllCollegeNCES,0)))/2,0.15),2),INDEX(AllCollegeAAHGR, MATCH(N421,AllCollegeNCES,0)))</f>
        <v>0</v>
      </c>
      <c r="AC421">
        <f>IF(OR(W421="H",W421="B"),INDEX(AllCollegeSAT25, MATCH(N421,AllCollegeNCES,0)),INDEX(AllCollegeSAT50, MATCH(N421,AllCollegeNCES,0)))</f>
        <v>0</v>
      </c>
      <c r="AD421">
        <f>INDEX(CustomWeightsGPA,MATCH(W421&amp;":"&amp;N421,CustomWeightsIndex,0))</f>
        <v>0</v>
      </c>
      <c r="AE421">
        <f>INDEX(CustomWeightsSAT,MATCH(W421&amp;":"&amp;N421,CustomWeightsIndex,0))</f>
        <v>0</v>
      </c>
      <c r="AF421">
        <f>INDEX(CustomWeightsIntercept,MATCH(W421&amp;":"&amp;N421,CustomWeightsIndex,0))</f>
        <v>0</v>
      </c>
      <c r="AG421">
        <f>AD421*S421+AE421*T421+AF421</f>
        <v>0</v>
      </c>
      <c r="AH421">
        <f>INDEX(CoefficientsGPA,MATCH(W421&amp;":"&amp;R421,CoefficientsIndex,0))</f>
        <v>0</v>
      </c>
      <c r="AI421">
        <f>INDEX(CoefficientsSAT,MATCH(W421&amp;":"&amp;R421,CoefficientsIndex,0))</f>
        <v>0</v>
      </c>
      <c r="AJ421">
        <f>INDEX(CoefficientsIntercept,MATCH(W421&amp;":"&amp;R421,CoefficientsIndex,0))</f>
        <v>0</v>
      </c>
      <c r="AK421">
        <f>AH421*S421+(T421-AC421)*AI421+AJ421</f>
        <v>0</v>
      </c>
      <c r="AL421">
        <f>IF(ISNUMBER(AG421),AG421,AK421)</f>
        <v>0</v>
      </c>
      <c r="AM421">
        <f>IF(ISNUMBER(AL421),IF(ISNUMBER(AH421),IF(AND(AH421=1,AI421=1,AJ421=1),100,MIN(99,ROUND(100*EXP(AL421)/(1+EXP(AL421)),2))),MIN(99,ROUND(100*EXP(AL421)/(1+EXP(AL421)),2))),IF(ISTEXT(R421),IF(LEFT(R421,1)="2",100,"N/A"),"N/A"))</f>
        <v>0</v>
      </c>
      <c r="AN421">
        <f>IF(ISNUMBER(AM421),IF(AM421&gt;=99,IF(OR(U421=10,U421=11),MatchLabel,SureThingLabel),IF(AM421&gt;=95,SecureLabel,IF(AM421&gt;=80,SafetyLabel,IF(AM421&gt;=50,MatchLabel,IF(AM421&gt;=20,ReachLabel,IF(AM421&gt;=10,LongshotLabel,HailMaryLabel)))))),"Other")</f>
        <v>0</v>
      </c>
      <c r="AO421">
        <f>IF(OR(I421="accepted",I421="cond. accept",I421="summer admit"),IF(J421="yes","CHOICE!","Accepted!"),IF(I421="guar. transfer","Guar. Xfer",IF(I421="denied","Denied",IF(K421=1,"Waitlist",IF(L421=1,"Deferred",IF(G421="pending","Pending",IF(OR(G421="initial materials submitted",G421="mid-year submitted",G421="final submitted"),"Submitted",IF(H421="interest","Interest","?"))))))))</f>
        <v>0</v>
      </c>
      <c r="AP421">
        <f>IF(OR(AN421=ReachLabel,AN421=LongshotLabel,AN421=HailMaryLabel),1,0)</f>
        <v>0</v>
      </c>
      <c r="AQ421">
        <f>IF(OR(AP421=1,AN421=MatchLabel),1,0)</f>
        <v>0</v>
      </c>
      <c r="AR421">
        <f>IF(OR(AN421=MatchLabel,AN421=SafetyLabel,AN421=SecureLabel,AN421=SureThingLabel),1,0)</f>
        <v>0</v>
      </c>
      <c r="AS421">
        <f>IF(OR(W421="H",W421="B",W421="I",W421="M"),IF(ISNUMBER(AB421),ROUND(AB421,2),0),IF(ISNUMBER(AA421),ROUND(AA421,2),0))</f>
        <v>0</v>
      </c>
      <c r="AT421">
        <f>IF(AS421&gt;=X421,1,0)</f>
        <v>0</v>
      </c>
      <c r="AU421">
        <f>IF(AS421&gt;=Y421,1,0)</f>
        <v>0</v>
      </c>
      <c r="AV421">
        <f>IF(AS421&lt;(X421-0.10),1,0)</f>
        <v>0</v>
      </c>
      <c r="AW421">
        <f>1-AM421/100</f>
        <v>0</v>
      </c>
      <c r="AX421">
        <f>IF(AQ421=1,AW421,1)</f>
        <v>0</v>
      </c>
      <c r="AY421">
        <f>IF(AP421=1,AW421,1)</f>
        <v>0</v>
      </c>
      <c r="AZ421">
        <f>IF(AND(AT421=1,ISNUMBER(AW421)),$AW421,1)</f>
        <v>0</v>
      </c>
      <c r="BA421">
        <f>IF(AND(AU421=1,ISNUMBER(AW421)),$AW421,1)</f>
        <v>0</v>
      </c>
      <c r="BB421">
        <f>IF(ISNUMBER(AB421),INDEX(AllCollegeMoney, MATCH(N421,AllCollegeNCES,0)),0)</f>
        <v>0</v>
      </c>
      <c r="BC421">
        <f>IF(AND(AT421=1,ISNUMBER(AW421),BB421=1),$AW421,1)</f>
        <v>0</v>
      </c>
      <c r="BD421">
        <f>IF(AND(AU421=1,ISNUMBER(AW421),BB421=1),$AW421,1)</f>
        <v>0</v>
      </c>
      <c r="BE421">
        <f>IF(ISNUMBER(AB421),INDEX(AllCollegeILPub, MATCH(N421,AllCollegeNCES,0)),0)</f>
        <v>0</v>
      </c>
      <c r="BF421">
        <f>IF(AN421=ReachLabel,AS421,0)</f>
        <v>0</v>
      </c>
      <c r="BG421">
        <f>IF(AN421=MatchLabel,AS421,0)</f>
        <v>0</v>
      </c>
      <c r="BH421">
        <f>IF(AN421=SafetyLabel,AS421,0)</f>
        <v>0</v>
      </c>
      <c r="BI421">
        <f>IF(AN421=SecureLabel,AS421,0)</f>
        <v>0</v>
      </c>
      <c r="BJ421">
        <f>IF(AN421=SureThingLabel,AS421,0)</f>
        <v>0</v>
      </c>
      <c r="BK421">
        <f>MAX(BF421:BJ421)</f>
        <v>0</v>
      </c>
      <c r="BL421">
        <f>MAX(BG421:BJ421)</f>
        <v>0</v>
      </c>
      <c r="BM421">
        <f>MAX(BH421:BJ421)</f>
        <v>0</v>
      </c>
      <c r="BN421">
        <f>IF(AND(AN421=ReachLabel,BB421=1),AS421,0)</f>
        <v>0</v>
      </c>
      <c r="BO421">
        <f>IF(AND(AN421=MatchLabel,BB421=1),AS421,0)</f>
        <v>0</v>
      </c>
      <c r="BP421">
        <f>IF(AND(AN421=SafetyLabel,BB421=1),AS421,0)</f>
        <v>0</v>
      </c>
      <c r="BQ421">
        <f>IF(AND(AN421=SecureLabel,BB421=1),AS421,0)</f>
        <v>0</v>
      </c>
      <c r="BR421">
        <f>IF(AND(AN421=SureThingLabel,BB421=1),AS421,0)</f>
        <v>0</v>
      </c>
      <c r="BS421">
        <f>MAX(BN421:BR421)</f>
        <v>0</v>
      </c>
      <c r="BT421">
        <f>MAX(BO421:BR421)</f>
        <v>0</v>
      </c>
      <c r="BU421">
        <f>MAX(BP421:BR421)</f>
        <v>0</v>
      </c>
      <c r="BV421">
        <f>IF(ISNUMBER(AB421),INDEX(AllCollegeChicago, MATCH(N421,AllCollegeNCES,0))*BB421,0)</f>
        <v>0</v>
      </c>
      <c r="BW421">
        <f>IF(ISNUMBER(AB421),INDEX(AllCollegeMoneyCode, MATCH(N421,AllCollegeNCES,0)),"?")</f>
        <v>0</v>
      </c>
      <c r="BX421">
        <f>IF(OR(BW421="---",BW421="--",BW421="+/--",BW421="+/---"),1,0)</f>
        <v>0</v>
      </c>
      <c r="BY421">
        <f>BB421*AR421*AT421</f>
        <v>0</v>
      </c>
    </row>
    <row r="422" spans="1:77">
      <c r="A422" t="s">
        <v>96</v>
      </c>
      <c r="B422">
        <v>23395591</v>
      </c>
      <c r="C422" t="s">
        <v>285</v>
      </c>
      <c r="D422" t="s">
        <v>286</v>
      </c>
      <c r="E422" t="s">
        <v>446</v>
      </c>
      <c r="F422" t="s">
        <v>565</v>
      </c>
      <c r="G422" t="s">
        <v>543</v>
      </c>
      <c r="H422" t="s">
        <v>543</v>
      </c>
      <c r="I422" t="s">
        <v>544</v>
      </c>
      <c r="J422" t="s">
        <v>446</v>
      </c>
      <c r="K422" t="s">
        <v>446</v>
      </c>
      <c r="L422" t="s">
        <v>446</v>
      </c>
      <c r="M422" t="s">
        <v>446</v>
      </c>
      <c r="N422">
        <v>147776</v>
      </c>
      <c r="O422">
        <f>INDEX(Counselor,MATCH(B422,KidIDs,0))</f>
        <v>0</v>
      </c>
      <c r="P422">
        <f>INDEX(Advisors,MATCH(B422,KidIDs,0))</f>
        <v>0</v>
      </c>
      <c r="Q422">
        <f>INDEX(Cohort,MATCH(B422,KidIDs,0))</f>
        <v>0</v>
      </c>
      <c r="R422">
        <f>INDEX(AllCollegeBarrons,MATCH(N422,AllCollegeNCES,0))</f>
        <v>0</v>
      </c>
      <c r="S422">
        <f>INDEX(KidGPAs,MATCH(B422,KidIDs,0))</f>
        <v>0</v>
      </c>
      <c r="T422">
        <f>INDEX(KidSATs,MATCH(B422,KidIDs,0))</f>
        <v>0</v>
      </c>
      <c r="U422">
        <f>INDEX(Strats,MATCH(B422,KidIDs,0))</f>
        <v>0</v>
      </c>
      <c r="V422">
        <f>INDEX(KidRace,MATCH(B422,KidIDs,0))</f>
        <v>0</v>
      </c>
      <c r="W422">
        <f>IF(OR(V422="M",V422="I"),"H",IF(V422="P","A",V422))</f>
        <v>0</v>
      </c>
      <c r="X422">
        <f>INDEX(StudentTargets,MATCH(B422,KidIDs,0))</f>
        <v>0</v>
      </c>
      <c r="Y422">
        <f>INDEX(ReachStudentTargets,MATCH(B422,KidIDs,0))</f>
        <v>0</v>
      </c>
      <c r="Z422">
        <f>IF(OR(M422="Posse"),1,0)</f>
        <v>0</v>
      </c>
      <c r="AA422">
        <f>IF(ISNUMBER(INDEX(AllCollegeGR, MATCH(N422,AllCollegeNCES,0))),ROUND(INDEX(AllCollegeGR, MATCH(N422,AllCollegeNCES,0))+Z422*IF(INDEX(AllCollegeGR, MATCH(N422,AllCollegeNCES,0))&gt;0.7,(1-INDEX(AllCollegeGR, MATCH(N422,AllCollegeNCES,0)))/2,0.15),2),INDEX(AllCollegeGR, MATCH(N422,AllCollegeNCES,0)))</f>
        <v>0</v>
      </c>
      <c r="AB422">
        <f>IF(ISNUMBER(INDEX(AllCollegeAAHGR, MATCH(N422,AllCollegeNCES,0))),ROUND(INDEX(AllCollegeAAHGR, MATCH(N422,AllCollegeNCES,0))+Z422*IF(INDEX(AllCollegeAAHGR, MATCH(N422,AllCollegeNCES,0))&gt;0.7,(1-INDEX(AllCollegeAAHGR, MATCH(N422,AllCollegeNCES,0)))/2,0.15),2),INDEX(AllCollegeAAHGR, MATCH(N422,AllCollegeNCES,0)))</f>
        <v>0</v>
      </c>
      <c r="AC422">
        <f>IF(OR(W422="H",W422="B"),INDEX(AllCollegeSAT25, MATCH(N422,AllCollegeNCES,0)),INDEX(AllCollegeSAT50, MATCH(N422,AllCollegeNCES,0)))</f>
        <v>0</v>
      </c>
      <c r="AD422">
        <f>INDEX(CustomWeightsGPA,MATCH(W422&amp;":"&amp;N422,CustomWeightsIndex,0))</f>
        <v>0</v>
      </c>
      <c r="AE422">
        <f>INDEX(CustomWeightsSAT,MATCH(W422&amp;":"&amp;N422,CustomWeightsIndex,0))</f>
        <v>0</v>
      </c>
      <c r="AF422">
        <f>INDEX(CustomWeightsIntercept,MATCH(W422&amp;":"&amp;N422,CustomWeightsIndex,0))</f>
        <v>0</v>
      </c>
      <c r="AG422">
        <f>AD422*S422+AE422*T422+AF422</f>
        <v>0</v>
      </c>
      <c r="AH422">
        <f>INDEX(CoefficientsGPA,MATCH(W422&amp;":"&amp;R422,CoefficientsIndex,0))</f>
        <v>0</v>
      </c>
      <c r="AI422">
        <f>INDEX(CoefficientsSAT,MATCH(W422&amp;":"&amp;R422,CoefficientsIndex,0))</f>
        <v>0</v>
      </c>
      <c r="AJ422">
        <f>INDEX(CoefficientsIntercept,MATCH(W422&amp;":"&amp;R422,CoefficientsIndex,0))</f>
        <v>0</v>
      </c>
      <c r="AK422">
        <f>AH422*S422+(T422-AC422)*AI422+AJ422</f>
        <v>0</v>
      </c>
      <c r="AL422">
        <f>IF(ISNUMBER(AG422),AG422,AK422)</f>
        <v>0</v>
      </c>
      <c r="AM422">
        <f>IF(ISNUMBER(AL422),IF(ISNUMBER(AH422),IF(AND(AH422=1,AI422=1,AJ422=1),100,MIN(99,ROUND(100*EXP(AL422)/(1+EXP(AL422)),2))),MIN(99,ROUND(100*EXP(AL422)/(1+EXP(AL422)),2))),IF(ISTEXT(R422),IF(LEFT(R422,1)="2",100,"N/A"),"N/A"))</f>
        <v>0</v>
      </c>
      <c r="AN422">
        <f>IF(ISNUMBER(AM422),IF(AM422&gt;=99,IF(OR(U422=10,U422=11),MatchLabel,SureThingLabel),IF(AM422&gt;=95,SecureLabel,IF(AM422&gt;=80,SafetyLabel,IF(AM422&gt;=50,MatchLabel,IF(AM422&gt;=20,ReachLabel,IF(AM422&gt;=10,LongshotLabel,HailMaryLabel)))))),"Other")</f>
        <v>0</v>
      </c>
      <c r="AO422">
        <f>IF(OR(I422="accepted",I422="cond. accept",I422="summer admit"),IF(J422="yes","CHOICE!","Accepted!"),IF(I422="guar. transfer","Guar. Xfer",IF(I422="denied","Denied",IF(K422=1,"Waitlist",IF(L422=1,"Deferred",IF(G422="pending","Pending",IF(OR(G422="initial materials submitted",G422="mid-year submitted",G422="final submitted"),"Submitted",IF(H422="interest","Interest","?"))))))))</f>
        <v>0</v>
      </c>
      <c r="AP422">
        <f>IF(OR(AN422=ReachLabel,AN422=LongshotLabel,AN422=HailMaryLabel),1,0)</f>
        <v>0</v>
      </c>
      <c r="AQ422">
        <f>IF(OR(AP422=1,AN422=MatchLabel),1,0)</f>
        <v>0</v>
      </c>
      <c r="AR422">
        <f>IF(OR(AN422=MatchLabel,AN422=SafetyLabel,AN422=SecureLabel,AN422=SureThingLabel),1,0)</f>
        <v>0</v>
      </c>
      <c r="AS422">
        <f>IF(OR(W422="H",W422="B",W422="I",W422="M"),IF(ISNUMBER(AB422),ROUND(AB422,2),0),IF(ISNUMBER(AA422),ROUND(AA422,2),0))</f>
        <v>0</v>
      </c>
      <c r="AT422">
        <f>IF(AS422&gt;=X422,1,0)</f>
        <v>0</v>
      </c>
      <c r="AU422">
        <f>IF(AS422&gt;=Y422,1,0)</f>
        <v>0</v>
      </c>
      <c r="AV422">
        <f>IF(AS422&lt;(X422-0.10),1,0)</f>
        <v>0</v>
      </c>
      <c r="AW422">
        <f>1-AM422/100</f>
        <v>0</v>
      </c>
      <c r="AX422">
        <f>IF(AQ422=1,AW422,1)</f>
        <v>0</v>
      </c>
      <c r="AY422">
        <f>IF(AP422=1,AW422,1)</f>
        <v>0</v>
      </c>
      <c r="AZ422">
        <f>IF(AND(AT422=1,ISNUMBER(AW422)),$AW422,1)</f>
        <v>0</v>
      </c>
      <c r="BA422">
        <f>IF(AND(AU422=1,ISNUMBER(AW422)),$AW422,1)</f>
        <v>0</v>
      </c>
      <c r="BB422">
        <f>IF(ISNUMBER(AB422),INDEX(AllCollegeMoney, MATCH(N422,AllCollegeNCES,0)),0)</f>
        <v>0</v>
      </c>
      <c r="BC422">
        <f>IF(AND(AT422=1,ISNUMBER(AW422),BB422=1),$AW422,1)</f>
        <v>0</v>
      </c>
      <c r="BD422">
        <f>IF(AND(AU422=1,ISNUMBER(AW422),BB422=1),$AW422,1)</f>
        <v>0</v>
      </c>
      <c r="BE422">
        <f>IF(ISNUMBER(AB422),INDEX(AllCollegeILPub, MATCH(N422,AllCollegeNCES,0)),0)</f>
        <v>0</v>
      </c>
      <c r="BF422">
        <f>IF(AN422=ReachLabel,AS422,0)</f>
        <v>0</v>
      </c>
      <c r="BG422">
        <f>IF(AN422=MatchLabel,AS422,0)</f>
        <v>0</v>
      </c>
      <c r="BH422">
        <f>IF(AN422=SafetyLabel,AS422,0)</f>
        <v>0</v>
      </c>
      <c r="BI422">
        <f>IF(AN422=SecureLabel,AS422,0)</f>
        <v>0</v>
      </c>
      <c r="BJ422">
        <f>IF(AN422=SureThingLabel,AS422,0)</f>
        <v>0</v>
      </c>
      <c r="BK422">
        <f>MAX(BF422:BJ422)</f>
        <v>0</v>
      </c>
      <c r="BL422">
        <f>MAX(BG422:BJ422)</f>
        <v>0</v>
      </c>
      <c r="BM422">
        <f>MAX(BH422:BJ422)</f>
        <v>0</v>
      </c>
      <c r="BN422">
        <f>IF(AND(AN422=ReachLabel,BB422=1),AS422,0)</f>
        <v>0</v>
      </c>
      <c r="BO422">
        <f>IF(AND(AN422=MatchLabel,BB422=1),AS422,0)</f>
        <v>0</v>
      </c>
      <c r="BP422">
        <f>IF(AND(AN422=SafetyLabel,BB422=1),AS422,0)</f>
        <v>0</v>
      </c>
      <c r="BQ422">
        <f>IF(AND(AN422=SecureLabel,BB422=1),AS422,0)</f>
        <v>0</v>
      </c>
      <c r="BR422">
        <f>IF(AND(AN422=SureThingLabel,BB422=1),AS422,0)</f>
        <v>0</v>
      </c>
      <c r="BS422">
        <f>MAX(BN422:BR422)</f>
        <v>0</v>
      </c>
      <c r="BT422">
        <f>MAX(BO422:BR422)</f>
        <v>0</v>
      </c>
      <c r="BU422">
        <f>MAX(BP422:BR422)</f>
        <v>0</v>
      </c>
      <c r="BV422">
        <f>IF(ISNUMBER(AB422),INDEX(AllCollegeChicago, MATCH(N422,AllCollegeNCES,0))*BB422,0)</f>
        <v>0</v>
      </c>
      <c r="BW422">
        <f>IF(ISNUMBER(AB422),INDEX(AllCollegeMoneyCode, MATCH(N422,AllCollegeNCES,0)),"?")</f>
        <v>0</v>
      </c>
      <c r="BX422">
        <f>IF(OR(BW422="---",BW422="--",BW422="+/--",BW422="+/---"),1,0)</f>
        <v>0</v>
      </c>
      <c r="BY422">
        <f>BB422*AR422*AT422</f>
        <v>0</v>
      </c>
    </row>
    <row r="423" spans="1:77">
      <c r="A423" t="s">
        <v>96</v>
      </c>
      <c r="B423">
        <v>23395591</v>
      </c>
      <c r="C423" t="s">
        <v>285</v>
      </c>
      <c r="D423" t="s">
        <v>286</v>
      </c>
      <c r="E423" t="s">
        <v>446</v>
      </c>
      <c r="F423" t="s">
        <v>468</v>
      </c>
      <c r="G423" t="s">
        <v>448</v>
      </c>
      <c r="H423" t="s">
        <v>449</v>
      </c>
      <c r="I423" t="s">
        <v>450</v>
      </c>
      <c r="J423" t="s">
        <v>450</v>
      </c>
      <c r="K423">
        <v>0</v>
      </c>
      <c r="L423" t="s">
        <v>446</v>
      </c>
      <c r="M423" t="s">
        <v>454</v>
      </c>
      <c r="N423">
        <v>154493</v>
      </c>
      <c r="O423">
        <f>INDEX(Counselor,MATCH(B423,KidIDs,0))</f>
        <v>0</v>
      </c>
      <c r="P423">
        <f>INDEX(Advisors,MATCH(B423,KidIDs,0))</f>
        <v>0</v>
      </c>
      <c r="Q423">
        <f>INDEX(Cohort,MATCH(B423,KidIDs,0))</f>
        <v>0</v>
      </c>
      <c r="R423">
        <f>INDEX(AllCollegeBarrons,MATCH(N423,AllCollegeNCES,0))</f>
        <v>0</v>
      </c>
      <c r="S423">
        <f>INDEX(KidGPAs,MATCH(B423,KidIDs,0))</f>
        <v>0</v>
      </c>
      <c r="T423">
        <f>INDEX(KidSATs,MATCH(B423,KidIDs,0))</f>
        <v>0</v>
      </c>
      <c r="U423">
        <f>INDEX(Strats,MATCH(B423,KidIDs,0))</f>
        <v>0</v>
      </c>
      <c r="V423">
        <f>INDEX(KidRace,MATCH(B423,KidIDs,0))</f>
        <v>0</v>
      </c>
      <c r="W423">
        <f>IF(OR(V423="M",V423="I"),"H",IF(V423="P","A",V423))</f>
        <v>0</v>
      </c>
      <c r="X423">
        <f>INDEX(StudentTargets,MATCH(B423,KidIDs,0))</f>
        <v>0</v>
      </c>
      <c r="Y423">
        <f>INDEX(ReachStudentTargets,MATCH(B423,KidIDs,0))</f>
        <v>0</v>
      </c>
      <c r="Z423">
        <f>IF(OR(M423="Posse"),1,0)</f>
        <v>0</v>
      </c>
      <c r="AA423">
        <f>IF(ISNUMBER(INDEX(AllCollegeGR, MATCH(N423,AllCollegeNCES,0))),ROUND(INDEX(AllCollegeGR, MATCH(N423,AllCollegeNCES,0))+Z423*IF(INDEX(AllCollegeGR, MATCH(N423,AllCollegeNCES,0))&gt;0.7,(1-INDEX(AllCollegeGR, MATCH(N423,AllCollegeNCES,0)))/2,0.15),2),INDEX(AllCollegeGR, MATCH(N423,AllCollegeNCES,0)))</f>
        <v>0</v>
      </c>
      <c r="AB423">
        <f>IF(ISNUMBER(INDEX(AllCollegeAAHGR, MATCH(N423,AllCollegeNCES,0))),ROUND(INDEX(AllCollegeAAHGR, MATCH(N423,AllCollegeNCES,0))+Z423*IF(INDEX(AllCollegeAAHGR, MATCH(N423,AllCollegeNCES,0))&gt;0.7,(1-INDEX(AllCollegeAAHGR, MATCH(N423,AllCollegeNCES,0)))/2,0.15),2),INDEX(AllCollegeAAHGR, MATCH(N423,AllCollegeNCES,0)))</f>
        <v>0</v>
      </c>
      <c r="AC423">
        <f>IF(OR(W423="H",W423="B"),INDEX(AllCollegeSAT25, MATCH(N423,AllCollegeNCES,0)),INDEX(AllCollegeSAT50, MATCH(N423,AllCollegeNCES,0)))</f>
        <v>0</v>
      </c>
      <c r="AD423">
        <f>INDEX(CustomWeightsGPA,MATCH(W423&amp;":"&amp;N423,CustomWeightsIndex,0))</f>
        <v>0</v>
      </c>
      <c r="AE423">
        <f>INDEX(CustomWeightsSAT,MATCH(W423&amp;":"&amp;N423,CustomWeightsIndex,0))</f>
        <v>0</v>
      </c>
      <c r="AF423">
        <f>INDEX(CustomWeightsIntercept,MATCH(W423&amp;":"&amp;N423,CustomWeightsIndex,0))</f>
        <v>0</v>
      </c>
      <c r="AG423">
        <f>AD423*S423+AE423*T423+AF423</f>
        <v>0</v>
      </c>
      <c r="AH423">
        <f>INDEX(CoefficientsGPA,MATCH(W423&amp;":"&amp;R423,CoefficientsIndex,0))</f>
        <v>0</v>
      </c>
      <c r="AI423">
        <f>INDEX(CoefficientsSAT,MATCH(W423&amp;":"&amp;R423,CoefficientsIndex,0))</f>
        <v>0</v>
      </c>
      <c r="AJ423">
        <f>INDEX(CoefficientsIntercept,MATCH(W423&amp;":"&amp;R423,CoefficientsIndex,0))</f>
        <v>0</v>
      </c>
      <c r="AK423">
        <f>AH423*S423+(T423-AC423)*AI423+AJ423</f>
        <v>0</v>
      </c>
      <c r="AL423">
        <f>IF(ISNUMBER(AG423),AG423,AK423)</f>
        <v>0</v>
      </c>
      <c r="AM423">
        <f>IF(ISNUMBER(AL423),IF(ISNUMBER(AH423),IF(AND(AH423=1,AI423=1,AJ423=1),100,MIN(99,ROUND(100*EXP(AL423)/(1+EXP(AL423)),2))),MIN(99,ROUND(100*EXP(AL423)/(1+EXP(AL423)),2))),IF(ISTEXT(R423),IF(LEFT(R423,1)="2",100,"N/A"),"N/A"))</f>
        <v>0</v>
      </c>
      <c r="AN423">
        <f>IF(ISNUMBER(AM423),IF(AM423&gt;=99,IF(OR(U423=10,U423=11),MatchLabel,SureThingLabel),IF(AM423&gt;=95,SecureLabel,IF(AM423&gt;=80,SafetyLabel,IF(AM423&gt;=50,MatchLabel,IF(AM423&gt;=20,ReachLabel,IF(AM423&gt;=10,LongshotLabel,HailMaryLabel)))))),"Other")</f>
        <v>0</v>
      </c>
      <c r="AO423">
        <f>IF(OR(I423="accepted",I423="cond. accept",I423="summer admit"),IF(J423="yes","CHOICE!","Accepted!"),IF(I423="guar. transfer","Guar. Xfer",IF(I423="denied","Denied",IF(K423=1,"Waitlist",IF(L423=1,"Deferred",IF(G423="pending","Pending",IF(OR(G423="initial materials submitted",G423="mid-year submitted",G423="final submitted"),"Submitted",IF(H423="interest","Interest","?"))))))))</f>
        <v>0</v>
      </c>
      <c r="AP423">
        <f>IF(OR(AN423=ReachLabel,AN423=LongshotLabel,AN423=HailMaryLabel),1,0)</f>
        <v>0</v>
      </c>
      <c r="AQ423">
        <f>IF(OR(AP423=1,AN423=MatchLabel),1,0)</f>
        <v>0</v>
      </c>
      <c r="AR423">
        <f>IF(OR(AN423=MatchLabel,AN423=SafetyLabel,AN423=SecureLabel,AN423=SureThingLabel),1,0)</f>
        <v>0</v>
      </c>
      <c r="AS423">
        <f>IF(OR(W423="H",W423="B",W423="I",W423="M"),IF(ISNUMBER(AB423),ROUND(AB423,2),0),IF(ISNUMBER(AA423),ROUND(AA423,2),0))</f>
        <v>0</v>
      </c>
      <c r="AT423">
        <f>IF(AS423&gt;=X423,1,0)</f>
        <v>0</v>
      </c>
      <c r="AU423">
        <f>IF(AS423&gt;=Y423,1,0)</f>
        <v>0</v>
      </c>
      <c r="AV423">
        <f>IF(AS423&lt;(X423-0.10),1,0)</f>
        <v>0</v>
      </c>
      <c r="AW423">
        <f>1-AM423/100</f>
        <v>0</v>
      </c>
      <c r="AX423">
        <f>IF(AQ423=1,AW423,1)</f>
        <v>0</v>
      </c>
      <c r="AY423">
        <f>IF(AP423=1,AW423,1)</f>
        <v>0</v>
      </c>
      <c r="AZ423">
        <f>IF(AND(AT423=1,ISNUMBER(AW423)),$AW423,1)</f>
        <v>0</v>
      </c>
      <c r="BA423">
        <f>IF(AND(AU423=1,ISNUMBER(AW423)),$AW423,1)</f>
        <v>0</v>
      </c>
      <c r="BB423">
        <f>IF(ISNUMBER(AB423),INDEX(AllCollegeMoney, MATCH(N423,AllCollegeNCES,0)),0)</f>
        <v>0</v>
      </c>
      <c r="BC423">
        <f>IF(AND(AT423=1,ISNUMBER(AW423),BB423=1),$AW423,1)</f>
        <v>0</v>
      </c>
      <c r="BD423">
        <f>IF(AND(AU423=1,ISNUMBER(AW423),BB423=1),$AW423,1)</f>
        <v>0</v>
      </c>
      <c r="BE423">
        <f>IF(ISNUMBER(AB423),INDEX(AllCollegeILPub, MATCH(N423,AllCollegeNCES,0)),0)</f>
        <v>0</v>
      </c>
      <c r="BF423">
        <f>IF(AN423=ReachLabel,AS423,0)</f>
        <v>0</v>
      </c>
      <c r="BG423">
        <f>IF(AN423=MatchLabel,AS423,0)</f>
        <v>0</v>
      </c>
      <c r="BH423">
        <f>IF(AN423=SafetyLabel,AS423,0)</f>
        <v>0</v>
      </c>
      <c r="BI423">
        <f>IF(AN423=SecureLabel,AS423,0)</f>
        <v>0</v>
      </c>
      <c r="BJ423">
        <f>IF(AN423=SureThingLabel,AS423,0)</f>
        <v>0</v>
      </c>
      <c r="BK423">
        <f>MAX(BF423:BJ423)</f>
        <v>0</v>
      </c>
      <c r="BL423">
        <f>MAX(BG423:BJ423)</f>
        <v>0</v>
      </c>
      <c r="BM423">
        <f>MAX(BH423:BJ423)</f>
        <v>0</v>
      </c>
      <c r="BN423">
        <f>IF(AND(AN423=ReachLabel,BB423=1),AS423,0)</f>
        <v>0</v>
      </c>
      <c r="BO423">
        <f>IF(AND(AN423=MatchLabel,BB423=1),AS423,0)</f>
        <v>0</v>
      </c>
      <c r="BP423">
        <f>IF(AND(AN423=SafetyLabel,BB423=1),AS423,0)</f>
        <v>0</v>
      </c>
      <c r="BQ423">
        <f>IF(AND(AN423=SecureLabel,BB423=1),AS423,0)</f>
        <v>0</v>
      </c>
      <c r="BR423">
        <f>IF(AND(AN423=SureThingLabel,BB423=1),AS423,0)</f>
        <v>0</v>
      </c>
      <c r="BS423">
        <f>MAX(BN423:BR423)</f>
        <v>0</v>
      </c>
      <c r="BT423">
        <f>MAX(BO423:BR423)</f>
        <v>0</v>
      </c>
      <c r="BU423">
        <f>MAX(BP423:BR423)</f>
        <v>0</v>
      </c>
      <c r="BV423">
        <f>IF(ISNUMBER(AB423),INDEX(AllCollegeChicago, MATCH(N423,AllCollegeNCES,0))*BB423,0)</f>
        <v>0</v>
      </c>
      <c r="BW423">
        <f>IF(ISNUMBER(AB423),INDEX(AllCollegeMoneyCode, MATCH(N423,AllCollegeNCES,0)),"?")</f>
        <v>0</v>
      </c>
      <c r="BX423">
        <f>IF(OR(BW423="---",BW423="--",BW423="+/--",BW423="+/---"),1,0)</f>
        <v>0</v>
      </c>
      <c r="BY423">
        <f>BB423*AR423*AT423</f>
        <v>0</v>
      </c>
    </row>
    <row r="424" spans="1:77">
      <c r="A424" t="s">
        <v>96</v>
      </c>
      <c r="B424">
        <v>23403578</v>
      </c>
      <c r="C424" t="s">
        <v>261</v>
      </c>
      <c r="D424" t="s">
        <v>262</v>
      </c>
      <c r="E424" t="s">
        <v>446</v>
      </c>
      <c r="F424" t="s">
        <v>514</v>
      </c>
      <c r="G424" t="s">
        <v>448</v>
      </c>
      <c r="H424" t="s">
        <v>449</v>
      </c>
      <c r="I424" t="s">
        <v>450</v>
      </c>
      <c r="J424" t="s">
        <v>450</v>
      </c>
      <c r="K424">
        <v>0</v>
      </c>
      <c r="L424" t="s">
        <v>446</v>
      </c>
      <c r="M424" t="s">
        <v>446</v>
      </c>
      <c r="N424">
        <v>131520</v>
      </c>
      <c r="O424">
        <f>INDEX(Counselor,MATCH(B424,KidIDs,0))</f>
        <v>0</v>
      </c>
      <c r="P424">
        <f>INDEX(Advisors,MATCH(B424,KidIDs,0))</f>
        <v>0</v>
      </c>
      <c r="Q424">
        <f>INDEX(Cohort,MATCH(B424,KidIDs,0))</f>
        <v>0</v>
      </c>
      <c r="R424">
        <f>INDEX(AllCollegeBarrons,MATCH(N424,AllCollegeNCES,0))</f>
        <v>0</v>
      </c>
      <c r="S424">
        <f>INDEX(KidGPAs,MATCH(B424,KidIDs,0))</f>
        <v>0</v>
      </c>
      <c r="T424">
        <f>INDEX(KidSATs,MATCH(B424,KidIDs,0))</f>
        <v>0</v>
      </c>
      <c r="U424">
        <f>INDEX(Strats,MATCH(B424,KidIDs,0))</f>
        <v>0</v>
      </c>
      <c r="V424">
        <f>INDEX(KidRace,MATCH(B424,KidIDs,0))</f>
        <v>0</v>
      </c>
      <c r="W424">
        <f>IF(OR(V424="M",V424="I"),"H",IF(V424="P","A",V424))</f>
        <v>0</v>
      </c>
      <c r="X424">
        <f>INDEX(StudentTargets,MATCH(B424,KidIDs,0))</f>
        <v>0</v>
      </c>
      <c r="Y424">
        <f>INDEX(ReachStudentTargets,MATCH(B424,KidIDs,0))</f>
        <v>0</v>
      </c>
      <c r="Z424">
        <f>IF(OR(M424="Posse"),1,0)</f>
        <v>0</v>
      </c>
      <c r="AA424">
        <f>IF(ISNUMBER(INDEX(AllCollegeGR, MATCH(N424,AllCollegeNCES,0))),ROUND(INDEX(AllCollegeGR, MATCH(N424,AllCollegeNCES,0))+Z424*IF(INDEX(AllCollegeGR, MATCH(N424,AllCollegeNCES,0))&gt;0.7,(1-INDEX(AllCollegeGR, MATCH(N424,AllCollegeNCES,0)))/2,0.15),2),INDEX(AllCollegeGR, MATCH(N424,AllCollegeNCES,0)))</f>
        <v>0</v>
      </c>
      <c r="AB424">
        <f>IF(ISNUMBER(INDEX(AllCollegeAAHGR, MATCH(N424,AllCollegeNCES,0))),ROUND(INDEX(AllCollegeAAHGR, MATCH(N424,AllCollegeNCES,0))+Z424*IF(INDEX(AllCollegeAAHGR, MATCH(N424,AllCollegeNCES,0))&gt;0.7,(1-INDEX(AllCollegeAAHGR, MATCH(N424,AllCollegeNCES,0)))/2,0.15),2),INDEX(AllCollegeAAHGR, MATCH(N424,AllCollegeNCES,0)))</f>
        <v>0</v>
      </c>
      <c r="AC424">
        <f>IF(OR(W424="H",W424="B"),INDEX(AllCollegeSAT25, MATCH(N424,AllCollegeNCES,0)),INDEX(AllCollegeSAT50, MATCH(N424,AllCollegeNCES,0)))</f>
        <v>0</v>
      </c>
      <c r="AD424">
        <f>INDEX(CustomWeightsGPA,MATCH(W424&amp;":"&amp;N424,CustomWeightsIndex,0))</f>
        <v>0</v>
      </c>
      <c r="AE424">
        <f>INDEX(CustomWeightsSAT,MATCH(W424&amp;":"&amp;N424,CustomWeightsIndex,0))</f>
        <v>0</v>
      </c>
      <c r="AF424">
        <f>INDEX(CustomWeightsIntercept,MATCH(W424&amp;":"&amp;N424,CustomWeightsIndex,0))</f>
        <v>0</v>
      </c>
      <c r="AG424">
        <f>AD424*S424+AE424*T424+AF424</f>
        <v>0</v>
      </c>
      <c r="AH424">
        <f>INDEX(CoefficientsGPA,MATCH(W424&amp;":"&amp;R424,CoefficientsIndex,0))</f>
        <v>0</v>
      </c>
      <c r="AI424">
        <f>INDEX(CoefficientsSAT,MATCH(W424&amp;":"&amp;R424,CoefficientsIndex,0))</f>
        <v>0</v>
      </c>
      <c r="AJ424">
        <f>INDEX(CoefficientsIntercept,MATCH(W424&amp;":"&amp;R424,CoefficientsIndex,0))</f>
        <v>0</v>
      </c>
      <c r="AK424">
        <f>AH424*S424+(T424-AC424)*AI424+AJ424</f>
        <v>0</v>
      </c>
      <c r="AL424">
        <f>IF(ISNUMBER(AG424),AG424,AK424)</f>
        <v>0</v>
      </c>
      <c r="AM424">
        <f>IF(ISNUMBER(AL424),IF(ISNUMBER(AH424),IF(AND(AH424=1,AI424=1,AJ424=1),100,MIN(99,ROUND(100*EXP(AL424)/(1+EXP(AL424)),2))),MIN(99,ROUND(100*EXP(AL424)/(1+EXP(AL424)),2))),IF(ISTEXT(R424),IF(LEFT(R424,1)="2",100,"N/A"),"N/A"))</f>
        <v>0</v>
      </c>
      <c r="AN424">
        <f>IF(ISNUMBER(AM424),IF(AM424&gt;=99,IF(OR(U424=10,U424=11),MatchLabel,SureThingLabel),IF(AM424&gt;=95,SecureLabel,IF(AM424&gt;=80,SafetyLabel,IF(AM424&gt;=50,MatchLabel,IF(AM424&gt;=20,ReachLabel,IF(AM424&gt;=10,LongshotLabel,HailMaryLabel)))))),"Other")</f>
        <v>0</v>
      </c>
      <c r="AO424">
        <f>IF(OR(I424="accepted",I424="cond. accept",I424="summer admit"),IF(J424="yes","CHOICE!","Accepted!"),IF(I424="guar. transfer","Guar. Xfer",IF(I424="denied","Denied",IF(K424=1,"Waitlist",IF(L424=1,"Deferred",IF(G424="pending","Pending",IF(OR(G424="initial materials submitted",G424="mid-year submitted",G424="final submitted"),"Submitted",IF(H424="interest","Interest","?"))))))))</f>
        <v>0</v>
      </c>
      <c r="AP424">
        <f>IF(OR(AN424=ReachLabel,AN424=LongshotLabel,AN424=HailMaryLabel),1,0)</f>
        <v>0</v>
      </c>
      <c r="AQ424">
        <f>IF(OR(AP424=1,AN424=MatchLabel),1,0)</f>
        <v>0</v>
      </c>
      <c r="AR424">
        <f>IF(OR(AN424=MatchLabel,AN424=SafetyLabel,AN424=SecureLabel,AN424=SureThingLabel),1,0)</f>
        <v>0</v>
      </c>
      <c r="AS424">
        <f>IF(OR(W424="H",W424="B",W424="I",W424="M"),IF(ISNUMBER(AB424),ROUND(AB424,2),0),IF(ISNUMBER(AA424),ROUND(AA424,2),0))</f>
        <v>0</v>
      </c>
      <c r="AT424">
        <f>IF(AS424&gt;=X424,1,0)</f>
        <v>0</v>
      </c>
      <c r="AU424">
        <f>IF(AS424&gt;=Y424,1,0)</f>
        <v>0</v>
      </c>
      <c r="AV424">
        <f>IF(AS424&lt;(X424-0.10),1,0)</f>
        <v>0</v>
      </c>
      <c r="AW424">
        <f>1-AM424/100</f>
        <v>0</v>
      </c>
      <c r="AX424">
        <f>IF(AQ424=1,AW424,1)</f>
        <v>0</v>
      </c>
      <c r="AY424">
        <f>IF(AP424=1,AW424,1)</f>
        <v>0</v>
      </c>
      <c r="AZ424">
        <f>IF(AND(AT424=1,ISNUMBER(AW424)),$AW424,1)</f>
        <v>0</v>
      </c>
      <c r="BA424">
        <f>IF(AND(AU424=1,ISNUMBER(AW424)),$AW424,1)</f>
        <v>0</v>
      </c>
      <c r="BB424">
        <f>IF(ISNUMBER(AB424),INDEX(AllCollegeMoney, MATCH(N424,AllCollegeNCES,0)),0)</f>
        <v>0</v>
      </c>
      <c r="BC424">
        <f>IF(AND(AT424=1,ISNUMBER(AW424),BB424=1),$AW424,1)</f>
        <v>0</v>
      </c>
      <c r="BD424">
        <f>IF(AND(AU424=1,ISNUMBER(AW424),BB424=1),$AW424,1)</f>
        <v>0</v>
      </c>
      <c r="BE424">
        <f>IF(ISNUMBER(AB424),INDEX(AllCollegeILPub, MATCH(N424,AllCollegeNCES,0)),0)</f>
        <v>0</v>
      </c>
      <c r="BF424">
        <f>IF(AN424=ReachLabel,AS424,0)</f>
        <v>0</v>
      </c>
      <c r="BG424">
        <f>IF(AN424=MatchLabel,AS424,0)</f>
        <v>0</v>
      </c>
      <c r="BH424">
        <f>IF(AN424=SafetyLabel,AS424,0)</f>
        <v>0</v>
      </c>
      <c r="BI424">
        <f>IF(AN424=SecureLabel,AS424,0)</f>
        <v>0</v>
      </c>
      <c r="BJ424">
        <f>IF(AN424=SureThingLabel,AS424,0)</f>
        <v>0</v>
      </c>
      <c r="BK424">
        <f>MAX(BF424:BJ424)</f>
        <v>0</v>
      </c>
      <c r="BL424">
        <f>MAX(BG424:BJ424)</f>
        <v>0</v>
      </c>
      <c r="BM424">
        <f>MAX(BH424:BJ424)</f>
        <v>0</v>
      </c>
      <c r="BN424">
        <f>IF(AND(AN424=ReachLabel,BB424=1),AS424,0)</f>
        <v>0</v>
      </c>
      <c r="BO424">
        <f>IF(AND(AN424=MatchLabel,BB424=1),AS424,0)</f>
        <v>0</v>
      </c>
      <c r="BP424">
        <f>IF(AND(AN424=SafetyLabel,BB424=1),AS424,0)</f>
        <v>0</v>
      </c>
      <c r="BQ424">
        <f>IF(AND(AN424=SecureLabel,BB424=1),AS424,0)</f>
        <v>0</v>
      </c>
      <c r="BR424">
        <f>IF(AND(AN424=SureThingLabel,BB424=1),AS424,0)</f>
        <v>0</v>
      </c>
      <c r="BS424">
        <f>MAX(BN424:BR424)</f>
        <v>0</v>
      </c>
      <c r="BT424">
        <f>MAX(BO424:BR424)</f>
        <v>0</v>
      </c>
      <c r="BU424">
        <f>MAX(BP424:BR424)</f>
        <v>0</v>
      </c>
      <c r="BV424">
        <f>IF(ISNUMBER(AB424),INDEX(AllCollegeChicago, MATCH(N424,AllCollegeNCES,0))*BB424,0)</f>
        <v>0</v>
      </c>
      <c r="BW424">
        <f>IF(ISNUMBER(AB424),INDEX(AllCollegeMoneyCode, MATCH(N424,AllCollegeNCES,0)),"?")</f>
        <v>0</v>
      </c>
      <c r="BX424">
        <f>IF(OR(BW424="---",BW424="--",BW424="+/--",BW424="+/---"),1,0)</f>
        <v>0</v>
      </c>
      <c r="BY424">
        <f>BB424*AR424*AT424</f>
        <v>0</v>
      </c>
    </row>
    <row r="425" spans="1:77">
      <c r="A425" t="s">
        <v>96</v>
      </c>
      <c r="B425">
        <v>23403578</v>
      </c>
      <c r="C425" t="s">
        <v>261</v>
      </c>
      <c r="D425" t="s">
        <v>262</v>
      </c>
      <c r="E425" t="s">
        <v>446</v>
      </c>
      <c r="F425" t="s">
        <v>475</v>
      </c>
      <c r="G425" t="s">
        <v>448</v>
      </c>
      <c r="H425" t="s">
        <v>449</v>
      </c>
      <c r="I425" t="s">
        <v>450</v>
      </c>
      <c r="J425" t="s">
        <v>450</v>
      </c>
      <c r="K425">
        <v>0</v>
      </c>
      <c r="L425" t="s">
        <v>446</v>
      </c>
      <c r="M425" t="s">
        <v>446</v>
      </c>
      <c r="N425">
        <v>145637</v>
      </c>
      <c r="O425">
        <f>INDEX(Counselor,MATCH(B425,KidIDs,0))</f>
        <v>0</v>
      </c>
      <c r="P425">
        <f>INDEX(Advisors,MATCH(B425,KidIDs,0))</f>
        <v>0</v>
      </c>
      <c r="Q425">
        <f>INDEX(Cohort,MATCH(B425,KidIDs,0))</f>
        <v>0</v>
      </c>
      <c r="R425">
        <f>INDEX(AllCollegeBarrons,MATCH(N425,AllCollegeNCES,0))</f>
        <v>0</v>
      </c>
      <c r="S425">
        <f>INDEX(KidGPAs,MATCH(B425,KidIDs,0))</f>
        <v>0</v>
      </c>
      <c r="T425">
        <f>INDEX(KidSATs,MATCH(B425,KidIDs,0))</f>
        <v>0</v>
      </c>
      <c r="U425">
        <f>INDEX(Strats,MATCH(B425,KidIDs,0))</f>
        <v>0</v>
      </c>
      <c r="V425">
        <f>INDEX(KidRace,MATCH(B425,KidIDs,0))</f>
        <v>0</v>
      </c>
      <c r="W425">
        <f>IF(OR(V425="M",V425="I"),"H",IF(V425="P","A",V425))</f>
        <v>0</v>
      </c>
      <c r="X425">
        <f>INDEX(StudentTargets,MATCH(B425,KidIDs,0))</f>
        <v>0</v>
      </c>
      <c r="Y425">
        <f>INDEX(ReachStudentTargets,MATCH(B425,KidIDs,0))</f>
        <v>0</v>
      </c>
      <c r="Z425">
        <f>IF(OR(M425="Posse"),1,0)</f>
        <v>0</v>
      </c>
      <c r="AA425">
        <f>IF(ISNUMBER(INDEX(AllCollegeGR, MATCH(N425,AllCollegeNCES,0))),ROUND(INDEX(AllCollegeGR, MATCH(N425,AllCollegeNCES,0))+Z425*IF(INDEX(AllCollegeGR, MATCH(N425,AllCollegeNCES,0))&gt;0.7,(1-INDEX(AllCollegeGR, MATCH(N425,AllCollegeNCES,0)))/2,0.15),2),INDEX(AllCollegeGR, MATCH(N425,AllCollegeNCES,0)))</f>
        <v>0</v>
      </c>
      <c r="AB425">
        <f>IF(ISNUMBER(INDEX(AllCollegeAAHGR, MATCH(N425,AllCollegeNCES,0))),ROUND(INDEX(AllCollegeAAHGR, MATCH(N425,AllCollegeNCES,0))+Z425*IF(INDEX(AllCollegeAAHGR, MATCH(N425,AllCollegeNCES,0))&gt;0.7,(1-INDEX(AllCollegeAAHGR, MATCH(N425,AllCollegeNCES,0)))/2,0.15),2),INDEX(AllCollegeAAHGR, MATCH(N425,AllCollegeNCES,0)))</f>
        <v>0</v>
      </c>
      <c r="AC425">
        <f>IF(OR(W425="H",W425="B"),INDEX(AllCollegeSAT25, MATCH(N425,AllCollegeNCES,0)),INDEX(AllCollegeSAT50, MATCH(N425,AllCollegeNCES,0)))</f>
        <v>0</v>
      </c>
      <c r="AD425">
        <f>INDEX(CustomWeightsGPA,MATCH(W425&amp;":"&amp;N425,CustomWeightsIndex,0))</f>
        <v>0</v>
      </c>
      <c r="AE425">
        <f>INDEX(CustomWeightsSAT,MATCH(W425&amp;":"&amp;N425,CustomWeightsIndex,0))</f>
        <v>0</v>
      </c>
      <c r="AF425">
        <f>INDEX(CustomWeightsIntercept,MATCH(W425&amp;":"&amp;N425,CustomWeightsIndex,0))</f>
        <v>0</v>
      </c>
      <c r="AG425">
        <f>AD425*S425+AE425*T425+AF425</f>
        <v>0</v>
      </c>
      <c r="AH425">
        <f>INDEX(CoefficientsGPA,MATCH(W425&amp;":"&amp;R425,CoefficientsIndex,0))</f>
        <v>0</v>
      </c>
      <c r="AI425">
        <f>INDEX(CoefficientsSAT,MATCH(W425&amp;":"&amp;R425,CoefficientsIndex,0))</f>
        <v>0</v>
      </c>
      <c r="AJ425">
        <f>INDEX(CoefficientsIntercept,MATCH(W425&amp;":"&amp;R425,CoefficientsIndex,0))</f>
        <v>0</v>
      </c>
      <c r="AK425">
        <f>AH425*S425+(T425-AC425)*AI425+AJ425</f>
        <v>0</v>
      </c>
      <c r="AL425">
        <f>IF(ISNUMBER(AG425),AG425,AK425)</f>
        <v>0</v>
      </c>
      <c r="AM425">
        <f>IF(ISNUMBER(AL425),IF(ISNUMBER(AH425),IF(AND(AH425=1,AI425=1,AJ425=1),100,MIN(99,ROUND(100*EXP(AL425)/(1+EXP(AL425)),2))),MIN(99,ROUND(100*EXP(AL425)/(1+EXP(AL425)),2))),IF(ISTEXT(R425),IF(LEFT(R425,1)="2",100,"N/A"),"N/A"))</f>
        <v>0</v>
      </c>
      <c r="AN425">
        <f>IF(ISNUMBER(AM425),IF(AM425&gt;=99,IF(OR(U425=10,U425=11),MatchLabel,SureThingLabel),IF(AM425&gt;=95,SecureLabel,IF(AM425&gt;=80,SafetyLabel,IF(AM425&gt;=50,MatchLabel,IF(AM425&gt;=20,ReachLabel,IF(AM425&gt;=10,LongshotLabel,HailMaryLabel)))))),"Other")</f>
        <v>0</v>
      </c>
      <c r="AO425">
        <f>IF(OR(I425="accepted",I425="cond. accept",I425="summer admit"),IF(J425="yes","CHOICE!","Accepted!"),IF(I425="guar. transfer","Guar. Xfer",IF(I425="denied","Denied",IF(K425=1,"Waitlist",IF(L425=1,"Deferred",IF(G425="pending","Pending",IF(OR(G425="initial materials submitted",G425="mid-year submitted",G425="final submitted"),"Submitted",IF(H425="interest","Interest","?"))))))))</f>
        <v>0</v>
      </c>
      <c r="AP425">
        <f>IF(OR(AN425=ReachLabel,AN425=LongshotLabel,AN425=HailMaryLabel),1,0)</f>
        <v>0</v>
      </c>
      <c r="AQ425">
        <f>IF(OR(AP425=1,AN425=MatchLabel),1,0)</f>
        <v>0</v>
      </c>
      <c r="AR425">
        <f>IF(OR(AN425=MatchLabel,AN425=SafetyLabel,AN425=SecureLabel,AN425=SureThingLabel),1,0)</f>
        <v>0</v>
      </c>
      <c r="AS425">
        <f>IF(OR(W425="H",W425="B",W425="I",W425="M"),IF(ISNUMBER(AB425),ROUND(AB425,2),0),IF(ISNUMBER(AA425),ROUND(AA425,2),0))</f>
        <v>0</v>
      </c>
      <c r="AT425">
        <f>IF(AS425&gt;=X425,1,0)</f>
        <v>0</v>
      </c>
      <c r="AU425">
        <f>IF(AS425&gt;=Y425,1,0)</f>
        <v>0</v>
      </c>
      <c r="AV425">
        <f>IF(AS425&lt;(X425-0.10),1,0)</f>
        <v>0</v>
      </c>
      <c r="AW425">
        <f>1-AM425/100</f>
        <v>0</v>
      </c>
      <c r="AX425">
        <f>IF(AQ425=1,AW425,1)</f>
        <v>0</v>
      </c>
      <c r="AY425">
        <f>IF(AP425=1,AW425,1)</f>
        <v>0</v>
      </c>
      <c r="AZ425">
        <f>IF(AND(AT425=1,ISNUMBER(AW425)),$AW425,1)</f>
        <v>0</v>
      </c>
      <c r="BA425">
        <f>IF(AND(AU425=1,ISNUMBER(AW425)),$AW425,1)</f>
        <v>0</v>
      </c>
      <c r="BB425">
        <f>IF(ISNUMBER(AB425),INDEX(AllCollegeMoney, MATCH(N425,AllCollegeNCES,0)),0)</f>
        <v>0</v>
      </c>
      <c r="BC425">
        <f>IF(AND(AT425=1,ISNUMBER(AW425),BB425=1),$AW425,1)</f>
        <v>0</v>
      </c>
      <c r="BD425">
        <f>IF(AND(AU425=1,ISNUMBER(AW425),BB425=1),$AW425,1)</f>
        <v>0</v>
      </c>
      <c r="BE425">
        <f>IF(ISNUMBER(AB425),INDEX(AllCollegeILPub, MATCH(N425,AllCollegeNCES,0)),0)</f>
        <v>0</v>
      </c>
      <c r="BF425">
        <f>IF(AN425=ReachLabel,AS425,0)</f>
        <v>0</v>
      </c>
      <c r="BG425">
        <f>IF(AN425=MatchLabel,AS425,0)</f>
        <v>0</v>
      </c>
      <c r="BH425">
        <f>IF(AN425=SafetyLabel,AS425,0)</f>
        <v>0</v>
      </c>
      <c r="BI425">
        <f>IF(AN425=SecureLabel,AS425,0)</f>
        <v>0</v>
      </c>
      <c r="BJ425">
        <f>IF(AN425=SureThingLabel,AS425,0)</f>
        <v>0</v>
      </c>
      <c r="BK425">
        <f>MAX(BF425:BJ425)</f>
        <v>0</v>
      </c>
      <c r="BL425">
        <f>MAX(BG425:BJ425)</f>
        <v>0</v>
      </c>
      <c r="BM425">
        <f>MAX(BH425:BJ425)</f>
        <v>0</v>
      </c>
      <c r="BN425">
        <f>IF(AND(AN425=ReachLabel,BB425=1),AS425,0)</f>
        <v>0</v>
      </c>
      <c r="BO425">
        <f>IF(AND(AN425=MatchLabel,BB425=1),AS425,0)</f>
        <v>0</v>
      </c>
      <c r="BP425">
        <f>IF(AND(AN425=SafetyLabel,BB425=1),AS425,0)</f>
        <v>0</v>
      </c>
      <c r="BQ425">
        <f>IF(AND(AN425=SecureLabel,BB425=1),AS425,0)</f>
        <v>0</v>
      </c>
      <c r="BR425">
        <f>IF(AND(AN425=SureThingLabel,BB425=1),AS425,0)</f>
        <v>0</v>
      </c>
      <c r="BS425">
        <f>MAX(BN425:BR425)</f>
        <v>0</v>
      </c>
      <c r="BT425">
        <f>MAX(BO425:BR425)</f>
        <v>0</v>
      </c>
      <c r="BU425">
        <f>MAX(BP425:BR425)</f>
        <v>0</v>
      </c>
      <c r="BV425">
        <f>IF(ISNUMBER(AB425),INDEX(AllCollegeChicago, MATCH(N425,AllCollegeNCES,0))*BB425,0)</f>
        <v>0</v>
      </c>
      <c r="BW425">
        <f>IF(ISNUMBER(AB425),INDEX(AllCollegeMoneyCode, MATCH(N425,AllCollegeNCES,0)),"?")</f>
        <v>0</v>
      </c>
      <c r="BX425">
        <f>IF(OR(BW425="---",BW425="--",BW425="+/--",BW425="+/---"),1,0)</f>
        <v>0</v>
      </c>
      <c r="BY425">
        <f>BB425*AR425*AT425</f>
        <v>0</v>
      </c>
    </row>
    <row r="426" spans="1:77">
      <c r="A426" t="s">
        <v>96</v>
      </c>
      <c r="B426">
        <v>23403578</v>
      </c>
      <c r="C426" t="s">
        <v>261</v>
      </c>
      <c r="D426" t="s">
        <v>262</v>
      </c>
      <c r="E426" t="s">
        <v>446</v>
      </c>
      <c r="F426" t="s">
        <v>477</v>
      </c>
      <c r="G426" t="s">
        <v>448</v>
      </c>
      <c r="H426" t="s">
        <v>449</v>
      </c>
      <c r="I426" t="s">
        <v>450</v>
      </c>
      <c r="J426" t="s">
        <v>450</v>
      </c>
      <c r="K426">
        <v>0</v>
      </c>
      <c r="L426" t="s">
        <v>446</v>
      </c>
      <c r="M426" t="s">
        <v>446</v>
      </c>
      <c r="N426">
        <v>146427</v>
      </c>
      <c r="O426">
        <f>INDEX(Counselor,MATCH(B426,KidIDs,0))</f>
        <v>0</v>
      </c>
      <c r="P426">
        <f>INDEX(Advisors,MATCH(B426,KidIDs,0))</f>
        <v>0</v>
      </c>
      <c r="Q426">
        <f>INDEX(Cohort,MATCH(B426,KidIDs,0))</f>
        <v>0</v>
      </c>
      <c r="R426">
        <f>INDEX(AllCollegeBarrons,MATCH(N426,AllCollegeNCES,0))</f>
        <v>0</v>
      </c>
      <c r="S426">
        <f>INDEX(KidGPAs,MATCH(B426,KidIDs,0))</f>
        <v>0</v>
      </c>
      <c r="T426">
        <f>INDEX(KidSATs,MATCH(B426,KidIDs,0))</f>
        <v>0</v>
      </c>
      <c r="U426">
        <f>INDEX(Strats,MATCH(B426,KidIDs,0))</f>
        <v>0</v>
      </c>
      <c r="V426">
        <f>INDEX(KidRace,MATCH(B426,KidIDs,0))</f>
        <v>0</v>
      </c>
      <c r="W426">
        <f>IF(OR(V426="M",V426="I"),"H",IF(V426="P","A",V426))</f>
        <v>0</v>
      </c>
      <c r="X426">
        <f>INDEX(StudentTargets,MATCH(B426,KidIDs,0))</f>
        <v>0</v>
      </c>
      <c r="Y426">
        <f>INDEX(ReachStudentTargets,MATCH(B426,KidIDs,0))</f>
        <v>0</v>
      </c>
      <c r="Z426">
        <f>IF(OR(M426="Posse"),1,0)</f>
        <v>0</v>
      </c>
      <c r="AA426">
        <f>IF(ISNUMBER(INDEX(AllCollegeGR, MATCH(N426,AllCollegeNCES,0))),ROUND(INDEX(AllCollegeGR, MATCH(N426,AllCollegeNCES,0))+Z426*IF(INDEX(AllCollegeGR, MATCH(N426,AllCollegeNCES,0))&gt;0.7,(1-INDEX(AllCollegeGR, MATCH(N426,AllCollegeNCES,0)))/2,0.15),2),INDEX(AllCollegeGR, MATCH(N426,AllCollegeNCES,0)))</f>
        <v>0</v>
      </c>
      <c r="AB426">
        <f>IF(ISNUMBER(INDEX(AllCollegeAAHGR, MATCH(N426,AllCollegeNCES,0))),ROUND(INDEX(AllCollegeAAHGR, MATCH(N426,AllCollegeNCES,0))+Z426*IF(INDEX(AllCollegeAAHGR, MATCH(N426,AllCollegeNCES,0))&gt;0.7,(1-INDEX(AllCollegeAAHGR, MATCH(N426,AllCollegeNCES,0)))/2,0.15),2),INDEX(AllCollegeAAHGR, MATCH(N426,AllCollegeNCES,0)))</f>
        <v>0</v>
      </c>
      <c r="AC426">
        <f>IF(OR(W426="H",W426="B"),INDEX(AllCollegeSAT25, MATCH(N426,AllCollegeNCES,0)),INDEX(AllCollegeSAT50, MATCH(N426,AllCollegeNCES,0)))</f>
        <v>0</v>
      </c>
      <c r="AD426">
        <f>INDEX(CustomWeightsGPA,MATCH(W426&amp;":"&amp;N426,CustomWeightsIndex,0))</f>
        <v>0</v>
      </c>
      <c r="AE426">
        <f>INDEX(CustomWeightsSAT,MATCH(W426&amp;":"&amp;N426,CustomWeightsIndex,0))</f>
        <v>0</v>
      </c>
      <c r="AF426">
        <f>INDEX(CustomWeightsIntercept,MATCH(W426&amp;":"&amp;N426,CustomWeightsIndex,0))</f>
        <v>0</v>
      </c>
      <c r="AG426">
        <f>AD426*S426+AE426*T426+AF426</f>
        <v>0</v>
      </c>
      <c r="AH426">
        <f>INDEX(CoefficientsGPA,MATCH(W426&amp;":"&amp;R426,CoefficientsIndex,0))</f>
        <v>0</v>
      </c>
      <c r="AI426">
        <f>INDEX(CoefficientsSAT,MATCH(W426&amp;":"&amp;R426,CoefficientsIndex,0))</f>
        <v>0</v>
      </c>
      <c r="AJ426">
        <f>INDEX(CoefficientsIntercept,MATCH(W426&amp;":"&amp;R426,CoefficientsIndex,0))</f>
        <v>0</v>
      </c>
      <c r="AK426">
        <f>AH426*S426+(T426-AC426)*AI426+AJ426</f>
        <v>0</v>
      </c>
      <c r="AL426">
        <f>IF(ISNUMBER(AG426),AG426,AK426)</f>
        <v>0</v>
      </c>
      <c r="AM426">
        <f>IF(ISNUMBER(AL426),IF(ISNUMBER(AH426),IF(AND(AH426=1,AI426=1,AJ426=1),100,MIN(99,ROUND(100*EXP(AL426)/(1+EXP(AL426)),2))),MIN(99,ROUND(100*EXP(AL426)/(1+EXP(AL426)),2))),IF(ISTEXT(R426),IF(LEFT(R426,1)="2",100,"N/A"),"N/A"))</f>
        <v>0</v>
      </c>
      <c r="AN426">
        <f>IF(ISNUMBER(AM426),IF(AM426&gt;=99,IF(OR(U426=10,U426=11),MatchLabel,SureThingLabel),IF(AM426&gt;=95,SecureLabel,IF(AM426&gt;=80,SafetyLabel,IF(AM426&gt;=50,MatchLabel,IF(AM426&gt;=20,ReachLabel,IF(AM426&gt;=10,LongshotLabel,HailMaryLabel)))))),"Other")</f>
        <v>0</v>
      </c>
      <c r="AO426">
        <f>IF(OR(I426="accepted",I426="cond. accept",I426="summer admit"),IF(J426="yes","CHOICE!","Accepted!"),IF(I426="guar. transfer","Guar. Xfer",IF(I426="denied","Denied",IF(K426=1,"Waitlist",IF(L426=1,"Deferred",IF(G426="pending","Pending",IF(OR(G426="initial materials submitted",G426="mid-year submitted",G426="final submitted"),"Submitted",IF(H426="interest","Interest","?"))))))))</f>
        <v>0</v>
      </c>
      <c r="AP426">
        <f>IF(OR(AN426=ReachLabel,AN426=LongshotLabel,AN426=HailMaryLabel),1,0)</f>
        <v>0</v>
      </c>
      <c r="AQ426">
        <f>IF(OR(AP426=1,AN426=MatchLabel),1,0)</f>
        <v>0</v>
      </c>
      <c r="AR426">
        <f>IF(OR(AN426=MatchLabel,AN426=SafetyLabel,AN426=SecureLabel,AN426=SureThingLabel),1,0)</f>
        <v>0</v>
      </c>
      <c r="AS426">
        <f>IF(OR(W426="H",W426="B",W426="I",W426="M"),IF(ISNUMBER(AB426),ROUND(AB426,2),0),IF(ISNUMBER(AA426),ROUND(AA426,2),0))</f>
        <v>0</v>
      </c>
      <c r="AT426">
        <f>IF(AS426&gt;=X426,1,0)</f>
        <v>0</v>
      </c>
      <c r="AU426">
        <f>IF(AS426&gt;=Y426,1,0)</f>
        <v>0</v>
      </c>
      <c r="AV426">
        <f>IF(AS426&lt;(X426-0.10),1,0)</f>
        <v>0</v>
      </c>
      <c r="AW426">
        <f>1-AM426/100</f>
        <v>0</v>
      </c>
      <c r="AX426">
        <f>IF(AQ426=1,AW426,1)</f>
        <v>0</v>
      </c>
      <c r="AY426">
        <f>IF(AP426=1,AW426,1)</f>
        <v>0</v>
      </c>
      <c r="AZ426">
        <f>IF(AND(AT426=1,ISNUMBER(AW426)),$AW426,1)</f>
        <v>0</v>
      </c>
      <c r="BA426">
        <f>IF(AND(AU426=1,ISNUMBER(AW426)),$AW426,1)</f>
        <v>0</v>
      </c>
      <c r="BB426">
        <f>IF(ISNUMBER(AB426),INDEX(AllCollegeMoney, MATCH(N426,AllCollegeNCES,0)),0)</f>
        <v>0</v>
      </c>
      <c r="BC426">
        <f>IF(AND(AT426=1,ISNUMBER(AW426),BB426=1),$AW426,1)</f>
        <v>0</v>
      </c>
      <c r="BD426">
        <f>IF(AND(AU426=1,ISNUMBER(AW426),BB426=1),$AW426,1)</f>
        <v>0</v>
      </c>
      <c r="BE426">
        <f>IF(ISNUMBER(AB426),INDEX(AllCollegeILPub, MATCH(N426,AllCollegeNCES,0)),0)</f>
        <v>0</v>
      </c>
      <c r="BF426">
        <f>IF(AN426=ReachLabel,AS426,0)</f>
        <v>0</v>
      </c>
      <c r="BG426">
        <f>IF(AN426=MatchLabel,AS426,0)</f>
        <v>0</v>
      </c>
      <c r="BH426">
        <f>IF(AN426=SafetyLabel,AS426,0)</f>
        <v>0</v>
      </c>
      <c r="BI426">
        <f>IF(AN426=SecureLabel,AS426,0)</f>
        <v>0</v>
      </c>
      <c r="BJ426">
        <f>IF(AN426=SureThingLabel,AS426,0)</f>
        <v>0</v>
      </c>
      <c r="BK426">
        <f>MAX(BF426:BJ426)</f>
        <v>0</v>
      </c>
      <c r="BL426">
        <f>MAX(BG426:BJ426)</f>
        <v>0</v>
      </c>
      <c r="BM426">
        <f>MAX(BH426:BJ426)</f>
        <v>0</v>
      </c>
      <c r="BN426">
        <f>IF(AND(AN426=ReachLabel,BB426=1),AS426,0)</f>
        <v>0</v>
      </c>
      <c r="BO426">
        <f>IF(AND(AN426=MatchLabel,BB426=1),AS426,0)</f>
        <v>0</v>
      </c>
      <c r="BP426">
        <f>IF(AND(AN426=SafetyLabel,BB426=1),AS426,0)</f>
        <v>0</v>
      </c>
      <c r="BQ426">
        <f>IF(AND(AN426=SecureLabel,BB426=1),AS426,0)</f>
        <v>0</v>
      </c>
      <c r="BR426">
        <f>IF(AND(AN426=SureThingLabel,BB426=1),AS426,0)</f>
        <v>0</v>
      </c>
      <c r="BS426">
        <f>MAX(BN426:BR426)</f>
        <v>0</v>
      </c>
      <c r="BT426">
        <f>MAX(BO426:BR426)</f>
        <v>0</v>
      </c>
      <c r="BU426">
        <f>MAX(BP426:BR426)</f>
        <v>0</v>
      </c>
      <c r="BV426">
        <f>IF(ISNUMBER(AB426),INDEX(AllCollegeChicago, MATCH(N426,AllCollegeNCES,0))*BB426,0)</f>
        <v>0</v>
      </c>
      <c r="BW426">
        <f>IF(ISNUMBER(AB426),INDEX(AllCollegeMoneyCode, MATCH(N426,AllCollegeNCES,0)),"?")</f>
        <v>0</v>
      </c>
      <c r="BX426">
        <f>IF(OR(BW426="---",BW426="--",BW426="+/--",BW426="+/---"),1,0)</f>
        <v>0</v>
      </c>
      <c r="BY426">
        <f>BB426*AR426*AT426</f>
        <v>0</v>
      </c>
    </row>
    <row r="427" spans="1:77">
      <c r="A427" t="s">
        <v>96</v>
      </c>
      <c r="B427">
        <v>23403578</v>
      </c>
      <c r="C427" t="s">
        <v>261</v>
      </c>
      <c r="D427" t="s">
        <v>262</v>
      </c>
      <c r="E427" t="s">
        <v>446</v>
      </c>
      <c r="F427" t="s">
        <v>478</v>
      </c>
      <c r="G427" t="s">
        <v>479</v>
      </c>
      <c r="H427" t="s">
        <v>449</v>
      </c>
      <c r="I427" t="s">
        <v>450</v>
      </c>
      <c r="J427" t="s">
        <v>450</v>
      </c>
      <c r="K427">
        <v>0</v>
      </c>
      <c r="L427" t="s">
        <v>446</v>
      </c>
      <c r="M427" t="s">
        <v>446</v>
      </c>
      <c r="N427">
        <v>168546</v>
      </c>
      <c r="O427">
        <f>INDEX(Counselor,MATCH(B427,KidIDs,0))</f>
        <v>0</v>
      </c>
      <c r="P427">
        <f>INDEX(Advisors,MATCH(B427,KidIDs,0))</f>
        <v>0</v>
      </c>
      <c r="Q427">
        <f>INDEX(Cohort,MATCH(B427,KidIDs,0))</f>
        <v>0</v>
      </c>
      <c r="R427">
        <f>INDEX(AllCollegeBarrons,MATCH(N427,AllCollegeNCES,0))</f>
        <v>0</v>
      </c>
      <c r="S427">
        <f>INDEX(KidGPAs,MATCH(B427,KidIDs,0))</f>
        <v>0</v>
      </c>
      <c r="T427">
        <f>INDEX(KidSATs,MATCH(B427,KidIDs,0))</f>
        <v>0</v>
      </c>
      <c r="U427">
        <f>INDEX(Strats,MATCH(B427,KidIDs,0))</f>
        <v>0</v>
      </c>
      <c r="V427">
        <f>INDEX(KidRace,MATCH(B427,KidIDs,0))</f>
        <v>0</v>
      </c>
      <c r="W427">
        <f>IF(OR(V427="M",V427="I"),"H",IF(V427="P","A",V427))</f>
        <v>0</v>
      </c>
      <c r="X427">
        <f>INDEX(StudentTargets,MATCH(B427,KidIDs,0))</f>
        <v>0</v>
      </c>
      <c r="Y427">
        <f>INDEX(ReachStudentTargets,MATCH(B427,KidIDs,0))</f>
        <v>0</v>
      </c>
      <c r="Z427">
        <f>IF(OR(M427="Posse"),1,0)</f>
        <v>0</v>
      </c>
      <c r="AA427">
        <f>IF(ISNUMBER(INDEX(AllCollegeGR, MATCH(N427,AllCollegeNCES,0))),ROUND(INDEX(AllCollegeGR, MATCH(N427,AllCollegeNCES,0))+Z427*IF(INDEX(AllCollegeGR, MATCH(N427,AllCollegeNCES,0))&gt;0.7,(1-INDEX(AllCollegeGR, MATCH(N427,AllCollegeNCES,0)))/2,0.15),2),INDEX(AllCollegeGR, MATCH(N427,AllCollegeNCES,0)))</f>
        <v>0</v>
      </c>
      <c r="AB427">
        <f>IF(ISNUMBER(INDEX(AllCollegeAAHGR, MATCH(N427,AllCollegeNCES,0))),ROUND(INDEX(AllCollegeAAHGR, MATCH(N427,AllCollegeNCES,0))+Z427*IF(INDEX(AllCollegeAAHGR, MATCH(N427,AllCollegeNCES,0))&gt;0.7,(1-INDEX(AllCollegeAAHGR, MATCH(N427,AllCollegeNCES,0)))/2,0.15),2),INDEX(AllCollegeAAHGR, MATCH(N427,AllCollegeNCES,0)))</f>
        <v>0</v>
      </c>
      <c r="AC427">
        <f>IF(OR(W427="H",W427="B"),INDEX(AllCollegeSAT25, MATCH(N427,AllCollegeNCES,0)),INDEX(AllCollegeSAT50, MATCH(N427,AllCollegeNCES,0)))</f>
        <v>0</v>
      </c>
      <c r="AD427">
        <f>INDEX(CustomWeightsGPA,MATCH(W427&amp;":"&amp;N427,CustomWeightsIndex,0))</f>
        <v>0</v>
      </c>
      <c r="AE427">
        <f>INDEX(CustomWeightsSAT,MATCH(W427&amp;":"&amp;N427,CustomWeightsIndex,0))</f>
        <v>0</v>
      </c>
      <c r="AF427">
        <f>INDEX(CustomWeightsIntercept,MATCH(W427&amp;":"&amp;N427,CustomWeightsIndex,0))</f>
        <v>0</v>
      </c>
      <c r="AG427">
        <f>AD427*S427+AE427*T427+AF427</f>
        <v>0</v>
      </c>
      <c r="AH427">
        <f>INDEX(CoefficientsGPA,MATCH(W427&amp;":"&amp;R427,CoefficientsIndex,0))</f>
        <v>0</v>
      </c>
      <c r="AI427">
        <f>INDEX(CoefficientsSAT,MATCH(W427&amp;":"&amp;R427,CoefficientsIndex,0))</f>
        <v>0</v>
      </c>
      <c r="AJ427">
        <f>INDEX(CoefficientsIntercept,MATCH(W427&amp;":"&amp;R427,CoefficientsIndex,0))</f>
        <v>0</v>
      </c>
      <c r="AK427">
        <f>AH427*S427+(T427-AC427)*AI427+AJ427</f>
        <v>0</v>
      </c>
      <c r="AL427">
        <f>IF(ISNUMBER(AG427),AG427,AK427)</f>
        <v>0</v>
      </c>
      <c r="AM427">
        <f>IF(ISNUMBER(AL427),IF(ISNUMBER(AH427),IF(AND(AH427=1,AI427=1,AJ427=1),100,MIN(99,ROUND(100*EXP(AL427)/(1+EXP(AL427)),2))),MIN(99,ROUND(100*EXP(AL427)/(1+EXP(AL427)),2))),IF(ISTEXT(R427),IF(LEFT(R427,1)="2",100,"N/A"),"N/A"))</f>
        <v>0</v>
      </c>
      <c r="AN427">
        <f>IF(ISNUMBER(AM427),IF(AM427&gt;=99,IF(OR(U427=10,U427=11),MatchLabel,SureThingLabel),IF(AM427&gt;=95,SecureLabel,IF(AM427&gt;=80,SafetyLabel,IF(AM427&gt;=50,MatchLabel,IF(AM427&gt;=20,ReachLabel,IF(AM427&gt;=10,LongshotLabel,HailMaryLabel)))))),"Other")</f>
        <v>0</v>
      </c>
      <c r="AO427">
        <f>IF(OR(I427="accepted",I427="cond. accept",I427="summer admit"),IF(J427="yes","CHOICE!","Accepted!"),IF(I427="guar. transfer","Guar. Xfer",IF(I427="denied","Denied",IF(K427=1,"Waitlist",IF(L427=1,"Deferred",IF(G427="pending","Pending",IF(OR(G427="initial materials submitted",G427="mid-year submitted",G427="final submitted"),"Submitted",IF(H427="interest","Interest","?"))))))))</f>
        <v>0</v>
      </c>
      <c r="AP427">
        <f>IF(OR(AN427=ReachLabel,AN427=LongshotLabel,AN427=HailMaryLabel),1,0)</f>
        <v>0</v>
      </c>
      <c r="AQ427">
        <f>IF(OR(AP427=1,AN427=MatchLabel),1,0)</f>
        <v>0</v>
      </c>
      <c r="AR427">
        <f>IF(OR(AN427=MatchLabel,AN427=SafetyLabel,AN427=SecureLabel,AN427=SureThingLabel),1,0)</f>
        <v>0</v>
      </c>
      <c r="AS427">
        <f>IF(OR(W427="H",W427="B",W427="I",W427="M"),IF(ISNUMBER(AB427),ROUND(AB427,2),0),IF(ISNUMBER(AA427),ROUND(AA427,2),0))</f>
        <v>0</v>
      </c>
      <c r="AT427">
        <f>IF(AS427&gt;=X427,1,0)</f>
        <v>0</v>
      </c>
      <c r="AU427">
        <f>IF(AS427&gt;=Y427,1,0)</f>
        <v>0</v>
      </c>
      <c r="AV427">
        <f>IF(AS427&lt;(X427-0.10),1,0)</f>
        <v>0</v>
      </c>
      <c r="AW427">
        <f>1-AM427/100</f>
        <v>0</v>
      </c>
      <c r="AX427">
        <f>IF(AQ427=1,AW427,1)</f>
        <v>0</v>
      </c>
      <c r="AY427">
        <f>IF(AP427=1,AW427,1)</f>
        <v>0</v>
      </c>
      <c r="AZ427">
        <f>IF(AND(AT427=1,ISNUMBER(AW427)),$AW427,1)</f>
        <v>0</v>
      </c>
      <c r="BA427">
        <f>IF(AND(AU427=1,ISNUMBER(AW427)),$AW427,1)</f>
        <v>0</v>
      </c>
      <c r="BB427">
        <f>IF(ISNUMBER(AB427),INDEX(AllCollegeMoney, MATCH(N427,AllCollegeNCES,0)),0)</f>
        <v>0</v>
      </c>
      <c r="BC427">
        <f>IF(AND(AT427=1,ISNUMBER(AW427),BB427=1),$AW427,1)</f>
        <v>0</v>
      </c>
      <c r="BD427">
        <f>IF(AND(AU427=1,ISNUMBER(AW427),BB427=1),$AW427,1)</f>
        <v>0</v>
      </c>
      <c r="BE427">
        <f>IF(ISNUMBER(AB427),INDEX(AllCollegeILPub, MATCH(N427,AllCollegeNCES,0)),0)</f>
        <v>0</v>
      </c>
      <c r="BF427">
        <f>IF(AN427=ReachLabel,AS427,0)</f>
        <v>0</v>
      </c>
      <c r="BG427">
        <f>IF(AN427=MatchLabel,AS427,0)</f>
        <v>0</v>
      </c>
      <c r="BH427">
        <f>IF(AN427=SafetyLabel,AS427,0)</f>
        <v>0</v>
      </c>
      <c r="BI427">
        <f>IF(AN427=SecureLabel,AS427,0)</f>
        <v>0</v>
      </c>
      <c r="BJ427">
        <f>IF(AN427=SureThingLabel,AS427,0)</f>
        <v>0</v>
      </c>
      <c r="BK427">
        <f>MAX(BF427:BJ427)</f>
        <v>0</v>
      </c>
      <c r="BL427">
        <f>MAX(BG427:BJ427)</f>
        <v>0</v>
      </c>
      <c r="BM427">
        <f>MAX(BH427:BJ427)</f>
        <v>0</v>
      </c>
      <c r="BN427">
        <f>IF(AND(AN427=ReachLabel,BB427=1),AS427,0)</f>
        <v>0</v>
      </c>
      <c r="BO427">
        <f>IF(AND(AN427=MatchLabel,BB427=1),AS427,0)</f>
        <v>0</v>
      </c>
      <c r="BP427">
        <f>IF(AND(AN427=SafetyLabel,BB427=1),AS427,0)</f>
        <v>0</v>
      </c>
      <c r="BQ427">
        <f>IF(AND(AN427=SecureLabel,BB427=1),AS427,0)</f>
        <v>0</v>
      </c>
      <c r="BR427">
        <f>IF(AND(AN427=SureThingLabel,BB427=1),AS427,0)</f>
        <v>0</v>
      </c>
      <c r="BS427">
        <f>MAX(BN427:BR427)</f>
        <v>0</v>
      </c>
      <c r="BT427">
        <f>MAX(BO427:BR427)</f>
        <v>0</v>
      </c>
      <c r="BU427">
        <f>MAX(BP427:BR427)</f>
        <v>0</v>
      </c>
      <c r="BV427">
        <f>IF(ISNUMBER(AB427),INDEX(AllCollegeChicago, MATCH(N427,AllCollegeNCES,0))*BB427,0)</f>
        <v>0</v>
      </c>
      <c r="BW427">
        <f>IF(ISNUMBER(AB427),INDEX(AllCollegeMoneyCode, MATCH(N427,AllCollegeNCES,0)),"?")</f>
        <v>0</v>
      </c>
      <c r="BX427">
        <f>IF(OR(BW427="---",BW427="--",BW427="+/--",BW427="+/---"),1,0)</f>
        <v>0</v>
      </c>
      <c r="BY427">
        <f>BB427*AR427*AT427</f>
        <v>0</v>
      </c>
    </row>
    <row r="428" spans="1:77">
      <c r="A428" t="s">
        <v>96</v>
      </c>
      <c r="B428">
        <v>23403578</v>
      </c>
      <c r="C428" t="s">
        <v>261</v>
      </c>
      <c r="D428" t="s">
        <v>262</v>
      </c>
      <c r="E428" t="s">
        <v>446</v>
      </c>
      <c r="F428" t="s">
        <v>502</v>
      </c>
      <c r="G428" t="s">
        <v>448</v>
      </c>
      <c r="H428" t="s">
        <v>449</v>
      </c>
      <c r="I428" t="s">
        <v>450</v>
      </c>
      <c r="J428" t="s">
        <v>450</v>
      </c>
      <c r="K428">
        <v>0</v>
      </c>
      <c r="L428" t="s">
        <v>446</v>
      </c>
      <c r="M428" t="s">
        <v>446</v>
      </c>
      <c r="N428">
        <v>170082</v>
      </c>
      <c r="O428">
        <f>INDEX(Counselor,MATCH(B428,KidIDs,0))</f>
        <v>0</v>
      </c>
      <c r="P428">
        <f>INDEX(Advisors,MATCH(B428,KidIDs,0))</f>
        <v>0</v>
      </c>
      <c r="Q428">
        <f>INDEX(Cohort,MATCH(B428,KidIDs,0))</f>
        <v>0</v>
      </c>
      <c r="R428">
        <f>INDEX(AllCollegeBarrons,MATCH(N428,AllCollegeNCES,0))</f>
        <v>0</v>
      </c>
      <c r="S428">
        <f>INDEX(KidGPAs,MATCH(B428,KidIDs,0))</f>
        <v>0</v>
      </c>
      <c r="T428">
        <f>INDEX(KidSATs,MATCH(B428,KidIDs,0))</f>
        <v>0</v>
      </c>
      <c r="U428">
        <f>INDEX(Strats,MATCH(B428,KidIDs,0))</f>
        <v>0</v>
      </c>
      <c r="V428">
        <f>INDEX(KidRace,MATCH(B428,KidIDs,0))</f>
        <v>0</v>
      </c>
      <c r="W428">
        <f>IF(OR(V428="M",V428="I"),"H",IF(V428="P","A",V428))</f>
        <v>0</v>
      </c>
      <c r="X428">
        <f>INDEX(StudentTargets,MATCH(B428,KidIDs,0))</f>
        <v>0</v>
      </c>
      <c r="Y428">
        <f>INDEX(ReachStudentTargets,MATCH(B428,KidIDs,0))</f>
        <v>0</v>
      </c>
      <c r="Z428">
        <f>IF(OR(M428="Posse"),1,0)</f>
        <v>0</v>
      </c>
      <c r="AA428">
        <f>IF(ISNUMBER(INDEX(AllCollegeGR, MATCH(N428,AllCollegeNCES,0))),ROUND(INDEX(AllCollegeGR, MATCH(N428,AllCollegeNCES,0))+Z428*IF(INDEX(AllCollegeGR, MATCH(N428,AllCollegeNCES,0))&gt;0.7,(1-INDEX(AllCollegeGR, MATCH(N428,AllCollegeNCES,0)))/2,0.15),2),INDEX(AllCollegeGR, MATCH(N428,AllCollegeNCES,0)))</f>
        <v>0</v>
      </c>
      <c r="AB428">
        <f>IF(ISNUMBER(INDEX(AllCollegeAAHGR, MATCH(N428,AllCollegeNCES,0))),ROUND(INDEX(AllCollegeAAHGR, MATCH(N428,AllCollegeNCES,0))+Z428*IF(INDEX(AllCollegeAAHGR, MATCH(N428,AllCollegeNCES,0))&gt;0.7,(1-INDEX(AllCollegeAAHGR, MATCH(N428,AllCollegeNCES,0)))/2,0.15),2),INDEX(AllCollegeAAHGR, MATCH(N428,AllCollegeNCES,0)))</f>
        <v>0</v>
      </c>
      <c r="AC428">
        <f>IF(OR(W428="H",W428="B"),INDEX(AllCollegeSAT25, MATCH(N428,AllCollegeNCES,0)),INDEX(AllCollegeSAT50, MATCH(N428,AllCollegeNCES,0)))</f>
        <v>0</v>
      </c>
      <c r="AD428">
        <f>INDEX(CustomWeightsGPA,MATCH(W428&amp;":"&amp;N428,CustomWeightsIndex,0))</f>
        <v>0</v>
      </c>
      <c r="AE428">
        <f>INDEX(CustomWeightsSAT,MATCH(W428&amp;":"&amp;N428,CustomWeightsIndex,0))</f>
        <v>0</v>
      </c>
      <c r="AF428">
        <f>INDEX(CustomWeightsIntercept,MATCH(W428&amp;":"&amp;N428,CustomWeightsIndex,0))</f>
        <v>0</v>
      </c>
      <c r="AG428">
        <f>AD428*S428+AE428*T428+AF428</f>
        <v>0</v>
      </c>
      <c r="AH428">
        <f>INDEX(CoefficientsGPA,MATCH(W428&amp;":"&amp;R428,CoefficientsIndex,0))</f>
        <v>0</v>
      </c>
      <c r="AI428">
        <f>INDEX(CoefficientsSAT,MATCH(W428&amp;":"&amp;R428,CoefficientsIndex,0))</f>
        <v>0</v>
      </c>
      <c r="AJ428">
        <f>INDEX(CoefficientsIntercept,MATCH(W428&amp;":"&amp;R428,CoefficientsIndex,0))</f>
        <v>0</v>
      </c>
      <c r="AK428">
        <f>AH428*S428+(T428-AC428)*AI428+AJ428</f>
        <v>0</v>
      </c>
      <c r="AL428">
        <f>IF(ISNUMBER(AG428),AG428,AK428)</f>
        <v>0</v>
      </c>
      <c r="AM428">
        <f>IF(ISNUMBER(AL428),IF(ISNUMBER(AH428),IF(AND(AH428=1,AI428=1,AJ428=1),100,MIN(99,ROUND(100*EXP(AL428)/(1+EXP(AL428)),2))),MIN(99,ROUND(100*EXP(AL428)/(1+EXP(AL428)),2))),IF(ISTEXT(R428),IF(LEFT(R428,1)="2",100,"N/A"),"N/A"))</f>
        <v>0</v>
      </c>
      <c r="AN428">
        <f>IF(ISNUMBER(AM428),IF(AM428&gt;=99,IF(OR(U428=10,U428=11),MatchLabel,SureThingLabel),IF(AM428&gt;=95,SecureLabel,IF(AM428&gt;=80,SafetyLabel,IF(AM428&gt;=50,MatchLabel,IF(AM428&gt;=20,ReachLabel,IF(AM428&gt;=10,LongshotLabel,HailMaryLabel)))))),"Other")</f>
        <v>0</v>
      </c>
      <c r="AO428">
        <f>IF(OR(I428="accepted",I428="cond. accept",I428="summer admit"),IF(J428="yes","CHOICE!","Accepted!"),IF(I428="guar. transfer","Guar. Xfer",IF(I428="denied","Denied",IF(K428=1,"Waitlist",IF(L428=1,"Deferred",IF(G428="pending","Pending",IF(OR(G428="initial materials submitted",G428="mid-year submitted",G428="final submitted"),"Submitted",IF(H428="interest","Interest","?"))))))))</f>
        <v>0</v>
      </c>
      <c r="AP428">
        <f>IF(OR(AN428=ReachLabel,AN428=LongshotLabel,AN428=HailMaryLabel),1,0)</f>
        <v>0</v>
      </c>
      <c r="AQ428">
        <f>IF(OR(AP428=1,AN428=MatchLabel),1,0)</f>
        <v>0</v>
      </c>
      <c r="AR428">
        <f>IF(OR(AN428=MatchLabel,AN428=SafetyLabel,AN428=SecureLabel,AN428=SureThingLabel),1,0)</f>
        <v>0</v>
      </c>
      <c r="AS428">
        <f>IF(OR(W428="H",W428="B",W428="I",W428="M"),IF(ISNUMBER(AB428),ROUND(AB428,2),0),IF(ISNUMBER(AA428),ROUND(AA428,2),0))</f>
        <v>0</v>
      </c>
      <c r="AT428">
        <f>IF(AS428&gt;=X428,1,0)</f>
        <v>0</v>
      </c>
      <c r="AU428">
        <f>IF(AS428&gt;=Y428,1,0)</f>
        <v>0</v>
      </c>
      <c r="AV428">
        <f>IF(AS428&lt;(X428-0.10),1,0)</f>
        <v>0</v>
      </c>
      <c r="AW428">
        <f>1-AM428/100</f>
        <v>0</v>
      </c>
      <c r="AX428">
        <f>IF(AQ428=1,AW428,1)</f>
        <v>0</v>
      </c>
      <c r="AY428">
        <f>IF(AP428=1,AW428,1)</f>
        <v>0</v>
      </c>
      <c r="AZ428">
        <f>IF(AND(AT428=1,ISNUMBER(AW428)),$AW428,1)</f>
        <v>0</v>
      </c>
      <c r="BA428">
        <f>IF(AND(AU428=1,ISNUMBER(AW428)),$AW428,1)</f>
        <v>0</v>
      </c>
      <c r="BB428">
        <f>IF(ISNUMBER(AB428),INDEX(AllCollegeMoney, MATCH(N428,AllCollegeNCES,0)),0)</f>
        <v>0</v>
      </c>
      <c r="BC428">
        <f>IF(AND(AT428=1,ISNUMBER(AW428),BB428=1),$AW428,1)</f>
        <v>0</v>
      </c>
      <c r="BD428">
        <f>IF(AND(AU428=1,ISNUMBER(AW428),BB428=1),$AW428,1)</f>
        <v>0</v>
      </c>
      <c r="BE428">
        <f>IF(ISNUMBER(AB428),INDEX(AllCollegeILPub, MATCH(N428,AllCollegeNCES,0)),0)</f>
        <v>0</v>
      </c>
      <c r="BF428">
        <f>IF(AN428=ReachLabel,AS428,0)</f>
        <v>0</v>
      </c>
      <c r="BG428">
        <f>IF(AN428=MatchLabel,AS428,0)</f>
        <v>0</v>
      </c>
      <c r="BH428">
        <f>IF(AN428=SafetyLabel,AS428,0)</f>
        <v>0</v>
      </c>
      <c r="BI428">
        <f>IF(AN428=SecureLabel,AS428,0)</f>
        <v>0</v>
      </c>
      <c r="BJ428">
        <f>IF(AN428=SureThingLabel,AS428,0)</f>
        <v>0</v>
      </c>
      <c r="BK428">
        <f>MAX(BF428:BJ428)</f>
        <v>0</v>
      </c>
      <c r="BL428">
        <f>MAX(BG428:BJ428)</f>
        <v>0</v>
      </c>
      <c r="BM428">
        <f>MAX(BH428:BJ428)</f>
        <v>0</v>
      </c>
      <c r="BN428">
        <f>IF(AND(AN428=ReachLabel,BB428=1),AS428,0)</f>
        <v>0</v>
      </c>
      <c r="BO428">
        <f>IF(AND(AN428=MatchLabel,BB428=1),AS428,0)</f>
        <v>0</v>
      </c>
      <c r="BP428">
        <f>IF(AND(AN428=SafetyLabel,BB428=1),AS428,0)</f>
        <v>0</v>
      </c>
      <c r="BQ428">
        <f>IF(AND(AN428=SecureLabel,BB428=1),AS428,0)</f>
        <v>0</v>
      </c>
      <c r="BR428">
        <f>IF(AND(AN428=SureThingLabel,BB428=1),AS428,0)</f>
        <v>0</v>
      </c>
      <c r="BS428">
        <f>MAX(BN428:BR428)</f>
        <v>0</v>
      </c>
      <c r="BT428">
        <f>MAX(BO428:BR428)</f>
        <v>0</v>
      </c>
      <c r="BU428">
        <f>MAX(BP428:BR428)</f>
        <v>0</v>
      </c>
      <c r="BV428">
        <f>IF(ISNUMBER(AB428),INDEX(AllCollegeChicago, MATCH(N428,AllCollegeNCES,0))*BB428,0)</f>
        <v>0</v>
      </c>
      <c r="BW428">
        <f>IF(ISNUMBER(AB428),INDEX(AllCollegeMoneyCode, MATCH(N428,AllCollegeNCES,0)),"?")</f>
        <v>0</v>
      </c>
      <c r="BX428">
        <f>IF(OR(BW428="---",BW428="--",BW428="+/--",BW428="+/---"),1,0)</f>
        <v>0</v>
      </c>
      <c r="BY428">
        <f>BB428*AR428*AT428</f>
        <v>0</v>
      </c>
    </row>
    <row r="429" spans="1:77">
      <c r="A429" t="s">
        <v>96</v>
      </c>
      <c r="B429">
        <v>23403578</v>
      </c>
      <c r="C429" t="s">
        <v>261</v>
      </c>
      <c r="D429" t="s">
        <v>262</v>
      </c>
      <c r="E429" t="s">
        <v>446</v>
      </c>
      <c r="F429" t="s">
        <v>465</v>
      </c>
      <c r="G429" t="s">
        <v>448</v>
      </c>
      <c r="H429" t="s">
        <v>449</v>
      </c>
      <c r="I429" t="s">
        <v>450</v>
      </c>
      <c r="J429" t="s">
        <v>450</v>
      </c>
      <c r="K429">
        <v>0</v>
      </c>
      <c r="L429" t="s">
        <v>446</v>
      </c>
      <c r="M429" t="s">
        <v>446</v>
      </c>
      <c r="N429">
        <v>145600</v>
      </c>
      <c r="O429">
        <f>INDEX(Counselor,MATCH(B429,KidIDs,0))</f>
        <v>0</v>
      </c>
      <c r="P429">
        <f>INDEX(Advisors,MATCH(B429,KidIDs,0))</f>
        <v>0</v>
      </c>
      <c r="Q429">
        <f>INDEX(Cohort,MATCH(B429,KidIDs,0))</f>
        <v>0</v>
      </c>
      <c r="R429">
        <f>INDEX(AllCollegeBarrons,MATCH(N429,AllCollegeNCES,0))</f>
        <v>0</v>
      </c>
      <c r="S429">
        <f>INDEX(KidGPAs,MATCH(B429,KidIDs,0))</f>
        <v>0</v>
      </c>
      <c r="T429">
        <f>INDEX(KidSATs,MATCH(B429,KidIDs,0))</f>
        <v>0</v>
      </c>
      <c r="U429">
        <f>INDEX(Strats,MATCH(B429,KidIDs,0))</f>
        <v>0</v>
      </c>
      <c r="V429">
        <f>INDEX(KidRace,MATCH(B429,KidIDs,0))</f>
        <v>0</v>
      </c>
      <c r="W429">
        <f>IF(OR(V429="M",V429="I"),"H",IF(V429="P","A",V429))</f>
        <v>0</v>
      </c>
      <c r="X429">
        <f>INDEX(StudentTargets,MATCH(B429,KidIDs,0))</f>
        <v>0</v>
      </c>
      <c r="Y429">
        <f>INDEX(ReachStudentTargets,MATCH(B429,KidIDs,0))</f>
        <v>0</v>
      </c>
      <c r="Z429">
        <f>IF(OR(M429="Posse"),1,0)</f>
        <v>0</v>
      </c>
      <c r="AA429">
        <f>IF(ISNUMBER(INDEX(AllCollegeGR, MATCH(N429,AllCollegeNCES,0))),ROUND(INDEX(AllCollegeGR, MATCH(N429,AllCollegeNCES,0))+Z429*IF(INDEX(AllCollegeGR, MATCH(N429,AllCollegeNCES,0))&gt;0.7,(1-INDEX(AllCollegeGR, MATCH(N429,AllCollegeNCES,0)))/2,0.15),2),INDEX(AllCollegeGR, MATCH(N429,AllCollegeNCES,0)))</f>
        <v>0</v>
      </c>
      <c r="AB429">
        <f>IF(ISNUMBER(INDEX(AllCollegeAAHGR, MATCH(N429,AllCollegeNCES,0))),ROUND(INDEX(AllCollegeAAHGR, MATCH(N429,AllCollegeNCES,0))+Z429*IF(INDEX(AllCollegeAAHGR, MATCH(N429,AllCollegeNCES,0))&gt;0.7,(1-INDEX(AllCollegeAAHGR, MATCH(N429,AllCollegeNCES,0)))/2,0.15),2),INDEX(AllCollegeAAHGR, MATCH(N429,AllCollegeNCES,0)))</f>
        <v>0</v>
      </c>
      <c r="AC429">
        <f>IF(OR(W429="H",W429="B"),INDEX(AllCollegeSAT25, MATCH(N429,AllCollegeNCES,0)),INDEX(AllCollegeSAT50, MATCH(N429,AllCollegeNCES,0)))</f>
        <v>0</v>
      </c>
      <c r="AD429">
        <f>INDEX(CustomWeightsGPA,MATCH(W429&amp;":"&amp;N429,CustomWeightsIndex,0))</f>
        <v>0</v>
      </c>
      <c r="AE429">
        <f>INDEX(CustomWeightsSAT,MATCH(W429&amp;":"&amp;N429,CustomWeightsIndex,0))</f>
        <v>0</v>
      </c>
      <c r="AF429">
        <f>INDEX(CustomWeightsIntercept,MATCH(W429&amp;":"&amp;N429,CustomWeightsIndex,0))</f>
        <v>0</v>
      </c>
      <c r="AG429">
        <f>AD429*S429+AE429*T429+AF429</f>
        <v>0</v>
      </c>
      <c r="AH429">
        <f>INDEX(CoefficientsGPA,MATCH(W429&amp;":"&amp;R429,CoefficientsIndex,0))</f>
        <v>0</v>
      </c>
      <c r="AI429">
        <f>INDEX(CoefficientsSAT,MATCH(W429&amp;":"&amp;R429,CoefficientsIndex,0))</f>
        <v>0</v>
      </c>
      <c r="AJ429">
        <f>INDEX(CoefficientsIntercept,MATCH(W429&amp;":"&amp;R429,CoefficientsIndex,0))</f>
        <v>0</v>
      </c>
      <c r="AK429">
        <f>AH429*S429+(T429-AC429)*AI429+AJ429</f>
        <v>0</v>
      </c>
      <c r="AL429">
        <f>IF(ISNUMBER(AG429),AG429,AK429)</f>
        <v>0</v>
      </c>
      <c r="AM429">
        <f>IF(ISNUMBER(AL429),IF(ISNUMBER(AH429),IF(AND(AH429=1,AI429=1,AJ429=1),100,MIN(99,ROUND(100*EXP(AL429)/(1+EXP(AL429)),2))),MIN(99,ROUND(100*EXP(AL429)/(1+EXP(AL429)),2))),IF(ISTEXT(R429),IF(LEFT(R429,1)="2",100,"N/A"),"N/A"))</f>
        <v>0</v>
      </c>
      <c r="AN429">
        <f>IF(ISNUMBER(AM429),IF(AM429&gt;=99,IF(OR(U429=10,U429=11),MatchLabel,SureThingLabel),IF(AM429&gt;=95,SecureLabel,IF(AM429&gt;=80,SafetyLabel,IF(AM429&gt;=50,MatchLabel,IF(AM429&gt;=20,ReachLabel,IF(AM429&gt;=10,LongshotLabel,HailMaryLabel)))))),"Other")</f>
        <v>0</v>
      </c>
      <c r="AO429">
        <f>IF(OR(I429="accepted",I429="cond. accept",I429="summer admit"),IF(J429="yes","CHOICE!","Accepted!"),IF(I429="guar. transfer","Guar. Xfer",IF(I429="denied","Denied",IF(K429=1,"Waitlist",IF(L429=1,"Deferred",IF(G429="pending","Pending",IF(OR(G429="initial materials submitted",G429="mid-year submitted",G429="final submitted"),"Submitted",IF(H429="interest","Interest","?"))))))))</f>
        <v>0</v>
      </c>
      <c r="AP429">
        <f>IF(OR(AN429=ReachLabel,AN429=LongshotLabel,AN429=HailMaryLabel),1,0)</f>
        <v>0</v>
      </c>
      <c r="AQ429">
        <f>IF(OR(AP429=1,AN429=MatchLabel),1,0)</f>
        <v>0</v>
      </c>
      <c r="AR429">
        <f>IF(OR(AN429=MatchLabel,AN429=SafetyLabel,AN429=SecureLabel,AN429=SureThingLabel),1,0)</f>
        <v>0</v>
      </c>
      <c r="AS429">
        <f>IF(OR(W429="H",W429="B",W429="I",W429="M"),IF(ISNUMBER(AB429),ROUND(AB429,2),0),IF(ISNUMBER(AA429),ROUND(AA429,2),0))</f>
        <v>0</v>
      </c>
      <c r="AT429">
        <f>IF(AS429&gt;=X429,1,0)</f>
        <v>0</v>
      </c>
      <c r="AU429">
        <f>IF(AS429&gt;=Y429,1,0)</f>
        <v>0</v>
      </c>
      <c r="AV429">
        <f>IF(AS429&lt;(X429-0.10),1,0)</f>
        <v>0</v>
      </c>
      <c r="AW429">
        <f>1-AM429/100</f>
        <v>0</v>
      </c>
      <c r="AX429">
        <f>IF(AQ429=1,AW429,1)</f>
        <v>0</v>
      </c>
      <c r="AY429">
        <f>IF(AP429=1,AW429,1)</f>
        <v>0</v>
      </c>
      <c r="AZ429">
        <f>IF(AND(AT429=1,ISNUMBER(AW429)),$AW429,1)</f>
        <v>0</v>
      </c>
      <c r="BA429">
        <f>IF(AND(AU429=1,ISNUMBER(AW429)),$AW429,1)</f>
        <v>0</v>
      </c>
      <c r="BB429">
        <f>IF(ISNUMBER(AB429),INDEX(AllCollegeMoney, MATCH(N429,AllCollegeNCES,0)),0)</f>
        <v>0</v>
      </c>
      <c r="BC429">
        <f>IF(AND(AT429=1,ISNUMBER(AW429),BB429=1),$AW429,1)</f>
        <v>0</v>
      </c>
      <c r="BD429">
        <f>IF(AND(AU429=1,ISNUMBER(AW429),BB429=1),$AW429,1)</f>
        <v>0</v>
      </c>
      <c r="BE429">
        <f>IF(ISNUMBER(AB429),INDEX(AllCollegeILPub, MATCH(N429,AllCollegeNCES,0)),0)</f>
        <v>0</v>
      </c>
      <c r="BF429">
        <f>IF(AN429=ReachLabel,AS429,0)</f>
        <v>0</v>
      </c>
      <c r="BG429">
        <f>IF(AN429=MatchLabel,AS429,0)</f>
        <v>0</v>
      </c>
      <c r="BH429">
        <f>IF(AN429=SafetyLabel,AS429,0)</f>
        <v>0</v>
      </c>
      <c r="BI429">
        <f>IF(AN429=SecureLabel,AS429,0)</f>
        <v>0</v>
      </c>
      <c r="BJ429">
        <f>IF(AN429=SureThingLabel,AS429,0)</f>
        <v>0</v>
      </c>
      <c r="BK429">
        <f>MAX(BF429:BJ429)</f>
        <v>0</v>
      </c>
      <c r="BL429">
        <f>MAX(BG429:BJ429)</f>
        <v>0</v>
      </c>
      <c r="BM429">
        <f>MAX(BH429:BJ429)</f>
        <v>0</v>
      </c>
      <c r="BN429">
        <f>IF(AND(AN429=ReachLabel,BB429=1),AS429,0)</f>
        <v>0</v>
      </c>
      <c r="BO429">
        <f>IF(AND(AN429=MatchLabel,BB429=1),AS429,0)</f>
        <v>0</v>
      </c>
      <c r="BP429">
        <f>IF(AND(AN429=SafetyLabel,BB429=1),AS429,0)</f>
        <v>0</v>
      </c>
      <c r="BQ429">
        <f>IF(AND(AN429=SecureLabel,BB429=1),AS429,0)</f>
        <v>0</v>
      </c>
      <c r="BR429">
        <f>IF(AND(AN429=SureThingLabel,BB429=1),AS429,0)</f>
        <v>0</v>
      </c>
      <c r="BS429">
        <f>MAX(BN429:BR429)</f>
        <v>0</v>
      </c>
      <c r="BT429">
        <f>MAX(BO429:BR429)</f>
        <v>0</v>
      </c>
      <c r="BU429">
        <f>MAX(BP429:BR429)</f>
        <v>0</v>
      </c>
      <c r="BV429">
        <f>IF(ISNUMBER(AB429),INDEX(AllCollegeChicago, MATCH(N429,AllCollegeNCES,0))*BB429,0)</f>
        <v>0</v>
      </c>
      <c r="BW429">
        <f>IF(ISNUMBER(AB429),INDEX(AllCollegeMoneyCode, MATCH(N429,AllCollegeNCES,0)),"?")</f>
        <v>0</v>
      </c>
      <c r="BX429">
        <f>IF(OR(BW429="---",BW429="--",BW429="+/--",BW429="+/---"),1,0)</f>
        <v>0</v>
      </c>
      <c r="BY429">
        <f>BB429*AR429*AT429</f>
        <v>0</v>
      </c>
    </row>
    <row r="430" spans="1:77">
      <c r="A430" t="s">
        <v>96</v>
      </c>
      <c r="B430">
        <v>23403578</v>
      </c>
      <c r="C430" t="s">
        <v>261</v>
      </c>
      <c r="D430" t="s">
        <v>262</v>
      </c>
      <c r="E430" t="s">
        <v>446</v>
      </c>
      <c r="F430" t="s">
        <v>566</v>
      </c>
      <c r="G430" t="s">
        <v>448</v>
      </c>
      <c r="H430" t="s">
        <v>449</v>
      </c>
      <c r="I430" t="s">
        <v>450</v>
      </c>
      <c r="J430" t="s">
        <v>450</v>
      </c>
      <c r="K430">
        <v>0</v>
      </c>
      <c r="L430" t="s">
        <v>446</v>
      </c>
      <c r="M430" t="s">
        <v>446</v>
      </c>
      <c r="N430">
        <v>151786</v>
      </c>
      <c r="O430">
        <f>INDEX(Counselor,MATCH(B430,KidIDs,0))</f>
        <v>0</v>
      </c>
      <c r="P430">
        <f>INDEX(Advisors,MATCH(B430,KidIDs,0))</f>
        <v>0</v>
      </c>
      <c r="Q430">
        <f>INDEX(Cohort,MATCH(B430,KidIDs,0))</f>
        <v>0</v>
      </c>
      <c r="R430">
        <f>INDEX(AllCollegeBarrons,MATCH(N430,AllCollegeNCES,0))</f>
        <v>0</v>
      </c>
      <c r="S430">
        <f>INDEX(KidGPAs,MATCH(B430,KidIDs,0))</f>
        <v>0</v>
      </c>
      <c r="T430">
        <f>INDEX(KidSATs,MATCH(B430,KidIDs,0))</f>
        <v>0</v>
      </c>
      <c r="U430">
        <f>INDEX(Strats,MATCH(B430,KidIDs,0))</f>
        <v>0</v>
      </c>
      <c r="V430">
        <f>INDEX(KidRace,MATCH(B430,KidIDs,0))</f>
        <v>0</v>
      </c>
      <c r="W430">
        <f>IF(OR(V430="M",V430="I"),"H",IF(V430="P","A",V430))</f>
        <v>0</v>
      </c>
      <c r="X430">
        <f>INDEX(StudentTargets,MATCH(B430,KidIDs,0))</f>
        <v>0</v>
      </c>
      <c r="Y430">
        <f>INDEX(ReachStudentTargets,MATCH(B430,KidIDs,0))</f>
        <v>0</v>
      </c>
      <c r="Z430">
        <f>IF(OR(M430="Posse"),1,0)</f>
        <v>0</v>
      </c>
      <c r="AA430">
        <f>IF(ISNUMBER(INDEX(AllCollegeGR, MATCH(N430,AllCollegeNCES,0))),ROUND(INDEX(AllCollegeGR, MATCH(N430,AllCollegeNCES,0))+Z430*IF(INDEX(AllCollegeGR, MATCH(N430,AllCollegeNCES,0))&gt;0.7,(1-INDEX(AllCollegeGR, MATCH(N430,AllCollegeNCES,0)))/2,0.15),2),INDEX(AllCollegeGR, MATCH(N430,AllCollegeNCES,0)))</f>
        <v>0</v>
      </c>
      <c r="AB430">
        <f>IF(ISNUMBER(INDEX(AllCollegeAAHGR, MATCH(N430,AllCollegeNCES,0))),ROUND(INDEX(AllCollegeAAHGR, MATCH(N430,AllCollegeNCES,0))+Z430*IF(INDEX(AllCollegeAAHGR, MATCH(N430,AllCollegeNCES,0))&gt;0.7,(1-INDEX(AllCollegeAAHGR, MATCH(N430,AllCollegeNCES,0)))/2,0.15),2),INDEX(AllCollegeAAHGR, MATCH(N430,AllCollegeNCES,0)))</f>
        <v>0</v>
      </c>
      <c r="AC430">
        <f>IF(OR(W430="H",W430="B"),INDEX(AllCollegeSAT25, MATCH(N430,AllCollegeNCES,0)),INDEX(AllCollegeSAT50, MATCH(N430,AllCollegeNCES,0)))</f>
        <v>0</v>
      </c>
      <c r="AD430">
        <f>INDEX(CustomWeightsGPA,MATCH(W430&amp;":"&amp;N430,CustomWeightsIndex,0))</f>
        <v>0</v>
      </c>
      <c r="AE430">
        <f>INDEX(CustomWeightsSAT,MATCH(W430&amp;":"&amp;N430,CustomWeightsIndex,0))</f>
        <v>0</v>
      </c>
      <c r="AF430">
        <f>INDEX(CustomWeightsIntercept,MATCH(W430&amp;":"&amp;N430,CustomWeightsIndex,0))</f>
        <v>0</v>
      </c>
      <c r="AG430">
        <f>AD430*S430+AE430*T430+AF430</f>
        <v>0</v>
      </c>
      <c r="AH430">
        <f>INDEX(CoefficientsGPA,MATCH(W430&amp;":"&amp;R430,CoefficientsIndex,0))</f>
        <v>0</v>
      </c>
      <c r="AI430">
        <f>INDEX(CoefficientsSAT,MATCH(W430&amp;":"&amp;R430,CoefficientsIndex,0))</f>
        <v>0</v>
      </c>
      <c r="AJ430">
        <f>INDEX(CoefficientsIntercept,MATCH(W430&amp;":"&amp;R430,CoefficientsIndex,0))</f>
        <v>0</v>
      </c>
      <c r="AK430">
        <f>AH430*S430+(T430-AC430)*AI430+AJ430</f>
        <v>0</v>
      </c>
      <c r="AL430">
        <f>IF(ISNUMBER(AG430),AG430,AK430)</f>
        <v>0</v>
      </c>
      <c r="AM430">
        <f>IF(ISNUMBER(AL430),IF(ISNUMBER(AH430),IF(AND(AH430=1,AI430=1,AJ430=1),100,MIN(99,ROUND(100*EXP(AL430)/(1+EXP(AL430)),2))),MIN(99,ROUND(100*EXP(AL430)/(1+EXP(AL430)),2))),IF(ISTEXT(R430),IF(LEFT(R430,1)="2",100,"N/A"),"N/A"))</f>
        <v>0</v>
      </c>
      <c r="AN430">
        <f>IF(ISNUMBER(AM430),IF(AM430&gt;=99,IF(OR(U430=10,U430=11),MatchLabel,SureThingLabel),IF(AM430&gt;=95,SecureLabel,IF(AM430&gt;=80,SafetyLabel,IF(AM430&gt;=50,MatchLabel,IF(AM430&gt;=20,ReachLabel,IF(AM430&gt;=10,LongshotLabel,HailMaryLabel)))))),"Other")</f>
        <v>0</v>
      </c>
      <c r="AO430">
        <f>IF(OR(I430="accepted",I430="cond. accept",I430="summer admit"),IF(J430="yes","CHOICE!","Accepted!"),IF(I430="guar. transfer","Guar. Xfer",IF(I430="denied","Denied",IF(K430=1,"Waitlist",IF(L430=1,"Deferred",IF(G430="pending","Pending",IF(OR(G430="initial materials submitted",G430="mid-year submitted",G430="final submitted"),"Submitted",IF(H430="interest","Interest","?"))))))))</f>
        <v>0</v>
      </c>
      <c r="AP430">
        <f>IF(OR(AN430=ReachLabel,AN430=LongshotLabel,AN430=HailMaryLabel),1,0)</f>
        <v>0</v>
      </c>
      <c r="AQ430">
        <f>IF(OR(AP430=1,AN430=MatchLabel),1,0)</f>
        <v>0</v>
      </c>
      <c r="AR430">
        <f>IF(OR(AN430=MatchLabel,AN430=SafetyLabel,AN430=SecureLabel,AN430=SureThingLabel),1,0)</f>
        <v>0</v>
      </c>
      <c r="AS430">
        <f>IF(OR(W430="H",W430="B",W430="I",W430="M"),IF(ISNUMBER(AB430),ROUND(AB430,2),0),IF(ISNUMBER(AA430),ROUND(AA430,2),0))</f>
        <v>0</v>
      </c>
      <c r="AT430">
        <f>IF(AS430&gt;=X430,1,0)</f>
        <v>0</v>
      </c>
      <c r="AU430">
        <f>IF(AS430&gt;=Y430,1,0)</f>
        <v>0</v>
      </c>
      <c r="AV430">
        <f>IF(AS430&lt;(X430-0.10),1,0)</f>
        <v>0</v>
      </c>
      <c r="AW430">
        <f>1-AM430/100</f>
        <v>0</v>
      </c>
      <c r="AX430">
        <f>IF(AQ430=1,AW430,1)</f>
        <v>0</v>
      </c>
      <c r="AY430">
        <f>IF(AP430=1,AW430,1)</f>
        <v>0</v>
      </c>
      <c r="AZ430">
        <f>IF(AND(AT430=1,ISNUMBER(AW430)),$AW430,1)</f>
        <v>0</v>
      </c>
      <c r="BA430">
        <f>IF(AND(AU430=1,ISNUMBER(AW430)),$AW430,1)</f>
        <v>0</v>
      </c>
      <c r="BB430">
        <f>IF(ISNUMBER(AB430),INDEX(AllCollegeMoney, MATCH(N430,AllCollegeNCES,0)),0)</f>
        <v>0</v>
      </c>
      <c r="BC430">
        <f>IF(AND(AT430=1,ISNUMBER(AW430),BB430=1),$AW430,1)</f>
        <v>0</v>
      </c>
      <c r="BD430">
        <f>IF(AND(AU430=1,ISNUMBER(AW430),BB430=1),$AW430,1)</f>
        <v>0</v>
      </c>
      <c r="BE430">
        <f>IF(ISNUMBER(AB430),INDEX(AllCollegeILPub, MATCH(N430,AllCollegeNCES,0)),0)</f>
        <v>0</v>
      </c>
      <c r="BF430">
        <f>IF(AN430=ReachLabel,AS430,0)</f>
        <v>0</v>
      </c>
      <c r="BG430">
        <f>IF(AN430=MatchLabel,AS430,0)</f>
        <v>0</v>
      </c>
      <c r="BH430">
        <f>IF(AN430=SafetyLabel,AS430,0)</f>
        <v>0</v>
      </c>
      <c r="BI430">
        <f>IF(AN430=SecureLabel,AS430,0)</f>
        <v>0</v>
      </c>
      <c r="BJ430">
        <f>IF(AN430=SureThingLabel,AS430,0)</f>
        <v>0</v>
      </c>
      <c r="BK430">
        <f>MAX(BF430:BJ430)</f>
        <v>0</v>
      </c>
      <c r="BL430">
        <f>MAX(BG430:BJ430)</f>
        <v>0</v>
      </c>
      <c r="BM430">
        <f>MAX(BH430:BJ430)</f>
        <v>0</v>
      </c>
      <c r="BN430">
        <f>IF(AND(AN430=ReachLabel,BB430=1),AS430,0)</f>
        <v>0</v>
      </c>
      <c r="BO430">
        <f>IF(AND(AN430=MatchLabel,BB430=1),AS430,0)</f>
        <v>0</v>
      </c>
      <c r="BP430">
        <f>IF(AND(AN430=SafetyLabel,BB430=1),AS430,0)</f>
        <v>0</v>
      </c>
      <c r="BQ430">
        <f>IF(AND(AN430=SecureLabel,BB430=1),AS430,0)</f>
        <v>0</v>
      </c>
      <c r="BR430">
        <f>IF(AND(AN430=SureThingLabel,BB430=1),AS430,0)</f>
        <v>0</v>
      </c>
      <c r="BS430">
        <f>MAX(BN430:BR430)</f>
        <v>0</v>
      </c>
      <c r="BT430">
        <f>MAX(BO430:BR430)</f>
        <v>0</v>
      </c>
      <c r="BU430">
        <f>MAX(BP430:BR430)</f>
        <v>0</v>
      </c>
      <c r="BV430">
        <f>IF(ISNUMBER(AB430),INDEX(AllCollegeChicago, MATCH(N430,AllCollegeNCES,0))*BB430,0)</f>
        <v>0</v>
      </c>
      <c r="BW430">
        <f>IF(ISNUMBER(AB430),INDEX(AllCollegeMoneyCode, MATCH(N430,AllCollegeNCES,0)),"?")</f>
        <v>0</v>
      </c>
      <c r="BX430">
        <f>IF(OR(BW430="---",BW430="--",BW430="+/--",BW430="+/---"),1,0)</f>
        <v>0</v>
      </c>
      <c r="BY430">
        <f>BB430*AR430*AT430</f>
        <v>0</v>
      </c>
    </row>
    <row r="431" spans="1:77">
      <c r="A431" t="s">
        <v>96</v>
      </c>
      <c r="B431">
        <v>23403578</v>
      </c>
      <c r="C431" t="s">
        <v>261</v>
      </c>
      <c r="D431" t="s">
        <v>262</v>
      </c>
      <c r="E431" t="s">
        <v>446</v>
      </c>
      <c r="F431" t="s">
        <v>519</v>
      </c>
      <c r="G431" t="s">
        <v>448</v>
      </c>
      <c r="H431" t="s">
        <v>449</v>
      </c>
      <c r="I431" t="s">
        <v>450</v>
      </c>
      <c r="J431" t="s">
        <v>450</v>
      </c>
      <c r="K431">
        <v>0</v>
      </c>
      <c r="L431" t="s">
        <v>446</v>
      </c>
      <c r="M431" t="s">
        <v>446</v>
      </c>
      <c r="N431">
        <v>145813</v>
      </c>
      <c r="O431">
        <f>INDEX(Counselor,MATCH(B431,KidIDs,0))</f>
        <v>0</v>
      </c>
      <c r="P431">
        <f>INDEX(Advisors,MATCH(B431,KidIDs,0))</f>
        <v>0</v>
      </c>
      <c r="Q431">
        <f>INDEX(Cohort,MATCH(B431,KidIDs,0))</f>
        <v>0</v>
      </c>
      <c r="R431">
        <f>INDEX(AllCollegeBarrons,MATCH(N431,AllCollegeNCES,0))</f>
        <v>0</v>
      </c>
      <c r="S431">
        <f>INDEX(KidGPAs,MATCH(B431,KidIDs,0))</f>
        <v>0</v>
      </c>
      <c r="T431">
        <f>INDEX(KidSATs,MATCH(B431,KidIDs,0))</f>
        <v>0</v>
      </c>
      <c r="U431">
        <f>INDEX(Strats,MATCH(B431,KidIDs,0))</f>
        <v>0</v>
      </c>
      <c r="V431">
        <f>INDEX(KidRace,MATCH(B431,KidIDs,0))</f>
        <v>0</v>
      </c>
      <c r="W431">
        <f>IF(OR(V431="M",V431="I"),"H",IF(V431="P","A",V431))</f>
        <v>0</v>
      </c>
      <c r="X431">
        <f>INDEX(StudentTargets,MATCH(B431,KidIDs,0))</f>
        <v>0</v>
      </c>
      <c r="Y431">
        <f>INDEX(ReachStudentTargets,MATCH(B431,KidIDs,0))</f>
        <v>0</v>
      </c>
      <c r="Z431">
        <f>IF(OR(M431="Posse"),1,0)</f>
        <v>0</v>
      </c>
      <c r="AA431">
        <f>IF(ISNUMBER(INDEX(AllCollegeGR, MATCH(N431,AllCollegeNCES,0))),ROUND(INDEX(AllCollegeGR, MATCH(N431,AllCollegeNCES,0))+Z431*IF(INDEX(AllCollegeGR, MATCH(N431,AllCollegeNCES,0))&gt;0.7,(1-INDEX(AllCollegeGR, MATCH(N431,AllCollegeNCES,0)))/2,0.15),2),INDEX(AllCollegeGR, MATCH(N431,AllCollegeNCES,0)))</f>
        <v>0</v>
      </c>
      <c r="AB431">
        <f>IF(ISNUMBER(INDEX(AllCollegeAAHGR, MATCH(N431,AllCollegeNCES,0))),ROUND(INDEX(AllCollegeAAHGR, MATCH(N431,AllCollegeNCES,0))+Z431*IF(INDEX(AllCollegeAAHGR, MATCH(N431,AllCollegeNCES,0))&gt;0.7,(1-INDEX(AllCollegeAAHGR, MATCH(N431,AllCollegeNCES,0)))/2,0.15),2),INDEX(AllCollegeAAHGR, MATCH(N431,AllCollegeNCES,0)))</f>
        <v>0</v>
      </c>
      <c r="AC431">
        <f>IF(OR(W431="H",W431="B"),INDEX(AllCollegeSAT25, MATCH(N431,AllCollegeNCES,0)),INDEX(AllCollegeSAT50, MATCH(N431,AllCollegeNCES,0)))</f>
        <v>0</v>
      </c>
      <c r="AD431">
        <f>INDEX(CustomWeightsGPA,MATCH(W431&amp;":"&amp;N431,CustomWeightsIndex,0))</f>
        <v>0</v>
      </c>
      <c r="AE431">
        <f>INDEX(CustomWeightsSAT,MATCH(W431&amp;":"&amp;N431,CustomWeightsIndex,0))</f>
        <v>0</v>
      </c>
      <c r="AF431">
        <f>INDEX(CustomWeightsIntercept,MATCH(W431&amp;":"&amp;N431,CustomWeightsIndex,0))</f>
        <v>0</v>
      </c>
      <c r="AG431">
        <f>AD431*S431+AE431*T431+AF431</f>
        <v>0</v>
      </c>
      <c r="AH431">
        <f>INDEX(CoefficientsGPA,MATCH(W431&amp;":"&amp;R431,CoefficientsIndex,0))</f>
        <v>0</v>
      </c>
      <c r="AI431">
        <f>INDEX(CoefficientsSAT,MATCH(W431&amp;":"&amp;R431,CoefficientsIndex,0))</f>
        <v>0</v>
      </c>
      <c r="AJ431">
        <f>INDEX(CoefficientsIntercept,MATCH(W431&amp;":"&amp;R431,CoefficientsIndex,0))</f>
        <v>0</v>
      </c>
      <c r="AK431">
        <f>AH431*S431+(T431-AC431)*AI431+AJ431</f>
        <v>0</v>
      </c>
      <c r="AL431">
        <f>IF(ISNUMBER(AG431),AG431,AK431)</f>
        <v>0</v>
      </c>
      <c r="AM431">
        <f>IF(ISNUMBER(AL431),IF(ISNUMBER(AH431),IF(AND(AH431=1,AI431=1,AJ431=1),100,MIN(99,ROUND(100*EXP(AL431)/(1+EXP(AL431)),2))),MIN(99,ROUND(100*EXP(AL431)/(1+EXP(AL431)),2))),IF(ISTEXT(R431),IF(LEFT(R431,1)="2",100,"N/A"),"N/A"))</f>
        <v>0</v>
      </c>
      <c r="AN431">
        <f>IF(ISNUMBER(AM431),IF(AM431&gt;=99,IF(OR(U431=10,U431=11),MatchLabel,SureThingLabel),IF(AM431&gt;=95,SecureLabel,IF(AM431&gt;=80,SafetyLabel,IF(AM431&gt;=50,MatchLabel,IF(AM431&gt;=20,ReachLabel,IF(AM431&gt;=10,LongshotLabel,HailMaryLabel)))))),"Other")</f>
        <v>0</v>
      </c>
      <c r="AO431">
        <f>IF(OR(I431="accepted",I431="cond. accept",I431="summer admit"),IF(J431="yes","CHOICE!","Accepted!"),IF(I431="guar. transfer","Guar. Xfer",IF(I431="denied","Denied",IF(K431=1,"Waitlist",IF(L431=1,"Deferred",IF(G431="pending","Pending",IF(OR(G431="initial materials submitted",G431="mid-year submitted",G431="final submitted"),"Submitted",IF(H431="interest","Interest","?"))))))))</f>
        <v>0</v>
      </c>
      <c r="AP431">
        <f>IF(OR(AN431=ReachLabel,AN431=LongshotLabel,AN431=HailMaryLabel),1,0)</f>
        <v>0</v>
      </c>
      <c r="AQ431">
        <f>IF(OR(AP431=1,AN431=MatchLabel),1,0)</f>
        <v>0</v>
      </c>
      <c r="AR431">
        <f>IF(OR(AN431=MatchLabel,AN431=SafetyLabel,AN431=SecureLabel,AN431=SureThingLabel),1,0)</f>
        <v>0</v>
      </c>
      <c r="AS431">
        <f>IF(OR(W431="H",W431="B",W431="I",W431="M"),IF(ISNUMBER(AB431),ROUND(AB431,2),0),IF(ISNUMBER(AA431),ROUND(AA431,2),0))</f>
        <v>0</v>
      </c>
      <c r="AT431">
        <f>IF(AS431&gt;=X431,1,0)</f>
        <v>0</v>
      </c>
      <c r="AU431">
        <f>IF(AS431&gt;=Y431,1,0)</f>
        <v>0</v>
      </c>
      <c r="AV431">
        <f>IF(AS431&lt;(X431-0.10),1,0)</f>
        <v>0</v>
      </c>
      <c r="AW431">
        <f>1-AM431/100</f>
        <v>0</v>
      </c>
      <c r="AX431">
        <f>IF(AQ431=1,AW431,1)</f>
        <v>0</v>
      </c>
      <c r="AY431">
        <f>IF(AP431=1,AW431,1)</f>
        <v>0</v>
      </c>
      <c r="AZ431">
        <f>IF(AND(AT431=1,ISNUMBER(AW431)),$AW431,1)</f>
        <v>0</v>
      </c>
      <c r="BA431">
        <f>IF(AND(AU431=1,ISNUMBER(AW431)),$AW431,1)</f>
        <v>0</v>
      </c>
      <c r="BB431">
        <f>IF(ISNUMBER(AB431),INDEX(AllCollegeMoney, MATCH(N431,AllCollegeNCES,0)),0)</f>
        <v>0</v>
      </c>
      <c r="BC431">
        <f>IF(AND(AT431=1,ISNUMBER(AW431),BB431=1),$AW431,1)</f>
        <v>0</v>
      </c>
      <c r="BD431">
        <f>IF(AND(AU431=1,ISNUMBER(AW431),BB431=1),$AW431,1)</f>
        <v>0</v>
      </c>
      <c r="BE431">
        <f>IF(ISNUMBER(AB431),INDEX(AllCollegeILPub, MATCH(N431,AllCollegeNCES,0)),0)</f>
        <v>0</v>
      </c>
      <c r="BF431">
        <f>IF(AN431=ReachLabel,AS431,0)</f>
        <v>0</v>
      </c>
      <c r="BG431">
        <f>IF(AN431=MatchLabel,AS431,0)</f>
        <v>0</v>
      </c>
      <c r="BH431">
        <f>IF(AN431=SafetyLabel,AS431,0)</f>
        <v>0</v>
      </c>
      <c r="BI431">
        <f>IF(AN431=SecureLabel,AS431,0)</f>
        <v>0</v>
      </c>
      <c r="BJ431">
        <f>IF(AN431=SureThingLabel,AS431,0)</f>
        <v>0</v>
      </c>
      <c r="BK431">
        <f>MAX(BF431:BJ431)</f>
        <v>0</v>
      </c>
      <c r="BL431">
        <f>MAX(BG431:BJ431)</f>
        <v>0</v>
      </c>
      <c r="BM431">
        <f>MAX(BH431:BJ431)</f>
        <v>0</v>
      </c>
      <c r="BN431">
        <f>IF(AND(AN431=ReachLabel,BB431=1),AS431,0)</f>
        <v>0</v>
      </c>
      <c r="BO431">
        <f>IF(AND(AN431=MatchLabel,BB431=1),AS431,0)</f>
        <v>0</v>
      </c>
      <c r="BP431">
        <f>IF(AND(AN431=SafetyLabel,BB431=1),AS431,0)</f>
        <v>0</v>
      </c>
      <c r="BQ431">
        <f>IF(AND(AN431=SecureLabel,BB431=1),AS431,0)</f>
        <v>0</v>
      </c>
      <c r="BR431">
        <f>IF(AND(AN431=SureThingLabel,BB431=1),AS431,0)</f>
        <v>0</v>
      </c>
      <c r="BS431">
        <f>MAX(BN431:BR431)</f>
        <v>0</v>
      </c>
      <c r="BT431">
        <f>MAX(BO431:BR431)</f>
        <v>0</v>
      </c>
      <c r="BU431">
        <f>MAX(BP431:BR431)</f>
        <v>0</v>
      </c>
      <c r="BV431">
        <f>IF(ISNUMBER(AB431),INDEX(AllCollegeChicago, MATCH(N431,AllCollegeNCES,0))*BB431,0)</f>
        <v>0</v>
      </c>
      <c r="BW431">
        <f>IF(ISNUMBER(AB431),INDEX(AllCollegeMoneyCode, MATCH(N431,AllCollegeNCES,0)),"?")</f>
        <v>0</v>
      </c>
      <c r="BX431">
        <f>IF(OR(BW431="---",BW431="--",BW431="+/--",BW431="+/---"),1,0)</f>
        <v>0</v>
      </c>
      <c r="BY431">
        <f>BB431*AR431*AT431</f>
        <v>0</v>
      </c>
    </row>
    <row r="432" spans="1:77">
      <c r="A432" t="s">
        <v>96</v>
      </c>
      <c r="B432">
        <v>23403578</v>
      </c>
      <c r="C432" t="s">
        <v>261</v>
      </c>
      <c r="D432" t="s">
        <v>262</v>
      </c>
      <c r="E432" t="s">
        <v>446</v>
      </c>
      <c r="F432" t="s">
        <v>481</v>
      </c>
      <c r="G432" t="s">
        <v>448</v>
      </c>
      <c r="H432" t="s">
        <v>449</v>
      </c>
      <c r="I432" t="s">
        <v>450</v>
      </c>
      <c r="J432" t="s">
        <v>450</v>
      </c>
      <c r="K432">
        <v>0</v>
      </c>
      <c r="L432" t="s">
        <v>446</v>
      </c>
      <c r="M432" t="s">
        <v>446</v>
      </c>
      <c r="N432">
        <v>153834</v>
      </c>
      <c r="O432">
        <f>INDEX(Counselor,MATCH(B432,KidIDs,0))</f>
        <v>0</v>
      </c>
      <c r="P432">
        <f>INDEX(Advisors,MATCH(B432,KidIDs,0))</f>
        <v>0</v>
      </c>
      <c r="Q432">
        <f>INDEX(Cohort,MATCH(B432,KidIDs,0))</f>
        <v>0</v>
      </c>
      <c r="R432">
        <f>INDEX(AllCollegeBarrons,MATCH(N432,AllCollegeNCES,0))</f>
        <v>0</v>
      </c>
      <c r="S432">
        <f>INDEX(KidGPAs,MATCH(B432,KidIDs,0))</f>
        <v>0</v>
      </c>
      <c r="T432">
        <f>INDEX(KidSATs,MATCH(B432,KidIDs,0))</f>
        <v>0</v>
      </c>
      <c r="U432">
        <f>INDEX(Strats,MATCH(B432,KidIDs,0))</f>
        <v>0</v>
      </c>
      <c r="V432">
        <f>INDEX(KidRace,MATCH(B432,KidIDs,0))</f>
        <v>0</v>
      </c>
      <c r="W432">
        <f>IF(OR(V432="M",V432="I"),"H",IF(V432="P","A",V432))</f>
        <v>0</v>
      </c>
      <c r="X432">
        <f>INDEX(StudentTargets,MATCH(B432,KidIDs,0))</f>
        <v>0</v>
      </c>
      <c r="Y432">
        <f>INDEX(ReachStudentTargets,MATCH(B432,KidIDs,0))</f>
        <v>0</v>
      </c>
      <c r="Z432">
        <f>IF(OR(M432="Posse"),1,0)</f>
        <v>0</v>
      </c>
      <c r="AA432">
        <f>IF(ISNUMBER(INDEX(AllCollegeGR, MATCH(N432,AllCollegeNCES,0))),ROUND(INDEX(AllCollegeGR, MATCH(N432,AllCollegeNCES,0))+Z432*IF(INDEX(AllCollegeGR, MATCH(N432,AllCollegeNCES,0))&gt;0.7,(1-INDEX(AllCollegeGR, MATCH(N432,AllCollegeNCES,0)))/2,0.15),2),INDEX(AllCollegeGR, MATCH(N432,AllCollegeNCES,0)))</f>
        <v>0</v>
      </c>
      <c r="AB432">
        <f>IF(ISNUMBER(INDEX(AllCollegeAAHGR, MATCH(N432,AllCollegeNCES,0))),ROUND(INDEX(AllCollegeAAHGR, MATCH(N432,AllCollegeNCES,0))+Z432*IF(INDEX(AllCollegeAAHGR, MATCH(N432,AllCollegeNCES,0))&gt;0.7,(1-INDEX(AllCollegeAAHGR, MATCH(N432,AllCollegeNCES,0)))/2,0.15),2),INDEX(AllCollegeAAHGR, MATCH(N432,AllCollegeNCES,0)))</f>
        <v>0</v>
      </c>
      <c r="AC432">
        <f>IF(OR(W432="H",W432="B"),INDEX(AllCollegeSAT25, MATCH(N432,AllCollegeNCES,0)),INDEX(AllCollegeSAT50, MATCH(N432,AllCollegeNCES,0)))</f>
        <v>0</v>
      </c>
      <c r="AD432">
        <f>INDEX(CustomWeightsGPA,MATCH(W432&amp;":"&amp;N432,CustomWeightsIndex,0))</f>
        <v>0</v>
      </c>
      <c r="AE432">
        <f>INDEX(CustomWeightsSAT,MATCH(W432&amp;":"&amp;N432,CustomWeightsIndex,0))</f>
        <v>0</v>
      </c>
      <c r="AF432">
        <f>INDEX(CustomWeightsIntercept,MATCH(W432&amp;":"&amp;N432,CustomWeightsIndex,0))</f>
        <v>0</v>
      </c>
      <c r="AG432">
        <f>AD432*S432+AE432*T432+AF432</f>
        <v>0</v>
      </c>
      <c r="AH432">
        <f>INDEX(CoefficientsGPA,MATCH(W432&amp;":"&amp;R432,CoefficientsIndex,0))</f>
        <v>0</v>
      </c>
      <c r="AI432">
        <f>INDEX(CoefficientsSAT,MATCH(W432&amp;":"&amp;R432,CoefficientsIndex,0))</f>
        <v>0</v>
      </c>
      <c r="AJ432">
        <f>INDEX(CoefficientsIntercept,MATCH(W432&amp;":"&amp;R432,CoefficientsIndex,0))</f>
        <v>0</v>
      </c>
      <c r="AK432">
        <f>AH432*S432+(T432-AC432)*AI432+AJ432</f>
        <v>0</v>
      </c>
      <c r="AL432">
        <f>IF(ISNUMBER(AG432),AG432,AK432)</f>
        <v>0</v>
      </c>
      <c r="AM432">
        <f>IF(ISNUMBER(AL432),IF(ISNUMBER(AH432),IF(AND(AH432=1,AI432=1,AJ432=1),100,MIN(99,ROUND(100*EXP(AL432)/(1+EXP(AL432)),2))),MIN(99,ROUND(100*EXP(AL432)/(1+EXP(AL432)),2))),IF(ISTEXT(R432),IF(LEFT(R432,1)="2",100,"N/A"),"N/A"))</f>
        <v>0</v>
      </c>
      <c r="AN432">
        <f>IF(ISNUMBER(AM432),IF(AM432&gt;=99,IF(OR(U432=10,U432=11),MatchLabel,SureThingLabel),IF(AM432&gt;=95,SecureLabel,IF(AM432&gt;=80,SafetyLabel,IF(AM432&gt;=50,MatchLabel,IF(AM432&gt;=20,ReachLabel,IF(AM432&gt;=10,LongshotLabel,HailMaryLabel)))))),"Other")</f>
        <v>0</v>
      </c>
      <c r="AO432">
        <f>IF(OR(I432="accepted",I432="cond. accept",I432="summer admit"),IF(J432="yes","CHOICE!","Accepted!"),IF(I432="guar. transfer","Guar. Xfer",IF(I432="denied","Denied",IF(K432=1,"Waitlist",IF(L432=1,"Deferred",IF(G432="pending","Pending",IF(OR(G432="initial materials submitted",G432="mid-year submitted",G432="final submitted"),"Submitted",IF(H432="interest","Interest","?"))))))))</f>
        <v>0</v>
      </c>
      <c r="AP432">
        <f>IF(OR(AN432=ReachLabel,AN432=LongshotLabel,AN432=HailMaryLabel),1,0)</f>
        <v>0</v>
      </c>
      <c r="AQ432">
        <f>IF(OR(AP432=1,AN432=MatchLabel),1,0)</f>
        <v>0</v>
      </c>
      <c r="AR432">
        <f>IF(OR(AN432=MatchLabel,AN432=SafetyLabel,AN432=SecureLabel,AN432=SureThingLabel),1,0)</f>
        <v>0</v>
      </c>
      <c r="AS432">
        <f>IF(OR(W432="H",W432="B",W432="I",W432="M"),IF(ISNUMBER(AB432),ROUND(AB432,2),0),IF(ISNUMBER(AA432),ROUND(AA432,2),0))</f>
        <v>0</v>
      </c>
      <c r="AT432">
        <f>IF(AS432&gt;=X432,1,0)</f>
        <v>0</v>
      </c>
      <c r="AU432">
        <f>IF(AS432&gt;=Y432,1,0)</f>
        <v>0</v>
      </c>
      <c r="AV432">
        <f>IF(AS432&lt;(X432-0.10),1,0)</f>
        <v>0</v>
      </c>
      <c r="AW432">
        <f>1-AM432/100</f>
        <v>0</v>
      </c>
      <c r="AX432">
        <f>IF(AQ432=1,AW432,1)</f>
        <v>0</v>
      </c>
      <c r="AY432">
        <f>IF(AP432=1,AW432,1)</f>
        <v>0</v>
      </c>
      <c r="AZ432">
        <f>IF(AND(AT432=1,ISNUMBER(AW432)),$AW432,1)</f>
        <v>0</v>
      </c>
      <c r="BA432">
        <f>IF(AND(AU432=1,ISNUMBER(AW432)),$AW432,1)</f>
        <v>0</v>
      </c>
      <c r="BB432">
        <f>IF(ISNUMBER(AB432),INDEX(AllCollegeMoney, MATCH(N432,AllCollegeNCES,0)),0)</f>
        <v>0</v>
      </c>
      <c r="BC432">
        <f>IF(AND(AT432=1,ISNUMBER(AW432),BB432=1),$AW432,1)</f>
        <v>0</v>
      </c>
      <c r="BD432">
        <f>IF(AND(AU432=1,ISNUMBER(AW432),BB432=1),$AW432,1)</f>
        <v>0</v>
      </c>
      <c r="BE432">
        <f>IF(ISNUMBER(AB432),INDEX(AllCollegeILPub, MATCH(N432,AllCollegeNCES,0)),0)</f>
        <v>0</v>
      </c>
      <c r="BF432">
        <f>IF(AN432=ReachLabel,AS432,0)</f>
        <v>0</v>
      </c>
      <c r="BG432">
        <f>IF(AN432=MatchLabel,AS432,0)</f>
        <v>0</v>
      </c>
      <c r="BH432">
        <f>IF(AN432=SafetyLabel,AS432,0)</f>
        <v>0</v>
      </c>
      <c r="BI432">
        <f>IF(AN432=SecureLabel,AS432,0)</f>
        <v>0</v>
      </c>
      <c r="BJ432">
        <f>IF(AN432=SureThingLabel,AS432,0)</f>
        <v>0</v>
      </c>
      <c r="BK432">
        <f>MAX(BF432:BJ432)</f>
        <v>0</v>
      </c>
      <c r="BL432">
        <f>MAX(BG432:BJ432)</f>
        <v>0</v>
      </c>
      <c r="BM432">
        <f>MAX(BH432:BJ432)</f>
        <v>0</v>
      </c>
      <c r="BN432">
        <f>IF(AND(AN432=ReachLabel,BB432=1),AS432,0)</f>
        <v>0</v>
      </c>
      <c r="BO432">
        <f>IF(AND(AN432=MatchLabel,BB432=1),AS432,0)</f>
        <v>0</v>
      </c>
      <c r="BP432">
        <f>IF(AND(AN432=SafetyLabel,BB432=1),AS432,0)</f>
        <v>0</v>
      </c>
      <c r="BQ432">
        <f>IF(AND(AN432=SecureLabel,BB432=1),AS432,0)</f>
        <v>0</v>
      </c>
      <c r="BR432">
        <f>IF(AND(AN432=SureThingLabel,BB432=1),AS432,0)</f>
        <v>0</v>
      </c>
      <c r="BS432">
        <f>MAX(BN432:BR432)</f>
        <v>0</v>
      </c>
      <c r="BT432">
        <f>MAX(BO432:BR432)</f>
        <v>0</v>
      </c>
      <c r="BU432">
        <f>MAX(BP432:BR432)</f>
        <v>0</v>
      </c>
      <c r="BV432">
        <f>IF(ISNUMBER(AB432),INDEX(AllCollegeChicago, MATCH(N432,AllCollegeNCES,0))*BB432,0)</f>
        <v>0</v>
      </c>
      <c r="BW432">
        <f>IF(ISNUMBER(AB432),INDEX(AllCollegeMoneyCode, MATCH(N432,AllCollegeNCES,0)),"?")</f>
        <v>0</v>
      </c>
      <c r="BX432">
        <f>IF(OR(BW432="---",BW432="--",BW432="+/--",BW432="+/---"),1,0)</f>
        <v>0</v>
      </c>
      <c r="BY432">
        <f>BB432*AR432*AT432</f>
        <v>0</v>
      </c>
    </row>
    <row r="433" spans="1:77">
      <c r="A433" t="s">
        <v>96</v>
      </c>
      <c r="B433">
        <v>23403578</v>
      </c>
      <c r="C433" t="s">
        <v>261</v>
      </c>
      <c r="D433" t="s">
        <v>262</v>
      </c>
      <c r="E433" t="s">
        <v>446</v>
      </c>
      <c r="F433" t="s">
        <v>567</v>
      </c>
      <c r="G433" t="s">
        <v>448</v>
      </c>
      <c r="H433" t="s">
        <v>449</v>
      </c>
      <c r="I433" t="s">
        <v>450</v>
      </c>
      <c r="J433" t="s">
        <v>450</v>
      </c>
      <c r="K433">
        <v>0</v>
      </c>
      <c r="L433" t="s">
        <v>446</v>
      </c>
      <c r="M433" t="s">
        <v>446</v>
      </c>
      <c r="N433">
        <v>206437</v>
      </c>
      <c r="O433">
        <f>INDEX(Counselor,MATCH(B433,KidIDs,0))</f>
        <v>0</v>
      </c>
      <c r="P433">
        <f>INDEX(Advisors,MATCH(B433,KidIDs,0))</f>
        <v>0</v>
      </c>
      <c r="Q433">
        <f>INDEX(Cohort,MATCH(B433,KidIDs,0))</f>
        <v>0</v>
      </c>
      <c r="R433">
        <f>INDEX(AllCollegeBarrons,MATCH(N433,AllCollegeNCES,0))</f>
        <v>0</v>
      </c>
      <c r="S433">
        <f>INDEX(KidGPAs,MATCH(B433,KidIDs,0))</f>
        <v>0</v>
      </c>
      <c r="T433">
        <f>INDEX(KidSATs,MATCH(B433,KidIDs,0))</f>
        <v>0</v>
      </c>
      <c r="U433">
        <f>INDEX(Strats,MATCH(B433,KidIDs,0))</f>
        <v>0</v>
      </c>
      <c r="V433">
        <f>INDEX(KidRace,MATCH(B433,KidIDs,0))</f>
        <v>0</v>
      </c>
      <c r="W433">
        <f>IF(OR(V433="M",V433="I"),"H",IF(V433="P","A",V433))</f>
        <v>0</v>
      </c>
      <c r="X433">
        <f>INDEX(StudentTargets,MATCH(B433,KidIDs,0))</f>
        <v>0</v>
      </c>
      <c r="Y433">
        <f>INDEX(ReachStudentTargets,MATCH(B433,KidIDs,0))</f>
        <v>0</v>
      </c>
      <c r="Z433">
        <f>IF(OR(M433="Posse"),1,0)</f>
        <v>0</v>
      </c>
      <c r="AA433">
        <f>IF(ISNUMBER(INDEX(AllCollegeGR, MATCH(N433,AllCollegeNCES,0))),ROUND(INDEX(AllCollegeGR, MATCH(N433,AllCollegeNCES,0))+Z433*IF(INDEX(AllCollegeGR, MATCH(N433,AllCollegeNCES,0))&gt;0.7,(1-INDEX(AllCollegeGR, MATCH(N433,AllCollegeNCES,0)))/2,0.15),2),INDEX(AllCollegeGR, MATCH(N433,AllCollegeNCES,0)))</f>
        <v>0</v>
      </c>
      <c r="AB433">
        <f>IF(ISNUMBER(INDEX(AllCollegeAAHGR, MATCH(N433,AllCollegeNCES,0))),ROUND(INDEX(AllCollegeAAHGR, MATCH(N433,AllCollegeNCES,0))+Z433*IF(INDEX(AllCollegeAAHGR, MATCH(N433,AllCollegeNCES,0))&gt;0.7,(1-INDEX(AllCollegeAAHGR, MATCH(N433,AllCollegeNCES,0)))/2,0.15),2),INDEX(AllCollegeAAHGR, MATCH(N433,AllCollegeNCES,0)))</f>
        <v>0</v>
      </c>
      <c r="AC433">
        <f>IF(OR(W433="H",W433="B"),INDEX(AllCollegeSAT25, MATCH(N433,AllCollegeNCES,0)),INDEX(AllCollegeSAT50, MATCH(N433,AllCollegeNCES,0)))</f>
        <v>0</v>
      </c>
      <c r="AD433">
        <f>INDEX(CustomWeightsGPA,MATCH(W433&amp;":"&amp;N433,CustomWeightsIndex,0))</f>
        <v>0</v>
      </c>
      <c r="AE433">
        <f>INDEX(CustomWeightsSAT,MATCH(W433&amp;":"&amp;N433,CustomWeightsIndex,0))</f>
        <v>0</v>
      </c>
      <c r="AF433">
        <f>INDEX(CustomWeightsIntercept,MATCH(W433&amp;":"&amp;N433,CustomWeightsIndex,0))</f>
        <v>0</v>
      </c>
      <c r="AG433">
        <f>AD433*S433+AE433*T433+AF433</f>
        <v>0</v>
      </c>
      <c r="AH433">
        <f>INDEX(CoefficientsGPA,MATCH(W433&amp;":"&amp;R433,CoefficientsIndex,0))</f>
        <v>0</v>
      </c>
      <c r="AI433">
        <f>INDEX(CoefficientsSAT,MATCH(W433&amp;":"&amp;R433,CoefficientsIndex,0))</f>
        <v>0</v>
      </c>
      <c r="AJ433">
        <f>INDEX(CoefficientsIntercept,MATCH(W433&amp;":"&amp;R433,CoefficientsIndex,0))</f>
        <v>0</v>
      </c>
      <c r="AK433">
        <f>AH433*S433+(T433-AC433)*AI433+AJ433</f>
        <v>0</v>
      </c>
      <c r="AL433">
        <f>IF(ISNUMBER(AG433),AG433,AK433)</f>
        <v>0</v>
      </c>
      <c r="AM433">
        <f>IF(ISNUMBER(AL433),IF(ISNUMBER(AH433),IF(AND(AH433=1,AI433=1,AJ433=1),100,MIN(99,ROUND(100*EXP(AL433)/(1+EXP(AL433)),2))),MIN(99,ROUND(100*EXP(AL433)/(1+EXP(AL433)),2))),IF(ISTEXT(R433),IF(LEFT(R433,1)="2",100,"N/A"),"N/A"))</f>
        <v>0</v>
      </c>
      <c r="AN433">
        <f>IF(ISNUMBER(AM433),IF(AM433&gt;=99,IF(OR(U433=10,U433=11),MatchLabel,SureThingLabel),IF(AM433&gt;=95,SecureLabel,IF(AM433&gt;=80,SafetyLabel,IF(AM433&gt;=50,MatchLabel,IF(AM433&gt;=20,ReachLabel,IF(AM433&gt;=10,LongshotLabel,HailMaryLabel)))))),"Other")</f>
        <v>0</v>
      </c>
      <c r="AO433">
        <f>IF(OR(I433="accepted",I433="cond. accept",I433="summer admit"),IF(J433="yes","CHOICE!","Accepted!"),IF(I433="guar. transfer","Guar. Xfer",IF(I433="denied","Denied",IF(K433=1,"Waitlist",IF(L433=1,"Deferred",IF(G433="pending","Pending",IF(OR(G433="initial materials submitted",G433="mid-year submitted",G433="final submitted"),"Submitted",IF(H433="interest","Interest","?"))))))))</f>
        <v>0</v>
      </c>
      <c r="AP433">
        <f>IF(OR(AN433=ReachLabel,AN433=LongshotLabel,AN433=HailMaryLabel),1,0)</f>
        <v>0</v>
      </c>
      <c r="AQ433">
        <f>IF(OR(AP433=1,AN433=MatchLabel),1,0)</f>
        <v>0</v>
      </c>
      <c r="AR433">
        <f>IF(OR(AN433=MatchLabel,AN433=SafetyLabel,AN433=SecureLabel,AN433=SureThingLabel),1,0)</f>
        <v>0</v>
      </c>
      <c r="AS433">
        <f>IF(OR(W433="H",W433="B",W433="I",W433="M"),IF(ISNUMBER(AB433),ROUND(AB433,2),0),IF(ISNUMBER(AA433),ROUND(AA433,2),0))</f>
        <v>0</v>
      </c>
      <c r="AT433">
        <f>IF(AS433&gt;=X433,1,0)</f>
        <v>0</v>
      </c>
      <c r="AU433">
        <f>IF(AS433&gt;=Y433,1,0)</f>
        <v>0</v>
      </c>
      <c r="AV433">
        <f>IF(AS433&lt;(X433-0.10),1,0)</f>
        <v>0</v>
      </c>
      <c r="AW433">
        <f>1-AM433/100</f>
        <v>0</v>
      </c>
      <c r="AX433">
        <f>IF(AQ433=1,AW433,1)</f>
        <v>0</v>
      </c>
      <c r="AY433">
        <f>IF(AP433=1,AW433,1)</f>
        <v>0</v>
      </c>
      <c r="AZ433">
        <f>IF(AND(AT433=1,ISNUMBER(AW433)),$AW433,1)</f>
        <v>0</v>
      </c>
      <c r="BA433">
        <f>IF(AND(AU433=1,ISNUMBER(AW433)),$AW433,1)</f>
        <v>0</v>
      </c>
      <c r="BB433">
        <f>IF(ISNUMBER(AB433),INDEX(AllCollegeMoney, MATCH(N433,AllCollegeNCES,0)),0)</f>
        <v>0</v>
      </c>
      <c r="BC433">
        <f>IF(AND(AT433=1,ISNUMBER(AW433),BB433=1),$AW433,1)</f>
        <v>0</v>
      </c>
      <c r="BD433">
        <f>IF(AND(AU433=1,ISNUMBER(AW433),BB433=1),$AW433,1)</f>
        <v>0</v>
      </c>
      <c r="BE433">
        <f>IF(ISNUMBER(AB433),INDEX(AllCollegeILPub, MATCH(N433,AllCollegeNCES,0)),0)</f>
        <v>0</v>
      </c>
      <c r="BF433">
        <f>IF(AN433=ReachLabel,AS433,0)</f>
        <v>0</v>
      </c>
      <c r="BG433">
        <f>IF(AN433=MatchLabel,AS433,0)</f>
        <v>0</v>
      </c>
      <c r="BH433">
        <f>IF(AN433=SafetyLabel,AS433,0)</f>
        <v>0</v>
      </c>
      <c r="BI433">
        <f>IF(AN433=SecureLabel,AS433,0)</f>
        <v>0</v>
      </c>
      <c r="BJ433">
        <f>IF(AN433=SureThingLabel,AS433,0)</f>
        <v>0</v>
      </c>
      <c r="BK433">
        <f>MAX(BF433:BJ433)</f>
        <v>0</v>
      </c>
      <c r="BL433">
        <f>MAX(BG433:BJ433)</f>
        <v>0</v>
      </c>
      <c r="BM433">
        <f>MAX(BH433:BJ433)</f>
        <v>0</v>
      </c>
      <c r="BN433">
        <f>IF(AND(AN433=ReachLabel,BB433=1),AS433,0)</f>
        <v>0</v>
      </c>
      <c r="BO433">
        <f>IF(AND(AN433=MatchLabel,BB433=1),AS433,0)</f>
        <v>0</v>
      </c>
      <c r="BP433">
        <f>IF(AND(AN433=SafetyLabel,BB433=1),AS433,0)</f>
        <v>0</v>
      </c>
      <c r="BQ433">
        <f>IF(AND(AN433=SecureLabel,BB433=1),AS433,0)</f>
        <v>0</v>
      </c>
      <c r="BR433">
        <f>IF(AND(AN433=SureThingLabel,BB433=1),AS433,0)</f>
        <v>0</v>
      </c>
      <c r="BS433">
        <f>MAX(BN433:BR433)</f>
        <v>0</v>
      </c>
      <c r="BT433">
        <f>MAX(BO433:BR433)</f>
        <v>0</v>
      </c>
      <c r="BU433">
        <f>MAX(BP433:BR433)</f>
        <v>0</v>
      </c>
      <c r="BV433">
        <f>IF(ISNUMBER(AB433),INDEX(AllCollegeChicago, MATCH(N433,AllCollegeNCES,0))*BB433,0)</f>
        <v>0</v>
      </c>
      <c r="BW433">
        <f>IF(ISNUMBER(AB433),INDEX(AllCollegeMoneyCode, MATCH(N433,AllCollegeNCES,0)),"?")</f>
        <v>0</v>
      </c>
      <c r="BX433">
        <f>IF(OR(BW433="---",BW433="--",BW433="+/--",BW433="+/---"),1,0)</f>
        <v>0</v>
      </c>
      <c r="BY433">
        <f>BB433*AR433*AT433</f>
        <v>0</v>
      </c>
    </row>
    <row r="434" spans="1:77">
      <c r="A434" t="s">
        <v>96</v>
      </c>
      <c r="B434">
        <v>23403578</v>
      </c>
      <c r="C434" t="s">
        <v>261</v>
      </c>
      <c r="D434" t="s">
        <v>262</v>
      </c>
      <c r="E434" t="s">
        <v>446</v>
      </c>
      <c r="F434" t="s">
        <v>568</v>
      </c>
      <c r="G434" t="s">
        <v>479</v>
      </c>
      <c r="H434" t="s">
        <v>449</v>
      </c>
      <c r="I434" t="s">
        <v>450</v>
      </c>
      <c r="J434" t="s">
        <v>450</v>
      </c>
      <c r="K434">
        <v>0</v>
      </c>
      <c r="L434" t="s">
        <v>446</v>
      </c>
      <c r="M434" t="s">
        <v>446</v>
      </c>
      <c r="N434">
        <v>147244</v>
      </c>
      <c r="O434">
        <f>INDEX(Counselor,MATCH(B434,KidIDs,0))</f>
        <v>0</v>
      </c>
      <c r="P434">
        <f>INDEX(Advisors,MATCH(B434,KidIDs,0))</f>
        <v>0</v>
      </c>
      <c r="Q434">
        <f>INDEX(Cohort,MATCH(B434,KidIDs,0))</f>
        <v>0</v>
      </c>
      <c r="R434">
        <f>INDEX(AllCollegeBarrons,MATCH(N434,AllCollegeNCES,0))</f>
        <v>0</v>
      </c>
      <c r="S434">
        <f>INDEX(KidGPAs,MATCH(B434,KidIDs,0))</f>
        <v>0</v>
      </c>
      <c r="T434">
        <f>INDEX(KidSATs,MATCH(B434,KidIDs,0))</f>
        <v>0</v>
      </c>
      <c r="U434">
        <f>INDEX(Strats,MATCH(B434,KidIDs,0))</f>
        <v>0</v>
      </c>
      <c r="V434">
        <f>INDEX(KidRace,MATCH(B434,KidIDs,0))</f>
        <v>0</v>
      </c>
      <c r="W434">
        <f>IF(OR(V434="M",V434="I"),"H",IF(V434="P","A",V434))</f>
        <v>0</v>
      </c>
      <c r="X434">
        <f>INDEX(StudentTargets,MATCH(B434,KidIDs,0))</f>
        <v>0</v>
      </c>
      <c r="Y434">
        <f>INDEX(ReachStudentTargets,MATCH(B434,KidIDs,0))</f>
        <v>0</v>
      </c>
      <c r="Z434">
        <f>IF(OR(M434="Posse"),1,0)</f>
        <v>0</v>
      </c>
      <c r="AA434">
        <f>IF(ISNUMBER(INDEX(AllCollegeGR, MATCH(N434,AllCollegeNCES,0))),ROUND(INDEX(AllCollegeGR, MATCH(N434,AllCollegeNCES,0))+Z434*IF(INDEX(AllCollegeGR, MATCH(N434,AllCollegeNCES,0))&gt;0.7,(1-INDEX(AllCollegeGR, MATCH(N434,AllCollegeNCES,0)))/2,0.15),2),INDEX(AllCollegeGR, MATCH(N434,AllCollegeNCES,0)))</f>
        <v>0</v>
      </c>
      <c r="AB434">
        <f>IF(ISNUMBER(INDEX(AllCollegeAAHGR, MATCH(N434,AllCollegeNCES,0))),ROUND(INDEX(AllCollegeAAHGR, MATCH(N434,AllCollegeNCES,0))+Z434*IF(INDEX(AllCollegeAAHGR, MATCH(N434,AllCollegeNCES,0))&gt;0.7,(1-INDEX(AllCollegeAAHGR, MATCH(N434,AllCollegeNCES,0)))/2,0.15),2),INDEX(AllCollegeAAHGR, MATCH(N434,AllCollegeNCES,0)))</f>
        <v>0</v>
      </c>
      <c r="AC434">
        <f>IF(OR(W434="H",W434="B"),INDEX(AllCollegeSAT25, MATCH(N434,AllCollegeNCES,0)),INDEX(AllCollegeSAT50, MATCH(N434,AllCollegeNCES,0)))</f>
        <v>0</v>
      </c>
      <c r="AD434">
        <f>INDEX(CustomWeightsGPA,MATCH(W434&amp;":"&amp;N434,CustomWeightsIndex,0))</f>
        <v>0</v>
      </c>
      <c r="AE434">
        <f>INDEX(CustomWeightsSAT,MATCH(W434&amp;":"&amp;N434,CustomWeightsIndex,0))</f>
        <v>0</v>
      </c>
      <c r="AF434">
        <f>INDEX(CustomWeightsIntercept,MATCH(W434&amp;":"&amp;N434,CustomWeightsIndex,0))</f>
        <v>0</v>
      </c>
      <c r="AG434">
        <f>AD434*S434+AE434*T434+AF434</f>
        <v>0</v>
      </c>
      <c r="AH434">
        <f>INDEX(CoefficientsGPA,MATCH(W434&amp;":"&amp;R434,CoefficientsIndex,0))</f>
        <v>0</v>
      </c>
      <c r="AI434">
        <f>INDEX(CoefficientsSAT,MATCH(W434&amp;":"&amp;R434,CoefficientsIndex,0))</f>
        <v>0</v>
      </c>
      <c r="AJ434">
        <f>INDEX(CoefficientsIntercept,MATCH(W434&amp;":"&amp;R434,CoefficientsIndex,0))</f>
        <v>0</v>
      </c>
      <c r="AK434">
        <f>AH434*S434+(T434-AC434)*AI434+AJ434</f>
        <v>0</v>
      </c>
      <c r="AL434">
        <f>IF(ISNUMBER(AG434),AG434,AK434)</f>
        <v>0</v>
      </c>
      <c r="AM434">
        <f>IF(ISNUMBER(AL434),IF(ISNUMBER(AH434),IF(AND(AH434=1,AI434=1,AJ434=1),100,MIN(99,ROUND(100*EXP(AL434)/(1+EXP(AL434)),2))),MIN(99,ROUND(100*EXP(AL434)/(1+EXP(AL434)),2))),IF(ISTEXT(R434),IF(LEFT(R434,1)="2",100,"N/A"),"N/A"))</f>
        <v>0</v>
      </c>
      <c r="AN434">
        <f>IF(ISNUMBER(AM434),IF(AM434&gt;=99,IF(OR(U434=10,U434=11),MatchLabel,SureThingLabel),IF(AM434&gt;=95,SecureLabel,IF(AM434&gt;=80,SafetyLabel,IF(AM434&gt;=50,MatchLabel,IF(AM434&gt;=20,ReachLabel,IF(AM434&gt;=10,LongshotLabel,HailMaryLabel)))))),"Other")</f>
        <v>0</v>
      </c>
      <c r="AO434">
        <f>IF(OR(I434="accepted",I434="cond. accept",I434="summer admit"),IF(J434="yes","CHOICE!","Accepted!"),IF(I434="guar. transfer","Guar. Xfer",IF(I434="denied","Denied",IF(K434=1,"Waitlist",IF(L434=1,"Deferred",IF(G434="pending","Pending",IF(OR(G434="initial materials submitted",G434="mid-year submitted",G434="final submitted"),"Submitted",IF(H434="interest","Interest","?"))))))))</f>
        <v>0</v>
      </c>
      <c r="AP434">
        <f>IF(OR(AN434=ReachLabel,AN434=LongshotLabel,AN434=HailMaryLabel),1,0)</f>
        <v>0</v>
      </c>
      <c r="AQ434">
        <f>IF(OR(AP434=1,AN434=MatchLabel),1,0)</f>
        <v>0</v>
      </c>
      <c r="AR434">
        <f>IF(OR(AN434=MatchLabel,AN434=SafetyLabel,AN434=SecureLabel,AN434=SureThingLabel),1,0)</f>
        <v>0</v>
      </c>
      <c r="AS434">
        <f>IF(OR(W434="H",W434="B",W434="I",W434="M"),IF(ISNUMBER(AB434),ROUND(AB434,2),0),IF(ISNUMBER(AA434),ROUND(AA434,2),0))</f>
        <v>0</v>
      </c>
      <c r="AT434">
        <f>IF(AS434&gt;=X434,1,0)</f>
        <v>0</v>
      </c>
      <c r="AU434">
        <f>IF(AS434&gt;=Y434,1,0)</f>
        <v>0</v>
      </c>
      <c r="AV434">
        <f>IF(AS434&lt;(X434-0.10),1,0)</f>
        <v>0</v>
      </c>
      <c r="AW434">
        <f>1-AM434/100</f>
        <v>0</v>
      </c>
      <c r="AX434">
        <f>IF(AQ434=1,AW434,1)</f>
        <v>0</v>
      </c>
      <c r="AY434">
        <f>IF(AP434=1,AW434,1)</f>
        <v>0</v>
      </c>
      <c r="AZ434">
        <f>IF(AND(AT434=1,ISNUMBER(AW434)),$AW434,1)</f>
        <v>0</v>
      </c>
      <c r="BA434">
        <f>IF(AND(AU434=1,ISNUMBER(AW434)),$AW434,1)</f>
        <v>0</v>
      </c>
      <c r="BB434">
        <f>IF(ISNUMBER(AB434),INDEX(AllCollegeMoney, MATCH(N434,AllCollegeNCES,0)),0)</f>
        <v>0</v>
      </c>
      <c r="BC434">
        <f>IF(AND(AT434=1,ISNUMBER(AW434),BB434=1),$AW434,1)</f>
        <v>0</v>
      </c>
      <c r="BD434">
        <f>IF(AND(AU434=1,ISNUMBER(AW434),BB434=1),$AW434,1)</f>
        <v>0</v>
      </c>
      <c r="BE434">
        <f>IF(ISNUMBER(AB434),INDEX(AllCollegeILPub, MATCH(N434,AllCollegeNCES,0)),0)</f>
        <v>0</v>
      </c>
      <c r="BF434">
        <f>IF(AN434=ReachLabel,AS434,0)</f>
        <v>0</v>
      </c>
      <c r="BG434">
        <f>IF(AN434=MatchLabel,AS434,0)</f>
        <v>0</v>
      </c>
      <c r="BH434">
        <f>IF(AN434=SafetyLabel,AS434,0)</f>
        <v>0</v>
      </c>
      <c r="BI434">
        <f>IF(AN434=SecureLabel,AS434,0)</f>
        <v>0</v>
      </c>
      <c r="BJ434">
        <f>IF(AN434=SureThingLabel,AS434,0)</f>
        <v>0</v>
      </c>
      <c r="BK434">
        <f>MAX(BF434:BJ434)</f>
        <v>0</v>
      </c>
      <c r="BL434">
        <f>MAX(BG434:BJ434)</f>
        <v>0</v>
      </c>
      <c r="BM434">
        <f>MAX(BH434:BJ434)</f>
        <v>0</v>
      </c>
      <c r="BN434">
        <f>IF(AND(AN434=ReachLabel,BB434=1),AS434,0)</f>
        <v>0</v>
      </c>
      <c r="BO434">
        <f>IF(AND(AN434=MatchLabel,BB434=1),AS434,0)</f>
        <v>0</v>
      </c>
      <c r="BP434">
        <f>IF(AND(AN434=SafetyLabel,BB434=1),AS434,0)</f>
        <v>0</v>
      </c>
      <c r="BQ434">
        <f>IF(AND(AN434=SecureLabel,BB434=1),AS434,0)</f>
        <v>0</v>
      </c>
      <c r="BR434">
        <f>IF(AND(AN434=SureThingLabel,BB434=1),AS434,0)</f>
        <v>0</v>
      </c>
      <c r="BS434">
        <f>MAX(BN434:BR434)</f>
        <v>0</v>
      </c>
      <c r="BT434">
        <f>MAX(BO434:BR434)</f>
        <v>0</v>
      </c>
      <c r="BU434">
        <f>MAX(BP434:BR434)</f>
        <v>0</v>
      </c>
      <c r="BV434">
        <f>IF(ISNUMBER(AB434),INDEX(AllCollegeChicago, MATCH(N434,AllCollegeNCES,0))*BB434,0)</f>
        <v>0</v>
      </c>
      <c r="BW434">
        <f>IF(ISNUMBER(AB434),INDEX(AllCollegeMoneyCode, MATCH(N434,AllCollegeNCES,0)),"?")</f>
        <v>0</v>
      </c>
      <c r="BX434">
        <f>IF(OR(BW434="---",BW434="--",BW434="+/--",BW434="+/---"),1,0)</f>
        <v>0</v>
      </c>
      <c r="BY434">
        <f>BB434*AR434*AT434</f>
        <v>0</v>
      </c>
    </row>
    <row r="435" spans="1:77">
      <c r="A435" t="s">
        <v>96</v>
      </c>
      <c r="B435">
        <v>23403578</v>
      </c>
      <c r="C435" t="s">
        <v>261</v>
      </c>
      <c r="D435" t="s">
        <v>262</v>
      </c>
      <c r="E435" t="s">
        <v>446</v>
      </c>
      <c r="F435" t="s">
        <v>456</v>
      </c>
      <c r="G435" t="s">
        <v>479</v>
      </c>
      <c r="H435" t="s">
        <v>449</v>
      </c>
      <c r="I435" t="s">
        <v>450</v>
      </c>
      <c r="J435" t="s">
        <v>450</v>
      </c>
      <c r="K435">
        <v>0</v>
      </c>
      <c r="L435" t="s">
        <v>446</v>
      </c>
      <c r="M435" t="s">
        <v>446</v>
      </c>
      <c r="N435">
        <v>149772</v>
      </c>
      <c r="O435">
        <f>INDEX(Counselor,MATCH(B435,KidIDs,0))</f>
        <v>0</v>
      </c>
      <c r="P435">
        <f>INDEX(Advisors,MATCH(B435,KidIDs,0))</f>
        <v>0</v>
      </c>
      <c r="Q435">
        <f>INDEX(Cohort,MATCH(B435,KidIDs,0))</f>
        <v>0</v>
      </c>
      <c r="R435">
        <f>INDEX(AllCollegeBarrons,MATCH(N435,AllCollegeNCES,0))</f>
        <v>0</v>
      </c>
      <c r="S435">
        <f>INDEX(KidGPAs,MATCH(B435,KidIDs,0))</f>
        <v>0</v>
      </c>
      <c r="T435">
        <f>INDEX(KidSATs,MATCH(B435,KidIDs,0))</f>
        <v>0</v>
      </c>
      <c r="U435">
        <f>INDEX(Strats,MATCH(B435,KidIDs,0))</f>
        <v>0</v>
      </c>
      <c r="V435">
        <f>INDEX(KidRace,MATCH(B435,KidIDs,0))</f>
        <v>0</v>
      </c>
      <c r="W435">
        <f>IF(OR(V435="M",V435="I"),"H",IF(V435="P","A",V435))</f>
        <v>0</v>
      </c>
      <c r="X435">
        <f>INDEX(StudentTargets,MATCH(B435,KidIDs,0))</f>
        <v>0</v>
      </c>
      <c r="Y435">
        <f>INDEX(ReachStudentTargets,MATCH(B435,KidIDs,0))</f>
        <v>0</v>
      </c>
      <c r="Z435">
        <f>IF(OR(M435="Posse"),1,0)</f>
        <v>0</v>
      </c>
      <c r="AA435">
        <f>IF(ISNUMBER(INDEX(AllCollegeGR, MATCH(N435,AllCollegeNCES,0))),ROUND(INDEX(AllCollegeGR, MATCH(N435,AllCollegeNCES,0))+Z435*IF(INDEX(AllCollegeGR, MATCH(N435,AllCollegeNCES,0))&gt;0.7,(1-INDEX(AllCollegeGR, MATCH(N435,AllCollegeNCES,0)))/2,0.15),2),INDEX(AllCollegeGR, MATCH(N435,AllCollegeNCES,0)))</f>
        <v>0</v>
      </c>
      <c r="AB435">
        <f>IF(ISNUMBER(INDEX(AllCollegeAAHGR, MATCH(N435,AllCollegeNCES,0))),ROUND(INDEX(AllCollegeAAHGR, MATCH(N435,AllCollegeNCES,0))+Z435*IF(INDEX(AllCollegeAAHGR, MATCH(N435,AllCollegeNCES,0))&gt;0.7,(1-INDEX(AllCollegeAAHGR, MATCH(N435,AllCollegeNCES,0)))/2,0.15),2),INDEX(AllCollegeAAHGR, MATCH(N435,AllCollegeNCES,0)))</f>
        <v>0</v>
      </c>
      <c r="AC435">
        <f>IF(OR(W435="H",W435="B"),INDEX(AllCollegeSAT25, MATCH(N435,AllCollegeNCES,0)),INDEX(AllCollegeSAT50, MATCH(N435,AllCollegeNCES,0)))</f>
        <v>0</v>
      </c>
      <c r="AD435">
        <f>INDEX(CustomWeightsGPA,MATCH(W435&amp;":"&amp;N435,CustomWeightsIndex,0))</f>
        <v>0</v>
      </c>
      <c r="AE435">
        <f>INDEX(CustomWeightsSAT,MATCH(W435&amp;":"&amp;N435,CustomWeightsIndex,0))</f>
        <v>0</v>
      </c>
      <c r="AF435">
        <f>INDEX(CustomWeightsIntercept,MATCH(W435&amp;":"&amp;N435,CustomWeightsIndex,0))</f>
        <v>0</v>
      </c>
      <c r="AG435">
        <f>AD435*S435+AE435*T435+AF435</f>
        <v>0</v>
      </c>
      <c r="AH435">
        <f>INDEX(CoefficientsGPA,MATCH(W435&amp;":"&amp;R435,CoefficientsIndex,0))</f>
        <v>0</v>
      </c>
      <c r="AI435">
        <f>INDEX(CoefficientsSAT,MATCH(W435&amp;":"&amp;R435,CoefficientsIndex,0))</f>
        <v>0</v>
      </c>
      <c r="AJ435">
        <f>INDEX(CoefficientsIntercept,MATCH(W435&amp;":"&amp;R435,CoefficientsIndex,0))</f>
        <v>0</v>
      </c>
      <c r="AK435">
        <f>AH435*S435+(T435-AC435)*AI435+AJ435</f>
        <v>0</v>
      </c>
      <c r="AL435">
        <f>IF(ISNUMBER(AG435),AG435,AK435)</f>
        <v>0</v>
      </c>
      <c r="AM435">
        <f>IF(ISNUMBER(AL435),IF(ISNUMBER(AH435),IF(AND(AH435=1,AI435=1,AJ435=1),100,MIN(99,ROUND(100*EXP(AL435)/(1+EXP(AL435)),2))),MIN(99,ROUND(100*EXP(AL435)/(1+EXP(AL435)),2))),IF(ISTEXT(R435),IF(LEFT(R435,1)="2",100,"N/A"),"N/A"))</f>
        <v>0</v>
      </c>
      <c r="AN435">
        <f>IF(ISNUMBER(AM435),IF(AM435&gt;=99,IF(OR(U435=10,U435=11),MatchLabel,SureThingLabel),IF(AM435&gt;=95,SecureLabel,IF(AM435&gt;=80,SafetyLabel,IF(AM435&gt;=50,MatchLabel,IF(AM435&gt;=20,ReachLabel,IF(AM435&gt;=10,LongshotLabel,HailMaryLabel)))))),"Other")</f>
        <v>0</v>
      </c>
      <c r="AO435">
        <f>IF(OR(I435="accepted",I435="cond. accept",I435="summer admit"),IF(J435="yes","CHOICE!","Accepted!"),IF(I435="guar. transfer","Guar. Xfer",IF(I435="denied","Denied",IF(K435=1,"Waitlist",IF(L435=1,"Deferred",IF(G435="pending","Pending",IF(OR(G435="initial materials submitted",G435="mid-year submitted",G435="final submitted"),"Submitted",IF(H435="interest","Interest","?"))))))))</f>
        <v>0</v>
      </c>
      <c r="AP435">
        <f>IF(OR(AN435=ReachLabel,AN435=LongshotLabel,AN435=HailMaryLabel),1,0)</f>
        <v>0</v>
      </c>
      <c r="AQ435">
        <f>IF(OR(AP435=1,AN435=MatchLabel),1,0)</f>
        <v>0</v>
      </c>
      <c r="AR435">
        <f>IF(OR(AN435=MatchLabel,AN435=SafetyLabel,AN435=SecureLabel,AN435=SureThingLabel),1,0)</f>
        <v>0</v>
      </c>
      <c r="AS435">
        <f>IF(OR(W435="H",W435="B",W435="I",W435="M"),IF(ISNUMBER(AB435),ROUND(AB435,2),0),IF(ISNUMBER(AA435),ROUND(AA435,2),0))</f>
        <v>0</v>
      </c>
      <c r="AT435">
        <f>IF(AS435&gt;=X435,1,0)</f>
        <v>0</v>
      </c>
      <c r="AU435">
        <f>IF(AS435&gt;=Y435,1,0)</f>
        <v>0</v>
      </c>
      <c r="AV435">
        <f>IF(AS435&lt;(X435-0.10),1,0)</f>
        <v>0</v>
      </c>
      <c r="AW435">
        <f>1-AM435/100</f>
        <v>0</v>
      </c>
      <c r="AX435">
        <f>IF(AQ435=1,AW435,1)</f>
        <v>0</v>
      </c>
      <c r="AY435">
        <f>IF(AP435=1,AW435,1)</f>
        <v>0</v>
      </c>
      <c r="AZ435">
        <f>IF(AND(AT435=1,ISNUMBER(AW435)),$AW435,1)</f>
        <v>0</v>
      </c>
      <c r="BA435">
        <f>IF(AND(AU435=1,ISNUMBER(AW435)),$AW435,1)</f>
        <v>0</v>
      </c>
      <c r="BB435">
        <f>IF(ISNUMBER(AB435),INDEX(AllCollegeMoney, MATCH(N435,AllCollegeNCES,0)),0)</f>
        <v>0</v>
      </c>
      <c r="BC435">
        <f>IF(AND(AT435=1,ISNUMBER(AW435),BB435=1),$AW435,1)</f>
        <v>0</v>
      </c>
      <c r="BD435">
        <f>IF(AND(AU435=1,ISNUMBER(AW435),BB435=1),$AW435,1)</f>
        <v>0</v>
      </c>
      <c r="BE435">
        <f>IF(ISNUMBER(AB435),INDEX(AllCollegeILPub, MATCH(N435,AllCollegeNCES,0)),0)</f>
        <v>0</v>
      </c>
      <c r="BF435">
        <f>IF(AN435=ReachLabel,AS435,0)</f>
        <v>0</v>
      </c>
      <c r="BG435">
        <f>IF(AN435=MatchLabel,AS435,0)</f>
        <v>0</v>
      </c>
      <c r="BH435">
        <f>IF(AN435=SafetyLabel,AS435,0)</f>
        <v>0</v>
      </c>
      <c r="BI435">
        <f>IF(AN435=SecureLabel,AS435,0)</f>
        <v>0</v>
      </c>
      <c r="BJ435">
        <f>IF(AN435=SureThingLabel,AS435,0)</f>
        <v>0</v>
      </c>
      <c r="BK435">
        <f>MAX(BF435:BJ435)</f>
        <v>0</v>
      </c>
      <c r="BL435">
        <f>MAX(BG435:BJ435)</f>
        <v>0</v>
      </c>
      <c r="BM435">
        <f>MAX(BH435:BJ435)</f>
        <v>0</v>
      </c>
      <c r="BN435">
        <f>IF(AND(AN435=ReachLabel,BB435=1),AS435,0)</f>
        <v>0</v>
      </c>
      <c r="BO435">
        <f>IF(AND(AN435=MatchLabel,BB435=1),AS435,0)</f>
        <v>0</v>
      </c>
      <c r="BP435">
        <f>IF(AND(AN435=SafetyLabel,BB435=1),AS435,0)</f>
        <v>0</v>
      </c>
      <c r="BQ435">
        <f>IF(AND(AN435=SecureLabel,BB435=1),AS435,0)</f>
        <v>0</v>
      </c>
      <c r="BR435">
        <f>IF(AND(AN435=SureThingLabel,BB435=1),AS435,0)</f>
        <v>0</v>
      </c>
      <c r="BS435">
        <f>MAX(BN435:BR435)</f>
        <v>0</v>
      </c>
      <c r="BT435">
        <f>MAX(BO435:BR435)</f>
        <v>0</v>
      </c>
      <c r="BU435">
        <f>MAX(BP435:BR435)</f>
        <v>0</v>
      </c>
      <c r="BV435">
        <f>IF(ISNUMBER(AB435),INDEX(AllCollegeChicago, MATCH(N435,AllCollegeNCES,0))*BB435,0)</f>
        <v>0</v>
      </c>
      <c r="BW435">
        <f>IF(ISNUMBER(AB435),INDEX(AllCollegeMoneyCode, MATCH(N435,AllCollegeNCES,0)),"?")</f>
        <v>0</v>
      </c>
      <c r="BX435">
        <f>IF(OR(BW435="---",BW435="--",BW435="+/--",BW435="+/---"),1,0)</f>
        <v>0</v>
      </c>
      <c r="BY435">
        <f>BB435*AR435*AT435</f>
        <v>0</v>
      </c>
    </row>
    <row r="436" spans="1:77">
      <c r="A436" t="s">
        <v>96</v>
      </c>
      <c r="B436">
        <v>23403578</v>
      </c>
      <c r="C436" t="s">
        <v>261</v>
      </c>
      <c r="D436" t="s">
        <v>262</v>
      </c>
      <c r="E436" t="s">
        <v>446</v>
      </c>
      <c r="F436" t="s">
        <v>458</v>
      </c>
      <c r="G436" t="s">
        <v>448</v>
      </c>
      <c r="H436" t="s">
        <v>449</v>
      </c>
      <c r="I436" t="s">
        <v>450</v>
      </c>
      <c r="J436" t="s">
        <v>450</v>
      </c>
      <c r="K436">
        <v>0</v>
      </c>
      <c r="L436" t="s">
        <v>446</v>
      </c>
      <c r="M436" t="s">
        <v>446</v>
      </c>
      <c r="N436">
        <v>144892</v>
      </c>
      <c r="O436">
        <f>INDEX(Counselor,MATCH(B436,KidIDs,0))</f>
        <v>0</v>
      </c>
      <c r="P436">
        <f>INDEX(Advisors,MATCH(B436,KidIDs,0))</f>
        <v>0</v>
      </c>
      <c r="Q436">
        <f>INDEX(Cohort,MATCH(B436,KidIDs,0))</f>
        <v>0</v>
      </c>
      <c r="R436">
        <f>INDEX(AllCollegeBarrons,MATCH(N436,AllCollegeNCES,0))</f>
        <v>0</v>
      </c>
      <c r="S436">
        <f>INDEX(KidGPAs,MATCH(B436,KidIDs,0))</f>
        <v>0</v>
      </c>
      <c r="T436">
        <f>INDEX(KidSATs,MATCH(B436,KidIDs,0))</f>
        <v>0</v>
      </c>
      <c r="U436">
        <f>INDEX(Strats,MATCH(B436,KidIDs,0))</f>
        <v>0</v>
      </c>
      <c r="V436">
        <f>INDEX(KidRace,MATCH(B436,KidIDs,0))</f>
        <v>0</v>
      </c>
      <c r="W436">
        <f>IF(OR(V436="M",V436="I"),"H",IF(V436="P","A",V436))</f>
        <v>0</v>
      </c>
      <c r="X436">
        <f>INDEX(StudentTargets,MATCH(B436,KidIDs,0))</f>
        <v>0</v>
      </c>
      <c r="Y436">
        <f>INDEX(ReachStudentTargets,MATCH(B436,KidIDs,0))</f>
        <v>0</v>
      </c>
      <c r="Z436">
        <f>IF(OR(M436="Posse"),1,0)</f>
        <v>0</v>
      </c>
      <c r="AA436">
        <f>IF(ISNUMBER(INDEX(AllCollegeGR, MATCH(N436,AllCollegeNCES,0))),ROUND(INDEX(AllCollegeGR, MATCH(N436,AllCollegeNCES,0))+Z436*IF(INDEX(AllCollegeGR, MATCH(N436,AllCollegeNCES,0))&gt;0.7,(1-INDEX(AllCollegeGR, MATCH(N436,AllCollegeNCES,0)))/2,0.15),2),INDEX(AllCollegeGR, MATCH(N436,AllCollegeNCES,0)))</f>
        <v>0</v>
      </c>
      <c r="AB436">
        <f>IF(ISNUMBER(INDEX(AllCollegeAAHGR, MATCH(N436,AllCollegeNCES,0))),ROUND(INDEX(AllCollegeAAHGR, MATCH(N436,AllCollegeNCES,0))+Z436*IF(INDEX(AllCollegeAAHGR, MATCH(N436,AllCollegeNCES,0))&gt;0.7,(1-INDEX(AllCollegeAAHGR, MATCH(N436,AllCollegeNCES,0)))/2,0.15),2),INDEX(AllCollegeAAHGR, MATCH(N436,AllCollegeNCES,0)))</f>
        <v>0</v>
      </c>
      <c r="AC436">
        <f>IF(OR(W436="H",W436="B"),INDEX(AllCollegeSAT25, MATCH(N436,AllCollegeNCES,0)),INDEX(AllCollegeSAT50, MATCH(N436,AllCollegeNCES,0)))</f>
        <v>0</v>
      </c>
      <c r="AD436">
        <f>INDEX(CustomWeightsGPA,MATCH(W436&amp;":"&amp;N436,CustomWeightsIndex,0))</f>
        <v>0</v>
      </c>
      <c r="AE436">
        <f>INDEX(CustomWeightsSAT,MATCH(W436&amp;":"&amp;N436,CustomWeightsIndex,0))</f>
        <v>0</v>
      </c>
      <c r="AF436">
        <f>INDEX(CustomWeightsIntercept,MATCH(W436&amp;":"&amp;N436,CustomWeightsIndex,0))</f>
        <v>0</v>
      </c>
      <c r="AG436">
        <f>AD436*S436+AE436*T436+AF436</f>
        <v>0</v>
      </c>
      <c r="AH436">
        <f>INDEX(CoefficientsGPA,MATCH(W436&amp;":"&amp;R436,CoefficientsIndex,0))</f>
        <v>0</v>
      </c>
      <c r="AI436">
        <f>INDEX(CoefficientsSAT,MATCH(W436&amp;":"&amp;R436,CoefficientsIndex,0))</f>
        <v>0</v>
      </c>
      <c r="AJ436">
        <f>INDEX(CoefficientsIntercept,MATCH(W436&amp;":"&amp;R436,CoefficientsIndex,0))</f>
        <v>0</v>
      </c>
      <c r="AK436">
        <f>AH436*S436+(T436-AC436)*AI436+AJ436</f>
        <v>0</v>
      </c>
      <c r="AL436">
        <f>IF(ISNUMBER(AG436),AG436,AK436)</f>
        <v>0</v>
      </c>
      <c r="AM436">
        <f>IF(ISNUMBER(AL436),IF(ISNUMBER(AH436),IF(AND(AH436=1,AI436=1,AJ436=1),100,MIN(99,ROUND(100*EXP(AL436)/(1+EXP(AL436)),2))),MIN(99,ROUND(100*EXP(AL436)/(1+EXP(AL436)),2))),IF(ISTEXT(R436),IF(LEFT(R436,1)="2",100,"N/A"),"N/A"))</f>
        <v>0</v>
      </c>
      <c r="AN436">
        <f>IF(ISNUMBER(AM436),IF(AM436&gt;=99,IF(OR(U436=10,U436=11),MatchLabel,SureThingLabel),IF(AM436&gt;=95,SecureLabel,IF(AM436&gt;=80,SafetyLabel,IF(AM436&gt;=50,MatchLabel,IF(AM436&gt;=20,ReachLabel,IF(AM436&gt;=10,LongshotLabel,HailMaryLabel)))))),"Other")</f>
        <v>0</v>
      </c>
      <c r="AO436">
        <f>IF(OR(I436="accepted",I436="cond. accept",I436="summer admit"),IF(J436="yes","CHOICE!","Accepted!"),IF(I436="guar. transfer","Guar. Xfer",IF(I436="denied","Denied",IF(K436=1,"Waitlist",IF(L436=1,"Deferred",IF(G436="pending","Pending",IF(OR(G436="initial materials submitted",G436="mid-year submitted",G436="final submitted"),"Submitted",IF(H436="interest","Interest","?"))))))))</f>
        <v>0</v>
      </c>
      <c r="AP436">
        <f>IF(OR(AN436=ReachLabel,AN436=LongshotLabel,AN436=HailMaryLabel),1,0)</f>
        <v>0</v>
      </c>
      <c r="AQ436">
        <f>IF(OR(AP436=1,AN436=MatchLabel),1,0)</f>
        <v>0</v>
      </c>
      <c r="AR436">
        <f>IF(OR(AN436=MatchLabel,AN436=SafetyLabel,AN436=SecureLabel,AN436=SureThingLabel),1,0)</f>
        <v>0</v>
      </c>
      <c r="AS436">
        <f>IF(OR(W436="H",W436="B",W436="I",W436="M"),IF(ISNUMBER(AB436),ROUND(AB436,2),0),IF(ISNUMBER(AA436),ROUND(AA436,2),0))</f>
        <v>0</v>
      </c>
      <c r="AT436">
        <f>IF(AS436&gt;=X436,1,0)</f>
        <v>0</v>
      </c>
      <c r="AU436">
        <f>IF(AS436&gt;=Y436,1,0)</f>
        <v>0</v>
      </c>
      <c r="AV436">
        <f>IF(AS436&lt;(X436-0.10),1,0)</f>
        <v>0</v>
      </c>
      <c r="AW436">
        <f>1-AM436/100</f>
        <v>0</v>
      </c>
      <c r="AX436">
        <f>IF(AQ436=1,AW436,1)</f>
        <v>0</v>
      </c>
      <c r="AY436">
        <f>IF(AP436=1,AW436,1)</f>
        <v>0</v>
      </c>
      <c r="AZ436">
        <f>IF(AND(AT436=1,ISNUMBER(AW436)),$AW436,1)</f>
        <v>0</v>
      </c>
      <c r="BA436">
        <f>IF(AND(AU436=1,ISNUMBER(AW436)),$AW436,1)</f>
        <v>0</v>
      </c>
      <c r="BB436">
        <f>IF(ISNUMBER(AB436),INDEX(AllCollegeMoney, MATCH(N436,AllCollegeNCES,0)),0)</f>
        <v>0</v>
      </c>
      <c r="BC436">
        <f>IF(AND(AT436=1,ISNUMBER(AW436),BB436=1),$AW436,1)</f>
        <v>0</v>
      </c>
      <c r="BD436">
        <f>IF(AND(AU436=1,ISNUMBER(AW436),BB436=1),$AW436,1)</f>
        <v>0</v>
      </c>
      <c r="BE436">
        <f>IF(ISNUMBER(AB436),INDEX(AllCollegeILPub, MATCH(N436,AllCollegeNCES,0)),0)</f>
        <v>0</v>
      </c>
      <c r="BF436">
        <f>IF(AN436=ReachLabel,AS436,0)</f>
        <v>0</v>
      </c>
      <c r="BG436">
        <f>IF(AN436=MatchLabel,AS436,0)</f>
        <v>0</v>
      </c>
      <c r="BH436">
        <f>IF(AN436=SafetyLabel,AS436,0)</f>
        <v>0</v>
      </c>
      <c r="BI436">
        <f>IF(AN436=SecureLabel,AS436,0)</f>
        <v>0</v>
      </c>
      <c r="BJ436">
        <f>IF(AN436=SureThingLabel,AS436,0)</f>
        <v>0</v>
      </c>
      <c r="BK436">
        <f>MAX(BF436:BJ436)</f>
        <v>0</v>
      </c>
      <c r="BL436">
        <f>MAX(BG436:BJ436)</f>
        <v>0</v>
      </c>
      <c r="BM436">
        <f>MAX(BH436:BJ436)</f>
        <v>0</v>
      </c>
      <c r="BN436">
        <f>IF(AND(AN436=ReachLabel,BB436=1),AS436,0)</f>
        <v>0</v>
      </c>
      <c r="BO436">
        <f>IF(AND(AN436=MatchLabel,BB436=1),AS436,0)</f>
        <v>0</v>
      </c>
      <c r="BP436">
        <f>IF(AND(AN436=SafetyLabel,BB436=1),AS436,0)</f>
        <v>0</v>
      </c>
      <c r="BQ436">
        <f>IF(AND(AN436=SecureLabel,BB436=1),AS436,0)</f>
        <v>0</v>
      </c>
      <c r="BR436">
        <f>IF(AND(AN436=SureThingLabel,BB436=1),AS436,0)</f>
        <v>0</v>
      </c>
      <c r="BS436">
        <f>MAX(BN436:BR436)</f>
        <v>0</v>
      </c>
      <c r="BT436">
        <f>MAX(BO436:BR436)</f>
        <v>0</v>
      </c>
      <c r="BU436">
        <f>MAX(BP436:BR436)</f>
        <v>0</v>
      </c>
      <c r="BV436">
        <f>IF(ISNUMBER(AB436),INDEX(AllCollegeChicago, MATCH(N436,AllCollegeNCES,0))*BB436,0)</f>
        <v>0</v>
      </c>
      <c r="BW436">
        <f>IF(ISNUMBER(AB436),INDEX(AllCollegeMoneyCode, MATCH(N436,AllCollegeNCES,0)),"?")</f>
        <v>0</v>
      </c>
      <c r="BX436">
        <f>IF(OR(BW436="---",BW436="--",BW436="+/--",BW436="+/---"),1,0)</f>
        <v>0</v>
      </c>
      <c r="BY436">
        <f>BB436*AR436*AT436</f>
        <v>0</v>
      </c>
    </row>
    <row r="437" spans="1:77">
      <c r="A437" t="s">
        <v>96</v>
      </c>
      <c r="B437">
        <v>23416005</v>
      </c>
      <c r="C437" t="s">
        <v>209</v>
      </c>
      <c r="D437" t="s">
        <v>210</v>
      </c>
      <c r="E437" t="s">
        <v>446</v>
      </c>
      <c r="F437" t="s">
        <v>482</v>
      </c>
      <c r="G437" t="s">
        <v>448</v>
      </c>
      <c r="H437" t="s">
        <v>449</v>
      </c>
      <c r="I437" t="s">
        <v>450</v>
      </c>
      <c r="J437" t="s">
        <v>450</v>
      </c>
      <c r="K437">
        <v>0</v>
      </c>
      <c r="L437" t="s">
        <v>446</v>
      </c>
      <c r="M437" t="s">
        <v>446</v>
      </c>
      <c r="N437">
        <v>170976</v>
      </c>
      <c r="O437">
        <f>INDEX(Counselor,MATCH(B437,KidIDs,0))</f>
        <v>0</v>
      </c>
      <c r="P437">
        <f>INDEX(Advisors,MATCH(B437,KidIDs,0))</f>
        <v>0</v>
      </c>
      <c r="Q437">
        <f>INDEX(Cohort,MATCH(B437,KidIDs,0))</f>
        <v>0</v>
      </c>
      <c r="R437">
        <f>INDEX(AllCollegeBarrons,MATCH(N437,AllCollegeNCES,0))</f>
        <v>0</v>
      </c>
      <c r="S437">
        <f>INDEX(KidGPAs,MATCH(B437,KidIDs,0))</f>
        <v>0</v>
      </c>
      <c r="T437">
        <f>INDEX(KidSATs,MATCH(B437,KidIDs,0))</f>
        <v>0</v>
      </c>
      <c r="U437">
        <f>INDEX(Strats,MATCH(B437,KidIDs,0))</f>
        <v>0</v>
      </c>
      <c r="V437">
        <f>INDEX(KidRace,MATCH(B437,KidIDs,0))</f>
        <v>0</v>
      </c>
      <c r="W437">
        <f>IF(OR(V437="M",V437="I"),"H",IF(V437="P","A",V437))</f>
        <v>0</v>
      </c>
      <c r="X437">
        <f>INDEX(StudentTargets,MATCH(B437,KidIDs,0))</f>
        <v>0</v>
      </c>
      <c r="Y437">
        <f>INDEX(ReachStudentTargets,MATCH(B437,KidIDs,0))</f>
        <v>0</v>
      </c>
      <c r="Z437">
        <f>IF(OR(M437="Posse"),1,0)</f>
        <v>0</v>
      </c>
      <c r="AA437">
        <f>IF(ISNUMBER(INDEX(AllCollegeGR, MATCH(N437,AllCollegeNCES,0))),ROUND(INDEX(AllCollegeGR, MATCH(N437,AllCollegeNCES,0))+Z437*IF(INDEX(AllCollegeGR, MATCH(N437,AllCollegeNCES,0))&gt;0.7,(1-INDEX(AllCollegeGR, MATCH(N437,AllCollegeNCES,0)))/2,0.15),2),INDEX(AllCollegeGR, MATCH(N437,AllCollegeNCES,0)))</f>
        <v>0</v>
      </c>
      <c r="AB437">
        <f>IF(ISNUMBER(INDEX(AllCollegeAAHGR, MATCH(N437,AllCollegeNCES,0))),ROUND(INDEX(AllCollegeAAHGR, MATCH(N437,AllCollegeNCES,0))+Z437*IF(INDEX(AllCollegeAAHGR, MATCH(N437,AllCollegeNCES,0))&gt;0.7,(1-INDEX(AllCollegeAAHGR, MATCH(N437,AllCollegeNCES,0)))/2,0.15),2),INDEX(AllCollegeAAHGR, MATCH(N437,AllCollegeNCES,0)))</f>
        <v>0</v>
      </c>
      <c r="AC437">
        <f>IF(OR(W437="H",W437="B"),INDEX(AllCollegeSAT25, MATCH(N437,AllCollegeNCES,0)),INDEX(AllCollegeSAT50, MATCH(N437,AllCollegeNCES,0)))</f>
        <v>0</v>
      </c>
      <c r="AD437">
        <f>INDEX(CustomWeightsGPA,MATCH(W437&amp;":"&amp;N437,CustomWeightsIndex,0))</f>
        <v>0</v>
      </c>
      <c r="AE437">
        <f>INDEX(CustomWeightsSAT,MATCH(W437&amp;":"&amp;N437,CustomWeightsIndex,0))</f>
        <v>0</v>
      </c>
      <c r="AF437">
        <f>INDEX(CustomWeightsIntercept,MATCH(W437&amp;":"&amp;N437,CustomWeightsIndex,0))</f>
        <v>0</v>
      </c>
      <c r="AG437">
        <f>AD437*S437+AE437*T437+AF437</f>
        <v>0</v>
      </c>
      <c r="AH437">
        <f>INDEX(CoefficientsGPA,MATCH(W437&amp;":"&amp;R437,CoefficientsIndex,0))</f>
        <v>0</v>
      </c>
      <c r="AI437">
        <f>INDEX(CoefficientsSAT,MATCH(W437&amp;":"&amp;R437,CoefficientsIndex,0))</f>
        <v>0</v>
      </c>
      <c r="AJ437">
        <f>INDEX(CoefficientsIntercept,MATCH(W437&amp;":"&amp;R437,CoefficientsIndex,0))</f>
        <v>0</v>
      </c>
      <c r="AK437">
        <f>AH437*S437+(T437-AC437)*AI437+AJ437</f>
        <v>0</v>
      </c>
      <c r="AL437">
        <f>IF(ISNUMBER(AG437),AG437,AK437)</f>
        <v>0</v>
      </c>
      <c r="AM437">
        <f>IF(ISNUMBER(AL437),IF(ISNUMBER(AH437),IF(AND(AH437=1,AI437=1,AJ437=1),100,MIN(99,ROUND(100*EXP(AL437)/(1+EXP(AL437)),2))),MIN(99,ROUND(100*EXP(AL437)/(1+EXP(AL437)),2))),IF(ISTEXT(R437),IF(LEFT(R437,1)="2",100,"N/A"),"N/A"))</f>
        <v>0</v>
      </c>
      <c r="AN437">
        <f>IF(ISNUMBER(AM437),IF(AM437&gt;=99,IF(OR(U437=10,U437=11),MatchLabel,SureThingLabel),IF(AM437&gt;=95,SecureLabel,IF(AM437&gt;=80,SafetyLabel,IF(AM437&gt;=50,MatchLabel,IF(AM437&gt;=20,ReachLabel,IF(AM437&gt;=10,LongshotLabel,HailMaryLabel)))))),"Other")</f>
        <v>0</v>
      </c>
      <c r="AO437">
        <f>IF(OR(I437="accepted",I437="cond. accept",I437="summer admit"),IF(J437="yes","CHOICE!","Accepted!"),IF(I437="guar. transfer","Guar. Xfer",IF(I437="denied","Denied",IF(K437=1,"Waitlist",IF(L437=1,"Deferred",IF(G437="pending","Pending",IF(OR(G437="initial materials submitted",G437="mid-year submitted",G437="final submitted"),"Submitted",IF(H437="interest","Interest","?"))))))))</f>
        <v>0</v>
      </c>
      <c r="AP437">
        <f>IF(OR(AN437=ReachLabel,AN437=LongshotLabel,AN437=HailMaryLabel),1,0)</f>
        <v>0</v>
      </c>
      <c r="AQ437">
        <f>IF(OR(AP437=1,AN437=MatchLabel),1,0)</f>
        <v>0</v>
      </c>
      <c r="AR437">
        <f>IF(OR(AN437=MatchLabel,AN437=SafetyLabel,AN437=SecureLabel,AN437=SureThingLabel),1,0)</f>
        <v>0</v>
      </c>
      <c r="AS437">
        <f>IF(OR(W437="H",W437="B",W437="I",W437="M"),IF(ISNUMBER(AB437),ROUND(AB437,2),0),IF(ISNUMBER(AA437),ROUND(AA437,2),0))</f>
        <v>0</v>
      </c>
      <c r="AT437">
        <f>IF(AS437&gt;=X437,1,0)</f>
        <v>0</v>
      </c>
      <c r="AU437">
        <f>IF(AS437&gt;=Y437,1,0)</f>
        <v>0</v>
      </c>
      <c r="AV437">
        <f>IF(AS437&lt;(X437-0.10),1,0)</f>
        <v>0</v>
      </c>
      <c r="AW437">
        <f>1-AM437/100</f>
        <v>0</v>
      </c>
      <c r="AX437">
        <f>IF(AQ437=1,AW437,1)</f>
        <v>0</v>
      </c>
      <c r="AY437">
        <f>IF(AP437=1,AW437,1)</f>
        <v>0</v>
      </c>
      <c r="AZ437">
        <f>IF(AND(AT437=1,ISNUMBER(AW437)),$AW437,1)</f>
        <v>0</v>
      </c>
      <c r="BA437">
        <f>IF(AND(AU437=1,ISNUMBER(AW437)),$AW437,1)</f>
        <v>0</v>
      </c>
      <c r="BB437">
        <f>IF(ISNUMBER(AB437),INDEX(AllCollegeMoney, MATCH(N437,AllCollegeNCES,0)),0)</f>
        <v>0</v>
      </c>
      <c r="BC437">
        <f>IF(AND(AT437=1,ISNUMBER(AW437),BB437=1),$AW437,1)</f>
        <v>0</v>
      </c>
      <c r="BD437">
        <f>IF(AND(AU437=1,ISNUMBER(AW437),BB437=1),$AW437,1)</f>
        <v>0</v>
      </c>
      <c r="BE437">
        <f>IF(ISNUMBER(AB437),INDEX(AllCollegeILPub, MATCH(N437,AllCollegeNCES,0)),0)</f>
        <v>0</v>
      </c>
      <c r="BF437">
        <f>IF(AN437=ReachLabel,AS437,0)</f>
        <v>0</v>
      </c>
      <c r="BG437">
        <f>IF(AN437=MatchLabel,AS437,0)</f>
        <v>0</v>
      </c>
      <c r="BH437">
        <f>IF(AN437=SafetyLabel,AS437,0)</f>
        <v>0</v>
      </c>
      <c r="BI437">
        <f>IF(AN437=SecureLabel,AS437,0)</f>
        <v>0</v>
      </c>
      <c r="BJ437">
        <f>IF(AN437=SureThingLabel,AS437,0)</f>
        <v>0</v>
      </c>
      <c r="BK437">
        <f>MAX(BF437:BJ437)</f>
        <v>0</v>
      </c>
      <c r="BL437">
        <f>MAX(BG437:BJ437)</f>
        <v>0</v>
      </c>
      <c r="BM437">
        <f>MAX(BH437:BJ437)</f>
        <v>0</v>
      </c>
      <c r="BN437">
        <f>IF(AND(AN437=ReachLabel,BB437=1),AS437,0)</f>
        <v>0</v>
      </c>
      <c r="BO437">
        <f>IF(AND(AN437=MatchLabel,BB437=1),AS437,0)</f>
        <v>0</v>
      </c>
      <c r="BP437">
        <f>IF(AND(AN437=SafetyLabel,BB437=1),AS437,0)</f>
        <v>0</v>
      </c>
      <c r="BQ437">
        <f>IF(AND(AN437=SecureLabel,BB437=1),AS437,0)</f>
        <v>0</v>
      </c>
      <c r="BR437">
        <f>IF(AND(AN437=SureThingLabel,BB437=1),AS437,0)</f>
        <v>0</v>
      </c>
      <c r="BS437">
        <f>MAX(BN437:BR437)</f>
        <v>0</v>
      </c>
      <c r="BT437">
        <f>MAX(BO437:BR437)</f>
        <v>0</v>
      </c>
      <c r="BU437">
        <f>MAX(BP437:BR437)</f>
        <v>0</v>
      </c>
      <c r="BV437">
        <f>IF(ISNUMBER(AB437),INDEX(AllCollegeChicago, MATCH(N437,AllCollegeNCES,0))*BB437,0)</f>
        <v>0</v>
      </c>
      <c r="BW437">
        <f>IF(ISNUMBER(AB437),INDEX(AllCollegeMoneyCode, MATCH(N437,AllCollegeNCES,0)),"?")</f>
        <v>0</v>
      </c>
      <c r="BX437">
        <f>IF(OR(BW437="---",BW437="--",BW437="+/--",BW437="+/---"),1,0)</f>
        <v>0</v>
      </c>
      <c r="BY437">
        <f>BB437*AR437*AT437</f>
        <v>0</v>
      </c>
    </row>
    <row r="438" spans="1:77">
      <c r="A438" t="s">
        <v>96</v>
      </c>
      <c r="B438">
        <v>23416005</v>
      </c>
      <c r="C438" t="s">
        <v>209</v>
      </c>
      <c r="D438" t="s">
        <v>210</v>
      </c>
      <c r="E438" t="s">
        <v>446</v>
      </c>
      <c r="F438" t="s">
        <v>470</v>
      </c>
      <c r="G438" t="s">
        <v>448</v>
      </c>
      <c r="H438" t="s">
        <v>449</v>
      </c>
      <c r="I438" t="s">
        <v>450</v>
      </c>
      <c r="J438" t="s">
        <v>450</v>
      </c>
      <c r="K438">
        <v>0</v>
      </c>
      <c r="L438" t="s">
        <v>446</v>
      </c>
      <c r="M438" t="s">
        <v>446</v>
      </c>
      <c r="N438">
        <v>240444</v>
      </c>
      <c r="O438">
        <f>INDEX(Counselor,MATCH(B438,KidIDs,0))</f>
        <v>0</v>
      </c>
      <c r="P438">
        <f>INDEX(Advisors,MATCH(B438,KidIDs,0))</f>
        <v>0</v>
      </c>
      <c r="Q438">
        <f>INDEX(Cohort,MATCH(B438,KidIDs,0))</f>
        <v>0</v>
      </c>
      <c r="R438">
        <f>INDEX(AllCollegeBarrons,MATCH(N438,AllCollegeNCES,0))</f>
        <v>0</v>
      </c>
      <c r="S438">
        <f>INDEX(KidGPAs,MATCH(B438,KidIDs,0))</f>
        <v>0</v>
      </c>
      <c r="T438">
        <f>INDEX(KidSATs,MATCH(B438,KidIDs,0))</f>
        <v>0</v>
      </c>
      <c r="U438">
        <f>INDEX(Strats,MATCH(B438,KidIDs,0))</f>
        <v>0</v>
      </c>
      <c r="V438">
        <f>INDEX(KidRace,MATCH(B438,KidIDs,0))</f>
        <v>0</v>
      </c>
      <c r="W438">
        <f>IF(OR(V438="M",V438="I"),"H",IF(V438="P","A",V438))</f>
        <v>0</v>
      </c>
      <c r="X438">
        <f>INDEX(StudentTargets,MATCH(B438,KidIDs,0))</f>
        <v>0</v>
      </c>
      <c r="Y438">
        <f>INDEX(ReachStudentTargets,MATCH(B438,KidIDs,0))</f>
        <v>0</v>
      </c>
      <c r="Z438">
        <f>IF(OR(M438="Posse"),1,0)</f>
        <v>0</v>
      </c>
      <c r="AA438">
        <f>IF(ISNUMBER(INDEX(AllCollegeGR, MATCH(N438,AllCollegeNCES,0))),ROUND(INDEX(AllCollegeGR, MATCH(N438,AllCollegeNCES,0))+Z438*IF(INDEX(AllCollegeGR, MATCH(N438,AllCollegeNCES,0))&gt;0.7,(1-INDEX(AllCollegeGR, MATCH(N438,AllCollegeNCES,0)))/2,0.15),2),INDEX(AllCollegeGR, MATCH(N438,AllCollegeNCES,0)))</f>
        <v>0</v>
      </c>
      <c r="AB438">
        <f>IF(ISNUMBER(INDEX(AllCollegeAAHGR, MATCH(N438,AllCollegeNCES,0))),ROUND(INDEX(AllCollegeAAHGR, MATCH(N438,AllCollegeNCES,0))+Z438*IF(INDEX(AllCollegeAAHGR, MATCH(N438,AllCollegeNCES,0))&gt;0.7,(1-INDEX(AllCollegeAAHGR, MATCH(N438,AllCollegeNCES,0)))/2,0.15),2),INDEX(AllCollegeAAHGR, MATCH(N438,AllCollegeNCES,0)))</f>
        <v>0</v>
      </c>
      <c r="AC438">
        <f>IF(OR(W438="H",W438="B"),INDEX(AllCollegeSAT25, MATCH(N438,AllCollegeNCES,0)),INDEX(AllCollegeSAT50, MATCH(N438,AllCollegeNCES,0)))</f>
        <v>0</v>
      </c>
      <c r="AD438">
        <f>INDEX(CustomWeightsGPA,MATCH(W438&amp;":"&amp;N438,CustomWeightsIndex,0))</f>
        <v>0</v>
      </c>
      <c r="AE438">
        <f>INDEX(CustomWeightsSAT,MATCH(W438&amp;":"&amp;N438,CustomWeightsIndex,0))</f>
        <v>0</v>
      </c>
      <c r="AF438">
        <f>INDEX(CustomWeightsIntercept,MATCH(W438&amp;":"&amp;N438,CustomWeightsIndex,0))</f>
        <v>0</v>
      </c>
      <c r="AG438">
        <f>AD438*S438+AE438*T438+AF438</f>
        <v>0</v>
      </c>
      <c r="AH438">
        <f>INDEX(CoefficientsGPA,MATCH(W438&amp;":"&amp;R438,CoefficientsIndex,0))</f>
        <v>0</v>
      </c>
      <c r="AI438">
        <f>INDEX(CoefficientsSAT,MATCH(W438&amp;":"&amp;R438,CoefficientsIndex,0))</f>
        <v>0</v>
      </c>
      <c r="AJ438">
        <f>INDEX(CoefficientsIntercept,MATCH(W438&amp;":"&amp;R438,CoefficientsIndex,0))</f>
        <v>0</v>
      </c>
      <c r="AK438">
        <f>AH438*S438+(T438-AC438)*AI438+AJ438</f>
        <v>0</v>
      </c>
      <c r="AL438">
        <f>IF(ISNUMBER(AG438),AG438,AK438)</f>
        <v>0</v>
      </c>
      <c r="AM438">
        <f>IF(ISNUMBER(AL438),IF(ISNUMBER(AH438),IF(AND(AH438=1,AI438=1,AJ438=1),100,MIN(99,ROUND(100*EXP(AL438)/(1+EXP(AL438)),2))),MIN(99,ROUND(100*EXP(AL438)/(1+EXP(AL438)),2))),IF(ISTEXT(R438),IF(LEFT(R438,1)="2",100,"N/A"),"N/A"))</f>
        <v>0</v>
      </c>
      <c r="AN438">
        <f>IF(ISNUMBER(AM438),IF(AM438&gt;=99,IF(OR(U438=10,U438=11),MatchLabel,SureThingLabel),IF(AM438&gt;=95,SecureLabel,IF(AM438&gt;=80,SafetyLabel,IF(AM438&gt;=50,MatchLabel,IF(AM438&gt;=20,ReachLabel,IF(AM438&gt;=10,LongshotLabel,HailMaryLabel)))))),"Other")</f>
        <v>0</v>
      </c>
      <c r="AO438">
        <f>IF(OR(I438="accepted",I438="cond. accept",I438="summer admit"),IF(J438="yes","CHOICE!","Accepted!"),IF(I438="guar. transfer","Guar. Xfer",IF(I438="denied","Denied",IF(K438=1,"Waitlist",IF(L438=1,"Deferred",IF(G438="pending","Pending",IF(OR(G438="initial materials submitted",G438="mid-year submitted",G438="final submitted"),"Submitted",IF(H438="interest","Interest","?"))))))))</f>
        <v>0</v>
      </c>
      <c r="AP438">
        <f>IF(OR(AN438=ReachLabel,AN438=LongshotLabel,AN438=HailMaryLabel),1,0)</f>
        <v>0</v>
      </c>
      <c r="AQ438">
        <f>IF(OR(AP438=1,AN438=MatchLabel),1,0)</f>
        <v>0</v>
      </c>
      <c r="AR438">
        <f>IF(OR(AN438=MatchLabel,AN438=SafetyLabel,AN438=SecureLabel,AN438=SureThingLabel),1,0)</f>
        <v>0</v>
      </c>
      <c r="AS438">
        <f>IF(OR(W438="H",W438="B",W438="I",W438="M"),IF(ISNUMBER(AB438),ROUND(AB438,2),0),IF(ISNUMBER(AA438),ROUND(AA438,2),0))</f>
        <v>0</v>
      </c>
      <c r="AT438">
        <f>IF(AS438&gt;=X438,1,0)</f>
        <v>0</v>
      </c>
      <c r="AU438">
        <f>IF(AS438&gt;=Y438,1,0)</f>
        <v>0</v>
      </c>
      <c r="AV438">
        <f>IF(AS438&lt;(X438-0.10),1,0)</f>
        <v>0</v>
      </c>
      <c r="AW438">
        <f>1-AM438/100</f>
        <v>0</v>
      </c>
      <c r="AX438">
        <f>IF(AQ438=1,AW438,1)</f>
        <v>0</v>
      </c>
      <c r="AY438">
        <f>IF(AP438=1,AW438,1)</f>
        <v>0</v>
      </c>
      <c r="AZ438">
        <f>IF(AND(AT438=1,ISNUMBER(AW438)),$AW438,1)</f>
        <v>0</v>
      </c>
      <c r="BA438">
        <f>IF(AND(AU438=1,ISNUMBER(AW438)),$AW438,1)</f>
        <v>0</v>
      </c>
      <c r="BB438">
        <f>IF(ISNUMBER(AB438),INDEX(AllCollegeMoney, MATCH(N438,AllCollegeNCES,0)),0)</f>
        <v>0</v>
      </c>
      <c r="BC438">
        <f>IF(AND(AT438=1,ISNUMBER(AW438),BB438=1),$AW438,1)</f>
        <v>0</v>
      </c>
      <c r="BD438">
        <f>IF(AND(AU438=1,ISNUMBER(AW438),BB438=1),$AW438,1)</f>
        <v>0</v>
      </c>
      <c r="BE438">
        <f>IF(ISNUMBER(AB438),INDEX(AllCollegeILPub, MATCH(N438,AllCollegeNCES,0)),0)</f>
        <v>0</v>
      </c>
      <c r="BF438">
        <f>IF(AN438=ReachLabel,AS438,0)</f>
        <v>0</v>
      </c>
      <c r="BG438">
        <f>IF(AN438=MatchLabel,AS438,0)</f>
        <v>0</v>
      </c>
      <c r="BH438">
        <f>IF(AN438=SafetyLabel,AS438,0)</f>
        <v>0</v>
      </c>
      <c r="BI438">
        <f>IF(AN438=SecureLabel,AS438,0)</f>
        <v>0</v>
      </c>
      <c r="BJ438">
        <f>IF(AN438=SureThingLabel,AS438,0)</f>
        <v>0</v>
      </c>
      <c r="BK438">
        <f>MAX(BF438:BJ438)</f>
        <v>0</v>
      </c>
      <c r="BL438">
        <f>MAX(BG438:BJ438)</f>
        <v>0</v>
      </c>
      <c r="BM438">
        <f>MAX(BH438:BJ438)</f>
        <v>0</v>
      </c>
      <c r="BN438">
        <f>IF(AND(AN438=ReachLabel,BB438=1),AS438,0)</f>
        <v>0</v>
      </c>
      <c r="BO438">
        <f>IF(AND(AN438=MatchLabel,BB438=1),AS438,0)</f>
        <v>0</v>
      </c>
      <c r="BP438">
        <f>IF(AND(AN438=SafetyLabel,BB438=1),AS438,0)</f>
        <v>0</v>
      </c>
      <c r="BQ438">
        <f>IF(AND(AN438=SecureLabel,BB438=1),AS438,0)</f>
        <v>0</v>
      </c>
      <c r="BR438">
        <f>IF(AND(AN438=SureThingLabel,BB438=1),AS438,0)</f>
        <v>0</v>
      </c>
      <c r="BS438">
        <f>MAX(BN438:BR438)</f>
        <v>0</v>
      </c>
      <c r="BT438">
        <f>MAX(BO438:BR438)</f>
        <v>0</v>
      </c>
      <c r="BU438">
        <f>MAX(BP438:BR438)</f>
        <v>0</v>
      </c>
      <c r="BV438">
        <f>IF(ISNUMBER(AB438),INDEX(AllCollegeChicago, MATCH(N438,AllCollegeNCES,0))*BB438,0)</f>
        <v>0</v>
      </c>
      <c r="BW438">
        <f>IF(ISNUMBER(AB438),INDEX(AllCollegeMoneyCode, MATCH(N438,AllCollegeNCES,0)),"?")</f>
        <v>0</v>
      </c>
      <c r="BX438">
        <f>IF(OR(BW438="---",BW438="--",BW438="+/--",BW438="+/---"),1,0)</f>
        <v>0</v>
      </c>
      <c r="BY438">
        <f>BB438*AR438*AT438</f>
        <v>0</v>
      </c>
    </row>
    <row r="439" spans="1:77">
      <c r="A439" t="s">
        <v>96</v>
      </c>
      <c r="B439">
        <v>23416005</v>
      </c>
      <c r="C439" t="s">
        <v>209</v>
      </c>
      <c r="D439" t="s">
        <v>210</v>
      </c>
      <c r="E439" t="s">
        <v>446</v>
      </c>
      <c r="F439" t="s">
        <v>471</v>
      </c>
      <c r="G439" t="s">
        <v>479</v>
      </c>
      <c r="H439" t="s">
        <v>449</v>
      </c>
      <c r="I439" t="s">
        <v>450</v>
      </c>
      <c r="J439" t="s">
        <v>450</v>
      </c>
      <c r="K439">
        <v>0</v>
      </c>
      <c r="L439" t="s">
        <v>446</v>
      </c>
      <c r="M439" t="s">
        <v>446</v>
      </c>
      <c r="N439">
        <v>202523</v>
      </c>
      <c r="O439">
        <f>INDEX(Counselor,MATCH(B439,KidIDs,0))</f>
        <v>0</v>
      </c>
      <c r="P439">
        <f>INDEX(Advisors,MATCH(B439,KidIDs,0))</f>
        <v>0</v>
      </c>
      <c r="Q439">
        <f>INDEX(Cohort,MATCH(B439,KidIDs,0))</f>
        <v>0</v>
      </c>
      <c r="R439">
        <f>INDEX(AllCollegeBarrons,MATCH(N439,AllCollegeNCES,0))</f>
        <v>0</v>
      </c>
      <c r="S439">
        <f>INDEX(KidGPAs,MATCH(B439,KidIDs,0))</f>
        <v>0</v>
      </c>
      <c r="T439">
        <f>INDEX(KidSATs,MATCH(B439,KidIDs,0))</f>
        <v>0</v>
      </c>
      <c r="U439">
        <f>INDEX(Strats,MATCH(B439,KidIDs,0))</f>
        <v>0</v>
      </c>
      <c r="V439">
        <f>INDEX(KidRace,MATCH(B439,KidIDs,0))</f>
        <v>0</v>
      </c>
      <c r="W439">
        <f>IF(OR(V439="M",V439="I"),"H",IF(V439="P","A",V439))</f>
        <v>0</v>
      </c>
      <c r="X439">
        <f>INDEX(StudentTargets,MATCH(B439,KidIDs,0))</f>
        <v>0</v>
      </c>
      <c r="Y439">
        <f>INDEX(ReachStudentTargets,MATCH(B439,KidIDs,0))</f>
        <v>0</v>
      </c>
      <c r="Z439">
        <f>IF(OR(M439="Posse"),1,0)</f>
        <v>0</v>
      </c>
      <c r="AA439">
        <f>IF(ISNUMBER(INDEX(AllCollegeGR, MATCH(N439,AllCollegeNCES,0))),ROUND(INDEX(AllCollegeGR, MATCH(N439,AllCollegeNCES,0))+Z439*IF(INDEX(AllCollegeGR, MATCH(N439,AllCollegeNCES,0))&gt;0.7,(1-INDEX(AllCollegeGR, MATCH(N439,AllCollegeNCES,0)))/2,0.15),2),INDEX(AllCollegeGR, MATCH(N439,AllCollegeNCES,0)))</f>
        <v>0</v>
      </c>
      <c r="AB439">
        <f>IF(ISNUMBER(INDEX(AllCollegeAAHGR, MATCH(N439,AllCollegeNCES,0))),ROUND(INDEX(AllCollegeAAHGR, MATCH(N439,AllCollegeNCES,0))+Z439*IF(INDEX(AllCollegeAAHGR, MATCH(N439,AllCollegeNCES,0))&gt;0.7,(1-INDEX(AllCollegeAAHGR, MATCH(N439,AllCollegeNCES,0)))/2,0.15),2),INDEX(AllCollegeAAHGR, MATCH(N439,AllCollegeNCES,0)))</f>
        <v>0</v>
      </c>
      <c r="AC439">
        <f>IF(OR(W439="H",W439="B"),INDEX(AllCollegeSAT25, MATCH(N439,AllCollegeNCES,0)),INDEX(AllCollegeSAT50, MATCH(N439,AllCollegeNCES,0)))</f>
        <v>0</v>
      </c>
      <c r="AD439">
        <f>INDEX(CustomWeightsGPA,MATCH(W439&amp;":"&amp;N439,CustomWeightsIndex,0))</f>
        <v>0</v>
      </c>
      <c r="AE439">
        <f>INDEX(CustomWeightsSAT,MATCH(W439&amp;":"&amp;N439,CustomWeightsIndex,0))</f>
        <v>0</v>
      </c>
      <c r="AF439">
        <f>INDEX(CustomWeightsIntercept,MATCH(W439&amp;":"&amp;N439,CustomWeightsIndex,0))</f>
        <v>0</v>
      </c>
      <c r="AG439">
        <f>AD439*S439+AE439*T439+AF439</f>
        <v>0</v>
      </c>
      <c r="AH439">
        <f>INDEX(CoefficientsGPA,MATCH(W439&amp;":"&amp;R439,CoefficientsIndex,0))</f>
        <v>0</v>
      </c>
      <c r="AI439">
        <f>INDEX(CoefficientsSAT,MATCH(W439&amp;":"&amp;R439,CoefficientsIndex,0))</f>
        <v>0</v>
      </c>
      <c r="AJ439">
        <f>INDEX(CoefficientsIntercept,MATCH(W439&amp;":"&amp;R439,CoefficientsIndex,0))</f>
        <v>0</v>
      </c>
      <c r="AK439">
        <f>AH439*S439+(T439-AC439)*AI439+AJ439</f>
        <v>0</v>
      </c>
      <c r="AL439">
        <f>IF(ISNUMBER(AG439),AG439,AK439)</f>
        <v>0</v>
      </c>
      <c r="AM439">
        <f>IF(ISNUMBER(AL439),IF(ISNUMBER(AH439),IF(AND(AH439=1,AI439=1,AJ439=1),100,MIN(99,ROUND(100*EXP(AL439)/(1+EXP(AL439)),2))),MIN(99,ROUND(100*EXP(AL439)/(1+EXP(AL439)),2))),IF(ISTEXT(R439),IF(LEFT(R439,1)="2",100,"N/A"),"N/A"))</f>
        <v>0</v>
      </c>
      <c r="AN439">
        <f>IF(ISNUMBER(AM439),IF(AM439&gt;=99,IF(OR(U439=10,U439=11),MatchLabel,SureThingLabel),IF(AM439&gt;=95,SecureLabel,IF(AM439&gt;=80,SafetyLabel,IF(AM439&gt;=50,MatchLabel,IF(AM439&gt;=20,ReachLabel,IF(AM439&gt;=10,LongshotLabel,HailMaryLabel)))))),"Other")</f>
        <v>0</v>
      </c>
      <c r="AO439">
        <f>IF(OR(I439="accepted",I439="cond. accept",I439="summer admit"),IF(J439="yes","CHOICE!","Accepted!"),IF(I439="guar. transfer","Guar. Xfer",IF(I439="denied","Denied",IF(K439=1,"Waitlist",IF(L439=1,"Deferred",IF(G439="pending","Pending",IF(OR(G439="initial materials submitted",G439="mid-year submitted",G439="final submitted"),"Submitted",IF(H439="interest","Interest","?"))))))))</f>
        <v>0</v>
      </c>
      <c r="AP439">
        <f>IF(OR(AN439=ReachLabel,AN439=LongshotLabel,AN439=HailMaryLabel),1,0)</f>
        <v>0</v>
      </c>
      <c r="AQ439">
        <f>IF(OR(AP439=1,AN439=MatchLabel),1,0)</f>
        <v>0</v>
      </c>
      <c r="AR439">
        <f>IF(OR(AN439=MatchLabel,AN439=SafetyLabel,AN439=SecureLabel,AN439=SureThingLabel),1,0)</f>
        <v>0</v>
      </c>
      <c r="AS439">
        <f>IF(OR(W439="H",W439="B",W439="I",W439="M"),IF(ISNUMBER(AB439),ROUND(AB439,2),0),IF(ISNUMBER(AA439),ROUND(AA439,2),0))</f>
        <v>0</v>
      </c>
      <c r="AT439">
        <f>IF(AS439&gt;=X439,1,0)</f>
        <v>0</v>
      </c>
      <c r="AU439">
        <f>IF(AS439&gt;=Y439,1,0)</f>
        <v>0</v>
      </c>
      <c r="AV439">
        <f>IF(AS439&lt;(X439-0.10),1,0)</f>
        <v>0</v>
      </c>
      <c r="AW439">
        <f>1-AM439/100</f>
        <v>0</v>
      </c>
      <c r="AX439">
        <f>IF(AQ439=1,AW439,1)</f>
        <v>0</v>
      </c>
      <c r="AY439">
        <f>IF(AP439=1,AW439,1)</f>
        <v>0</v>
      </c>
      <c r="AZ439">
        <f>IF(AND(AT439=1,ISNUMBER(AW439)),$AW439,1)</f>
        <v>0</v>
      </c>
      <c r="BA439">
        <f>IF(AND(AU439=1,ISNUMBER(AW439)),$AW439,1)</f>
        <v>0</v>
      </c>
      <c r="BB439">
        <f>IF(ISNUMBER(AB439),INDEX(AllCollegeMoney, MATCH(N439,AllCollegeNCES,0)),0)</f>
        <v>0</v>
      </c>
      <c r="BC439">
        <f>IF(AND(AT439=1,ISNUMBER(AW439),BB439=1),$AW439,1)</f>
        <v>0</v>
      </c>
      <c r="BD439">
        <f>IF(AND(AU439=1,ISNUMBER(AW439),BB439=1),$AW439,1)</f>
        <v>0</v>
      </c>
      <c r="BE439">
        <f>IF(ISNUMBER(AB439),INDEX(AllCollegeILPub, MATCH(N439,AllCollegeNCES,0)),0)</f>
        <v>0</v>
      </c>
      <c r="BF439">
        <f>IF(AN439=ReachLabel,AS439,0)</f>
        <v>0</v>
      </c>
      <c r="BG439">
        <f>IF(AN439=MatchLabel,AS439,0)</f>
        <v>0</v>
      </c>
      <c r="BH439">
        <f>IF(AN439=SafetyLabel,AS439,0)</f>
        <v>0</v>
      </c>
      <c r="BI439">
        <f>IF(AN439=SecureLabel,AS439,0)</f>
        <v>0</v>
      </c>
      <c r="BJ439">
        <f>IF(AN439=SureThingLabel,AS439,0)</f>
        <v>0</v>
      </c>
      <c r="BK439">
        <f>MAX(BF439:BJ439)</f>
        <v>0</v>
      </c>
      <c r="BL439">
        <f>MAX(BG439:BJ439)</f>
        <v>0</v>
      </c>
      <c r="BM439">
        <f>MAX(BH439:BJ439)</f>
        <v>0</v>
      </c>
      <c r="BN439">
        <f>IF(AND(AN439=ReachLabel,BB439=1),AS439,0)</f>
        <v>0</v>
      </c>
      <c r="BO439">
        <f>IF(AND(AN439=MatchLabel,BB439=1),AS439,0)</f>
        <v>0</v>
      </c>
      <c r="BP439">
        <f>IF(AND(AN439=SafetyLabel,BB439=1),AS439,0)</f>
        <v>0</v>
      </c>
      <c r="BQ439">
        <f>IF(AND(AN439=SecureLabel,BB439=1),AS439,0)</f>
        <v>0</v>
      </c>
      <c r="BR439">
        <f>IF(AND(AN439=SureThingLabel,BB439=1),AS439,0)</f>
        <v>0</v>
      </c>
      <c r="BS439">
        <f>MAX(BN439:BR439)</f>
        <v>0</v>
      </c>
      <c r="BT439">
        <f>MAX(BO439:BR439)</f>
        <v>0</v>
      </c>
      <c r="BU439">
        <f>MAX(BP439:BR439)</f>
        <v>0</v>
      </c>
      <c r="BV439">
        <f>IF(ISNUMBER(AB439),INDEX(AllCollegeChicago, MATCH(N439,AllCollegeNCES,0))*BB439,0)</f>
        <v>0</v>
      </c>
      <c r="BW439">
        <f>IF(ISNUMBER(AB439),INDEX(AllCollegeMoneyCode, MATCH(N439,AllCollegeNCES,0)),"?")</f>
        <v>0</v>
      </c>
      <c r="BX439">
        <f>IF(OR(BW439="---",BW439="--",BW439="+/--",BW439="+/---"),1,0)</f>
        <v>0</v>
      </c>
      <c r="BY439">
        <f>BB439*AR439*AT439</f>
        <v>0</v>
      </c>
    </row>
    <row r="440" spans="1:77">
      <c r="A440" t="s">
        <v>96</v>
      </c>
      <c r="B440">
        <v>23416005</v>
      </c>
      <c r="C440" t="s">
        <v>209</v>
      </c>
      <c r="D440" t="s">
        <v>210</v>
      </c>
      <c r="E440" t="s">
        <v>446</v>
      </c>
      <c r="F440" t="s">
        <v>486</v>
      </c>
      <c r="G440" t="s">
        <v>448</v>
      </c>
      <c r="H440" t="s">
        <v>449</v>
      </c>
      <c r="I440" t="s">
        <v>450</v>
      </c>
      <c r="J440" t="s">
        <v>450</v>
      </c>
      <c r="K440">
        <v>0</v>
      </c>
      <c r="L440" t="s">
        <v>446</v>
      </c>
      <c r="M440" t="s">
        <v>446</v>
      </c>
      <c r="N440">
        <v>206589</v>
      </c>
      <c r="O440">
        <f>INDEX(Counselor,MATCH(B440,KidIDs,0))</f>
        <v>0</v>
      </c>
      <c r="P440">
        <f>INDEX(Advisors,MATCH(B440,KidIDs,0))</f>
        <v>0</v>
      </c>
      <c r="Q440">
        <f>INDEX(Cohort,MATCH(B440,KidIDs,0))</f>
        <v>0</v>
      </c>
      <c r="R440">
        <f>INDEX(AllCollegeBarrons,MATCH(N440,AllCollegeNCES,0))</f>
        <v>0</v>
      </c>
      <c r="S440">
        <f>INDEX(KidGPAs,MATCH(B440,KidIDs,0))</f>
        <v>0</v>
      </c>
      <c r="T440">
        <f>INDEX(KidSATs,MATCH(B440,KidIDs,0))</f>
        <v>0</v>
      </c>
      <c r="U440">
        <f>INDEX(Strats,MATCH(B440,KidIDs,0))</f>
        <v>0</v>
      </c>
      <c r="V440">
        <f>INDEX(KidRace,MATCH(B440,KidIDs,0))</f>
        <v>0</v>
      </c>
      <c r="W440">
        <f>IF(OR(V440="M",V440="I"),"H",IF(V440="P","A",V440))</f>
        <v>0</v>
      </c>
      <c r="X440">
        <f>INDEX(StudentTargets,MATCH(B440,KidIDs,0))</f>
        <v>0</v>
      </c>
      <c r="Y440">
        <f>INDEX(ReachStudentTargets,MATCH(B440,KidIDs,0))</f>
        <v>0</v>
      </c>
      <c r="Z440">
        <f>IF(OR(M440="Posse"),1,0)</f>
        <v>0</v>
      </c>
      <c r="AA440">
        <f>IF(ISNUMBER(INDEX(AllCollegeGR, MATCH(N440,AllCollegeNCES,0))),ROUND(INDEX(AllCollegeGR, MATCH(N440,AllCollegeNCES,0))+Z440*IF(INDEX(AllCollegeGR, MATCH(N440,AllCollegeNCES,0))&gt;0.7,(1-INDEX(AllCollegeGR, MATCH(N440,AllCollegeNCES,0)))/2,0.15),2),INDEX(AllCollegeGR, MATCH(N440,AllCollegeNCES,0)))</f>
        <v>0</v>
      </c>
      <c r="AB440">
        <f>IF(ISNUMBER(INDEX(AllCollegeAAHGR, MATCH(N440,AllCollegeNCES,0))),ROUND(INDEX(AllCollegeAAHGR, MATCH(N440,AllCollegeNCES,0))+Z440*IF(INDEX(AllCollegeAAHGR, MATCH(N440,AllCollegeNCES,0))&gt;0.7,(1-INDEX(AllCollegeAAHGR, MATCH(N440,AllCollegeNCES,0)))/2,0.15),2),INDEX(AllCollegeAAHGR, MATCH(N440,AllCollegeNCES,0)))</f>
        <v>0</v>
      </c>
      <c r="AC440">
        <f>IF(OR(W440="H",W440="B"),INDEX(AllCollegeSAT25, MATCH(N440,AllCollegeNCES,0)),INDEX(AllCollegeSAT50, MATCH(N440,AllCollegeNCES,0)))</f>
        <v>0</v>
      </c>
      <c r="AD440">
        <f>INDEX(CustomWeightsGPA,MATCH(W440&amp;":"&amp;N440,CustomWeightsIndex,0))</f>
        <v>0</v>
      </c>
      <c r="AE440">
        <f>INDEX(CustomWeightsSAT,MATCH(W440&amp;":"&amp;N440,CustomWeightsIndex,0))</f>
        <v>0</v>
      </c>
      <c r="AF440">
        <f>INDEX(CustomWeightsIntercept,MATCH(W440&amp;":"&amp;N440,CustomWeightsIndex,0))</f>
        <v>0</v>
      </c>
      <c r="AG440">
        <f>AD440*S440+AE440*T440+AF440</f>
        <v>0</v>
      </c>
      <c r="AH440">
        <f>INDEX(CoefficientsGPA,MATCH(W440&amp;":"&amp;R440,CoefficientsIndex,0))</f>
        <v>0</v>
      </c>
      <c r="AI440">
        <f>INDEX(CoefficientsSAT,MATCH(W440&amp;":"&amp;R440,CoefficientsIndex,0))</f>
        <v>0</v>
      </c>
      <c r="AJ440">
        <f>INDEX(CoefficientsIntercept,MATCH(W440&amp;":"&amp;R440,CoefficientsIndex,0))</f>
        <v>0</v>
      </c>
      <c r="AK440">
        <f>AH440*S440+(T440-AC440)*AI440+AJ440</f>
        <v>0</v>
      </c>
      <c r="AL440">
        <f>IF(ISNUMBER(AG440),AG440,AK440)</f>
        <v>0</v>
      </c>
      <c r="AM440">
        <f>IF(ISNUMBER(AL440),IF(ISNUMBER(AH440),IF(AND(AH440=1,AI440=1,AJ440=1),100,MIN(99,ROUND(100*EXP(AL440)/(1+EXP(AL440)),2))),MIN(99,ROUND(100*EXP(AL440)/(1+EXP(AL440)),2))),IF(ISTEXT(R440),IF(LEFT(R440,1)="2",100,"N/A"),"N/A"))</f>
        <v>0</v>
      </c>
      <c r="AN440">
        <f>IF(ISNUMBER(AM440),IF(AM440&gt;=99,IF(OR(U440=10,U440=11),MatchLabel,SureThingLabel),IF(AM440&gt;=95,SecureLabel,IF(AM440&gt;=80,SafetyLabel,IF(AM440&gt;=50,MatchLabel,IF(AM440&gt;=20,ReachLabel,IF(AM440&gt;=10,LongshotLabel,HailMaryLabel)))))),"Other")</f>
        <v>0</v>
      </c>
      <c r="AO440">
        <f>IF(OR(I440="accepted",I440="cond. accept",I440="summer admit"),IF(J440="yes","CHOICE!","Accepted!"),IF(I440="guar. transfer","Guar. Xfer",IF(I440="denied","Denied",IF(K440=1,"Waitlist",IF(L440=1,"Deferred",IF(G440="pending","Pending",IF(OR(G440="initial materials submitted",G440="mid-year submitted",G440="final submitted"),"Submitted",IF(H440="interest","Interest","?"))))))))</f>
        <v>0</v>
      </c>
      <c r="AP440">
        <f>IF(OR(AN440=ReachLabel,AN440=LongshotLabel,AN440=HailMaryLabel),1,0)</f>
        <v>0</v>
      </c>
      <c r="AQ440">
        <f>IF(OR(AP440=1,AN440=MatchLabel),1,0)</f>
        <v>0</v>
      </c>
      <c r="AR440">
        <f>IF(OR(AN440=MatchLabel,AN440=SafetyLabel,AN440=SecureLabel,AN440=SureThingLabel),1,0)</f>
        <v>0</v>
      </c>
      <c r="AS440">
        <f>IF(OR(W440="H",W440="B",W440="I",W440="M"),IF(ISNUMBER(AB440),ROUND(AB440,2),0),IF(ISNUMBER(AA440),ROUND(AA440,2),0))</f>
        <v>0</v>
      </c>
      <c r="AT440">
        <f>IF(AS440&gt;=X440,1,0)</f>
        <v>0</v>
      </c>
      <c r="AU440">
        <f>IF(AS440&gt;=Y440,1,0)</f>
        <v>0</v>
      </c>
      <c r="AV440">
        <f>IF(AS440&lt;(X440-0.10),1,0)</f>
        <v>0</v>
      </c>
      <c r="AW440">
        <f>1-AM440/100</f>
        <v>0</v>
      </c>
      <c r="AX440">
        <f>IF(AQ440=1,AW440,1)</f>
        <v>0</v>
      </c>
      <c r="AY440">
        <f>IF(AP440=1,AW440,1)</f>
        <v>0</v>
      </c>
      <c r="AZ440">
        <f>IF(AND(AT440=1,ISNUMBER(AW440)),$AW440,1)</f>
        <v>0</v>
      </c>
      <c r="BA440">
        <f>IF(AND(AU440=1,ISNUMBER(AW440)),$AW440,1)</f>
        <v>0</v>
      </c>
      <c r="BB440">
        <f>IF(ISNUMBER(AB440),INDEX(AllCollegeMoney, MATCH(N440,AllCollegeNCES,0)),0)</f>
        <v>0</v>
      </c>
      <c r="BC440">
        <f>IF(AND(AT440=1,ISNUMBER(AW440),BB440=1),$AW440,1)</f>
        <v>0</v>
      </c>
      <c r="BD440">
        <f>IF(AND(AU440=1,ISNUMBER(AW440),BB440=1),$AW440,1)</f>
        <v>0</v>
      </c>
      <c r="BE440">
        <f>IF(ISNUMBER(AB440),INDEX(AllCollegeILPub, MATCH(N440,AllCollegeNCES,0)),0)</f>
        <v>0</v>
      </c>
      <c r="BF440">
        <f>IF(AN440=ReachLabel,AS440,0)</f>
        <v>0</v>
      </c>
      <c r="BG440">
        <f>IF(AN440=MatchLabel,AS440,0)</f>
        <v>0</v>
      </c>
      <c r="BH440">
        <f>IF(AN440=SafetyLabel,AS440,0)</f>
        <v>0</v>
      </c>
      <c r="BI440">
        <f>IF(AN440=SecureLabel,AS440,0)</f>
        <v>0</v>
      </c>
      <c r="BJ440">
        <f>IF(AN440=SureThingLabel,AS440,0)</f>
        <v>0</v>
      </c>
      <c r="BK440">
        <f>MAX(BF440:BJ440)</f>
        <v>0</v>
      </c>
      <c r="BL440">
        <f>MAX(BG440:BJ440)</f>
        <v>0</v>
      </c>
      <c r="BM440">
        <f>MAX(BH440:BJ440)</f>
        <v>0</v>
      </c>
      <c r="BN440">
        <f>IF(AND(AN440=ReachLabel,BB440=1),AS440,0)</f>
        <v>0</v>
      </c>
      <c r="BO440">
        <f>IF(AND(AN440=MatchLabel,BB440=1),AS440,0)</f>
        <v>0</v>
      </c>
      <c r="BP440">
        <f>IF(AND(AN440=SafetyLabel,BB440=1),AS440,0)</f>
        <v>0</v>
      </c>
      <c r="BQ440">
        <f>IF(AND(AN440=SecureLabel,BB440=1),AS440,0)</f>
        <v>0</v>
      </c>
      <c r="BR440">
        <f>IF(AND(AN440=SureThingLabel,BB440=1),AS440,0)</f>
        <v>0</v>
      </c>
      <c r="BS440">
        <f>MAX(BN440:BR440)</f>
        <v>0</v>
      </c>
      <c r="BT440">
        <f>MAX(BO440:BR440)</f>
        <v>0</v>
      </c>
      <c r="BU440">
        <f>MAX(BP440:BR440)</f>
        <v>0</v>
      </c>
      <c r="BV440">
        <f>IF(ISNUMBER(AB440),INDEX(AllCollegeChicago, MATCH(N440,AllCollegeNCES,0))*BB440,0)</f>
        <v>0</v>
      </c>
      <c r="BW440">
        <f>IF(ISNUMBER(AB440),INDEX(AllCollegeMoneyCode, MATCH(N440,AllCollegeNCES,0)),"?")</f>
        <v>0</v>
      </c>
      <c r="BX440">
        <f>IF(OR(BW440="---",BW440="--",BW440="+/--",BW440="+/---"),1,0)</f>
        <v>0</v>
      </c>
      <c r="BY440">
        <f>BB440*AR440*AT440</f>
        <v>0</v>
      </c>
    </row>
    <row r="441" spans="1:77">
      <c r="A441" t="s">
        <v>96</v>
      </c>
      <c r="B441">
        <v>23416005</v>
      </c>
      <c r="C441" t="s">
        <v>209</v>
      </c>
      <c r="D441" t="s">
        <v>210</v>
      </c>
      <c r="E441" t="s">
        <v>446</v>
      </c>
      <c r="F441" t="s">
        <v>473</v>
      </c>
      <c r="G441" t="s">
        <v>479</v>
      </c>
      <c r="H441" t="s">
        <v>449</v>
      </c>
      <c r="I441" t="s">
        <v>450</v>
      </c>
      <c r="J441" t="s">
        <v>450</v>
      </c>
      <c r="K441">
        <v>0</v>
      </c>
      <c r="L441" t="s">
        <v>446</v>
      </c>
      <c r="M441" t="s">
        <v>446</v>
      </c>
      <c r="N441">
        <v>221519</v>
      </c>
      <c r="O441">
        <f>INDEX(Counselor,MATCH(B441,KidIDs,0))</f>
        <v>0</v>
      </c>
      <c r="P441">
        <f>INDEX(Advisors,MATCH(B441,KidIDs,0))</f>
        <v>0</v>
      </c>
      <c r="Q441">
        <f>INDEX(Cohort,MATCH(B441,KidIDs,0))</f>
        <v>0</v>
      </c>
      <c r="R441">
        <f>INDEX(AllCollegeBarrons,MATCH(N441,AllCollegeNCES,0))</f>
        <v>0</v>
      </c>
      <c r="S441">
        <f>INDEX(KidGPAs,MATCH(B441,KidIDs,0))</f>
        <v>0</v>
      </c>
      <c r="T441">
        <f>INDEX(KidSATs,MATCH(B441,KidIDs,0))</f>
        <v>0</v>
      </c>
      <c r="U441">
        <f>INDEX(Strats,MATCH(B441,KidIDs,0))</f>
        <v>0</v>
      </c>
      <c r="V441">
        <f>INDEX(KidRace,MATCH(B441,KidIDs,0))</f>
        <v>0</v>
      </c>
      <c r="W441">
        <f>IF(OR(V441="M",V441="I"),"H",IF(V441="P","A",V441))</f>
        <v>0</v>
      </c>
      <c r="X441">
        <f>INDEX(StudentTargets,MATCH(B441,KidIDs,0))</f>
        <v>0</v>
      </c>
      <c r="Y441">
        <f>INDEX(ReachStudentTargets,MATCH(B441,KidIDs,0))</f>
        <v>0</v>
      </c>
      <c r="Z441">
        <f>IF(OR(M441="Posse"),1,0)</f>
        <v>0</v>
      </c>
      <c r="AA441">
        <f>IF(ISNUMBER(INDEX(AllCollegeGR, MATCH(N441,AllCollegeNCES,0))),ROUND(INDEX(AllCollegeGR, MATCH(N441,AllCollegeNCES,0))+Z441*IF(INDEX(AllCollegeGR, MATCH(N441,AllCollegeNCES,0))&gt;0.7,(1-INDEX(AllCollegeGR, MATCH(N441,AllCollegeNCES,0)))/2,0.15),2),INDEX(AllCollegeGR, MATCH(N441,AllCollegeNCES,0)))</f>
        <v>0</v>
      </c>
      <c r="AB441">
        <f>IF(ISNUMBER(INDEX(AllCollegeAAHGR, MATCH(N441,AllCollegeNCES,0))),ROUND(INDEX(AllCollegeAAHGR, MATCH(N441,AllCollegeNCES,0))+Z441*IF(INDEX(AllCollegeAAHGR, MATCH(N441,AllCollegeNCES,0))&gt;0.7,(1-INDEX(AllCollegeAAHGR, MATCH(N441,AllCollegeNCES,0)))/2,0.15),2),INDEX(AllCollegeAAHGR, MATCH(N441,AllCollegeNCES,0)))</f>
        <v>0</v>
      </c>
      <c r="AC441">
        <f>IF(OR(W441="H",W441="B"),INDEX(AllCollegeSAT25, MATCH(N441,AllCollegeNCES,0)),INDEX(AllCollegeSAT50, MATCH(N441,AllCollegeNCES,0)))</f>
        <v>0</v>
      </c>
      <c r="AD441">
        <f>INDEX(CustomWeightsGPA,MATCH(W441&amp;":"&amp;N441,CustomWeightsIndex,0))</f>
        <v>0</v>
      </c>
      <c r="AE441">
        <f>INDEX(CustomWeightsSAT,MATCH(W441&amp;":"&amp;N441,CustomWeightsIndex,0))</f>
        <v>0</v>
      </c>
      <c r="AF441">
        <f>INDEX(CustomWeightsIntercept,MATCH(W441&amp;":"&amp;N441,CustomWeightsIndex,0))</f>
        <v>0</v>
      </c>
      <c r="AG441">
        <f>AD441*S441+AE441*T441+AF441</f>
        <v>0</v>
      </c>
      <c r="AH441">
        <f>INDEX(CoefficientsGPA,MATCH(W441&amp;":"&amp;R441,CoefficientsIndex,0))</f>
        <v>0</v>
      </c>
      <c r="AI441">
        <f>INDEX(CoefficientsSAT,MATCH(W441&amp;":"&amp;R441,CoefficientsIndex,0))</f>
        <v>0</v>
      </c>
      <c r="AJ441">
        <f>INDEX(CoefficientsIntercept,MATCH(W441&amp;":"&amp;R441,CoefficientsIndex,0))</f>
        <v>0</v>
      </c>
      <c r="AK441">
        <f>AH441*S441+(T441-AC441)*AI441+AJ441</f>
        <v>0</v>
      </c>
      <c r="AL441">
        <f>IF(ISNUMBER(AG441),AG441,AK441)</f>
        <v>0</v>
      </c>
      <c r="AM441">
        <f>IF(ISNUMBER(AL441),IF(ISNUMBER(AH441),IF(AND(AH441=1,AI441=1,AJ441=1),100,MIN(99,ROUND(100*EXP(AL441)/(1+EXP(AL441)),2))),MIN(99,ROUND(100*EXP(AL441)/(1+EXP(AL441)),2))),IF(ISTEXT(R441),IF(LEFT(R441,1)="2",100,"N/A"),"N/A"))</f>
        <v>0</v>
      </c>
      <c r="AN441">
        <f>IF(ISNUMBER(AM441),IF(AM441&gt;=99,IF(OR(U441=10,U441=11),MatchLabel,SureThingLabel),IF(AM441&gt;=95,SecureLabel,IF(AM441&gt;=80,SafetyLabel,IF(AM441&gt;=50,MatchLabel,IF(AM441&gt;=20,ReachLabel,IF(AM441&gt;=10,LongshotLabel,HailMaryLabel)))))),"Other")</f>
        <v>0</v>
      </c>
      <c r="AO441">
        <f>IF(OR(I441="accepted",I441="cond. accept",I441="summer admit"),IF(J441="yes","CHOICE!","Accepted!"),IF(I441="guar. transfer","Guar. Xfer",IF(I441="denied","Denied",IF(K441=1,"Waitlist",IF(L441=1,"Deferred",IF(G441="pending","Pending",IF(OR(G441="initial materials submitted",G441="mid-year submitted",G441="final submitted"),"Submitted",IF(H441="interest","Interest","?"))))))))</f>
        <v>0</v>
      </c>
      <c r="AP441">
        <f>IF(OR(AN441=ReachLabel,AN441=LongshotLabel,AN441=HailMaryLabel),1,0)</f>
        <v>0</v>
      </c>
      <c r="AQ441">
        <f>IF(OR(AP441=1,AN441=MatchLabel),1,0)</f>
        <v>0</v>
      </c>
      <c r="AR441">
        <f>IF(OR(AN441=MatchLabel,AN441=SafetyLabel,AN441=SecureLabel,AN441=SureThingLabel),1,0)</f>
        <v>0</v>
      </c>
      <c r="AS441">
        <f>IF(OR(W441="H",W441="B",W441="I",W441="M"),IF(ISNUMBER(AB441),ROUND(AB441,2),0),IF(ISNUMBER(AA441),ROUND(AA441,2),0))</f>
        <v>0</v>
      </c>
      <c r="AT441">
        <f>IF(AS441&gt;=X441,1,0)</f>
        <v>0</v>
      </c>
      <c r="AU441">
        <f>IF(AS441&gt;=Y441,1,0)</f>
        <v>0</v>
      </c>
      <c r="AV441">
        <f>IF(AS441&lt;(X441-0.10),1,0)</f>
        <v>0</v>
      </c>
      <c r="AW441">
        <f>1-AM441/100</f>
        <v>0</v>
      </c>
      <c r="AX441">
        <f>IF(AQ441=1,AW441,1)</f>
        <v>0</v>
      </c>
      <c r="AY441">
        <f>IF(AP441=1,AW441,1)</f>
        <v>0</v>
      </c>
      <c r="AZ441">
        <f>IF(AND(AT441=1,ISNUMBER(AW441)),$AW441,1)</f>
        <v>0</v>
      </c>
      <c r="BA441">
        <f>IF(AND(AU441=1,ISNUMBER(AW441)),$AW441,1)</f>
        <v>0</v>
      </c>
      <c r="BB441">
        <f>IF(ISNUMBER(AB441),INDEX(AllCollegeMoney, MATCH(N441,AllCollegeNCES,0)),0)</f>
        <v>0</v>
      </c>
      <c r="BC441">
        <f>IF(AND(AT441=1,ISNUMBER(AW441),BB441=1),$AW441,1)</f>
        <v>0</v>
      </c>
      <c r="BD441">
        <f>IF(AND(AU441=1,ISNUMBER(AW441),BB441=1),$AW441,1)</f>
        <v>0</v>
      </c>
      <c r="BE441">
        <f>IF(ISNUMBER(AB441),INDEX(AllCollegeILPub, MATCH(N441,AllCollegeNCES,0)),0)</f>
        <v>0</v>
      </c>
      <c r="BF441">
        <f>IF(AN441=ReachLabel,AS441,0)</f>
        <v>0</v>
      </c>
      <c r="BG441">
        <f>IF(AN441=MatchLabel,AS441,0)</f>
        <v>0</v>
      </c>
      <c r="BH441">
        <f>IF(AN441=SafetyLabel,AS441,0)</f>
        <v>0</v>
      </c>
      <c r="BI441">
        <f>IF(AN441=SecureLabel,AS441,0)</f>
        <v>0</v>
      </c>
      <c r="BJ441">
        <f>IF(AN441=SureThingLabel,AS441,0)</f>
        <v>0</v>
      </c>
      <c r="BK441">
        <f>MAX(BF441:BJ441)</f>
        <v>0</v>
      </c>
      <c r="BL441">
        <f>MAX(BG441:BJ441)</f>
        <v>0</v>
      </c>
      <c r="BM441">
        <f>MAX(BH441:BJ441)</f>
        <v>0</v>
      </c>
      <c r="BN441">
        <f>IF(AND(AN441=ReachLabel,BB441=1),AS441,0)</f>
        <v>0</v>
      </c>
      <c r="BO441">
        <f>IF(AND(AN441=MatchLabel,BB441=1),AS441,0)</f>
        <v>0</v>
      </c>
      <c r="BP441">
        <f>IF(AND(AN441=SafetyLabel,BB441=1),AS441,0)</f>
        <v>0</v>
      </c>
      <c r="BQ441">
        <f>IF(AND(AN441=SecureLabel,BB441=1),AS441,0)</f>
        <v>0</v>
      </c>
      <c r="BR441">
        <f>IF(AND(AN441=SureThingLabel,BB441=1),AS441,0)</f>
        <v>0</v>
      </c>
      <c r="BS441">
        <f>MAX(BN441:BR441)</f>
        <v>0</v>
      </c>
      <c r="BT441">
        <f>MAX(BO441:BR441)</f>
        <v>0</v>
      </c>
      <c r="BU441">
        <f>MAX(BP441:BR441)</f>
        <v>0</v>
      </c>
      <c r="BV441">
        <f>IF(ISNUMBER(AB441),INDEX(AllCollegeChicago, MATCH(N441,AllCollegeNCES,0))*BB441,0)</f>
        <v>0</v>
      </c>
      <c r="BW441">
        <f>IF(ISNUMBER(AB441),INDEX(AllCollegeMoneyCode, MATCH(N441,AllCollegeNCES,0)),"?")</f>
        <v>0</v>
      </c>
      <c r="BX441">
        <f>IF(OR(BW441="---",BW441="--",BW441="+/--",BW441="+/---"),1,0)</f>
        <v>0</v>
      </c>
      <c r="BY441">
        <f>BB441*AR441*AT441</f>
        <v>0</v>
      </c>
    </row>
    <row r="442" spans="1:77">
      <c r="A442" t="s">
        <v>96</v>
      </c>
      <c r="B442">
        <v>23416005</v>
      </c>
      <c r="C442" t="s">
        <v>209</v>
      </c>
      <c r="D442" t="s">
        <v>210</v>
      </c>
      <c r="E442" t="s">
        <v>446</v>
      </c>
      <c r="F442" t="s">
        <v>475</v>
      </c>
      <c r="G442" t="s">
        <v>479</v>
      </c>
      <c r="H442" t="s">
        <v>449</v>
      </c>
      <c r="I442" t="s">
        <v>450</v>
      </c>
      <c r="J442" t="s">
        <v>450</v>
      </c>
      <c r="K442">
        <v>0</v>
      </c>
      <c r="L442" t="s">
        <v>446</v>
      </c>
      <c r="M442" t="s">
        <v>446</v>
      </c>
      <c r="N442">
        <v>145637</v>
      </c>
      <c r="O442">
        <f>INDEX(Counselor,MATCH(B442,KidIDs,0))</f>
        <v>0</v>
      </c>
      <c r="P442">
        <f>INDEX(Advisors,MATCH(B442,KidIDs,0))</f>
        <v>0</v>
      </c>
      <c r="Q442">
        <f>INDEX(Cohort,MATCH(B442,KidIDs,0))</f>
        <v>0</v>
      </c>
      <c r="R442">
        <f>INDEX(AllCollegeBarrons,MATCH(N442,AllCollegeNCES,0))</f>
        <v>0</v>
      </c>
      <c r="S442">
        <f>INDEX(KidGPAs,MATCH(B442,KidIDs,0))</f>
        <v>0</v>
      </c>
      <c r="T442">
        <f>INDEX(KidSATs,MATCH(B442,KidIDs,0))</f>
        <v>0</v>
      </c>
      <c r="U442">
        <f>INDEX(Strats,MATCH(B442,KidIDs,0))</f>
        <v>0</v>
      </c>
      <c r="V442">
        <f>INDEX(KidRace,MATCH(B442,KidIDs,0))</f>
        <v>0</v>
      </c>
      <c r="W442">
        <f>IF(OR(V442="M",V442="I"),"H",IF(V442="P","A",V442))</f>
        <v>0</v>
      </c>
      <c r="X442">
        <f>INDEX(StudentTargets,MATCH(B442,KidIDs,0))</f>
        <v>0</v>
      </c>
      <c r="Y442">
        <f>INDEX(ReachStudentTargets,MATCH(B442,KidIDs,0))</f>
        <v>0</v>
      </c>
      <c r="Z442">
        <f>IF(OR(M442="Posse"),1,0)</f>
        <v>0</v>
      </c>
      <c r="AA442">
        <f>IF(ISNUMBER(INDEX(AllCollegeGR, MATCH(N442,AllCollegeNCES,0))),ROUND(INDEX(AllCollegeGR, MATCH(N442,AllCollegeNCES,0))+Z442*IF(INDEX(AllCollegeGR, MATCH(N442,AllCollegeNCES,0))&gt;0.7,(1-INDEX(AllCollegeGR, MATCH(N442,AllCollegeNCES,0)))/2,0.15),2),INDEX(AllCollegeGR, MATCH(N442,AllCollegeNCES,0)))</f>
        <v>0</v>
      </c>
      <c r="AB442">
        <f>IF(ISNUMBER(INDEX(AllCollegeAAHGR, MATCH(N442,AllCollegeNCES,0))),ROUND(INDEX(AllCollegeAAHGR, MATCH(N442,AllCollegeNCES,0))+Z442*IF(INDEX(AllCollegeAAHGR, MATCH(N442,AllCollegeNCES,0))&gt;0.7,(1-INDEX(AllCollegeAAHGR, MATCH(N442,AllCollegeNCES,0)))/2,0.15),2),INDEX(AllCollegeAAHGR, MATCH(N442,AllCollegeNCES,0)))</f>
        <v>0</v>
      </c>
      <c r="AC442">
        <f>IF(OR(W442="H",W442="B"),INDEX(AllCollegeSAT25, MATCH(N442,AllCollegeNCES,0)),INDEX(AllCollegeSAT50, MATCH(N442,AllCollegeNCES,0)))</f>
        <v>0</v>
      </c>
      <c r="AD442">
        <f>INDEX(CustomWeightsGPA,MATCH(W442&amp;":"&amp;N442,CustomWeightsIndex,0))</f>
        <v>0</v>
      </c>
      <c r="AE442">
        <f>INDEX(CustomWeightsSAT,MATCH(W442&amp;":"&amp;N442,CustomWeightsIndex,0))</f>
        <v>0</v>
      </c>
      <c r="AF442">
        <f>INDEX(CustomWeightsIntercept,MATCH(W442&amp;":"&amp;N442,CustomWeightsIndex,0))</f>
        <v>0</v>
      </c>
      <c r="AG442">
        <f>AD442*S442+AE442*T442+AF442</f>
        <v>0</v>
      </c>
      <c r="AH442">
        <f>INDEX(CoefficientsGPA,MATCH(W442&amp;":"&amp;R442,CoefficientsIndex,0))</f>
        <v>0</v>
      </c>
      <c r="AI442">
        <f>INDEX(CoefficientsSAT,MATCH(W442&amp;":"&amp;R442,CoefficientsIndex,0))</f>
        <v>0</v>
      </c>
      <c r="AJ442">
        <f>INDEX(CoefficientsIntercept,MATCH(W442&amp;":"&amp;R442,CoefficientsIndex,0))</f>
        <v>0</v>
      </c>
      <c r="AK442">
        <f>AH442*S442+(T442-AC442)*AI442+AJ442</f>
        <v>0</v>
      </c>
      <c r="AL442">
        <f>IF(ISNUMBER(AG442),AG442,AK442)</f>
        <v>0</v>
      </c>
      <c r="AM442">
        <f>IF(ISNUMBER(AL442),IF(ISNUMBER(AH442),IF(AND(AH442=1,AI442=1,AJ442=1),100,MIN(99,ROUND(100*EXP(AL442)/(1+EXP(AL442)),2))),MIN(99,ROUND(100*EXP(AL442)/(1+EXP(AL442)),2))),IF(ISTEXT(R442),IF(LEFT(R442,1)="2",100,"N/A"),"N/A"))</f>
        <v>0</v>
      </c>
      <c r="AN442">
        <f>IF(ISNUMBER(AM442),IF(AM442&gt;=99,IF(OR(U442=10,U442=11),MatchLabel,SureThingLabel),IF(AM442&gt;=95,SecureLabel,IF(AM442&gt;=80,SafetyLabel,IF(AM442&gt;=50,MatchLabel,IF(AM442&gt;=20,ReachLabel,IF(AM442&gt;=10,LongshotLabel,HailMaryLabel)))))),"Other")</f>
        <v>0</v>
      </c>
      <c r="AO442">
        <f>IF(OR(I442="accepted",I442="cond. accept",I442="summer admit"),IF(J442="yes","CHOICE!","Accepted!"),IF(I442="guar. transfer","Guar. Xfer",IF(I442="denied","Denied",IF(K442=1,"Waitlist",IF(L442=1,"Deferred",IF(G442="pending","Pending",IF(OR(G442="initial materials submitted",G442="mid-year submitted",G442="final submitted"),"Submitted",IF(H442="interest","Interest","?"))))))))</f>
        <v>0</v>
      </c>
      <c r="AP442">
        <f>IF(OR(AN442=ReachLabel,AN442=LongshotLabel,AN442=HailMaryLabel),1,0)</f>
        <v>0</v>
      </c>
      <c r="AQ442">
        <f>IF(OR(AP442=1,AN442=MatchLabel),1,0)</f>
        <v>0</v>
      </c>
      <c r="AR442">
        <f>IF(OR(AN442=MatchLabel,AN442=SafetyLabel,AN442=SecureLabel,AN442=SureThingLabel),1,0)</f>
        <v>0</v>
      </c>
      <c r="AS442">
        <f>IF(OR(W442="H",W442="B",W442="I",W442="M"),IF(ISNUMBER(AB442),ROUND(AB442,2),0),IF(ISNUMBER(AA442),ROUND(AA442,2),0))</f>
        <v>0</v>
      </c>
      <c r="AT442">
        <f>IF(AS442&gt;=X442,1,0)</f>
        <v>0</v>
      </c>
      <c r="AU442">
        <f>IF(AS442&gt;=Y442,1,0)</f>
        <v>0</v>
      </c>
      <c r="AV442">
        <f>IF(AS442&lt;(X442-0.10),1,0)</f>
        <v>0</v>
      </c>
      <c r="AW442">
        <f>1-AM442/100</f>
        <v>0</v>
      </c>
      <c r="AX442">
        <f>IF(AQ442=1,AW442,1)</f>
        <v>0</v>
      </c>
      <c r="AY442">
        <f>IF(AP442=1,AW442,1)</f>
        <v>0</v>
      </c>
      <c r="AZ442">
        <f>IF(AND(AT442=1,ISNUMBER(AW442)),$AW442,1)</f>
        <v>0</v>
      </c>
      <c r="BA442">
        <f>IF(AND(AU442=1,ISNUMBER(AW442)),$AW442,1)</f>
        <v>0</v>
      </c>
      <c r="BB442">
        <f>IF(ISNUMBER(AB442),INDEX(AllCollegeMoney, MATCH(N442,AllCollegeNCES,0)),0)</f>
        <v>0</v>
      </c>
      <c r="BC442">
        <f>IF(AND(AT442=1,ISNUMBER(AW442),BB442=1),$AW442,1)</f>
        <v>0</v>
      </c>
      <c r="BD442">
        <f>IF(AND(AU442=1,ISNUMBER(AW442),BB442=1),$AW442,1)</f>
        <v>0</v>
      </c>
      <c r="BE442">
        <f>IF(ISNUMBER(AB442),INDEX(AllCollegeILPub, MATCH(N442,AllCollegeNCES,0)),0)</f>
        <v>0</v>
      </c>
      <c r="BF442">
        <f>IF(AN442=ReachLabel,AS442,0)</f>
        <v>0</v>
      </c>
      <c r="BG442">
        <f>IF(AN442=MatchLabel,AS442,0)</f>
        <v>0</v>
      </c>
      <c r="BH442">
        <f>IF(AN442=SafetyLabel,AS442,0)</f>
        <v>0</v>
      </c>
      <c r="BI442">
        <f>IF(AN442=SecureLabel,AS442,0)</f>
        <v>0</v>
      </c>
      <c r="BJ442">
        <f>IF(AN442=SureThingLabel,AS442,0)</f>
        <v>0</v>
      </c>
      <c r="BK442">
        <f>MAX(BF442:BJ442)</f>
        <v>0</v>
      </c>
      <c r="BL442">
        <f>MAX(BG442:BJ442)</f>
        <v>0</v>
      </c>
      <c r="BM442">
        <f>MAX(BH442:BJ442)</f>
        <v>0</v>
      </c>
      <c r="BN442">
        <f>IF(AND(AN442=ReachLabel,BB442=1),AS442,0)</f>
        <v>0</v>
      </c>
      <c r="BO442">
        <f>IF(AND(AN442=MatchLabel,BB442=1),AS442,0)</f>
        <v>0</v>
      </c>
      <c r="BP442">
        <f>IF(AND(AN442=SafetyLabel,BB442=1),AS442,0)</f>
        <v>0</v>
      </c>
      <c r="BQ442">
        <f>IF(AND(AN442=SecureLabel,BB442=1),AS442,0)</f>
        <v>0</v>
      </c>
      <c r="BR442">
        <f>IF(AND(AN442=SureThingLabel,BB442=1),AS442,0)</f>
        <v>0</v>
      </c>
      <c r="BS442">
        <f>MAX(BN442:BR442)</f>
        <v>0</v>
      </c>
      <c r="BT442">
        <f>MAX(BO442:BR442)</f>
        <v>0</v>
      </c>
      <c r="BU442">
        <f>MAX(BP442:BR442)</f>
        <v>0</v>
      </c>
      <c r="BV442">
        <f>IF(ISNUMBER(AB442),INDEX(AllCollegeChicago, MATCH(N442,AllCollegeNCES,0))*BB442,0)</f>
        <v>0</v>
      </c>
      <c r="BW442">
        <f>IF(ISNUMBER(AB442),INDEX(AllCollegeMoneyCode, MATCH(N442,AllCollegeNCES,0)),"?")</f>
        <v>0</v>
      </c>
      <c r="BX442">
        <f>IF(OR(BW442="---",BW442="--",BW442="+/--",BW442="+/---"),1,0)</f>
        <v>0</v>
      </c>
      <c r="BY442">
        <f>BB442*AR442*AT442</f>
        <v>0</v>
      </c>
    </row>
    <row r="443" spans="1:77">
      <c r="A443" t="s">
        <v>96</v>
      </c>
      <c r="B443">
        <v>23416005</v>
      </c>
      <c r="C443" t="s">
        <v>209</v>
      </c>
      <c r="D443" t="s">
        <v>210</v>
      </c>
      <c r="E443" t="s">
        <v>446</v>
      </c>
      <c r="F443" t="s">
        <v>477</v>
      </c>
      <c r="G443" t="s">
        <v>448</v>
      </c>
      <c r="H443" t="s">
        <v>449</v>
      </c>
      <c r="I443" t="s">
        <v>450</v>
      </c>
      <c r="J443" t="s">
        <v>450</v>
      </c>
      <c r="K443">
        <v>0</v>
      </c>
      <c r="L443" t="s">
        <v>446</v>
      </c>
      <c r="M443" t="s">
        <v>446</v>
      </c>
      <c r="N443">
        <v>146427</v>
      </c>
      <c r="O443">
        <f>INDEX(Counselor,MATCH(B443,KidIDs,0))</f>
        <v>0</v>
      </c>
      <c r="P443">
        <f>INDEX(Advisors,MATCH(B443,KidIDs,0))</f>
        <v>0</v>
      </c>
      <c r="Q443">
        <f>INDEX(Cohort,MATCH(B443,KidIDs,0))</f>
        <v>0</v>
      </c>
      <c r="R443">
        <f>INDEX(AllCollegeBarrons,MATCH(N443,AllCollegeNCES,0))</f>
        <v>0</v>
      </c>
      <c r="S443">
        <f>INDEX(KidGPAs,MATCH(B443,KidIDs,0))</f>
        <v>0</v>
      </c>
      <c r="T443">
        <f>INDEX(KidSATs,MATCH(B443,KidIDs,0))</f>
        <v>0</v>
      </c>
      <c r="U443">
        <f>INDEX(Strats,MATCH(B443,KidIDs,0))</f>
        <v>0</v>
      </c>
      <c r="V443">
        <f>INDEX(KidRace,MATCH(B443,KidIDs,0))</f>
        <v>0</v>
      </c>
      <c r="W443">
        <f>IF(OR(V443="M",V443="I"),"H",IF(V443="P","A",V443))</f>
        <v>0</v>
      </c>
      <c r="X443">
        <f>INDEX(StudentTargets,MATCH(B443,KidIDs,0))</f>
        <v>0</v>
      </c>
      <c r="Y443">
        <f>INDEX(ReachStudentTargets,MATCH(B443,KidIDs,0))</f>
        <v>0</v>
      </c>
      <c r="Z443">
        <f>IF(OR(M443="Posse"),1,0)</f>
        <v>0</v>
      </c>
      <c r="AA443">
        <f>IF(ISNUMBER(INDEX(AllCollegeGR, MATCH(N443,AllCollegeNCES,0))),ROUND(INDEX(AllCollegeGR, MATCH(N443,AllCollegeNCES,0))+Z443*IF(INDEX(AllCollegeGR, MATCH(N443,AllCollegeNCES,0))&gt;0.7,(1-INDEX(AllCollegeGR, MATCH(N443,AllCollegeNCES,0)))/2,0.15),2),INDEX(AllCollegeGR, MATCH(N443,AllCollegeNCES,0)))</f>
        <v>0</v>
      </c>
      <c r="AB443">
        <f>IF(ISNUMBER(INDEX(AllCollegeAAHGR, MATCH(N443,AllCollegeNCES,0))),ROUND(INDEX(AllCollegeAAHGR, MATCH(N443,AllCollegeNCES,0))+Z443*IF(INDEX(AllCollegeAAHGR, MATCH(N443,AllCollegeNCES,0))&gt;0.7,(1-INDEX(AllCollegeAAHGR, MATCH(N443,AllCollegeNCES,0)))/2,0.15),2),INDEX(AllCollegeAAHGR, MATCH(N443,AllCollegeNCES,0)))</f>
        <v>0</v>
      </c>
      <c r="AC443">
        <f>IF(OR(W443="H",W443="B"),INDEX(AllCollegeSAT25, MATCH(N443,AllCollegeNCES,0)),INDEX(AllCollegeSAT50, MATCH(N443,AllCollegeNCES,0)))</f>
        <v>0</v>
      </c>
      <c r="AD443">
        <f>INDEX(CustomWeightsGPA,MATCH(W443&amp;":"&amp;N443,CustomWeightsIndex,0))</f>
        <v>0</v>
      </c>
      <c r="AE443">
        <f>INDEX(CustomWeightsSAT,MATCH(W443&amp;":"&amp;N443,CustomWeightsIndex,0))</f>
        <v>0</v>
      </c>
      <c r="AF443">
        <f>INDEX(CustomWeightsIntercept,MATCH(W443&amp;":"&amp;N443,CustomWeightsIndex,0))</f>
        <v>0</v>
      </c>
      <c r="AG443">
        <f>AD443*S443+AE443*T443+AF443</f>
        <v>0</v>
      </c>
      <c r="AH443">
        <f>INDEX(CoefficientsGPA,MATCH(W443&amp;":"&amp;R443,CoefficientsIndex,0))</f>
        <v>0</v>
      </c>
      <c r="AI443">
        <f>INDEX(CoefficientsSAT,MATCH(W443&amp;":"&amp;R443,CoefficientsIndex,0))</f>
        <v>0</v>
      </c>
      <c r="AJ443">
        <f>INDEX(CoefficientsIntercept,MATCH(W443&amp;":"&amp;R443,CoefficientsIndex,0))</f>
        <v>0</v>
      </c>
      <c r="AK443">
        <f>AH443*S443+(T443-AC443)*AI443+AJ443</f>
        <v>0</v>
      </c>
      <c r="AL443">
        <f>IF(ISNUMBER(AG443),AG443,AK443)</f>
        <v>0</v>
      </c>
      <c r="AM443">
        <f>IF(ISNUMBER(AL443),IF(ISNUMBER(AH443),IF(AND(AH443=1,AI443=1,AJ443=1),100,MIN(99,ROUND(100*EXP(AL443)/(1+EXP(AL443)),2))),MIN(99,ROUND(100*EXP(AL443)/(1+EXP(AL443)),2))),IF(ISTEXT(R443),IF(LEFT(R443,1)="2",100,"N/A"),"N/A"))</f>
        <v>0</v>
      </c>
      <c r="AN443">
        <f>IF(ISNUMBER(AM443),IF(AM443&gt;=99,IF(OR(U443=10,U443=11),MatchLabel,SureThingLabel),IF(AM443&gt;=95,SecureLabel,IF(AM443&gt;=80,SafetyLabel,IF(AM443&gt;=50,MatchLabel,IF(AM443&gt;=20,ReachLabel,IF(AM443&gt;=10,LongshotLabel,HailMaryLabel)))))),"Other")</f>
        <v>0</v>
      </c>
      <c r="AO443">
        <f>IF(OR(I443="accepted",I443="cond. accept",I443="summer admit"),IF(J443="yes","CHOICE!","Accepted!"),IF(I443="guar. transfer","Guar. Xfer",IF(I443="denied","Denied",IF(K443=1,"Waitlist",IF(L443=1,"Deferred",IF(G443="pending","Pending",IF(OR(G443="initial materials submitted",G443="mid-year submitted",G443="final submitted"),"Submitted",IF(H443="interest","Interest","?"))))))))</f>
        <v>0</v>
      </c>
      <c r="AP443">
        <f>IF(OR(AN443=ReachLabel,AN443=LongshotLabel,AN443=HailMaryLabel),1,0)</f>
        <v>0</v>
      </c>
      <c r="AQ443">
        <f>IF(OR(AP443=1,AN443=MatchLabel),1,0)</f>
        <v>0</v>
      </c>
      <c r="AR443">
        <f>IF(OR(AN443=MatchLabel,AN443=SafetyLabel,AN443=SecureLabel,AN443=SureThingLabel),1,0)</f>
        <v>0</v>
      </c>
      <c r="AS443">
        <f>IF(OR(W443="H",W443="B",W443="I",W443="M"),IF(ISNUMBER(AB443),ROUND(AB443,2),0),IF(ISNUMBER(AA443),ROUND(AA443,2),0))</f>
        <v>0</v>
      </c>
      <c r="AT443">
        <f>IF(AS443&gt;=X443,1,0)</f>
        <v>0</v>
      </c>
      <c r="AU443">
        <f>IF(AS443&gt;=Y443,1,0)</f>
        <v>0</v>
      </c>
      <c r="AV443">
        <f>IF(AS443&lt;(X443-0.10),1,0)</f>
        <v>0</v>
      </c>
      <c r="AW443">
        <f>1-AM443/100</f>
        <v>0</v>
      </c>
      <c r="AX443">
        <f>IF(AQ443=1,AW443,1)</f>
        <v>0</v>
      </c>
      <c r="AY443">
        <f>IF(AP443=1,AW443,1)</f>
        <v>0</v>
      </c>
      <c r="AZ443">
        <f>IF(AND(AT443=1,ISNUMBER(AW443)),$AW443,1)</f>
        <v>0</v>
      </c>
      <c r="BA443">
        <f>IF(AND(AU443=1,ISNUMBER(AW443)),$AW443,1)</f>
        <v>0</v>
      </c>
      <c r="BB443">
        <f>IF(ISNUMBER(AB443),INDEX(AllCollegeMoney, MATCH(N443,AllCollegeNCES,0)),0)</f>
        <v>0</v>
      </c>
      <c r="BC443">
        <f>IF(AND(AT443=1,ISNUMBER(AW443),BB443=1),$AW443,1)</f>
        <v>0</v>
      </c>
      <c r="BD443">
        <f>IF(AND(AU443=1,ISNUMBER(AW443),BB443=1),$AW443,1)</f>
        <v>0</v>
      </c>
      <c r="BE443">
        <f>IF(ISNUMBER(AB443),INDEX(AllCollegeILPub, MATCH(N443,AllCollegeNCES,0)),0)</f>
        <v>0</v>
      </c>
      <c r="BF443">
        <f>IF(AN443=ReachLabel,AS443,0)</f>
        <v>0</v>
      </c>
      <c r="BG443">
        <f>IF(AN443=MatchLabel,AS443,0)</f>
        <v>0</v>
      </c>
      <c r="BH443">
        <f>IF(AN443=SafetyLabel,AS443,0)</f>
        <v>0</v>
      </c>
      <c r="BI443">
        <f>IF(AN443=SecureLabel,AS443,0)</f>
        <v>0</v>
      </c>
      <c r="BJ443">
        <f>IF(AN443=SureThingLabel,AS443,0)</f>
        <v>0</v>
      </c>
      <c r="BK443">
        <f>MAX(BF443:BJ443)</f>
        <v>0</v>
      </c>
      <c r="BL443">
        <f>MAX(BG443:BJ443)</f>
        <v>0</v>
      </c>
      <c r="BM443">
        <f>MAX(BH443:BJ443)</f>
        <v>0</v>
      </c>
      <c r="BN443">
        <f>IF(AND(AN443=ReachLabel,BB443=1),AS443,0)</f>
        <v>0</v>
      </c>
      <c r="BO443">
        <f>IF(AND(AN443=MatchLabel,BB443=1),AS443,0)</f>
        <v>0</v>
      </c>
      <c r="BP443">
        <f>IF(AND(AN443=SafetyLabel,BB443=1),AS443,0)</f>
        <v>0</v>
      </c>
      <c r="BQ443">
        <f>IF(AND(AN443=SecureLabel,BB443=1),AS443,0)</f>
        <v>0</v>
      </c>
      <c r="BR443">
        <f>IF(AND(AN443=SureThingLabel,BB443=1),AS443,0)</f>
        <v>0</v>
      </c>
      <c r="BS443">
        <f>MAX(BN443:BR443)</f>
        <v>0</v>
      </c>
      <c r="BT443">
        <f>MAX(BO443:BR443)</f>
        <v>0</v>
      </c>
      <c r="BU443">
        <f>MAX(BP443:BR443)</f>
        <v>0</v>
      </c>
      <c r="BV443">
        <f>IF(ISNUMBER(AB443),INDEX(AllCollegeChicago, MATCH(N443,AllCollegeNCES,0))*BB443,0)</f>
        <v>0</v>
      </c>
      <c r="BW443">
        <f>IF(ISNUMBER(AB443),INDEX(AllCollegeMoneyCode, MATCH(N443,AllCollegeNCES,0)),"?")</f>
        <v>0</v>
      </c>
      <c r="BX443">
        <f>IF(OR(BW443="---",BW443="--",BW443="+/--",BW443="+/---"),1,0)</f>
        <v>0</v>
      </c>
      <c r="BY443">
        <f>BB443*AR443*AT443</f>
        <v>0</v>
      </c>
    </row>
    <row r="444" spans="1:77">
      <c r="A444" t="s">
        <v>96</v>
      </c>
      <c r="B444">
        <v>23416005</v>
      </c>
      <c r="C444" t="s">
        <v>209</v>
      </c>
      <c r="D444" t="s">
        <v>210</v>
      </c>
      <c r="E444" t="s">
        <v>446</v>
      </c>
      <c r="F444" t="s">
        <v>489</v>
      </c>
      <c r="G444" t="s">
        <v>479</v>
      </c>
      <c r="H444" t="s">
        <v>449</v>
      </c>
      <c r="I444" t="s">
        <v>450</v>
      </c>
      <c r="J444" t="s">
        <v>450</v>
      </c>
      <c r="K444">
        <v>0</v>
      </c>
      <c r="L444" t="s">
        <v>446</v>
      </c>
      <c r="M444" t="s">
        <v>446</v>
      </c>
      <c r="N444">
        <v>170301</v>
      </c>
      <c r="O444">
        <f>INDEX(Counselor,MATCH(B444,KidIDs,0))</f>
        <v>0</v>
      </c>
      <c r="P444">
        <f>INDEX(Advisors,MATCH(B444,KidIDs,0))</f>
        <v>0</v>
      </c>
      <c r="Q444">
        <f>INDEX(Cohort,MATCH(B444,KidIDs,0))</f>
        <v>0</v>
      </c>
      <c r="R444">
        <f>INDEX(AllCollegeBarrons,MATCH(N444,AllCollegeNCES,0))</f>
        <v>0</v>
      </c>
      <c r="S444">
        <f>INDEX(KidGPAs,MATCH(B444,KidIDs,0))</f>
        <v>0</v>
      </c>
      <c r="T444">
        <f>INDEX(KidSATs,MATCH(B444,KidIDs,0))</f>
        <v>0</v>
      </c>
      <c r="U444">
        <f>INDEX(Strats,MATCH(B444,KidIDs,0))</f>
        <v>0</v>
      </c>
      <c r="V444">
        <f>INDEX(KidRace,MATCH(B444,KidIDs,0))</f>
        <v>0</v>
      </c>
      <c r="W444">
        <f>IF(OR(V444="M",V444="I"),"H",IF(V444="P","A",V444))</f>
        <v>0</v>
      </c>
      <c r="X444">
        <f>INDEX(StudentTargets,MATCH(B444,KidIDs,0))</f>
        <v>0</v>
      </c>
      <c r="Y444">
        <f>INDEX(ReachStudentTargets,MATCH(B444,KidIDs,0))</f>
        <v>0</v>
      </c>
      <c r="Z444">
        <f>IF(OR(M444="Posse"),1,0)</f>
        <v>0</v>
      </c>
      <c r="AA444">
        <f>IF(ISNUMBER(INDEX(AllCollegeGR, MATCH(N444,AllCollegeNCES,0))),ROUND(INDEX(AllCollegeGR, MATCH(N444,AllCollegeNCES,0))+Z444*IF(INDEX(AllCollegeGR, MATCH(N444,AllCollegeNCES,0))&gt;0.7,(1-INDEX(AllCollegeGR, MATCH(N444,AllCollegeNCES,0)))/2,0.15),2),INDEX(AllCollegeGR, MATCH(N444,AllCollegeNCES,0)))</f>
        <v>0</v>
      </c>
      <c r="AB444">
        <f>IF(ISNUMBER(INDEX(AllCollegeAAHGR, MATCH(N444,AllCollegeNCES,0))),ROUND(INDEX(AllCollegeAAHGR, MATCH(N444,AllCollegeNCES,0))+Z444*IF(INDEX(AllCollegeAAHGR, MATCH(N444,AllCollegeNCES,0))&gt;0.7,(1-INDEX(AllCollegeAAHGR, MATCH(N444,AllCollegeNCES,0)))/2,0.15),2),INDEX(AllCollegeAAHGR, MATCH(N444,AllCollegeNCES,0)))</f>
        <v>0</v>
      </c>
      <c r="AC444">
        <f>IF(OR(W444="H",W444="B"),INDEX(AllCollegeSAT25, MATCH(N444,AllCollegeNCES,0)),INDEX(AllCollegeSAT50, MATCH(N444,AllCollegeNCES,0)))</f>
        <v>0</v>
      </c>
      <c r="AD444">
        <f>INDEX(CustomWeightsGPA,MATCH(W444&amp;":"&amp;N444,CustomWeightsIndex,0))</f>
        <v>0</v>
      </c>
      <c r="AE444">
        <f>INDEX(CustomWeightsSAT,MATCH(W444&amp;":"&amp;N444,CustomWeightsIndex,0))</f>
        <v>0</v>
      </c>
      <c r="AF444">
        <f>INDEX(CustomWeightsIntercept,MATCH(W444&amp;":"&amp;N444,CustomWeightsIndex,0))</f>
        <v>0</v>
      </c>
      <c r="AG444">
        <f>AD444*S444+AE444*T444+AF444</f>
        <v>0</v>
      </c>
      <c r="AH444">
        <f>INDEX(CoefficientsGPA,MATCH(W444&amp;":"&amp;R444,CoefficientsIndex,0))</f>
        <v>0</v>
      </c>
      <c r="AI444">
        <f>INDEX(CoefficientsSAT,MATCH(W444&amp;":"&amp;R444,CoefficientsIndex,0))</f>
        <v>0</v>
      </c>
      <c r="AJ444">
        <f>INDEX(CoefficientsIntercept,MATCH(W444&amp;":"&amp;R444,CoefficientsIndex,0))</f>
        <v>0</v>
      </c>
      <c r="AK444">
        <f>AH444*S444+(T444-AC444)*AI444+AJ444</f>
        <v>0</v>
      </c>
      <c r="AL444">
        <f>IF(ISNUMBER(AG444),AG444,AK444)</f>
        <v>0</v>
      </c>
      <c r="AM444">
        <f>IF(ISNUMBER(AL444),IF(ISNUMBER(AH444),IF(AND(AH444=1,AI444=1,AJ444=1),100,MIN(99,ROUND(100*EXP(AL444)/(1+EXP(AL444)),2))),MIN(99,ROUND(100*EXP(AL444)/(1+EXP(AL444)),2))),IF(ISTEXT(R444),IF(LEFT(R444,1)="2",100,"N/A"),"N/A"))</f>
        <v>0</v>
      </c>
      <c r="AN444">
        <f>IF(ISNUMBER(AM444),IF(AM444&gt;=99,IF(OR(U444=10,U444=11),MatchLabel,SureThingLabel),IF(AM444&gt;=95,SecureLabel,IF(AM444&gt;=80,SafetyLabel,IF(AM444&gt;=50,MatchLabel,IF(AM444&gt;=20,ReachLabel,IF(AM444&gt;=10,LongshotLabel,HailMaryLabel)))))),"Other")</f>
        <v>0</v>
      </c>
      <c r="AO444">
        <f>IF(OR(I444="accepted",I444="cond. accept",I444="summer admit"),IF(J444="yes","CHOICE!","Accepted!"),IF(I444="guar. transfer","Guar. Xfer",IF(I444="denied","Denied",IF(K444=1,"Waitlist",IF(L444=1,"Deferred",IF(G444="pending","Pending",IF(OR(G444="initial materials submitted",G444="mid-year submitted",G444="final submitted"),"Submitted",IF(H444="interest","Interest","?"))))))))</f>
        <v>0</v>
      </c>
      <c r="AP444">
        <f>IF(OR(AN444=ReachLabel,AN444=LongshotLabel,AN444=HailMaryLabel),1,0)</f>
        <v>0</v>
      </c>
      <c r="AQ444">
        <f>IF(OR(AP444=1,AN444=MatchLabel),1,0)</f>
        <v>0</v>
      </c>
      <c r="AR444">
        <f>IF(OR(AN444=MatchLabel,AN444=SafetyLabel,AN444=SecureLabel,AN444=SureThingLabel),1,0)</f>
        <v>0</v>
      </c>
      <c r="AS444">
        <f>IF(OR(W444="H",W444="B",W444="I",W444="M"),IF(ISNUMBER(AB444),ROUND(AB444,2),0),IF(ISNUMBER(AA444),ROUND(AA444,2),0))</f>
        <v>0</v>
      </c>
      <c r="AT444">
        <f>IF(AS444&gt;=X444,1,0)</f>
        <v>0</v>
      </c>
      <c r="AU444">
        <f>IF(AS444&gt;=Y444,1,0)</f>
        <v>0</v>
      </c>
      <c r="AV444">
        <f>IF(AS444&lt;(X444-0.10),1,0)</f>
        <v>0</v>
      </c>
      <c r="AW444">
        <f>1-AM444/100</f>
        <v>0</v>
      </c>
      <c r="AX444">
        <f>IF(AQ444=1,AW444,1)</f>
        <v>0</v>
      </c>
      <c r="AY444">
        <f>IF(AP444=1,AW444,1)</f>
        <v>0</v>
      </c>
      <c r="AZ444">
        <f>IF(AND(AT444=1,ISNUMBER(AW444)),$AW444,1)</f>
        <v>0</v>
      </c>
      <c r="BA444">
        <f>IF(AND(AU444=1,ISNUMBER(AW444)),$AW444,1)</f>
        <v>0</v>
      </c>
      <c r="BB444">
        <f>IF(ISNUMBER(AB444),INDEX(AllCollegeMoney, MATCH(N444,AllCollegeNCES,0)),0)</f>
        <v>0</v>
      </c>
      <c r="BC444">
        <f>IF(AND(AT444=1,ISNUMBER(AW444),BB444=1),$AW444,1)</f>
        <v>0</v>
      </c>
      <c r="BD444">
        <f>IF(AND(AU444=1,ISNUMBER(AW444),BB444=1),$AW444,1)</f>
        <v>0</v>
      </c>
      <c r="BE444">
        <f>IF(ISNUMBER(AB444),INDEX(AllCollegeILPub, MATCH(N444,AllCollegeNCES,0)),0)</f>
        <v>0</v>
      </c>
      <c r="BF444">
        <f>IF(AN444=ReachLabel,AS444,0)</f>
        <v>0</v>
      </c>
      <c r="BG444">
        <f>IF(AN444=MatchLabel,AS444,0)</f>
        <v>0</v>
      </c>
      <c r="BH444">
        <f>IF(AN444=SafetyLabel,AS444,0)</f>
        <v>0</v>
      </c>
      <c r="BI444">
        <f>IF(AN444=SecureLabel,AS444,0)</f>
        <v>0</v>
      </c>
      <c r="BJ444">
        <f>IF(AN444=SureThingLabel,AS444,0)</f>
        <v>0</v>
      </c>
      <c r="BK444">
        <f>MAX(BF444:BJ444)</f>
        <v>0</v>
      </c>
      <c r="BL444">
        <f>MAX(BG444:BJ444)</f>
        <v>0</v>
      </c>
      <c r="BM444">
        <f>MAX(BH444:BJ444)</f>
        <v>0</v>
      </c>
      <c r="BN444">
        <f>IF(AND(AN444=ReachLabel,BB444=1),AS444,0)</f>
        <v>0</v>
      </c>
      <c r="BO444">
        <f>IF(AND(AN444=MatchLabel,BB444=1),AS444,0)</f>
        <v>0</v>
      </c>
      <c r="BP444">
        <f>IF(AND(AN444=SafetyLabel,BB444=1),AS444,0)</f>
        <v>0</v>
      </c>
      <c r="BQ444">
        <f>IF(AND(AN444=SecureLabel,BB444=1),AS444,0)</f>
        <v>0</v>
      </c>
      <c r="BR444">
        <f>IF(AND(AN444=SureThingLabel,BB444=1),AS444,0)</f>
        <v>0</v>
      </c>
      <c r="BS444">
        <f>MAX(BN444:BR444)</f>
        <v>0</v>
      </c>
      <c r="BT444">
        <f>MAX(BO444:BR444)</f>
        <v>0</v>
      </c>
      <c r="BU444">
        <f>MAX(BP444:BR444)</f>
        <v>0</v>
      </c>
      <c r="BV444">
        <f>IF(ISNUMBER(AB444),INDEX(AllCollegeChicago, MATCH(N444,AllCollegeNCES,0))*BB444,0)</f>
        <v>0</v>
      </c>
      <c r="BW444">
        <f>IF(ISNUMBER(AB444),INDEX(AllCollegeMoneyCode, MATCH(N444,AllCollegeNCES,0)),"?")</f>
        <v>0</v>
      </c>
      <c r="BX444">
        <f>IF(OR(BW444="---",BW444="--",BW444="+/--",BW444="+/---"),1,0)</f>
        <v>0</v>
      </c>
      <c r="BY444">
        <f>BB444*AR444*AT444</f>
        <v>0</v>
      </c>
    </row>
    <row r="445" spans="1:77">
      <c r="A445" t="s">
        <v>96</v>
      </c>
      <c r="B445">
        <v>23416005</v>
      </c>
      <c r="C445" t="s">
        <v>209</v>
      </c>
      <c r="D445" t="s">
        <v>210</v>
      </c>
      <c r="E445" t="s">
        <v>446</v>
      </c>
      <c r="F445" t="s">
        <v>478</v>
      </c>
      <c r="G445" t="s">
        <v>479</v>
      </c>
      <c r="H445" t="s">
        <v>449</v>
      </c>
      <c r="I445" t="s">
        <v>450</v>
      </c>
      <c r="J445" t="s">
        <v>450</v>
      </c>
      <c r="K445">
        <v>0</v>
      </c>
      <c r="L445" t="s">
        <v>446</v>
      </c>
      <c r="M445" t="s">
        <v>446</v>
      </c>
      <c r="N445">
        <v>168546</v>
      </c>
      <c r="O445">
        <f>INDEX(Counselor,MATCH(B445,KidIDs,0))</f>
        <v>0</v>
      </c>
      <c r="P445">
        <f>INDEX(Advisors,MATCH(B445,KidIDs,0))</f>
        <v>0</v>
      </c>
      <c r="Q445">
        <f>INDEX(Cohort,MATCH(B445,KidIDs,0))</f>
        <v>0</v>
      </c>
      <c r="R445">
        <f>INDEX(AllCollegeBarrons,MATCH(N445,AllCollegeNCES,0))</f>
        <v>0</v>
      </c>
      <c r="S445">
        <f>INDEX(KidGPAs,MATCH(B445,KidIDs,0))</f>
        <v>0</v>
      </c>
      <c r="T445">
        <f>INDEX(KidSATs,MATCH(B445,KidIDs,0))</f>
        <v>0</v>
      </c>
      <c r="U445">
        <f>INDEX(Strats,MATCH(B445,KidIDs,0))</f>
        <v>0</v>
      </c>
      <c r="V445">
        <f>INDEX(KidRace,MATCH(B445,KidIDs,0))</f>
        <v>0</v>
      </c>
      <c r="W445">
        <f>IF(OR(V445="M",V445="I"),"H",IF(V445="P","A",V445))</f>
        <v>0</v>
      </c>
      <c r="X445">
        <f>INDEX(StudentTargets,MATCH(B445,KidIDs,0))</f>
        <v>0</v>
      </c>
      <c r="Y445">
        <f>INDEX(ReachStudentTargets,MATCH(B445,KidIDs,0))</f>
        <v>0</v>
      </c>
      <c r="Z445">
        <f>IF(OR(M445="Posse"),1,0)</f>
        <v>0</v>
      </c>
      <c r="AA445">
        <f>IF(ISNUMBER(INDEX(AllCollegeGR, MATCH(N445,AllCollegeNCES,0))),ROUND(INDEX(AllCollegeGR, MATCH(N445,AllCollegeNCES,0))+Z445*IF(INDEX(AllCollegeGR, MATCH(N445,AllCollegeNCES,0))&gt;0.7,(1-INDEX(AllCollegeGR, MATCH(N445,AllCollegeNCES,0)))/2,0.15),2),INDEX(AllCollegeGR, MATCH(N445,AllCollegeNCES,0)))</f>
        <v>0</v>
      </c>
      <c r="AB445">
        <f>IF(ISNUMBER(INDEX(AllCollegeAAHGR, MATCH(N445,AllCollegeNCES,0))),ROUND(INDEX(AllCollegeAAHGR, MATCH(N445,AllCollegeNCES,0))+Z445*IF(INDEX(AllCollegeAAHGR, MATCH(N445,AllCollegeNCES,0))&gt;0.7,(1-INDEX(AllCollegeAAHGR, MATCH(N445,AllCollegeNCES,0)))/2,0.15),2),INDEX(AllCollegeAAHGR, MATCH(N445,AllCollegeNCES,0)))</f>
        <v>0</v>
      </c>
      <c r="AC445">
        <f>IF(OR(W445="H",W445="B"),INDEX(AllCollegeSAT25, MATCH(N445,AllCollegeNCES,0)),INDEX(AllCollegeSAT50, MATCH(N445,AllCollegeNCES,0)))</f>
        <v>0</v>
      </c>
      <c r="AD445">
        <f>INDEX(CustomWeightsGPA,MATCH(W445&amp;":"&amp;N445,CustomWeightsIndex,0))</f>
        <v>0</v>
      </c>
      <c r="AE445">
        <f>INDEX(CustomWeightsSAT,MATCH(W445&amp;":"&amp;N445,CustomWeightsIndex,0))</f>
        <v>0</v>
      </c>
      <c r="AF445">
        <f>INDEX(CustomWeightsIntercept,MATCH(W445&amp;":"&amp;N445,CustomWeightsIndex,0))</f>
        <v>0</v>
      </c>
      <c r="AG445">
        <f>AD445*S445+AE445*T445+AF445</f>
        <v>0</v>
      </c>
      <c r="AH445">
        <f>INDEX(CoefficientsGPA,MATCH(W445&amp;":"&amp;R445,CoefficientsIndex,0))</f>
        <v>0</v>
      </c>
      <c r="AI445">
        <f>INDEX(CoefficientsSAT,MATCH(W445&amp;":"&amp;R445,CoefficientsIndex,0))</f>
        <v>0</v>
      </c>
      <c r="AJ445">
        <f>INDEX(CoefficientsIntercept,MATCH(W445&amp;":"&amp;R445,CoefficientsIndex,0))</f>
        <v>0</v>
      </c>
      <c r="AK445">
        <f>AH445*S445+(T445-AC445)*AI445+AJ445</f>
        <v>0</v>
      </c>
      <c r="AL445">
        <f>IF(ISNUMBER(AG445),AG445,AK445)</f>
        <v>0</v>
      </c>
      <c r="AM445">
        <f>IF(ISNUMBER(AL445),IF(ISNUMBER(AH445),IF(AND(AH445=1,AI445=1,AJ445=1),100,MIN(99,ROUND(100*EXP(AL445)/(1+EXP(AL445)),2))),MIN(99,ROUND(100*EXP(AL445)/(1+EXP(AL445)),2))),IF(ISTEXT(R445),IF(LEFT(R445,1)="2",100,"N/A"),"N/A"))</f>
        <v>0</v>
      </c>
      <c r="AN445">
        <f>IF(ISNUMBER(AM445),IF(AM445&gt;=99,IF(OR(U445=10,U445=11),MatchLabel,SureThingLabel),IF(AM445&gt;=95,SecureLabel,IF(AM445&gt;=80,SafetyLabel,IF(AM445&gt;=50,MatchLabel,IF(AM445&gt;=20,ReachLabel,IF(AM445&gt;=10,LongshotLabel,HailMaryLabel)))))),"Other")</f>
        <v>0</v>
      </c>
      <c r="AO445">
        <f>IF(OR(I445="accepted",I445="cond. accept",I445="summer admit"),IF(J445="yes","CHOICE!","Accepted!"),IF(I445="guar. transfer","Guar. Xfer",IF(I445="denied","Denied",IF(K445=1,"Waitlist",IF(L445=1,"Deferred",IF(G445="pending","Pending",IF(OR(G445="initial materials submitted",G445="mid-year submitted",G445="final submitted"),"Submitted",IF(H445="interest","Interest","?"))))))))</f>
        <v>0</v>
      </c>
      <c r="AP445">
        <f>IF(OR(AN445=ReachLabel,AN445=LongshotLabel,AN445=HailMaryLabel),1,0)</f>
        <v>0</v>
      </c>
      <c r="AQ445">
        <f>IF(OR(AP445=1,AN445=MatchLabel),1,0)</f>
        <v>0</v>
      </c>
      <c r="AR445">
        <f>IF(OR(AN445=MatchLabel,AN445=SafetyLabel,AN445=SecureLabel,AN445=SureThingLabel),1,0)</f>
        <v>0</v>
      </c>
      <c r="AS445">
        <f>IF(OR(W445="H",W445="B",W445="I",W445="M"),IF(ISNUMBER(AB445),ROUND(AB445,2),0),IF(ISNUMBER(AA445),ROUND(AA445,2),0))</f>
        <v>0</v>
      </c>
      <c r="AT445">
        <f>IF(AS445&gt;=X445,1,0)</f>
        <v>0</v>
      </c>
      <c r="AU445">
        <f>IF(AS445&gt;=Y445,1,0)</f>
        <v>0</v>
      </c>
      <c r="AV445">
        <f>IF(AS445&lt;(X445-0.10),1,0)</f>
        <v>0</v>
      </c>
      <c r="AW445">
        <f>1-AM445/100</f>
        <v>0</v>
      </c>
      <c r="AX445">
        <f>IF(AQ445=1,AW445,1)</f>
        <v>0</v>
      </c>
      <c r="AY445">
        <f>IF(AP445=1,AW445,1)</f>
        <v>0</v>
      </c>
      <c r="AZ445">
        <f>IF(AND(AT445=1,ISNUMBER(AW445)),$AW445,1)</f>
        <v>0</v>
      </c>
      <c r="BA445">
        <f>IF(AND(AU445=1,ISNUMBER(AW445)),$AW445,1)</f>
        <v>0</v>
      </c>
      <c r="BB445">
        <f>IF(ISNUMBER(AB445),INDEX(AllCollegeMoney, MATCH(N445,AllCollegeNCES,0)),0)</f>
        <v>0</v>
      </c>
      <c r="BC445">
        <f>IF(AND(AT445=1,ISNUMBER(AW445),BB445=1),$AW445,1)</f>
        <v>0</v>
      </c>
      <c r="BD445">
        <f>IF(AND(AU445=1,ISNUMBER(AW445),BB445=1),$AW445,1)</f>
        <v>0</v>
      </c>
      <c r="BE445">
        <f>IF(ISNUMBER(AB445),INDEX(AllCollegeILPub, MATCH(N445,AllCollegeNCES,0)),0)</f>
        <v>0</v>
      </c>
      <c r="BF445">
        <f>IF(AN445=ReachLabel,AS445,0)</f>
        <v>0</v>
      </c>
      <c r="BG445">
        <f>IF(AN445=MatchLabel,AS445,0)</f>
        <v>0</v>
      </c>
      <c r="BH445">
        <f>IF(AN445=SafetyLabel,AS445,0)</f>
        <v>0</v>
      </c>
      <c r="BI445">
        <f>IF(AN445=SecureLabel,AS445,0)</f>
        <v>0</v>
      </c>
      <c r="BJ445">
        <f>IF(AN445=SureThingLabel,AS445,0)</f>
        <v>0</v>
      </c>
      <c r="BK445">
        <f>MAX(BF445:BJ445)</f>
        <v>0</v>
      </c>
      <c r="BL445">
        <f>MAX(BG445:BJ445)</f>
        <v>0</v>
      </c>
      <c r="BM445">
        <f>MAX(BH445:BJ445)</f>
        <v>0</v>
      </c>
      <c r="BN445">
        <f>IF(AND(AN445=ReachLabel,BB445=1),AS445,0)</f>
        <v>0</v>
      </c>
      <c r="BO445">
        <f>IF(AND(AN445=MatchLabel,BB445=1),AS445,0)</f>
        <v>0</v>
      </c>
      <c r="BP445">
        <f>IF(AND(AN445=SafetyLabel,BB445=1),AS445,0)</f>
        <v>0</v>
      </c>
      <c r="BQ445">
        <f>IF(AND(AN445=SecureLabel,BB445=1),AS445,0)</f>
        <v>0</v>
      </c>
      <c r="BR445">
        <f>IF(AND(AN445=SureThingLabel,BB445=1),AS445,0)</f>
        <v>0</v>
      </c>
      <c r="BS445">
        <f>MAX(BN445:BR445)</f>
        <v>0</v>
      </c>
      <c r="BT445">
        <f>MAX(BO445:BR445)</f>
        <v>0</v>
      </c>
      <c r="BU445">
        <f>MAX(BP445:BR445)</f>
        <v>0</v>
      </c>
      <c r="BV445">
        <f>IF(ISNUMBER(AB445),INDEX(AllCollegeChicago, MATCH(N445,AllCollegeNCES,0))*BB445,0)</f>
        <v>0</v>
      </c>
      <c r="BW445">
        <f>IF(ISNUMBER(AB445),INDEX(AllCollegeMoneyCode, MATCH(N445,AllCollegeNCES,0)),"?")</f>
        <v>0</v>
      </c>
      <c r="BX445">
        <f>IF(OR(BW445="---",BW445="--",BW445="+/--",BW445="+/---"),1,0)</f>
        <v>0</v>
      </c>
      <c r="BY445">
        <f>BB445*AR445*AT445</f>
        <v>0</v>
      </c>
    </row>
    <row r="446" spans="1:77">
      <c r="A446" t="s">
        <v>96</v>
      </c>
      <c r="B446">
        <v>23416005</v>
      </c>
      <c r="C446" t="s">
        <v>209</v>
      </c>
      <c r="D446" t="s">
        <v>210</v>
      </c>
      <c r="E446" t="s">
        <v>446</v>
      </c>
      <c r="F446" t="s">
        <v>465</v>
      </c>
      <c r="G446" t="s">
        <v>448</v>
      </c>
      <c r="H446" t="s">
        <v>449</v>
      </c>
      <c r="I446" t="s">
        <v>450</v>
      </c>
      <c r="J446" t="s">
        <v>450</v>
      </c>
      <c r="K446">
        <v>0</v>
      </c>
      <c r="L446" t="s">
        <v>446</v>
      </c>
      <c r="M446" t="s">
        <v>446</v>
      </c>
      <c r="N446">
        <v>145600</v>
      </c>
      <c r="O446">
        <f>INDEX(Counselor,MATCH(B446,KidIDs,0))</f>
        <v>0</v>
      </c>
      <c r="P446">
        <f>INDEX(Advisors,MATCH(B446,KidIDs,0))</f>
        <v>0</v>
      </c>
      <c r="Q446">
        <f>INDEX(Cohort,MATCH(B446,KidIDs,0))</f>
        <v>0</v>
      </c>
      <c r="R446">
        <f>INDEX(AllCollegeBarrons,MATCH(N446,AllCollegeNCES,0))</f>
        <v>0</v>
      </c>
      <c r="S446">
        <f>INDEX(KidGPAs,MATCH(B446,KidIDs,0))</f>
        <v>0</v>
      </c>
      <c r="T446">
        <f>INDEX(KidSATs,MATCH(B446,KidIDs,0))</f>
        <v>0</v>
      </c>
      <c r="U446">
        <f>INDEX(Strats,MATCH(B446,KidIDs,0))</f>
        <v>0</v>
      </c>
      <c r="V446">
        <f>INDEX(KidRace,MATCH(B446,KidIDs,0))</f>
        <v>0</v>
      </c>
      <c r="W446">
        <f>IF(OR(V446="M",V446="I"),"H",IF(V446="P","A",V446))</f>
        <v>0</v>
      </c>
      <c r="X446">
        <f>INDEX(StudentTargets,MATCH(B446,KidIDs,0))</f>
        <v>0</v>
      </c>
      <c r="Y446">
        <f>INDEX(ReachStudentTargets,MATCH(B446,KidIDs,0))</f>
        <v>0</v>
      </c>
      <c r="Z446">
        <f>IF(OR(M446="Posse"),1,0)</f>
        <v>0</v>
      </c>
      <c r="AA446">
        <f>IF(ISNUMBER(INDEX(AllCollegeGR, MATCH(N446,AllCollegeNCES,0))),ROUND(INDEX(AllCollegeGR, MATCH(N446,AllCollegeNCES,0))+Z446*IF(INDEX(AllCollegeGR, MATCH(N446,AllCollegeNCES,0))&gt;0.7,(1-INDEX(AllCollegeGR, MATCH(N446,AllCollegeNCES,0)))/2,0.15),2),INDEX(AllCollegeGR, MATCH(N446,AllCollegeNCES,0)))</f>
        <v>0</v>
      </c>
      <c r="AB446">
        <f>IF(ISNUMBER(INDEX(AllCollegeAAHGR, MATCH(N446,AllCollegeNCES,0))),ROUND(INDEX(AllCollegeAAHGR, MATCH(N446,AllCollegeNCES,0))+Z446*IF(INDEX(AllCollegeAAHGR, MATCH(N446,AllCollegeNCES,0))&gt;0.7,(1-INDEX(AllCollegeAAHGR, MATCH(N446,AllCollegeNCES,0)))/2,0.15),2),INDEX(AllCollegeAAHGR, MATCH(N446,AllCollegeNCES,0)))</f>
        <v>0</v>
      </c>
      <c r="AC446">
        <f>IF(OR(W446="H",W446="B"),INDEX(AllCollegeSAT25, MATCH(N446,AllCollegeNCES,0)),INDEX(AllCollegeSAT50, MATCH(N446,AllCollegeNCES,0)))</f>
        <v>0</v>
      </c>
      <c r="AD446">
        <f>INDEX(CustomWeightsGPA,MATCH(W446&amp;":"&amp;N446,CustomWeightsIndex,0))</f>
        <v>0</v>
      </c>
      <c r="AE446">
        <f>INDEX(CustomWeightsSAT,MATCH(W446&amp;":"&amp;N446,CustomWeightsIndex,0))</f>
        <v>0</v>
      </c>
      <c r="AF446">
        <f>INDEX(CustomWeightsIntercept,MATCH(W446&amp;":"&amp;N446,CustomWeightsIndex,0))</f>
        <v>0</v>
      </c>
      <c r="AG446">
        <f>AD446*S446+AE446*T446+AF446</f>
        <v>0</v>
      </c>
      <c r="AH446">
        <f>INDEX(CoefficientsGPA,MATCH(W446&amp;":"&amp;R446,CoefficientsIndex,0))</f>
        <v>0</v>
      </c>
      <c r="AI446">
        <f>INDEX(CoefficientsSAT,MATCH(W446&amp;":"&amp;R446,CoefficientsIndex,0))</f>
        <v>0</v>
      </c>
      <c r="AJ446">
        <f>INDEX(CoefficientsIntercept,MATCH(W446&amp;":"&amp;R446,CoefficientsIndex,0))</f>
        <v>0</v>
      </c>
      <c r="AK446">
        <f>AH446*S446+(T446-AC446)*AI446+AJ446</f>
        <v>0</v>
      </c>
      <c r="AL446">
        <f>IF(ISNUMBER(AG446),AG446,AK446)</f>
        <v>0</v>
      </c>
      <c r="AM446">
        <f>IF(ISNUMBER(AL446),IF(ISNUMBER(AH446),IF(AND(AH446=1,AI446=1,AJ446=1),100,MIN(99,ROUND(100*EXP(AL446)/(1+EXP(AL446)),2))),MIN(99,ROUND(100*EXP(AL446)/(1+EXP(AL446)),2))),IF(ISTEXT(R446),IF(LEFT(R446,1)="2",100,"N/A"),"N/A"))</f>
        <v>0</v>
      </c>
      <c r="AN446">
        <f>IF(ISNUMBER(AM446),IF(AM446&gt;=99,IF(OR(U446=10,U446=11),MatchLabel,SureThingLabel),IF(AM446&gt;=95,SecureLabel,IF(AM446&gt;=80,SafetyLabel,IF(AM446&gt;=50,MatchLabel,IF(AM446&gt;=20,ReachLabel,IF(AM446&gt;=10,LongshotLabel,HailMaryLabel)))))),"Other")</f>
        <v>0</v>
      </c>
      <c r="AO446">
        <f>IF(OR(I446="accepted",I446="cond. accept",I446="summer admit"),IF(J446="yes","CHOICE!","Accepted!"),IF(I446="guar. transfer","Guar. Xfer",IF(I446="denied","Denied",IF(K446=1,"Waitlist",IF(L446=1,"Deferred",IF(G446="pending","Pending",IF(OR(G446="initial materials submitted",G446="mid-year submitted",G446="final submitted"),"Submitted",IF(H446="interest","Interest","?"))))))))</f>
        <v>0</v>
      </c>
      <c r="AP446">
        <f>IF(OR(AN446=ReachLabel,AN446=LongshotLabel,AN446=HailMaryLabel),1,0)</f>
        <v>0</v>
      </c>
      <c r="AQ446">
        <f>IF(OR(AP446=1,AN446=MatchLabel),1,0)</f>
        <v>0</v>
      </c>
      <c r="AR446">
        <f>IF(OR(AN446=MatchLabel,AN446=SafetyLabel,AN446=SecureLabel,AN446=SureThingLabel),1,0)</f>
        <v>0</v>
      </c>
      <c r="AS446">
        <f>IF(OR(W446="H",W446="B",W446="I",W446="M"),IF(ISNUMBER(AB446),ROUND(AB446,2),0),IF(ISNUMBER(AA446),ROUND(AA446,2),0))</f>
        <v>0</v>
      </c>
      <c r="AT446">
        <f>IF(AS446&gt;=X446,1,0)</f>
        <v>0</v>
      </c>
      <c r="AU446">
        <f>IF(AS446&gt;=Y446,1,0)</f>
        <v>0</v>
      </c>
      <c r="AV446">
        <f>IF(AS446&lt;(X446-0.10),1,0)</f>
        <v>0</v>
      </c>
      <c r="AW446">
        <f>1-AM446/100</f>
        <v>0</v>
      </c>
      <c r="AX446">
        <f>IF(AQ446=1,AW446,1)</f>
        <v>0</v>
      </c>
      <c r="AY446">
        <f>IF(AP446=1,AW446,1)</f>
        <v>0</v>
      </c>
      <c r="AZ446">
        <f>IF(AND(AT446=1,ISNUMBER(AW446)),$AW446,1)</f>
        <v>0</v>
      </c>
      <c r="BA446">
        <f>IF(AND(AU446=1,ISNUMBER(AW446)),$AW446,1)</f>
        <v>0</v>
      </c>
      <c r="BB446">
        <f>IF(ISNUMBER(AB446),INDEX(AllCollegeMoney, MATCH(N446,AllCollegeNCES,0)),0)</f>
        <v>0</v>
      </c>
      <c r="BC446">
        <f>IF(AND(AT446=1,ISNUMBER(AW446),BB446=1),$AW446,1)</f>
        <v>0</v>
      </c>
      <c r="BD446">
        <f>IF(AND(AU446=1,ISNUMBER(AW446),BB446=1),$AW446,1)</f>
        <v>0</v>
      </c>
      <c r="BE446">
        <f>IF(ISNUMBER(AB446),INDEX(AllCollegeILPub, MATCH(N446,AllCollegeNCES,0)),0)</f>
        <v>0</v>
      </c>
      <c r="BF446">
        <f>IF(AN446=ReachLabel,AS446,0)</f>
        <v>0</v>
      </c>
      <c r="BG446">
        <f>IF(AN446=MatchLabel,AS446,0)</f>
        <v>0</v>
      </c>
      <c r="BH446">
        <f>IF(AN446=SafetyLabel,AS446,0)</f>
        <v>0</v>
      </c>
      <c r="BI446">
        <f>IF(AN446=SecureLabel,AS446,0)</f>
        <v>0</v>
      </c>
      <c r="BJ446">
        <f>IF(AN446=SureThingLabel,AS446,0)</f>
        <v>0</v>
      </c>
      <c r="BK446">
        <f>MAX(BF446:BJ446)</f>
        <v>0</v>
      </c>
      <c r="BL446">
        <f>MAX(BG446:BJ446)</f>
        <v>0</v>
      </c>
      <c r="BM446">
        <f>MAX(BH446:BJ446)</f>
        <v>0</v>
      </c>
      <c r="BN446">
        <f>IF(AND(AN446=ReachLabel,BB446=1),AS446,0)</f>
        <v>0</v>
      </c>
      <c r="BO446">
        <f>IF(AND(AN446=MatchLabel,BB446=1),AS446,0)</f>
        <v>0</v>
      </c>
      <c r="BP446">
        <f>IF(AND(AN446=SafetyLabel,BB446=1),AS446,0)</f>
        <v>0</v>
      </c>
      <c r="BQ446">
        <f>IF(AND(AN446=SecureLabel,BB446=1),AS446,0)</f>
        <v>0</v>
      </c>
      <c r="BR446">
        <f>IF(AND(AN446=SureThingLabel,BB446=1),AS446,0)</f>
        <v>0</v>
      </c>
      <c r="BS446">
        <f>MAX(BN446:BR446)</f>
        <v>0</v>
      </c>
      <c r="BT446">
        <f>MAX(BO446:BR446)</f>
        <v>0</v>
      </c>
      <c r="BU446">
        <f>MAX(BP446:BR446)</f>
        <v>0</v>
      </c>
      <c r="BV446">
        <f>IF(ISNUMBER(AB446),INDEX(AllCollegeChicago, MATCH(N446,AllCollegeNCES,0))*BB446,0)</f>
        <v>0</v>
      </c>
      <c r="BW446">
        <f>IF(ISNUMBER(AB446),INDEX(AllCollegeMoneyCode, MATCH(N446,AllCollegeNCES,0)),"?")</f>
        <v>0</v>
      </c>
      <c r="BX446">
        <f>IF(OR(BW446="---",BW446="--",BW446="+/--",BW446="+/---"),1,0)</f>
        <v>0</v>
      </c>
      <c r="BY446">
        <f>BB446*AR446*AT446</f>
        <v>0</v>
      </c>
    </row>
    <row r="447" spans="1:77">
      <c r="A447" t="s">
        <v>96</v>
      </c>
      <c r="B447">
        <v>23416005</v>
      </c>
      <c r="C447" t="s">
        <v>209</v>
      </c>
      <c r="D447" t="s">
        <v>210</v>
      </c>
      <c r="E447" t="s">
        <v>446</v>
      </c>
      <c r="F447" t="s">
        <v>519</v>
      </c>
      <c r="G447" t="s">
        <v>448</v>
      </c>
      <c r="H447" t="s">
        <v>449</v>
      </c>
      <c r="I447" t="s">
        <v>450</v>
      </c>
      <c r="J447" t="s">
        <v>450</v>
      </c>
      <c r="K447">
        <v>0</v>
      </c>
      <c r="L447" t="s">
        <v>446</v>
      </c>
      <c r="M447" t="s">
        <v>446</v>
      </c>
      <c r="N447">
        <v>145813</v>
      </c>
      <c r="O447">
        <f>INDEX(Counselor,MATCH(B447,KidIDs,0))</f>
        <v>0</v>
      </c>
      <c r="P447">
        <f>INDEX(Advisors,MATCH(B447,KidIDs,0))</f>
        <v>0</v>
      </c>
      <c r="Q447">
        <f>INDEX(Cohort,MATCH(B447,KidIDs,0))</f>
        <v>0</v>
      </c>
      <c r="R447">
        <f>INDEX(AllCollegeBarrons,MATCH(N447,AllCollegeNCES,0))</f>
        <v>0</v>
      </c>
      <c r="S447">
        <f>INDEX(KidGPAs,MATCH(B447,KidIDs,0))</f>
        <v>0</v>
      </c>
      <c r="T447">
        <f>INDEX(KidSATs,MATCH(B447,KidIDs,0))</f>
        <v>0</v>
      </c>
      <c r="U447">
        <f>INDEX(Strats,MATCH(B447,KidIDs,0))</f>
        <v>0</v>
      </c>
      <c r="V447">
        <f>INDEX(KidRace,MATCH(B447,KidIDs,0))</f>
        <v>0</v>
      </c>
      <c r="W447">
        <f>IF(OR(V447="M",V447="I"),"H",IF(V447="P","A",V447))</f>
        <v>0</v>
      </c>
      <c r="X447">
        <f>INDEX(StudentTargets,MATCH(B447,KidIDs,0))</f>
        <v>0</v>
      </c>
      <c r="Y447">
        <f>INDEX(ReachStudentTargets,MATCH(B447,KidIDs,0))</f>
        <v>0</v>
      </c>
      <c r="Z447">
        <f>IF(OR(M447="Posse"),1,0)</f>
        <v>0</v>
      </c>
      <c r="AA447">
        <f>IF(ISNUMBER(INDEX(AllCollegeGR, MATCH(N447,AllCollegeNCES,0))),ROUND(INDEX(AllCollegeGR, MATCH(N447,AllCollegeNCES,0))+Z447*IF(INDEX(AllCollegeGR, MATCH(N447,AllCollegeNCES,0))&gt;0.7,(1-INDEX(AllCollegeGR, MATCH(N447,AllCollegeNCES,0)))/2,0.15),2),INDEX(AllCollegeGR, MATCH(N447,AllCollegeNCES,0)))</f>
        <v>0</v>
      </c>
      <c r="AB447">
        <f>IF(ISNUMBER(INDEX(AllCollegeAAHGR, MATCH(N447,AllCollegeNCES,0))),ROUND(INDEX(AllCollegeAAHGR, MATCH(N447,AllCollegeNCES,0))+Z447*IF(INDEX(AllCollegeAAHGR, MATCH(N447,AllCollegeNCES,0))&gt;0.7,(1-INDEX(AllCollegeAAHGR, MATCH(N447,AllCollegeNCES,0)))/2,0.15),2),INDEX(AllCollegeAAHGR, MATCH(N447,AllCollegeNCES,0)))</f>
        <v>0</v>
      </c>
      <c r="AC447">
        <f>IF(OR(W447="H",W447="B"),INDEX(AllCollegeSAT25, MATCH(N447,AllCollegeNCES,0)),INDEX(AllCollegeSAT50, MATCH(N447,AllCollegeNCES,0)))</f>
        <v>0</v>
      </c>
      <c r="AD447">
        <f>INDEX(CustomWeightsGPA,MATCH(W447&amp;":"&amp;N447,CustomWeightsIndex,0))</f>
        <v>0</v>
      </c>
      <c r="AE447">
        <f>INDEX(CustomWeightsSAT,MATCH(W447&amp;":"&amp;N447,CustomWeightsIndex,0))</f>
        <v>0</v>
      </c>
      <c r="AF447">
        <f>INDEX(CustomWeightsIntercept,MATCH(W447&amp;":"&amp;N447,CustomWeightsIndex,0))</f>
        <v>0</v>
      </c>
      <c r="AG447">
        <f>AD447*S447+AE447*T447+AF447</f>
        <v>0</v>
      </c>
      <c r="AH447">
        <f>INDEX(CoefficientsGPA,MATCH(W447&amp;":"&amp;R447,CoefficientsIndex,0))</f>
        <v>0</v>
      </c>
      <c r="AI447">
        <f>INDEX(CoefficientsSAT,MATCH(W447&amp;":"&amp;R447,CoefficientsIndex,0))</f>
        <v>0</v>
      </c>
      <c r="AJ447">
        <f>INDEX(CoefficientsIntercept,MATCH(W447&amp;":"&amp;R447,CoefficientsIndex,0))</f>
        <v>0</v>
      </c>
      <c r="AK447">
        <f>AH447*S447+(T447-AC447)*AI447+AJ447</f>
        <v>0</v>
      </c>
      <c r="AL447">
        <f>IF(ISNUMBER(AG447),AG447,AK447)</f>
        <v>0</v>
      </c>
      <c r="AM447">
        <f>IF(ISNUMBER(AL447),IF(ISNUMBER(AH447),IF(AND(AH447=1,AI447=1,AJ447=1),100,MIN(99,ROUND(100*EXP(AL447)/(1+EXP(AL447)),2))),MIN(99,ROUND(100*EXP(AL447)/(1+EXP(AL447)),2))),IF(ISTEXT(R447),IF(LEFT(R447,1)="2",100,"N/A"),"N/A"))</f>
        <v>0</v>
      </c>
      <c r="AN447">
        <f>IF(ISNUMBER(AM447),IF(AM447&gt;=99,IF(OR(U447=10,U447=11),MatchLabel,SureThingLabel),IF(AM447&gt;=95,SecureLabel,IF(AM447&gt;=80,SafetyLabel,IF(AM447&gt;=50,MatchLabel,IF(AM447&gt;=20,ReachLabel,IF(AM447&gt;=10,LongshotLabel,HailMaryLabel)))))),"Other")</f>
        <v>0</v>
      </c>
      <c r="AO447">
        <f>IF(OR(I447="accepted",I447="cond. accept",I447="summer admit"),IF(J447="yes","CHOICE!","Accepted!"),IF(I447="guar. transfer","Guar. Xfer",IF(I447="denied","Denied",IF(K447=1,"Waitlist",IF(L447=1,"Deferred",IF(G447="pending","Pending",IF(OR(G447="initial materials submitted",G447="mid-year submitted",G447="final submitted"),"Submitted",IF(H447="interest","Interest","?"))))))))</f>
        <v>0</v>
      </c>
      <c r="AP447">
        <f>IF(OR(AN447=ReachLabel,AN447=LongshotLabel,AN447=HailMaryLabel),1,0)</f>
        <v>0</v>
      </c>
      <c r="AQ447">
        <f>IF(OR(AP447=1,AN447=MatchLabel),1,0)</f>
        <v>0</v>
      </c>
      <c r="AR447">
        <f>IF(OR(AN447=MatchLabel,AN447=SafetyLabel,AN447=SecureLabel,AN447=SureThingLabel),1,0)</f>
        <v>0</v>
      </c>
      <c r="AS447">
        <f>IF(OR(W447="H",W447="B",W447="I",W447="M"),IF(ISNUMBER(AB447),ROUND(AB447,2),0),IF(ISNUMBER(AA447),ROUND(AA447,2),0))</f>
        <v>0</v>
      </c>
      <c r="AT447">
        <f>IF(AS447&gt;=X447,1,0)</f>
        <v>0</v>
      </c>
      <c r="AU447">
        <f>IF(AS447&gt;=Y447,1,0)</f>
        <v>0</v>
      </c>
      <c r="AV447">
        <f>IF(AS447&lt;(X447-0.10),1,0)</f>
        <v>0</v>
      </c>
      <c r="AW447">
        <f>1-AM447/100</f>
        <v>0</v>
      </c>
      <c r="AX447">
        <f>IF(AQ447=1,AW447,1)</f>
        <v>0</v>
      </c>
      <c r="AY447">
        <f>IF(AP447=1,AW447,1)</f>
        <v>0</v>
      </c>
      <c r="AZ447">
        <f>IF(AND(AT447=1,ISNUMBER(AW447)),$AW447,1)</f>
        <v>0</v>
      </c>
      <c r="BA447">
        <f>IF(AND(AU447=1,ISNUMBER(AW447)),$AW447,1)</f>
        <v>0</v>
      </c>
      <c r="BB447">
        <f>IF(ISNUMBER(AB447),INDEX(AllCollegeMoney, MATCH(N447,AllCollegeNCES,0)),0)</f>
        <v>0</v>
      </c>
      <c r="BC447">
        <f>IF(AND(AT447=1,ISNUMBER(AW447),BB447=1),$AW447,1)</f>
        <v>0</v>
      </c>
      <c r="BD447">
        <f>IF(AND(AU447=1,ISNUMBER(AW447),BB447=1),$AW447,1)</f>
        <v>0</v>
      </c>
      <c r="BE447">
        <f>IF(ISNUMBER(AB447),INDEX(AllCollegeILPub, MATCH(N447,AllCollegeNCES,0)),0)</f>
        <v>0</v>
      </c>
      <c r="BF447">
        <f>IF(AN447=ReachLabel,AS447,0)</f>
        <v>0</v>
      </c>
      <c r="BG447">
        <f>IF(AN447=MatchLabel,AS447,0)</f>
        <v>0</v>
      </c>
      <c r="BH447">
        <f>IF(AN447=SafetyLabel,AS447,0)</f>
        <v>0</v>
      </c>
      <c r="BI447">
        <f>IF(AN447=SecureLabel,AS447,0)</f>
        <v>0</v>
      </c>
      <c r="BJ447">
        <f>IF(AN447=SureThingLabel,AS447,0)</f>
        <v>0</v>
      </c>
      <c r="BK447">
        <f>MAX(BF447:BJ447)</f>
        <v>0</v>
      </c>
      <c r="BL447">
        <f>MAX(BG447:BJ447)</f>
        <v>0</v>
      </c>
      <c r="BM447">
        <f>MAX(BH447:BJ447)</f>
        <v>0</v>
      </c>
      <c r="BN447">
        <f>IF(AND(AN447=ReachLabel,BB447=1),AS447,0)</f>
        <v>0</v>
      </c>
      <c r="BO447">
        <f>IF(AND(AN447=MatchLabel,BB447=1),AS447,0)</f>
        <v>0</v>
      </c>
      <c r="BP447">
        <f>IF(AND(AN447=SafetyLabel,BB447=1),AS447,0)</f>
        <v>0</v>
      </c>
      <c r="BQ447">
        <f>IF(AND(AN447=SecureLabel,BB447=1),AS447,0)</f>
        <v>0</v>
      </c>
      <c r="BR447">
        <f>IF(AND(AN447=SureThingLabel,BB447=1),AS447,0)</f>
        <v>0</v>
      </c>
      <c r="BS447">
        <f>MAX(BN447:BR447)</f>
        <v>0</v>
      </c>
      <c r="BT447">
        <f>MAX(BO447:BR447)</f>
        <v>0</v>
      </c>
      <c r="BU447">
        <f>MAX(BP447:BR447)</f>
        <v>0</v>
      </c>
      <c r="BV447">
        <f>IF(ISNUMBER(AB447),INDEX(AllCollegeChicago, MATCH(N447,AllCollegeNCES,0))*BB447,0)</f>
        <v>0</v>
      </c>
      <c r="BW447">
        <f>IF(ISNUMBER(AB447),INDEX(AllCollegeMoneyCode, MATCH(N447,AllCollegeNCES,0)),"?")</f>
        <v>0</v>
      </c>
      <c r="BX447">
        <f>IF(OR(BW447="---",BW447="--",BW447="+/--",BW447="+/---"),1,0)</f>
        <v>0</v>
      </c>
      <c r="BY447">
        <f>BB447*AR447*AT447</f>
        <v>0</v>
      </c>
    </row>
    <row r="448" spans="1:77">
      <c r="A448" t="s">
        <v>96</v>
      </c>
      <c r="B448">
        <v>23438312</v>
      </c>
      <c r="C448" t="s">
        <v>228</v>
      </c>
      <c r="D448" t="s">
        <v>229</v>
      </c>
      <c r="E448" t="s">
        <v>446</v>
      </c>
      <c r="F448" t="s">
        <v>470</v>
      </c>
      <c r="G448" t="s">
        <v>448</v>
      </c>
      <c r="H448" t="s">
        <v>449</v>
      </c>
      <c r="I448" t="s">
        <v>450</v>
      </c>
      <c r="J448" t="s">
        <v>450</v>
      </c>
      <c r="K448">
        <v>0</v>
      </c>
      <c r="L448" t="s">
        <v>446</v>
      </c>
      <c r="M448" t="s">
        <v>446</v>
      </c>
      <c r="N448">
        <v>240444</v>
      </c>
      <c r="O448">
        <f>INDEX(Counselor,MATCH(B448,KidIDs,0))</f>
        <v>0</v>
      </c>
      <c r="P448">
        <f>INDEX(Advisors,MATCH(B448,KidIDs,0))</f>
        <v>0</v>
      </c>
      <c r="Q448">
        <f>INDEX(Cohort,MATCH(B448,KidIDs,0))</f>
        <v>0</v>
      </c>
      <c r="R448">
        <f>INDEX(AllCollegeBarrons,MATCH(N448,AllCollegeNCES,0))</f>
        <v>0</v>
      </c>
      <c r="S448">
        <f>INDEX(KidGPAs,MATCH(B448,KidIDs,0))</f>
        <v>0</v>
      </c>
      <c r="T448">
        <f>INDEX(KidSATs,MATCH(B448,KidIDs,0))</f>
        <v>0</v>
      </c>
      <c r="U448">
        <f>INDEX(Strats,MATCH(B448,KidIDs,0))</f>
        <v>0</v>
      </c>
      <c r="V448">
        <f>INDEX(KidRace,MATCH(B448,KidIDs,0))</f>
        <v>0</v>
      </c>
      <c r="W448">
        <f>IF(OR(V448="M",V448="I"),"H",IF(V448="P","A",V448))</f>
        <v>0</v>
      </c>
      <c r="X448">
        <f>INDEX(StudentTargets,MATCH(B448,KidIDs,0))</f>
        <v>0</v>
      </c>
      <c r="Y448">
        <f>INDEX(ReachStudentTargets,MATCH(B448,KidIDs,0))</f>
        <v>0</v>
      </c>
      <c r="Z448">
        <f>IF(OR(M448="Posse"),1,0)</f>
        <v>0</v>
      </c>
      <c r="AA448">
        <f>IF(ISNUMBER(INDEX(AllCollegeGR, MATCH(N448,AllCollegeNCES,0))),ROUND(INDEX(AllCollegeGR, MATCH(N448,AllCollegeNCES,0))+Z448*IF(INDEX(AllCollegeGR, MATCH(N448,AllCollegeNCES,0))&gt;0.7,(1-INDEX(AllCollegeGR, MATCH(N448,AllCollegeNCES,0)))/2,0.15),2),INDEX(AllCollegeGR, MATCH(N448,AllCollegeNCES,0)))</f>
        <v>0</v>
      </c>
      <c r="AB448">
        <f>IF(ISNUMBER(INDEX(AllCollegeAAHGR, MATCH(N448,AllCollegeNCES,0))),ROUND(INDEX(AllCollegeAAHGR, MATCH(N448,AllCollegeNCES,0))+Z448*IF(INDEX(AllCollegeAAHGR, MATCH(N448,AllCollegeNCES,0))&gt;0.7,(1-INDEX(AllCollegeAAHGR, MATCH(N448,AllCollegeNCES,0)))/2,0.15),2),INDEX(AllCollegeAAHGR, MATCH(N448,AllCollegeNCES,0)))</f>
        <v>0</v>
      </c>
      <c r="AC448">
        <f>IF(OR(W448="H",W448="B"),INDEX(AllCollegeSAT25, MATCH(N448,AllCollegeNCES,0)),INDEX(AllCollegeSAT50, MATCH(N448,AllCollegeNCES,0)))</f>
        <v>0</v>
      </c>
      <c r="AD448">
        <f>INDEX(CustomWeightsGPA,MATCH(W448&amp;":"&amp;N448,CustomWeightsIndex,0))</f>
        <v>0</v>
      </c>
      <c r="AE448">
        <f>INDEX(CustomWeightsSAT,MATCH(W448&amp;":"&amp;N448,CustomWeightsIndex,0))</f>
        <v>0</v>
      </c>
      <c r="AF448">
        <f>INDEX(CustomWeightsIntercept,MATCH(W448&amp;":"&amp;N448,CustomWeightsIndex,0))</f>
        <v>0</v>
      </c>
      <c r="AG448">
        <f>AD448*S448+AE448*T448+AF448</f>
        <v>0</v>
      </c>
      <c r="AH448">
        <f>INDEX(CoefficientsGPA,MATCH(W448&amp;":"&amp;R448,CoefficientsIndex,0))</f>
        <v>0</v>
      </c>
      <c r="AI448">
        <f>INDEX(CoefficientsSAT,MATCH(W448&amp;":"&amp;R448,CoefficientsIndex,0))</f>
        <v>0</v>
      </c>
      <c r="AJ448">
        <f>INDEX(CoefficientsIntercept,MATCH(W448&amp;":"&amp;R448,CoefficientsIndex,0))</f>
        <v>0</v>
      </c>
      <c r="AK448">
        <f>AH448*S448+(T448-AC448)*AI448+AJ448</f>
        <v>0</v>
      </c>
      <c r="AL448">
        <f>IF(ISNUMBER(AG448),AG448,AK448)</f>
        <v>0</v>
      </c>
      <c r="AM448">
        <f>IF(ISNUMBER(AL448),IF(ISNUMBER(AH448),IF(AND(AH448=1,AI448=1,AJ448=1),100,MIN(99,ROUND(100*EXP(AL448)/(1+EXP(AL448)),2))),MIN(99,ROUND(100*EXP(AL448)/(1+EXP(AL448)),2))),IF(ISTEXT(R448),IF(LEFT(R448,1)="2",100,"N/A"),"N/A"))</f>
        <v>0</v>
      </c>
      <c r="AN448">
        <f>IF(ISNUMBER(AM448),IF(AM448&gt;=99,IF(OR(U448=10,U448=11),MatchLabel,SureThingLabel),IF(AM448&gt;=95,SecureLabel,IF(AM448&gt;=80,SafetyLabel,IF(AM448&gt;=50,MatchLabel,IF(AM448&gt;=20,ReachLabel,IF(AM448&gt;=10,LongshotLabel,HailMaryLabel)))))),"Other")</f>
        <v>0</v>
      </c>
      <c r="AO448">
        <f>IF(OR(I448="accepted",I448="cond. accept",I448="summer admit"),IF(J448="yes","CHOICE!","Accepted!"),IF(I448="guar. transfer","Guar. Xfer",IF(I448="denied","Denied",IF(K448=1,"Waitlist",IF(L448=1,"Deferred",IF(G448="pending","Pending",IF(OR(G448="initial materials submitted",G448="mid-year submitted",G448="final submitted"),"Submitted",IF(H448="interest","Interest","?"))))))))</f>
        <v>0</v>
      </c>
      <c r="AP448">
        <f>IF(OR(AN448=ReachLabel,AN448=LongshotLabel,AN448=HailMaryLabel),1,0)</f>
        <v>0</v>
      </c>
      <c r="AQ448">
        <f>IF(OR(AP448=1,AN448=MatchLabel),1,0)</f>
        <v>0</v>
      </c>
      <c r="AR448">
        <f>IF(OR(AN448=MatchLabel,AN448=SafetyLabel,AN448=SecureLabel,AN448=SureThingLabel),1,0)</f>
        <v>0</v>
      </c>
      <c r="AS448">
        <f>IF(OR(W448="H",W448="B",W448="I",W448="M"),IF(ISNUMBER(AB448),ROUND(AB448,2),0),IF(ISNUMBER(AA448),ROUND(AA448,2),0))</f>
        <v>0</v>
      </c>
      <c r="AT448">
        <f>IF(AS448&gt;=X448,1,0)</f>
        <v>0</v>
      </c>
      <c r="AU448">
        <f>IF(AS448&gt;=Y448,1,0)</f>
        <v>0</v>
      </c>
      <c r="AV448">
        <f>IF(AS448&lt;(X448-0.10),1,0)</f>
        <v>0</v>
      </c>
      <c r="AW448">
        <f>1-AM448/100</f>
        <v>0</v>
      </c>
      <c r="AX448">
        <f>IF(AQ448=1,AW448,1)</f>
        <v>0</v>
      </c>
      <c r="AY448">
        <f>IF(AP448=1,AW448,1)</f>
        <v>0</v>
      </c>
      <c r="AZ448">
        <f>IF(AND(AT448=1,ISNUMBER(AW448)),$AW448,1)</f>
        <v>0</v>
      </c>
      <c r="BA448">
        <f>IF(AND(AU448=1,ISNUMBER(AW448)),$AW448,1)</f>
        <v>0</v>
      </c>
      <c r="BB448">
        <f>IF(ISNUMBER(AB448),INDEX(AllCollegeMoney, MATCH(N448,AllCollegeNCES,0)),0)</f>
        <v>0</v>
      </c>
      <c r="BC448">
        <f>IF(AND(AT448=1,ISNUMBER(AW448),BB448=1),$AW448,1)</f>
        <v>0</v>
      </c>
      <c r="BD448">
        <f>IF(AND(AU448=1,ISNUMBER(AW448),BB448=1),$AW448,1)</f>
        <v>0</v>
      </c>
      <c r="BE448">
        <f>IF(ISNUMBER(AB448),INDEX(AllCollegeILPub, MATCH(N448,AllCollegeNCES,0)),0)</f>
        <v>0</v>
      </c>
      <c r="BF448">
        <f>IF(AN448=ReachLabel,AS448,0)</f>
        <v>0</v>
      </c>
      <c r="BG448">
        <f>IF(AN448=MatchLabel,AS448,0)</f>
        <v>0</v>
      </c>
      <c r="BH448">
        <f>IF(AN448=SafetyLabel,AS448,0)</f>
        <v>0</v>
      </c>
      <c r="BI448">
        <f>IF(AN448=SecureLabel,AS448,0)</f>
        <v>0</v>
      </c>
      <c r="BJ448">
        <f>IF(AN448=SureThingLabel,AS448,0)</f>
        <v>0</v>
      </c>
      <c r="BK448">
        <f>MAX(BF448:BJ448)</f>
        <v>0</v>
      </c>
      <c r="BL448">
        <f>MAX(BG448:BJ448)</f>
        <v>0</v>
      </c>
      <c r="BM448">
        <f>MAX(BH448:BJ448)</f>
        <v>0</v>
      </c>
      <c r="BN448">
        <f>IF(AND(AN448=ReachLabel,BB448=1),AS448,0)</f>
        <v>0</v>
      </c>
      <c r="BO448">
        <f>IF(AND(AN448=MatchLabel,BB448=1),AS448,0)</f>
        <v>0</v>
      </c>
      <c r="BP448">
        <f>IF(AND(AN448=SafetyLabel,BB448=1),AS448,0)</f>
        <v>0</v>
      </c>
      <c r="BQ448">
        <f>IF(AND(AN448=SecureLabel,BB448=1),AS448,0)</f>
        <v>0</v>
      </c>
      <c r="BR448">
        <f>IF(AND(AN448=SureThingLabel,BB448=1),AS448,0)</f>
        <v>0</v>
      </c>
      <c r="BS448">
        <f>MAX(BN448:BR448)</f>
        <v>0</v>
      </c>
      <c r="BT448">
        <f>MAX(BO448:BR448)</f>
        <v>0</v>
      </c>
      <c r="BU448">
        <f>MAX(BP448:BR448)</f>
        <v>0</v>
      </c>
      <c r="BV448">
        <f>IF(ISNUMBER(AB448),INDEX(AllCollegeChicago, MATCH(N448,AllCollegeNCES,0))*BB448,0)</f>
        <v>0</v>
      </c>
      <c r="BW448">
        <f>IF(ISNUMBER(AB448),INDEX(AllCollegeMoneyCode, MATCH(N448,AllCollegeNCES,0)),"?")</f>
        <v>0</v>
      </c>
      <c r="BX448">
        <f>IF(OR(BW448="---",BW448="--",BW448="+/--",BW448="+/---"),1,0)</f>
        <v>0</v>
      </c>
      <c r="BY448">
        <f>BB448*AR448*AT448</f>
        <v>0</v>
      </c>
    </row>
    <row r="449" spans="1:77">
      <c r="A449" t="s">
        <v>96</v>
      </c>
      <c r="B449">
        <v>23438312</v>
      </c>
      <c r="C449" t="s">
        <v>228</v>
      </c>
      <c r="D449" t="s">
        <v>229</v>
      </c>
      <c r="E449" t="s">
        <v>446</v>
      </c>
      <c r="F449" t="s">
        <v>471</v>
      </c>
      <c r="G449" t="s">
        <v>479</v>
      </c>
      <c r="H449" t="s">
        <v>449</v>
      </c>
      <c r="I449" t="s">
        <v>450</v>
      </c>
      <c r="J449" t="s">
        <v>450</v>
      </c>
      <c r="K449">
        <v>0</v>
      </c>
      <c r="L449" t="s">
        <v>446</v>
      </c>
      <c r="M449" t="s">
        <v>446</v>
      </c>
      <c r="N449">
        <v>202523</v>
      </c>
      <c r="O449">
        <f>INDEX(Counselor,MATCH(B449,KidIDs,0))</f>
        <v>0</v>
      </c>
      <c r="P449">
        <f>INDEX(Advisors,MATCH(B449,KidIDs,0))</f>
        <v>0</v>
      </c>
      <c r="Q449">
        <f>INDEX(Cohort,MATCH(B449,KidIDs,0))</f>
        <v>0</v>
      </c>
      <c r="R449">
        <f>INDEX(AllCollegeBarrons,MATCH(N449,AllCollegeNCES,0))</f>
        <v>0</v>
      </c>
      <c r="S449">
        <f>INDEX(KidGPAs,MATCH(B449,KidIDs,0))</f>
        <v>0</v>
      </c>
      <c r="T449">
        <f>INDEX(KidSATs,MATCH(B449,KidIDs,0))</f>
        <v>0</v>
      </c>
      <c r="U449">
        <f>INDEX(Strats,MATCH(B449,KidIDs,0))</f>
        <v>0</v>
      </c>
      <c r="V449">
        <f>INDEX(KidRace,MATCH(B449,KidIDs,0))</f>
        <v>0</v>
      </c>
      <c r="W449">
        <f>IF(OR(V449="M",V449="I"),"H",IF(V449="P","A",V449))</f>
        <v>0</v>
      </c>
      <c r="X449">
        <f>INDEX(StudentTargets,MATCH(B449,KidIDs,0))</f>
        <v>0</v>
      </c>
      <c r="Y449">
        <f>INDEX(ReachStudentTargets,MATCH(B449,KidIDs,0))</f>
        <v>0</v>
      </c>
      <c r="Z449">
        <f>IF(OR(M449="Posse"),1,0)</f>
        <v>0</v>
      </c>
      <c r="AA449">
        <f>IF(ISNUMBER(INDEX(AllCollegeGR, MATCH(N449,AllCollegeNCES,0))),ROUND(INDEX(AllCollegeGR, MATCH(N449,AllCollegeNCES,0))+Z449*IF(INDEX(AllCollegeGR, MATCH(N449,AllCollegeNCES,0))&gt;0.7,(1-INDEX(AllCollegeGR, MATCH(N449,AllCollegeNCES,0)))/2,0.15),2),INDEX(AllCollegeGR, MATCH(N449,AllCollegeNCES,0)))</f>
        <v>0</v>
      </c>
      <c r="AB449">
        <f>IF(ISNUMBER(INDEX(AllCollegeAAHGR, MATCH(N449,AllCollegeNCES,0))),ROUND(INDEX(AllCollegeAAHGR, MATCH(N449,AllCollegeNCES,0))+Z449*IF(INDEX(AllCollegeAAHGR, MATCH(N449,AllCollegeNCES,0))&gt;0.7,(1-INDEX(AllCollegeAAHGR, MATCH(N449,AllCollegeNCES,0)))/2,0.15),2),INDEX(AllCollegeAAHGR, MATCH(N449,AllCollegeNCES,0)))</f>
        <v>0</v>
      </c>
      <c r="AC449">
        <f>IF(OR(W449="H",W449="B"),INDEX(AllCollegeSAT25, MATCH(N449,AllCollegeNCES,0)),INDEX(AllCollegeSAT50, MATCH(N449,AllCollegeNCES,0)))</f>
        <v>0</v>
      </c>
      <c r="AD449">
        <f>INDEX(CustomWeightsGPA,MATCH(W449&amp;":"&amp;N449,CustomWeightsIndex,0))</f>
        <v>0</v>
      </c>
      <c r="AE449">
        <f>INDEX(CustomWeightsSAT,MATCH(W449&amp;":"&amp;N449,CustomWeightsIndex,0))</f>
        <v>0</v>
      </c>
      <c r="AF449">
        <f>INDEX(CustomWeightsIntercept,MATCH(W449&amp;":"&amp;N449,CustomWeightsIndex,0))</f>
        <v>0</v>
      </c>
      <c r="AG449">
        <f>AD449*S449+AE449*T449+AF449</f>
        <v>0</v>
      </c>
      <c r="AH449">
        <f>INDEX(CoefficientsGPA,MATCH(W449&amp;":"&amp;R449,CoefficientsIndex,0))</f>
        <v>0</v>
      </c>
      <c r="AI449">
        <f>INDEX(CoefficientsSAT,MATCH(W449&amp;":"&amp;R449,CoefficientsIndex,0))</f>
        <v>0</v>
      </c>
      <c r="AJ449">
        <f>INDEX(CoefficientsIntercept,MATCH(W449&amp;":"&amp;R449,CoefficientsIndex,0))</f>
        <v>0</v>
      </c>
      <c r="AK449">
        <f>AH449*S449+(T449-AC449)*AI449+AJ449</f>
        <v>0</v>
      </c>
      <c r="AL449">
        <f>IF(ISNUMBER(AG449),AG449,AK449)</f>
        <v>0</v>
      </c>
      <c r="AM449">
        <f>IF(ISNUMBER(AL449),IF(ISNUMBER(AH449),IF(AND(AH449=1,AI449=1,AJ449=1),100,MIN(99,ROUND(100*EXP(AL449)/(1+EXP(AL449)),2))),MIN(99,ROUND(100*EXP(AL449)/(1+EXP(AL449)),2))),IF(ISTEXT(R449),IF(LEFT(R449,1)="2",100,"N/A"),"N/A"))</f>
        <v>0</v>
      </c>
      <c r="AN449">
        <f>IF(ISNUMBER(AM449),IF(AM449&gt;=99,IF(OR(U449=10,U449=11),MatchLabel,SureThingLabel),IF(AM449&gt;=95,SecureLabel,IF(AM449&gt;=80,SafetyLabel,IF(AM449&gt;=50,MatchLabel,IF(AM449&gt;=20,ReachLabel,IF(AM449&gt;=10,LongshotLabel,HailMaryLabel)))))),"Other")</f>
        <v>0</v>
      </c>
      <c r="AO449">
        <f>IF(OR(I449="accepted",I449="cond. accept",I449="summer admit"),IF(J449="yes","CHOICE!","Accepted!"),IF(I449="guar. transfer","Guar. Xfer",IF(I449="denied","Denied",IF(K449=1,"Waitlist",IF(L449=1,"Deferred",IF(G449="pending","Pending",IF(OR(G449="initial materials submitted",G449="mid-year submitted",G449="final submitted"),"Submitted",IF(H449="interest","Interest","?"))))))))</f>
        <v>0</v>
      </c>
      <c r="AP449">
        <f>IF(OR(AN449=ReachLabel,AN449=LongshotLabel,AN449=HailMaryLabel),1,0)</f>
        <v>0</v>
      </c>
      <c r="AQ449">
        <f>IF(OR(AP449=1,AN449=MatchLabel),1,0)</f>
        <v>0</v>
      </c>
      <c r="AR449">
        <f>IF(OR(AN449=MatchLabel,AN449=SafetyLabel,AN449=SecureLabel,AN449=SureThingLabel),1,0)</f>
        <v>0</v>
      </c>
      <c r="AS449">
        <f>IF(OR(W449="H",W449="B",W449="I",W449="M"),IF(ISNUMBER(AB449),ROUND(AB449,2),0),IF(ISNUMBER(AA449),ROUND(AA449,2),0))</f>
        <v>0</v>
      </c>
      <c r="AT449">
        <f>IF(AS449&gt;=X449,1,0)</f>
        <v>0</v>
      </c>
      <c r="AU449">
        <f>IF(AS449&gt;=Y449,1,0)</f>
        <v>0</v>
      </c>
      <c r="AV449">
        <f>IF(AS449&lt;(X449-0.10),1,0)</f>
        <v>0</v>
      </c>
      <c r="AW449">
        <f>1-AM449/100</f>
        <v>0</v>
      </c>
      <c r="AX449">
        <f>IF(AQ449=1,AW449,1)</f>
        <v>0</v>
      </c>
      <c r="AY449">
        <f>IF(AP449=1,AW449,1)</f>
        <v>0</v>
      </c>
      <c r="AZ449">
        <f>IF(AND(AT449=1,ISNUMBER(AW449)),$AW449,1)</f>
        <v>0</v>
      </c>
      <c r="BA449">
        <f>IF(AND(AU449=1,ISNUMBER(AW449)),$AW449,1)</f>
        <v>0</v>
      </c>
      <c r="BB449">
        <f>IF(ISNUMBER(AB449),INDEX(AllCollegeMoney, MATCH(N449,AllCollegeNCES,0)),0)</f>
        <v>0</v>
      </c>
      <c r="BC449">
        <f>IF(AND(AT449=1,ISNUMBER(AW449),BB449=1),$AW449,1)</f>
        <v>0</v>
      </c>
      <c r="BD449">
        <f>IF(AND(AU449=1,ISNUMBER(AW449),BB449=1),$AW449,1)</f>
        <v>0</v>
      </c>
      <c r="BE449">
        <f>IF(ISNUMBER(AB449),INDEX(AllCollegeILPub, MATCH(N449,AllCollegeNCES,0)),0)</f>
        <v>0</v>
      </c>
      <c r="BF449">
        <f>IF(AN449=ReachLabel,AS449,0)</f>
        <v>0</v>
      </c>
      <c r="BG449">
        <f>IF(AN449=MatchLabel,AS449,0)</f>
        <v>0</v>
      </c>
      <c r="BH449">
        <f>IF(AN449=SafetyLabel,AS449,0)</f>
        <v>0</v>
      </c>
      <c r="BI449">
        <f>IF(AN449=SecureLabel,AS449,0)</f>
        <v>0</v>
      </c>
      <c r="BJ449">
        <f>IF(AN449=SureThingLabel,AS449,0)</f>
        <v>0</v>
      </c>
      <c r="BK449">
        <f>MAX(BF449:BJ449)</f>
        <v>0</v>
      </c>
      <c r="BL449">
        <f>MAX(BG449:BJ449)</f>
        <v>0</v>
      </c>
      <c r="BM449">
        <f>MAX(BH449:BJ449)</f>
        <v>0</v>
      </c>
      <c r="BN449">
        <f>IF(AND(AN449=ReachLabel,BB449=1),AS449,0)</f>
        <v>0</v>
      </c>
      <c r="BO449">
        <f>IF(AND(AN449=MatchLabel,BB449=1),AS449,0)</f>
        <v>0</v>
      </c>
      <c r="BP449">
        <f>IF(AND(AN449=SafetyLabel,BB449=1),AS449,0)</f>
        <v>0</v>
      </c>
      <c r="BQ449">
        <f>IF(AND(AN449=SecureLabel,BB449=1),AS449,0)</f>
        <v>0</v>
      </c>
      <c r="BR449">
        <f>IF(AND(AN449=SureThingLabel,BB449=1),AS449,0)</f>
        <v>0</v>
      </c>
      <c r="BS449">
        <f>MAX(BN449:BR449)</f>
        <v>0</v>
      </c>
      <c r="BT449">
        <f>MAX(BO449:BR449)</f>
        <v>0</v>
      </c>
      <c r="BU449">
        <f>MAX(BP449:BR449)</f>
        <v>0</v>
      </c>
      <c r="BV449">
        <f>IF(ISNUMBER(AB449),INDEX(AllCollegeChicago, MATCH(N449,AllCollegeNCES,0))*BB449,0)</f>
        <v>0</v>
      </c>
      <c r="BW449">
        <f>IF(ISNUMBER(AB449),INDEX(AllCollegeMoneyCode, MATCH(N449,AllCollegeNCES,0)),"?")</f>
        <v>0</v>
      </c>
      <c r="BX449">
        <f>IF(OR(BW449="---",BW449="--",BW449="+/--",BW449="+/---"),1,0)</f>
        <v>0</v>
      </c>
      <c r="BY449">
        <f>BB449*AR449*AT449</f>
        <v>0</v>
      </c>
    </row>
    <row r="450" spans="1:77">
      <c r="A450" t="s">
        <v>96</v>
      </c>
      <c r="B450">
        <v>23438312</v>
      </c>
      <c r="C450" t="s">
        <v>228</v>
      </c>
      <c r="D450" t="s">
        <v>229</v>
      </c>
      <c r="E450" t="s">
        <v>446</v>
      </c>
      <c r="F450" t="s">
        <v>486</v>
      </c>
      <c r="G450" t="s">
        <v>448</v>
      </c>
      <c r="H450" t="s">
        <v>449</v>
      </c>
      <c r="I450" t="s">
        <v>450</v>
      </c>
      <c r="J450" t="s">
        <v>450</v>
      </c>
      <c r="K450">
        <v>0</v>
      </c>
      <c r="L450" t="s">
        <v>446</v>
      </c>
      <c r="M450" t="s">
        <v>446</v>
      </c>
      <c r="N450">
        <v>206589</v>
      </c>
      <c r="O450">
        <f>INDEX(Counselor,MATCH(B450,KidIDs,0))</f>
        <v>0</v>
      </c>
      <c r="P450">
        <f>INDEX(Advisors,MATCH(B450,KidIDs,0))</f>
        <v>0</v>
      </c>
      <c r="Q450">
        <f>INDEX(Cohort,MATCH(B450,KidIDs,0))</f>
        <v>0</v>
      </c>
      <c r="R450">
        <f>INDEX(AllCollegeBarrons,MATCH(N450,AllCollegeNCES,0))</f>
        <v>0</v>
      </c>
      <c r="S450">
        <f>INDEX(KidGPAs,MATCH(B450,KidIDs,0))</f>
        <v>0</v>
      </c>
      <c r="T450">
        <f>INDEX(KidSATs,MATCH(B450,KidIDs,0))</f>
        <v>0</v>
      </c>
      <c r="U450">
        <f>INDEX(Strats,MATCH(B450,KidIDs,0))</f>
        <v>0</v>
      </c>
      <c r="V450">
        <f>INDEX(KidRace,MATCH(B450,KidIDs,0))</f>
        <v>0</v>
      </c>
      <c r="W450">
        <f>IF(OR(V450="M",V450="I"),"H",IF(V450="P","A",V450))</f>
        <v>0</v>
      </c>
      <c r="X450">
        <f>INDEX(StudentTargets,MATCH(B450,KidIDs,0))</f>
        <v>0</v>
      </c>
      <c r="Y450">
        <f>INDEX(ReachStudentTargets,MATCH(B450,KidIDs,0))</f>
        <v>0</v>
      </c>
      <c r="Z450">
        <f>IF(OR(M450="Posse"),1,0)</f>
        <v>0</v>
      </c>
      <c r="AA450">
        <f>IF(ISNUMBER(INDEX(AllCollegeGR, MATCH(N450,AllCollegeNCES,0))),ROUND(INDEX(AllCollegeGR, MATCH(N450,AllCollegeNCES,0))+Z450*IF(INDEX(AllCollegeGR, MATCH(N450,AllCollegeNCES,0))&gt;0.7,(1-INDEX(AllCollegeGR, MATCH(N450,AllCollegeNCES,0)))/2,0.15),2),INDEX(AllCollegeGR, MATCH(N450,AllCollegeNCES,0)))</f>
        <v>0</v>
      </c>
      <c r="AB450">
        <f>IF(ISNUMBER(INDEX(AllCollegeAAHGR, MATCH(N450,AllCollegeNCES,0))),ROUND(INDEX(AllCollegeAAHGR, MATCH(N450,AllCollegeNCES,0))+Z450*IF(INDEX(AllCollegeAAHGR, MATCH(N450,AllCollegeNCES,0))&gt;0.7,(1-INDEX(AllCollegeAAHGR, MATCH(N450,AllCollegeNCES,0)))/2,0.15),2),INDEX(AllCollegeAAHGR, MATCH(N450,AllCollegeNCES,0)))</f>
        <v>0</v>
      </c>
      <c r="AC450">
        <f>IF(OR(W450="H",W450="B"),INDEX(AllCollegeSAT25, MATCH(N450,AllCollegeNCES,0)),INDEX(AllCollegeSAT50, MATCH(N450,AllCollegeNCES,0)))</f>
        <v>0</v>
      </c>
      <c r="AD450">
        <f>INDEX(CustomWeightsGPA,MATCH(W450&amp;":"&amp;N450,CustomWeightsIndex,0))</f>
        <v>0</v>
      </c>
      <c r="AE450">
        <f>INDEX(CustomWeightsSAT,MATCH(W450&amp;":"&amp;N450,CustomWeightsIndex,0))</f>
        <v>0</v>
      </c>
      <c r="AF450">
        <f>INDEX(CustomWeightsIntercept,MATCH(W450&amp;":"&amp;N450,CustomWeightsIndex,0))</f>
        <v>0</v>
      </c>
      <c r="AG450">
        <f>AD450*S450+AE450*T450+AF450</f>
        <v>0</v>
      </c>
      <c r="AH450">
        <f>INDEX(CoefficientsGPA,MATCH(W450&amp;":"&amp;R450,CoefficientsIndex,0))</f>
        <v>0</v>
      </c>
      <c r="AI450">
        <f>INDEX(CoefficientsSAT,MATCH(W450&amp;":"&amp;R450,CoefficientsIndex,0))</f>
        <v>0</v>
      </c>
      <c r="AJ450">
        <f>INDEX(CoefficientsIntercept,MATCH(W450&amp;":"&amp;R450,CoefficientsIndex,0))</f>
        <v>0</v>
      </c>
      <c r="AK450">
        <f>AH450*S450+(T450-AC450)*AI450+AJ450</f>
        <v>0</v>
      </c>
      <c r="AL450">
        <f>IF(ISNUMBER(AG450),AG450,AK450)</f>
        <v>0</v>
      </c>
      <c r="AM450">
        <f>IF(ISNUMBER(AL450),IF(ISNUMBER(AH450),IF(AND(AH450=1,AI450=1,AJ450=1),100,MIN(99,ROUND(100*EXP(AL450)/(1+EXP(AL450)),2))),MIN(99,ROUND(100*EXP(AL450)/(1+EXP(AL450)),2))),IF(ISTEXT(R450),IF(LEFT(R450,1)="2",100,"N/A"),"N/A"))</f>
        <v>0</v>
      </c>
      <c r="AN450">
        <f>IF(ISNUMBER(AM450),IF(AM450&gt;=99,IF(OR(U450=10,U450=11),MatchLabel,SureThingLabel),IF(AM450&gt;=95,SecureLabel,IF(AM450&gt;=80,SafetyLabel,IF(AM450&gt;=50,MatchLabel,IF(AM450&gt;=20,ReachLabel,IF(AM450&gt;=10,LongshotLabel,HailMaryLabel)))))),"Other")</f>
        <v>0</v>
      </c>
      <c r="AO450">
        <f>IF(OR(I450="accepted",I450="cond. accept",I450="summer admit"),IF(J450="yes","CHOICE!","Accepted!"),IF(I450="guar. transfer","Guar. Xfer",IF(I450="denied","Denied",IF(K450=1,"Waitlist",IF(L450=1,"Deferred",IF(G450="pending","Pending",IF(OR(G450="initial materials submitted",G450="mid-year submitted",G450="final submitted"),"Submitted",IF(H450="interest","Interest","?"))))))))</f>
        <v>0</v>
      </c>
      <c r="AP450">
        <f>IF(OR(AN450=ReachLabel,AN450=LongshotLabel,AN450=HailMaryLabel),1,0)</f>
        <v>0</v>
      </c>
      <c r="AQ450">
        <f>IF(OR(AP450=1,AN450=MatchLabel),1,0)</f>
        <v>0</v>
      </c>
      <c r="AR450">
        <f>IF(OR(AN450=MatchLabel,AN450=SafetyLabel,AN450=SecureLabel,AN450=SureThingLabel),1,0)</f>
        <v>0</v>
      </c>
      <c r="AS450">
        <f>IF(OR(W450="H",W450="B",W450="I",W450="M"),IF(ISNUMBER(AB450),ROUND(AB450,2),0),IF(ISNUMBER(AA450),ROUND(AA450,2),0))</f>
        <v>0</v>
      </c>
      <c r="AT450">
        <f>IF(AS450&gt;=X450,1,0)</f>
        <v>0</v>
      </c>
      <c r="AU450">
        <f>IF(AS450&gt;=Y450,1,0)</f>
        <v>0</v>
      </c>
      <c r="AV450">
        <f>IF(AS450&lt;(X450-0.10),1,0)</f>
        <v>0</v>
      </c>
      <c r="AW450">
        <f>1-AM450/100</f>
        <v>0</v>
      </c>
      <c r="AX450">
        <f>IF(AQ450=1,AW450,1)</f>
        <v>0</v>
      </c>
      <c r="AY450">
        <f>IF(AP450=1,AW450,1)</f>
        <v>0</v>
      </c>
      <c r="AZ450">
        <f>IF(AND(AT450=1,ISNUMBER(AW450)),$AW450,1)</f>
        <v>0</v>
      </c>
      <c r="BA450">
        <f>IF(AND(AU450=1,ISNUMBER(AW450)),$AW450,1)</f>
        <v>0</v>
      </c>
      <c r="BB450">
        <f>IF(ISNUMBER(AB450),INDEX(AllCollegeMoney, MATCH(N450,AllCollegeNCES,0)),0)</f>
        <v>0</v>
      </c>
      <c r="BC450">
        <f>IF(AND(AT450=1,ISNUMBER(AW450),BB450=1),$AW450,1)</f>
        <v>0</v>
      </c>
      <c r="BD450">
        <f>IF(AND(AU450=1,ISNUMBER(AW450),BB450=1),$AW450,1)</f>
        <v>0</v>
      </c>
      <c r="BE450">
        <f>IF(ISNUMBER(AB450),INDEX(AllCollegeILPub, MATCH(N450,AllCollegeNCES,0)),0)</f>
        <v>0</v>
      </c>
      <c r="BF450">
        <f>IF(AN450=ReachLabel,AS450,0)</f>
        <v>0</v>
      </c>
      <c r="BG450">
        <f>IF(AN450=MatchLabel,AS450,0)</f>
        <v>0</v>
      </c>
      <c r="BH450">
        <f>IF(AN450=SafetyLabel,AS450,0)</f>
        <v>0</v>
      </c>
      <c r="BI450">
        <f>IF(AN450=SecureLabel,AS450,0)</f>
        <v>0</v>
      </c>
      <c r="BJ450">
        <f>IF(AN450=SureThingLabel,AS450,0)</f>
        <v>0</v>
      </c>
      <c r="BK450">
        <f>MAX(BF450:BJ450)</f>
        <v>0</v>
      </c>
      <c r="BL450">
        <f>MAX(BG450:BJ450)</f>
        <v>0</v>
      </c>
      <c r="BM450">
        <f>MAX(BH450:BJ450)</f>
        <v>0</v>
      </c>
      <c r="BN450">
        <f>IF(AND(AN450=ReachLabel,BB450=1),AS450,0)</f>
        <v>0</v>
      </c>
      <c r="BO450">
        <f>IF(AND(AN450=MatchLabel,BB450=1),AS450,0)</f>
        <v>0</v>
      </c>
      <c r="BP450">
        <f>IF(AND(AN450=SafetyLabel,BB450=1),AS450,0)</f>
        <v>0</v>
      </c>
      <c r="BQ450">
        <f>IF(AND(AN450=SecureLabel,BB450=1),AS450,0)</f>
        <v>0</v>
      </c>
      <c r="BR450">
        <f>IF(AND(AN450=SureThingLabel,BB450=1),AS450,0)</f>
        <v>0</v>
      </c>
      <c r="BS450">
        <f>MAX(BN450:BR450)</f>
        <v>0</v>
      </c>
      <c r="BT450">
        <f>MAX(BO450:BR450)</f>
        <v>0</v>
      </c>
      <c r="BU450">
        <f>MAX(BP450:BR450)</f>
        <v>0</v>
      </c>
      <c r="BV450">
        <f>IF(ISNUMBER(AB450),INDEX(AllCollegeChicago, MATCH(N450,AllCollegeNCES,0))*BB450,0)</f>
        <v>0</v>
      </c>
      <c r="BW450">
        <f>IF(ISNUMBER(AB450),INDEX(AllCollegeMoneyCode, MATCH(N450,AllCollegeNCES,0)),"?")</f>
        <v>0</v>
      </c>
      <c r="BX450">
        <f>IF(OR(BW450="---",BW450="--",BW450="+/--",BW450="+/---"),1,0)</f>
        <v>0</v>
      </c>
      <c r="BY450">
        <f>BB450*AR450*AT450</f>
        <v>0</v>
      </c>
    </row>
    <row r="451" spans="1:77">
      <c r="A451" t="s">
        <v>96</v>
      </c>
      <c r="B451">
        <v>23438312</v>
      </c>
      <c r="C451" t="s">
        <v>228</v>
      </c>
      <c r="D451" t="s">
        <v>229</v>
      </c>
      <c r="E451" t="s">
        <v>446</v>
      </c>
      <c r="F451" t="s">
        <v>473</v>
      </c>
      <c r="G451" t="s">
        <v>479</v>
      </c>
      <c r="H451" t="s">
        <v>449</v>
      </c>
      <c r="I451" t="s">
        <v>450</v>
      </c>
      <c r="J451" t="s">
        <v>450</v>
      </c>
      <c r="K451">
        <v>0</v>
      </c>
      <c r="L451" t="s">
        <v>446</v>
      </c>
      <c r="M451" t="s">
        <v>446</v>
      </c>
      <c r="N451">
        <v>221519</v>
      </c>
      <c r="O451">
        <f>INDEX(Counselor,MATCH(B451,KidIDs,0))</f>
        <v>0</v>
      </c>
      <c r="P451">
        <f>INDEX(Advisors,MATCH(B451,KidIDs,0))</f>
        <v>0</v>
      </c>
      <c r="Q451">
        <f>INDEX(Cohort,MATCH(B451,KidIDs,0))</f>
        <v>0</v>
      </c>
      <c r="R451">
        <f>INDEX(AllCollegeBarrons,MATCH(N451,AllCollegeNCES,0))</f>
        <v>0</v>
      </c>
      <c r="S451">
        <f>INDEX(KidGPAs,MATCH(B451,KidIDs,0))</f>
        <v>0</v>
      </c>
      <c r="T451">
        <f>INDEX(KidSATs,MATCH(B451,KidIDs,0))</f>
        <v>0</v>
      </c>
      <c r="U451">
        <f>INDEX(Strats,MATCH(B451,KidIDs,0))</f>
        <v>0</v>
      </c>
      <c r="V451">
        <f>INDEX(KidRace,MATCH(B451,KidIDs,0))</f>
        <v>0</v>
      </c>
      <c r="W451">
        <f>IF(OR(V451="M",V451="I"),"H",IF(V451="P","A",V451))</f>
        <v>0</v>
      </c>
      <c r="X451">
        <f>INDEX(StudentTargets,MATCH(B451,KidIDs,0))</f>
        <v>0</v>
      </c>
      <c r="Y451">
        <f>INDEX(ReachStudentTargets,MATCH(B451,KidIDs,0))</f>
        <v>0</v>
      </c>
      <c r="Z451">
        <f>IF(OR(M451="Posse"),1,0)</f>
        <v>0</v>
      </c>
      <c r="AA451">
        <f>IF(ISNUMBER(INDEX(AllCollegeGR, MATCH(N451,AllCollegeNCES,0))),ROUND(INDEX(AllCollegeGR, MATCH(N451,AllCollegeNCES,0))+Z451*IF(INDEX(AllCollegeGR, MATCH(N451,AllCollegeNCES,0))&gt;0.7,(1-INDEX(AllCollegeGR, MATCH(N451,AllCollegeNCES,0)))/2,0.15),2),INDEX(AllCollegeGR, MATCH(N451,AllCollegeNCES,0)))</f>
        <v>0</v>
      </c>
      <c r="AB451">
        <f>IF(ISNUMBER(INDEX(AllCollegeAAHGR, MATCH(N451,AllCollegeNCES,0))),ROUND(INDEX(AllCollegeAAHGR, MATCH(N451,AllCollegeNCES,0))+Z451*IF(INDEX(AllCollegeAAHGR, MATCH(N451,AllCollegeNCES,0))&gt;0.7,(1-INDEX(AllCollegeAAHGR, MATCH(N451,AllCollegeNCES,0)))/2,0.15),2),INDEX(AllCollegeAAHGR, MATCH(N451,AllCollegeNCES,0)))</f>
        <v>0</v>
      </c>
      <c r="AC451">
        <f>IF(OR(W451="H",W451="B"),INDEX(AllCollegeSAT25, MATCH(N451,AllCollegeNCES,0)),INDEX(AllCollegeSAT50, MATCH(N451,AllCollegeNCES,0)))</f>
        <v>0</v>
      </c>
      <c r="AD451">
        <f>INDEX(CustomWeightsGPA,MATCH(W451&amp;":"&amp;N451,CustomWeightsIndex,0))</f>
        <v>0</v>
      </c>
      <c r="AE451">
        <f>INDEX(CustomWeightsSAT,MATCH(W451&amp;":"&amp;N451,CustomWeightsIndex,0))</f>
        <v>0</v>
      </c>
      <c r="AF451">
        <f>INDEX(CustomWeightsIntercept,MATCH(W451&amp;":"&amp;N451,CustomWeightsIndex,0))</f>
        <v>0</v>
      </c>
      <c r="AG451">
        <f>AD451*S451+AE451*T451+AF451</f>
        <v>0</v>
      </c>
      <c r="AH451">
        <f>INDEX(CoefficientsGPA,MATCH(W451&amp;":"&amp;R451,CoefficientsIndex,0))</f>
        <v>0</v>
      </c>
      <c r="AI451">
        <f>INDEX(CoefficientsSAT,MATCH(W451&amp;":"&amp;R451,CoefficientsIndex,0))</f>
        <v>0</v>
      </c>
      <c r="AJ451">
        <f>INDEX(CoefficientsIntercept,MATCH(W451&amp;":"&amp;R451,CoefficientsIndex,0))</f>
        <v>0</v>
      </c>
      <c r="AK451">
        <f>AH451*S451+(T451-AC451)*AI451+AJ451</f>
        <v>0</v>
      </c>
      <c r="AL451">
        <f>IF(ISNUMBER(AG451),AG451,AK451)</f>
        <v>0</v>
      </c>
      <c r="AM451">
        <f>IF(ISNUMBER(AL451),IF(ISNUMBER(AH451),IF(AND(AH451=1,AI451=1,AJ451=1),100,MIN(99,ROUND(100*EXP(AL451)/(1+EXP(AL451)),2))),MIN(99,ROUND(100*EXP(AL451)/(1+EXP(AL451)),2))),IF(ISTEXT(R451),IF(LEFT(R451,1)="2",100,"N/A"),"N/A"))</f>
        <v>0</v>
      </c>
      <c r="AN451">
        <f>IF(ISNUMBER(AM451),IF(AM451&gt;=99,IF(OR(U451=10,U451=11),MatchLabel,SureThingLabel),IF(AM451&gt;=95,SecureLabel,IF(AM451&gt;=80,SafetyLabel,IF(AM451&gt;=50,MatchLabel,IF(AM451&gt;=20,ReachLabel,IF(AM451&gt;=10,LongshotLabel,HailMaryLabel)))))),"Other")</f>
        <v>0</v>
      </c>
      <c r="AO451">
        <f>IF(OR(I451="accepted",I451="cond. accept",I451="summer admit"),IF(J451="yes","CHOICE!","Accepted!"),IF(I451="guar. transfer","Guar. Xfer",IF(I451="denied","Denied",IF(K451=1,"Waitlist",IF(L451=1,"Deferred",IF(G451="pending","Pending",IF(OR(G451="initial materials submitted",G451="mid-year submitted",G451="final submitted"),"Submitted",IF(H451="interest","Interest","?"))))))))</f>
        <v>0</v>
      </c>
      <c r="AP451">
        <f>IF(OR(AN451=ReachLabel,AN451=LongshotLabel,AN451=HailMaryLabel),1,0)</f>
        <v>0</v>
      </c>
      <c r="AQ451">
        <f>IF(OR(AP451=1,AN451=MatchLabel),1,0)</f>
        <v>0</v>
      </c>
      <c r="AR451">
        <f>IF(OR(AN451=MatchLabel,AN451=SafetyLabel,AN451=SecureLabel,AN451=SureThingLabel),1,0)</f>
        <v>0</v>
      </c>
      <c r="AS451">
        <f>IF(OR(W451="H",W451="B",W451="I",W451="M"),IF(ISNUMBER(AB451),ROUND(AB451,2),0),IF(ISNUMBER(AA451),ROUND(AA451,2),0))</f>
        <v>0</v>
      </c>
      <c r="AT451">
        <f>IF(AS451&gt;=X451,1,0)</f>
        <v>0</v>
      </c>
      <c r="AU451">
        <f>IF(AS451&gt;=Y451,1,0)</f>
        <v>0</v>
      </c>
      <c r="AV451">
        <f>IF(AS451&lt;(X451-0.10),1,0)</f>
        <v>0</v>
      </c>
      <c r="AW451">
        <f>1-AM451/100</f>
        <v>0</v>
      </c>
      <c r="AX451">
        <f>IF(AQ451=1,AW451,1)</f>
        <v>0</v>
      </c>
      <c r="AY451">
        <f>IF(AP451=1,AW451,1)</f>
        <v>0</v>
      </c>
      <c r="AZ451">
        <f>IF(AND(AT451=1,ISNUMBER(AW451)),$AW451,1)</f>
        <v>0</v>
      </c>
      <c r="BA451">
        <f>IF(AND(AU451=1,ISNUMBER(AW451)),$AW451,1)</f>
        <v>0</v>
      </c>
      <c r="BB451">
        <f>IF(ISNUMBER(AB451),INDEX(AllCollegeMoney, MATCH(N451,AllCollegeNCES,0)),0)</f>
        <v>0</v>
      </c>
      <c r="BC451">
        <f>IF(AND(AT451=1,ISNUMBER(AW451),BB451=1),$AW451,1)</f>
        <v>0</v>
      </c>
      <c r="BD451">
        <f>IF(AND(AU451=1,ISNUMBER(AW451),BB451=1),$AW451,1)</f>
        <v>0</v>
      </c>
      <c r="BE451">
        <f>IF(ISNUMBER(AB451),INDEX(AllCollegeILPub, MATCH(N451,AllCollegeNCES,0)),0)</f>
        <v>0</v>
      </c>
      <c r="BF451">
        <f>IF(AN451=ReachLabel,AS451,0)</f>
        <v>0</v>
      </c>
      <c r="BG451">
        <f>IF(AN451=MatchLabel,AS451,0)</f>
        <v>0</v>
      </c>
      <c r="BH451">
        <f>IF(AN451=SafetyLabel,AS451,0)</f>
        <v>0</v>
      </c>
      <c r="BI451">
        <f>IF(AN451=SecureLabel,AS451,0)</f>
        <v>0</v>
      </c>
      <c r="BJ451">
        <f>IF(AN451=SureThingLabel,AS451,0)</f>
        <v>0</v>
      </c>
      <c r="BK451">
        <f>MAX(BF451:BJ451)</f>
        <v>0</v>
      </c>
      <c r="BL451">
        <f>MAX(BG451:BJ451)</f>
        <v>0</v>
      </c>
      <c r="BM451">
        <f>MAX(BH451:BJ451)</f>
        <v>0</v>
      </c>
      <c r="BN451">
        <f>IF(AND(AN451=ReachLabel,BB451=1),AS451,0)</f>
        <v>0</v>
      </c>
      <c r="BO451">
        <f>IF(AND(AN451=MatchLabel,BB451=1),AS451,0)</f>
        <v>0</v>
      </c>
      <c r="BP451">
        <f>IF(AND(AN451=SafetyLabel,BB451=1),AS451,0)</f>
        <v>0</v>
      </c>
      <c r="BQ451">
        <f>IF(AND(AN451=SecureLabel,BB451=1),AS451,0)</f>
        <v>0</v>
      </c>
      <c r="BR451">
        <f>IF(AND(AN451=SureThingLabel,BB451=1),AS451,0)</f>
        <v>0</v>
      </c>
      <c r="BS451">
        <f>MAX(BN451:BR451)</f>
        <v>0</v>
      </c>
      <c r="BT451">
        <f>MAX(BO451:BR451)</f>
        <v>0</v>
      </c>
      <c r="BU451">
        <f>MAX(BP451:BR451)</f>
        <v>0</v>
      </c>
      <c r="BV451">
        <f>IF(ISNUMBER(AB451),INDEX(AllCollegeChicago, MATCH(N451,AllCollegeNCES,0))*BB451,0)</f>
        <v>0</v>
      </c>
      <c r="BW451">
        <f>IF(ISNUMBER(AB451),INDEX(AllCollegeMoneyCode, MATCH(N451,AllCollegeNCES,0)),"?")</f>
        <v>0</v>
      </c>
      <c r="BX451">
        <f>IF(OR(BW451="---",BW451="--",BW451="+/--",BW451="+/---"),1,0)</f>
        <v>0</v>
      </c>
      <c r="BY451">
        <f>BB451*AR451*AT451</f>
        <v>0</v>
      </c>
    </row>
    <row r="452" spans="1:77">
      <c r="A452" t="s">
        <v>96</v>
      </c>
      <c r="B452">
        <v>23438312</v>
      </c>
      <c r="C452" t="s">
        <v>228</v>
      </c>
      <c r="D452" t="s">
        <v>229</v>
      </c>
      <c r="E452" t="s">
        <v>446</v>
      </c>
      <c r="F452" t="s">
        <v>475</v>
      </c>
      <c r="G452" t="s">
        <v>448</v>
      </c>
      <c r="H452" t="s">
        <v>449</v>
      </c>
      <c r="I452" t="s">
        <v>450</v>
      </c>
      <c r="J452" t="s">
        <v>450</v>
      </c>
      <c r="K452">
        <v>0</v>
      </c>
      <c r="L452" t="s">
        <v>446</v>
      </c>
      <c r="M452" t="s">
        <v>446</v>
      </c>
      <c r="N452">
        <v>145637</v>
      </c>
      <c r="O452">
        <f>INDEX(Counselor,MATCH(B452,KidIDs,0))</f>
        <v>0</v>
      </c>
      <c r="P452">
        <f>INDEX(Advisors,MATCH(B452,KidIDs,0))</f>
        <v>0</v>
      </c>
      <c r="Q452">
        <f>INDEX(Cohort,MATCH(B452,KidIDs,0))</f>
        <v>0</v>
      </c>
      <c r="R452">
        <f>INDEX(AllCollegeBarrons,MATCH(N452,AllCollegeNCES,0))</f>
        <v>0</v>
      </c>
      <c r="S452">
        <f>INDEX(KidGPAs,MATCH(B452,KidIDs,0))</f>
        <v>0</v>
      </c>
      <c r="T452">
        <f>INDEX(KidSATs,MATCH(B452,KidIDs,0))</f>
        <v>0</v>
      </c>
      <c r="U452">
        <f>INDEX(Strats,MATCH(B452,KidIDs,0))</f>
        <v>0</v>
      </c>
      <c r="V452">
        <f>INDEX(KidRace,MATCH(B452,KidIDs,0))</f>
        <v>0</v>
      </c>
      <c r="W452">
        <f>IF(OR(V452="M",V452="I"),"H",IF(V452="P","A",V452))</f>
        <v>0</v>
      </c>
      <c r="X452">
        <f>INDEX(StudentTargets,MATCH(B452,KidIDs,0))</f>
        <v>0</v>
      </c>
      <c r="Y452">
        <f>INDEX(ReachStudentTargets,MATCH(B452,KidIDs,0))</f>
        <v>0</v>
      </c>
      <c r="Z452">
        <f>IF(OR(M452="Posse"),1,0)</f>
        <v>0</v>
      </c>
      <c r="AA452">
        <f>IF(ISNUMBER(INDEX(AllCollegeGR, MATCH(N452,AllCollegeNCES,0))),ROUND(INDEX(AllCollegeGR, MATCH(N452,AllCollegeNCES,0))+Z452*IF(INDEX(AllCollegeGR, MATCH(N452,AllCollegeNCES,0))&gt;0.7,(1-INDEX(AllCollegeGR, MATCH(N452,AllCollegeNCES,0)))/2,0.15),2),INDEX(AllCollegeGR, MATCH(N452,AllCollegeNCES,0)))</f>
        <v>0</v>
      </c>
      <c r="AB452">
        <f>IF(ISNUMBER(INDEX(AllCollegeAAHGR, MATCH(N452,AllCollegeNCES,0))),ROUND(INDEX(AllCollegeAAHGR, MATCH(N452,AllCollegeNCES,0))+Z452*IF(INDEX(AllCollegeAAHGR, MATCH(N452,AllCollegeNCES,0))&gt;0.7,(1-INDEX(AllCollegeAAHGR, MATCH(N452,AllCollegeNCES,0)))/2,0.15),2),INDEX(AllCollegeAAHGR, MATCH(N452,AllCollegeNCES,0)))</f>
        <v>0</v>
      </c>
      <c r="AC452">
        <f>IF(OR(W452="H",W452="B"),INDEX(AllCollegeSAT25, MATCH(N452,AllCollegeNCES,0)),INDEX(AllCollegeSAT50, MATCH(N452,AllCollegeNCES,0)))</f>
        <v>0</v>
      </c>
      <c r="AD452">
        <f>INDEX(CustomWeightsGPA,MATCH(W452&amp;":"&amp;N452,CustomWeightsIndex,0))</f>
        <v>0</v>
      </c>
      <c r="AE452">
        <f>INDEX(CustomWeightsSAT,MATCH(W452&amp;":"&amp;N452,CustomWeightsIndex,0))</f>
        <v>0</v>
      </c>
      <c r="AF452">
        <f>INDEX(CustomWeightsIntercept,MATCH(W452&amp;":"&amp;N452,CustomWeightsIndex,0))</f>
        <v>0</v>
      </c>
      <c r="AG452">
        <f>AD452*S452+AE452*T452+AF452</f>
        <v>0</v>
      </c>
      <c r="AH452">
        <f>INDEX(CoefficientsGPA,MATCH(W452&amp;":"&amp;R452,CoefficientsIndex,0))</f>
        <v>0</v>
      </c>
      <c r="AI452">
        <f>INDEX(CoefficientsSAT,MATCH(W452&amp;":"&amp;R452,CoefficientsIndex,0))</f>
        <v>0</v>
      </c>
      <c r="AJ452">
        <f>INDEX(CoefficientsIntercept,MATCH(W452&amp;":"&amp;R452,CoefficientsIndex,0))</f>
        <v>0</v>
      </c>
      <c r="AK452">
        <f>AH452*S452+(T452-AC452)*AI452+AJ452</f>
        <v>0</v>
      </c>
      <c r="AL452">
        <f>IF(ISNUMBER(AG452),AG452,AK452)</f>
        <v>0</v>
      </c>
      <c r="AM452">
        <f>IF(ISNUMBER(AL452),IF(ISNUMBER(AH452),IF(AND(AH452=1,AI452=1,AJ452=1),100,MIN(99,ROUND(100*EXP(AL452)/(1+EXP(AL452)),2))),MIN(99,ROUND(100*EXP(AL452)/(1+EXP(AL452)),2))),IF(ISTEXT(R452),IF(LEFT(R452,1)="2",100,"N/A"),"N/A"))</f>
        <v>0</v>
      </c>
      <c r="AN452">
        <f>IF(ISNUMBER(AM452),IF(AM452&gt;=99,IF(OR(U452=10,U452=11),MatchLabel,SureThingLabel),IF(AM452&gt;=95,SecureLabel,IF(AM452&gt;=80,SafetyLabel,IF(AM452&gt;=50,MatchLabel,IF(AM452&gt;=20,ReachLabel,IF(AM452&gt;=10,LongshotLabel,HailMaryLabel)))))),"Other")</f>
        <v>0</v>
      </c>
      <c r="AO452">
        <f>IF(OR(I452="accepted",I452="cond. accept",I452="summer admit"),IF(J452="yes","CHOICE!","Accepted!"),IF(I452="guar. transfer","Guar. Xfer",IF(I452="denied","Denied",IF(K452=1,"Waitlist",IF(L452=1,"Deferred",IF(G452="pending","Pending",IF(OR(G452="initial materials submitted",G452="mid-year submitted",G452="final submitted"),"Submitted",IF(H452="interest","Interest","?"))))))))</f>
        <v>0</v>
      </c>
      <c r="AP452">
        <f>IF(OR(AN452=ReachLabel,AN452=LongshotLabel,AN452=HailMaryLabel),1,0)</f>
        <v>0</v>
      </c>
      <c r="AQ452">
        <f>IF(OR(AP452=1,AN452=MatchLabel),1,0)</f>
        <v>0</v>
      </c>
      <c r="AR452">
        <f>IF(OR(AN452=MatchLabel,AN452=SafetyLabel,AN452=SecureLabel,AN452=SureThingLabel),1,0)</f>
        <v>0</v>
      </c>
      <c r="AS452">
        <f>IF(OR(W452="H",W452="B",W452="I",W452="M"),IF(ISNUMBER(AB452),ROUND(AB452,2),0),IF(ISNUMBER(AA452),ROUND(AA452,2),0))</f>
        <v>0</v>
      </c>
      <c r="AT452">
        <f>IF(AS452&gt;=X452,1,0)</f>
        <v>0</v>
      </c>
      <c r="AU452">
        <f>IF(AS452&gt;=Y452,1,0)</f>
        <v>0</v>
      </c>
      <c r="AV452">
        <f>IF(AS452&lt;(X452-0.10),1,0)</f>
        <v>0</v>
      </c>
      <c r="AW452">
        <f>1-AM452/100</f>
        <v>0</v>
      </c>
      <c r="AX452">
        <f>IF(AQ452=1,AW452,1)</f>
        <v>0</v>
      </c>
      <c r="AY452">
        <f>IF(AP452=1,AW452,1)</f>
        <v>0</v>
      </c>
      <c r="AZ452">
        <f>IF(AND(AT452=1,ISNUMBER(AW452)),$AW452,1)</f>
        <v>0</v>
      </c>
      <c r="BA452">
        <f>IF(AND(AU452=1,ISNUMBER(AW452)),$AW452,1)</f>
        <v>0</v>
      </c>
      <c r="BB452">
        <f>IF(ISNUMBER(AB452),INDEX(AllCollegeMoney, MATCH(N452,AllCollegeNCES,0)),0)</f>
        <v>0</v>
      </c>
      <c r="BC452">
        <f>IF(AND(AT452=1,ISNUMBER(AW452),BB452=1),$AW452,1)</f>
        <v>0</v>
      </c>
      <c r="BD452">
        <f>IF(AND(AU452=1,ISNUMBER(AW452),BB452=1),$AW452,1)</f>
        <v>0</v>
      </c>
      <c r="BE452">
        <f>IF(ISNUMBER(AB452),INDEX(AllCollegeILPub, MATCH(N452,AllCollegeNCES,0)),0)</f>
        <v>0</v>
      </c>
      <c r="BF452">
        <f>IF(AN452=ReachLabel,AS452,0)</f>
        <v>0</v>
      </c>
      <c r="BG452">
        <f>IF(AN452=MatchLabel,AS452,0)</f>
        <v>0</v>
      </c>
      <c r="BH452">
        <f>IF(AN452=SafetyLabel,AS452,0)</f>
        <v>0</v>
      </c>
      <c r="BI452">
        <f>IF(AN452=SecureLabel,AS452,0)</f>
        <v>0</v>
      </c>
      <c r="BJ452">
        <f>IF(AN452=SureThingLabel,AS452,0)</f>
        <v>0</v>
      </c>
      <c r="BK452">
        <f>MAX(BF452:BJ452)</f>
        <v>0</v>
      </c>
      <c r="BL452">
        <f>MAX(BG452:BJ452)</f>
        <v>0</v>
      </c>
      <c r="BM452">
        <f>MAX(BH452:BJ452)</f>
        <v>0</v>
      </c>
      <c r="BN452">
        <f>IF(AND(AN452=ReachLabel,BB452=1),AS452,0)</f>
        <v>0</v>
      </c>
      <c r="BO452">
        <f>IF(AND(AN452=MatchLabel,BB452=1),AS452,0)</f>
        <v>0</v>
      </c>
      <c r="BP452">
        <f>IF(AND(AN452=SafetyLabel,BB452=1),AS452,0)</f>
        <v>0</v>
      </c>
      <c r="BQ452">
        <f>IF(AND(AN452=SecureLabel,BB452=1),AS452,0)</f>
        <v>0</v>
      </c>
      <c r="BR452">
        <f>IF(AND(AN452=SureThingLabel,BB452=1),AS452,0)</f>
        <v>0</v>
      </c>
      <c r="BS452">
        <f>MAX(BN452:BR452)</f>
        <v>0</v>
      </c>
      <c r="BT452">
        <f>MAX(BO452:BR452)</f>
        <v>0</v>
      </c>
      <c r="BU452">
        <f>MAX(BP452:BR452)</f>
        <v>0</v>
      </c>
      <c r="BV452">
        <f>IF(ISNUMBER(AB452),INDEX(AllCollegeChicago, MATCH(N452,AllCollegeNCES,0))*BB452,0)</f>
        <v>0</v>
      </c>
      <c r="BW452">
        <f>IF(ISNUMBER(AB452),INDEX(AllCollegeMoneyCode, MATCH(N452,AllCollegeNCES,0)),"?")</f>
        <v>0</v>
      </c>
      <c r="BX452">
        <f>IF(OR(BW452="---",BW452="--",BW452="+/--",BW452="+/---"),1,0)</f>
        <v>0</v>
      </c>
      <c r="BY452">
        <f>BB452*AR452*AT452</f>
        <v>0</v>
      </c>
    </row>
    <row r="453" spans="1:77">
      <c r="A453" t="s">
        <v>96</v>
      </c>
      <c r="B453">
        <v>23438312</v>
      </c>
      <c r="C453" t="s">
        <v>228</v>
      </c>
      <c r="D453" t="s">
        <v>229</v>
      </c>
      <c r="E453" t="s">
        <v>446</v>
      </c>
      <c r="F453" t="s">
        <v>477</v>
      </c>
      <c r="G453" t="s">
        <v>448</v>
      </c>
      <c r="H453" t="s">
        <v>449</v>
      </c>
      <c r="I453" t="s">
        <v>450</v>
      </c>
      <c r="J453" t="s">
        <v>450</v>
      </c>
      <c r="K453">
        <v>0</v>
      </c>
      <c r="L453" t="s">
        <v>446</v>
      </c>
      <c r="M453" t="s">
        <v>446</v>
      </c>
      <c r="N453">
        <v>146427</v>
      </c>
      <c r="O453">
        <f>INDEX(Counselor,MATCH(B453,KidIDs,0))</f>
        <v>0</v>
      </c>
      <c r="P453">
        <f>INDEX(Advisors,MATCH(B453,KidIDs,0))</f>
        <v>0</v>
      </c>
      <c r="Q453">
        <f>INDEX(Cohort,MATCH(B453,KidIDs,0))</f>
        <v>0</v>
      </c>
      <c r="R453">
        <f>INDEX(AllCollegeBarrons,MATCH(N453,AllCollegeNCES,0))</f>
        <v>0</v>
      </c>
      <c r="S453">
        <f>INDEX(KidGPAs,MATCH(B453,KidIDs,0))</f>
        <v>0</v>
      </c>
      <c r="T453">
        <f>INDEX(KidSATs,MATCH(B453,KidIDs,0))</f>
        <v>0</v>
      </c>
      <c r="U453">
        <f>INDEX(Strats,MATCH(B453,KidIDs,0))</f>
        <v>0</v>
      </c>
      <c r="V453">
        <f>INDEX(KidRace,MATCH(B453,KidIDs,0))</f>
        <v>0</v>
      </c>
      <c r="W453">
        <f>IF(OR(V453="M",V453="I"),"H",IF(V453="P","A",V453))</f>
        <v>0</v>
      </c>
      <c r="X453">
        <f>INDEX(StudentTargets,MATCH(B453,KidIDs,0))</f>
        <v>0</v>
      </c>
      <c r="Y453">
        <f>INDEX(ReachStudentTargets,MATCH(B453,KidIDs,0))</f>
        <v>0</v>
      </c>
      <c r="Z453">
        <f>IF(OR(M453="Posse"),1,0)</f>
        <v>0</v>
      </c>
      <c r="AA453">
        <f>IF(ISNUMBER(INDEX(AllCollegeGR, MATCH(N453,AllCollegeNCES,0))),ROUND(INDEX(AllCollegeGR, MATCH(N453,AllCollegeNCES,0))+Z453*IF(INDEX(AllCollegeGR, MATCH(N453,AllCollegeNCES,0))&gt;0.7,(1-INDEX(AllCollegeGR, MATCH(N453,AllCollegeNCES,0)))/2,0.15),2),INDEX(AllCollegeGR, MATCH(N453,AllCollegeNCES,0)))</f>
        <v>0</v>
      </c>
      <c r="AB453">
        <f>IF(ISNUMBER(INDEX(AllCollegeAAHGR, MATCH(N453,AllCollegeNCES,0))),ROUND(INDEX(AllCollegeAAHGR, MATCH(N453,AllCollegeNCES,0))+Z453*IF(INDEX(AllCollegeAAHGR, MATCH(N453,AllCollegeNCES,0))&gt;0.7,(1-INDEX(AllCollegeAAHGR, MATCH(N453,AllCollegeNCES,0)))/2,0.15),2),INDEX(AllCollegeAAHGR, MATCH(N453,AllCollegeNCES,0)))</f>
        <v>0</v>
      </c>
      <c r="AC453">
        <f>IF(OR(W453="H",W453="B"),INDEX(AllCollegeSAT25, MATCH(N453,AllCollegeNCES,0)),INDEX(AllCollegeSAT50, MATCH(N453,AllCollegeNCES,0)))</f>
        <v>0</v>
      </c>
      <c r="AD453">
        <f>INDEX(CustomWeightsGPA,MATCH(W453&amp;":"&amp;N453,CustomWeightsIndex,0))</f>
        <v>0</v>
      </c>
      <c r="AE453">
        <f>INDEX(CustomWeightsSAT,MATCH(W453&amp;":"&amp;N453,CustomWeightsIndex,0))</f>
        <v>0</v>
      </c>
      <c r="AF453">
        <f>INDEX(CustomWeightsIntercept,MATCH(W453&amp;":"&amp;N453,CustomWeightsIndex,0))</f>
        <v>0</v>
      </c>
      <c r="AG453">
        <f>AD453*S453+AE453*T453+AF453</f>
        <v>0</v>
      </c>
      <c r="AH453">
        <f>INDEX(CoefficientsGPA,MATCH(W453&amp;":"&amp;R453,CoefficientsIndex,0))</f>
        <v>0</v>
      </c>
      <c r="AI453">
        <f>INDEX(CoefficientsSAT,MATCH(W453&amp;":"&amp;R453,CoefficientsIndex,0))</f>
        <v>0</v>
      </c>
      <c r="AJ453">
        <f>INDEX(CoefficientsIntercept,MATCH(W453&amp;":"&amp;R453,CoefficientsIndex,0))</f>
        <v>0</v>
      </c>
      <c r="AK453">
        <f>AH453*S453+(T453-AC453)*AI453+AJ453</f>
        <v>0</v>
      </c>
      <c r="AL453">
        <f>IF(ISNUMBER(AG453),AG453,AK453)</f>
        <v>0</v>
      </c>
      <c r="AM453">
        <f>IF(ISNUMBER(AL453),IF(ISNUMBER(AH453),IF(AND(AH453=1,AI453=1,AJ453=1),100,MIN(99,ROUND(100*EXP(AL453)/(1+EXP(AL453)),2))),MIN(99,ROUND(100*EXP(AL453)/(1+EXP(AL453)),2))),IF(ISTEXT(R453),IF(LEFT(R453,1)="2",100,"N/A"),"N/A"))</f>
        <v>0</v>
      </c>
      <c r="AN453">
        <f>IF(ISNUMBER(AM453),IF(AM453&gt;=99,IF(OR(U453=10,U453=11),MatchLabel,SureThingLabel),IF(AM453&gt;=95,SecureLabel,IF(AM453&gt;=80,SafetyLabel,IF(AM453&gt;=50,MatchLabel,IF(AM453&gt;=20,ReachLabel,IF(AM453&gt;=10,LongshotLabel,HailMaryLabel)))))),"Other")</f>
        <v>0</v>
      </c>
      <c r="AO453">
        <f>IF(OR(I453="accepted",I453="cond. accept",I453="summer admit"),IF(J453="yes","CHOICE!","Accepted!"),IF(I453="guar. transfer","Guar. Xfer",IF(I453="denied","Denied",IF(K453=1,"Waitlist",IF(L453=1,"Deferred",IF(G453="pending","Pending",IF(OR(G453="initial materials submitted",G453="mid-year submitted",G453="final submitted"),"Submitted",IF(H453="interest","Interest","?"))))))))</f>
        <v>0</v>
      </c>
      <c r="AP453">
        <f>IF(OR(AN453=ReachLabel,AN453=LongshotLabel,AN453=HailMaryLabel),1,0)</f>
        <v>0</v>
      </c>
      <c r="AQ453">
        <f>IF(OR(AP453=1,AN453=MatchLabel),1,0)</f>
        <v>0</v>
      </c>
      <c r="AR453">
        <f>IF(OR(AN453=MatchLabel,AN453=SafetyLabel,AN453=SecureLabel,AN453=SureThingLabel),1,0)</f>
        <v>0</v>
      </c>
      <c r="AS453">
        <f>IF(OR(W453="H",W453="B",W453="I",W453="M"),IF(ISNUMBER(AB453),ROUND(AB453,2),0),IF(ISNUMBER(AA453),ROUND(AA453,2),0))</f>
        <v>0</v>
      </c>
      <c r="AT453">
        <f>IF(AS453&gt;=X453,1,0)</f>
        <v>0</v>
      </c>
      <c r="AU453">
        <f>IF(AS453&gt;=Y453,1,0)</f>
        <v>0</v>
      </c>
      <c r="AV453">
        <f>IF(AS453&lt;(X453-0.10),1,0)</f>
        <v>0</v>
      </c>
      <c r="AW453">
        <f>1-AM453/100</f>
        <v>0</v>
      </c>
      <c r="AX453">
        <f>IF(AQ453=1,AW453,1)</f>
        <v>0</v>
      </c>
      <c r="AY453">
        <f>IF(AP453=1,AW453,1)</f>
        <v>0</v>
      </c>
      <c r="AZ453">
        <f>IF(AND(AT453=1,ISNUMBER(AW453)),$AW453,1)</f>
        <v>0</v>
      </c>
      <c r="BA453">
        <f>IF(AND(AU453=1,ISNUMBER(AW453)),$AW453,1)</f>
        <v>0</v>
      </c>
      <c r="BB453">
        <f>IF(ISNUMBER(AB453),INDEX(AllCollegeMoney, MATCH(N453,AllCollegeNCES,0)),0)</f>
        <v>0</v>
      </c>
      <c r="BC453">
        <f>IF(AND(AT453=1,ISNUMBER(AW453),BB453=1),$AW453,1)</f>
        <v>0</v>
      </c>
      <c r="BD453">
        <f>IF(AND(AU453=1,ISNUMBER(AW453),BB453=1),$AW453,1)</f>
        <v>0</v>
      </c>
      <c r="BE453">
        <f>IF(ISNUMBER(AB453),INDEX(AllCollegeILPub, MATCH(N453,AllCollegeNCES,0)),0)</f>
        <v>0</v>
      </c>
      <c r="BF453">
        <f>IF(AN453=ReachLabel,AS453,0)</f>
        <v>0</v>
      </c>
      <c r="BG453">
        <f>IF(AN453=MatchLabel,AS453,0)</f>
        <v>0</v>
      </c>
      <c r="BH453">
        <f>IF(AN453=SafetyLabel,AS453,0)</f>
        <v>0</v>
      </c>
      <c r="BI453">
        <f>IF(AN453=SecureLabel,AS453,0)</f>
        <v>0</v>
      </c>
      <c r="BJ453">
        <f>IF(AN453=SureThingLabel,AS453,0)</f>
        <v>0</v>
      </c>
      <c r="BK453">
        <f>MAX(BF453:BJ453)</f>
        <v>0</v>
      </c>
      <c r="BL453">
        <f>MAX(BG453:BJ453)</f>
        <v>0</v>
      </c>
      <c r="BM453">
        <f>MAX(BH453:BJ453)</f>
        <v>0</v>
      </c>
      <c r="BN453">
        <f>IF(AND(AN453=ReachLabel,BB453=1),AS453,0)</f>
        <v>0</v>
      </c>
      <c r="BO453">
        <f>IF(AND(AN453=MatchLabel,BB453=1),AS453,0)</f>
        <v>0</v>
      </c>
      <c r="BP453">
        <f>IF(AND(AN453=SafetyLabel,BB453=1),AS453,0)</f>
        <v>0</v>
      </c>
      <c r="BQ453">
        <f>IF(AND(AN453=SecureLabel,BB453=1),AS453,0)</f>
        <v>0</v>
      </c>
      <c r="BR453">
        <f>IF(AND(AN453=SureThingLabel,BB453=1),AS453,0)</f>
        <v>0</v>
      </c>
      <c r="BS453">
        <f>MAX(BN453:BR453)</f>
        <v>0</v>
      </c>
      <c r="BT453">
        <f>MAX(BO453:BR453)</f>
        <v>0</v>
      </c>
      <c r="BU453">
        <f>MAX(BP453:BR453)</f>
        <v>0</v>
      </c>
      <c r="BV453">
        <f>IF(ISNUMBER(AB453),INDEX(AllCollegeChicago, MATCH(N453,AllCollegeNCES,0))*BB453,0)</f>
        <v>0</v>
      </c>
      <c r="BW453">
        <f>IF(ISNUMBER(AB453),INDEX(AllCollegeMoneyCode, MATCH(N453,AllCollegeNCES,0)),"?")</f>
        <v>0</v>
      </c>
      <c r="BX453">
        <f>IF(OR(BW453="---",BW453="--",BW453="+/--",BW453="+/---"),1,0)</f>
        <v>0</v>
      </c>
      <c r="BY453">
        <f>BB453*AR453*AT453</f>
        <v>0</v>
      </c>
    </row>
    <row r="454" spans="1:77">
      <c r="A454" t="s">
        <v>96</v>
      </c>
      <c r="B454">
        <v>23438312</v>
      </c>
      <c r="C454" t="s">
        <v>228</v>
      </c>
      <c r="D454" t="s">
        <v>229</v>
      </c>
      <c r="E454" t="s">
        <v>446</v>
      </c>
      <c r="F454" t="s">
        <v>569</v>
      </c>
      <c r="G454" t="s">
        <v>448</v>
      </c>
      <c r="H454" t="s">
        <v>449</v>
      </c>
      <c r="I454" t="s">
        <v>450</v>
      </c>
      <c r="J454" t="s">
        <v>450</v>
      </c>
      <c r="K454">
        <v>0</v>
      </c>
      <c r="L454" t="s">
        <v>446</v>
      </c>
      <c r="M454" t="s">
        <v>446</v>
      </c>
      <c r="N454">
        <v>171100</v>
      </c>
      <c r="O454">
        <f>INDEX(Counselor,MATCH(B454,KidIDs,0))</f>
        <v>0</v>
      </c>
      <c r="P454">
        <f>INDEX(Advisors,MATCH(B454,KidIDs,0))</f>
        <v>0</v>
      </c>
      <c r="Q454">
        <f>INDEX(Cohort,MATCH(B454,KidIDs,0))</f>
        <v>0</v>
      </c>
      <c r="R454">
        <f>INDEX(AllCollegeBarrons,MATCH(N454,AllCollegeNCES,0))</f>
        <v>0</v>
      </c>
      <c r="S454">
        <f>INDEX(KidGPAs,MATCH(B454,KidIDs,0))</f>
        <v>0</v>
      </c>
      <c r="T454">
        <f>INDEX(KidSATs,MATCH(B454,KidIDs,0))</f>
        <v>0</v>
      </c>
      <c r="U454">
        <f>INDEX(Strats,MATCH(B454,KidIDs,0))</f>
        <v>0</v>
      </c>
      <c r="V454">
        <f>INDEX(KidRace,MATCH(B454,KidIDs,0))</f>
        <v>0</v>
      </c>
      <c r="W454">
        <f>IF(OR(V454="M",V454="I"),"H",IF(V454="P","A",V454))</f>
        <v>0</v>
      </c>
      <c r="X454">
        <f>INDEX(StudentTargets,MATCH(B454,KidIDs,0))</f>
        <v>0</v>
      </c>
      <c r="Y454">
        <f>INDEX(ReachStudentTargets,MATCH(B454,KidIDs,0))</f>
        <v>0</v>
      </c>
      <c r="Z454">
        <f>IF(OR(M454="Posse"),1,0)</f>
        <v>0</v>
      </c>
      <c r="AA454">
        <f>IF(ISNUMBER(INDEX(AllCollegeGR, MATCH(N454,AllCollegeNCES,0))),ROUND(INDEX(AllCollegeGR, MATCH(N454,AllCollegeNCES,0))+Z454*IF(INDEX(AllCollegeGR, MATCH(N454,AllCollegeNCES,0))&gt;0.7,(1-INDEX(AllCollegeGR, MATCH(N454,AllCollegeNCES,0)))/2,0.15),2),INDEX(AllCollegeGR, MATCH(N454,AllCollegeNCES,0)))</f>
        <v>0</v>
      </c>
      <c r="AB454">
        <f>IF(ISNUMBER(INDEX(AllCollegeAAHGR, MATCH(N454,AllCollegeNCES,0))),ROUND(INDEX(AllCollegeAAHGR, MATCH(N454,AllCollegeNCES,0))+Z454*IF(INDEX(AllCollegeAAHGR, MATCH(N454,AllCollegeNCES,0))&gt;0.7,(1-INDEX(AllCollegeAAHGR, MATCH(N454,AllCollegeNCES,0)))/2,0.15),2),INDEX(AllCollegeAAHGR, MATCH(N454,AllCollegeNCES,0)))</f>
        <v>0</v>
      </c>
      <c r="AC454">
        <f>IF(OR(W454="H",W454="B"),INDEX(AllCollegeSAT25, MATCH(N454,AllCollegeNCES,0)),INDEX(AllCollegeSAT50, MATCH(N454,AllCollegeNCES,0)))</f>
        <v>0</v>
      </c>
      <c r="AD454">
        <f>INDEX(CustomWeightsGPA,MATCH(W454&amp;":"&amp;N454,CustomWeightsIndex,0))</f>
        <v>0</v>
      </c>
      <c r="AE454">
        <f>INDEX(CustomWeightsSAT,MATCH(W454&amp;":"&amp;N454,CustomWeightsIndex,0))</f>
        <v>0</v>
      </c>
      <c r="AF454">
        <f>INDEX(CustomWeightsIntercept,MATCH(W454&amp;":"&amp;N454,CustomWeightsIndex,0))</f>
        <v>0</v>
      </c>
      <c r="AG454">
        <f>AD454*S454+AE454*T454+AF454</f>
        <v>0</v>
      </c>
      <c r="AH454">
        <f>INDEX(CoefficientsGPA,MATCH(W454&amp;":"&amp;R454,CoefficientsIndex,0))</f>
        <v>0</v>
      </c>
      <c r="AI454">
        <f>INDEX(CoefficientsSAT,MATCH(W454&amp;":"&amp;R454,CoefficientsIndex,0))</f>
        <v>0</v>
      </c>
      <c r="AJ454">
        <f>INDEX(CoefficientsIntercept,MATCH(W454&amp;":"&amp;R454,CoefficientsIndex,0))</f>
        <v>0</v>
      </c>
      <c r="AK454">
        <f>AH454*S454+(T454-AC454)*AI454+AJ454</f>
        <v>0</v>
      </c>
      <c r="AL454">
        <f>IF(ISNUMBER(AG454),AG454,AK454)</f>
        <v>0</v>
      </c>
      <c r="AM454">
        <f>IF(ISNUMBER(AL454),IF(ISNUMBER(AH454),IF(AND(AH454=1,AI454=1,AJ454=1),100,MIN(99,ROUND(100*EXP(AL454)/(1+EXP(AL454)),2))),MIN(99,ROUND(100*EXP(AL454)/(1+EXP(AL454)),2))),IF(ISTEXT(R454),IF(LEFT(R454,1)="2",100,"N/A"),"N/A"))</f>
        <v>0</v>
      </c>
      <c r="AN454">
        <f>IF(ISNUMBER(AM454),IF(AM454&gt;=99,IF(OR(U454=10,U454=11),MatchLabel,SureThingLabel),IF(AM454&gt;=95,SecureLabel,IF(AM454&gt;=80,SafetyLabel,IF(AM454&gt;=50,MatchLabel,IF(AM454&gt;=20,ReachLabel,IF(AM454&gt;=10,LongshotLabel,HailMaryLabel)))))),"Other")</f>
        <v>0</v>
      </c>
      <c r="AO454">
        <f>IF(OR(I454="accepted",I454="cond. accept",I454="summer admit"),IF(J454="yes","CHOICE!","Accepted!"),IF(I454="guar. transfer","Guar. Xfer",IF(I454="denied","Denied",IF(K454=1,"Waitlist",IF(L454=1,"Deferred",IF(G454="pending","Pending",IF(OR(G454="initial materials submitted",G454="mid-year submitted",G454="final submitted"),"Submitted",IF(H454="interest","Interest","?"))))))))</f>
        <v>0</v>
      </c>
      <c r="AP454">
        <f>IF(OR(AN454=ReachLabel,AN454=LongshotLabel,AN454=HailMaryLabel),1,0)</f>
        <v>0</v>
      </c>
      <c r="AQ454">
        <f>IF(OR(AP454=1,AN454=MatchLabel),1,0)</f>
        <v>0</v>
      </c>
      <c r="AR454">
        <f>IF(OR(AN454=MatchLabel,AN454=SafetyLabel,AN454=SecureLabel,AN454=SureThingLabel),1,0)</f>
        <v>0</v>
      </c>
      <c r="AS454">
        <f>IF(OR(W454="H",W454="B",W454="I",W454="M"),IF(ISNUMBER(AB454),ROUND(AB454,2),0),IF(ISNUMBER(AA454),ROUND(AA454,2),0))</f>
        <v>0</v>
      </c>
      <c r="AT454">
        <f>IF(AS454&gt;=X454,1,0)</f>
        <v>0</v>
      </c>
      <c r="AU454">
        <f>IF(AS454&gt;=Y454,1,0)</f>
        <v>0</v>
      </c>
      <c r="AV454">
        <f>IF(AS454&lt;(X454-0.10),1,0)</f>
        <v>0</v>
      </c>
      <c r="AW454">
        <f>1-AM454/100</f>
        <v>0</v>
      </c>
      <c r="AX454">
        <f>IF(AQ454=1,AW454,1)</f>
        <v>0</v>
      </c>
      <c r="AY454">
        <f>IF(AP454=1,AW454,1)</f>
        <v>0</v>
      </c>
      <c r="AZ454">
        <f>IF(AND(AT454=1,ISNUMBER(AW454)),$AW454,1)</f>
        <v>0</v>
      </c>
      <c r="BA454">
        <f>IF(AND(AU454=1,ISNUMBER(AW454)),$AW454,1)</f>
        <v>0</v>
      </c>
      <c r="BB454">
        <f>IF(ISNUMBER(AB454),INDEX(AllCollegeMoney, MATCH(N454,AllCollegeNCES,0)),0)</f>
        <v>0</v>
      </c>
      <c r="BC454">
        <f>IF(AND(AT454=1,ISNUMBER(AW454),BB454=1),$AW454,1)</f>
        <v>0</v>
      </c>
      <c r="BD454">
        <f>IF(AND(AU454=1,ISNUMBER(AW454),BB454=1),$AW454,1)</f>
        <v>0</v>
      </c>
      <c r="BE454">
        <f>IF(ISNUMBER(AB454),INDEX(AllCollegeILPub, MATCH(N454,AllCollegeNCES,0)),0)</f>
        <v>0</v>
      </c>
      <c r="BF454">
        <f>IF(AN454=ReachLabel,AS454,0)</f>
        <v>0</v>
      </c>
      <c r="BG454">
        <f>IF(AN454=MatchLabel,AS454,0)</f>
        <v>0</v>
      </c>
      <c r="BH454">
        <f>IF(AN454=SafetyLabel,AS454,0)</f>
        <v>0</v>
      </c>
      <c r="BI454">
        <f>IF(AN454=SecureLabel,AS454,0)</f>
        <v>0</v>
      </c>
      <c r="BJ454">
        <f>IF(AN454=SureThingLabel,AS454,0)</f>
        <v>0</v>
      </c>
      <c r="BK454">
        <f>MAX(BF454:BJ454)</f>
        <v>0</v>
      </c>
      <c r="BL454">
        <f>MAX(BG454:BJ454)</f>
        <v>0</v>
      </c>
      <c r="BM454">
        <f>MAX(BH454:BJ454)</f>
        <v>0</v>
      </c>
      <c r="BN454">
        <f>IF(AND(AN454=ReachLabel,BB454=1),AS454,0)</f>
        <v>0</v>
      </c>
      <c r="BO454">
        <f>IF(AND(AN454=MatchLabel,BB454=1),AS454,0)</f>
        <v>0</v>
      </c>
      <c r="BP454">
        <f>IF(AND(AN454=SafetyLabel,BB454=1),AS454,0)</f>
        <v>0</v>
      </c>
      <c r="BQ454">
        <f>IF(AND(AN454=SecureLabel,BB454=1),AS454,0)</f>
        <v>0</v>
      </c>
      <c r="BR454">
        <f>IF(AND(AN454=SureThingLabel,BB454=1),AS454,0)</f>
        <v>0</v>
      </c>
      <c r="BS454">
        <f>MAX(BN454:BR454)</f>
        <v>0</v>
      </c>
      <c r="BT454">
        <f>MAX(BO454:BR454)</f>
        <v>0</v>
      </c>
      <c r="BU454">
        <f>MAX(BP454:BR454)</f>
        <v>0</v>
      </c>
      <c r="BV454">
        <f>IF(ISNUMBER(AB454),INDEX(AllCollegeChicago, MATCH(N454,AllCollegeNCES,0))*BB454,0)</f>
        <v>0</v>
      </c>
      <c r="BW454">
        <f>IF(ISNUMBER(AB454),INDEX(AllCollegeMoneyCode, MATCH(N454,AllCollegeNCES,0)),"?")</f>
        <v>0</v>
      </c>
      <c r="BX454">
        <f>IF(OR(BW454="---",BW454="--",BW454="+/--",BW454="+/---"),1,0)</f>
        <v>0</v>
      </c>
      <c r="BY454">
        <f>BB454*AR454*AT454</f>
        <v>0</v>
      </c>
    </row>
    <row r="455" spans="1:77">
      <c r="A455" t="s">
        <v>96</v>
      </c>
      <c r="B455">
        <v>23438312</v>
      </c>
      <c r="C455" t="s">
        <v>228</v>
      </c>
      <c r="D455" t="s">
        <v>229</v>
      </c>
      <c r="E455" t="s">
        <v>446</v>
      </c>
      <c r="F455" t="s">
        <v>478</v>
      </c>
      <c r="G455" t="s">
        <v>479</v>
      </c>
      <c r="H455" t="s">
        <v>449</v>
      </c>
      <c r="I455" t="s">
        <v>450</v>
      </c>
      <c r="J455" t="s">
        <v>450</v>
      </c>
      <c r="K455">
        <v>0</v>
      </c>
      <c r="L455" t="s">
        <v>446</v>
      </c>
      <c r="M455" t="s">
        <v>446</v>
      </c>
      <c r="N455">
        <v>168546</v>
      </c>
      <c r="O455">
        <f>INDEX(Counselor,MATCH(B455,KidIDs,0))</f>
        <v>0</v>
      </c>
      <c r="P455">
        <f>INDEX(Advisors,MATCH(B455,KidIDs,0))</f>
        <v>0</v>
      </c>
      <c r="Q455">
        <f>INDEX(Cohort,MATCH(B455,KidIDs,0))</f>
        <v>0</v>
      </c>
      <c r="R455">
        <f>INDEX(AllCollegeBarrons,MATCH(N455,AllCollegeNCES,0))</f>
        <v>0</v>
      </c>
      <c r="S455">
        <f>INDEX(KidGPAs,MATCH(B455,KidIDs,0))</f>
        <v>0</v>
      </c>
      <c r="T455">
        <f>INDEX(KidSATs,MATCH(B455,KidIDs,0))</f>
        <v>0</v>
      </c>
      <c r="U455">
        <f>INDEX(Strats,MATCH(B455,KidIDs,0))</f>
        <v>0</v>
      </c>
      <c r="V455">
        <f>INDEX(KidRace,MATCH(B455,KidIDs,0))</f>
        <v>0</v>
      </c>
      <c r="W455">
        <f>IF(OR(V455="M",V455="I"),"H",IF(V455="P","A",V455))</f>
        <v>0</v>
      </c>
      <c r="X455">
        <f>INDEX(StudentTargets,MATCH(B455,KidIDs,0))</f>
        <v>0</v>
      </c>
      <c r="Y455">
        <f>INDEX(ReachStudentTargets,MATCH(B455,KidIDs,0))</f>
        <v>0</v>
      </c>
      <c r="Z455">
        <f>IF(OR(M455="Posse"),1,0)</f>
        <v>0</v>
      </c>
      <c r="AA455">
        <f>IF(ISNUMBER(INDEX(AllCollegeGR, MATCH(N455,AllCollegeNCES,0))),ROUND(INDEX(AllCollegeGR, MATCH(N455,AllCollegeNCES,0))+Z455*IF(INDEX(AllCollegeGR, MATCH(N455,AllCollegeNCES,0))&gt;0.7,(1-INDEX(AllCollegeGR, MATCH(N455,AllCollegeNCES,0)))/2,0.15),2),INDEX(AllCollegeGR, MATCH(N455,AllCollegeNCES,0)))</f>
        <v>0</v>
      </c>
      <c r="AB455">
        <f>IF(ISNUMBER(INDEX(AllCollegeAAHGR, MATCH(N455,AllCollegeNCES,0))),ROUND(INDEX(AllCollegeAAHGR, MATCH(N455,AllCollegeNCES,0))+Z455*IF(INDEX(AllCollegeAAHGR, MATCH(N455,AllCollegeNCES,0))&gt;0.7,(1-INDEX(AllCollegeAAHGR, MATCH(N455,AllCollegeNCES,0)))/2,0.15),2),INDEX(AllCollegeAAHGR, MATCH(N455,AllCollegeNCES,0)))</f>
        <v>0</v>
      </c>
      <c r="AC455">
        <f>IF(OR(W455="H",W455="B"),INDEX(AllCollegeSAT25, MATCH(N455,AllCollegeNCES,0)),INDEX(AllCollegeSAT50, MATCH(N455,AllCollegeNCES,0)))</f>
        <v>0</v>
      </c>
      <c r="AD455">
        <f>INDEX(CustomWeightsGPA,MATCH(W455&amp;":"&amp;N455,CustomWeightsIndex,0))</f>
        <v>0</v>
      </c>
      <c r="AE455">
        <f>INDEX(CustomWeightsSAT,MATCH(W455&amp;":"&amp;N455,CustomWeightsIndex,0))</f>
        <v>0</v>
      </c>
      <c r="AF455">
        <f>INDEX(CustomWeightsIntercept,MATCH(W455&amp;":"&amp;N455,CustomWeightsIndex,0))</f>
        <v>0</v>
      </c>
      <c r="AG455">
        <f>AD455*S455+AE455*T455+AF455</f>
        <v>0</v>
      </c>
      <c r="AH455">
        <f>INDEX(CoefficientsGPA,MATCH(W455&amp;":"&amp;R455,CoefficientsIndex,0))</f>
        <v>0</v>
      </c>
      <c r="AI455">
        <f>INDEX(CoefficientsSAT,MATCH(W455&amp;":"&amp;R455,CoefficientsIndex,0))</f>
        <v>0</v>
      </c>
      <c r="AJ455">
        <f>INDEX(CoefficientsIntercept,MATCH(W455&amp;":"&amp;R455,CoefficientsIndex,0))</f>
        <v>0</v>
      </c>
      <c r="AK455">
        <f>AH455*S455+(T455-AC455)*AI455+AJ455</f>
        <v>0</v>
      </c>
      <c r="AL455">
        <f>IF(ISNUMBER(AG455),AG455,AK455)</f>
        <v>0</v>
      </c>
      <c r="AM455">
        <f>IF(ISNUMBER(AL455),IF(ISNUMBER(AH455),IF(AND(AH455=1,AI455=1,AJ455=1),100,MIN(99,ROUND(100*EXP(AL455)/(1+EXP(AL455)),2))),MIN(99,ROUND(100*EXP(AL455)/(1+EXP(AL455)),2))),IF(ISTEXT(R455),IF(LEFT(R455,1)="2",100,"N/A"),"N/A"))</f>
        <v>0</v>
      </c>
      <c r="AN455">
        <f>IF(ISNUMBER(AM455),IF(AM455&gt;=99,IF(OR(U455=10,U455=11),MatchLabel,SureThingLabel),IF(AM455&gt;=95,SecureLabel,IF(AM455&gt;=80,SafetyLabel,IF(AM455&gt;=50,MatchLabel,IF(AM455&gt;=20,ReachLabel,IF(AM455&gt;=10,LongshotLabel,HailMaryLabel)))))),"Other")</f>
        <v>0</v>
      </c>
      <c r="AO455">
        <f>IF(OR(I455="accepted",I455="cond. accept",I455="summer admit"),IF(J455="yes","CHOICE!","Accepted!"),IF(I455="guar. transfer","Guar. Xfer",IF(I455="denied","Denied",IF(K455=1,"Waitlist",IF(L455=1,"Deferred",IF(G455="pending","Pending",IF(OR(G455="initial materials submitted",G455="mid-year submitted",G455="final submitted"),"Submitted",IF(H455="interest","Interest","?"))))))))</f>
        <v>0</v>
      </c>
      <c r="AP455">
        <f>IF(OR(AN455=ReachLabel,AN455=LongshotLabel,AN455=HailMaryLabel),1,0)</f>
        <v>0</v>
      </c>
      <c r="AQ455">
        <f>IF(OR(AP455=1,AN455=MatchLabel),1,0)</f>
        <v>0</v>
      </c>
      <c r="AR455">
        <f>IF(OR(AN455=MatchLabel,AN455=SafetyLabel,AN455=SecureLabel,AN455=SureThingLabel),1,0)</f>
        <v>0</v>
      </c>
      <c r="AS455">
        <f>IF(OR(W455="H",W455="B",W455="I",W455="M"),IF(ISNUMBER(AB455),ROUND(AB455,2),0),IF(ISNUMBER(AA455),ROUND(AA455,2),0))</f>
        <v>0</v>
      </c>
      <c r="AT455">
        <f>IF(AS455&gt;=X455,1,0)</f>
        <v>0</v>
      </c>
      <c r="AU455">
        <f>IF(AS455&gt;=Y455,1,0)</f>
        <v>0</v>
      </c>
      <c r="AV455">
        <f>IF(AS455&lt;(X455-0.10),1,0)</f>
        <v>0</v>
      </c>
      <c r="AW455">
        <f>1-AM455/100</f>
        <v>0</v>
      </c>
      <c r="AX455">
        <f>IF(AQ455=1,AW455,1)</f>
        <v>0</v>
      </c>
      <c r="AY455">
        <f>IF(AP455=1,AW455,1)</f>
        <v>0</v>
      </c>
      <c r="AZ455">
        <f>IF(AND(AT455=1,ISNUMBER(AW455)),$AW455,1)</f>
        <v>0</v>
      </c>
      <c r="BA455">
        <f>IF(AND(AU455=1,ISNUMBER(AW455)),$AW455,1)</f>
        <v>0</v>
      </c>
      <c r="BB455">
        <f>IF(ISNUMBER(AB455),INDEX(AllCollegeMoney, MATCH(N455,AllCollegeNCES,0)),0)</f>
        <v>0</v>
      </c>
      <c r="BC455">
        <f>IF(AND(AT455=1,ISNUMBER(AW455),BB455=1),$AW455,1)</f>
        <v>0</v>
      </c>
      <c r="BD455">
        <f>IF(AND(AU455=1,ISNUMBER(AW455),BB455=1),$AW455,1)</f>
        <v>0</v>
      </c>
      <c r="BE455">
        <f>IF(ISNUMBER(AB455),INDEX(AllCollegeILPub, MATCH(N455,AllCollegeNCES,0)),0)</f>
        <v>0</v>
      </c>
      <c r="BF455">
        <f>IF(AN455=ReachLabel,AS455,0)</f>
        <v>0</v>
      </c>
      <c r="BG455">
        <f>IF(AN455=MatchLabel,AS455,0)</f>
        <v>0</v>
      </c>
      <c r="BH455">
        <f>IF(AN455=SafetyLabel,AS455,0)</f>
        <v>0</v>
      </c>
      <c r="BI455">
        <f>IF(AN455=SecureLabel,AS455,0)</f>
        <v>0</v>
      </c>
      <c r="BJ455">
        <f>IF(AN455=SureThingLabel,AS455,0)</f>
        <v>0</v>
      </c>
      <c r="BK455">
        <f>MAX(BF455:BJ455)</f>
        <v>0</v>
      </c>
      <c r="BL455">
        <f>MAX(BG455:BJ455)</f>
        <v>0</v>
      </c>
      <c r="BM455">
        <f>MAX(BH455:BJ455)</f>
        <v>0</v>
      </c>
      <c r="BN455">
        <f>IF(AND(AN455=ReachLabel,BB455=1),AS455,0)</f>
        <v>0</v>
      </c>
      <c r="BO455">
        <f>IF(AND(AN455=MatchLabel,BB455=1),AS455,0)</f>
        <v>0</v>
      </c>
      <c r="BP455">
        <f>IF(AND(AN455=SafetyLabel,BB455=1),AS455,0)</f>
        <v>0</v>
      </c>
      <c r="BQ455">
        <f>IF(AND(AN455=SecureLabel,BB455=1),AS455,0)</f>
        <v>0</v>
      </c>
      <c r="BR455">
        <f>IF(AND(AN455=SureThingLabel,BB455=1),AS455,0)</f>
        <v>0</v>
      </c>
      <c r="BS455">
        <f>MAX(BN455:BR455)</f>
        <v>0</v>
      </c>
      <c r="BT455">
        <f>MAX(BO455:BR455)</f>
        <v>0</v>
      </c>
      <c r="BU455">
        <f>MAX(BP455:BR455)</f>
        <v>0</v>
      </c>
      <c r="BV455">
        <f>IF(ISNUMBER(AB455),INDEX(AllCollegeChicago, MATCH(N455,AllCollegeNCES,0))*BB455,0)</f>
        <v>0</v>
      </c>
      <c r="BW455">
        <f>IF(ISNUMBER(AB455),INDEX(AllCollegeMoneyCode, MATCH(N455,AllCollegeNCES,0)),"?")</f>
        <v>0</v>
      </c>
      <c r="BX455">
        <f>IF(OR(BW455="---",BW455="--",BW455="+/--",BW455="+/---"),1,0)</f>
        <v>0</v>
      </c>
      <c r="BY455">
        <f>BB455*AR455*AT455</f>
        <v>0</v>
      </c>
    </row>
    <row r="456" spans="1:77">
      <c r="A456" t="s">
        <v>96</v>
      </c>
      <c r="B456">
        <v>23438312</v>
      </c>
      <c r="C456" t="s">
        <v>228</v>
      </c>
      <c r="D456" t="s">
        <v>229</v>
      </c>
      <c r="E456" t="s">
        <v>446</v>
      </c>
      <c r="F456" t="s">
        <v>502</v>
      </c>
      <c r="G456" t="s">
        <v>448</v>
      </c>
      <c r="H456" t="s">
        <v>449</v>
      </c>
      <c r="I456" t="s">
        <v>450</v>
      </c>
      <c r="J456" t="s">
        <v>450</v>
      </c>
      <c r="K456">
        <v>0</v>
      </c>
      <c r="L456" t="s">
        <v>446</v>
      </c>
      <c r="M456" t="s">
        <v>446</v>
      </c>
      <c r="N456">
        <v>170082</v>
      </c>
      <c r="O456">
        <f>INDEX(Counselor,MATCH(B456,KidIDs,0))</f>
        <v>0</v>
      </c>
      <c r="P456">
        <f>INDEX(Advisors,MATCH(B456,KidIDs,0))</f>
        <v>0</v>
      </c>
      <c r="Q456">
        <f>INDEX(Cohort,MATCH(B456,KidIDs,0))</f>
        <v>0</v>
      </c>
      <c r="R456">
        <f>INDEX(AllCollegeBarrons,MATCH(N456,AllCollegeNCES,0))</f>
        <v>0</v>
      </c>
      <c r="S456">
        <f>INDEX(KidGPAs,MATCH(B456,KidIDs,0))</f>
        <v>0</v>
      </c>
      <c r="T456">
        <f>INDEX(KidSATs,MATCH(B456,KidIDs,0))</f>
        <v>0</v>
      </c>
      <c r="U456">
        <f>INDEX(Strats,MATCH(B456,KidIDs,0))</f>
        <v>0</v>
      </c>
      <c r="V456">
        <f>INDEX(KidRace,MATCH(B456,KidIDs,0))</f>
        <v>0</v>
      </c>
      <c r="W456">
        <f>IF(OR(V456="M",V456="I"),"H",IF(V456="P","A",V456))</f>
        <v>0</v>
      </c>
      <c r="X456">
        <f>INDEX(StudentTargets,MATCH(B456,KidIDs,0))</f>
        <v>0</v>
      </c>
      <c r="Y456">
        <f>INDEX(ReachStudentTargets,MATCH(B456,KidIDs,0))</f>
        <v>0</v>
      </c>
      <c r="Z456">
        <f>IF(OR(M456="Posse"),1,0)</f>
        <v>0</v>
      </c>
      <c r="AA456">
        <f>IF(ISNUMBER(INDEX(AllCollegeGR, MATCH(N456,AllCollegeNCES,0))),ROUND(INDEX(AllCollegeGR, MATCH(N456,AllCollegeNCES,0))+Z456*IF(INDEX(AllCollegeGR, MATCH(N456,AllCollegeNCES,0))&gt;0.7,(1-INDEX(AllCollegeGR, MATCH(N456,AllCollegeNCES,0)))/2,0.15),2),INDEX(AllCollegeGR, MATCH(N456,AllCollegeNCES,0)))</f>
        <v>0</v>
      </c>
      <c r="AB456">
        <f>IF(ISNUMBER(INDEX(AllCollegeAAHGR, MATCH(N456,AllCollegeNCES,0))),ROUND(INDEX(AllCollegeAAHGR, MATCH(N456,AllCollegeNCES,0))+Z456*IF(INDEX(AllCollegeAAHGR, MATCH(N456,AllCollegeNCES,0))&gt;0.7,(1-INDEX(AllCollegeAAHGR, MATCH(N456,AllCollegeNCES,0)))/2,0.15),2),INDEX(AllCollegeAAHGR, MATCH(N456,AllCollegeNCES,0)))</f>
        <v>0</v>
      </c>
      <c r="AC456">
        <f>IF(OR(W456="H",W456="B"),INDEX(AllCollegeSAT25, MATCH(N456,AllCollegeNCES,0)),INDEX(AllCollegeSAT50, MATCH(N456,AllCollegeNCES,0)))</f>
        <v>0</v>
      </c>
      <c r="AD456">
        <f>INDEX(CustomWeightsGPA,MATCH(W456&amp;":"&amp;N456,CustomWeightsIndex,0))</f>
        <v>0</v>
      </c>
      <c r="AE456">
        <f>INDEX(CustomWeightsSAT,MATCH(W456&amp;":"&amp;N456,CustomWeightsIndex,0))</f>
        <v>0</v>
      </c>
      <c r="AF456">
        <f>INDEX(CustomWeightsIntercept,MATCH(W456&amp;":"&amp;N456,CustomWeightsIndex,0))</f>
        <v>0</v>
      </c>
      <c r="AG456">
        <f>AD456*S456+AE456*T456+AF456</f>
        <v>0</v>
      </c>
      <c r="AH456">
        <f>INDEX(CoefficientsGPA,MATCH(W456&amp;":"&amp;R456,CoefficientsIndex,0))</f>
        <v>0</v>
      </c>
      <c r="AI456">
        <f>INDEX(CoefficientsSAT,MATCH(W456&amp;":"&amp;R456,CoefficientsIndex,0))</f>
        <v>0</v>
      </c>
      <c r="AJ456">
        <f>INDEX(CoefficientsIntercept,MATCH(W456&amp;":"&amp;R456,CoefficientsIndex,0))</f>
        <v>0</v>
      </c>
      <c r="AK456">
        <f>AH456*S456+(T456-AC456)*AI456+AJ456</f>
        <v>0</v>
      </c>
      <c r="AL456">
        <f>IF(ISNUMBER(AG456),AG456,AK456)</f>
        <v>0</v>
      </c>
      <c r="AM456">
        <f>IF(ISNUMBER(AL456),IF(ISNUMBER(AH456),IF(AND(AH456=1,AI456=1,AJ456=1),100,MIN(99,ROUND(100*EXP(AL456)/(1+EXP(AL456)),2))),MIN(99,ROUND(100*EXP(AL456)/(1+EXP(AL456)),2))),IF(ISTEXT(R456),IF(LEFT(R456,1)="2",100,"N/A"),"N/A"))</f>
        <v>0</v>
      </c>
      <c r="AN456">
        <f>IF(ISNUMBER(AM456),IF(AM456&gt;=99,IF(OR(U456=10,U456=11),MatchLabel,SureThingLabel),IF(AM456&gt;=95,SecureLabel,IF(AM456&gt;=80,SafetyLabel,IF(AM456&gt;=50,MatchLabel,IF(AM456&gt;=20,ReachLabel,IF(AM456&gt;=10,LongshotLabel,HailMaryLabel)))))),"Other")</f>
        <v>0</v>
      </c>
      <c r="AO456">
        <f>IF(OR(I456="accepted",I456="cond. accept",I456="summer admit"),IF(J456="yes","CHOICE!","Accepted!"),IF(I456="guar. transfer","Guar. Xfer",IF(I456="denied","Denied",IF(K456=1,"Waitlist",IF(L456=1,"Deferred",IF(G456="pending","Pending",IF(OR(G456="initial materials submitted",G456="mid-year submitted",G456="final submitted"),"Submitted",IF(H456="interest","Interest","?"))))))))</f>
        <v>0</v>
      </c>
      <c r="AP456">
        <f>IF(OR(AN456=ReachLabel,AN456=LongshotLabel,AN456=HailMaryLabel),1,0)</f>
        <v>0</v>
      </c>
      <c r="AQ456">
        <f>IF(OR(AP456=1,AN456=MatchLabel),1,0)</f>
        <v>0</v>
      </c>
      <c r="AR456">
        <f>IF(OR(AN456=MatchLabel,AN456=SafetyLabel,AN456=SecureLabel,AN456=SureThingLabel),1,0)</f>
        <v>0</v>
      </c>
      <c r="AS456">
        <f>IF(OR(W456="H",W456="B",W456="I",W456="M"),IF(ISNUMBER(AB456),ROUND(AB456,2),0),IF(ISNUMBER(AA456),ROUND(AA456,2),0))</f>
        <v>0</v>
      </c>
      <c r="AT456">
        <f>IF(AS456&gt;=X456,1,0)</f>
        <v>0</v>
      </c>
      <c r="AU456">
        <f>IF(AS456&gt;=Y456,1,0)</f>
        <v>0</v>
      </c>
      <c r="AV456">
        <f>IF(AS456&lt;(X456-0.10),1,0)</f>
        <v>0</v>
      </c>
      <c r="AW456">
        <f>1-AM456/100</f>
        <v>0</v>
      </c>
      <c r="AX456">
        <f>IF(AQ456=1,AW456,1)</f>
        <v>0</v>
      </c>
      <c r="AY456">
        <f>IF(AP456=1,AW456,1)</f>
        <v>0</v>
      </c>
      <c r="AZ456">
        <f>IF(AND(AT456=1,ISNUMBER(AW456)),$AW456,1)</f>
        <v>0</v>
      </c>
      <c r="BA456">
        <f>IF(AND(AU456=1,ISNUMBER(AW456)),$AW456,1)</f>
        <v>0</v>
      </c>
      <c r="BB456">
        <f>IF(ISNUMBER(AB456),INDEX(AllCollegeMoney, MATCH(N456,AllCollegeNCES,0)),0)</f>
        <v>0</v>
      </c>
      <c r="BC456">
        <f>IF(AND(AT456=1,ISNUMBER(AW456),BB456=1),$AW456,1)</f>
        <v>0</v>
      </c>
      <c r="BD456">
        <f>IF(AND(AU456=1,ISNUMBER(AW456),BB456=1),$AW456,1)</f>
        <v>0</v>
      </c>
      <c r="BE456">
        <f>IF(ISNUMBER(AB456),INDEX(AllCollegeILPub, MATCH(N456,AllCollegeNCES,0)),0)</f>
        <v>0</v>
      </c>
      <c r="BF456">
        <f>IF(AN456=ReachLabel,AS456,0)</f>
        <v>0</v>
      </c>
      <c r="BG456">
        <f>IF(AN456=MatchLabel,AS456,0)</f>
        <v>0</v>
      </c>
      <c r="BH456">
        <f>IF(AN456=SafetyLabel,AS456,0)</f>
        <v>0</v>
      </c>
      <c r="BI456">
        <f>IF(AN456=SecureLabel,AS456,0)</f>
        <v>0</v>
      </c>
      <c r="BJ456">
        <f>IF(AN456=SureThingLabel,AS456,0)</f>
        <v>0</v>
      </c>
      <c r="BK456">
        <f>MAX(BF456:BJ456)</f>
        <v>0</v>
      </c>
      <c r="BL456">
        <f>MAX(BG456:BJ456)</f>
        <v>0</v>
      </c>
      <c r="BM456">
        <f>MAX(BH456:BJ456)</f>
        <v>0</v>
      </c>
      <c r="BN456">
        <f>IF(AND(AN456=ReachLabel,BB456=1),AS456,0)</f>
        <v>0</v>
      </c>
      <c r="BO456">
        <f>IF(AND(AN456=MatchLabel,BB456=1),AS456,0)</f>
        <v>0</v>
      </c>
      <c r="BP456">
        <f>IF(AND(AN456=SafetyLabel,BB456=1),AS456,0)</f>
        <v>0</v>
      </c>
      <c r="BQ456">
        <f>IF(AND(AN456=SecureLabel,BB456=1),AS456,0)</f>
        <v>0</v>
      </c>
      <c r="BR456">
        <f>IF(AND(AN456=SureThingLabel,BB456=1),AS456,0)</f>
        <v>0</v>
      </c>
      <c r="BS456">
        <f>MAX(BN456:BR456)</f>
        <v>0</v>
      </c>
      <c r="BT456">
        <f>MAX(BO456:BR456)</f>
        <v>0</v>
      </c>
      <c r="BU456">
        <f>MAX(BP456:BR456)</f>
        <v>0</v>
      </c>
      <c r="BV456">
        <f>IF(ISNUMBER(AB456),INDEX(AllCollegeChicago, MATCH(N456,AllCollegeNCES,0))*BB456,0)</f>
        <v>0</v>
      </c>
      <c r="BW456">
        <f>IF(ISNUMBER(AB456),INDEX(AllCollegeMoneyCode, MATCH(N456,AllCollegeNCES,0)),"?")</f>
        <v>0</v>
      </c>
      <c r="BX456">
        <f>IF(OR(BW456="---",BW456="--",BW456="+/--",BW456="+/---"),1,0)</f>
        <v>0</v>
      </c>
      <c r="BY456">
        <f>BB456*AR456*AT456</f>
        <v>0</v>
      </c>
    </row>
    <row r="457" spans="1:77">
      <c r="A457" t="s">
        <v>96</v>
      </c>
      <c r="B457">
        <v>23438312</v>
      </c>
      <c r="C457" t="s">
        <v>228</v>
      </c>
      <c r="D457" t="s">
        <v>229</v>
      </c>
      <c r="E457" t="s">
        <v>446</v>
      </c>
      <c r="F457" t="s">
        <v>570</v>
      </c>
      <c r="G457" t="s">
        <v>448</v>
      </c>
      <c r="H457" t="s">
        <v>449</v>
      </c>
      <c r="I457" t="s">
        <v>450</v>
      </c>
      <c r="J457" t="s">
        <v>450</v>
      </c>
      <c r="K457">
        <v>0</v>
      </c>
      <c r="L457" t="s">
        <v>446</v>
      </c>
      <c r="M457" t="s">
        <v>446</v>
      </c>
      <c r="N457">
        <v>171456</v>
      </c>
      <c r="O457">
        <f>INDEX(Counselor,MATCH(B457,KidIDs,0))</f>
        <v>0</v>
      </c>
      <c r="P457">
        <f>INDEX(Advisors,MATCH(B457,KidIDs,0))</f>
        <v>0</v>
      </c>
      <c r="Q457">
        <f>INDEX(Cohort,MATCH(B457,KidIDs,0))</f>
        <v>0</v>
      </c>
      <c r="R457">
        <f>INDEX(AllCollegeBarrons,MATCH(N457,AllCollegeNCES,0))</f>
        <v>0</v>
      </c>
      <c r="S457">
        <f>INDEX(KidGPAs,MATCH(B457,KidIDs,0))</f>
        <v>0</v>
      </c>
      <c r="T457">
        <f>INDEX(KidSATs,MATCH(B457,KidIDs,0))</f>
        <v>0</v>
      </c>
      <c r="U457">
        <f>INDEX(Strats,MATCH(B457,KidIDs,0))</f>
        <v>0</v>
      </c>
      <c r="V457">
        <f>INDEX(KidRace,MATCH(B457,KidIDs,0))</f>
        <v>0</v>
      </c>
      <c r="W457">
        <f>IF(OR(V457="M",V457="I"),"H",IF(V457="P","A",V457))</f>
        <v>0</v>
      </c>
      <c r="X457">
        <f>INDEX(StudentTargets,MATCH(B457,KidIDs,0))</f>
        <v>0</v>
      </c>
      <c r="Y457">
        <f>INDEX(ReachStudentTargets,MATCH(B457,KidIDs,0))</f>
        <v>0</v>
      </c>
      <c r="Z457">
        <f>IF(OR(M457="Posse"),1,0)</f>
        <v>0</v>
      </c>
      <c r="AA457">
        <f>IF(ISNUMBER(INDEX(AllCollegeGR, MATCH(N457,AllCollegeNCES,0))),ROUND(INDEX(AllCollegeGR, MATCH(N457,AllCollegeNCES,0))+Z457*IF(INDEX(AllCollegeGR, MATCH(N457,AllCollegeNCES,0))&gt;0.7,(1-INDEX(AllCollegeGR, MATCH(N457,AllCollegeNCES,0)))/2,0.15),2),INDEX(AllCollegeGR, MATCH(N457,AllCollegeNCES,0)))</f>
        <v>0</v>
      </c>
      <c r="AB457">
        <f>IF(ISNUMBER(INDEX(AllCollegeAAHGR, MATCH(N457,AllCollegeNCES,0))),ROUND(INDEX(AllCollegeAAHGR, MATCH(N457,AllCollegeNCES,0))+Z457*IF(INDEX(AllCollegeAAHGR, MATCH(N457,AllCollegeNCES,0))&gt;0.7,(1-INDEX(AllCollegeAAHGR, MATCH(N457,AllCollegeNCES,0)))/2,0.15),2),INDEX(AllCollegeAAHGR, MATCH(N457,AllCollegeNCES,0)))</f>
        <v>0</v>
      </c>
      <c r="AC457">
        <f>IF(OR(W457="H",W457="B"),INDEX(AllCollegeSAT25, MATCH(N457,AllCollegeNCES,0)),INDEX(AllCollegeSAT50, MATCH(N457,AllCollegeNCES,0)))</f>
        <v>0</v>
      </c>
      <c r="AD457">
        <f>INDEX(CustomWeightsGPA,MATCH(W457&amp;":"&amp;N457,CustomWeightsIndex,0))</f>
        <v>0</v>
      </c>
      <c r="AE457">
        <f>INDEX(CustomWeightsSAT,MATCH(W457&amp;":"&amp;N457,CustomWeightsIndex,0))</f>
        <v>0</v>
      </c>
      <c r="AF457">
        <f>INDEX(CustomWeightsIntercept,MATCH(W457&amp;":"&amp;N457,CustomWeightsIndex,0))</f>
        <v>0</v>
      </c>
      <c r="AG457">
        <f>AD457*S457+AE457*T457+AF457</f>
        <v>0</v>
      </c>
      <c r="AH457">
        <f>INDEX(CoefficientsGPA,MATCH(W457&amp;":"&amp;R457,CoefficientsIndex,0))</f>
        <v>0</v>
      </c>
      <c r="AI457">
        <f>INDEX(CoefficientsSAT,MATCH(W457&amp;":"&amp;R457,CoefficientsIndex,0))</f>
        <v>0</v>
      </c>
      <c r="AJ457">
        <f>INDEX(CoefficientsIntercept,MATCH(W457&amp;":"&amp;R457,CoefficientsIndex,0))</f>
        <v>0</v>
      </c>
      <c r="AK457">
        <f>AH457*S457+(T457-AC457)*AI457+AJ457</f>
        <v>0</v>
      </c>
      <c r="AL457">
        <f>IF(ISNUMBER(AG457),AG457,AK457)</f>
        <v>0</v>
      </c>
      <c r="AM457">
        <f>IF(ISNUMBER(AL457),IF(ISNUMBER(AH457),IF(AND(AH457=1,AI457=1,AJ457=1),100,MIN(99,ROUND(100*EXP(AL457)/(1+EXP(AL457)),2))),MIN(99,ROUND(100*EXP(AL457)/(1+EXP(AL457)),2))),IF(ISTEXT(R457),IF(LEFT(R457,1)="2",100,"N/A"),"N/A"))</f>
        <v>0</v>
      </c>
      <c r="AN457">
        <f>IF(ISNUMBER(AM457),IF(AM457&gt;=99,IF(OR(U457=10,U457=11),MatchLabel,SureThingLabel),IF(AM457&gt;=95,SecureLabel,IF(AM457&gt;=80,SafetyLabel,IF(AM457&gt;=50,MatchLabel,IF(AM457&gt;=20,ReachLabel,IF(AM457&gt;=10,LongshotLabel,HailMaryLabel)))))),"Other")</f>
        <v>0</v>
      </c>
      <c r="AO457">
        <f>IF(OR(I457="accepted",I457="cond. accept",I457="summer admit"),IF(J457="yes","CHOICE!","Accepted!"),IF(I457="guar. transfer","Guar. Xfer",IF(I457="denied","Denied",IF(K457=1,"Waitlist",IF(L457=1,"Deferred",IF(G457="pending","Pending",IF(OR(G457="initial materials submitted",G457="mid-year submitted",G457="final submitted"),"Submitted",IF(H457="interest","Interest","?"))))))))</f>
        <v>0</v>
      </c>
      <c r="AP457">
        <f>IF(OR(AN457=ReachLabel,AN457=LongshotLabel,AN457=HailMaryLabel),1,0)</f>
        <v>0</v>
      </c>
      <c r="AQ457">
        <f>IF(OR(AP457=1,AN457=MatchLabel),1,0)</f>
        <v>0</v>
      </c>
      <c r="AR457">
        <f>IF(OR(AN457=MatchLabel,AN457=SafetyLabel,AN457=SecureLabel,AN457=SureThingLabel),1,0)</f>
        <v>0</v>
      </c>
      <c r="AS457">
        <f>IF(OR(W457="H",W457="B",W457="I",W457="M"),IF(ISNUMBER(AB457),ROUND(AB457,2),0),IF(ISNUMBER(AA457),ROUND(AA457,2),0))</f>
        <v>0</v>
      </c>
      <c r="AT457">
        <f>IF(AS457&gt;=X457,1,0)</f>
        <v>0</v>
      </c>
      <c r="AU457">
        <f>IF(AS457&gt;=Y457,1,0)</f>
        <v>0</v>
      </c>
      <c r="AV457">
        <f>IF(AS457&lt;(X457-0.10),1,0)</f>
        <v>0</v>
      </c>
      <c r="AW457">
        <f>1-AM457/100</f>
        <v>0</v>
      </c>
      <c r="AX457">
        <f>IF(AQ457=1,AW457,1)</f>
        <v>0</v>
      </c>
      <c r="AY457">
        <f>IF(AP457=1,AW457,1)</f>
        <v>0</v>
      </c>
      <c r="AZ457">
        <f>IF(AND(AT457=1,ISNUMBER(AW457)),$AW457,1)</f>
        <v>0</v>
      </c>
      <c r="BA457">
        <f>IF(AND(AU457=1,ISNUMBER(AW457)),$AW457,1)</f>
        <v>0</v>
      </c>
      <c r="BB457">
        <f>IF(ISNUMBER(AB457),INDEX(AllCollegeMoney, MATCH(N457,AllCollegeNCES,0)),0)</f>
        <v>0</v>
      </c>
      <c r="BC457">
        <f>IF(AND(AT457=1,ISNUMBER(AW457),BB457=1),$AW457,1)</f>
        <v>0</v>
      </c>
      <c r="BD457">
        <f>IF(AND(AU457=1,ISNUMBER(AW457),BB457=1),$AW457,1)</f>
        <v>0</v>
      </c>
      <c r="BE457">
        <f>IF(ISNUMBER(AB457),INDEX(AllCollegeILPub, MATCH(N457,AllCollegeNCES,0)),0)</f>
        <v>0</v>
      </c>
      <c r="BF457">
        <f>IF(AN457=ReachLabel,AS457,0)</f>
        <v>0</v>
      </c>
      <c r="BG457">
        <f>IF(AN457=MatchLabel,AS457,0)</f>
        <v>0</v>
      </c>
      <c r="BH457">
        <f>IF(AN457=SafetyLabel,AS457,0)</f>
        <v>0</v>
      </c>
      <c r="BI457">
        <f>IF(AN457=SecureLabel,AS457,0)</f>
        <v>0</v>
      </c>
      <c r="BJ457">
        <f>IF(AN457=SureThingLabel,AS457,0)</f>
        <v>0</v>
      </c>
      <c r="BK457">
        <f>MAX(BF457:BJ457)</f>
        <v>0</v>
      </c>
      <c r="BL457">
        <f>MAX(BG457:BJ457)</f>
        <v>0</v>
      </c>
      <c r="BM457">
        <f>MAX(BH457:BJ457)</f>
        <v>0</v>
      </c>
      <c r="BN457">
        <f>IF(AND(AN457=ReachLabel,BB457=1),AS457,0)</f>
        <v>0</v>
      </c>
      <c r="BO457">
        <f>IF(AND(AN457=MatchLabel,BB457=1),AS457,0)</f>
        <v>0</v>
      </c>
      <c r="BP457">
        <f>IF(AND(AN457=SafetyLabel,BB457=1),AS457,0)</f>
        <v>0</v>
      </c>
      <c r="BQ457">
        <f>IF(AND(AN457=SecureLabel,BB457=1),AS457,0)</f>
        <v>0</v>
      </c>
      <c r="BR457">
        <f>IF(AND(AN457=SureThingLabel,BB457=1),AS457,0)</f>
        <v>0</v>
      </c>
      <c r="BS457">
        <f>MAX(BN457:BR457)</f>
        <v>0</v>
      </c>
      <c r="BT457">
        <f>MAX(BO457:BR457)</f>
        <v>0</v>
      </c>
      <c r="BU457">
        <f>MAX(BP457:BR457)</f>
        <v>0</v>
      </c>
      <c r="BV457">
        <f>IF(ISNUMBER(AB457),INDEX(AllCollegeChicago, MATCH(N457,AllCollegeNCES,0))*BB457,0)</f>
        <v>0</v>
      </c>
      <c r="BW457">
        <f>IF(ISNUMBER(AB457),INDEX(AllCollegeMoneyCode, MATCH(N457,AllCollegeNCES,0)),"?")</f>
        <v>0</v>
      </c>
      <c r="BX457">
        <f>IF(OR(BW457="---",BW457="--",BW457="+/--",BW457="+/---"),1,0)</f>
        <v>0</v>
      </c>
      <c r="BY457">
        <f>BB457*AR457*AT457</f>
        <v>0</v>
      </c>
    </row>
    <row r="458" spans="1:77">
      <c r="A458" t="s">
        <v>96</v>
      </c>
      <c r="B458">
        <v>23452595</v>
      </c>
      <c r="C458" t="s">
        <v>347</v>
      </c>
      <c r="D458" t="s">
        <v>348</v>
      </c>
      <c r="E458" t="s">
        <v>446</v>
      </c>
      <c r="F458" t="s">
        <v>447</v>
      </c>
      <c r="G458" t="s">
        <v>448</v>
      </c>
      <c r="H458" t="s">
        <v>449</v>
      </c>
      <c r="I458" t="s">
        <v>450</v>
      </c>
      <c r="J458" t="s">
        <v>450</v>
      </c>
      <c r="K458">
        <v>0</v>
      </c>
      <c r="L458" t="s">
        <v>446</v>
      </c>
      <c r="M458" t="s">
        <v>446</v>
      </c>
      <c r="N458">
        <v>148496</v>
      </c>
      <c r="O458">
        <f>INDEX(Counselor,MATCH(B458,KidIDs,0))</f>
        <v>0</v>
      </c>
      <c r="P458">
        <f>INDEX(Advisors,MATCH(B458,KidIDs,0))</f>
        <v>0</v>
      </c>
      <c r="Q458">
        <f>INDEX(Cohort,MATCH(B458,KidIDs,0))</f>
        <v>0</v>
      </c>
      <c r="R458">
        <f>INDEX(AllCollegeBarrons,MATCH(N458,AllCollegeNCES,0))</f>
        <v>0</v>
      </c>
      <c r="S458">
        <f>INDEX(KidGPAs,MATCH(B458,KidIDs,0))</f>
        <v>0</v>
      </c>
      <c r="T458">
        <f>INDEX(KidSATs,MATCH(B458,KidIDs,0))</f>
        <v>0</v>
      </c>
      <c r="U458">
        <f>INDEX(Strats,MATCH(B458,KidIDs,0))</f>
        <v>0</v>
      </c>
      <c r="V458">
        <f>INDEX(KidRace,MATCH(B458,KidIDs,0))</f>
        <v>0</v>
      </c>
      <c r="W458">
        <f>IF(OR(V458="M",V458="I"),"H",IF(V458="P","A",V458))</f>
        <v>0</v>
      </c>
      <c r="X458">
        <f>INDEX(StudentTargets,MATCH(B458,KidIDs,0))</f>
        <v>0</v>
      </c>
      <c r="Y458">
        <f>INDEX(ReachStudentTargets,MATCH(B458,KidIDs,0))</f>
        <v>0</v>
      </c>
      <c r="Z458">
        <f>IF(OR(M458="Posse"),1,0)</f>
        <v>0</v>
      </c>
      <c r="AA458">
        <f>IF(ISNUMBER(INDEX(AllCollegeGR, MATCH(N458,AllCollegeNCES,0))),ROUND(INDEX(AllCollegeGR, MATCH(N458,AllCollegeNCES,0))+Z458*IF(INDEX(AllCollegeGR, MATCH(N458,AllCollegeNCES,0))&gt;0.7,(1-INDEX(AllCollegeGR, MATCH(N458,AllCollegeNCES,0)))/2,0.15),2),INDEX(AllCollegeGR, MATCH(N458,AllCollegeNCES,0)))</f>
        <v>0</v>
      </c>
      <c r="AB458">
        <f>IF(ISNUMBER(INDEX(AllCollegeAAHGR, MATCH(N458,AllCollegeNCES,0))),ROUND(INDEX(AllCollegeAAHGR, MATCH(N458,AllCollegeNCES,0))+Z458*IF(INDEX(AllCollegeAAHGR, MATCH(N458,AllCollegeNCES,0))&gt;0.7,(1-INDEX(AllCollegeAAHGR, MATCH(N458,AllCollegeNCES,0)))/2,0.15),2),INDEX(AllCollegeAAHGR, MATCH(N458,AllCollegeNCES,0)))</f>
        <v>0</v>
      </c>
      <c r="AC458">
        <f>IF(OR(W458="H",W458="B"),INDEX(AllCollegeSAT25, MATCH(N458,AllCollegeNCES,0)),INDEX(AllCollegeSAT50, MATCH(N458,AllCollegeNCES,0)))</f>
        <v>0</v>
      </c>
      <c r="AD458">
        <f>INDEX(CustomWeightsGPA,MATCH(W458&amp;":"&amp;N458,CustomWeightsIndex,0))</f>
        <v>0</v>
      </c>
      <c r="AE458">
        <f>INDEX(CustomWeightsSAT,MATCH(W458&amp;":"&amp;N458,CustomWeightsIndex,0))</f>
        <v>0</v>
      </c>
      <c r="AF458">
        <f>INDEX(CustomWeightsIntercept,MATCH(W458&amp;":"&amp;N458,CustomWeightsIndex,0))</f>
        <v>0</v>
      </c>
      <c r="AG458">
        <f>AD458*S458+AE458*T458+AF458</f>
        <v>0</v>
      </c>
      <c r="AH458">
        <f>INDEX(CoefficientsGPA,MATCH(W458&amp;":"&amp;R458,CoefficientsIndex,0))</f>
        <v>0</v>
      </c>
      <c r="AI458">
        <f>INDEX(CoefficientsSAT,MATCH(W458&amp;":"&amp;R458,CoefficientsIndex,0))</f>
        <v>0</v>
      </c>
      <c r="AJ458">
        <f>INDEX(CoefficientsIntercept,MATCH(W458&amp;":"&amp;R458,CoefficientsIndex,0))</f>
        <v>0</v>
      </c>
      <c r="AK458">
        <f>AH458*S458+(T458-AC458)*AI458+AJ458</f>
        <v>0</v>
      </c>
      <c r="AL458">
        <f>IF(ISNUMBER(AG458),AG458,AK458)</f>
        <v>0</v>
      </c>
      <c r="AM458">
        <f>IF(ISNUMBER(AL458),IF(ISNUMBER(AH458),IF(AND(AH458=1,AI458=1,AJ458=1),100,MIN(99,ROUND(100*EXP(AL458)/(1+EXP(AL458)),2))),MIN(99,ROUND(100*EXP(AL458)/(1+EXP(AL458)),2))),IF(ISTEXT(R458),IF(LEFT(R458,1)="2",100,"N/A"),"N/A"))</f>
        <v>0</v>
      </c>
      <c r="AN458">
        <f>IF(ISNUMBER(AM458),IF(AM458&gt;=99,IF(OR(U458=10,U458=11),MatchLabel,SureThingLabel),IF(AM458&gt;=95,SecureLabel,IF(AM458&gt;=80,SafetyLabel,IF(AM458&gt;=50,MatchLabel,IF(AM458&gt;=20,ReachLabel,IF(AM458&gt;=10,LongshotLabel,HailMaryLabel)))))),"Other")</f>
        <v>0</v>
      </c>
      <c r="AO458">
        <f>IF(OR(I458="accepted",I458="cond. accept",I458="summer admit"),IF(J458="yes","CHOICE!","Accepted!"),IF(I458="guar. transfer","Guar. Xfer",IF(I458="denied","Denied",IF(K458=1,"Waitlist",IF(L458=1,"Deferred",IF(G458="pending","Pending",IF(OR(G458="initial materials submitted",G458="mid-year submitted",G458="final submitted"),"Submitted",IF(H458="interest","Interest","?"))))))))</f>
        <v>0</v>
      </c>
      <c r="AP458">
        <f>IF(OR(AN458=ReachLabel,AN458=LongshotLabel,AN458=HailMaryLabel),1,0)</f>
        <v>0</v>
      </c>
      <c r="AQ458">
        <f>IF(OR(AP458=1,AN458=MatchLabel),1,0)</f>
        <v>0</v>
      </c>
      <c r="AR458">
        <f>IF(OR(AN458=MatchLabel,AN458=SafetyLabel,AN458=SecureLabel,AN458=SureThingLabel),1,0)</f>
        <v>0</v>
      </c>
      <c r="AS458">
        <f>IF(OR(W458="H",W458="B",W458="I",W458="M"),IF(ISNUMBER(AB458),ROUND(AB458,2),0),IF(ISNUMBER(AA458),ROUND(AA458,2),0))</f>
        <v>0</v>
      </c>
      <c r="AT458">
        <f>IF(AS458&gt;=X458,1,0)</f>
        <v>0</v>
      </c>
      <c r="AU458">
        <f>IF(AS458&gt;=Y458,1,0)</f>
        <v>0</v>
      </c>
      <c r="AV458">
        <f>IF(AS458&lt;(X458-0.10),1,0)</f>
        <v>0</v>
      </c>
      <c r="AW458">
        <f>1-AM458/100</f>
        <v>0</v>
      </c>
      <c r="AX458">
        <f>IF(AQ458=1,AW458,1)</f>
        <v>0</v>
      </c>
      <c r="AY458">
        <f>IF(AP458=1,AW458,1)</f>
        <v>0</v>
      </c>
      <c r="AZ458">
        <f>IF(AND(AT458=1,ISNUMBER(AW458)),$AW458,1)</f>
        <v>0</v>
      </c>
      <c r="BA458">
        <f>IF(AND(AU458=1,ISNUMBER(AW458)),$AW458,1)</f>
        <v>0</v>
      </c>
      <c r="BB458">
        <f>IF(ISNUMBER(AB458),INDEX(AllCollegeMoney, MATCH(N458,AllCollegeNCES,0)),0)</f>
        <v>0</v>
      </c>
      <c r="BC458">
        <f>IF(AND(AT458=1,ISNUMBER(AW458),BB458=1),$AW458,1)</f>
        <v>0</v>
      </c>
      <c r="BD458">
        <f>IF(AND(AU458=1,ISNUMBER(AW458),BB458=1),$AW458,1)</f>
        <v>0</v>
      </c>
      <c r="BE458">
        <f>IF(ISNUMBER(AB458),INDEX(AllCollegeILPub, MATCH(N458,AllCollegeNCES,0)),0)</f>
        <v>0</v>
      </c>
      <c r="BF458">
        <f>IF(AN458=ReachLabel,AS458,0)</f>
        <v>0</v>
      </c>
      <c r="BG458">
        <f>IF(AN458=MatchLabel,AS458,0)</f>
        <v>0</v>
      </c>
      <c r="BH458">
        <f>IF(AN458=SafetyLabel,AS458,0)</f>
        <v>0</v>
      </c>
      <c r="BI458">
        <f>IF(AN458=SecureLabel,AS458,0)</f>
        <v>0</v>
      </c>
      <c r="BJ458">
        <f>IF(AN458=SureThingLabel,AS458,0)</f>
        <v>0</v>
      </c>
      <c r="BK458">
        <f>MAX(BF458:BJ458)</f>
        <v>0</v>
      </c>
      <c r="BL458">
        <f>MAX(BG458:BJ458)</f>
        <v>0</v>
      </c>
      <c r="BM458">
        <f>MAX(BH458:BJ458)</f>
        <v>0</v>
      </c>
      <c r="BN458">
        <f>IF(AND(AN458=ReachLabel,BB458=1),AS458,0)</f>
        <v>0</v>
      </c>
      <c r="BO458">
        <f>IF(AND(AN458=MatchLabel,BB458=1),AS458,0)</f>
        <v>0</v>
      </c>
      <c r="BP458">
        <f>IF(AND(AN458=SafetyLabel,BB458=1),AS458,0)</f>
        <v>0</v>
      </c>
      <c r="BQ458">
        <f>IF(AND(AN458=SecureLabel,BB458=1),AS458,0)</f>
        <v>0</v>
      </c>
      <c r="BR458">
        <f>IF(AND(AN458=SureThingLabel,BB458=1),AS458,0)</f>
        <v>0</v>
      </c>
      <c r="BS458">
        <f>MAX(BN458:BR458)</f>
        <v>0</v>
      </c>
      <c r="BT458">
        <f>MAX(BO458:BR458)</f>
        <v>0</v>
      </c>
      <c r="BU458">
        <f>MAX(BP458:BR458)</f>
        <v>0</v>
      </c>
      <c r="BV458">
        <f>IF(ISNUMBER(AB458),INDEX(AllCollegeChicago, MATCH(N458,AllCollegeNCES,0))*BB458,0)</f>
        <v>0</v>
      </c>
      <c r="BW458">
        <f>IF(ISNUMBER(AB458),INDEX(AllCollegeMoneyCode, MATCH(N458,AllCollegeNCES,0)),"?")</f>
        <v>0</v>
      </c>
      <c r="BX458">
        <f>IF(OR(BW458="---",BW458="--",BW458="+/--",BW458="+/---"),1,0)</f>
        <v>0</v>
      </c>
      <c r="BY458">
        <f>BB458*AR458*AT458</f>
        <v>0</v>
      </c>
    </row>
    <row r="459" spans="1:77">
      <c r="A459" t="s">
        <v>96</v>
      </c>
      <c r="B459">
        <v>23452595</v>
      </c>
      <c r="C459" t="s">
        <v>347</v>
      </c>
      <c r="D459" t="s">
        <v>348</v>
      </c>
      <c r="E459" t="s">
        <v>446</v>
      </c>
      <c r="F459" t="s">
        <v>478</v>
      </c>
      <c r="G459" t="s">
        <v>448</v>
      </c>
      <c r="H459" t="s">
        <v>449</v>
      </c>
      <c r="I459" t="s">
        <v>450</v>
      </c>
      <c r="J459" t="s">
        <v>450</v>
      </c>
      <c r="K459">
        <v>0</v>
      </c>
      <c r="L459" t="s">
        <v>446</v>
      </c>
      <c r="M459" t="s">
        <v>446</v>
      </c>
      <c r="N459">
        <v>168546</v>
      </c>
      <c r="O459">
        <f>INDEX(Counselor,MATCH(B459,KidIDs,0))</f>
        <v>0</v>
      </c>
      <c r="P459">
        <f>INDEX(Advisors,MATCH(B459,KidIDs,0))</f>
        <v>0</v>
      </c>
      <c r="Q459">
        <f>INDEX(Cohort,MATCH(B459,KidIDs,0))</f>
        <v>0</v>
      </c>
      <c r="R459">
        <f>INDEX(AllCollegeBarrons,MATCH(N459,AllCollegeNCES,0))</f>
        <v>0</v>
      </c>
      <c r="S459">
        <f>INDEX(KidGPAs,MATCH(B459,KidIDs,0))</f>
        <v>0</v>
      </c>
      <c r="T459">
        <f>INDEX(KidSATs,MATCH(B459,KidIDs,0))</f>
        <v>0</v>
      </c>
      <c r="U459">
        <f>INDEX(Strats,MATCH(B459,KidIDs,0))</f>
        <v>0</v>
      </c>
      <c r="V459">
        <f>INDEX(KidRace,MATCH(B459,KidIDs,0))</f>
        <v>0</v>
      </c>
      <c r="W459">
        <f>IF(OR(V459="M",V459="I"),"H",IF(V459="P","A",V459))</f>
        <v>0</v>
      </c>
      <c r="X459">
        <f>INDEX(StudentTargets,MATCH(B459,KidIDs,0))</f>
        <v>0</v>
      </c>
      <c r="Y459">
        <f>INDEX(ReachStudentTargets,MATCH(B459,KidIDs,0))</f>
        <v>0</v>
      </c>
      <c r="Z459">
        <f>IF(OR(M459="Posse"),1,0)</f>
        <v>0</v>
      </c>
      <c r="AA459">
        <f>IF(ISNUMBER(INDEX(AllCollegeGR, MATCH(N459,AllCollegeNCES,0))),ROUND(INDEX(AllCollegeGR, MATCH(N459,AllCollegeNCES,0))+Z459*IF(INDEX(AllCollegeGR, MATCH(N459,AllCollegeNCES,0))&gt;0.7,(1-INDEX(AllCollegeGR, MATCH(N459,AllCollegeNCES,0)))/2,0.15),2),INDEX(AllCollegeGR, MATCH(N459,AllCollegeNCES,0)))</f>
        <v>0</v>
      </c>
      <c r="AB459">
        <f>IF(ISNUMBER(INDEX(AllCollegeAAHGR, MATCH(N459,AllCollegeNCES,0))),ROUND(INDEX(AllCollegeAAHGR, MATCH(N459,AllCollegeNCES,0))+Z459*IF(INDEX(AllCollegeAAHGR, MATCH(N459,AllCollegeNCES,0))&gt;0.7,(1-INDEX(AllCollegeAAHGR, MATCH(N459,AllCollegeNCES,0)))/2,0.15),2),INDEX(AllCollegeAAHGR, MATCH(N459,AllCollegeNCES,0)))</f>
        <v>0</v>
      </c>
      <c r="AC459">
        <f>IF(OR(W459="H",W459="B"),INDEX(AllCollegeSAT25, MATCH(N459,AllCollegeNCES,0)),INDEX(AllCollegeSAT50, MATCH(N459,AllCollegeNCES,0)))</f>
        <v>0</v>
      </c>
      <c r="AD459">
        <f>INDEX(CustomWeightsGPA,MATCH(W459&amp;":"&amp;N459,CustomWeightsIndex,0))</f>
        <v>0</v>
      </c>
      <c r="AE459">
        <f>INDEX(CustomWeightsSAT,MATCH(W459&amp;":"&amp;N459,CustomWeightsIndex,0))</f>
        <v>0</v>
      </c>
      <c r="AF459">
        <f>INDEX(CustomWeightsIntercept,MATCH(W459&amp;":"&amp;N459,CustomWeightsIndex,0))</f>
        <v>0</v>
      </c>
      <c r="AG459">
        <f>AD459*S459+AE459*T459+AF459</f>
        <v>0</v>
      </c>
      <c r="AH459">
        <f>INDEX(CoefficientsGPA,MATCH(W459&amp;":"&amp;R459,CoefficientsIndex,0))</f>
        <v>0</v>
      </c>
      <c r="AI459">
        <f>INDEX(CoefficientsSAT,MATCH(W459&amp;":"&amp;R459,CoefficientsIndex,0))</f>
        <v>0</v>
      </c>
      <c r="AJ459">
        <f>INDEX(CoefficientsIntercept,MATCH(W459&amp;":"&amp;R459,CoefficientsIndex,0))</f>
        <v>0</v>
      </c>
      <c r="AK459">
        <f>AH459*S459+(T459-AC459)*AI459+AJ459</f>
        <v>0</v>
      </c>
      <c r="AL459">
        <f>IF(ISNUMBER(AG459),AG459,AK459)</f>
        <v>0</v>
      </c>
      <c r="AM459">
        <f>IF(ISNUMBER(AL459),IF(ISNUMBER(AH459),IF(AND(AH459=1,AI459=1,AJ459=1),100,MIN(99,ROUND(100*EXP(AL459)/(1+EXP(AL459)),2))),MIN(99,ROUND(100*EXP(AL459)/(1+EXP(AL459)),2))),IF(ISTEXT(R459),IF(LEFT(R459,1)="2",100,"N/A"),"N/A"))</f>
        <v>0</v>
      </c>
      <c r="AN459">
        <f>IF(ISNUMBER(AM459),IF(AM459&gt;=99,IF(OR(U459=10,U459=11),MatchLabel,SureThingLabel),IF(AM459&gt;=95,SecureLabel,IF(AM459&gt;=80,SafetyLabel,IF(AM459&gt;=50,MatchLabel,IF(AM459&gt;=20,ReachLabel,IF(AM459&gt;=10,LongshotLabel,HailMaryLabel)))))),"Other")</f>
        <v>0</v>
      </c>
      <c r="AO459">
        <f>IF(OR(I459="accepted",I459="cond. accept",I459="summer admit"),IF(J459="yes","CHOICE!","Accepted!"),IF(I459="guar. transfer","Guar. Xfer",IF(I459="denied","Denied",IF(K459=1,"Waitlist",IF(L459=1,"Deferred",IF(G459="pending","Pending",IF(OR(G459="initial materials submitted",G459="mid-year submitted",G459="final submitted"),"Submitted",IF(H459="interest","Interest","?"))))))))</f>
        <v>0</v>
      </c>
      <c r="AP459">
        <f>IF(OR(AN459=ReachLabel,AN459=LongshotLabel,AN459=HailMaryLabel),1,0)</f>
        <v>0</v>
      </c>
      <c r="AQ459">
        <f>IF(OR(AP459=1,AN459=MatchLabel),1,0)</f>
        <v>0</v>
      </c>
      <c r="AR459">
        <f>IF(OR(AN459=MatchLabel,AN459=SafetyLabel,AN459=SecureLabel,AN459=SureThingLabel),1,0)</f>
        <v>0</v>
      </c>
      <c r="AS459">
        <f>IF(OR(W459="H",W459="B",W459="I",W459="M"),IF(ISNUMBER(AB459),ROUND(AB459,2),0),IF(ISNUMBER(AA459),ROUND(AA459,2),0))</f>
        <v>0</v>
      </c>
      <c r="AT459">
        <f>IF(AS459&gt;=X459,1,0)</f>
        <v>0</v>
      </c>
      <c r="AU459">
        <f>IF(AS459&gt;=Y459,1,0)</f>
        <v>0</v>
      </c>
      <c r="AV459">
        <f>IF(AS459&lt;(X459-0.10),1,0)</f>
        <v>0</v>
      </c>
      <c r="AW459">
        <f>1-AM459/100</f>
        <v>0</v>
      </c>
      <c r="AX459">
        <f>IF(AQ459=1,AW459,1)</f>
        <v>0</v>
      </c>
      <c r="AY459">
        <f>IF(AP459=1,AW459,1)</f>
        <v>0</v>
      </c>
      <c r="AZ459">
        <f>IF(AND(AT459=1,ISNUMBER(AW459)),$AW459,1)</f>
        <v>0</v>
      </c>
      <c r="BA459">
        <f>IF(AND(AU459=1,ISNUMBER(AW459)),$AW459,1)</f>
        <v>0</v>
      </c>
      <c r="BB459">
        <f>IF(ISNUMBER(AB459),INDEX(AllCollegeMoney, MATCH(N459,AllCollegeNCES,0)),0)</f>
        <v>0</v>
      </c>
      <c r="BC459">
        <f>IF(AND(AT459=1,ISNUMBER(AW459),BB459=1),$AW459,1)</f>
        <v>0</v>
      </c>
      <c r="BD459">
        <f>IF(AND(AU459=1,ISNUMBER(AW459),BB459=1),$AW459,1)</f>
        <v>0</v>
      </c>
      <c r="BE459">
        <f>IF(ISNUMBER(AB459),INDEX(AllCollegeILPub, MATCH(N459,AllCollegeNCES,0)),0)</f>
        <v>0</v>
      </c>
      <c r="BF459">
        <f>IF(AN459=ReachLabel,AS459,0)</f>
        <v>0</v>
      </c>
      <c r="BG459">
        <f>IF(AN459=MatchLabel,AS459,0)</f>
        <v>0</v>
      </c>
      <c r="BH459">
        <f>IF(AN459=SafetyLabel,AS459,0)</f>
        <v>0</v>
      </c>
      <c r="BI459">
        <f>IF(AN459=SecureLabel,AS459,0)</f>
        <v>0</v>
      </c>
      <c r="BJ459">
        <f>IF(AN459=SureThingLabel,AS459,0)</f>
        <v>0</v>
      </c>
      <c r="BK459">
        <f>MAX(BF459:BJ459)</f>
        <v>0</v>
      </c>
      <c r="BL459">
        <f>MAX(BG459:BJ459)</f>
        <v>0</v>
      </c>
      <c r="BM459">
        <f>MAX(BH459:BJ459)</f>
        <v>0</v>
      </c>
      <c r="BN459">
        <f>IF(AND(AN459=ReachLabel,BB459=1),AS459,0)</f>
        <v>0</v>
      </c>
      <c r="BO459">
        <f>IF(AND(AN459=MatchLabel,BB459=1),AS459,0)</f>
        <v>0</v>
      </c>
      <c r="BP459">
        <f>IF(AND(AN459=SafetyLabel,BB459=1),AS459,0)</f>
        <v>0</v>
      </c>
      <c r="BQ459">
        <f>IF(AND(AN459=SecureLabel,BB459=1),AS459,0)</f>
        <v>0</v>
      </c>
      <c r="BR459">
        <f>IF(AND(AN459=SureThingLabel,BB459=1),AS459,0)</f>
        <v>0</v>
      </c>
      <c r="BS459">
        <f>MAX(BN459:BR459)</f>
        <v>0</v>
      </c>
      <c r="BT459">
        <f>MAX(BO459:BR459)</f>
        <v>0</v>
      </c>
      <c r="BU459">
        <f>MAX(BP459:BR459)</f>
        <v>0</v>
      </c>
      <c r="BV459">
        <f>IF(ISNUMBER(AB459),INDEX(AllCollegeChicago, MATCH(N459,AllCollegeNCES,0))*BB459,0)</f>
        <v>0</v>
      </c>
      <c r="BW459">
        <f>IF(ISNUMBER(AB459),INDEX(AllCollegeMoneyCode, MATCH(N459,AllCollegeNCES,0)),"?")</f>
        <v>0</v>
      </c>
      <c r="BX459">
        <f>IF(OR(BW459="---",BW459="--",BW459="+/--",BW459="+/---"),1,0)</f>
        <v>0</v>
      </c>
      <c r="BY459">
        <f>BB459*AR459*AT459</f>
        <v>0</v>
      </c>
    </row>
    <row r="460" spans="1:77">
      <c r="A460" t="s">
        <v>96</v>
      </c>
      <c r="B460">
        <v>23452595</v>
      </c>
      <c r="C460" t="s">
        <v>347</v>
      </c>
      <c r="D460" t="s">
        <v>348</v>
      </c>
      <c r="E460" t="s">
        <v>446</v>
      </c>
      <c r="F460" t="s">
        <v>451</v>
      </c>
      <c r="G460" t="s">
        <v>448</v>
      </c>
      <c r="H460" t="s">
        <v>449</v>
      </c>
      <c r="I460" t="s">
        <v>450</v>
      </c>
      <c r="J460" t="s">
        <v>450</v>
      </c>
      <c r="K460">
        <v>0</v>
      </c>
      <c r="L460" t="s">
        <v>446</v>
      </c>
      <c r="M460" t="s">
        <v>446</v>
      </c>
      <c r="N460">
        <v>144962</v>
      </c>
      <c r="O460">
        <f>INDEX(Counselor,MATCH(B460,KidIDs,0))</f>
        <v>0</v>
      </c>
      <c r="P460">
        <f>INDEX(Advisors,MATCH(B460,KidIDs,0))</f>
        <v>0</v>
      </c>
      <c r="Q460">
        <f>INDEX(Cohort,MATCH(B460,KidIDs,0))</f>
        <v>0</v>
      </c>
      <c r="R460">
        <f>INDEX(AllCollegeBarrons,MATCH(N460,AllCollegeNCES,0))</f>
        <v>0</v>
      </c>
      <c r="S460">
        <f>INDEX(KidGPAs,MATCH(B460,KidIDs,0))</f>
        <v>0</v>
      </c>
      <c r="T460">
        <f>INDEX(KidSATs,MATCH(B460,KidIDs,0))</f>
        <v>0</v>
      </c>
      <c r="U460">
        <f>INDEX(Strats,MATCH(B460,KidIDs,0))</f>
        <v>0</v>
      </c>
      <c r="V460">
        <f>INDEX(KidRace,MATCH(B460,KidIDs,0))</f>
        <v>0</v>
      </c>
      <c r="W460">
        <f>IF(OR(V460="M",V460="I"),"H",IF(V460="P","A",V460))</f>
        <v>0</v>
      </c>
      <c r="X460">
        <f>INDEX(StudentTargets,MATCH(B460,KidIDs,0))</f>
        <v>0</v>
      </c>
      <c r="Y460">
        <f>INDEX(ReachStudentTargets,MATCH(B460,KidIDs,0))</f>
        <v>0</v>
      </c>
      <c r="Z460">
        <f>IF(OR(M460="Posse"),1,0)</f>
        <v>0</v>
      </c>
      <c r="AA460">
        <f>IF(ISNUMBER(INDEX(AllCollegeGR, MATCH(N460,AllCollegeNCES,0))),ROUND(INDEX(AllCollegeGR, MATCH(N460,AllCollegeNCES,0))+Z460*IF(INDEX(AllCollegeGR, MATCH(N460,AllCollegeNCES,0))&gt;0.7,(1-INDEX(AllCollegeGR, MATCH(N460,AllCollegeNCES,0)))/2,0.15),2),INDEX(AllCollegeGR, MATCH(N460,AllCollegeNCES,0)))</f>
        <v>0</v>
      </c>
      <c r="AB460">
        <f>IF(ISNUMBER(INDEX(AllCollegeAAHGR, MATCH(N460,AllCollegeNCES,0))),ROUND(INDEX(AllCollegeAAHGR, MATCH(N460,AllCollegeNCES,0))+Z460*IF(INDEX(AllCollegeAAHGR, MATCH(N460,AllCollegeNCES,0))&gt;0.7,(1-INDEX(AllCollegeAAHGR, MATCH(N460,AllCollegeNCES,0)))/2,0.15),2),INDEX(AllCollegeAAHGR, MATCH(N460,AllCollegeNCES,0)))</f>
        <v>0</v>
      </c>
      <c r="AC460">
        <f>IF(OR(W460="H",W460="B"),INDEX(AllCollegeSAT25, MATCH(N460,AllCollegeNCES,0)),INDEX(AllCollegeSAT50, MATCH(N460,AllCollegeNCES,0)))</f>
        <v>0</v>
      </c>
      <c r="AD460">
        <f>INDEX(CustomWeightsGPA,MATCH(W460&amp;":"&amp;N460,CustomWeightsIndex,0))</f>
        <v>0</v>
      </c>
      <c r="AE460">
        <f>INDEX(CustomWeightsSAT,MATCH(W460&amp;":"&amp;N460,CustomWeightsIndex,0))</f>
        <v>0</v>
      </c>
      <c r="AF460">
        <f>INDEX(CustomWeightsIntercept,MATCH(W460&amp;":"&amp;N460,CustomWeightsIndex,0))</f>
        <v>0</v>
      </c>
      <c r="AG460">
        <f>AD460*S460+AE460*T460+AF460</f>
        <v>0</v>
      </c>
      <c r="AH460">
        <f>INDEX(CoefficientsGPA,MATCH(W460&amp;":"&amp;R460,CoefficientsIndex,0))</f>
        <v>0</v>
      </c>
      <c r="AI460">
        <f>INDEX(CoefficientsSAT,MATCH(W460&amp;":"&amp;R460,CoefficientsIndex,0))</f>
        <v>0</v>
      </c>
      <c r="AJ460">
        <f>INDEX(CoefficientsIntercept,MATCH(W460&amp;":"&amp;R460,CoefficientsIndex,0))</f>
        <v>0</v>
      </c>
      <c r="AK460">
        <f>AH460*S460+(T460-AC460)*AI460+AJ460</f>
        <v>0</v>
      </c>
      <c r="AL460">
        <f>IF(ISNUMBER(AG460),AG460,AK460)</f>
        <v>0</v>
      </c>
      <c r="AM460">
        <f>IF(ISNUMBER(AL460),IF(ISNUMBER(AH460),IF(AND(AH460=1,AI460=1,AJ460=1),100,MIN(99,ROUND(100*EXP(AL460)/(1+EXP(AL460)),2))),MIN(99,ROUND(100*EXP(AL460)/(1+EXP(AL460)),2))),IF(ISTEXT(R460),IF(LEFT(R460,1)="2",100,"N/A"),"N/A"))</f>
        <v>0</v>
      </c>
      <c r="AN460">
        <f>IF(ISNUMBER(AM460),IF(AM460&gt;=99,IF(OR(U460=10,U460=11),MatchLabel,SureThingLabel),IF(AM460&gt;=95,SecureLabel,IF(AM460&gt;=80,SafetyLabel,IF(AM460&gt;=50,MatchLabel,IF(AM460&gt;=20,ReachLabel,IF(AM460&gt;=10,LongshotLabel,HailMaryLabel)))))),"Other")</f>
        <v>0</v>
      </c>
      <c r="AO460">
        <f>IF(OR(I460="accepted",I460="cond. accept",I460="summer admit"),IF(J460="yes","CHOICE!","Accepted!"),IF(I460="guar. transfer","Guar. Xfer",IF(I460="denied","Denied",IF(K460=1,"Waitlist",IF(L460=1,"Deferred",IF(G460="pending","Pending",IF(OR(G460="initial materials submitted",G460="mid-year submitted",G460="final submitted"),"Submitted",IF(H460="interest","Interest","?"))))))))</f>
        <v>0</v>
      </c>
      <c r="AP460">
        <f>IF(OR(AN460=ReachLabel,AN460=LongshotLabel,AN460=HailMaryLabel),1,0)</f>
        <v>0</v>
      </c>
      <c r="AQ460">
        <f>IF(OR(AP460=1,AN460=MatchLabel),1,0)</f>
        <v>0</v>
      </c>
      <c r="AR460">
        <f>IF(OR(AN460=MatchLabel,AN460=SafetyLabel,AN460=SecureLabel,AN460=SureThingLabel),1,0)</f>
        <v>0</v>
      </c>
      <c r="AS460">
        <f>IF(OR(W460="H",W460="B",W460="I",W460="M"),IF(ISNUMBER(AB460),ROUND(AB460,2),0),IF(ISNUMBER(AA460),ROUND(AA460,2),0))</f>
        <v>0</v>
      </c>
      <c r="AT460">
        <f>IF(AS460&gt;=X460,1,0)</f>
        <v>0</v>
      </c>
      <c r="AU460">
        <f>IF(AS460&gt;=Y460,1,0)</f>
        <v>0</v>
      </c>
      <c r="AV460">
        <f>IF(AS460&lt;(X460-0.10),1,0)</f>
        <v>0</v>
      </c>
      <c r="AW460">
        <f>1-AM460/100</f>
        <v>0</v>
      </c>
      <c r="AX460">
        <f>IF(AQ460=1,AW460,1)</f>
        <v>0</v>
      </c>
      <c r="AY460">
        <f>IF(AP460=1,AW460,1)</f>
        <v>0</v>
      </c>
      <c r="AZ460">
        <f>IF(AND(AT460=1,ISNUMBER(AW460)),$AW460,1)</f>
        <v>0</v>
      </c>
      <c r="BA460">
        <f>IF(AND(AU460=1,ISNUMBER(AW460)),$AW460,1)</f>
        <v>0</v>
      </c>
      <c r="BB460">
        <f>IF(ISNUMBER(AB460),INDEX(AllCollegeMoney, MATCH(N460,AllCollegeNCES,0)),0)</f>
        <v>0</v>
      </c>
      <c r="BC460">
        <f>IF(AND(AT460=1,ISNUMBER(AW460),BB460=1),$AW460,1)</f>
        <v>0</v>
      </c>
      <c r="BD460">
        <f>IF(AND(AU460=1,ISNUMBER(AW460),BB460=1),$AW460,1)</f>
        <v>0</v>
      </c>
      <c r="BE460">
        <f>IF(ISNUMBER(AB460),INDEX(AllCollegeILPub, MATCH(N460,AllCollegeNCES,0)),0)</f>
        <v>0</v>
      </c>
      <c r="BF460">
        <f>IF(AN460=ReachLabel,AS460,0)</f>
        <v>0</v>
      </c>
      <c r="BG460">
        <f>IF(AN460=MatchLabel,AS460,0)</f>
        <v>0</v>
      </c>
      <c r="BH460">
        <f>IF(AN460=SafetyLabel,AS460,0)</f>
        <v>0</v>
      </c>
      <c r="BI460">
        <f>IF(AN460=SecureLabel,AS460,0)</f>
        <v>0</v>
      </c>
      <c r="BJ460">
        <f>IF(AN460=SureThingLabel,AS460,0)</f>
        <v>0</v>
      </c>
      <c r="BK460">
        <f>MAX(BF460:BJ460)</f>
        <v>0</v>
      </c>
      <c r="BL460">
        <f>MAX(BG460:BJ460)</f>
        <v>0</v>
      </c>
      <c r="BM460">
        <f>MAX(BH460:BJ460)</f>
        <v>0</v>
      </c>
      <c r="BN460">
        <f>IF(AND(AN460=ReachLabel,BB460=1),AS460,0)</f>
        <v>0</v>
      </c>
      <c r="BO460">
        <f>IF(AND(AN460=MatchLabel,BB460=1),AS460,0)</f>
        <v>0</v>
      </c>
      <c r="BP460">
        <f>IF(AND(AN460=SafetyLabel,BB460=1),AS460,0)</f>
        <v>0</v>
      </c>
      <c r="BQ460">
        <f>IF(AND(AN460=SecureLabel,BB460=1),AS460,0)</f>
        <v>0</v>
      </c>
      <c r="BR460">
        <f>IF(AND(AN460=SureThingLabel,BB460=1),AS460,0)</f>
        <v>0</v>
      </c>
      <c r="BS460">
        <f>MAX(BN460:BR460)</f>
        <v>0</v>
      </c>
      <c r="BT460">
        <f>MAX(BO460:BR460)</f>
        <v>0</v>
      </c>
      <c r="BU460">
        <f>MAX(BP460:BR460)</f>
        <v>0</v>
      </c>
      <c r="BV460">
        <f>IF(ISNUMBER(AB460),INDEX(AllCollegeChicago, MATCH(N460,AllCollegeNCES,0))*BB460,0)</f>
        <v>0</v>
      </c>
      <c r="BW460">
        <f>IF(ISNUMBER(AB460),INDEX(AllCollegeMoneyCode, MATCH(N460,AllCollegeNCES,0)),"?")</f>
        <v>0</v>
      </c>
      <c r="BX460">
        <f>IF(OR(BW460="---",BW460="--",BW460="+/--",BW460="+/---"),1,0)</f>
        <v>0</v>
      </c>
      <c r="BY460">
        <f>BB460*AR460*AT460</f>
        <v>0</v>
      </c>
    </row>
    <row r="461" spans="1:77">
      <c r="A461" t="s">
        <v>96</v>
      </c>
      <c r="B461">
        <v>23452595</v>
      </c>
      <c r="C461" t="s">
        <v>347</v>
      </c>
      <c r="D461" t="s">
        <v>348</v>
      </c>
      <c r="E461" t="s">
        <v>446</v>
      </c>
      <c r="F461" t="s">
        <v>571</v>
      </c>
      <c r="G461" t="s">
        <v>448</v>
      </c>
      <c r="H461" t="s">
        <v>449</v>
      </c>
      <c r="I461" t="s">
        <v>450</v>
      </c>
      <c r="J461" t="s">
        <v>450</v>
      </c>
      <c r="K461">
        <v>0</v>
      </c>
      <c r="L461" t="s">
        <v>446</v>
      </c>
      <c r="M461" t="s">
        <v>446</v>
      </c>
      <c r="N461">
        <v>146612</v>
      </c>
      <c r="O461">
        <f>INDEX(Counselor,MATCH(B461,KidIDs,0))</f>
        <v>0</v>
      </c>
      <c r="P461">
        <f>INDEX(Advisors,MATCH(B461,KidIDs,0))</f>
        <v>0</v>
      </c>
      <c r="Q461">
        <f>INDEX(Cohort,MATCH(B461,KidIDs,0))</f>
        <v>0</v>
      </c>
      <c r="R461">
        <f>INDEX(AllCollegeBarrons,MATCH(N461,AllCollegeNCES,0))</f>
        <v>0</v>
      </c>
      <c r="S461">
        <f>INDEX(KidGPAs,MATCH(B461,KidIDs,0))</f>
        <v>0</v>
      </c>
      <c r="T461">
        <f>INDEX(KidSATs,MATCH(B461,KidIDs,0))</f>
        <v>0</v>
      </c>
      <c r="U461">
        <f>INDEX(Strats,MATCH(B461,KidIDs,0))</f>
        <v>0</v>
      </c>
      <c r="V461">
        <f>INDEX(KidRace,MATCH(B461,KidIDs,0))</f>
        <v>0</v>
      </c>
      <c r="W461">
        <f>IF(OR(V461="M",V461="I"),"H",IF(V461="P","A",V461))</f>
        <v>0</v>
      </c>
      <c r="X461">
        <f>INDEX(StudentTargets,MATCH(B461,KidIDs,0))</f>
        <v>0</v>
      </c>
      <c r="Y461">
        <f>INDEX(ReachStudentTargets,MATCH(B461,KidIDs,0))</f>
        <v>0</v>
      </c>
      <c r="Z461">
        <f>IF(OR(M461="Posse"),1,0)</f>
        <v>0</v>
      </c>
      <c r="AA461">
        <f>IF(ISNUMBER(INDEX(AllCollegeGR, MATCH(N461,AllCollegeNCES,0))),ROUND(INDEX(AllCollegeGR, MATCH(N461,AllCollegeNCES,0))+Z461*IF(INDEX(AllCollegeGR, MATCH(N461,AllCollegeNCES,0))&gt;0.7,(1-INDEX(AllCollegeGR, MATCH(N461,AllCollegeNCES,0)))/2,0.15),2),INDEX(AllCollegeGR, MATCH(N461,AllCollegeNCES,0)))</f>
        <v>0</v>
      </c>
      <c r="AB461">
        <f>IF(ISNUMBER(INDEX(AllCollegeAAHGR, MATCH(N461,AllCollegeNCES,0))),ROUND(INDEX(AllCollegeAAHGR, MATCH(N461,AllCollegeNCES,0))+Z461*IF(INDEX(AllCollegeAAHGR, MATCH(N461,AllCollegeNCES,0))&gt;0.7,(1-INDEX(AllCollegeAAHGR, MATCH(N461,AllCollegeNCES,0)))/2,0.15),2),INDEX(AllCollegeAAHGR, MATCH(N461,AllCollegeNCES,0)))</f>
        <v>0</v>
      </c>
      <c r="AC461">
        <f>IF(OR(W461="H",W461="B"),INDEX(AllCollegeSAT25, MATCH(N461,AllCollegeNCES,0)),INDEX(AllCollegeSAT50, MATCH(N461,AllCollegeNCES,0)))</f>
        <v>0</v>
      </c>
      <c r="AD461">
        <f>INDEX(CustomWeightsGPA,MATCH(W461&amp;":"&amp;N461,CustomWeightsIndex,0))</f>
        <v>0</v>
      </c>
      <c r="AE461">
        <f>INDEX(CustomWeightsSAT,MATCH(W461&amp;":"&amp;N461,CustomWeightsIndex,0))</f>
        <v>0</v>
      </c>
      <c r="AF461">
        <f>INDEX(CustomWeightsIntercept,MATCH(W461&amp;":"&amp;N461,CustomWeightsIndex,0))</f>
        <v>0</v>
      </c>
      <c r="AG461">
        <f>AD461*S461+AE461*T461+AF461</f>
        <v>0</v>
      </c>
      <c r="AH461">
        <f>INDEX(CoefficientsGPA,MATCH(W461&amp;":"&amp;R461,CoefficientsIndex,0))</f>
        <v>0</v>
      </c>
      <c r="AI461">
        <f>INDEX(CoefficientsSAT,MATCH(W461&amp;":"&amp;R461,CoefficientsIndex,0))</f>
        <v>0</v>
      </c>
      <c r="AJ461">
        <f>INDEX(CoefficientsIntercept,MATCH(W461&amp;":"&amp;R461,CoefficientsIndex,0))</f>
        <v>0</v>
      </c>
      <c r="AK461">
        <f>AH461*S461+(T461-AC461)*AI461+AJ461</f>
        <v>0</v>
      </c>
      <c r="AL461">
        <f>IF(ISNUMBER(AG461),AG461,AK461)</f>
        <v>0</v>
      </c>
      <c r="AM461">
        <f>IF(ISNUMBER(AL461),IF(ISNUMBER(AH461),IF(AND(AH461=1,AI461=1,AJ461=1),100,MIN(99,ROUND(100*EXP(AL461)/(1+EXP(AL461)),2))),MIN(99,ROUND(100*EXP(AL461)/(1+EXP(AL461)),2))),IF(ISTEXT(R461),IF(LEFT(R461,1)="2",100,"N/A"),"N/A"))</f>
        <v>0</v>
      </c>
      <c r="AN461">
        <f>IF(ISNUMBER(AM461),IF(AM461&gt;=99,IF(OR(U461=10,U461=11),MatchLabel,SureThingLabel),IF(AM461&gt;=95,SecureLabel,IF(AM461&gt;=80,SafetyLabel,IF(AM461&gt;=50,MatchLabel,IF(AM461&gt;=20,ReachLabel,IF(AM461&gt;=10,LongshotLabel,HailMaryLabel)))))),"Other")</f>
        <v>0</v>
      </c>
      <c r="AO461">
        <f>IF(OR(I461="accepted",I461="cond. accept",I461="summer admit"),IF(J461="yes","CHOICE!","Accepted!"),IF(I461="guar. transfer","Guar. Xfer",IF(I461="denied","Denied",IF(K461=1,"Waitlist",IF(L461=1,"Deferred",IF(G461="pending","Pending",IF(OR(G461="initial materials submitted",G461="mid-year submitted",G461="final submitted"),"Submitted",IF(H461="interest","Interest","?"))))))))</f>
        <v>0</v>
      </c>
      <c r="AP461">
        <f>IF(OR(AN461=ReachLabel,AN461=LongshotLabel,AN461=HailMaryLabel),1,0)</f>
        <v>0</v>
      </c>
      <c r="AQ461">
        <f>IF(OR(AP461=1,AN461=MatchLabel),1,0)</f>
        <v>0</v>
      </c>
      <c r="AR461">
        <f>IF(OR(AN461=MatchLabel,AN461=SafetyLabel,AN461=SecureLabel,AN461=SureThingLabel),1,0)</f>
        <v>0</v>
      </c>
      <c r="AS461">
        <f>IF(OR(W461="H",W461="B",W461="I",W461="M"),IF(ISNUMBER(AB461),ROUND(AB461,2),0),IF(ISNUMBER(AA461),ROUND(AA461,2),0))</f>
        <v>0</v>
      </c>
      <c r="AT461">
        <f>IF(AS461&gt;=X461,1,0)</f>
        <v>0</v>
      </c>
      <c r="AU461">
        <f>IF(AS461&gt;=Y461,1,0)</f>
        <v>0</v>
      </c>
      <c r="AV461">
        <f>IF(AS461&lt;(X461-0.10),1,0)</f>
        <v>0</v>
      </c>
      <c r="AW461">
        <f>1-AM461/100</f>
        <v>0</v>
      </c>
      <c r="AX461">
        <f>IF(AQ461=1,AW461,1)</f>
        <v>0</v>
      </c>
      <c r="AY461">
        <f>IF(AP461=1,AW461,1)</f>
        <v>0</v>
      </c>
      <c r="AZ461">
        <f>IF(AND(AT461=1,ISNUMBER(AW461)),$AW461,1)</f>
        <v>0</v>
      </c>
      <c r="BA461">
        <f>IF(AND(AU461=1,ISNUMBER(AW461)),$AW461,1)</f>
        <v>0</v>
      </c>
      <c r="BB461">
        <f>IF(ISNUMBER(AB461),INDEX(AllCollegeMoney, MATCH(N461,AllCollegeNCES,0)),0)</f>
        <v>0</v>
      </c>
      <c r="BC461">
        <f>IF(AND(AT461=1,ISNUMBER(AW461),BB461=1),$AW461,1)</f>
        <v>0</v>
      </c>
      <c r="BD461">
        <f>IF(AND(AU461=1,ISNUMBER(AW461),BB461=1),$AW461,1)</f>
        <v>0</v>
      </c>
      <c r="BE461">
        <f>IF(ISNUMBER(AB461),INDEX(AllCollegeILPub, MATCH(N461,AllCollegeNCES,0)),0)</f>
        <v>0</v>
      </c>
      <c r="BF461">
        <f>IF(AN461=ReachLabel,AS461,0)</f>
        <v>0</v>
      </c>
      <c r="BG461">
        <f>IF(AN461=MatchLabel,AS461,0)</f>
        <v>0</v>
      </c>
      <c r="BH461">
        <f>IF(AN461=SafetyLabel,AS461,0)</f>
        <v>0</v>
      </c>
      <c r="BI461">
        <f>IF(AN461=SecureLabel,AS461,0)</f>
        <v>0</v>
      </c>
      <c r="BJ461">
        <f>IF(AN461=SureThingLabel,AS461,0)</f>
        <v>0</v>
      </c>
      <c r="BK461">
        <f>MAX(BF461:BJ461)</f>
        <v>0</v>
      </c>
      <c r="BL461">
        <f>MAX(BG461:BJ461)</f>
        <v>0</v>
      </c>
      <c r="BM461">
        <f>MAX(BH461:BJ461)</f>
        <v>0</v>
      </c>
      <c r="BN461">
        <f>IF(AND(AN461=ReachLabel,BB461=1),AS461,0)</f>
        <v>0</v>
      </c>
      <c r="BO461">
        <f>IF(AND(AN461=MatchLabel,BB461=1),AS461,0)</f>
        <v>0</v>
      </c>
      <c r="BP461">
        <f>IF(AND(AN461=SafetyLabel,BB461=1),AS461,0)</f>
        <v>0</v>
      </c>
      <c r="BQ461">
        <f>IF(AND(AN461=SecureLabel,BB461=1),AS461,0)</f>
        <v>0</v>
      </c>
      <c r="BR461">
        <f>IF(AND(AN461=SureThingLabel,BB461=1),AS461,0)</f>
        <v>0</v>
      </c>
      <c r="BS461">
        <f>MAX(BN461:BR461)</f>
        <v>0</v>
      </c>
      <c r="BT461">
        <f>MAX(BO461:BR461)</f>
        <v>0</v>
      </c>
      <c r="BU461">
        <f>MAX(BP461:BR461)</f>
        <v>0</v>
      </c>
      <c r="BV461">
        <f>IF(ISNUMBER(AB461),INDEX(AllCollegeChicago, MATCH(N461,AllCollegeNCES,0))*BB461,0)</f>
        <v>0</v>
      </c>
      <c r="BW461">
        <f>IF(ISNUMBER(AB461),INDEX(AllCollegeMoneyCode, MATCH(N461,AllCollegeNCES,0)),"?")</f>
        <v>0</v>
      </c>
      <c r="BX461">
        <f>IF(OR(BW461="---",BW461="--",BW461="+/--",BW461="+/---"),1,0)</f>
        <v>0</v>
      </c>
      <c r="BY461">
        <f>BB461*AR461*AT461</f>
        <v>0</v>
      </c>
    </row>
    <row r="462" spans="1:77">
      <c r="A462" t="s">
        <v>96</v>
      </c>
      <c r="B462">
        <v>23452595</v>
      </c>
      <c r="C462" t="s">
        <v>347</v>
      </c>
      <c r="D462" t="s">
        <v>348</v>
      </c>
      <c r="E462" t="s">
        <v>446</v>
      </c>
      <c r="F462" t="s">
        <v>465</v>
      </c>
      <c r="G462" t="s">
        <v>448</v>
      </c>
      <c r="H462" t="s">
        <v>449</v>
      </c>
      <c r="I462" t="s">
        <v>450</v>
      </c>
      <c r="J462" t="s">
        <v>450</v>
      </c>
      <c r="K462">
        <v>0</v>
      </c>
      <c r="L462" t="s">
        <v>446</v>
      </c>
      <c r="M462" t="s">
        <v>446</v>
      </c>
      <c r="N462">
        <v>145600</v>
      </c>
      <c r="O462">
        <f>INDEX(Counselor,MATCH(B462,KidIDs,0))</f>
        <v>0</v>
      </c>
      <c r="P462">
        <f>INDEX(Advisors,MATCH(B462,KidIDs,0))</f>
        <v>0</v>
      </c>
      <c r="Q462">
        <f>INDEX(Cohort,MATCH(B462,KidIDs,0))</f>
        <v>0</v>
      </c>
      <c r="R462">
        <f>INDEX(AllCollegeBarrons,MATCH(N462,AllCollegeNCES,0))</f>
        <v>0</v>
      </c>
      <c r="S462">
        <f>INDEX(KidGPAs,MATCH(B462,KidIDs,0))</f>
        <v>0</v>
      </c>
      <c r="T462">
        <f>INDEX(KidSATs,MATCH(B462,KidIDs,0))</f>
        <v>0</v>
      </c>
      <c r="U462">
        <f>INDEX(Strats,MATCH(B462,KidIDs,0))</f>
        <v>0</v>
      </c>
      <c r="V462">
        <f>INDEX(KidRace,MATCH(B462,KidIDs,0))</f>
        <v>0</v>
      </c>
      <c r="W462">
        <f>IF(OR(V462="M",V462="I"),"H",IF(V462="P","A",V462))</f>
        <v>0</v>
      </c>
      <c r="X462">
        <f>INDEX(StudentTargets,MATCH(B462,KidIDs,0))</f>
        <v>0</v>
      </c>
      <c r="Y462">
        <f>INDEX(ReachStudentTargets,MATCH(B462,KidIDs,0))</f>
        <v>0</v>
      </c>
      <c r="Z462">
        <f>IF(OR(M462="Posse"),1,0)</f>
        <v>0</v>
      </c>
      <c r="AA462">
        <f>IF(ISNUMBER(INDEX(AllCollegeGR, MATCH(N462,AllCollegeNCES,0))),ROUND(INDEX(AllCollegeGR, MATCH(N462,AllCollegeNCES,0))+Z462*IF(INDEX(AllCollegeGR, MATCH(N462,AllCollegeNCES,0))&gt;0.7,(1-INDEX(AllCollegeGR, MATCH(N462,AllCollegeNCES,0)))/2,0.15),2),INDEX(AllCollegeGR, MATCH(N462,AllCollegeNCES,0)))</f>
        <v>0</v>
      </c>
      <c r="AB462">
        <f>IF(ISNUMBER(INDEX(AllCollegeAAHGR, MATCH(N462,AllCollegeNCES,0))),ROUND(INDEX(AllCollegeAAHGR, MATCH(N462,AllCollegeNCES,0))+Z462*IF(INDEX(AllCollegeAAHGR, MATCH(N462,AllCollegeNCES,0))&gt;0.7,(1-INDEX(AllCollegeAAHGR, MATCH(N462,AllCollegeNCES,0)))/2,0.15),2),INDEX(AllCollegeAAHGR, MATCH(N462,AllCollegeNCES,0)))</f>
        <v>0</v>
      </c>
      <c r="AC462">
        <f>IF(OR(W462="H",W462="B"),INDEX(AllCollegeSAT25, MATCH(N462,AllCollegeNCES,0)),INDEX(AllCollegeSAT50, MATCH(N462,AllCollegeNCES,0)))</f>
        <v>0</v>
      </c>
      <c r="AD462">
        <f>INDEX(CustomWeightsGPA,MATCH(W462&amp;":"&amp;N462,CustomWeightsIndex,0))</f>
        <v>0</v>
      </c>
      <c r="AE462">
        <f>INDEX(CustomWeightsSAT,MATCH(W462&amp;":"&amp;N462,CustomWeightsIndex,0))</f>
        <v>0</v>
      </c>
      <c r="AF462">
        <f>INDEX(CustomWeightsIntercept,MATCH(W462&amp;":"&amp;N462,CustomWeightsIndex,0))</f>
        <v>0</v>
      </c>
      <c r="AG462">
        <f>AD462*S462+AE462*T462+AF462</f>
        <v>0</v>
      </c>
      <c r="AH462">
        <f>INDEX(CoefficientsGPA,MATCH(W462&amp;":"&amp;R462,CoefficientsIndex,0))</f>
        <v>0</v>
      </c>
      <c r="AI462">
        <f>INDEX(CoefficientsSAT,MATCH(W462&amp;":"&amp;R462,CoefficientsIndex,0))</f>
        <v>0</v>
      </c>
      <c r="AJ462">
        <f>INDEX(CoefficientsIntercept,MATCH(W462&amp;":"&amp;R462,CoefficientsIndex,0))</f>
        <v>0</v>
      </c>
      <c r="AK462">
        <f>AH462*S462+(T462-AC462)*AI462+AJ462</f>
        <v>0</v>
      </c>
      <c r="AL462">
        <f>IF(ISNUMBER(AG462),AG462,AK462)</f>
        <v>0</v>
      </c>
      <c r="AM462">
        <f>IF(ISNUMBER(AL462),IF(ISNUMBER(AH462),IF(AND(AH462=1,AI462=1,AJ462=1),100,MIN(99,ROUND(100*EXP(AL462)/(1+EXP(AL462)),2))),MIN(99,ROUND(100*EXP(AL462)/(1+EXP(AL462)),2))),IF(ISTEXT(R462),IF(LEFT(R462,1)="2",100,"N/A"),"N/A"))</f>
        <v>0</v>
      </c>
      <c r="AN462">
        <f>IF(ISNUMBER(AM462),IF(AM462&gt;=99,IF(OR(U462=10,U462=11),MatchLabel,SureThingLabel),IF(AM462&gt;=95,SecureLabel,IF(AM462&gt;=80,SafetyLabel,IF(AM462&gt;=50,MatchLabel,IF(AM462&gt;=20,ReachLabel,IF(AM462&gt;=10,LongshotLabel,HailMaryLabel)))))),"Other")</f>
        <v>0</v>
      </c>
      <c r="AO462">
        <f>IF(OR(I462="accepted",I462="cond. accept",I462="summer admit"),IF(J462="yes","CHOICE!","Accepted!"),IF(I462="guar. transfer","Guar. Xfer",IF(I462="denied","Denied",IF(K462=1,"Waitlist",IF(L462=1,"Deferred",IF(G462="pending","Pending",IF(OR(G462="initial materials submitted",G462="mid-year submitted",G462="final submitted"),"Submitted",IF(H462="interest","Interest","?"))))))))</f>
        <v>0</v>
      </c>
      <c r="AP462">
        <f>IF(OR(AN462=ReachLabel,AN462=LongshotLabel,AN462=HailMaryLabel),1,0)</f>
        <v>0</v>
      </c>
      <c r="AQ462">
        <f>IF(OR(AP462=1,AN462=MatchLabel),1,0)</f>
        <v>0</v>
      </c>
      <c r="AR462">
        <f>IF(OR(AN462=MatchLabel,AN462=SafetyLabel,AN462=SecureLabel,AN462=SureThingLabel),1,0)</f>
        <v>0</v>
      </c>
      <c r="AS462">
        <f>IF(OR(W462="H",W462="B",W462="I",W462="M"),IF(ISNUMBER(AB462),ROUND(AB462,2),0),IF(ISNUMBER(AA462),ROUND(AA462,2),0))</f>
        <v>0</v>
      </c>
      <c r="AT462">
        <f>IF(AS462&gt;=X462,1,0)</f>
        <v>0</v>
      </c>
      <c r="AU462">
        <f>IF(AS462&gt;=Y462,1,0)</f>
        <v>0</v>
      </c>
      <c r="AV462">
        <f>IF(AS462&lt;(X462-0.10),1,0)</f>
        <v>0</v>
      </c>
      <c r="AW462">
        <f>1-AM462/100</f>
        <v>0</v>
      </c>
      <c r="AX462">
        <f>IF(AQ462=1,AW462,1)</f>
        <v>0</v>
      </c>
      <c r="AY462">
        <f>IF(AP462=1,AW462,1)</f>
        <v>0</v>
      </c>
      <c r="AZ462">
        <f>IF(AND(AT462=1,ISNUMBER(AW462)),$AW462,1)</f>
        <v>0</v>
      </c>
      <c r="BA462">
        <f>IF(AND(AU462=1,ISNUMBER(AW462)),$AW462,1)</f>
        <v>0</v>
      </c>
      <c r="BB462">
        <f>IF(ISNUMBER(AB462),INDEX(AllCollegeMoney, MATCH(N462,AllCollegeNCES,0)),0)</f>
        <v>0</v>
      </c>
      <c r="BC462">
        <f>IF(AND(AT462=1,ISNUMBER(AW462),BB462=1),$AW462,1)</f>
        <v>0</v>
      </c>
      <c r="BD462">
        <f>IF(AND(AU462=1,ISNUMBER(AW462),BB462=1),$AW462,1)</f>
        <v>0</v>
      </c>
      <c r="BE462">
        <f>IF(ISNUMBER(AB462),INDEX(AllCollegeILPub, MATCH(N462,AllCollegeNCES,0)),0)</f>
        <v>0</v>
      </c>
      <c r="BF462">
        <f>IF(AN462=ReachLabel,AS462,0)</f>
        <v>0</v>
      </c>
      <c r="BG462">
        <f>IF(AN462=MatchLabel,AS462,0)</f>
        <v>0</v>
      </c>
      <c r="BH462">
        <f>IF(AN462=SafetyLabel,AS462,0)</f>
        <v>0</v>
      </c>
      <c r="BI462">
        <f>IF(AN462=SecureLabel,AS462,0)</f>
        <v>0</v>
      </c>
      <c r="BJ462">
        <f>IF(AN462=SureThingLabel,AS462,0)</f>
        <v>0</v>
      </c>
      <c r="BK462">
        <f>MAX(BF462:BJ462)</f>
        <v>0</v>
      </c>
      <c r="BL462">
        <f>MAX(BG462:BJ462)</f>
        <v>0</v>
      </c>
      <c r="BM462">
        <f>MAX(BH462:BJ462)</f>
        <v>0</v>
      </c>
      <c r="BN462">
        <f>IF(AND(AN462=ReachLabel,BB462=1),AS462,0)</f>
        <v>0</v>
      </c>
      <c r="BO462">
        <f>IF(AND(AN462=MatchLabel,BB462=1),AS462,0)</f>
        <v>0</v>
      </c>
      <c r="BP462">
        <f>IF(AND(AN462=SafetyLabel,BB462=1),AS462,0)</f>
        <v>0</v>
      </c>
      <c r="BQ462">
        <f>IF(AND(AN462=SecureLabel,BB462=1),AS462,0)</f>
        <v>0</v>
      </c>
      <c r="BR462">
        <f>IF(AND(AN462=SureThingLabel,BB462=1),AS462,0)</f>
        <v>0</v>
      </c>
      <c r="BS462">
        <f>MAX(BN462:BR462)</f>
        <v>0</v>
      </c>
      <c r="BT462">
        <f>MAX(BO462:BR462)</f>
        <v>0</v>
      </c>
      <c r="BU462">
        <f>MAX(BP462:BR462)</f>
        <v>0</v>
      </c>
      <c r="BV462">
        <f>IF(ISNUMBER(AB462),INDEX(AllCollegeChicago, MATCH(N462,AllCollegeNCES,0))*BB462,0)</f>
        <v>0</v>
      </c>
      <c r="BW462">
        <f>IF(ISNUMBER(AB462),INDEX(AllCollegeMoneyCode, MATCH(N462,AllCollegeNCES,0)),"?")</f>
        <v>0</v>
      </c>
      <c r="BX462">
        <f>IF(OR(BW462="---",BW462="--",BW462="+/--",BW462="+/---"),1,0)</f>
        <v>0</v>
      </c>
      <c r="BY462">
        <f>BB462*AR462*AT462</f>
        <v>0</v>
      </c>
    </row>
    <row r="463" spans="1:77">
      <c r="A463" t="s">
        <v>96</v>
      </c>
      <c r="B463">
        <v>23452595</v>
      </c>
      <c r="C463" t="s">
        <v>347</v>
      </c>
      <c r="D463" t="s">
        <v>348</v>
      </c>
      <c r="E463" t="s">
        <v>446</v>
      </c>
      <c r="F463" t="s">
        <v>452</v>
      </c>
      <c r="G463" t="s">
        <v>448</v>
      </c>
      <c r="H463" t="s">
        <v>449</v>
      </c>
      <c r="I463" t="s">
        <v>450</v>
      </c>
      <c r="J463" t="s">
        <v>450</v>
      </c>
      <c r="K463">
        <v>0</v>
      </c>
      <c r="L463" t="s">
        <v>446</v>
      </c>
      <c r="M463" t="s">
        <v>446</v>
      </c>
      <c r="N463">
        <v>143118</v>
      </c>
      <c r="O463">
        <f>INDEX(Counselor,MATCH(B463,KidIDs,0))</f>
        <v>0</v>
      </c>
      <c r="P463">
        <f>INDEX(Advisors,MATCH(B463,KidIDs,0))</f>
        <v>0</v>
      </c>
      <c r="Q463">
        <f>INDEX(Cohort,MATCH(B463,KidIDs,0))</f>
        <v>0</v>
      </c>
      <c r="R463">
        <f>INDEX(AllCollegeBarrons,MATCH(N463,AllCollegeNCES,0))</f>
        <v>0</v>
      </c>
      <c r="S463">
        <f>INDEX(KidGPAs,MATCH(B463,KidIDs,0))</f>
        <v>0</v>
      </c>
      <c r="T463">
        <f>INDEX(KidSATs,MATCH(B463,KidIDs,0))</f>
        <v>0</v>
      </c>
      <c r="U463">
        <f>INDEX(Strats,MATCH(B463,KidIDs,0))</f>
        <v>0</v>
      </c>
      <c r="V463">
        <f>INDEX(KidRace,MATCH(B463,KidIDs,0))</f>
        <v>0</v>
      </c>
      <c r="W463">
        <f>IF(OR(V463="M",V463="I"),"H",IF(V463="P","A",V463))</f>
        <v>0</v>
      </c>
      <c r="X463">
        <f>INDEX(StudentTargets,MATCH(B463,KidIDs,0))</f>
        <v>0</v>
      </c>
      <c r="Y463">
        <f>INDEX(ReachStudentTargets,MATCH(B463,KidIDs,0))</f>
        <v>0</v>
      </c>
      <c r="Z463">
        <f>IF(OR(M463="Posse"),1,0)</f>
        <v>0</v>
      </c>
      <c r="AA463">
        <f>IF(ISNUMBER(INDEX(AllCollegeGR, MATCH(N463,AllCollegeNCES,0))),ROUND(INDEX(AllCollegeGR, MATCH(N463,AllCollegeNCES,0))+Z463*IF(INDEX(AllCollegeGR, MATCH(N463,AllCollegeNCES,0))&gt;0.7,(1-INDEX(AllCollegeGR, MATCH(N463,AllCollegeNCES,0)))/2,0.15),2),INDEX(AllCollegeGR, MATCH(N463,AllCollegeNCES,0)))</f>
        <v>0</v>
      </c>
      <c r="AB463">
        <f>IF(ISNUMBER(INDEX(AllCollegeAAHGR, MATCH(N463,AllCollegeNCES,0))),ROUND(INDEX(AllCollegeAAHGR, MATCH(N463,AllCollegeNCES,0))+Z463*IF(INDEX(AllCollegeAAHGR, MATCH(N463,AllCollegeNCES,0))&gt;0.7,(1-INDEX(AllCollegeAAHGR, MATCH(N463,AllCollegeNCES,0)))/2,0.15),2),INDEX(AllCollegeAAHGR, MATCH(N463,AllCollegeNCES,0)))</f>
        <v>0</v>
      </c>
      <c r="AC463">
        <f>IF(OR(W463="H",W463="B"),INDEX(AllCollegeSAT25, MATCH(N463,AllCollegeNCES,0)),INDEX(AllCollegeSAT50, MATCH(N463,AllCollegeNCES,0)))</f>
        <v>0</v>
      </c>
      <c r="AD463">
        <f>INDEX(CustomWeightsGPA,MATCH(W463&amp;":"&amp;N463,CustomWeightsIndex,0))</f>
        <v>0</v>
      </c>
      <c r="AE463">
        <f>INDEX(CustomWeightsSAT,MATCH(W463&amp;":"&amp;N463,CustomWeightsIndex,0))</f>
        <v>0</v>
      </c>
      <c r="AF463">
        <f>INDEX(CustomWeightsIntercept,MATCH(W463&amp;":"&amp;N463,CustomWeightsIndex,0))</f>
        <v>0</v>
      </c>
      <c r="AG463">
        <f>AD463*S463+AE463*T463+AF463</f>
        <v>0</v>
      </c>
      <c r="AH463">
        <f>INDEX(CoefficientsGPA,MATCH(W463&amp;":"&amp;R463,CoefficientsIndex,0))</f>
        <v>0</v>
      </c>
      <c r="AI463">
        <f>INDEX(CoefficientsSAT,MATCH(W463&amp;":"&amp;R463,CoefficientsIndex,0))</f>
        <v>0</v>
      </c>
      <c r="AJ463">
        <f>INDEX(CoefficientsIntercept,MATCH(W463&amp;":"&amp;R463,CoefficientsIndex,0))</f>
        <v>0</v>
      </c>
      <c r="AK463">
        <f>AH463*S463+(T463-AC463)*AI463+AJ463</f>
        <v>0</v>
      </c>
      <c r="AL463">
        <f>IF(ISNUMBER(AG463),AG463,AK463)</f>
        <v>0</v>
      </c>
      <c r="AM463">
        <f>IF(ISNUMBER(AL463),IF(ISNUMBER(AH463),IF(AND(AH463=1,AI463=1,AJ463=1),100,MIN(99,ROUND(100*EXP(AL463)/(1+EXP(AL463)),2))),MIN(99,ROUND(100*EXP(AL463)/(1+EXP(AL463)),2))),IF(ISTEXT(R463),IF(LEFT(R463,1)="2",100,"N/A"),"N/A"))</f>
        <v>0</v>
      </c>
      <c r="AN463">
        <f>IF(ISNUMBER(AM463),IF(AM463&gt;=99,IF(OR(U463=10,U463=11),MatchLabel,SureThingLabel),IF(AM463&gt;=95,SecureLabel,IF(AM463&gt;=80,SafetyLabel,IF(AM463&gt;=50,MatchLabel,IF(AM463&gt;=20,ReachLabel,IF(AM463&gt;=10,LongshotLabel,HailMaryLabel)))))),"Other")</f>
        <v>0</v>
      </c>
      <c r="AO463">
        <f>IF(OR(I463="accepted",I463="cond. accept",I463="summer admit"),IF(J463="yes","CHOICE!","Accepted!"),IF(I463="guar. transfer","Guar. Xfer",IF(I463="denied","Denied",IF(K463=1,"Waitlist",IF(L463=1,"Deferred",IF(G463="pending","Pending",IF(OR(G463="initial materials submitted",G463="mid-year submitted",G463="final submitted"),"Submitted",IF(H463="interest","Interest","?"))))))))</f>
        <v>0</v>
      </c>
      <c r="AP463">
        <f>IF(OR(AN463=ReachLabel,AN463=LongshotLabel,AN463=HailMaryLabel),1,0)</f>
        <v>0</v>
      </c>
      <c r="AQ463">
        <f>IF(OR(AP463=1,AN463=MatchLabel),1,0)</f>
        <v>0</v>
      </c>
      <c r="AR463">
        <f>IF(OR(AN463=MatchLabel,AN463=SafetyLabel,AN463=SecureLabel,AN463=SureThingLabel),1,0)</f>
        <v>0</v>
      </c>
      <c r="AS463">
        <f>IF(OR(W463="H",W463="B",W463="I",W463="M"),IF(ISNUMBER(AB463),ROUND(AB463,2),0),IF(ISNUMBER(AA463),ROUND(AA463,2),0))</f>
        <v>0</v>
      </c>
      <c r="AT463">
        <f>IF(AS463&gt;=X463,1,0)</f>
        <v>0</v>
      </c>
      <c r="AU463">
        <f>IF(AS463&gt;=Y463,1,0)</f>
        <v>0</v>
      </c>
      <c r="AV463">
        <f>IF(AS463&lt;(X463-0.10),1,0)</f>
        <v>0</v>
      </c>
      <c r="AW463">
        <f>1-AM463/100</f>
        <v>0</v>
      </c>
      <c r="AX463">
        <f>IF(AQ463=1,AW463,1)</f>
        <v>0</v>
      </c>
      <c r="AY463">
        <f>IF(AP463=1,AW463,1)</f>
        <v>0</v>
      </c>
      <c r="AZ463">
        <f>IF(AND(AT463=1,ISNUMBER(AW463)),$AW463,1)</f>
        <v>0</v>
      </c>
      <c r="BA463">
        <f>IF(AND(AU463=1,ISNUMBER(AW463)),$AW463,1)</f>
        <v>0</v>
      </c>
      <c r="BB463">
        <f>IF(ISNUMBER(AB463),INDEX(AllCollegeMoney, MATCH(N463,AllCollegeNCES,0)),0)</f>
        <v>0</v>
      </c>
      <c r="BC463">
        <f>IF(AND(AT463=1,ISNUMBER(AW463),BB463=1),$AW463,1)</f>
        <v>0</v>
      </c>
      <c r="BD463">
        <f>IF(AND(AU463=1,ISNUMBER(AW463),BB463=1),$AW463,1)</f>
        <v>0</v>
      </c>
      <c r="BE463">
        <f>IF(ISNUMBER(AB463),INDEX(AllCollegeILPub, MATCH(N463,AllCollegeNCES,0)),0)</f>
        <v>0</v>
      </c>
      <c r="BF463">
        <f>IF(AN463=ReachLabel,AS463,0)</f>
        <v>0</v>
      </c>
      <c r="BG463">
        <f>IF(AN463=MatchLabel,AS463,0)</f>
        <v>0</v>
      </c>
      <c r="BH463">
        <f>IF(AN463=SafetyLabel,AS463,0)</f>
        <v>0</v>
      </c>
      <c r="BI463">
        <f>IF(AN463=SecureLabel,AS463,0)</f>
        <v>0</v>
      </c>
      <c r="BJ463">
        <f>IF(AN463=SureThingLabel,AS463,0)</f>
        <v>0</v>
      </c>
      <c r="BK463">
        <f>MAX(BF463:BJ463)</f>
        <v>0</v>
      </c>
      <c r="BL463">
        <f>MAX(BG463:BJ463)</f>
        <v>0</v>
      </c>
      <c r="BM463">
        <f>MAX(BH463:BJ463)</f>
        <v>0</v>
      </c>
      <c r="BN463">
        <f>IF(AND(AN463=ReachLabel,BB463=1),AS463,0)</f>
        <v>0</v>
      </c>
      <c r="BO463">
        <f>IF(AND(AN463=MatchLabel,BB463=1),AS463,0)</f>
        <v>0</v>
      </c>
      <c r="BP463">
        <f>IF(AND(AN463=SafetyLabel,BB463=1),AS463,0)</f>
        <v>0</v>
      </c>
      <c r="BQ463">
        <f>IF(AND(AN463=SecureLabel,BB463=1),AS463,0)</f>
        <v>0</v>
      </c>
      <c r="BR463">
        <f>IF(AND(AN463=SureThingLabel,BB463=1),AS463,0)</f>
        <v>0</v>
      </c>
      <c r="BS463">
        <f>MAX(BN463:BR463)</f>
        <v>0</v>
      </c>
      <c r="BT463">
        <f>MAX(BO463:BR463)</f>
        <v>0</v>
      </c>
      <c r="BU463">
        <f>MAX(BP463:BR463)</f>
        <v>0</v>
      </c>
      <c r="BV463">
        <f>IF(ISNUMBER(AB463),INDEX(AllCollegeChicago, MATCH(N463,AllCollegeNCES,0))*BB463,0)</f>
        <v>0</v>
      </c>
      <c r="BW463">
        <f>IF(ISNUMBER(AB463),INDEX(AllCollegeMoneyCode, MATCH(N463,AllCollegeNCES,0)),"?")</f>
        <v>0</v>
      </c>
      <c r="BX463">
        <f>IF(OR(BW463="---",BW463="--",BW463="+/--",BW463="+/---"),1,0)</f>
        <v>0</v>
      </c>
      <c r="BY463">
        <f>BB463*AR463*AT463</f>
        <v>0</v>
      </c>
    </row>
    <row r="464" spans="1:77">
      <c r="A464" t="s">
        <v>96</v>
      </c>
      <c r="B464">
        <v>23452595</v>
      </c>
      <c r="C464" t="s">
        <v>347</v>
      </c>
      <c r="D464" t="s">
        <v>348</v>
      </c>
      <c r="E464" t="s">
        <v>446</v>
      </c>
      <c r="F464" t="s">
        <v>519</v>
      </c>
      <c r="G464" t="s">
        <v>448</v>
      </c>
      <c r="H464" t="s">
        <v>449</v>
      </c>
      <c r="I464" t="s">
        <v>450</v>
      </c>
      <c r="J464" t="s">
        <v>450</v>
      </c>
      <c r="K464">
        <v>0</v>
      </c>
      <c r="L464" t="s">
        <v>446</v>
      </c>
      <c r="M464" t="s">
        <v>446</v>
      </c>
      <c r="N464">
        <v>145813</v>
      </c>
      <c r="O464">
        <f>INDEX(Counselor,MATCH(B464,KidIDs,0))</f>
        <v>0</v>
      </c>
      <c r="P464">
        <f>INDEX(Advisors,MATCH(B464,KidIDs,0))</f>
        <v>0</v>
      </c>
      <c r="Q464">
        <f>INDEX(Cohort,MATCH(B464,KidIDs,0))</f>
        <v>0</v>
      </c>
      <c r="R464">
        <f>INDEX(AllCollegeBarrons,MATCH(N464,AllCollegeNCES,0))</f>
        <v>0</v>
      </c>
      <c r="S464">
        <f>INDEX(KidGPAs,MATCH(B464,KidIDs,0))</f>
        <v>0</v>
      </c>
      <c r="T464">
        <f>INDEX(KidSATs,MATCH(B464,KidIDs,0))</f>
        <v>0</v>
      </c>
      <c r="U464">
        <f>INDEX(Strats,MATCH(B464,KidIDs,0))</f>
        <v>0</v>
      </c>
      <c r="V464">
        <f>INDEX(KidRace,MATCH(B464,KidIDs,0))</f>
        <v>0</v>
      </c>
      <c r="W464">
        <f>IF(OR(V464="M",V464="I"),"H",IF(V464="P","A",V464))</f>
        <v>0</v>
      </c>
      <c r="X464">
        <f>INDEX(StudentTargets,MATCH(B464,KidIDs,0))</f>
        <v>0</v>
      </c>
      <c r="Y464">
        <f>INDEX(ReachStudentTargets,MATCH(B464,KidIDs,0))</f>
        <v>0</v>
      </c>
      <c r="Z464">
        <f>IF(OR(M464="Posse"),1,0)</f>
        <v>0</v>
      </c>
      <c r="AA464">
        <f>IF(ISNUMBER(INDEX(AllCollegeGR, MATCH(N464,AllCollegeNCES,0))),ROUND(INDEX(AllCollegeGR, MATCH(N464,AllCollegeNCES,0))+Z464*IF(INDEX(AllCollegeGR, MATCH(N464,AllCollegeNCES,0))&gt;0.7,(1-INDEX(AllCollegeGR, MATCH(N464,AllCollegeNCES,0)))/2,0.15),2),INDEX(AllCollegeGR, MATCH(N464,AllCollegeNCES,0)))</f>
        <v>0</v>
      </c>
      <c r="AB464">
        <f>IF(ISNUMBER(INDEX(AllCollegeAAHGR, MATCH(N464,AllCollegeNCES,0))),ROUND(INDEX(AllCollegeAAHGR, MATCH(N464,AllCollegeNCES,0))+Z464*IF(INDEX(AllCollegeAAHGR, MATCH(N464,AllCollegeNCES,0))&gt;0.7,(1-INDEX(AllCollegeAAHGR, MATCH(N464,AllCollegeNCES,0)))/2,0.15),2),INDEX(AllCollegeAAHGR, MATCH(N464,AllCollegeNCES,0)))</f>
        <v>0</v>
      </c>
      <c r="AC464">
        <f>IF(OR(W464="H",W464="B"),INDEX(AllCollegeSAT25, MATCH(N464,AllCollegeNCES,0)),INDEX(AllCollegeSAT50, MATCH(N464,AllCollegeNCES,0)))</f>
        <v>0</v>
      </c>
      <c r="AD464">
        <f>INDEX(CustomWeightsGPA,MATCH(W464&amp;":"&amp;N464,CustomWeightsIndex,0))</f>
        <v>0</v>
      </c>
      <c r="AE464">
        <f>INDEX(CustomWeightsSAT,MATCH(W464&amp;":"&amp;N464,CustomWeightsIndex,0))</f>
        <v>0</v>
      </c>
      <c r="AF464">
        <f>INDEX(CustomWeightsIntercept,MATCH(W464&amp;":"&amp;N464,CustomWeightsIndex,0))</f>
        <v>0</v>
      </c>
      <c r="AG464">
        <f>AD464*S464+AE464*T464+AF464</f>
        <v>0</v>
      </c>
      <c r="AH464">
        <f>INDEX(CoefficientsGPA,MATCH(W464&amp;":"&amp;R464,CoefficientsIndex,0))</f>
        <v>0</v>
      </c>
      <c r="AI464">
        <f>INDEX(CoefficientsSAT,MATCH(W464&amp;":"&amp;R464,CoefficientsIndex,0))</f>
        <v>0</v>
      </c>
      <c r="AJ464">
        <f>INDEX(CoefficientsIntercept,MATCH(W464&amp;":"&amp;R464,CoefficientsIndex,0))</f>
        <v>0</v>
      </c>
      <c r="AK464">
        <f>AH464*S464+(T464-AC464)*AI464+AJ464</f>
        <v>0</v>
      </c>
      <c r="AL464">
        <f>IF(ISNUMBER(AG464),AG464,AK464)</f>
        <v>0</v>
      </c>
      <c r="AM464">
        <f>IF(ISNUMBER(AL464),IF(ISNUMBER(AH464),IF(AND(AH464=1,AI464=1,AJ464=1),100,MIN(99,ROUND(100*EXP(AL464)/(1+EXP(AL464)),2))),MIN(99,ROUND(100*EXP(AL464)/(1+EXP(AL464)),2))),IF(ISTEXT(R464),IF(LEFT(R464,1)="2",100,"N/A"),"N/A"))</f>
        <v>0</v>
      </c>
      <c r="AN464">
        <f>IF(ISNUMBER(AM464),IF(AM464&gt;=99,IF(OR(U464=10,U464=11),MatchLabel,SureThingLabel),IF(AM464&gt;=95,SecureLabel,IF(AM464&gt;=80,SafetyLabel,IF(AM464&gt;=50,MatchLabel,IF(AM464&gt;=20,ReachLabel,IF(AM464&gt;=10,LongshotLabel,HailMaryLabel)))))),"Other")</f>
        <v>0</v>
      </c>
      <c r="AO464">
        <f>IF(OR(I464="accepted",I464="cond. accept",I464="summer admit"),IF(J464="yes","CHOICE!","Accepted!"),IF(I464="guar. transfer","Guar. Xfer",IF(I464="denied","Denied",IF(K464=1,"Waitlist",IF(L464=1,"Deferred",IF(G464="pending","Pending",IF(OR(G464="initial materials submitted",G464="mid-year submitted",G464="final submitted"),"Submitted",IF(H464="interest","Interest","?"))))))))</f>
        <v>0</v>
      </c>
      <c r="AP464">
        <f>IF(OR(AN464=ReachLabel,AN464=LongshotLabel,AN464=HailMaryLabel),1,0)</f>
        <v>0</v>
      </c>
      <c r="AQ464">
        <f>IF(OR(AP464=1,AN464=MatchLabel),1,0)</f>
        <v>0</v>
      </c>
      <c r="AR464">
        <f>IF(OR(AN464=MatchLabel,AN464=SafetyLabel,AN464=SecureLabel,AN464=SureThingLabel),1,0)</f>
        <v>0</v>
      </c>
      <c r="AS464">
        <f>IF(OR(W464="H",W464="B",W464="I",W464="M"),IF(ISNUMBER(AB464),ROUND(AB464,2),0),IF(ISNUMBER(AA464),ROUND(AA464,2),0))</f>
        <v>0</v>
      </c>
      <c r="AT464">
        <f>IF(AS464&gt;=X464,1,0)</f>
        <v>0</v>
      </c>
      <c r="AU464">
        <f>IF(AS464&gt;=Y464,1,0)</f>
        <v>0</v>
      </c>
      <c r="AV464">
        <f>IF(AS464&lt;(X464-0.10),1,0)</f>
        <v>0</v>
      </c>
      <c r="AW464">
        <f>1-AM464/100</f>
        <v>0</v>
      </c>
      <c r="AX464">
        <f>IF(AQ464=1,AW464,1)</f>
        <v>0</v>
      </c>
      <c r="AY464">
        <f>IF(AP464=1,AW464,1)</f>
        <v>0</v>
      </c>
      <c r="AZ464">
        <f>IF(AND(AT464=1,ISNUMBER(AW464)),$AW464,1)</f>
        <v>0</v>
      </c>
      <c r="BA464">
        <f>IF(AND(AU464=1,ISNUMBER(AW464)),$AW464,1)</f>
        <v>0</v>
      </c>
      <c r="BB464">
        <f>IF(ISNUMBER(AB464),INDEX(AllCollegeMoney, MATCH(N464,AllCollegeNCES,0)),0)</f>
        <v>0</v>
      </c>
      <c r="BC464">
        <f>IF(AND(AT464=1,ISNUMBER(AW464),BB464=1),$AW464,1)</f>
        <v>0</v>
      </c>
      <c r="BD464">
        <f>IF(AND(AU464=1,ISNUMBER(AW464),BB464=1),$AW464,1)</f>
        <v>0</v>
      </c>
      <c r="BE464">
        <f>IF(ISNUMBER(AB464),INDEX(AllCollegeILPub, MATCH(N464,AllCollegeNCES,0)),0)</f>
        <v>0</v>
      </c>
      <c r="BF464">
        <f>IF(AN464=ReachLabel,AS464,0)</f>
        <v>0</v>
      </c>
      <c r="BG464">
        <f>IF(AN464=MatchLabel,AS464,0)</f>
        <v>0</v>
      </c>
      <c r="BH464">
        <f>IF(AN464=SafetyLabel,AS464,0)</f>
        <v>0</v>
      </c>
      <c r="BI464">
        <f>IF(AN464=SecureLabel,AS464,0)</f>
        <v>0</v>
      </c>
      <c r="BJ464">
        <f>IF(AN464=SureThingLabel,AS464,0)</f>
        <v>0</v>
      </c>
      <c r="BK464">
        <f>MAX(BF464:BJ464)</f>
        <v>0</v>
      </c>
      <c r="BL464">
        <f>MAX(BG464:BJ464)</f>
        <v>0</v>
      </c>
      <c r="BM464">
        <f>MAX(BH464:BJ464)</f>
        <v>0</v>
      </c>
      <c r="BN464">
        <f>IF(AND(AN464=ReachLabel,BB464=1),AS464,0)</f>
        <v>0</v>
      </c>
      <c r="BO464">
        <f>IF(AND(AN464=MatchLabel,BB464=1),AS464,0)</f>
        <v>0</v>
      </c>
      <c r="BP464">
        <f>IF(AND(AN464=SafetyLabel,BB464=1),AS464,0)</f>
        <v>0</v>
      </c>
      <c r="BQ464">
        <f>IF(AND(AN464=SecureLabel,BB464=1),AS464,0)</f>
        <v>0</v>
      </c>
      <c r="BR464">
        <f>IF(AND(AN464=SureThingLabel,BB464=1),AS464,0)</f>
        <v>0</v>
      </c>
      <c r="BS464">
        <f>MAX(BN464:BR464)</f>
        <v>0</v>
      </c>
      <c r="BT464">
        <f>MAX(BO464:BR464)</f>
        <v>0</v>
      </c>
      <c r="BU464">
        <f>MAX(BP464:BR464)</f>
        <v>0</v>
      </c>
      <c r="BV464">
        <f>IF(ISNUMBER(AB464),INDEX(AllCollegeChicago, MATCH(N464,AllCollegeNCES,0))*BB464,0)</f>
        <v>0</v>
      </c>
      <c r="BW464">
        <f>IF(ISNUMBER(AB464),INDEX(AllCollegeMoneyCode, MATCH(N464,AllCollegeNCES,0)),"?")</f>
        <v>0</v>
      </c>
      <c r="BX464">
        <f>IF(OR(BW464="---",BW464="--",BW464="+/--",BW464="+/---"),1,0)</f>
        <v>0</v>
      </c>
      <c r="BY464">
        <f>BB464*AR464*AT464</f>
        <v>0</v>
      </c>
    </row>
    <row r="465" spans="1:77">
      <c r="A465" t="s">
        <v>96</v>
      </c>
      <c r="B465">
        <v>23452595</v>
      </c>
      <c r="C465" t="s">
        <v>347</v>
      </c>
      <c r="D465" t="s">
        <v>348</v>
      </c>
      <c r="E465" t="s">
        <v>446</v>
      </c>
      <c r="F465" t="s">
        <v>456</v>
      </c>
      <c r="G465" t="s">
        <v>448</v>
      </c>
      <c r="H465" t="s">
        <v>449</v>
      </c>
      <c r="I465" t="s">
        <v>450</v>
      </c>
      <c r="J465" t="s">
        <v>450</v>
      </c>
      <c r="K465">
        <v>0</v>
      </c>
      <c r="L465" t="s">
        <v>446</v>
      </c>
      <c r="M465" t="s">
        <v>446</v>
      </c>
      <c r="N465">
        <v>149772</v>
      </c>
      <c r="O465">
        <f>INDEX(Counselor,MATCH(B465,KidIDs,0))</f>
        <v>0</v>
      </c>
      <c r="P465">
        <f>INDEX(Advisors,MATCH(B465,KidIDs,0))</f>
        <v>0</v>
      </c>
      <c r="Q465">
        <f>INDEX(Cohort,MATCH(B465,KidIDs,0))</f>
        <v>0</v>
      </c>
      <c r="R465">
        <f>INDEX(AllCollegeBarrons,MATCH(N465,AllCollegeNCES,0))</f>
        <v>0</v>
      </c>
      <c r="S465">
        <f>INDEX(KidGPAs,MATCH(B465,KidIDs,0))</f>
        <v>0</v>
      </c>
      <c r="T465">
        <f>INDEX(KidSATs,MATCH(B465,KidIDs,0))</f>
        <v>0</v>
      </c>
      <c r="U465">
        <f>INDEX(Strats,MATCH(B465,KidIDs,0))</f>
        <v>0</v>
      </c>
      <c r="V465">
        <f>INDEX(KidRace,MATCH(B465,KidIDs,0))</f>
        <v>0</v>
      </c>
      <c r="W465">
        <f>IF(OR(V465="M",V465="I"),"H",IF(V465="P","A",V465))</f>
        <v>0</v>
      </c>
      <c r="X465">
        <f>INDEX(StudentTargets,MATCH(B465,KidIDs,0))</f>
        <v>0</v>
      </c>
      <c r="Y465">
        <f>INDEX(ReachStudentTargets,MATCH(B465,KidIDs,0))</f>
        <v>0</v>
      </c>
      <c r="Z465">
        <f>IF(OR(M465="Posse"),1,0)</f>
        <v>0</v>
      </c>
      <c r="AA465">
        <f>IF(ISNUMBER(INDEX(AllCollegeGR, MATCH(N465,AllCollegeNCES,0))),ROUND(INDEX(AllCollegeGR, MATCH(N465,AllCollegeNCES,0))+Z465*IF(INDEX(AllCollegeGR, MATCH(N465,AllCollegeNCES,0))&gt;0.7,(1-INDEX(AllCollegeGR, MATCH(N465,AllCollegeNCES,0)))/2,0.15),2),INDEX(AllCollegeGR, MATCH(N465,AllCollegeNCES,0)))</f>
        <v>0</v>
      </c>
      <c r="AB465">
        <f>IF(ISNUMBER(INDEX(AllCollegeAAHGR, MATCH(N465,AllCollegeNCES,0))),ROUND(INDEX(AllCollegeAAHGR, MATCH(N465,AllCollegeNCES,0))+Z465*IF(INDEX(AllCollegeAAHGR, MATCH(N465,AllCollegeNCES,0))&gt;0.7,(1-INDEX(AllCollegeAAHGR, MATCH(N465,AllCollegeNCES,0)))/2,0.15),2),INDEX(AllCollegeAAHGR, MATCH(N465,AllCollegeNCES,0)))</f>
        <v>0</v>
      </c>
      <c r="AC465">
        <f>IF(OR(W465="H",W465="B"),INDEX(AllCollegeSAT25, MATCH(N465,AllCollegeNCES,0)),INDEX(AllCollegeSAT50, MATCH(N465,AllCollegeNCES,0)))</f>
        <v>0</v>
      </c>
      <c r="AD465">
        <f>INDEX(CustomWeightsGPA,MATCH(W465&amp;":"&amp;N465,CustomWeightsIndex,0))</f>
        <v>0</v>
      </c>
      <c r="AE465">
        <f>INDEX(CustomWeightsSAT,MATCH(W465&amp;":"&amp;N465,CustomWeightsIndex,0))</f>
        <v>0</v>
      </c>
      <c r="AF465">
        <f>INDEX(CustomWeightsIntercept,MATCH(W465&amp;":"&amp;N465,CustomWeightsIndex,0))</f>
        <v>0</v>
      </c>
      <c r="AG465">
        <f>AD465*S465+AE465*T465+AF465</f>
        <v>0</v>
      </c>
      <c r="AH465">
        <f>INDEX(CoefficientsGPA,MATCH(W465&amp;":"&amp;R465,CoefficientsIndex,0))</f>
        <v>0</v>
      </c>
      <c r="AI465">
        <f>INDEX(CoefficientsSAT,MATCH(W465&amp;":"&amp;R465,CoefficientsIndex,0))</f>
        <v>0</v>
      </c>
      <c r="AJ465">
        <f>INDEX(CoefficientsIntercept,MATCH(W465&amp;":"&amp;R465,CoefficientsIndex,0))</f>
        <v>0</v>
      </c>
      <c r="AK465">
        <f>AH465*S465+(T465-AC465)*AI465+AJ465</f>
        <v>0</v>
      </c>
      <c r="AL465">
        <f>IF(ISNUMBER(AG465),AG465,AK465)</f>
        <v>0</v>
      </c>
      <c r="AM465">
        <f>IF(ISNUMBER(AL465),IF(ISNUMBER(AH465),IF(AND(AH465=1,AI465=1,AJ465=1),100,MIN(99,ROUND(100*EXP(AL465)/(1+EXP(AL465)),2))),MIN(99,ROUND(100*EXP(AL465)/(1+EXP(AL465)),2))),IF(ISTEXT(R465),IF(LEFT(R465,1)="2",100,"N/A"),"N/A"))</f>
        <v>0</v>
      </c>
      <c r="AN465">
        <f>IF(ISNUMBER(AM465),IF(AM465&gt;=99,IF(OR(U465=10,U465=11),MatchLabel,SureThingLabel),IF(AM465&gt;=95,SecureLabel,IF(AM465&gt;=80,SafetyLabel,IF(AM465&gt;=50,MatchLabel,IF(AM465&gt;=20,ReachLabel,IF(AM465&gt;=10,LongshotLabel,HailMaryLabel)))))),"Other")</f>
        <v>0</v>
      </c>
      <c r="AO465">
        <f>IF(OR(I465="accepted",I465="cond. accept",I465="summer admit"),IF(J465="yes","CHOICE!","Accepted!"),IF(I465="guar. transfer","Guar. Xfer",IF(I465="denied","Denied",IF(K465=1,"Waitlist",IF(L465=1,"Deferred",IF(G465="pending","Pending",IF(OR(G465="initial materials submitted",G465="mid-year submitted",G465="final submitted"),"Submitted",IF(H465="interest","Interest","?"))))))))</f>
        <v>0</v>
      </c>
      <c r="AP465">
        <f>IF(OR(AN465=ReachLabel,AN465=LongshotLabel,AN465=HailMaryLabel),1,0)</f>
        <v>0</v>
      </c>
      <c r="AQ465">
        <f>IF(OR(AP465=1,AN465=MatchLabel),1,0)</f>
        <v>0</v>
      </c>
      <c r="AR465">
        <f>IF(OR(AN465=MatchLabel,AN465=SafetyLabel,AN465=SecureLabel,AN465=SureThingLabel),1,0)</f>
        <v>0</v>
      </c>
      <c r="AS465">
        <f>IF(OR(W465="H",W465="B",W465="I",W465="M"),IF(ISNUMBER(AB465),ROUND(AB465,2),0),IF(ISNUMBER(AA465),ROUND(AA465,2),0))</f>
        <v>0</v>
      </c>
      <c r="AT465">
        <f>IF(AS465&gt;=X465,1,0)</f>
        <v>0</v>
      </c>
      <c r="AU465">
        <f>IF(AS465&gt;=Y465,1,0)</f>
        <v>0</v>
      </c>
      <c r="AV465">
        <f>IF(AS465&lt;(X465-0.10),1,0)</f>
        <v>0</v>
      </c>
      <c r="AW465">
        <f>1-AM465/100</f>
        <v>0</v>
      </c>
      <c r="AX465">
        <f>IF(AQ465=1,AW465,1)</f>
        <v>0</v>
      </c>
      <c r="AY465">
        <f>IF(AP465=1,AW465,1)</f>
        <v>0</v>
      </c>
      <c r="AZ465">
        <f>IF(AND(AT465=1,ISNUMBER(AW465)),$AW465,1)</f>
        <v>0</v>
      </c>
      <c r="BA465">
        <f>IF(AND(AU465=1,ISNUMBER(AW465)),$AW465,1)</f>
        <v>0</v>
      </c>
      <c r="BB465">
        <f>IF(ISNUMBER(AB465),INDEX(AllCollegeMoney, MATCH(N465,AllCollegeNCES,0)),0)</f>
        <v>0</v>
      </c>
      <c r="BC465">
        <f>IF(AND(AT465=1,ISNUMBER(AW465),BB465=1),$AW465,1)</f>
        <v>0</v>
      </c>
      <c r="BD465">
        <f>IF(AND(AU465=1,ISNUMBER(AW465),BB465=1),$AW465,1)</f>
        <v>0</v>
      </c>
      <c r="BE465">
        <f>IF(ISNUMBER(AB465),INDEX(AllCollegeILPub, MATCH(N465,AllCollegeNCES,0)),0)</f>
        <v>0</v>
      </c>
      <c r="BF465">
        <f>IF(AN465=ReachLabel,AS465,0)</f>
        <v>0</v>
      </c>
      <c r="BG465">
        <f>IF(AN465=MatchLabel,AS465,0)</f>
        <v>0</v>
      </c>
      <c r="BH465">
        <f>IF(AN465=SafetyLabel,AS465,0)</f>
        <v>0</v>
      </c>
      <c r="BI465">
        <f>IF(AN465=SecureLabel,AS465,0)</f>
        <v>0</v>
      </c>
      <c r="BJ465">
        <f>IF(AN465=SureThingLabel,AS465,0)</f>
        <v>0</v>
      </c>
      <c r="BK465">
        <f>MAX(BF465:BJ465)</f>
        <v>0</v>
      </c>
      <c r="BL465">
        <f>MAX(BG465:BJ465)</f>
        <v>0</v>
      </c>
      <c r="BM465">
        <f>MAX(BH465:BJ465)</f>
        <v>0</v>
      </c>
      <c r="BN465">
        <f>IF(AND(AN465=ReachLabel,BB465=1),AS465,0)</f>
        <v>0</v>
      </c>
      <c r="BO465">
        <f>IF(AND(AN465=MatchLabel,BB465=1),AS465,0)</f>
        <v>0</v>
      </c>
      <c r="BP465">
        <f>IF(AND(AN465=SafetyLabel,BB465=1),AS465,0)</f>
        <v>0</v>
      </c>
      <c r="BQ465">
        <f>IF(AND(AN465=SecureLabel,BB465=1),AS465,0)</f>
        <v>0</v>
      </c>
      <c r="BR465">
        <f>IF(AND(AN465=SureThingLabel,BB465=1),AS465,0)</f>
        <v>0</v>
      </c>
      <c r="BS465">
        <f>MAX(BN465:BR465)</f>
        <v>0</v>
      </c>
      <c r="BT465">
        <f>MAX(BO465:BR465)</f>
        <v>0</v>
      </c>
      <c r="BU465">
        <f>MAX(BP465:BR465)</f>
        <v>0</v>
      </c>
      <c r="BV465">
        <f>IF(ISNUMBER(AB465),INDEX(AllCollegeChicago, MATCH(N465,AllCollegeNCES,0))*BB465,0)</f>
        <v>0</v>
      </c>
      <c r="BW465">
        <f>IF(ISNUMBER(AB465),INDEX(AllCollegeMoneyCode, MATCH(N465,AllCollegeNCES,0)),"?")</f>
        <v>0</v>
      </c>
      <c r="BX465">
        <f>IF(OR(BW465="---",BW465="--",BW465="+/--",BW465="+/---"),1,0)</f>
        <v>0</v>
      </c>
      <c r="BY465">
        <f>BB465*AR465*AT465</f>
        <v>0</v>
      </c>
    </row>
    <row r="466" spans="1:77">
      <c r="A466" t="s">
        <v>96</v>
      </c>
      <c r="B466">
        <v>23452595</v>
      </c>
      <c r="C466" t="s">
        <v>347</v>
      </c>
      <c r="D466" t="s">
        <v>348</v>
      </c>
      <c r="E466" t="s">
        <v>446</v>
      </c>
      <c r="F466" t="s">
        <v>458</v>
      </c>
      <c r="G466" t="s">
        <v>448</v>
      </c>
      <c r="H466" t="s">
        <v>449</v>
      </c>
      <c r="I466" t="s">
        <v>450</v>
      </c>
      <c r="J466" t="s">
        <v>450</v>
      </c>
      <c r="K466">
        <v>0</v>
      </c>
      <c r="L466" t="s">
        <v>446</v>
      </c>
      <c r="M466" t="s">
        <v>446</v>
      </c>
      <c r="N466">
        <v>144892</v>
      </c>
      <c r="O466">
        <f>INDEX(Counselor,MATCH(B466,KidIDs,0))</f>
        <v>0</v>
      </c>
      <c r="P466">
        <f>INDEX(Advisors,MATCH(B466,KidIDs,0))</f>
        <v>0</v>
      </c>
      <c r="Q466">
        <f>INDEX(Cohort,MATCH(B466,KidIDs,0))</f>
        <v>0</v>
      </c>
      <c r="R466">
        <f>INDEX(AllCollegeBarrons,MATCH(N466,AllCollegeNCES,0))</f>
        <v>0</v>
      </c>
      <c r="S466">
        <f>INDEX(KidGPAs,MATCH(B466,KidIDs,0))</f>
        <v>0</v>
      </c>
      <c r="T466">
        <f>INDEX(KidSATs,MATCH(B466,KidIDs,0))</f>
        <v>0</v>
      </c>
      <c r="U466">
        <f>INDEX(Strats,MATCH(B466,KidIDs,0))</f>
        <v>0</v>
      </c>
      <c r="V466">
        <f>INDEX(KidRace,MATCH(B466,KidIDs,0))</f>
        <v>0</v>
      </c>
      <c r="W466">
        <f>IF(OR(V466="M",V466="I"),"H",IF(V466="P","A",V466))</f>
        <v>0</v>
      </c>
      <c r="X466">
        <f>INDEX(StudentTargets,MATCH(B466,KidIDs,0))</f>
        <v>0</v>
      </c>
      <c r="Y466">
        <f>INDEX(ReachStudentTargets,MATCH(B466,KidIDs,0))</f>
        <v>0</v>
      </c>
      <c r="Z466">
        <f>IF(OR(M466="Posse"),1,0)</f>
        <v>0</v>
      </c>
      <c r="AA466">
        <f>IF(ISNUMBER(INDEX(AllCollegeGR, MATCH(N466,AllCollegeNCES,0))),ROUND(INDEX(AllCollegeGR, MATCH(N466,AllCollegeNCES,0))+Z466*IF(INDEX(AllCollegeGR, MATCH(N466,AllCollegeNCES,0))&gt;0.7,(1-INDEX(AllCollegeGR, MATCH(N466,AllCollegeNCES,0)))/2,0.15),2),INDEX(AllCollegeGR, MATCH(N466,AllCollegeNCES,0)))</f>
        <v>0</v>
      </c>
      <c r="AB466">
        <f>IF(ISNUMBER(INDEX(AllCollegeAAHGR, MATCH(N466,AllCollegeNCES,0))),ROUND(INDEX(AllCollegeAAHGR, MATCH(N466,AllCollegeNCES,0))+Z466*IF(INDEX(AllCollegeAAHGR, MATCH(N466,AllCollegeNCES,0))&gt;0.7,(1-INDEX(AllCollegeAAHGR, MATCH(N466,AllCollegeNCES,0)))/2,0.15),2),INDEX(AllCollegeAAHGR, MATCH(N466,AllCollegeNCES,0)))</f>
        <v>0</v>
      </c>
      <c r="AC466">
        <f>IF(OR(W466="H",W466="B"),INDEX(AllCollegeSAT25, MATCH(N466,AllCollegeNCES,0)),INDEX(AllCollegeSAT50, MATCH(N466,AllCollegeNCES,0)))</f>
        <v>0</v>
      </c>
      <c r="AD466">
        <f>INDEX(CustomWeightsGPA,MATCH(W466&amp;":"&amp;N466,CustomWeightsIndex,0))</f>
        <v>0</v>
      </c>
      <c r="AE466">
        <f>INDEX(CustomWeightsSAT,MATCH(W466&amp;":"&amp;N466,CustomWeightsIndex,0))</f>
        <v>0</v>
      </c>
      <c r="AF466">
        <f>INDEX(CustomWeightsIntercept,MATCH(W466&amp;":"&amp;N466,CustomWeightsIndex,0))</f>
        <v>0</v>
      </c>
      <c r="AG466">
        <f>AD466*S466+AE466*T466+AF466</f>
        <v>0</v>
      </c>
      <c r="AH466">
        <f>INDEX(CoefficientsGPA,MATCH(W466&amp;":"&amp;R466,CoefficientsIndex,0))</f>
        <v>0</v>
      </c>
      <c r="AI466">
        <f>INDEX(CoefficientsSAT,MATCH(W466&amp;":"&amp;R466,CoefficientsIndex,0))</f>
        <v>0</v>
      </c>
      <c r="AJ466">
        <f>INDEX(CoefficientsIntercept,MATCH(W466&amp;":"&amp;R466,CoefficientsIndex,0))</f>
        <v>0</v>
      </c>
      <c r="AK466">
        <f>AH466*S466+(T466-AC466)*AI466+AJ466</f>
        <v>0</v>
      </c>
      <c r="AL466">
        <f>IF(ISNUMBER(AG466),AG466,AK466)</f>
        <v>0</v>
      </c>
      <c r="AM466">
        <f>IF(ISNUMBER(AL466),IF(ISNUMBER(AH466),IF(AND(AH466=1,AI466=1,AJ466=1),100,MIN(99,ROUND(100*EXP(AL466)/(1+EXP(AL466)),2))),MIN(99,ROUND(100*EXP(AL466)/(1+EXP(AL466)),2))),IF(ISTEXT(R466),IF(LEFT(R466,1)="2",100,"N/A"),"N/A"))</f>
        <v>0</v>
      </c>
      <c r="AN466">
        <f>IF(ISNUMBER(AM466),IF(AM466&gt;=99,IF(OR(U466=10,U466=11),MatchLabel,SureThingLabel),IF(AM466&gt;=95,SecureLabel,IF(AM466&gt;=80,SafetyLabel,IF(AM466&gt;=50,MatchLabel,IF(AM466&gt;=20,ReachLabel,IF(AM466&gt;=10,LongshotLabel,HailMaryLabel)))))),"Other")</f>
        <v>0</v>
      </c>
      <c r="AO466">
        <f>IF(OR(I466="accepted",I466="cond. accept",I466="summer admit"),IF(J466="yes","CHOICE!","Accepted!"),IF(I466="guar. transfer","Guar. Xfer",IF(I466="denied","Denied",IF(K466=1,"Waitlist",IF(L466=1,"Deferred",IF(G466="pending","Pending",IF(OR(G466="initial materials submitted",G466="mid-year submitted",G466="final submitted"),"Submitted",IF(H466="interest","Interest","?"))))))))</f>
        <v>0</v>
      </c>
      <c r="AP466">
        <f>IF(OR(AN466=ReachLabel,AN466=LongshotLabel,AN466=HailMaryLabel),1,0)</f>
        <v>0</v>
      </c>
      <c r="AQ466">
        <f>IF(OR(AP466=1,AN466=MatchLabel),1,0)</f>
        <v>0</v>
      </c>
      <c r="AR466">
        <f>IF(OR(AN466=MatchLabel,AN466=SafetyLabel,AN466=SecureLabel,AN466=SureThingLabel),1,0)</f>
        <v>0</v>
      </c>
      <c r="AS466">
        <f>IF(OR(W466="H",W466="B",W466="I",W466="M"),IF(ISNUMBER(AB466),ROUND(AB466,2),0),IF(ISNUMBER(AA466),ROUND(AA466,2),0))</f>
        <v>0</v>
      </c>
      <c r="AT466">
        <f>IF(AS466&gt;=X466,1,0)</f>
        <v>0</v>
      </c>
      <c r="AU466">
        <f>IF(AS466&gt;=Y466,1,0)</f>
        <v>0</v>
      </c>
      <c r="AV466">
        <f>IF(AS466&lt;(X466-0.10),1,0)</f>
        <v>0</v>
      </c>
      <c r="AW466">
        <f>1-AM466/100</f>
        <v>0</v>
      </c>
      <c r="AX466">
        <f>IF(AQ466=1,AW466,1)</f>
        <v>0</v>
      </c>
      <c r="AY466">
        <f>IF(AP466=1,AW466,1)</f>
        <v>0</v>
      </c>
      <c r="AZ466">
        <f>IF(AND(AT466=1,ISNUMBER(AW466)),$AW466,1)</f>
        <v>0</v>
      </c>
      <c r="BA466">
        <f>IF(AND(AU466=1,ISNUMBER(AW466)),$AW466,1)</f>
        <v>0</v>
      </c>
      <c r="BB466">
        <f>IF(ISNUMBER(AB466),INDEX(AllCollegeMoney, MATCH(N466,AllCollegeNCES,0)),0)</f>
        <v>0</v>
      </c>
      <c r="BC466">
        <f>IF(AND(AT466=1,ISNUMBER(AW466),BB466=1),$AW466,1)</f>
        <v>0</v>
      </c>
      <c r="BD466">
        <f>IF(AND(AU466=1,ISNUMBER(AW466),BB466=1),$AW466,1)</f>
        <v>0</v>
      </c>
      <c r="BE466">
        <f>IF(ISNUMBER(AB466),INDEX(AllCollegeILPub, MATCH(N466,AllCollegeNCES,0)),0)</f>
        <v>0</v>
      </c>
      <c r="BF466">
        <f>IF(AN466=ReachLabel,AS466,0)</f>
        <v>0</v>
      </c>
      <c r="BG466">
        <f>IF(AN466=MatchLabel,AS466,0)</f>
        <v>0</v>
      </c>
      <c r="BH466">
        <f>IF(AN466=SafetyLabel,AS466,0)</f>
        <v>0</v>
      </c>
      <c r="BI466">
        <f>IF(AN466=SecureLabel,AS466,0)</f>
        <v>0</v>
      </c>
      <c r="BJ466">
        <f>IF(AN466=SureThingLabel,AS466,0)</f>
        <v>0</v>
      </c>
      <c r="BK466">
        <f>MAX(BF466:BJ466)</f>
        <v>0</v>
      </c>
      <c r="BL466">
        <f>MAX(BG466:BJ466)</f>
        <v>0</v>
      </c>
      <c r="BM466">
        <f>MAX(BH466:BJ466)</f>
        <v>0</v>
      </c>
      <c r="BN466">
        <f>IF(AND(AN466=ReachLabel,BB466=1),AS466,0)</f>
        <v>0</v>
      </c>
      <c r="BO466">
        <f>IF(AND(AN466=MatchLabel,BB466=1),AS466,0)</f>
        <v>0</v>
      </c>
      <c r="BP466">
        <f>IF(AND(AN466=SafetyLabel,BB466=1),AS466,0)</f>
        <v>0</v>
      </c>
      <c r="BQ466">
        <f>IF(AND(AN466=SecureLabel,BB466=1),AS466,0)</f>
        <v>0</v>
      </c>
      <c r="BR466">
        <f>IF(AND(AN466=SureThingLabel,BB466=1),AS466,0)</f>
        <v>0</v>
      </c>
      <c r="BS466">
        <f>MAX(BN466:BR466)</f>
        <v>0</v>
      </c>
      <c r="BT466">
        <f>MAX(BO466:BR466)</f>
        <v>0</v>
      </c>
      <c r="BU466">
        <f>MAX(BP466:BR466)</f>
        <v>0</v>
      </c>
      <c r="BV466">
        <f>IF(ISNUMBER(AB466),INDEX(AllCollegeChicago, MATCH(N466,AllCollegeNCES,0))*BB466,0)</f>
        <v>0</v>
      </c>
      <c r="BW466">
        <f>IF(ISNUMBER(AB466),INDEX(AllCollegeMoneyCode, MATCH(N466,AllCollegeNCES,0)),"?")</f>
        <v>0</v>
      </c>
      <c r="BX466">
        <f>IF(OR(BW466="---",BW466="--",BW466="+/--",BW466="+/---"),1,0)</f>
        <v>0</v>
      </c>
      <c r="BY466">
        <f>BB466*AR466*AT466</f>
        <v>0</v>
      </c>
    </row>
    <row r="467" spans="1:77">
      <c r="A467" t="s">
        <v>96</v>
      </c>
      <c r="B467">
        <v>23460954</v>
      </c>
      <c r="C467" t="s">
        <v>291</v>
      </c>
      <c r="D467" t="s">
        <v>292</v>
      </c>
      <c r="E467" t="s">
        <v>446</v>
      </c>
      <c r="F467" t="s">
        <v>572</v>
      </c>
      <c r="G467" t="s">
        <v>448</v>
      </c>
      <c r="H467" t="s">
        <v>449</v>
      </c>
      <c r="I467" t="s">
        <v>450</v>
      </c>
      <c r="J467" t="s">
        <v>450</v>
      </c>
      <c r="K467">
        <v>0</v>
      </c>
      <c r="L467" t="s">
        <v>446</v>
      </c>
      <c r="M467" t="s">
        <v>446</v>
      </c>
      <c r="N467">
        <v>198385</v>
      </c>
      <c r="O467">
        <f>INDEX(Counselor,MATCH(B467,KidIDs,0))</f>
        <v>0</v>
      </c>
      <c r="P467">
        <f>INDEX(Advisors,MATCH(B467,KidIDs,0))</f>
        <v>0</v>
      </c>
      <c r="Q467">
        <f>INDEX(Cohort,MATCH(B467,KidIDs,0))</f>
        <v>0</v>
      </c>
      <c r="R467">
        <f>INDEX(AllCollegeBarrons,MATCH(N467,AllCollegeNCES,0))</f>
        <v>0</v>
      </c>
      <c r="S467">
        <f>INDEX(KidGPAs,MATCH(B467,KidIDs,0))</f>
        <v>0</v>
      </c>
      <c r="T467">
        <f>INDEX(KidSATs,MATCH(B467,KidIDs,0))</f>
        <v>0</v>
      </c>
      <c r="U467">
        <f>INDEX(Strats,MATCH(B467,KidIDs,0))</f>
        <v>0</v>
      </c>
      <c r="V467">
        <f>INDEX(KidRace,MATCH(B467,KidIDs,0))</f>
        <v>0</v>
      </c>
      <c r="W467">
        <f>IF(OR(V467="M",V467="I"),"H",IF(V467="P","A",V467))</f>
        <v>0</v>
      </c>
      <c r="X467">
        <f>INDEX(StudentTargets,MATCH(B467,KidIDs,0))</f>
        <v>0</v>
      </c>
      <c r="Y467">
        <f>INDEX(ReachStudentTargets,MATCH(B467,KidIDs,0))</f>
        <v>0</v>
      </c>
      <c r="Z467">
        <f>IF(OR(M467="Posse"),1,0)</f>
        <v>0</v>
      </c>
      <c r="AA467">
        <f>IF(ISNUMBER(INDEX(AllCollegeGR, MATCH(N467,AllCollegeNCES,0))),ROUND(INDEX(AllCollegeGR, MATCH(N467,AllCollegeNCES,0))+Z467*IF(INDEX(AllCollegeGR, MATCH(N467,AllCollegeNCES,0))&gt;0.7,(1-INDEX(AllCollegeGR, MATCH(N467,AllCollegeNCES,0)))/2,0.15),2),INDEX(AllCollegeGR, MATCH(N467,AllCollegeNCES,0)))</f>
        <v>0</v>
      </c>
      <c r="AB467">
        <f>IF(ISNUMBER(INDEX(AllCollegeAAHGR, MATCH(N467,AllCollegeNCES,0))),ROUND(INDEX(AllCollegeAAHGR, MATCH(N467,AllCollegeNCES,0))+Z467*IF(INDEX(AllCollegeAAHGR, MATCH(N467,AllCollegeNCES,0))&gt;0.7,(1-INDEX(AllCollegeAAHGR, MATCH(N467,AllCollegeNCES,0)))/2,0.15),2),INDEX(AllCollegeAAHGR, MATCH(N467,AllCollegeNCES,0)))</f>
        <v>0</v>
      </c>
      <c r="AC467">
        <f>IF(OR(W467="H",W467="B"),INDEX(AllCollegeSAT25, MATCH(N467,AllCollegeNCES,0)),INDEX(AllCollegeSAT50, MATCH(N467,AllCollegeNCES,0)))</f>
        <v>0</v>
      </c>
      <c r="AD467">
        <f>INDEX(CustomWeightsGPA,MATCH(W467&amp;":"&amp;N467,CustomWeightsIndex,0))</f>
        <v>0</v>
      </c>
      <c r="AE467">
        <f>INDEX(CustomWeightsSAT,MATCH(W467&amp;":"&amp;N467,CustomWeightsIndex,0))</f>
        <v>0</v>
      </c>
      <c r="AF467">
        <f>INDEX(CustomWeightsIntercept,MATCH(W467&amp;":"&amp;N467,CustomWeightsIndex,0))</f>
        <v>0</v>
      </c>
      <c r="AG467">
        <f>AD467*S467+AE467*T467+AF467</f>
        <v>0</v>
      </c>
      <c r="AH467">
        <f>INDEX(CoefficientsGPA,MATCH(W467&amp;":"&amp;R467,CoefficientsIndex,0))</f>
        <v>0</v>
      </c>
      <c r="AI467">
        <f>INDEX(CoefficientsSAT,MATCH(W467&amp;":"&amp;R467,CoefficientsIndex,0))</f>
        <v>0</v>
      </c>
      <c r="AJ467">
        <f>INDEX(CoefficientsIntercept,MATCH(W467&amp;":"&amp;R467,CoefficientsIndex,0))</f>
        <v>0</v>
      </c>
      <c r="AK467">
        <f>AH467*S467+(T467-AC467)*AI467+AJ467</f>
        <v>0</v>
      </c>
      <c r="AL467">
        <f>IF(ISNUMBER(AG467),AG467,AK467)</f>
        <v>0</v>
      </c>
      <c r="AM467">
        <f>IF(ISNUMBER(AL467),IF(ISNUMBER(AH467),IF(AND(AH467=1,AI467=1,AJ467=1),100,MIN(99,ROUND(100*EXP(AL467)/(1+EXP(AL467)),2))),MIN(99,ROUND(100*EXP(AL467)/(1+EXP(AL467)),2))),IF(ISTEXT(R467),IF(LEFT(R467,1)="2",100,"N/A"),"N/A"))</f>
        <v>0</v>
      </c>
      <c r="AN467">
        <f>IF(ISNUMBER(AM467),IF(AM467&gt;=99,IF(OR(U467=10,U467=11),MatchLabel,SureThingLabel),IF(AM467&gt;=95,SecureLabel,IF(AM467&gt;=80,SafetyLabel,IF(AM467&gt;=50,MatchLabel,IF(AM467&gt;=20,ReachLabel,IF(AM467&gt;=10,LongshotLabel,HailMaryLabel)))))),"Other")</f>
        <v>0</v>
      </c>
      <c r="AO467">
        <f>IF(OR(I467="accepted",I467="cond. accept",I467="summer admit"),IF(J467="yes","CHOICE!","Accepted!"),IF(I467="guar. transfer","Guar. Xfer",IF(I467="denied","Denied",IF(K467=1,"Waitlist",IF(L467=1,"Deferred",IF(G467="pending","Pending",IF(OR(G467="initial materials submitted",G467="mid-year submitted",G467="final submitted"),"Submitted",IF(H467="interest","Interest","?"))))))))</f>
        <v>0</v>
      </c>
      <c r="AP467">
        <f>IF(OR(AN467=ReachLabel,AN467=LongshotLabel,AN467=HailMaryLabel),1,0)</f>
        <v>0</v>
      </c>
      <c r="AQ467">
        <f>IF(OR(AP467=1,AN467=MatchLabel),1,0)</f>
        <v>0</v>
      </c>
      <c r="AR467">
        <f>IF(OR(AN467=MatchLabel,AN467=SafetyLabel,AN467=SecureLabel,AN467=SureThingLabel),1,0)</f>
        <v>0</v>
      </c>
      <c r="AS467">
        <f>IF(OR(W467="H",W467="B",W467="I",W467="M"),IF(ISNUMBER(AB467),ROUND(AB467,2),0),IF(ISNUMBER(AA467),ROUND(AA467,2),0))</f>
        <v>0</v>
      </c>
      <c r="AT467">
        <f>IF(AS467&gt;=X467,1,0)</f>
        <v>0</v>
      </c>
      <c r="AU467">
        <f>IF(AS467&gt;=Y467,1,0)</f>
        <v>0</v>
      </c>
      <c r="AV467">
        <f>IF(AS467&lt;(X467-0.10),1,0)</f>
        <v>0</v>
      </c>
      <c r="AW467">
        <f>1-AM467/100</f>
        <v>0</v>
      </c>
      <c r="AX467">
        <f>IF(AQ467=1,AW467,1)</f>
        <v>0</v>
      </c>
      <c r="AY467">
        <f>IF(AP467=1,AW467,1)</f>
        <v>0</v>
      </c>
      <c r="AZ467">
        <f>IF(AND(AT467=1,ISNUMBER(AW467)),$AW467,1)</f>
        <v>0</v>
      </c>
      <c r="BA467">
        <f>IF(AND(AU467=1,ISNUMBER(AW467)),$AW467,1)</f>
        <v>0</v>
      </c>
      <c r="BB467">
        <f>IF(ISNUMBER(AB467),INDEX(AllCollegeMoney, MATCH(N467,AllCollegeNCES,0)),0)</f>
        <v>0</v>
      </c>
      <c r="BC467">
        <f>IF(AND(AT467=1,ISNUMBER(AW467),BB467=1),$AW467,1)</f>
        <v>0</v>
      </c>
      <c r="BD467">
        <f>IF(AND(AU467=1,ISNUMBER(AW467),BB467=1),$AW467,1)</f>
        <v>0</v>
      </c>
      <c r="BE467">
        <f>IF(ISNUMBER(AB467),INDEX(AllCollegeILPub, MATCH(N467,AllCollegeNCES,0)),0)</f>
        <v>0</v>
      </c>
      <c r="BF467">
        <f>IF(AN467=ReachLabel,AS467,0)</f>
        <v>0</v>
      </c>
      <c r="BG467">
        <f>IF(AN467=MatchLabel,AS467,0)</f>
        <v>0</v>
      </c>
      <c r="BH467">
        <f>IF(AN467=SafetyLabel,AS467,0)</f>
        <v>0</v>
      </c>
      <c r="BI467">
        <f>IF(AN467=SecureLabel,AS467,0)</f>
        <v>0</v>
      </c>
      <c r="BJ467">
        <f>IF(AN467=SureThingLabel,AS467,0)</f>
        <v>0</v>
      </c>
      <c r="BK467">
        <f>MAX(BF467:BJ467)</f>
        <v>0</v>
      </c>
      <c r="BL467">
        <f>MAX(BG467:BJ467)</f>
        <v>0</v>
      </c>
      <c r="BM467">
        <f>MAX(BH467:BJ467)</f>
        <v>0</v>
      </c>
      <c r="BN467">
        <f>IF(AND(AN467=ReachLabel,BB467=1),AS467,0)</f>
        <v>0</v>
      </c>
      <c r="BO467">
        <f>IF(AND(AN467=MatchLabel,BB467=1),AS467,0)</f>
        <v>0</v>
      </c>
      <c r="BP467">
        <f>IF(AND(AN467=SafetyLabel,BB467=1),AS467,0)</f>
        <v>0</v>
      </c>
      <c r="BQ467">
        <f>IF(AND(AN467=SecureLabel,BB467=1),AS467,0)</f>
        <v>0</v>
      </c>
      <c r="BR467">
        <f>IF(AND(AN467=SureThingLabel,BB467=1),AS467,0)</f>
        <v>0</v>
      </c>
      <c r="BS467">
        <f>MAX(BN467:BR467)</f>
        <v>0</v>
      </c>
      <c r="BT467">
        <f>MAX(BO467:BR467)</f>
        <v>0</v>
      </c>
      <c r="BU467">
        <f>MAX(BP467:BR467)</f>
        <v>0</v>
      </c>
      <c r="BV467">
        <f>IF(ISNUMBER(AB467),INDEX(AllCollegeChicago, MATCH(N467,AllCollegeNCES,0))*BB467,0)</f>
        <v>0</v>
      </c>
      <c r="BW467">
        <f>IF(ISNUMBER(AB467),INDEX(AllCollegeMoneyCode, MATCH(N467,AllCollegeNCES,0)),"?")</f>
        <v>0</v>
      </c>
      <c r="BX467">
        <f>IF(OR(BW467="---",BW467="--",BW467="+/--",BW467="+/---"),1,0)</f>
        <v>0</v>
      </c>
      <c r="BY467">
        <f>BB467*AR467*AT467</f>
        <v>0</v>
      </c>
    </row>
    <row r="468" spans="1:77">
      <c r="A468" t="s">
        <v>96</v>
      </c>
      <c r="B468">
        <v>23460954</v>
      </c>
      <c r="C468" t="s">
        <v>291</v>
      </c>
      <c r="D468" t="s">
        <v>292</v>
      </c>
      <c r="E468" t="s">
        <v>446</v>
      </c>
      <c r="F468" t="s">
        <v>553</v>
      </c>
      <c r="G468" t="s">
        <v>448</v>
      </c>
      <c r="H468" t="s">
        <v>449</v>
      </c>
      <c r="I468" t="s">
        <v>450</v>
      </c>
      <c r="J468" t="s">
        <v>450</v>
      </c>
      <c r="K468">
        <v>0</v>
      </c>
      <c r="L468" t="s">
        <v>446</v>
      </c>
      <c r="M468" t="s">
        <v>446</v>
      </c>
      <c r="N468">
        <v>211291</v>
      </c>
      <c r="O468">
        <f>INDEX(Counselor,MATCH(B468,KidIDs,0))</f>
        <v>0</v>
      </c>
      <c r="P468">
        <f>INDEX(Advisors,MATCH(B468,KidIDs,0))</f>
        <v>0</v>
      </c>
      <c r="Q468">
        <f>INDEX(Cohort,MATCH(B468,KidIDs,0))</f>
        <v>0</v>
      </c>
      <c r="R468">
        <f>INDEX(AllCollegeBarrons,MATCH(N468,AllCollegeNCES,0))</f>
        <v>0</v>
      </c>
      <c r="S468">
        <f>INDEX(KidGPAs,MATCH(B468,KidIDs,0))</f>
        <v>0</v>
      </c>
      <c r="T468">
        <f>INDEX(KidSATs,MATCH(B468,KidIDs,0))</f>
        <v>0</v>
      </c>
      <c r="U468">
        <f>INDEX(Strats,MATCH(B468,KidIDs,0))</f>
        <v>0</v>
      </c>
      <c r="V468">
        <f>INDEX(KidRace,MATCH(B468,KidIDs,0))</f>
        <v>0</v>
      </c>
      <c r="W468">
        <f>IF(OR(V468="M",V468="I"),"H",IF(V468="P","A",V468))</f>
        <v>0</v>
      </c>
      <c r="X468">
        <f>INDEX(StudentTargets,MATCH(B468,KidIDs,0))</f>
        <v>0</v>
      </c>
      <c r="Y468">
        <f>INDEX(ReachStudentTargets,MATCH(B468,KidIDs,0))</f>
        <v>0</v>
      </c>
      <c r="Z468">
        <f>IF(OR(M468="Posse"),1,0)</f>
        <v>0</v>
      </c>
      <c r="AA468">
        <f>IF(ISNUMBER(INDEX(AllCollegeGR, MATCH(N468,AllCollegeNCES,0))),ROUND(INDEX(AllCollegeGR, MATCH(N468,AllCollegeNCES,0))+Z468*IF(INDEX(AllCollegeGR, MATCH(N468,AllCollegeNCES,0))&gt;0.7,(1-INDEX(AllCollegeGR, MATCH(N468,AllCollegeNCES,0)))/2,0.15),2),INDEX(AllCollegeGR, MATCH(N468,AllCollegeNCES,0)))</f>
        <v>0</v>
      </c>
      <c r="AB468">
        <f>IF(ISNUMBER(INDEX(AllCollegeAAHGR, MATCH(N468,AllCollegeNCES,0))),ROUND(INDEX(AllCollegeAAHGR, MATCH(N468,AllCollegeNCES,0))+Z468*IF(INDEX(AllCollegeAAHGR, MATCH(N468,AllCollegeNCES,0))&gt;0.7,(1-INDEX(AllCollegeAAHGR, MATCH(N468,AllCollegeNCES,0)))/2,0.15),2),INDEX(AllCollegeAAHGR, MATCH(N468,AllCollegeNCES,0)))</f>
        <v>0</v>
      </c>
      <c r="AC468">
        <f>IF(OR(W468="H",W468="B"),INDEX(AllCollegeSAT25, MATCH(N468,AllCollegeNCES,0)),INDEX(AllCollegeSAT50, MATCH(N468,AllCollegeNCES,0)))</f>
        <v>0</v>
      </c>
      <c r="AD468">
        <f>INDEX(CustomWeightsGPA,MATCH(W468&amp;":"&amp;N468,CustomWeightsIndex,0))</f>
        <v>0</v>
      </c>
      <c r="AE468">
        <f>INDEX(CustomWeightsSAT,MATCH(W468&amp;":"&amp;N468,CustomWeightsIndex,0))</f>
        <v>0</v>
      </c>
      <c r="AF468">
        <f>INDEX(CustomWeightsIntercept,MATCH(W468&amp;":"&amp;N468,CustomWeightsIndex,0))</f>
        <v>0</v>
      </c>
      <c r="AG468">
        <f>AD468*S468+AE468*T468+AF468</f>
        <v>0</v>
      </c>
      <c r="AH468">
        <f>INDEX(CoefficientsGPA,MATCH(W468&amp;":"&amp;R468,CoefficientsIndex,0))</f>
        <v>0</v>
      </c>
      <c r="AI468">
        <f>INDEX(CoefficientsSAT,MATCH(W468&amp;":"&amp;R468,CoefficientsIndex,0))</f>
        <v>0</v>
      </c>
      <c r="AJ468">
        <f>INDEX(CoefficientsIntercept,MATCH(W468&amp;":"&amp;R468,CoefficientsIndex,0))</f>
        <v>0</v>
      </c>
      <c r="AK468">
        <f>AH468*S468+(T468-AC468)*AI468+AJ468</f>
        <v>0</v>
      </c>
      <c r="AL468">
        <f>IF(ISNUMBER(AG468),AG468,AK468)</f>
        <v>0</v>
      </c>
      <c r="AM468">
        <f>IF(ISNUMBER(AL468),IF(ISNUMBER(AH468),IF(AND(AH468=1,AI468=1,AJ468=1),100,MIN(99,ROUND(100*EXP(AL468)/(1+EXP(AL468)),2))),MIN(99,ROUND(100*EXP(AL468)/(1+EXP(AL468)),2))),IF(ISTEXT(R468),IF(LEFT(R468,1)="2",100,"N/A"),"N/A"))</f>
        <v>0</v>
      </c>
      <c r="AN468">
        <f>IF(ISNUMBER(AM468),IF(AM468&gt;=99,IF(OR(U468=10,U468=11),MatchLabel,SureThingLabel),IF(AM468&gt;=95,SecureLabel,IF(AM468&gt;=80,SafetyLabel,IF(AM468&gt;=50,MatchLabel,IF(AM468&gt;=20,ReachLabel,IF(AM468&gt;=10,LongshotLabel,HailMaryLabel)))))),"Other")</f>
        <v>0</v>
      </c>
      <c r="AO468">
        <f>IF(OR(I468="accepted",I468="cond. accept",I468="summer admit"),IF(J468="yes","CHOICE!","Accepted!"),IF(I468="guar. transfer","Guar. Xfer",IF(I468="denied","Denied",IF(K468=1,"Waitlist",IF(L468=1,"Deferred",IF(G468="pending","Pending",IF(OR(G468="initial materials submitted",G468="mid-year submitted",G468="final submitted"),"Submitted",IF(H468="interest","Interest","?"))))))))</f>
        <v>0</v>
      </c>
      <c r="AP468">
        <f>IF(OR(AN468=ReachLabel,AN468=LongshotLabel,AN468=HailMaryLabel),1,0)</f>
        <v>0</v>
      </c>
      <c r="AQ468">
        <f>IF(OR(AP468=1,AN468=MatchLabel),1,0)</f>
        <v>0</v>
      </c>
      <c r="AR468">
        <f>IF(OR(AN468=MatchLabel,AN468=SafetyLabel,AN468=SecureLabel,AN468=SureThingLabel),1,0)</f>
        <v>0</v>
      </c>
      <c r="AS468">
        <f>IF(OR(W468="H",W468="B",W468="I",W468="M"),IF(ISNUMBER(AB468),ROUND(AB468,2),0),IF(ISNUMBER(AA468),ROUND(AA468,2),0))</f>
        <v>0</v>
      </c>
      <c r="AT468">
        <f>IF(AS468&gt;=X468,1,0)</f>
        <v>0</v>
      </c>
      <c r="AU468">
        <f>IF(AS468&gt;=Y468,1,0)</f>
        <v>0</v>
      </c>
      <c r="AV468">
        <f>IF(AS468&lt;(X468-0.10),1,0)</f>
        <v>0</v>
      </c>
      <c r="AW468">
        <f>1-AM468/100</f>
        <v>0</v>
      </c>
      <c r="AX468">
        <f>IF(AQ468=1,AW468,1)</f>
        <v>0</v>
      </c>
      <c r="AY468">
        <f>IF(AP468=1,AW468,1)</f>
        <v>0</v>
      </c>
      <c r="AZ468">
        <f>IF(AND(AT468=1,ISNUMBER(AW468)),$AW468,1)</f>
        <v>0</v>
      </c>
      <c r="BA468">
        <f>IF(AND(AU468=1,ISNUMBER(AW468)),$AW468,1)</f>
        <v>0</v>
      </c>
      <c r="BB468">
        <f>IF(ISNUMBER(AB468),INDEX(AllCollegeMoney, MATCH(N468,AllCollegeNCES,0)),0)</f>
        <v>0</v>
      </c>
      <c r="BC468">
        <f>IF(AND(AT468=1,ISNUMBER(AW468),BB468=1),$AW468,1)</f>
        <v>0</v>
      </c>
      <c r="BD468">
        <f>IF(AND(AU468=1,ISNUMBER(AW468),BB468=1),$AW468,1)</f>
        <v>0</v>
      </c>
      <c r="BE468">
        <f>IF(ISNUMBER(AB468),INDEX(AllCollegeILPub, MATCH(N468,AllCollegeNCES,0)),0)</f>
        <v>0</v>
      </c>
      <c r="BF468">
        <f>IF(AN468=ReachLabel,AS468,0)</f>
        <v>0</v>
      </c>
      <c r="BG468">
        <f>IF(AN468=MatchLabel,AS468,0)</f>
        <v>0</v>
      </c>
      <c r="BH468">
        <f>IF(AN468=SafetyLabel,AS468,0)</f>
        <v>0</v>
      </c>
      <c r="BI468">
        <f>IF(AN468=SecureLabel,AS468,0)</f>
        <v>0</v>
      </c>
      <c r="BJ468">
        <f>IF(AN468=SureThingLabel,AS468,0)</f>
        <v>0</v>
      </c>
      <c r="BK468">
        <f>MAX(BF468:BJ468)</f>
        <v>0</v>
      </c>
      <c r="BL468">
        <f>MAX(BG468:BJ468)</f>
        <v>0</v>
      </c>
      <c r="BM468">
        <f>MAX(BH468:BJ468)</f>
        <v>0</v>
      </c>
      <c r="BN468">
        <f>IF(AND(AN468=ReachLabel,BB468=1),AS468,0)</f>
        <v>0</v>
      </c>
      <c r="BO468">
        <f>IF(AND(AN468=MatchLabel,BB468=1),AS468,0)</f>
        <v>0</v>
      </c>
      <c r="BP468">
        <f>IF(AND(AN468=SafetyLabel,BB468=1),AS468,0)</f>
        <v>0</v>
      </c>
      <c r="BQ468">
        <f>IF(AND(AN468=SecureLabel,BB468=1),AS468,0)</f>
        <v>0</v>
      </c>
      <c r="BR468">
        <f>IF(AND(AN468=SureThingLabel,BB468=1),AS468,0)</f>
        <v>0</v>
      </c>
      <c r="BS468">
        <f>MAX(BN468:BR468)</f>
        <v>0</v>
      </c>
      <c r="BT468">
        <f>MAX(BO468:BR468)</f>
        <v>0</v>
      </c>
      <c r="BU468">
        <f>MAX(BP468:BR468)</f>
        <v>0</v>
      </c>
      <c r="BV468">
        <f>IF(ISNUMBER(AB468),INDEX(AllCollegeChicago, MATCH(N468,AllCollegeNCES,0))*BB468,0)</f>
        <v>0</v>
      </c>
      <c r="BW468">
        <f>IF(ISNUMBER(AB468),INDEX(AllCollegeMoneyCode, MATCH(N468,AllCollegeNCES,0)),"?")</f>
        <v>0</v>
      </c>
      <c r="BX468">
        <f>IF(OR(BW468="---",BW468="--",BW468="+/--",BW468="+/---"),1,0)</f>
        <v>0</v>
      </c>
      <c r="BY468">
        <f>BB468*AR468*AT468</f>
        <v>0</v>
      </c>
    </row>
    <row r="469" spans="1:77">
      <c r="A469" t="s">
        <v>96</v>
      </c>
      <c r="B469">
        <v>23460954</v>
      </c>
      <c r="C469" t="s">
        <v>291</v>
      </c>
      <c r="D469" t="s">
        <v>292</v>
      </c>
      <c r="E469" t="s">
        <v>446</v>
      </c>
      <c r="F469" t="s">
        <v>482</v>
      </c>
      <c r="G469" t="s">
        <v>448</v>
      </c>
      <c r="H469" t="s">
        <v>449</v>
      </c>
      <c r="I469" t="s">
        <v>450</v>
      </c>
      <c r="J469" t="s">
        <v>450</v>
      </c>
      <c r="K469">
        <v>0</v>
      </c>
      <c r="L469" t="s">
        <v>446</v>
      </c>
      <c r="M469" t="s">
        <v>446</v>
      </c>
      <c r="N469">
        <v>170976</v>
      </c>
      <c r="O469">
        <f>INDEX(Counselor,MATCH(B469,KidIDs,0))</f>
        <v>0</v>
      </c>
      <c r="P469">
        <f>INDEX(Advisors,MATCH(B469,KidIDs,0))</f>
        <v>0</v>
      </c>
      <c r="Q469">
        <f>INDEX(Cohort,MATCH(B469,KidIDs,0))</f>
        <v>0</v>
      </c>
      <c r="R469">
        <f>INDEX(AllCollegeBarrons,MATCH(N469,AllCollegeNCES,0))</f>
        <v>0</v>
      </c>
      <c r="S469">
        <f>INDEX(KidGPAs,MATCH(B469,KidIDs,0))</f>
        <v>0</v>
      </c>
      <c r="T469">
        <f>INDEX(KidSATs,MATCH(B469,KidIDs,0))</f>
        <v>0</v>
      </c>
      <c r="U469">
        <f>INDEX(Strats,MATCH(B469,KidIDs,0))</f>
        <v>0</v>
      </c>
      <c r="V469">
        <f>INDEX(KidRace,MATCH(B469,KidIDs,0))</f>
        <v>0</v>
      </c>
      <c r="W469">
        <f>IF(OR(V469="M",V469="I"),"H",IF(V469="P","A",V469))</f>
        <v>0</v>
      </c>
      <c r="X469">
        <f>INDEX(StudentTargets,MATCH(B469,KidIDs,0))</f>
        <v>0</v>
      </c>
      <c r="Y469">
        <f>INDEX(ReachStudentTargets,MATCH(B469,KidIDs,0))</f>
        <v>0</v>
      </c>
      <c r="Z469">
        <f>IF(OR(M469="Posse"),1,0)</f>
        <v>0</v>
      </c>
      <c r="AA469">
        <f>IF(ISNUMBER(INDEX(AllCollegeGR, MATCH(N469,AllCollegeNCES,0))),ROUND(INDEX(AllCollegeGR, MATCH(N469,AllCollegeNCES,0))+Z469*IF(INDEX(AllCollegeGR, MATCH(N469,AllCollegeNCES,0))&gt;0.7,(1-INDEX(AllCollegeGR, MATCH(N469,AllCollegeNCES,0)))/2,0.15),2),INDEX(AllCollegeGR, MATCH(N469,AllCollegeNCES,0)))</f>
        <v>0</v>
      </c>
      <c r="AB469">
        <f>IF(ISNUMBER(INDEX(AllCollegeAAHGR, MATCH(N469,AllCollegeNCES,0))),ROUND(INDEX(AllCollegeAAHGR, MATCH(N469,AllCollegeNCES,0))+Z469*IF(INDEX(AllCollegeAAHGR, MATCH(N469,AllCollegeNCES,0))&gt;0.7,(1-INDEX(AllCollegeAAHGR, MATCH(N469,AllCollegeNCES,0)))/2,0.15),2),INDEX(AllCollegeAAHGR, MATCH(N469,AllCollegeNCES,0)))</f>
        <v>0</v>
      </c>
      <c r="AC469">
        <f>IF(OR(W469="H",W469="B"),INDEX(AllCollegeSAT25, MATCH(N469,AllCollegeNCES,0)),INDEX(AllCollegeSAT50, MATCH(N469,AllCollegeNCES,0)))</f>
        <v>0</v>
      </c>
      <c r="AD469">
        <f>INDEX(CustomWeightsGPA,MATCH(W469&amp;":"&amp;N469,CustomWeightsIndex,0))</f>
        <v>0</v>
      </c>
      <c r="AE469">
        <f>INDEX(CustomWeightsSAT,MATCH(W469&amp;":"&amp;N469,CustomWeightsIndex,0))</f>
        <v>0</v>
      </c>
      <c r="AF469">
        <f>INDEX(CustomWeightsIntercept,MATCH(W469&amp;":"&amp;N469,CustomWeightsIndex,0))</f>
        <v>0</v>
      </c>
      <c r="AG469">
        <f>AD469*S469+AE469*T469+AF469</f>
        <v>0</v>
      </c>
      <c r="AH469">
        <f>INDEX(CoefficientsGPA,MATCH(W469&amp;":"&amp;R469,CoefficientsIndex,0))</f>
        <v>0</v>
      </c>
      <c r="AI469">
        <f>INDEX(CoefficientsSAT,MATCH(W469&amp;":"&amp;R469,CoefficientsIndex,0))</f>
        <v>0</v>
      </c>
      <c r="AJ469">
        <f>INDEX(CoefficientsIntercept,MATCH(W469&amp;":"&amp;R469,CoefficientsIndex,0))</f>
        <v>0</v>
      </c>
      <c r="AK469">
        <f>AH469*S469+(T469-AC469)*AI469+AJ469</f>
        <v>0</v>
      </c>
      <c r="AL469">
        <f>IF(ISNUMBER(AG469),AG469,AK469)</f>
        <v>0</v>
      </c>
      <c r="AM469">
        <f>IF(ISNUMBER(AL469),IF(ISNUMBER(AH469),IF(AND(AH469=1,AI469=1,AJ469=1),100,MIN(99,ROUND(100*EXP(AL469)/(1+EXP(AL469)),2))),MIN(99,ROUND(100*EXP(AL469)/(1+EXP(AL469)),2))),IF(ISTEXT(R469),IF(LEFT(R469,1)="2",100,"N/A"),"N/A"))</f>
        <v>0</v>
      </c>
      <c r="AN469">
        <f>IF(ISNUMBER(AM469),IF(AM469&gt;=99,IF(OR(U469=10,U469=11),MatchLabel,SureThingLabel),IF(AM469&gt;=95,SecureLabel,IF(AM469&gt;=80,SafetyLabel,IF(AM469&gt;=50,MatchLabel,IF(AM469&gt;=20,ReachLabel,IF(AM469&gt;=10,LongshotLabel,HailMaryLabel)))))),"Other")</f>
        <v>0</v>
      </c>
      <c r="AO469">
        <f>IF(OR(I469="accepted",I469="cond. accept",I469="summer admit"),IF(J469="yes","CHOICE!","Accepted!"),IF(I469="guar. transfer","Guar. Xfer",IF(I469="denied","Denied",IF(K469=1,"Waitlist",IF(L469=1,"Deferred",IF(G469="pending","Pending",IF(OR(G469="initial materials submitted",G469="mid-year submitted",G469="final submitted"),"Submitted",IF(H469="interest","Interest","?"))))))))</f>
        <v>0</v>
      </c>
      <c r="AP469">
        <f>IF(OR(AN469=ReachLabel,AN469=LongshotLabel,AN469=HailMaryLabel),1,0)</f>
        <v>0</v>
      </c>
      <c r="AQ469">
        <f>IF(OR(AP469=1,AN469=MatchLabel),1,0)</f>
        <v>0</v>
      </c>
      <c r="AR469">
        <f>IF(OR(AN469=MatchLabel,AN469=SafetyLabel,AN469=SecureLabel,AN469=SureThingLabel),1,0)</f>
        <v>0</v>
      </c>
      <c r="AS469">
        <f>IF(OR(W469="H",W469="B",W469="I",W469="M"),IF(ISNUMBER(AB469),ROUND(AB469,2),0),IF(ISNUMBER(AA469),ROUND(AA469,2),0))</f>
        <v>0</v>
      </c>
      <c r="AT469">
        <f>IF(AS469&gt;=X469,1,0)</f>
        <v>0</v>
      </c>
      <c r="AU469">
        <f>IF(AS469&gt;=Y469,1,0)</f>
        <v>0</v>
      </c>
      <c r="AV469">
        <f>IF(AS469&lt;(X469-0.10),1,0)</f>
        <v>0</v>
      </c>
      <c r="AW469">
        <f>1-AM469/100</f>
        <v>0</v>
      </c>
      <c r="AX469">
        <f>IF(AQ469=1,AW469,1)</f>
        <v>0</v>
      </c>
      <c r="AY469">
        <f>IF(AP469=1,AW469,1)</f>
        <v>0</v>
      </c>
      <c r="AZ469">
        <f>IF(AND(AT469=1,ISNUMBER(AW469)),$AW469,1)</f>
        <v>0</v>
      </c>
      <c r="BA469">
        <f>IF(AND(AU469=1,ISNUMBER(AW469)),$AW469,1)</f>
        <v>0</v>
      </c>
      <c r="BB469">
        <f>IF(ISNUMBER(AB469),INDEX(AllCollegeMoney, MATCH(N469,AllCollegeNCES,0)),0)</f>
        <v>0</v>
      </c>
      <c r="BC469">
        <f>IF(AND(AT469=1,ISNUMBER(AW469),BB469=1),$AW469,1)</f>
        <v>0</v>
      </c>
      <c r="BD469">
        <f>IF(AND(AU469=1,ISNUMBER(AW469),BB469=1),$AW469,1)</f>
        <v>0</v>
      </c>
      <c r="BE469">
        <f>IF(ISNUMBER(AB469),INDEX(AllCollegeILPub, MATCH(N469,AllCollegeNCES,0)),0)</f>
        <v>0</v>
      </c>
      <c r="BF469">
        <f>IF(AN469=ReachLabel,AS469,0)</f>
        <v>0</v>
      </c>
      <c r="BG469">
        <f>IF(AN469=MatchLabel,AS469,0)</f>
        <v>0</v>
      </c>
      <c r="BH469">
        <f>IF(AN469=SafetyLabel,AS469,0)</f>
        <v>0</v>
      </c>
      <c r="BI469">
        <f>IF(AN469=SecureLabel,AS469,0)</f>
        <v>0</v>
      </c>
      <c r="BJ469">
        <f>IF(AN469=SureThingLabel,AS469,0)</f>
        <v>0</v>
      </c>
      <c r="BK469">
        <f>MAX(BF469:BJ469)</f>
        <v>0</v>
      </c>
      <c r="BL469">
        <f>MAX(BG469:BJ469)</f>
        <v>0</v>
      </c>
      <c r="BM469">
        <f>MAX(BH469:BJ469)</f>
        <v>0</v>
      </c>
      <c r="BN469">
        <f>IF(AND(AN469=ReachLabel,BB469=1),AS469,0)</f>
        <v>0</v>
      </c>
      <c r="BO469">
        <f>IF(AND(AN469=MatchLabel,BB469=1),AS469,0)</f>
        <v>0</v>
      </c>
      <c r="BP469">
        <f>IF(AND(AN469=SafetyLabel,BB469=1),AS469,0)</f>
        <v>0</v>
      </c>
      <c r="BQ469">
        <f>IF(AND(AN469=SecureLabel,BB469=1),AS469,0)</f>
        <v>0</v>
      </c>
      <c r="BR469">
        <f>IF(AND(AN469=SureThingLabel,BB469=1),AS469,0)</f>
        <v>0</v>
      </c>
      <c r="BS469">
        <f>MAX(BN469:BR469)</f>
        <v>0</v>
      </c>
      <c r="BT469">
        <f>MAX(BO469:BR469)</f>
        <v>0</v>
      </c>
      <c r="BU469">
        <f>MAX(BP469:BR469)</f>
        <v>0</v>
      </c>
      <c r="BV469">
        <f>IF(ISNUMBER(AB469),INDEX(AllCollegeChicago, MATCH(N469,AllCollegeNCES,0))*BB469,0)</f>
        <v>0</v>
      </c>
      <c r="BW469">
        <f>IF(ISNUMBER(AB469),INDEX(AllCollegeMoneyCode, MATCH(N469,AllCollegeNCES,0)),"?")</f>
        <v>0</v>
      </c>
      <c r="BX469">
        <f>IF(OR(BW469="---",BW469="--",BW469="+/--",BW469="+/---"),1,0)</f>
        <v>0</v>
      </c>
      <c r="BY469">
        <f>BB469*AR469*AT469</f>
        <v>0</v>
      </c>
    </row>
    <row r="470" spans="1:77">
      <c r="A470" t="s">
        <v>96</v>
      </c>
      <c r="B470">
        <v>23460954</v>
      </c>
      <c r="C470" t="s">
        <v>291</v>
      </c>
      <c r="D470" t="s">
        <v>292</v>
      </c>
      <c r="E470" t="s">
        <v>446</v>
      </c>
      <c r="F470" t="s">
        <v>511</v>
      </c>
      <c r="G470" t="s">
        <v>448</v>
      </c>
      <c r="H470" t="s">
        <v>449</v>
      </c>
      <c r="I470" t="s">
        <v>450</v>
      </c>
      <c r="J470" t="s">
        <v>450</v>
      </c>
      <c r="K470">
        <v>0</v>
      </c>
      <c r="L470" t="s">
        <v>446</v>
      </c>
      <c r="M470" t="s">
        <v>446</v>
      </c>
      <c r="N470">
        <v>216597</v>
      </c>
      <c r="O470">
        <f>INDEX(Counselor,MATCH(B470,KidIDs,0))</f>
        <v>0</v>
      </c>
      <c r="P470">
        <f>INDEX(Advisors,MATCH(B470,KidIDs,0))</f>
        <v>0</v>
      </c>
      <c r="Q470">
        <f>INDEX(Cohort,MATCH(B470,KidIDs,0))</f>
        <v>0</v>
      </c>
      <c r="R470">
        <f>INDEX(AllCollegeBarrons,MATCH(N470,AllCollegeNCES,0))</f>
        <v>0</v>
      </c>
      <c r="S470">
        <f>INDEX(KidGPAs,MATCH(B470,KidIDs,0))</f>
        <v>0</v>
      </c>
      <c r="T470">
        <f>INDEX(KidSATs,MATCH(B470,KidIDs,0))</f>
        <v>0</v>
      </c>
      <c r="U470">
        <f>INDEX(Strats,MATCH(B470,KidIDs,0))</f>
        <v>0</v>
      </c>
      <c r="V470">
        <f>INDEX(KidRace,MATCH(B470,KidIDs,0))</f>
        <v>0</v>
      </c>
      <c r="W470">
        <f>IF(OR(V470="M",V470="I"),"H",IF(V470="P","A",V470))</f>
        <v>0</v>
      </c>
      <c r="X470">
        <f>INDEX(StudentTargets,MATCH(B470,KidIDs,0))</f>
        <v>0</v>
      </c>
      <c r="Y470">
        <f>INDEX(ReachStudentTargets,MATCH(B470,KidIDs,0))</f>
        <v>0</v>
      </c>
      <c r="Z470">
        <f>IF(OR(M470="Posse"),1,0)</f>
        <v>0</v>
      </c>
      <c r="AA470">
        <f>IF(ISNUMBER(INDEX(AllCollegeGR, MATCH(N470,AllCollegeNCES,0))),ROUND(INDEX(AllCollegeGR, MATCH(N470,AllCollegeNCES,0))+Z470*IF(INDEX(AllCollegeGR, MATCH(N470,AllCollegeNCES,0))&gt;0.7,(1-INDEX(AllCollegeGR, MATCH(N470,AllCollegeNCES,0)))/2,0.15),2),INDEX(AllCollegeGR, MATCH(N470,AllCollegeNCES,0)))</f>
        <v>0</v>
      </c>
      <c r="AB470">
        <f>IF(ISNUMBER(INDEX(AllCollegeAAHGR, MATCH(N470,AllCollegeNCES,0))),ROUND(INDEX(AllCollegeAAHGR, MATCH(N470,AllCollegeNCES,0))+Z470*IF(INDEX(AllCollegeAAHGR, MATCH(N470,AllCollegeNCES,0))&gt;0.7,(1-INDEX(AllCollegeAAHGR, MATCH(N470,AllCollegeNCES,0)))/2,0.15),2),INDEX(AllCollegeAAHGR, MATCH(N470,AllCollegeNCES,0)))</f>
        <v>0</v>
      </c>
      <c r="AC470">
        <f>IF(OR(W470="H",W470="B"),INDEX(AllCollegeSAT25, MATCH(N470,AllCollegeNCES,0)),INDEX(AllCollegeSAT50, MATCH(N470,AllCollegeNCES,0)))</f>
        <v>0</v>
      </c>
      <c r="AD470">
        <f>INDEX(CustomWeightsGPA,MATCH(W470&amp;":"&amp;N470,CustomWeightsIndex,0))</f>
        <v>0</v>
      </c>
      <c r="AE470">
        <f>INDEX(CustomWeightsSAT,MATCH(W470&amp;":"&amp;N470,CustomWeightsIndex,0))</f>
        <v>0</v>
      </c>
      <c r="AF470">
        <f>INDEX(CustomWeightsIntercept,MATCH(W470&amp;":"&amp;N470,CustomWeightsIndex,0))</f>
        <v>0</v>
      </c>
      <c r="AG470">
        <f>AD470*S470+AE470*T470+AF470</f>
        <v>0</v>
      </c>
      <c r="AH470">
        <f>INDEX(CoefficientsGPA,MATCH(W470&amp;":"&amp;R470,CoefficientsIndex,0))</f>
        <v>0</v>
      </c>
      <c r="AI470">
        <f>INDEX(CoefficientsSAT,MATCH(W470&amp;":"&amp;R470,CoefficientsIndex,0))</f>
        <v>0</v>
      </c>
      <c r="AJ470">
        <f>INDEX(CoefficientsIntercept,MATCH(W470&amp;":"&amp;R470,CoefficientsIndex,0))</f>
        <v>0</v>
      </c>
      <c r="AK470">
        <f>AH470*S470+(T470-AC470)*AI470+AJ470</f>
        <v>0</v>
      </c>
      <c r="AL470">
        <f>IF(ISNUMBER(AG470),AG470,AK470)</f>
        <v>0</v>
      </c>
      <c r="AM470">
        <f>IF(ISNUMBER(AL470),IF(ISNUMBER(AH470),IF(AND(AH470=1,AI470=1,AJ470=1),100,MIN(99,ROUND(100*EXP(AL470)/(1+EXP(AL470)),2))),MIN(99,ROUND(100*EXP(AL470)/(1+EXP(AL470)),2))),IF(ISTEXT(R470),IF(LEFT(R470,1)="2",100,"N/A"),"N/A"))</f>
        <v>0</v>
      </c>
      <c r="AN470">
        <f>IF(ISNUMBER(AM470),IF(AM470&gt;=99,IF(OR(U470=10,U470=11),MatchLabel,SureThingLabel),IF(AM470&gt;=95,SecureLabel,IF(AM470&gt;=80,SafetyLabel,IF(AM470&gt;=50,MatchLabel,IF(AM470&gt;=20,ReachLabel,IF(AM470&gt;=10,LongshotLabel,HailMaryLabel)))))),"Other")</f>
        <v>0</v>
      </c>
      <c r="AO470">
        <f>IF(OR(I470="accepted",I470="cond. accept",I470="summer admit"),IF(J470="yes","CHOICE!","Accepted!"),IF(I470="guar. transfer","Guar. Xfer",IF(I470="denied","Denied",IF(K470=1,"Waitlist",IF(L470=1,"Deferred",IF(G470="pending","Pending",IF(OR(G470="initial materials submitted",G470="mid-year submitted",G470="final submitted"),"Submitted",IF(H470="interest","Interest","?"))))))))</f>
        <v>0</v>
      </c>
      <c r="AP470">
        <f>IF(OR(AN470=ReachLabel,AN470=LongshotLabel,AN470=HailMaryLabel),1,0)</f>
        <v>0</v>
      </c>
      <c r="AQ470">
        <f>IF(OR(AP470=1,AN470=MatchLabel),1,0)</f>
        <v>0</v>
      </c>
      <c r="AR470">
        <f>IF(OR(AN470=MatchLabel,AN470=SafetyLabel,AN470=SecureLabel,AN470=SureThingLabel),1,0)</f>
        <v>0</v>
      </c>
      <c r="AS470">
        <f>IF(OR(W470="H",W470="B",W470="I",W470="M"),IF(ISNUMBER(AB470),ROUND(AB470,2),0),IF(ISNUMBER(AA470),ROUND(AA470,2),0))</f>
        <v>0</v>
      </c>
      <c r="AT470">
        <f>IF(AS470&gt;=X470,1,0)</f>
        <v>0</v>
      </c>
      <c r="AU470">
        <f>IF(AS470&gt;=Y470,1,0)</f>
        <v>0</v>
      </c>
      <c r="AV470">
        <f>IF(AS470&lt;(X470-0.10),1,0)</f>
        <v>0</v>
      </c>
      <c r="AW470">
        <f>1-AM470/100</f>
        <v>0</v>
      </c>
      <c r="AX470">
        <f>IF(AQ470=1,AW470,1)</f>
        <v>0</v>
      </c>
      <c r="AY470">
        <f>IF(AP470=1,AW470,1)</f>
        <v>0</v>
      </c>
      <c r="AZ470">
        <f>IF(AND(AT470=1,ISNUMBER(AW470)),$AW470,1)</f>
        <v>0</v>
      </c>
      <c r="BA470">
        <f>IF(AND(AU470=1,ISNUMBER(AW470)),$AW470,1)</f>
        <v>0</v>
      </c>
      <c r="BB470">
        <f>IF(ISNUMBER(AB470),INDEX(AllCollegeMoney, MATCH(N470,AllCollegeNCES,0)),0)</f>
        <v>0</v>
      </c>
      <c r="BC470">
        <f>IF(AND(AT470=1,ISNUMBER(AW470),BB470=1),$AW470,1)</f>
        <v>0</v>
      </c>
      <c r="BD470">
        <f>IF(AND(AU470=1,ISNUMBER(AW470),BB470=1),$AW470,1)</f>
        <v>0</v>
      </c>
      <c r="BE470">
        <f>IF(ISNUMBER(AB470),INDEX(AllCollegeILPub, MATCH(N470,AllCollegeNCES,0)),0)</f>
        <v>0</v>
      </c>
      <c r="BF470">
        <f>IF(AN470=ReachLabel,AS470,0)</f>
        <v>0</v>
      </c>
      <c r="BG470">
        <f>IF(AN470=MatchLabel,AS470,0)</f>
        <v>0</v>
      </c>
      <c r="BH470">
        <f>IF(AN470=SafetyLabel,AS470,0)</f>
        <v>0</v>
      </c>
      <c r="BI470">
        <f>IF(AN470=SecureLabel,AS470,0)</f>
        <v>0</v>
      </c>
      <c r="BJ470">
        <f>IF(AN470=SureThingLabel,AS470,0)</f>
        <v>0</v>
      </c>
      <c r="BK470">
        <f>MAX(BF470:BJ470)</f>
        <v>0</v>
      </c>
      <c r="BL470">
        <f>MAX(BG470:BJ470)</f>
        <v>0</v>
      </c>
      <c r="BM470">
        <f>MAX(BH470:BJ470)</f>
        <v>0</v>
      </c>
      <c r="BN470">
        <f>IF(AND(AN470=ReachLabel,BB470=1),AS470,0)</f>
        <v>0</v>
      </c>
      <c r="BO470">
        <f>IF(AND(AN470=MatchLabel,BB470=1),AS470,0)</f>
        <v>0</v>
      </c>
      <c r="BP470">
        <f>IF(AND(AN470=SafetyLabel,BB470=1),AS470,0)</f>
        <v>0</v>
      </c>
      <c r="BQ470">
        <f>IF(AND(AN470=SecureLabel,BB470=1),AS470,0)</f>
        <v>0</v>
      </c>
      <c r="BR470">
        <f>IF(AND(AN470=SureThingLabel,BB470=1),AS470,0)</f>
        <v>0</v>
      </c>
      <c r="BS470">
        <f>MAX(BN470:BR470)</f>
        <v>0</v>
      </c>
      <c r="BT470">
        <f>MAX(BO470:BR470)</f>
        <v>0</v>
      </c>
      <c r="BU470">
        <f>MAX(BP470:BR470)</f>
        <v>0</v>
      </c>
      <c r="BV470">
        <f>IF(ISNUMBER(AB470),INDEX(AllCollegeChicago, MATCH(N470,AllCollegeNCES,0))*BB470,0)</f>
        <v>0</v>
      </c>
      <c r="BW470">
        <f>IF(ISNUMBER(AB470),INDEX(AllCollegeMoneyCode, MATCH(N470,AllCollegeNCES,0)),"?")</f>
        <v>0</v>
      </c>
      <c r="BX470">
        <f>IF(OR(BW470="---",BW470="--",BW470="+/--",BW470="+/---"),1,0)</f>
        <v>0</v>
      </c>
      <c r="BY470">
        <f>BB470*AR470*AT470</f>
        <v>0</v>
      </c>
    </row>
    <row r="471" spans="1:77">
      <c r="A471" t="s">
        <v>96</v>
      </c>
      <c r="B471">
        <v>23460954</v>
      </c>
      <c r="C471" t="s">
        <v>291</v>
      </c>
      <c r="D471" t="s">
        <v>292</v>
      </c>
      <c r="E471" t="s">
        <v>446</v>
      </c>
      <c r="F471" t="s">
        <v>470</v>
      </c>
      <c r="G471" t="s">
        <v>448</v>
      </c>
      <c r="H471" t="s">
        <v>449</v>
      </c>
      <c r="I471" t="s">
        <v>450</v>
      </c>
      <c r="J471" t="s">
        <v>450</v>
      </c>
      <c r="K471">
        <v>0</v>
      </c>
      <c r="L471" t="s">
        <v>446</v>
      </c>
      <c r="M471" t="s">
        <v>446</v>
      </c>
      <c r="N471">
        <v>240444</v>
      </c>
      <c r="O471">
        <f>INDEX(Counselor,MATCH(B471,KidIDs,0))</f>
        <v>0</v>
      </c>
      <c r="P471">
        <f>INDEX(Advisors,MATCH(B471,KidIDs,0))</f>
        <v>0</v>
      </c>
      <c r="Q471">
        <f>INDEX(Cohort,MATCH(B471,KidIDs,0))</f>
        <v>0</v>
      </c>
      <c r="R471">
        <f>INDEX(AllCollegeBarrons,MATCH(N471,AllCollegeNCES,0))</f>
        <v>0</v>
      </c>
      <c r="S471">
        <f>INDEX(KidGPAs,MATCH(B471,KidIDs,0))</f>
        <v>0</v>
      </c>
      <c r="T471">
        <f>INDEX(KidSATs,MATCH(B471,KidIDs,0))</f>
        <v>0</v>
      </c>
      <c r="U471">
        <f>INDEX(Strats,MATCH(B471,KidIDs,0))</f>
        <v>0</v>
      </c>
      <c r="V471">
        <f>INDEX(KidRace,MATCH(B471,KidIDs,0))</f>
        <v>0</v>
      </c>
      <c r="W471">
        <f>IF(OR(V471="M",V471="I"),"H",IF(V471="P","A",V471))</f>
        <v>0</v>
      </c>
      <c r="X471">
        <f>INDEX(StudentTargets,MATCH(B471,KidIDs,0))</f>
        <v>0</v>
      </c>
      <c r="Y471">
        <f>INDEX(ReachStudentTargets,MATCH(B471,KidIDs,0))</f>
        <v>0</v>
      </c>
      <c r="Z471">
        <f>IF(OR(M471="Posse"),1,0)</f>
        <v>0</v>
      </c>
      <c r="AA471">
        <f>IF(ISNUMBER(INDEX(AllCollegeGR, MATCH(N471,AllCollegeNCES,0))),ROUND(INDEX(AllCollegeGR, MATCH(N471,AllCollegeNCES,0))+Z471*IF(INDEX(AllCollegeGR, MATCH(N471,AllCollegeNCES,0))&gt;0.7,(1-INDEX(AllCollegeGR, MATCH(N471,AllCollegeNCES,0)))/2,0.15),2),INDEX(AllCollegeGR, MATCH(N471,AllCollegeNCES,0)))</f>
        <v>0</v>
      </c>
      <c r="AB471">
        <f>IF(ISNUMBER(INDEX(AllCollegeAAHGR, MATCH(N471,AllCollegeNCES,0))),ROUND(INDEX(AllCollegeAAHGR, MATCH(N471,AllCollegeNCES,0))+Z471*IF(INDEX(AllCollegeAAHGR, MATCH(N471,AllCollegeNCES,0))&gt;0.7,(1-INDEX(AllCollegeAAHGR, MATCH(N471,AllCollegeNCES,0)))/2,0.15),2),INDEX(AllCollegeAAHGR, MATCH(N471,AllCollegeNCES,0)))</f>
        <v>0</v>
      </c>
      <c r="AC471">
        <f>IF(OR(W471="H",W471="B"),INDEX(AllCollegeSAT25, MATCH(N471,AllCollegeNCES,0)),INDEX(AllCollegeSAT50, MATCH(N471,AllCollegeNCES,0)))</f>
        <v>0</v>
      </c>
      <c r="AD471">
        <f>INDEX(CustomWeightsGPA,MATCH(W471&amp;":"&amp;N471,CustomWeightsIndex,0))</f>
        <v>0</v>
      </c>
      <c r="AE471">
        <f>INDEX(CustomWeightsSAT,MATCH(W471&amp;":"&amp;N471,CustomWeightsIndex,0))</f>
        <v>0</v>
      </c>
      <c r="AF471">
        <f>INDEX(CustomWeightsIntercept,MATCH(W471&amp;":"&amp;N471,CustomWeightsIndex,0))</f>
        <v>0</v>
      </c>
      <c r="AG471">
        <f>AD471*S471+AE471*T471+AF471</f>
        <v>0</v>
      </c>
      <c r="AH471">
        <f>INDEX(CoefficientsGPA,MATCH(W471&amp;":"&amp;R471,CoefficientsIndex,0))</f>
        <v>0</v>
      </c>
      <c r="AI471">
        <f>INDEX(CoefficientsSAT,MATCH(W471&amp;":"&amp;R471,CoefficientsIndex,0))</f>
        <v>0</v>
      </c>
      <c r="AJ471">
        <f>INDEX(CoefficientsIntercept,MATCH(W471&amp;":"&amp;R471,CoefficientsIndex,0))</f>
        <v>0</v>
      </c>
      <c r="AK471">
        <f>AH471*S471+(T471-AC471)*AI471+AJ471</f>
        <v>0</v>
      </c>
      <c r="AL471">
        <f>IF(ISNUMBER(AG471),AG471,AK471)</f>
        <v>0</v>
      </c>
      <c r="AM471">
        <f>IF(ISNUMBER(AL471),IF(ISNUMBER(AH471),IF(AND(AH471=1,AI471=1,AJ471=1),100,MIN(99,ROUND(100*EXP(AL471)/(1+EXP(AL471)),2))),MIN(99,ROUND(100*EXP(AL471)/(1+EXP(AL471)),2))),IF(ISTEXT(R471),IF(LEFT(R471,1)="2",100,"N/A"),"N/A"))</f>
        <v>0</v>
      </c>
      <c r="AN471">
        <f>IF(ISNUMBER(AM471),IF(AM471&gt;=99,IF(OR(U471=10,U471=11),MatchLabel,SureThingLabel),IF(AM471&gt;=95,SecureLabel,IF(AM471&gt;=80,SafetyLabel,IF(AM471&gt;=50,MatchLabel,IF(AM471&gt;=20,ReachLabel,IF(AM471&gt;=10,LongshotLabel,HailMaryLabel)))))),"Other")</f>
        <v>0</v>
      </c>
      <c r="AO471">
        <f>IF(OR(I471="accepted",I471="cond. accept",I471="summer admit"),IF(J471="yes","CHOICE!","Accepted!"),IF(I471="guar. transfer","Guar. Xfer",IF(I471="denied","Denied",IF(K471=1,"Waitlist",IF(L471=1,"Deferred",IF(G471="pending","Pending",IF(OR(G471="initial materials submitted",G471="mid-year submitted",G471="final submitted"),"Submitted",IF(H471="interest","Interest","?"))))))))</f>
        <v>0</v>
      </c>
      <c r="AP471">
        <f>IF(OR(AN471=ReachLabel,AN471=LongshotLabel,AN471=HailMaryLabel),1,0)</f>
        <v>0</v>
      </c>
      <c r="AQ471">
        <f>IF(OR(AP471=1,AN471=MatchLabel),1,0)</f>
        <v>0</v>
      </c>
      <c r="AR471">
        <f>IF(OR(AN471=MatchLabel,AN471=SafetyLabel,AN471=SecureLabel,AN471=SureThingLabel),1,0)</f>
        <v>0</v>
      </c>
      <c r="AS471">
        <f>IF(OR(W471="H",W471="B",W471="I",W471="M"),IF(ISNUMBER(AB471),ROUND(AB471,2),0),IF(ISNUMBER(AA471),ROUND(AA471,2),0))</f>
        <v>0</v>
      </c>
      <c r="AT471">
        <f>IF(AS471&gt;=X471,1,0)</f>
        <v>0</v>
      </c>
      <c r="AU471">
        <f>IF(AS471&gt;=Y471,1,0)</f>
        <v>0</v>
      </c>
      <c r="AV471">
        <f>IF(AS471&lt;(X471-0.10),1,0)</f>
        <v>0</v>
      </c>
      <c r="AW471">
        <f>1-AM471/100</f>
        <v>0</v>
      </c>
      <c r="AX471">
        <f>IF(AQ471=1,AW471,1)</f>
        <v>0</v>
      </c>
      <c r="AY471">
        <f>IF(AP471=1,AW471,1)</f>
        <v>0</v>
      </c>
      <c r="AZ471">
        <f>IF(AND(AT471=1,ISNUMBER(AW471)),$AW471,1)</f>
        <v>0</v>
      </c>
      <c r="BA471">
        <f>IF(AND(AU471=1,ISNUMBER(AW471)),$AW471,1)</f>
        <v>0</v>
      </c>
      <c r="BB471">
        <f>IF(ISNUMBER(AB471),INDEX(AllCollegeMoney, MATCH(N471,AllCollegeNCES,0)),0)</f>
        <v>0</v>
      </c>
      <c r="BC471">
        <f>IF(AND(AT471=1,ISNUMBER(AW471),BB471=1),$AW471,1)</f>
        <v>0</v>
      </c>
      <c r="BD471">
        <f>IF(AND(AU471=1,ISNUMBER(AW471),BB471=1),$AW471,1)</f>
        <v>0</v>
      </c>
      <c r="BE471">
        <f>IF(ISNUMBER(AB471),INDEX(AllCollegeILPub, MATCH(N471,AllCollegeNCES,0)),0)</f>
        <v>0</v>
      </c>
      <c r="BF471">
        <f>IF(AN471=ReachLabel,AS471,0)</f>
        <v>0</v>
      </c>
      <c r="BG471">
        <f>IF(AN471=MatchLabel,AS471,0)</f>
        <v>0</v>
      </c>
      <c r="BH471">
        <f>IF(AN471=SafetyLabel,AS471,0)</f>
        <v>0</v>
      </c>
      <c r="BI471">
        <f>IF(AN471=SecureLabel,AS471,0)</f>
        <v>0</v>
      </c>
      <c r="BJ471">
        <f>IF(AN471=SureThingLabel,AS471,0)</f>
        <v>0</v>
      </c>
      <c r="BK471">
        <f>MAX(BF471:BJ471)</f>
        <v>0</v>
      </c>
      <c r="BL471">
        <f>MAX(BG471:BJ471)</f>
        <v>0</v>
      </c>
      <c r="BM471">
        <f>MAX(BH471:BJ471)</f>
        <v>0</v>
      </c>
      <c r="BN471">
        <f>IF(AND(AN471=ReachLabel,BB471=1),AS471,0)</f>
        <v>0</v>
      </c>
      <c r="BO471">
        <f>IF(AND(AN471=MatchLabel,BB471=1),AS471,0)</f>
        <v>0</v>
      </c>
      <c r="BP471">
        <f>IF(AND(AN471=SafetyLabel,BB471=1),AS471,0)</f>
        <v>0</v>
      </c>
      <c r="BQ471">
        <f>IF(AND(AN471=SecureLabel,BB471=1),AS471,0)</f>
        <v>0</v>
      </c>
      <c r="BR471">
        <f>IF(AND(AN471=SureThingLabel,BB471=1),AS471,0)</f>
        <v>0</v>
      </c>
      <c r="BS471">
        <f>MAX(BN471:BR471)</f>
        <v>0</v>
      </c>
      <c r="BT471">
        <f>MAX(BO471:BR471)</f>
        <v>0</v>
      </c>
      <c r="BU471">
        <f>MAX(BP471:BR471)</f>
        <v>0</v>
      </c>
      <c r="BV471">
        <f>IF(ISNUMBER(AB471),INDEX(AllCollegeChicago, MATCH(N471,AllCollegeNCES,0))*BB471,0)</f>
        <v>0</v>
      </c>
      <c r="BW471">
        <f>IF(ISNUMBER(AB471),INDEX(AllCollegeMoneyCode, MATCH(N471,AllCollegeNCES,0)),"?")</f>
        <v>0</v>
      </c>
      <c r="BX471">
        <f>IF(OR(BW471="---",BW471="--",BW471="+/--",BW471="+/---"),1,0)</f>
        <v>0</v>
      </c>
      <c r="BY471">
        <f>BB471*AR471*AT471</f>
        <v>0</v>
      </c>
    </row>
    <row r="472" spans="1:77">
      <c r="A472" t="s">
        <v>96</v>
      </c>
      <c r="B472">
        <v>23460954</v>
      </c>
      <c r="C472" t="s">
        <v>291</v>
      </c>
      <c r="D472" t="s">
        <v>292</v>
      </c>
      <c r="E472" t="s">
        <v>446</v>
      </c>
      <c r="F472" t="s">
        <v>484</v>
      </c>
      <c r="G472" t="s">
        <v>448</v>
      </c>
      <c r="H472" t="s">
        <v>449</v>
      </c>
      <c r="I472" t="s">
        <v>450</v>
      </c>
      <c r="J472" t="s">
        <v>450</v>
      </c>
      <c r="K472">
        <v>0</v>
      </c>
      <c r="L472" t="s">
        <v>446</v>
      </c>
      <c r="M472" t="s">
        <v>446</v>
      </c>
      <c r="N472">
        <v>213385</v>
      </c>
      <c r="O472">
        <f>INDEX(Counselor,MATCH(B472,KidIDs,0))</f>
        <v>0</v>
      </c>
      <c r="P472">
        <f>INDEX(Advisors,MATCH(B472,KidIDs,0))</f>
        <v>0</v>
      </c>
      <c r="Q472">
        <f>INDEX(Cohort,MATCH(B472,KidIDs,0))</f>
        <v>0</v>
      </c>
      <c r="R472">
        <f>INDEX(AllCollegeBarrons,MATCH(N472,AllCollegeNCES,0))</f>
        <v>0</v>
      </c>
      <c r="S472">
        <f>INDEX(KidGPAs,MATCH(B472,KidIDs,0))</f>
        <v>0</v>
      </c>
      <c r="T472">
        <f>INDEX(KidSATs,MATCH(B472,KidIDs,0))</f>
        <v>0</v>
      </c>
      <c r="U472">
        <f>INDEX(Strats,MATCH(B472,KidIDs,0))</f>
        <v>0</v>
      </c>
      <c r="V472">
        <f>INDEX(KidRace,MATCH(B472,KidIDs,0))</f>
        <v>0</v>
      </c>
      <c r="W472">
        <f>IF(OR(V472="M",V472="I"),"H",IF(V472="P","A",V472))</f>
        <v>0</v>
      </c>
      <c r="X472">
        <f>INDEX(StudentTargets,MATCH(B472,KidIDs,0))</f>
        <v>0</v>
      </c>
      <c r="Y472">
        <f>INDEX(ReachStudentTargets,MATCH(B472,KidIDs,0))</f>
        <v>0</v>
      </c>
      <c r="Z472">
        <f>IF(OR(M472="Posse"),1,0)</f>
        <v>0</v>
      </c>
      <c r="AA472">
        <f>IF(ISNUMBER(INDEX(AllCollegeGR, MATCH(N472,AllCollegeNCES,0))),ROUND(INDEX(AllCollegeGR, MATCH(N472,AllCollegeNCES,0))+Z472*IF(INDEX(AllCollegeGR, MATCH(N472,AllCollegeNCES,0))&gt;0.7,(1-INDEX(AllCollegeGR, MATCH(N472,AllCollegeNCES,0)))/2,0.15),2),INDEX(AllCollegeGR, MATCH(N472,AllCollegeNCES,0)))</f>
        <v>0</v>
      </c>
      <c r="AB472">
        <f>IF(ISNUMBER(INDEX(AllCollegeAAHGR, MATCH(N472,AllCollegeNCES,0))),ROUND(INDEX(AllCollegeAAHGR, MATCH(N472,AllCollegeNCES,0))+Z472*IF(INDEX(AllCollegeAAHGR, MATCH(N472,AllCollegeNCES,0))&gt;0.7,(1-INDEX(AllCollegeAAHGR, MATCH(N472,AllCollegeNCES,0)))/2,0.15),2),INDEX(AllCollegeAAHGR, MATCH(N472,AllCollegeNCES,0)))</f>
        <v>0</v>
      </c>
      <c r="AC472">
        <f>IF(OR(W472="H",W472="B"),INDEX(AllCollegeSAT25, MATCH(N472,AllCollegeNCES,0)),INDEX(AllCollegeSAT50, MATCH(N472,AllCollegeNCES,0)))</f>
        <v>0</v>
      </c>
      <c r="AD472">
        <f>INDEX(CustomWeightsGPA,MATCH(W472&amp;":"&amp;N472,CustomWeightsIndex,0))</f>
        <v>0</v>
      </c>
      <c r="AE472">
        <f>INDEX(CustomWeightsSAT,MATCH(W472&amp;":"&amp;N472,CustomWeightsIndex,0))</f>
        <v>0</v>
      </c>
      <c r="AF472">
        <f>INDEX(CustomWeightsIntercept,MATCH(W472&amp;":"&amp;N472,CustomWeightsIndex,0))</f>
        <v>0</v>
      </c>
      <c r="AG472">
        <f>AD472*S472+AE472*T472+AF472</f>
        <v>0</v>
      </c>
      <c r="AH472">
        <f>INDEX(CoefficientsGPA,MATCH(W472&amp;":"&amp;R472,CoefficientsIndex,0))</f>
        <v>0</v>
      </c>
      <c r="AI472">
        <f>INDEX(CoefficientsSAT,MATCH(W472&amp;":"&amp;R472,CoefficientsIndex,0))</f>
        <v>0</v>
      </c>
      <c r="AJ472">
        <f>INDEX(CoefficientsIntercept,MATCH(W472&amp;":"&amp;R472,CoefficientsIndex,0))</f>
        <v>0</v>
      </c>
      <c r="AK472">
        <f>AH472*S472+(T472-AC472)*AI472+AJ472</f>
        <v>0</v>
      </c>
      <c r="AL472">
        <f>IF(ISNUMBER(AG472),AG472,AK472)</f>
        <v>0</v>
      </c>
      <c r="AM472">
        <f>IF(ISNUMBER(AL472),IF(ISNUMBER(AH472),IF(AND(AH472=1,AI472=1,AJ472=1),100,MIN(99,ROUND(100*EXP(AL472)/(1+EXP(AL472)),2))),MIN(99,ROUND(100*EXP(AL472)/(1+EXP(AL472)),2))),IF(ISTEXT(R472),IF(LEFT(R472,1)="2",100,"N/A"),"N/A"))</f>
        <v>0</v>
      </c>
      <c r="AN472">
        <f>IF(ISNUMBER(AM472),IF(AM472&gt;=99,IF(OR(U472=10,U472=11),MatchLabel,SureThingLabel),IF(AM472&gt;=95,SecureLabel,IF(AM472&gt;=80,SafetyLabel,IF(AM472&gt;=50,MatchLabel,IF(AM472&gt;=20,ReachLabel,IF(AM472&gt;=10,LongshotLabel,HailMaryLabel)))))),"Other")</f>
        <v>0</v>
      </c>
      <c r="AO472">
        <f>IF(OR(I472="accepted",I472="cond. accept",I472="summer admit"),IF(J472="yes","CHOICE!","Accepted!"),IF(I472="guar. transfer","Guar. Xfer",IF(I472="denied","Denied",IF(K472=1,"Waitlist",IF(L472=1,"Deferred",IF(G472="pending","Pending",IF(OR(G472="initial materials submitted",G472="mid-year submitted",G472="final submitted"),"Submitted",IF(H472="interest","Interest","?"))))))))</f>
        <v>0</v>
      </c>
      <c r="AP472">
        <f>IF(OR(AN472=ReachLabel,AN472=LongshotLabel,AN472=HailMaryLabel),1,0)</f>
        <v>0</v>
      </c>
      <c r="AQ472">
        <f>IF(OR(AP472=1,AN472=MatchLabel),1,0)</f>
        <v>0</v>
      </c>
      <c r="AR472">
        <f>IF(OR(AN472=MatchLabel,AN472=SafetyLabel,AN472=SecureLabel,AN472=SureThingLabel),1,0)</f>
        <v>0</v>
      </c>
      <c r="AS472">
        <f>IF(OR(W472="H",W472="B",W472="I",W472="M"),IF(ISNUMBER(AB472),ROUND(AB472,2),0),IF(ISNUMBER(AA472),ROUND(AA472,2),0))</f>
        <v>0</v>
      </c>
      <c r="AT472">
        <f>IF(AS472&gt;=X472,1,0)</f>
        <v>0</v>
      </c>
      <c r="AU472">
        <f>IF(AS472&gt;=Y472,1,0)</f>
        <v>0</v>
      </c>
      <c r="AV472">
        <f>IF(AS472&lt;(X472-0.10),1,0)</f>
        <v>0</v>
      </c>
      <c r="AW472">
        <f>1-AM472/100</f>
        <v>0</v>
      </c>
      <c r="AX472">
        <f>IF(AQ472=1,AW472,1)</f>
        <v>0</v>
      </c>
      <c r="AY472">
        <f>IF(AP472=1,AW472,1)</f>
        <v>0</v>
      </c>
      <c r="AZ472">
        <f>IF(AND(AT472=1,ISNUMBER(AW472)),$AW472,1)</f>
        <v>0</v>
      </c>
      <c r="BA472">
        <f>IF(AND(AU472=1,ISNUMBER(AW472)),$AW472,1)</f>
        <v>0</v>
      </c>
      <c r="BB472">
        <f>IF(ISNUMBER(AB472),INDEX(AllCollegeMoney, MATCH(N472,AllCollegeNCES,0)),0)</f>
        <v>0</v>
      </c>
      <c r="BC472">
        <f>IF(AND(AT472=1,ISNUMBER(AW472),BB472=1),$AW472,1)</f>
        <v>0</v>
      </c>
      <c r="BD472">
        <f>IF(AND(AU472=1,ISNUMBER(AW472),BB472=1),$AW472,1)</f>
        <v>0</v>
      </c>
      <c r="BE472">
        <f>IF(ISNUMBER(AB472),INDEX(AllCollegeILPub, MATCH(N472,AllCollegeNCES,0)),0)</f>
        <v>0</v>
      </c>
      <c r="BF472">
        <f>IF(AN472=ReachLabel,AS472,0)</f>
        <v>0</v>
      </c>
      <c r="BG472">
        <f>IF(AN472=MatchLabel,AS472,0)</f>
        <v>0</v>
      </c>
      <c r="BH472">
        <f>IF(AN472=SafetyLabel,AS472,0)</f>
        <v>0</v>
      </c>
      <c r="BI472">
        <f>IF(AN472=SecureLabel,AS472,0)</f>
        <v>0</v>
      </c>
      <c r="BJ472">
        <f>IF(AN472=SureThingLabel,AS472,0)</f>
        <v>0</v>
      </c>
      <c r="BK472">
        <f>MAX(BF472:BJ472)</f>
        <v>0</v>
      </c>
      <c r="BL472">
        <f>MAX(BG472:BJ472)</f>
        <v>0</v>
      </c>
      <c r="BM472">
        <f>MAX(BH472:BJ472)</f>
        <v>0</v>
      </c>
      <c r="BN472">
        <f>IF(AND(AN472=ReachLabel,BB472=1),AS472,0)</f>
        <v>0</v>
      </c>
      <c r="BO472">
        <f>IF(AND(AN472=MatchLabel,BB472=1),AS472,0)</f>
        <v>0</v>
      </c>
      <c r="BP472">
        <f>IF(AND(AN472=SafetyLabel,BB472=1),AS472,0)</f>
        <v>0</v>
      </c>
      <c r="BQ472">
        <f>IF(AND(AN472=SecureLabel,BB472=1),AS472,0)</f>
        <v>0</v>
      </c>
      <c r="BR472">
        <f>IF(AND(AN472=SureThingLabel,BB472=1),AS472,0)</f>
        <v>0</v>
      </c>
      <c r="BS472">
        <f>MAX(BN472:BR472)</f>
        <v>0</v>
      </c>
      <c r="BT472">
        <f>MAX(BO472:BR472)</f>
        <v>0</v>
      </c>
      <c r="BU472">
        <f>MAX(BP472:BR472)</f>
        <v>0</v>
      </c>
      <c r="BV472">
        <f>IF(ISNUMBER(AB472),INDEX(AllCollegeChicago, MATCH(N472,AllCollegeNCES,0))*BB472,0)</f>
        <v>0</v>
      </c>
      <c r="BW472">
        <f>IF(ISNUMBER(AB472),INDEX(AllCollegeMoneyCode, MATCH(N472,AllCollegeNCES,0)),"?")</f>
        <v>0</v>
      </c>
      <c r="BX472">
        <f>IF(OR(BW472="---",BW472="--",BW472="+/--",BW472="+/---"),1,0)</f>
        <v>0</v>
      </c>
      <c r="BY472">
        <f>BB472*AR472*AT472</f>
        <v>0</v>
      </c>
    </row>
    <row r="473" spans="1:77">
      <c r="A473" t="s">
        <v>96</v>
      </c>
      <c r="B473">
        <v>23460954</v>
      </c>
      <c r="C473" t="s">
        <v>291</v>
      </c>
      <c r="D473" t="s">
        <v>292</v>
      </c>
      <c r="E473" t="s">
        <v>446</v>
      </c>
      <c r="F473" t="s">
        <v>513</v>
      </c>
      <c r="G473" t="s">
        <v>448</v>
      </c>
      <c r="H473" t="s">
        <v>449</v>
      </c>
      <c r="I473" t="s">
        <v>450</v>
      </c>
      <c r="J473" t="s">
        <v>450</v>
      </c>
      <c r="K473">
        <v>0</v>
      </c>
      <c r="L473" t="s">
        <v>446</v>
      </c>
      <c r="M473" t="s">
        <v>446</v>
      </c>
      <c r="N473">
        <v>195526</v>
      </c>
      <c r="O473">
        <f>INDEX(Counselor,MATCH(B473,KidIDs,0))</f>
        <v>0</v>
      </c>
      <c r="P473">
        <f>INDEX(Advisors,MATCH(B473,KidIDs,0))</f>
        <v>0</v>
      </c>
      <c r="Q473">
        <f>INDEX(Cohort,MATCH(B473,KidIDs,0))</f>
        <v>0</v>
      </c>
      <c r="R473">
        <f>INDEX(AllCollegeBarrons,MATCH(N473,AllCollegeNCES,0))</f>
        <v>0</v>
      </c>
      <c r="S473">
        <f>INDEX(KidGPAs,MATCH(B473,KidIDs,0))</f>
        <v>0</v>
      </c>
      <c r="T473">
        <f>INDEX(KidSATs,MATCH(B473,KidIDs,0))</f>
        <v>0</v>
      </c>
      <c r="U473">
        <f>INDEX(Strats,MATCH(B473,KidIDs,0))</f>
        <v>0</v>
      </c>
      <c r="V473">
        <f>INDEX(KidRace,MATCH(B473,KidIDs,0))</f>
        <v>0</v>
      </c>
      <c r="W473">
        <f>IF(OR(V473="M",V473="I"),"H",IF(V473="P","A",V473))</f>
        <v>0</v>
      </c>
      <c r="X473">
        <f>INDEX(StudentTargets,MATCH(B473,KidIDs,0))</f>
        <v>0</v>
      </c>
      <c r="Y473">
        <f>INDEX(ReachStudentTargets,MATCH(B473,KidIDs,0))</f>
        <v>0</v>
      </c>
      <c r="Z473">
        <f>IF(OR(M473="Posse"),1,0)</f>
        <v>0</v>
      </c>
      <c r="AA473">
        <f>IF(ISNUMBER(INDEX(AllCollegeGR, MATCH(N473,AllCollegeNCES,0))),ROUND(INDEX(AllCollegeGR, MATCH(N473,AllCollegeNCES,0))+Z473*IF(INDEX(AllCollegeGR, MATCH(N473,AllCollegeNCES,0))&gt;0.7,(1-INDEX(AllCollegeGR, MATCH(N473,AllCollegeNCES,0)))/2,0.15),2),INDEX(AllCollegeGR, MATCH(N473,AllCollegeNCES,0)))</f>
        <v>0</v>
      </c>
      <c r="AB473">
        <f>IF(ISNUMBER(INDEX(AllCollegeAAHGR, MATCH(N473,AllCollegeNCES,0))),ROUND(INDEX(AllCollegeAAHGR, MATCH(N473,AllCollegeNCES,0))+Z473*IF(INDEX(AllCollegeAAHGR, MATCH(N473,AllCollegeNCES,0))&gt;0.7,(1-INDEX(AllCollegeAAHGR, MATCH(N473,AllCollegeNCES,0)))/2,0.15),2),INDEX(AllCollegeAAHGR, MATCH(N473,AllCollegeNCES,0)))</f>
        <v>0</v>
      </c>
      <c r="AC473">
        <f>IF(OR(W473="H",W473="B"),INDEX(AllCollegeSAT25, MATCH(N473,AllCollegeNCES,0)),INDEX(AllCollegeSAT50, MATCH(N473,AllCollegeNCES,0)))</f>
        <v>0</v>
      </c>
      <c r="AD473">
        <f>INDEX(CustomWeightsGPA,MATCH(W473&amp;":"&amp;N473,CustomWeightsIndex,0))</f>
        <v>0</v>
      </c>
      <c r="AE473">
        <f>INDEX(CustomWeightsSAT,MATCH(W473&amp;":"&amp;N473,CustomWeightsIndex,0))</f>
        <v>0</v>
      </c>
      <c r="AF473">
        <f>INDEX(CustomWeightsIntercept,MATCH(W473&amp;":"&amp;N473,CustomWeightsIndex,0))</f>
        <v>0</v>
      </c>
      <c r="AG473">
        <f>AD473*S473+AE473*T473+AF473</f>
        <v>0</v>
      </c>
      <c r="AH473">
        <f>INDEX(CoefficientsGPA,MATCH(W473&amp;":"&amp;R473,CoefficientsIndex,0))</f>
        <v>0</v>
      </c>
      <c r="AI473">
        <f>INDEX(CoefficientsSAT,MATCH(W473&amp;":"&amp;R473,CoefficientsIndex,0))</f>
        <v>0</v>
      </c>
      <c r="AJ473">
        <f>INDEX(CoefficientsIntercept,MATCH(W473&amp;":"&amp;R473,CoefficientsIndex,0))</f>
        <v>0</v>
      </c>
      <c r="AK473">
        <f>AH473*S473+(T473-AC473)*AI473+AJ473</f>
        <v>0</v>
      </c>
      <c r="AL473">
        <f>IF(ISNUMBER(AG473),AG473,AK473)</f>
        <v>0</v>
      </c>
      <c r="AM473">
        <f>IF(ISNUMBER(AL473),IF(ISNUMBER(AH473),IF(AND(AH473=1,AI473=1,AJ473=1),100,MIN(99,ROUND(100*EXP(AL473)/(1+EXP(AL473)),2))),MIN(99,ROUND(100*EXP(AL473)/(1+EXP(AL473)),2))),IF(ISTEXT(R473),IF(LEFT(R473,1)="2",100,"N/A"),"N/A"))</f>
        <v>0</v>
      </c>
      <c r="AN473">
        <f>IF(ISNUMBER(AM473),IF(AM473&gt;=99,IF(OR(U473=10,U473=11),MatchLabel,SureThingLabel),IF(AM473&gt;=95,SecureLabel,IF(AM473&gt;=80,SafetyLabel,IF(AM473&gt;=50,MatchLabel,IF(AM473&gt;=20,ReachLabel,IF(AM473&gt;=10,LongshotLabel,HailMaryLabel)))))),"Other")</f>
        <v>0</v>
      </c>
      <c r="AO473">
        <f>IF(OR(I473="accepted",I473="cond. accept",I473="summer admit"),IF(J473="yes","CHOICE!","Accepted!"),IF(I473="guar. transfer","Guar. Xfer",IF(I473="denied","Denied",IF(K473=1,"Waitlist",IF(L473=1,"Deferred",IF(G473="pending","Pending",IF(OR(G473="initial materials submitted",G473="mid-year submitted",G473="final submitted"),"Submitted",IF(H473="interest","Interest","?"))))))))</f>
        <v>0</v>
      </c>
      <c r="AP473">
        <f>IF(OR(AN473=ReachLabel,AN473=LongshotLabel,AN473=HailMaryLabel),1,0)</f>
        <v>0</v>
      </c>
      <c r="AQ473">
        <f>IF(OR(AP473=1,AN473=MatchLabel),1,0)</f>
        <v>0</v>
      </c>
      <c r="AR473">
        <f>IF(OR(AN473=MatchLabel,AN473=SafetyLabel,AN473=SecureLabel,AN473=SureThingLabel),1,0)</f>
        <v>0</v>
      </c>
      <c r="AS473">
        <f>IF(OR(W473="H",W473="B",W473="I",W473="M"),IF(ISNUMBER(AB473),ROUND(AB473,2),0),IF(ISNUMBER(AA473),ROUND(AA473,2),0))</f>
        <v>0</v>
      </c>
      <c r="AT473">
        <f>IF(AS473&gt;=X473,1,0)</f>
        <v>0</v>
      </c>
      <c r="AU473">
        <f>IF(AS473&gt;=Y473,1,0)</f>
        <v>0</v>
      </c>
      <c r="AV473">
        <f>IF(AS473&lt;(X473-0.10),1,0)</f>
        <v>0</v>
      </c>
      <c r="AW473">
        <f>1-AM473/100</f>
        <v>0</v>
      </c>
      <c r="AX473">
        <f>IF(AQ473=1,AW473,1)</f>
        <v>0</v>
      </c>
      <c r="AY473">
        <f>IF(AP473=1,AW473,1)</f>
        <v>0</v>
      </c>
      <c r="AZ473">
        <f>IF(AND(AT473=1,ISNUMBER(AW473)),$AW473,1)</f>
        <v>0</v>
      </c>
      <c r="BA473">
        <f>IF(AND(AU473=1,ISNUMBER(AW473)),$AW473,1)</f>
        <v>0</v>
      </c>
      <c r="BB473">
        <f>IF(ISNUMBER(AB473),INDEX(AllCollegeMoney, MATCH(N473,AllCollegeNCES,0)),0)</f>
        <v>0</v>
      </c>
      <c r="BC473">
        <f>IF(AND(AT473=1,ISNUMBER(AW473),BB473=1),$AW473,1)</f>
        <v>0</v>
      </c>
      <c r="BD473">
        <f>IF(AND(AU473=1,ISNUMBER(AW473),BB473=1),$AW473,1)</f>
        <v>0</v>
      </c>
      <c r="BE473">
        <f>IF(ISNUMBER(AB473),INDEX(AllCollegeILPub, MATCH(N473,AllCollegeNCES,0)),0)</f>
        <v>0</v>
      </c>
      <c r="BF473">
        <f>IF(AN473=ReachLabel,AS473,0)</f>
        <v>0</v>
      </c>
      <c r="BG473">
        <f>IF(AN473=MatchLabel,AS473,0)</f>
        <v>0</v>
      </c>
      <c r="BH473">
        <f>IF(AN473=SafetyLabel,AS473,0)</f>
        <v>0</v>
      </c>
      <c r="BI473">
        <f>IF(AN473=SecureLabel,AS473,0)</f>
        <v>0</v>
      </c>
      <c r="BJ473">
        <f>IF(AN473=SureThingLabel,AS473,0)</f>
        <v>0</v>
      </c>
      <c r="BK473">
        <f>MAX(BF473:BJ473)</f>
        <v>0</v>
      </c>
      <c r="BL473">
        <f>MAX(BG473:BJ473)</f>
        <v>0</v>
      </c>
      <c r="BM473">
        <f>MAX(BH473:BJ473)</f>
        <v>0</v>
      </c>
      <c r="BN473">
        <f>IF(AND(AN473=ReachLabel,BB473=1),AS473,0)</f>
        <v>0</v>
      </c>
      <c r="BO473">
        <f>IF(AND(AN473=MatchLabel,BB473=1),AS473,0)</f>
        <v>0</v>
      </c>
      <c r="BP473">
        <f>IF(AND(AN473=SafetyLabel,BB473=1),AS473,0)</f>
        <v>0</v>
      </c>
      <c r="BQ473">
        <f>IF(AND(AN473=SecureLabel,BB473=1),AS473,0)</f>
        <v>0</v>
      </c>
      <c r="BR473">
        <f>IF(AND(AN473=SureThingLabel,BB473=1),AS473,0)</f>
        <v>0</v>
      </c>
      <c r="BS473">
        <f>MAX(BN473:BR473)</f>
        <v>0</v>
      </c>
      <c r="BT473">
        <f>MAX(BO473:BR473)</f>
        <v>0</v>
      </c>
      <c r="BU473">
        <f>MAX(BP473:BR473)</f>
        <v>0</v>
      </c>
      <c r="BV473">
        <f>IF(ISNUMBER(AB473),INDEX(AllCollegeChicago, MATCH(N473,AllCollegeNCES,0))*BB473,0)</f>
        <v>0</v>
      </c>
      <c r="BW473">
        <f>IF(ISNUMBER(AB473),INDEX(AllCollegeMoneyCode, MATCH(N473,AllCollegeNCES,0)),"?")</f>
        <v>0</v>
      </c>
      <c r="BX473">
        <f>IF(OR(BW473="---",BW473="--",BW473="+/--",BW473="+/---"),1,0)</f>
        <v>0</v>
      </c>
      <c r="BY473">
        <f>BB473*AR473*AT473</f>
        <v>0</v>
      </c>
    </row>
    <row r="474" spans="1:77">
      <c r="A474" t="s">
        <v>96</v>
      </c>
      <c r="B474">
        <v>23460954</v>
      </c>
      <c r="C474" t="s">
        <v>291</v>
      </c>
      <c r="D474" t="s">
        <v>292</v>
      </c>
      <c r="E474" t="s">
        <v>446</v>
      </c>
      <c r="F474" t="s">
        <v>471</v>
      </c>
      <c r="G474" t="s">
        <v>448</v>
      </c>
      <c r="H474" t="s">
        <v>449</v>
      </c>
      <c r="I474" t="s">
        <v>450</v>
      </c>
      <c r="J474" t="s">
        <v>450</v>
      </c>
      <c r="K474">
        <v>0</v>
      </c>
      <c r="L474" t="s">
        <v>446</v>
      </c>
      <c r="M474" t="s">
        <v>446</v>
      </c>
      <c r="N474">
        <v>202523</v>
      </c>
      <c r="O474">
        <f>INDEX(Counselor,MATCH(B474,KidIDs,0))</f>
        <v>0</v>
      </c>
      <c r="P474">
        <f>INDEX(Advisors,MATCH(B474,KidIDs,0))</f>
        <v>0</v>
      </c>
      <c r="Q474">
        <f>INDEX(Cohort,MATCH(B474,KidIDs,0))</f>
        <v>0</v>
      </c>
      <c r="R474">
        <f>INDEX(AllCollegeBarrons,MATCH(N474,AllCollegeNCES,0))</f>
        <v>0</v>
      </c>
      <c r="S474">
        <f>INDEX(KidGPAs,MATCH(B474,KidIDs,0))</f>
        <v>0</v>
      </c>
      <c r="T474">
        <f>INDEX(KidSATs,MATCH(B474,KidIDs,0))</f>
        <v>0</v>
      </c>
      <c r="U474">
        <f>INDEX(Strats,MATCH(B474,KidIDs,0))</f>
        <v>0</v>
      </c>
      <c r="V474">
        <f>INDEX(KidRace,MATCH(B474,KidIDs,0))</f>
        <v>0</v>
      </c>
      <c r="W474">
        <f>IF(OR(V474="M",V474="I"),"H",IF(V474="P","A",V474))</f>
        <v>0</v>
      </c>
      <c r="X474">
        <f>INDEX(StudentTargets,MATCH(B474,KidIDs,0))</f>
        <v>0</v>
      </c>
      <c r="Y474">
        <f>INDEX(ReachStudentTargets,MATCH(B474,KidIDs,0))</f>
        <v>0</v>
      </c>
      <c r="Z474">
        <f>IF(OR(M474="Posse"),1,0)</f>
        <v>0</v>
      </c>
      <c r="AA474">
        <f>IF(ISNUMBER(INDEX(AllCollegeGR, MATCH(N474,AllCollegeNCES,0))),ROUND(INDEX(AllCollegeGR, MATCH(N474,AllCollegeNCES,0))+Z474*IF(INDEX(AllCollegeGR, MATCH(N474,AllCollegeNCES,0))&gt;0.7,(1-INDEX(AllCollegeGR, MATCH(N474,AllCollegeNCES,0)))/2,0.15),2),INDEX(AllCollegeGR, MATCH(N474,AllCollegeNCES,0)))</f>
        <v>0</v>
      </c>
      <c r="AB474">
        <f>IF(ISNUMBER(INDEX(AllCollegeAAHGR, MATCH(N474,AllCollegeNCES,0))),ROUND(INDEX(AllCollegeAAHGR, MATCH(N474,AllCollegeNCES,0))+Z474*IF(INDEX(AllCollegeAAHGR, MATCH(N474,AllCollegeNCES,0))&gt;0.7,(1-INDEX(AllCollegeAAHGR, MATCH(N474,AllCollegeNCES,0)))/2,0.15),2),INDEX(AllCollegeAAHGR, MATCH(N474,AllCollegeNCES,0)))</f>
        <v>0</v>
      </c>
      <c r="AC474">
        <f>IF(OR(W474="H",W474="B"),INDEX(AllCollegeSAT25, MATCH(N474,AllCollegeNCES,0)),INDEX(AllCollegeSAT50, MATCH(N474,AllCollegeNCES,0)))</f>
        <v>0</v>
      </c>
      <c r="AD474">
        <f>INDEX(CustomWeightsGPA,MATCH(W474&amp;":"&amp;N474,CustomWeightsIndex,0))</f>
        <v>0</v>
      </c>
      <c r="AE474">
        <f>INDEX(CustomWeightsSAT,MATCH(W474&amp;":"&amp;N474,CustomWeightsIndex,0))</f>
        <v>0</v>
      </c>
      <c r="AF474">
        <f>INDEX(CustomWeightsIntercept,MATCH(W474&amp;":"&amp;N474,CustomWeightsIndex,0))</f>
        <v>0</v>
      </c>
      <c r="AG474">
        <f>AD474*S474+AE474*T474+AF474</f>
        <v>0</v>
      </c>
      <c r="AH474">
        <f>INDEX(CoefficientsGPA,MATCH(W474&amp;":"&amp;R474,CoefficientsIndex,0))</f>
        <v>0</v>
      </c>
      <c r="AI474">
        <f>INDEX(CoefficientsSAT,MATCH(W474&amp;":"&amp;R474,CoefficientsIndex,0))</f>
        <v>0</v>
      </c>
      <c r="AJ474">
        <f>INDEX(CoefficientsIntercept,MATCH(W474&amp;":"&amp;R474,CoefficientsIndex,0))</f>
        <v>0</v>
      </c>
      <c r="AK474">
        <f>AH474*S474+(T474-AC474)*AI474+AJ474</f>
        <v>0</v>
      </c>
      <c r="AL474">
        <f>IF(ISNUMBER(AG474),AG474,AK474)</f>
        <v>0</v>
      </c>
      <c r="AM474">
        <f>IF(ISNUMBER(AL474),IF(ISNUMBER(AH474),IF(AND(AH474=1,AI474=1,AJ474=1),100,MIN(99,ROUND(100*EXP(AL474)/(1+EXP(AL474)),2))),MIN(99,ROUND(100*EXP(AL474)/(1+EXP(AL474)),2))),IF(ISTEXT(R474),IF(LEFT(R474,1)="2",100,"N/A"),"N/A"))</f>
        <v>0</v>
      </c>
      <c r="AN474">
        <f>IF(ISNUMBER(AM474),IF(AM474&gt;=99,IF(OR(U474=10,U474=11),MatchLabel,SureThingLabel),IF(AM474&gt;=95,SecureLabel,IF(AM474&gt;=80,SafetyLabel,IF(AM474&gt;=50,MatchLabel,IF(AM474&gt;=20,ReachLabel,IF(AM474&gt;=10,LongshotLabel,HailMaryLabel)))))),"Other")</f>
        <v>0</v>
      </c>
      <c r="AO474">
        <f>IF(OR(I474="accepted",I474="cond. accept",I474="summer admit"),IF(J474="yes","CHOICE!","Accepted!"),IF(I474="guar. transfer","Guar. Xfer",IF(I474="denied","Denied",IF(K474=1,"Waitlist",IF(L474=1,"Deferred",IF(G474="pending","Pending",IF(OR(G474="initial materials submitted",G474="mid-year submitted",G474="final submitted"),"Submitted",IF(H474="interest","Interest","?"))))))))</f>
        <v>0</v>
      </c>
      <c r="AP474">
        <f>IF(OR(AN474=ReachLabel,AN474=LongshotLabel,AN474=HailMaryLabel),1,0)</f>
        <v>0</v>
      </c>
      <c r="AQ474">
        <f>IF(OR(AP474=1,AN474=MatchLabel),1,0)</f>
        <v>0</v>
      </c>
      <c r="AR474">
        <f>IF(OR(AN474=MatchLabel,AN474=SafetyLabel,AN474=SecureLabel,AN474=SureThingLabel),1,0)</f>
        <v>0</v>
      </c>
      <c r="AS474">
        <f>IF(OR(W474="H",W474="B",W474="I",W474="M"),IF(ISNUMBER(AB474),ROUND(AB474,2),0),IF(ISNUMBER(AA474),ROUND(AA474,2),0))</f>
        <v>0</v>
      </c>
      <c r="AT474">
        <f>IF(AS474&gt;=X474,1,0)</f>
        <v>0</v>
      </c>
      <c r="AU474">
        <f>IF(AS474&gt;=Y474,1,0)</f>
        <v>0</v>
      </c>
      <c r="AV474">
        <f>IF(AS474&lt;(X474-0.10),1,0)</f>
        <v>0</v>
      </c>
      <c r="AW474">
        <f>1-AM474/100</f>
        <v>0</v>
      </c>
      <c r="AX474">
        <f>IF(AQ474=1,AW474,1)</f>
        <v>0</v>
      </c>
      <c r="AY474">
        <f>IF(AP474=1,AW474,1)</f>
        <v>0</v>
      </c>
      <c r="AZ474">
        <f>IF(AND(AT474=1,ISNUMBER(AW474)),$AW474,1)</f>
        <v>0</v>
      </c>
      <c r="BA474">
        <f>IF(AND(AU474=1,ISNUMBER(AW474)),$AW474,1)</f>
        <v>0</v>
      </c>
      <c r="BB474">
        <f>IF(ISNUMBER(AB474),INDEX(AllCollegeMoney, MATCH(N474,AllCollegeNCES,0)),0)</f>
        <v>0</v>
      </c>
      <c r="BC474">
        <f>IF(AND(AT474=1,ISNUMBER(AW474),BB474=1),$AW474,1)</f>
        <v>0</v>
      </c>
      <c r="BD474">
        <f>IF(AND(AU474=1,ISNUMBER(AW474),BB474=1),$AW474,1)</f>
        <v>0</v>
      </c>
      <c r="BE474">
        <f>IF(ISNUMBER(AB474),INDEX(AllCollegeILPub, MATCH(N474,AllCollegeNCES,0)),0)</f>
        <v>0</v>
      </c>
      <c r="BF474">
        <f>IF(AN474=ReachLabel,AS474,0)</f>
        <v>0</v>
      </c>
      <c r="BG474">
        <f>IF(AN474=MatchLabel,AS474,0)</f>
        <v>0</v>
      </c>
      <c r="BH474">
        <f>IF(AN474=SafetyLabel,AS474,0)</f>
        <v>0</v>
      </c>
      <c r="BI474">
        <f>IF(AN474=SecureLabel,AS474,0)</f>
        <v>0</v>
      </c>
      <c r="BJ474">
        <f>IF(AN474=SureThingLabel,AS474,0)</f>
        <v>0</v>
      </c>
      <c r="BK474">
        <f>MAX(BF474:BJ474)</f>
        <v>0</v>
      </c>
      <c r="BL474">
        <f>MAX(BG474:BJ474)</f>
        <v>0</v>
      </c>
      <c r="BM474">
        <f>MAX(BH474:BJ474)</f>
        <v>0</v>
      </c>
      <c r="BN474">
        <f>IF(AND(AN474=ReachLabel,BB474=1),AS474,0)</f>
        <v>0</v>
      </c>
      <c r="BO474">
        <f>IF(AND(AN474=MatchLabel,BB474=1),AS474,0)</f>
        <v>0</v>
      </c>
      <c r="BP474">
        <f>IF(AND(AN474=SafetyLabel,BB474=1),AS474,0)</f>
        <v>0</v>
      </c>
      <c r="BQ474">
        <f>IF(AND(AN474=SecureLabel,BB474=1),AS474,0)</f>
        <v>0</v>
      </c>
      <c r="BR474">
        <f>IF(AND(AN474=SureThingLabel,BB474=1),AS474,0)</f>
        <v>0</v>
      </c>
      <c r="BS474">
        <f>MAX(BN474:BR474)</f>
        <v>0</v>
      </c>
      <c r="BT474">
        <f>MAX(BO474:BR474)</f>
        <v>0</v>
      </c>
      <c r="BU474">
        <f>MAX(BP474:BR474)</f>
        <v>0</v>
      </c>
      <c r="BV474">
        <f>IF(ISNUMBER(AB474),INDEX(AllCollegeChicago, MATCH(N474,AllCollegeNCES,0))*BB474,0)</f>
        <v>0</v>
      </c>
      <c r="BW474">
        <f>IF(ISNUMBER(AB474),INDEX(AllCollegeMoneyCode, MATCH(N474,AllCollegeNCES,0)),"?")</f>
        <v>0</v>
      </c>
      <c r="BX474">
        <f>IF(OR(BW474="---",BW474="--",BW474="+/--",BW474="+/---"),1,0)</f>
        <v>0</v>
      </c>
      <c r="BY474">
        <f>BB474*AR474*AT474</f>
        <v>0</v>
      </c>
    </row>
    <row r="475" spans="1:77">
      <c r="A475" t="s">
        <v>96</v>
      </c>
      <c r="B475">
        <v>23460954</v>
      </c>
      <c r="C475" t="s">
        <v>291</v>
      </c>
      <c r="D475" t="s">
        <v>292</v>
      </c>
      <c r="E475" t="s">
        <v>446</v>
      </c>
      <c r="F475" t="s">
        <v>558</v>
      </c>
      <c r="G475" t="s">
        <v>448</v>
      </c>
      <c r="H475" t="s">
        <v>449</v>
      </c>
      <c r="I475" t="s">
        <v>450</v>
      </c>
      <c r="J475" t="s">
        <v>450</v>
      </c>
      <c r="K475">
        <v>0</v>
      </c>
      <c r="L475" t="s">
        <v>446</v>
      </c>
      <c r="M475" t="s">
        <v>446</v>
      </c>
      <c r="N475">
        <v>204501</v>
      </c>
      <c r="O475">
        <f>INDEX(Counselor,MATCH(B475,KidIDs,0))</f>
        <v>0</v>
      </c>
      <c r="P475">
        <f>INDEX(Advisors,MATCH(B475,KidIDs,0))</f>
        <v>0</v>
      </c>
      <c r="Q475">
        <f>INDEX(Cohort,MATCH(B475,KidIDs,0))</f>
        <v>0</v>
      </c>
      <c r="R475">
        <f>INDEX(AllCollegeBarrons,MATCH(N475,AllCollegeNCES,0))</f>
        <v>0</v>
      </c>
      <c r="S475">
        <f>INDEX(KidGPAs,MATCH(B475,KidIDs,0))</f>
        <v>0</v>
      </c>
      <c r="T475">
        <f>INDEX(KidSATs,MATCH(B475,KidIDs,0))</f>
        <v>0</v>
      </c>
      <c r="U475">
        <f>INDEX(Strats,MATCH(B475,KidIDs,0))</f>
        <v>0</v>
      </c>
      <c r="V475">
        <f>INDEX(KidRace,MATCH(B475,KidIDs,0))</f>
        <v>0</v>
      </c>
      <c r="W475">
        <f>IF(OR(V475="M",V475="I"),"H",IF(V475="P","A",V475))</f>
        <v>0</v>
      </c>
      <c r="X475">
        <f>INDEX(StudentTargets,MATCH(B475,KidIDs,0))</f>
        <v>0</v>
      </c>
      <c r="Y475">
        <f>INDEX(ReachStudentTargets,MATCH(B475,KidIDs,0))</f>
        <v>0</v>
      </c>
      <c r="Z475">
        <f>IF(OR(M475="Posse"),1,0)</f>
        <v>0</v>
      </c>
      <c r="AA475">
        <f>IF(ISNUMBER(INDEX(AllCollegeGR, MATCH(N475,AllCollegeNCES,0))),ROUND(INDEX(AllCollegeGR, MATCH(N475,AllCollegeNCES,0))+Z475*IF(INDEX(AllCollegeGR, MATCH(N475,AllCollegeNCES,0))&gt;0.7,(1-INDEX(AllCollegeGR, MATCH(N475,AllCollegeNCES,0)))/2,0.15),2),INDEX(AllCollegeGR, MATCH(N475,AllCollegeNCES,0)))</f>
        <v>0</v>
      </c>
      <c r="AB475">
        <f>IF(ISNUMBER(INDEX(AllCollegeAAHGR, MATCH(N475,AllCollegeNCES,0))),ROUND(INDEX(AllCollegeAAHGR, MATCH(N475,AllCollegeNCES,0))+Z475*IF(INDEX(AllCollegeAAHGR, MATCH(N475,AllCollegeNCES,0))&gt;0.7,(1-INDEX(AllCollegeAAHGR, MATCH(N475,AllCollegeNCES,0)))/2,0.15),2),INDEX(AllCollegeAAHGR, MATCH(N475,AllCollegeNCES,0)))</f>
        <v>0</v>
      </c>
      <c r="AC475">
        <f>IF(OR(W475="H",W475="B"),INDEX(AllCollegeSAT25, MATCH(N475,AllCollegeNCES,0)),INDEX(AllCollegeSAT50, MATCH(N475,AllCollegeNCES,0)))</f>
        <v>0</v>
      </c>
      <c r="AD475">
        <f>INDEX(CustomWeightsGPA,MATCH(W475&amp;":"&amp;N475,CustomWeightsIndex,0))</f>
        <v>0</v>
      </c>
      <c r="AE475">
        <f>INDEX(CustomWeightsSAT,MATCH(W475&amp;":"&amp;N475,CustomWeightsIndex,0))</f>
        <v>0</v>
      </c>
      <c r="AF475">
        <f>INDEX(CustomWeightsIntercept,MATCH(W475&amp;":"&amp;N475,CustomWeightsIndex,0))</f>
        <v>0</v>
      </c>
      <c r="AG475">
        <f>AD475*S475+AE475*T475+AF475</f>
        <v>0</v>
      </c>
      <c r="AH475">
        <f>INDEX(CoefficientsGPA,MATCH(W475&amp;":"&amp;R475,CoefficientsIndex,0))</f>
        <v>0</v>
      </c>
      <c r="AI475">
        <f>INDEX(CoefficientsSAT,MATCH(W475&amp;":"&amp;R475,CoefficientsIndex,0))</f>
        <v>0</v>
      </c>
      <c r="AJ475">
        <f>INDEX(CoefficientsIntercept,MATCH(W475&amp;":"&amp;R475,CoefficientsIndex,0))</f>
        <v>0</v>
      </c>
      <c r="AK475">
        <f>AH475*S475+(T475-AC475)*AI475+AJ475</f>
        <v>0</v>
      </c>
      <c r="AL475">
        <f>IF(ISNUMBER(AG475),AG475,AK475)</f>
        <v>0</v>
      </c>
      <c r="AM475">
        <f>IF(ISNUMBER(AL475),IF(ISNUMBER(AH475),IF(AND(AH475=1,AI475=1,AJ475=1),100,MIN(99,ROUND(100*EXP(AL475)/(1+EXP(AL475)),2))),MIN(99,ROUND(100*EXP(AL475)/(1+EXP(AL475)),2))),IF(ISTEXT(R475),IF(LEFT(R475,1)="2",100,"N/A"),"N/A"))</f>
        <v>0</v>
      </c>
      <c r="AN475">
        <f>IF(ISNUMBER(AM475),IF(AM475&gt;=99,IF(OR(U475=10,U475=11),MatchLabel,SureThingLabel),IF(AM475&gt;=95,SecureLabel,IF(AM475&gt;=80,SafetyLabel,IF(AM475&gt;=50,MatchLabel,IF(AM475&gt;=20,ReachLabel,IF(AM475&gt;=10,LongshotLabel,HailMaryLabel)))))),"Other")</f>
        <v>0</v>
      </c>
      <c r="AO475">
        <f>IF(OR(I475="accepted",I475="cond. accept",I475="summer admit"),IF(J475="yes","CHOICE!","Accepted!"),IF(I475="guar. transfer","Guar. Xfer",IF(I475="denied","Denied",IF(K475=1,"Waitlist",IF(L475=1,"Deferred",IF(G475="pending","Pending",IF(OR(G475="initial materials submitted",G475="mid-year submitted",G475="final submitted"),"Submitted",IF(H475="interest","Interest","?"))))))))</f>
        <v>0</v>
      </c>
      <c r="AP475">
        <f>IF(OR(AN475=ReachLabel,AN475=LongshotLabel,AN475=HailMaryLabel),1,0)</f>
        <v>0</v>
      </c>
      <c r="AQ475">
        <f>IF(OR(AP475=1,AN475=MatchLabel),1,0)</f>
        <v>0</v>
      </c>
      <c r="AR475">
        <f>IF(OR(AN475=MatchLabel,AN475=SafetyLabel,AN475=SecureLabel,AN475=SureThingLabel),1,0)</f>
        <v>0</v>
      </c>
      <c r="AS475">
        <f>IF(OR(W475="H",W475="B",W475="I",W475="M"),IF(ISNUMBER(AB475),ROUND(AB475,2),0),IF(ISNUMBER(AA475),ROUND(AA475,2),0))</f>
        <v>0</v>
      </c>
      <c r="AT475">
        <f>IF(AS475&gt;=X475,1,0)</f>
        <v>0</v>
      </c>
      <c r="AU475">
        <f>IF(AS475&gt;=Y475,1,0)</f>
        <v>0</v>
      </c>
      <c r="AV475">
        <f>IF(AS475&lt;(X475-0.10),1,0)</f>
        <v>0</v>
      </c>
      <c r="AW475">
        <f>1-AM475/100</f>
        <v>0</v>
      </c>
      <c r="AX475">
        <f>IF(AQ475=1,AW475,1)</f>
        <v>0</v>
      </c>
      <c r="AY475">
        <f>IF(AP475=1,AW475,1)</f>
        <v>0</v>
      </c>
      <c r="AZ475">
        <f>IF(AND(AT475=1,ISNUMBER(AW475)),$AW475,1)</f>
        <v>0</v>
      </c>
      <c r="BA475">
        <f>IF(AND(AU475=1,ISNUMBER(AW475)),$AW475,1)</f>
        <v>0</v>
      </c>
      <c r="BB475">
        <f>IF(ISNUMBER(AB475),INDEX(AllCollegeMoney, MATCH(N475,AllCollegeNCES,0)),0)</f>
        <v>0</v>
      </c>
      <c r="BC475">
        <f>IF(AND(AT475=1,ISNUMBER(AW475),BB475=1),$AW475,1)</f>
        <v>0</v>
      </c>
      <c r="BD475">
        <f>IF(AND(AU475=1,ISNUMBER(AW475),BB475=1),$AW475,1)</f>
        <v>0</v>
      </c>
      <c r="BE475">
        <f>IF(ISNUMBER(AB475),INDEX(AllCollegeILPub, MATCH(N475,AllCollegeNCES,0)),0)</f>
        <v>0</v>
      </c>
      <c r="BF475">
        <f>IF(AN475=ReachLabel,AS475,0)</f>
        <v>0</v>
      </c>
      <c r="BG475">
        <f>IF(AN475=MatchLabel,AS475,0)</f>
        <v>0</v>
      </c>
      <c r="BH475">
        <f>IF(AN475=SafetyLabel,AS475,0)</f>
        <v>0</v>
      </c>
      <c r="BI475">
        <f>IF(AN475=SecureLabel,AS475,0)</f>
        <v>0</v>
      </c>
      <c r="BJ475">
        <f>IF(AN475=SureThingLabel,AS475,0)</f>
        <v>0</v>
      </c>
      <c r="BK475">
        <f>MAX(BF475:BJ475)</f>
        <v>0</v>
      </c>
      <c r="BL475">
        <f>MAX(BG475:BJ475)</f>
        <v>0</v>
      </c>
      <c r="BM475">
        <f>MAX(BH475:BJ475)</f>
        <v>0</v>
      </c>
      <c r="BN475">
        <f>IF(AND(AN475=ReachLabel,BB475=1),AS475,0)</f>
        <v>0</v>
      </c>
      <c r="BO475">
        <f>IF(AND(AN475=MatchLabel,BB475=1),AS475,0)</f>
        <v>0</v>
      </c>
      <c r="BP475">
        <f>IF(AND(AN475=SafetyLabel,BB475=1),AS475,0)</f>
        <v>0</v>
      </c>
      <c r="BQ475">
        <f>IF(AND(AN475=SecureLabel,BB475=1),AS475,0)</f>
        <v>0</v>
      </c>
      <c r="BR475">
        <f>IF(AND(AN475=SureThingLabel,BB475=1),AS475,0)</f>
        <v>0</v>
      </c>
      <c r="BS475">
        <f>MAX(BN475:BR475)</f>
        <v>0</v>
      </c>
      <c r="BT475">
        <f>MAX(BO475:BR475)</f>
        <v>0</v>
      </c>
      <c r="BU475">
        <f>MAX(BP475:BR475)</f>
        <v>0</v>
      </c>
      <c r="BV475">
        <f>IF(ISNUMBER(AB475),INDEX(AllCollegeChicago, MATCH(N475,AllCollegeNCES,0))*BB475,0)</f>
        <v>0</v>
      </c>
      <c r="BW475">
        <f>IF(ISNUMBER(AB475),INDEX(AllCollegeMoneyCode, MATCH(N475,AllCollegeNCES,0)),"?")</f>
        <v>0</v>
      </c>
      <c r="BX475">
        <f>IF(OR(BW475="---",BW475="--",BW475="+/--",BW475="+/---"),1,0)</f>
        <v>0</v>
      </c>
      <c r="BY475">
        <f>BB475*AR475*AT475</f>
        <v>0</v>
      </c>
    </row>
    <row r="476" spans="1:77">
      <c r="A476" t="s">
        <v>96</v>
      </c>
      <c r="B476">
        <v>23460954</v>
      </c>
      <c r="C476" t="s">
        <v>291</v>
      </c>
      <c r="D476" t="s">
        <v>292</v>
      </c>
      <c r="E476" t="s">
        <v>446</v>
      </c>
      <c r="F476" t="s">
        <v>473</v>
      </c>
      <c r="G476" t="s">
        <v>448</v>
      </c>
      <c r="H476" t="s">
        <v>449</v>
      </c>
      <c r="I476" t="s">
        <v>450</v>
      </c>
      <c r="J476" t="s">
        <v>450</v>
      </c>
      <c r="K476">
        <v>0</v>
      </c>
      <c r="L476" t="s">
        <v>446</v>
      </c>
      <c r="M476" t="s">
        <v>446</v>
      </c>
      <c r="N476">
        <v>221519</v>
      </c>
      <c r="O476">
        <f>INDEX(Counselor,MATCH(B476,KidIDs,0))</f>
        <v>0</v>
      </c>
      <c r="P476">
        <f>INDEX(Advisors,MATCH(B476,KidIDs,0))</f>
        <v>0</v>
      </c>
      <c r="Q476">
        <f>INDEX(Cohort,MATCH(B476,KidIDs,0))</f>
        <v>0</v>
      </c>
      <c r="R476">
        <f>INDEX(AllCollegeBarrons,MATCH(N476,AllCollegeNCES,0))</f>
        <v>0</v>
      </c>
      <c r="S476">
        <f>INDEX(KidGPAs,MATCH(B476,KidIDs,0))</f>
        <v>0</v>
      </c>
      <c r="T476">
        <f>INDEX(KidSATs,MATCH(B476,KidIDs,0))</f>
        <v>0</v>
      </c>
      <c r="U476">
        <f>INDEX(Strats,MATCH(B476,KidIDs,0))</f>
        <v>0</v>
      </c>
      <c r="V476">
        <f>INDEX(KidRace,MATCH(B476,KidIDs,0))</f>
        <v>0</v>
      </c>
      <c r="W476">
        <f>IF(OR(V476="M",V476="I"),"H",IF(V476="P","A",V476))</f>
        <v>0</v>
      </c>
      <c r="X476">
        <f>INDEX(StudentTargets,MATCH(B476,KidIDs,0))</f>
        <v>0</v>
      </c>
      <c r="Y476">
        <f>INDEX(ReachStudentTargets,MATCH(B476,KidIDs,0))</f>
        <v>0</v>
      </c>
      <c r="Z476">
        <f>IF(OR(M476="Posse"),1,0)</f>
        <v>0</v>
      </c>
      <c r="AA476">
        <f>IF(ISNUMBER(INDEX(AllCollegeGR, MATCH(N476,AllCollegeNCES,0))),ROUND(INDEX(AllCollegeGR, MATCH(N476,AllCollegeNCES,0))+Z476*IF(INDEX(AllCollegeGR, MATCH(N476,AllCollegeNCES,0))&gt;0.7,(1-INDEX(AllCollegeGR, MATCH(N476,AllCollegeNCES,0)))/2,0.15),2),INDEX(AllCollegeGR, MATCH(N476,AllCollegeNCES,0)))</f>
        <v>0</v>
      </c>
      <c r="AB476">
        <f>IF(ISNUMBER(INDEX(AllCollegeAAHGR, MATCH(N476,AllCollegeNCES,0))),ROUND(INDEX(AllCollegeAAHGR, MATCH(N476,AllCollegeNCES,0))+Z476*IF(INDEX(AllCollegeAAHGR, MATCH(N476,AllCollegeNCES,0))&gt;0.7,(1-INDEX(AllCollegeAAHGR, MATCH(N476,AllCollegeNCES,0)))/2,0.15),2),INDEX(AllCollegeAAHGR, MATCH(N476,AllCollegeNCES,0)))</f>
        <v>0</v>
      </c>
      <c r="AC476">
        <f>IF(OR(W476="H",W476="B"),INDEX(AllCollegeSAT25, MATCH(N476,AllCollegeNCES,0)),INDEX(AllCollegeSAT50, MATCH(N476,AllCollegeNCES,0)))</f>
        <v>0</v>
      </c>
      <c r="AD476">
        <f>INDEX(CustomWeightsGPA,MATCH(W476&amp;":"&amp;N476,CustomWeightsIndex,0))</f>
        <v>0</v>
      </c>
      <c r="AE476">
        <f>INDEX(CustomWeightsSAT,MATCH(W476&amp;":"&amp;N476,CustomWeightsIndex,0))</f>
        <v>0</v>
      </c>
      <c r="AF476">
        <f>INDEX(CustomWeightsIntercept,MATCH(W476&amp;":"&amp;N476,CustomWeightsIndex,0))</f>
        <v>0</v>
      </c>
      <c r="AG476">
        <f>AD476*S476+AE476*T476+AF476</f>
        <v>0</v>
      </c>
      <c r="AH476">
        <f>INDEX(CoefficientsGPA,MATCH(W476&amp;":"&amp;R476,CoefficientsIndex,0))</f>
        <v>0</v>
      </c>
      <c r="AI476">
        <f>INDEX(CoefficientsSAT,MATCH(W476&amp;":"&amp;R476,CoefficientsIndex,0))</f>
        <v>0</v>
      </c>
      <c r="AJ476">
        <f>INDEX(CoefficientsIntercept,MATCH(W476&amp;":"&amp;R476,CoefficientsIndex,0))</f>
        <v>0</v>
      </c>
      <c r="AK476">
        <f>AH476*S476+(T476-AC476)*AI476+AJ476</f>
        <v>0</v>
      </c>
      <c r="AL476">
        <f>IF(ISNUMBER(AG476),AG476,AK476)</f>
        <v>0</v>
      </c>
      <c r="AM476">
        <f>IF(ISNUMBER(AL476),IF(ISNUMBER(AH476),IF(AND(AH476=1,AI476=1,AJ476=1),100,MIN(99,ROUND(100*EXP(AL476)/(1+EXP(AL476)),2))),MIN(99,ROUND(100*EXP(AL476)/(1+EXP(AL476)),2))),IF(ISTEXT(R476),IF(LEFT(R476,1)="2",100,"N/A"),"N/A"))</f>
        <v>0</v>
      </c>
      <c r="AN476">
        <f>IF(ISNUMBER(AM476),IF(AM476&gt;=99,IF(OR(U476=10,U476=11),MatchLabel,SureThingLabel),IF(AM476&gt;=95,SecureLabel,IF(AM476&gt;=80,SafetyLabel,IF(AM476&gt;=50,MatchLabel,IF(AM476&gt;=20,ReachLabel,IF(AM476&gt;=10,LongshotLabel,HailMaryLabel)))))),"Other")</f>
        <v>0</v>
      </c>
      <c r="AO476">
        <f>IF(OR(I476="accepted",I476="cond. accept",I476="summer admit"),IF(J476="yes","CHOICE!","Accepted!"),IF(I476="guar. transfer","Guar. Xfer",IF(I476="denied","Denied",IF(K476=1,"Waitlist",IF(L476=1,"Deferred",IF(G476="pending","Pending",IF(OR(G476="initial materials submitted",G476="mid-year submitted",G476="final submitted"),"Submitted",IF(H476="interest","Interest","?"))))))))</f>
        <v>0</v>
      </c>
      <c r="AP476">
        <f>IF(OR(AN476=ReachLabel,AN476=LongshotLabel,AN476=HailMaryLabel),1,0)</f>
        <v>0</v>
      </c>
      <c r="AQ476">
        <f>IF(OR(AP476=1,AN476=MatchLabel),1,0)</f>
        <v>0</v>
      </c>
      <c r="AR476">
        <f>IF(OR(AN476=MatchLabel,AN476=SafetyLabel,AN476=SecureLabel,AN476=SureThingLabel),1,0)</f>
        <v>0</v>
      </c>
      <c r="AS476">
        <f>IF(OR(W476="H",W476="B",W476="I",W476="M"),IF(ISNUMBER(AB476),ROUND(AB476,2),0),IF(ISNUMBER(AA476),ROUND(AA476,2),0))</f>
        <v>0</v>
      </c>
      <c r="AT476">
        <f>IF(AS476&gt;=X476,1,0)</f>
        <v>0</v>
      </c>
      <c r="AU476">
        <f>IF(AS476&gt;=Y476,1,0)</f>
        <v>0</v>
      </c>
      <c r="AV476">
        <f>IF(AS476&lt;(X476-0.10),1,0)</f>
        <v>0</v>
      </c>
      <c r="AW476">
        <f>1-AM476/100</f>
        <v>0</v>
      </c>
      <c r="AX476">
        <f>IF(AQ476=1,AW476,1)</f>
        <v>0</v>
      </c>
      <c r="AY476">
        <f>IF(AP476=1,AW476,1)</f>
        <v>0</v>
      </c>
      <c r="AZ476">
        <f>IF(AND(AT476=1,ISNUMBER(AW476)),$AW476,1)</f>
        <v>0</v>
      </c>
      <c r="BA476">
        <f>IF(AND(AU476=1,ISNUMBER(AW476)),$AW476,1)</f>
        <v>0</v>
      </c>
      <c r="BB476">
        <f>IF(ISNUMBER(AB476),INDEX(AllCollegeMoney, MATCH(N476,AllCollegeNCES,0)),0)</f>
        <v>0</v>
      </c>
      <c r="BC476">
        <f>IF(AND(AT476=1,ISNUMBER(AW476),BB476=1),$AW476,1)</f>
        <v>0</v>
      </c>
      <c r="BD476">
        <f>IF(AND(AU476=1,ISNUMBER(AW476),BB476=1),$AW476,1)</f>
        <v>0</v>
      </c>
      <c r="BE476">
        <f>IF(ISNUMBER(AB476),INDEX(AllCollegeILPub, MATCH(N476,AllCollegeNCES,0)),0)</f>
        <v>0</v>
      </c>
      <c r="BF476">
        <f>IF(AN476=ReachLabel,AS476,0)</f>
        <v>0</v>
      </c>
      <c r="BG476">
        <f>IF(AN476=MatchLabel,AS476,0)</f>
        <v>0</v>
      </c>
      <c r="BH476">
        <f>IF(AN476=SafetyLabel,AS476,0)</f>
        <v>0</v>
      </c>
      <c r="BI476">
        <f>IF(AN476=SecureLabel,AS476,0)</f>
        <v>0</v>
      </c>
      <c r="BJ476">
        <f>IF(AN476=SureThingLabel,AS476,0)</f>
        <v>0</v>
      </c>
      <c r="BK476">
        <f>MAX(BF476:BJ476)</f>
        <v>0</v>
      </c>
      <c r="BL476">
        <f>MAX(BG476:BJ476)</f>
        <v>0</v>
      </c>
      <c r="BM476">
        <f>MAX(BH476:BJ476)</f>
        <v>0</v>
      </c>
      <c r="BN476">
        <f>IF(AND(AN476=ReachLabel,BB476=1),AS476,0)</f>
        <v>0</v>
      </c>
      <c r="BO476">
        <f>IF(AND(AN476=MatchLabel,BB476=1),AS476,0)</f>
        <v>0</v>
      </c>
      <c r="BP476">
        <f>IF(AND(AN476=SafetyLabel,BB476=1),AS476,0)</f>
        <v>0</v>
      </c>
      <c r="BQ476">
        <f>IF(AND(AN476=SecureLabel,BB476=1),AS476,0)</f>
        <v>0</v>
      </c>
      <c r="BR476">
        <f>IF(AND(AN476=SureThingLabel,BB476=1),AS476,0)</f>
        <v>0</v>
      </c>
      <c r="BS476">
        <f>MAX(BN476:BR476)</f>
        <v>0</v>
      </c>
      <c r="BT476">
        <f>MAX(BO476:BR476)</f>
        <v>0</v>
      </c>
      <c r="BU476">
        <f>MAX(BP476:BR476)</f>
        <v>0</v>
      </c>
      <c r="BV476">
        <f>IF(ISNUMBER(AB476),INDEX(AllCollegeChicago, MATCH(N476,AllCollegeNCES,0))*BB476,0)</f>
        <v>0</v>
      </c>
      <c r="BW476">
        <f>IF(ISNUMBER(AB476),INDEX(AllCollegeMoneyCode, MATCH(N476,AllCollegeNCES,0)),"?")</f>
        <v>0</v>
      </c>
      <c r="BX476">
        <f>IF(OR(BW476="---",BW476="--",BW476="+/--",BW476="+/---"),1,0)</f>
        <v>0</v>
      </c>
      <c r="BY476">
        <f>BB476*AR476*AT476</f>
        <v>0</v>
      </c>
    </row>
    <row r="477" spans="1:77">
      <c r="A477" t="s">
        <v>96</v>
      </c>
      <c r="B477">
        <v>23460954</v>
      </c>
      <c r="C477" t="s">
        <v>291</v>
      </c>
      <c r="D477" t="s">
        <v>292</v>
      </c>
      <c r="E477" t="s">
        <v>446</v>
      </c>
      <c r="F477" t="s">
        <v>487</v>
      </c>
      <c r="G477" t="s">
        <v>448</v>
      </c>
      <c r="H477" t="s">
        <v>449</v>
      </c>
      <c r="I477" t="s">
        <v>450</v>
      </c>
      <c r="J477" t="s">
        <v>450</v>
      </c>
      <c r="K477">
        <v>0</v>
      </c>
      <c r="L477" t="s">
        <v>446</v>
      </c>
      <c r="M477" t="s">
        <v>446</v>
      </c>
      <c r="N477">
        <v>174844</v>
      </c>
      <c r="O477">
        <f>INDEX(Counselor,MATCH(B477,KidIDs,0))</f>
        <v>0</v>
      </c>
      <c r="P477">
        <f>INDEX(Advisors,MATCH(B477,KidIDs,0))</f>
        <v>0</v>
      </c>
      <c r="Q477">
        <f>INDEX(Cohort,MATCH(B477,KidIDs,0))</f>
        <v>0</v>
      </c>
      <c r="R477">
        <f>INDEX(AllCollegeBarrons,MATCH(N477,AllCollegeNCES,0))</f>
        <v>0</v>
      </c>
      <c r="S477">
        <f>INDEX(KidGPAs,MATCH(B477,KidIDs,0))</f>
        <v>0</v>
      </c>
      <c r="T477">
        <f>INDEX(KidSATs,MATCH(B477,KidIDs,0))</f>
        <v>0</v>
      </c>
      <c r="U477">
        <f>INDEX(Strats,MATCH(B477,KidIDs,0))</f>
        <v>0</v>
      </c>
      <c r="V477">
        <f>INDEX(KidRace,MATCH(B477,KidIDs,0))</f>
        <v>0</v>
      </c>
      <c r="W477">
        <f>IF(OR(V477="M",V477="I"),"H",IF(V477="P","A",V477))</f>
        <v>0</v>
      </c>
      <c r="X477">
        <f>INDEX(StudentTargets,MATCH(B477,KidIDs,0))</f>
        <v>0</v>
      </c>
      <c r="Y477">
        <f>INDEX(ReachStudentTargets,MATCH(B477,KidIDs,0))</f>
        <v>0</v>
      </c>
      <c r="Z477">
        <f>IF(OR(M477="Posse"),1,0)</f>
        <v>0</v>
      </c>
      <c r="AA477">
        <f>IF(ISNUMBER(INDEX(AllCollegeGR, MATCH(N477,AllCollegeNCES,0))),ROUND(INDEX(AllCollegeGR, MATCH(N477,AllCollegeNCES,0))+Z477*IF(INDEX(AllCollegeGR, MATCH(N477,AllCollegeNCES,0))&gt;0.7,(1-INDEX(AllCollegeGR, MATCH(N477,AllCollegeNCES,0)))/2,0.15),2),INDEX(AllCollegeGR, MATCH(N477,AllCollegeNCES,0)))</f>
        <v>0</v>
      </c>
      <c r="AB477">
        <f>IF(ISNUMBER(INDEX(AllCollegeAAHGR, MATCH(N477,AllCollegeNCES,0))),ROUND(INDEX(AllCollegeAAHGR, MATCH(N477,AllCollegeNCES,0))+Z477*IF(INDEX(AllCollegeAAHGR, MATCH(N477,AllCollegeNCES,0))&gt;0.7,(1-INDEX(AllCollegeAAHGR, MATCH(N477,AllCollegeNCES,0)))/2,0.15),2),INDEX(AllCollegeAAHGR, MATCH(N477,AllCollegeNCES,0)))</f>
        <v>0</v>
      </c>
      <c r="AC477">
        <f>IF(OR(W477="H",W477="B"),INDEX(AllCollegeSAT25, MATCH(N477,AllCollegeNCES,0)),INDEX(AllCollegeSAT50, MATCH(N477,AllCollegeNCES,0)))</f>
        <v>0</v>
      </c>
      <c r="AD477">
        <f>INDEX(CustomWeightsGPA,MATCH(W477&amp;":"&amp;N477,CustomWeightsIndex,0))</f>
        <v>0</v>
      </c>
      <c r="AE477">
        <f>INDEX(CustomWeightsSAT,MATCH(W477&amp;":"&amp;N477,CustomWeightsIndex,0))</f>
        <v>0</v>
      </c>
      <c r="AF477">
        <f>INDEX(CustomWeightsIntercept,MATCH(W477&amp;":"&amp;N477,CustomWeightsIndex,0))</f>
        <v>0</v>
      </c>
      <c r="AG477">
        <f>AD477*S477+AE477*T477+AF477</f>
        <v>0</v>
      </c>
      <c r="AH477">
        <f>INDEX(CoefficientsGPA,MATCH(W477&amp;":"&amp;R477,CoefficientsIndex,0))</f>
        <v>0</v>
      </c>
      <c r="AI477">
        <f>INDEX(CoefficientsSAT,MATCH(W477&amp;":"&amp;R477,CoefficientsIndex,0))</f>
        <v>0</v>
      </c>
      <c r="AJ477">
        <f>INDEX(CoefficientsIntercept,MATCH(W477&amp;":"&amp;R477,CoefficientsIndex,0))</f>
        <v>0</v>
      </c>
      <c r="AK477">
        <f>AH477*S477+(T477-AC477)*AI477+AJ477</f>
        <v>0</v>
      </c>
      <c r="AL477">
        <f>IF(ISNUMBER(AG477),AG477,AK477)</f>
        <v>0</v>
      </c>
      <c r="AM477">
        <f>IF(ISNUMBER(AL477),IF(ISNUMBER(AH477),IF(AND(AH477=1,AI477=1,AJ477=1),100,MIN(99,ROUND(100*EXP(AL477)/(1+EXP(AL477)),2))),MIN(99,ROUND(100*EXP(AL477)/(1+EXP(AL477)),2))),IF(ISTEXT(R477),IF(LEFT(R477,1)="2",100,"N/A"),"N/A"))</f>
        <v>0</v>
      </c>
      <c r="AN477">
        <f>IF(ISNUMBER(AM477),IF(AM477&gt;=99,IF(OR(U477=10,U477=11),MatchLabel,SureThingLabel),IF(AM477&gt;=95,SecureLabel,IF(AM477&gt;=80,SafetyLabel,IF(AM477&gt;=50,MatchLabel,IF(AM477&gt;=20,ReachLabel,IF(AM477&gt;=10,LongshotLabel,HailMaryLabel)))))),"Other")</f>
        <v>0</v>
      </c>
      <c r="AO477">
        <f>IF(OR(I477="accepted",I477="cond. accept",I477="summer admit"),IF(J477="yes","CHOICE!","Accepted!"),IF(I477="guar. transfer","Guar. Xfer",IF(I477="denied","Denied",IF(K477=1,"Waitlist",IF(L477=1,"Deferred",IF(G477="pending","Pending",IF(OR(G477="initial materials submitted",G477="mid-year submitted",G477="final submitted"),"Submitted",IF(H477="interest","Interest","?"))))))))</f>
        <v>0</v>
      </c>
      <c r="AP477">
        <f>IF(OR(AN477=ReachLabel,AN477=LongshotLabel,AN477=HailMaryLabel),1,0)</f>
        <v>0</v>
      </c>
      <c r="AQ477">
        <f>IF(OR(AP477=1,AN477=MatchLabel),1,0)</f>
        <v>0</v>
      </c>
      <c r="AR477">
        <f>IF(OR(AN477=MatchLabel,AN477=SafetyLabel,AN477=SecureLabel,AN477=SureThingLabel),1,0)</f>
        <v>0</v>
      </c>
      <c r="AS477">
        <f>IF(OR(W477="H",W477="B",W477="I",W477="M"),IF(ISNUMBER(AB477),ROUND(AB477,2),0),IF(ISNUMBER(AA477),ROUND(AA477,2),0))</f>
        <v>0</v>
      </c>
      <c r="AT477">
        <f>IF(AS477&gt;=X477,1,0)</f>
        <v>0</v>
      </c>
      <c r="AU477">
        <f>IF(AS477&gt;=Y477,1,0)</f>
        <v>0</v>
      </c>
      <c r="AV477">
        <f>IF(AS477&lt;(X477-0.10),1,0)</f>
        <v>0</v>
      </c>
      <c r="AW477">
        <f>1-AM477/100</f>
        <v>0</v>
      </c>
      <c r="AX477">
        <f>IF(AQ477=1,AW477,1)</f>
        <v>0</v>
      </c>
      <c r="AY477">
        <f>IF(AP477=1,AW477,1)</f>
        <v>0</v>
      </c>
      <c r="AZ477">
        <f>IF(AND(AT477=1,ISNUMBER(AW477)),$AW477,1)</f>
        <v>0</v>
      </c>
      <c r="BA477">
        <f>IF(AND(AU477=1,ISNUMBER(AW477)),$AW477,1)</f>
        <v>0</v>
      </c>
      <c r="BB477">
        <f>IF(ISNUMBER(AB477),INDEX(AllCollegeMoney, MATCH(N477,AllCollegeNCES,0)),0)</f>
        <v>0</v>
      </c>
      <c r="BC477">
        <f>IF(AND(AT477=1,ISNUMBER(AW477),BB477=1),$AW477,1)</f>
        <v>0</v>
      </c>
      <c r="BD477">
        <f>IF(AND(AU477=1,ISNUMBER(AW477),BB477=1),$AW477,1)</f>
        <v>0</v>
      </c>
      <c r="BE477">
        <f>IF(ISNUMBER(AB477),INDEX(AllCollegeILPub, MATCH(N477,AllCollegeNCES,0)),0)</f>
        <v>0</v>
      </c>
      <c r="BF477">
        <f>IF(AN477=ReachLabel,AS477,0)</f>
        <v>0</v>
      </c>
      <c r="BG477">
        <f>IF(AN477=MatchLabel,AS477,0)</f>
        <v>0</v>
      </c>
      <c r="BH477">
        <f>IF(AN477=SafetyLabel,AS477,0)</f>
        <v>0</v>
      </c>
      <c r="BI477">
        <f>IF(AN477=SecureLabel,AS477,0)</f>
        <v>0</v>
      </c>
      <c r="BJ477">
        <f>IF(AN477=SureThingLabel,AS477,0)</f>
        <v>0</v>
      </c>
      <c r="BK477">
        <f>MAX(BF477:BJ477)</f>
        <v>0</v>
      </c>
      <c r="BL477">
        <f>MAX(BG477:BJ477)</f>
        <v>0</v>
      </c>
      <c r="BM477">
        <f>MAX(BH477:BJ477)</f>
        <v>0</v>
      </c>
      <c r="BN477">
        <f>IF(AND(AN477=ReachLabel,BB477=1),AS477,0)</f>
        <v>0</v>
      </c>
      <c r="BO477">
        <f>IF(AND(AN477=MatchLabel,BB477=1),AS477,0)</f>
        <v>0</v>
      </c>
      <c r="BP477">
        <f>IF(AND(AN477=SafetyLabel,BB477=1),AS477,0)</f>
        <v>0</v>
      </c>
      <c r="BQ477">
        <f>IF(AND(AN477=SecureLabel,BB477=1),AS477,0)</f>
        <v>0</v>
      </c>
      <c r="BR477">
        <f>IF(AND(AN477=SureThingLabel,BB477=1),AS477,0)</f>
        <v>0</v>
      </c>
      <c r="BS477">
        <f>MAX(BN477:BR477)</f>
        <v>0</v>
      </c>
      <c r="BT477">
        <f>MAX(BO477:BR477)</f>
        <v>0</v>
      </c>
      <c r="BU477">
        <f>MAX(BP477:BR477)</f>
        <v>0</v>
      </c>
      <c r="BV477">
        <f>IF(ISNUMBER(AB477),INDEX(AllCollegeChicago, MATCH(N477,AllCollegeNCES,0))*BB477,0)</f>
        <v>0</v>
      </c>
      <c r="BW477">
        <f>IF(ISNUMBER(AB477),INDEX(AllCollegeMoneyCode, MATCH(N477,AllCollegeNCES,0)),"?")</f>
        <v>0</v>
      </c>
      <c r="BX477">
        <f>IF(OR(BW477="---",BW477="--",BW477="+/--",BW477="+/---"),1,0)</f>
        <v>0</v>
      </c>
      <c r="BY477">
        <f>BB477*AR477*AT477</f>
        <v>0</v>
      </c>
    </row>
    <row r="478" spans="1:77">
      <c r="A478" t="s">
        <v>96</v>
      </c>
      <c r="B478">
        <v>23460954</v>
      </c>
      <c r="C478" t="s">
        <v>291</v>
      </c>
      <c r="D478" t="s">
        <v>292</v>
      </c>
      <c r="E478" t="s">
        <v>446</v>
      </c>
      <c r="F478" t="s">
        <v>475</v>
      </c>
      <c r="G478" t="s">
        <v>448</v>
      </c>
      <c r="H478" t="s">
        <v>449</v>
      </c>
      <c r="I478" t="s">
        <v>450</v>
      </c>
      <c r="J478" t="s">
        <v>450</v>
      </c>
      <c r="K478">
        <v>0</v>
      </c>
      <c r="L478" t="s">
        <v>446</v>
      </c>
      <c r="M478" t="s">
        <v>446</v>
      </c>
      <c r="N478">
        <v>145637</v>
      </c>
      <c r="O478">
        <f>INDEX(Counselor,MATCH(B478,KidIDs,0))</f>
        <v>0</v>
      </c>
      <c r="P478">
        <f>INDEX(Advisors,MATCH(B478,KidIDs,0))</f>
        <v>0</v>
      </c>
      <c r="Q478">
        <f>INDEX(Cohort,MATCH(B478,KidIDs,0))</f>
        <v>0</v>
      </c>
      <c r="R478">
        <f>INDEX(AllCollegeBarrons,MATCH(N478,AllCollegeNCES,0))</f>
        <v>0</v>
      </c>
      <c r="S478">
        <f>INDEX(KidGPAs,MATCH(B478,KidIDs,0))</f>
        <v>0</v>
      </c>
      <c r="T478">
        <f>INDEX(KidSATs,MATCH(B478,KidIDs,0))</f>
        <v>0</v>
      </c>
      <c r="U478">
        <f>INDEX(Strats,MATCH(B478,KidIDs,0))</f>
        <v>0</v>
      </c>
      <c r="V478">
        <f>INDEX(KidRace,MATCH(B478,KidIDs,0))</f>
        <v>0</v>
      </c>
      <c r="W478">
        <f>IF(OR(V478="M",V478="I"),"H",IF(V478="P","A",V478))</f>
        <v>0</v>
      </c>
      <c r="X478">
        <f>INDEX(StudentTargets,MATCH(B478,KidIDs,0))</f>
        <v>0</v>
      </c>
      <c r="Y478">
        <f>INDEX(ReachStudentTargets,MATCH(B478,KidIDs,0))</f>
        <v>0</v>
      </c>
      <c r="Z478">
        <f>IF(OR(M478="Posse"),1,0)</f>
        <v>0</v>
      </c>
      <c r="AA478">
        <f>IF(ISNUMBER(INDEX(AllCollegeGR, MATCH(N478,AllCollegeNCES,0))),ROUND(INDEX(AllCollegeGR, MATCH(N478,AllCollegeNCES,0))+Z478*IF(INDEX(AllCollegeGR, MATCH(N478,AllCollegeNCES,0))&gt;0.7,(1-INDEX(AllCollegeGR, MATCH(N478,AllCollegeNCES,0)))/2,0.15),2),INDEX(AllCollegeGR, MATCH(N478,AllCollegeNCES,0)))</f>
        <v>0</v>
      </c>
      <c r="AB478">
        <f>IF(ISNUMBER(INDEX(AllCollegeAAHGR, MATCH(N478,AllCollegeNCES,0))),ROUND(INDEX(AllCollegeAAHGR, MATCH(N478,AllCollegeNCES,0))+Z478*IF(INDEX(AllCollegeAAHGR, MATCH(N478,AllCollegeNCES,0))&gt;0.7,(1-INDEX(AllCollegeAAHGR, MATCH(N478,AllCollegeNCES,0)))/2,0.15),2),INDEX(AllCollegeAAHGR, MATCH(N478,AllCollegeNCES,0)))</f>
        <v>0</v>
      </c>
      <c r="AC478">
        <f>IF(OR(W478="H",W478="B"),INDEX(AllCollegeSAT25, MATCH(N478,AllCollegeNCES,0)),INDEX(AllCollegeSAT50, MATCH(N478,AllCollegeNCES,0)))</f>
        <v>0</v>
      </c>
      <c r="AD478">
        <f>INDEX(CustomWeightsGPA,MATCH(W478&amp;":"&amp;N478,CustomWeightsIndex,0))</f>
        <v>0</v>
      </c>
      <c r="AE478">
        <f>INDEX(CustomWeightsSAT,MATCH(W478&amp;":"&amp;N478,CustomWeightsIndex,0))</f>
        <v>0</v>
      </c>
      <c r="AF478">
        <f>INDEX(CustomWeightsIntercept,MATCH(W478&amp;":"&amp;N478,CustomWeightsIndex,0))</f>
        <v>0</v>
      </c>
      <c r="AG478">
        <f>AD478*S478+AE478*T478+AF478</f>
        <v>0</v>
      </c>
      <c r="AH478">
        <f>INDEX(CoefficientsGPA,MATCH(W478&amp;":"&amp;R478,CoefficientsIndex,0))</f>
        <v>0</v>
      </c>
      <c r="AI478">
        <f>INDEX(CoefficientsSAT,MATCH(W478&amp;":"&amp;R478,CoefficientsIndex,0))</f>
        <v>0</v>
      </c>
      <c r="AJ478">
        <f>INDEX(CoefficientsIntercept,MATCH(W478&amp;":"&amp;R478,CoefficientsIndex,0))</f>
        <v>0</v>
      </c>
      <c r="AK478">
        <f>AH478*S478+(T478-AC478)*AI478+AJ478</f>
        <v>0</v>
      </c>
      <c r="AL478">
        <f>IF(ISNUMBER(AG478),AG478,AK478)</f>
        <v>0</v>
      </c>
      <c r="AM478">
        <f>IF(ISNUMBER(AL478),IF(ISNUMBER(AH478),IF(AND(AH478=1,AI478=1,AJ478=1),100,MIN(99,ROUND(100*EXP(AL478)/(1+EXP(AL478)),2))),MIN(99,ROUND(100*EXP(AL478)/(1+EXP(AL478)),2))),IF(ISTEXT(R478),IF(LEFT(R478,1)="2",100,"N/A"),"N/A"))</f>
        <v>0</v>
      </c>
      <c r="AN478">
        <f>IF(ISNUMBER(AM478),IF(AM478&gt;=99,IF(OR(U478=10,U478=11),MatchLabel,SureThingLabel),IF(AM478&gt;=95,SecureLabel,IF(AM478&gt;=80,SafetyLabel,IF(AM478&gt;=50,MatchLabel,IF(AM478&gt;=20,ReachLabel,IF(AM478&gt;=10,LongshotLabel,HailMaryLabel)))))),"Other")</f>
        <v>0</v>
      </c>
      <c r="AO478">
        <f>IF(OR(I478="accepted",I478="cond. accept",I478="summer admit"),IF(J478="yes","CHOICE!","Accepted!"),IF(I478="guar. transfer","Guar. Xfer",IF(I478="denied","Denied",IF(K478=1,"Waitlist",IF(L478=1,"Deferred",IF(G478="pending","Pending",IF(OR(G478="initial materials submitted",G478="mid-year submitted",G478="final submitted"),"Submitted",IF(H478="interest","Interest","?"))))))))</f>
        <v>0</v>
      </c>
      <c r="AP478">
        <f>IF(OR(AN478=ReachLabel,AN478=LongshotLabel,AN478=HailMaryLabel),1,0)</f>
        <v>0</v>
      </c>
      <c r="AQ478">
        <f>IF(OR(AP478=1,AN478=MatchLabel),1,0)</f>
        <v>0</v>
      </c>
      <c r="AR478">
        <f>IF(OR(AN478=MatchLabel,AN478=SafetyLabel,AN478=SecureLabel,AN478=SureThingLabel),1,0)</f>
        <v>0</v>
      </c>
      <c r="AS478">
        <f>IF(OR(W478="H",W478="B",W478="I",W478="M"),IF(ISNUMBER(AB478),ROUND(AB478,2),0),IF(ISNUMBER(AA478),ROUND(AA478,2),0))</f>
        <v>0</v>
      </c>
      <c r="AT478">
        <f>IF(AS478&gt;=X478,1,0)</f>
        <v>0</v>
      </c>
      <c r="AU478">
        <f>IF(AS478&gt;=Y478,1,0)</f>
        <v>0</v>
      </c>
      <c r="AV478">
        <f>IF(AS478&lt;(X478-0.10),1,0)</f>
        <v>0</v>
      </c>
      <c r="AW478">
        <f>1-AM478/100</f>
        <v>0</v>
      </c>
      <c r="AX478">
        <f>IF(AQ478=1,AW478,1)</f>
        <v>0</v>
      </c>
      <c r="AY478">
        <f>IF(AP478=1,AW478,1)</f>
        <v>0</v>
      </c>
      <c r="AZ478">
        <f>IF(AND(AT478=1,ISNUMBER(AW478)),$AW478,1)</f>
        <v>0</v>
      </c>
      <c r="BA478">
        <f>IF(AND(AU478=1,ISNUMBER(AW478)),$AW478,1)</f>
        <v>0</v>
      </c>
      <c r="BB478">
        <f>IF(ISNUMBER(AB478),INDEX(AllCollegeMoney, MATCH(N478,AllCollegeNCES,0)),0)</f>
        <v>0</v>
      </c>
      <c r="BC478">
        <f>IF(AND(AT478=1,ISNUMBER(AW478),BB478=1),$AW478,1)</f>
        <v>0</v>
      </c>
      <c r="BD478">
        <f>IF(AND(AU478=1,ISNUMBER(AW478),BB478=1),$AW478,1)</f>
        <v>0</v>
      </c>
      <c r="BE478">
        <f>IF(ISNUMBER(AB478),INDEX(AllCollegeILPub, MATCH(N478,AllCollegeNCES,0)),0)</f>
        <v>0</v>
      </c>
      <c r="BF478">
        <f>IF(AN478=ReachLabel,AS478,0)</f>
        <v>0</v>
      </c>
      <c r="BG478">
        <f>IF(AN478=MatchLabel,AS478,0)</f>
        <v>0</v>
      </c>
      <c r="BH478">
        <f>IF(AN478=SafetyLabel,AS478,0)</f>
        <v>0</v>
      </c>
      <c r="BI478">
        <f>IF(AN478=SecureLabel,AS478,0)</f>
        <v>0</v>
      </c>
      <c r="BJ478">
        <f>IF(AN478=SureThingLabel,AS478,0)</f>
        <v>0</v>
      </c>
      <c r="BK478">
        <f>MAX(BF478:BJ478)</f>
        <v>0</v>
      </c>
      <c r="BL478">
        <f>MAX(BG478:BJ478)</f>
        <v>0</v>
      </c>
      <c r="BM478">
        <f>MAX(BH478:BJ478)</f>
        <v>0</v>
      </c>
      <c r="BN478">
        <f>IF(AND(AN478=ReachLabel,BB478=1),AS478,0)</f>
        <v>0</v>
      </c>
      <c r="BO478">
        <f>IF(AND(AN478=MatchLabel,BB478=1),AS478,0)</f>
        <v>0</v>
      </c>
      <c r="BP478">
        <f>IF(AND(AN478=SafetyLabel,BB478=1),AS478,0)</f>
        <v>0</v>
      </c>
      <c r="BQ478">
        <f>IF(AND(AN478=SecureLabel,BB478=1),AS478,0)</f>
        <v>0</v>
      </c>
      <c r="BR478">
        <f>IF(AND(AN478=SureThingLabel,BB478=1),AS478,0)</f>
        <v>0</v>
      </c>
      <c r="BS478">
        <f>MAX(BN478:BR478)</f>
        <v>0</v>
      </c>
      <c r="BT478">
        <f>MAX(BO478:BR478)</f>
        <v>0</v>
      </c>
      <c r="BU478">
        <f>MAX(BP478:BR478)</f>
        <v>0</v>
      </c>
      <c r="BV478">
        <f>IF(ISNUMBER(AB478),INDEX(AllCollegeChicago, MATCH(N478,AllCollegeNCES,0))*BB478,0)</f>
        <v>0</v>
      </c>
      <c r="BW478">
        <f>IF(ISNUMBER(AB478),INDEX(AllCollegeMoneyCode, MATCH(N478,AllCollegeNCES,0)),"?")</f>
        <v>0</v>
      </c>
      <c r="BX478">
        <f>IF(OR(BW478="---",BW478="--",BW478="+/--",BW478="+/---"),1,0)</f>
        <v>0</v>
      </c>
      <c r="BY478">
        <f>BB478*AR478*AT478</f>
        <v>0</v>
      </c>
    </row>
    <row r="479" spans="1:77">
      <c r="A479" t="s">
        <v>96</v>
      </c>
      <c r="B479">
        <v>23460954</v>
      </c>
      <c r="C479" t="s">
        <v>291</v>
      </c>
      <c r="D479" t="s">
        <v>292</v>
      </c>
      <c r="E479" t="s">
        <v>446</v>
      </c>
      <c r="F479" t="s">
        <v>477</v>
      </c>
      <c r="G479" t="s">
        <v>448</v>
      </c>
      <c r="H479" t="s">
        <v>449</v>
      </c>
      <c r="I479" t="s">
        <v>450</v>
      </c>
      <c r="J479" t="s">
        <v>450</v>
      </c>
      <c r="K479">
        <v>0</v>
      </c>
      <c r="L479" t="s">
        <v>446</v>
      </c>
      <c r="M479" t="s">
        <v>446</v>
      </c>
      <c r="N479">
        <v>146427</v>
      </c>
      <c r="O479">
        <f>INDEX(Counselor,MATCH(B479,KidIDs,0))</f>
        <v>0</v>
      </c>
      <c r="P479">
        <f>INDEX(Advisors,MATCH(B479,KidIDs,0))</f>
        <v>0</v>
      </c>
      <c r="Q479">
        <f>INDEX(Cohort,MATCH(B479,KidIDs,0))</f>
        <v>0</v>
      </c>
      <c r="R479">
        <f>INDEX(AllCollegeBarrons,MATCH(N479,AllCollegeNCES,0))</f>
        <v>0</v>
      </c>
      <c r="S479">
        <f>INDEX(KidGPAs,MATCH(B479,KidIDs,0))</f>
        <v>0</v>
      </c>
      <c r="T479">
        <f>INDEX(KidSATs,MATCH(B479,KidIDs,0))</f>
        <v>0</v>
      </c>
      <c r="U479">
        <f>INDEX(Strats,MATCH(B479,KidIDs,0))</f>
        <v>0</v>
      </c>
      <c r="V479">
        <f>INDEX(KidRace,MATCH(B479,KidIDs,0))</f>
        <v>0</v>
      </c>
      <c r="W479">
        <f>IF(OR(V479="M",V479="I"),"H",IF(V479="P","A",V479))</f>
        <v>0</v>
      </c>
      <c r="X479">
        <f>INDEX(StudentTargets,MATCH(B479,KidIDs,0))</f>
        <v>0</v>
      </c>
      <c r="Y479">
        <f>INDEX(ReachStudentTargets,MATCH(B479,KidIDs,0))</f>
        <v>0</v>
      </c>
      <c r="Z479">
        <f>IF(OR(M479="Posse"),1,0)</f>
        <v>0</v>
      </c>
      <c r="AA479">
        <f>IF(ISNUMBER(INDEX(AllCollegeGR, MATCH(N479,AllCollegeNCES,0))),ROUND(INDEX(AllCollegeGR, MATCH(N479,AllCollegeNCES,0))+Z479*IF(INDEX(AllCollegeGR, MATCH(N479,AllCollegeNCES,0))&gt;0.7,(1-INDEX(AllCollegeGR, MATCH(N479,AllCollegeNCES,0)))/2,0.15),2),INDEX(AllCollegeGR, MATCH(N479,AllCollegeNCES,0)))</f>
        <v>0</v>
      </c>
      <c r="AB479">
        <f>IF(ISNUMBER(INDEX(AllCollegeAAHGR, MATCH(N479,AllCollegeNCES,0))),ROUND(INDEX(AllCollegeAAHGR, MATCH(N479,AllCollegeNCES,0))+Z479*IF(INDEX(AllCollegeAAHGR, MATCH(N479,AllCollegeNCES,0))&gt;0.7,(1-INDEX(AllCollegeAAHGR, MATCH(N479,AllCollegeNCES,0)))/2,0.15),2),INDEX(AllCollegeAAHGR, MATCH(N479,AllCollegeNCES,0)))</f>
        <v>0</v>
      </c>
      <c r="AC479">
        <f>IF(OR(W479="H",W479="B"),INDEX(AllCollegeSAT25, MATCH(N479,AllCollegeNCES,0)),INDEX(AllCollegeSAT50, MATCH(N479,AllCollegeNCES,0)))</f>
        <v>0</v>
      </c>
      <c r="AD479">
        <f>INDEX(CustomWeightsGPA,MATCH(W479&amp;":"&amp;N479,CustomWeightsIndex,0))</f>
        <v>0</v>
      </c>
      <c r="AE479">
        <f>INDEX(CustomWeightsSAT,MATCH(W479&amp;":"&amp;N479,CustomWeightsIndex,0))</f>
        <v>0</v>
      </c>
      <c r="AF479">
        <f>INDEX(CustomWeightsIntercept,MATCH(W479&amp;":"&amp;N479,CustomWeightsIndex,0))</f>
        <v>0</v>
      </c>
      <c r="AG479">
        <f>AD479*S479+AE479*T479+AF479</f>
        <v>0</v>
      </c>
      <c r="AH479">
        <f>INDEX(CoefficientsGPA,MATCH(W479&amp;":"&amp;R479,CoefficientsIndex,0))</f>
        <v>0</v>
      </c>
      <c r="AI479">
        <f>INDEX(CoefficientsSAT,MATCH(W479&amp;":"&amp;R479,CoefficientsIndex,0))</f>
        <v>0</v>
      </c>
      <c r="AJ479">
        <f>INDEX(CoefficientsIntercept,MATCH(W479&amp;":"&amp;R479,CoefficientsIndex,0))</f>
        <v>0</v>
      </c>
      <c r="AK479">
        <f>AH479*S479+(T479-AC479)*AI479+AJ479</f>
        <v>0</v>
      </c>
      <c r="AL479">
        <f>IF(ISNUMBER(AG479),AG479,AK479)</f>
        <v>0</v>
      </c>
      <c r="AM479">
        <f>IF(ISNUMBER(AL479),IF(ISNUMBER(AH479),IF(AND(AH479=1,AI479=1,AJ479=1),100,MIN(99,ROUND(100*EXP(AL479)/(1+EXP(AL479)),2))),MIN(99,ROUND(100*EXP(AL479)/(1+EXP(AL479)),2))),IF(ISTEXT(R479),IF(LEFT(R479,1)="2",100,"N/A"),"N/A"))</f>
        <v>0</v>
      </c>
      <c r="AN479">
        <f>IF(ISNUMBER(AM479),IF(AM479&gt;=99,IF(OR(U479=10,U479=11),MatchLabel,SureThingLabel),IF(AM479&gt;=95,SecureLabel,IF(AM479&gt;=80,SafetyLabel,IF(AM479&gt;=50,MatchLabel,IF(AM479&gt;=20,ReachLabel,IF(AM479&gt;=10,LongshotLabel,HailMaryLabel)))))),"Other")</f>
        <v>0</v>
      </c>
      <c r="AO479">
        <f>IF(OR(I479="accepted",I479="cond. accept",I479="summer admit"),IF(J479="yes","CHOICE!","Accepted!"),IF(I479="guar. transfer","Guar. Xfer",IF(I479="denied","Denied",IF(K479=1,"Waitlist",IF(L479=1,"Deferred",IF(G479="pending","Pending",IF(OR(G479="initial materials submitted",G479="mid-year submitted",G479="final submitted"),"Submitted",IF(H479="interest","Interest","?"))))))))</f>
        <v>0</v>
      </c>
      <c r="AP479">
        <f>IF(OR(AN479=ReachLabel,AN479=LongshotLabel,AN479=HailMaryLabel),1,0)</f>
        <v>0</v>
      </c>
      <c r="AQ479">
        <f>IF(OR(AP479=1,AN479=MatchLabel),1,0)</f>
        <v>0</v>
      </c>
      <c r="AR479">
        <f>IF(OR(AN479=MatchLabel,AN479=SafetyLabel,AN479=SecureLabel,AN479=SureThingLabel),1,0)</f>
        <v>0</v>
      </c>
      <c r="AS479">
        <f>IF(OR(W479="H",W479="B",W479="I",W479="M"),IF(ISNUMBER(AB479),ROUND(AB479,2),0),IF(ISNUMBER(AA479),ROUND(AA479,2),0))</f>
        <v>0</v>
      </c>
      <c r="AT479">
        <f>IF(AS479&gt;=X479,1,0)</f>
        <v>0</v>
      </c>
      <c r="AU479">
        <f>IF(AS479&gt;=Y479,1,0)</f>
        <v>0</v>
      </c>
      <c r="AV479">
        <f>IF(AS479&lt;(X479-0.10),1,0)</f>
        <v>0</v>
      </c>
      <c r="AW479">
        <f>1-AM479/100</f>
        <v>0</v>
      </c>
      <c r="AX479">
        <f>IF(AQ479=1,AW479,1)</f>
        <v>0</v>
      </c>
      <c r="AY479">
        <f>IF(AP479=1,AW479,1)</f>
        <v>0</v>
      </c>
      <c r="AZ479">
        <f>IF(AND(AT479=1,ISNUMBER(AW479)),$AW479,1)</f>
        <v>0</v>
      </c>
      <c r="BA479">
        <f>IF(AND(AU479=1,ISNUMBER(AW479)),$AW479,1)</f>
        <v>0</v>
      </c>
      <c r="BB479">
        <f>IF(ISNUMBER(AB479),INDEX(AllCollegeMoney, MATCH(N479,AllCollegeNCES,0)),0)</f>
        <v>0</v>
      </c>
      <c r="BC479">
        <f>IF(AND(AT479=1,ISNUMBER(AW479),BB479=1),$AW479,1)</f>
        <v>0</v>
      </c>
      <c r="BD479">
        <f>IF(AND(AU479=1,ISNUMBER(AW479),BB479=1),$AW479,1)</f>
        <v>0</v>
      </c>
      <c r="BE479">
        <f>IF(ISNUMBER(AB479),INDEX(AllCollegeILPub, MATCH(N479,AllCollegeNCES,0)),0)</f>
        <v>0</v>
      </c>
      <c r="BF479">
        <f>IF(AN479=ReachLabel,AS479,0)</f>
        <v>0</v>
      </c>
      <c r="BG479">
        <f>IF(AN479=MatchLabel,AS479,0)</f>
        <v>0</v>
      </c>
      <c r="BH479">
        <f>IF(AN479=SafetyLabel,AS479,0)</f>
        <v>0</v>
      </c>
      <c r="BI479">
        <f>IF(AN479=SecureLabel,AS479,0)</f>
        <v>0</v>
      </c>
      <c r="BJ479">
        <f>IF(AN479=SureThingLabel,AS479,0)</f>
        <v>0</v>
      </c>
      <c r="BK479">
        <f>MAX(BF479:BJ479)</f>
        <v>0</v>
      </c>
      <c r="BL479">
        <f>MAX(BG479:BJ479)</f>
        <v>0</v>
      </c>
      <c r="BM479">
        <f>MAX(BH479:BJ479)</f>
        <v>0</v>
      </c>
      <c r="BN479">
        <f>IF(AND(AN479=ReachLabel,BB479=1),AS479,0)</f>
        <v>0</v>
      </c>
      <c r="BO479">
        <f>IF(AND(AN479=MatchLabel,BB479=1),AS479,0)</f>
        <v>0</v>
      </c>
      <c r="BP479">
        <f>IF(AND(AN479=SafetyLabel,BB479=1),AS479,0)</f>
        <v>0</v>
      </c>
      <c r="BQ479">
        <f>IF(AND(AN479=SecureLabel,BB479=1),AS479,0)</f>
        <v>0</v>
      </c>
      <c r="BR479">
        <f>IF(AND(AN479=SureThingLabel,BB479=1),AS479,0)</f>
        <v>0</v>
      </c>
      <c r="BS479">
        <f>MAX(BN479:BR479)</f>
        <v>0</v>
      </c>
      <c r="BT479">
        <f>MAX(BO479:BR479)</f>
        <v>0</v>
      </c>
      <c r="BU479">
        <f>MAX(BP479:BR479)</f>
        <v>0</v>
      </c>
      <c r="BV479">
        <f>IF(ISNUMBER(AB479),INDEX(AllCollegeChicago, MATCH(N479,AllCollegeNCES,0))*BB479,0)</f>
        <v>0</v>
      </c>
      <c r="BW479">
        <f>IF(ISNUMBER(AB479),INDEX(AllCollegeMoneyCode, MATCH(N479,AllCollegeNCES,0)),"?")</f>
        <v>0</v>
      </c>
      <c r="BX479">
        <f>IF(OR(BW479="---",BW479="--",BW479="+/--",BW479="+/---"),1,0)</f>
        <v>0</v>
      </c>
      <c r="BY479">
        <f>BB479*AR479*AT479</f>
        <v>0</v>
      </c>
    </row>
    <row r="480" spans="1:77">
      <c r="A480" t="s">
        <v>96</v>
      </c>
      <c r="B480">
        <v>23460954</v>
      </c>
      <c r="C480" t="s">
        <v>291</v>
      </c>
      <c r="D480" t="s">
        <v>292</v>
      </c>
      <c r="E480" t="s">
        <v>446</v>
      </c>
      <c r="F480" t="s">
        <v>489</v>
      </c>
      <c r="G480" t="s">
        <v>448</v>
      </c>
      <c r="H480" t="s">
        <v>449</v>
      </c>
      <c r="I480" t="s">
        <v>450</v>
      </c>
      <c r="J480" t="s">
        <v>450</v>
      </c>
      <c r="K480">
        <v>0</v>
      </c>
      <c r="L480" t="s">
        <v>446</v>
      </c>
      <c r="M480" t="s">
        <v>446</v>
      </c>
      <c r="N480">
        <v>170301</v>
      </c>
      <c r="O480">
        <f>INDEX(Counselor,MATCH(B480,KidIDs,0))</f>
        <v>0</v>
      </c>
      <c r="P480">
        <f>INDEX(Advisors,MATCH(B480,KidIDs,0))</f>
        <v>0</v>
      </c>
      <c r="Q480">
        <f>INDEX(Cohort,MATCH(B480,KidIDs,0))</f>
        <v>0</v>
      </c>
      <c r="R480">
        <f>INDEX(AllCollegeBarrons,MATCH(N480,AllCollegeNCES,0))</f>
        <v>0</v>
      </c>
      <c r="S480">
        <f>INDEX(KidGPAs,MATCH(B480,KidIDs,0))</f>
        <v>0</v>
      </c>
      <c r="T480">
        <f>INDEX(KidSATs,MATCH(B480,KidIDs,0))</f>
        <v>0</v>
      </c>
      <c r="U480">
        <f>INDEX(Strats,MATCH(B480,KidIDs,0))</f>
        <v>0</v>
      </c>
      <c r="V480">
        <f>INDEX(KidRace,MATCH(B480,KidIDs,0))</f>
        <v>0</v>
      </c>
      <c r="W480">
        <f>IF(OR(V480="M",V480="I"),"H",IF(V480="P","A",V480))</f>
        <v>0</v>
      </c>
      <c r="X480">
        <f>INDEX(StudentTargets,MATCH(B480,KidIDs,0))</f>
        <v>0</v>
      </c>
      <c r="Y480">
        <f>INDEX(ReachStudentTargets,MATCH(B480,KidIDs,0))</f>
        <v>0</v>
      </c>
      <c r="Z480">
        <f>IF(OR(M480="Posse"),1,0)</f>
        <v>0</v>
      </c>
      <c r="AA480">
        <f>IF(ISNUMBER(INDEX(AllCollegeGR, MATCH(N480,AllCollegeNCES,0))),ROUND(INDEX(AllCollegeGR, MATCH(N480,AllCollegeNCES,0))+Z480*IF(INDEX(AllCollegeGR, MATCH(N480,AllCollegeNCES,0))&gt;0.7,(1-INDEX(AllCollegeGR, MATCH(N480,AllCollegeNCES,0)))/2,0.15),2),INDEX(AllCollegeGR, MATCH(N480,AllCollegeNCES,0)))</f>
        <v>0</v>
      </c>
      <c r="AB480">
        <f>IF(ISNUMBER(INDEX(AllCollegeAAHGR, MATCH(N480,AllCollegeNCES,0))),ROUND(INDEX(AllCollegeAAHGR, MATCH(N480,AllCollegeNCES,0))+Z480*IF(INDEX(AllCollegeAAHGR, MATCH(N480,AllCollegeNCES,0))&gt;0.7,(1-INDEX(AllCollegeAAHGR, MATCH(N480,AllCollegeNCES,0)))/2,0.15),2),INDEX(AllCollegeAAHGR, MATCH(N480,AllCollegeNCES,0)))</f>
        <v>0</v>
      </c>
      <c r="AC480">
        <f>IF(OR(W480="H",W480="B"),INDEX(AllCollegeSAT25, MATCH(N480,AllCollegeNCES,0)),INDEX(AllCollegeSAT50, MATCH(N480,AllCollegeNCES,0)))</f>
        <v>0</v>
      </c>
      <c r="AD480">
        <f>INDEX(CustomWeightsGPA,MATCH(W480&amp;":"&amp;N480,CustomWeightsIndex,0))</f>
        <v>0</v>
      </c>
      <c r="AE480">
        <f>INDEX(CustomWeightsSAT,MATCH(W480&amp;":"&amp;N480,CustomWeightsIndex,0))</f>
        <v>0</v>
      </c>
      <c r="AF480">
        <f>INDEX(CustomWeightsIntercept,MATCH(W480&amp;":"&amp;N480,CustomWeightsIndex,0))</f>
        <v>0</v>
      </c>
      <c r="AG480">
        <f>AD480*S480+AE480*T480+AF480</f>
        <v>0</v>
      </c>
      <c r="AH480">
        <f>INDEX(CoefficientsGPA,MATCH(W480&amp;":"&amp;R480,CoefficientsIndex,0))</f>
        <v>0</v>
      </c>
      <c r="AI480">
        <f>INDEX(CoefficientsSAT,MATCH(W480&amp;":"&amp;R480,CoefficientsIndex,0))</f>
        <v>0</v>
      </c>
      <c r="AJ480">
        <f>INDEX(CoefficientsIntercept,MATCH(W480&amp;":"&amp;R480,CoefficientsIndex,0))</f>
        <v>0</v>
      </c>
      <c r="AK480">
        <f>AH480*S480+(T480-AC480)*AI480+AJ480</f>
        <v>0</v>
      </c>
      <c r="AL480">
        <f>IF(ISNUMBER(AG480),AG480,AK480)</f>
        <v>0</v>
      </c>
      <c r="AM480">
        <f>IF(ISNUMBER(AL480),IF(ISNUMBER(AH480),IF(AND(AH480=1,AI480=1,AJ480=1),100,MIN(99,ROUND(100*EXP(AL480)/(1+EXP(AL480)),2))),MIN(99,ROUND(100*EXP(AL480)/(1+EXP(AL480)),2))),IF(ISTEXT(R480),IF(LEFT(R480,1)="2",100,"N/A"),"N/A"))</f>
        <v>0</v>
      </c>
      <c r="AN480">
        <f>IF(ISNUMBER(AM480),IF(AM480&gt;=99,IF(OR(U480=10,U480=11),MatchLabel,SureThingLabel),IF(AM480&gt;=95,SecureLabel,IF(AM480&gt;=80,SafetyLabel,IF(AM480&gt;=50,MatchLabel,IF(AM480&gt;=20,ReachLabel,IF(AM480&gt;=10,LongshotLabel,HailMaryLabel)))))),"Other")</f>
        <v>0</v>
      </c>
      <c r="AO480">
        <f>IF(OR(I480="accepted",I480="cond. accept",I480="summer admit"),IF(J480="yes","CHOICE!","Accepted!"),IF(I480="guar. transfer","Guar. Xfer",IF(I480="denied","Denied",IF(K480=1,"Waitlist",IF(L480=1,"Deferred",IF(G480="pending","Pending",IF(OR(G480="initial materials submitted",G480="mid-year submitted",G480="final submitted"),"Submitted",IF(H480="interest","Interest","?"))))))))</f>
        <v>0</v>
      </c>
      <c r="AP480">
        <f>IF(OR(AN480=ReachLabel,AN480=LongshotLabel,AN480=HailMaryLabel),1,0)</f>
        <v>0</v>
      </c>
      <c r="AQ480">
        <f>IF(OR(AP480=1,AN480=MatchLabel),1,0)</f>
        <v>0</v>
      </c>
      <c r="AR480">
        <f>IF(OR(AN480=MatchLabel,AN480=SafetyLabel,AN480=SecureLabel,AN480=SureThingLabel),1,0)</f>
        <v>0</v>
      </c>
      <c r="AS480">
        <f>IF(OR(W480="H",W480="B",W480="I",W480="M"),IF(ISNUMBER(AB480),ROUND(AB480,2),0),IF(ISNUMBER(AA480),ROUND(AA480,2),0))</f>
        <v>0</v>
      </c>
      <c r="AT480">
        <f>IF(AS480&gt;=X480,1,0)</f>
        <v>0</v>
      </c>
      <c r="AU480">
        <f>IF(AS480&gt;=Y480,1,0)</f>
        <v>0</v>
      </c>
      <c r="AV480">
        <f>IF(AS480&lt;(X480-0.10),1,0)</f>
        <v>0</v>
      </c>
      <c r="AW480">
        <f>1-AM480/100</f>
        <v>0</v>
      </c>
      <c r="AX480">
        <f>IF(AQ480=1,AW480,1)</f>
        <v>0</v>
      </c>
      <c r="AY480">
        <f>IF(AP480=1,AW480,1)</f>
        <v>0</v>
      </c>
      <c r="AZ480">
        <f>IF(AND(AT480=1,ISNUMBER(AW480)),$AW480,1)</f>
        <v>0</v>
      </c>
      <c r="BA480">
        <f>IF(AND(AU480=1,ISNUMBER(AW480)),$AW480,1)</f>
        <v>0</v>
      </c>
      <c r="BB480">
        <f>IF(ISNUMBER(AB480),INDEX(AllCollegeMoney, MATCH(N480,AllCollegeNCES,0)),0)</f>
        <v>0</v>
      </c>
      <c r="BC480">
        <f>IF(AND(AT480=1,ISNUMBER(AW480),BB480=1),$AW480,1)</f>
        <v>0</v>
      </c>
      <c r="BD480">
        <f>IF(AND(AU480=1,ISNUMBER(AW480),BB480=1),$AW480,1)</f>
        <v>0</v>
      </c>
      <c r="BE480">
        <f>IF(ISNUMBER(AB480),INDEX(AllCollegeILPub, MATCH(N480,AllCollegeNCES,0)),0)</f>
        <v>0</v>
      </c>
      <c r="BF480">
        <f>IF(AN480=ReachLabel,AS480,0)</f>
        <v>0</v>
      </c>
      <c r="BG480">
        <f>IF(AN480=MatchLabel,AS480,0)</f>
        <v>0</v>
      </c>
      <c r="BH480">
        <f>IF(AN480=SafetyLabel,AS480,0)</f>
        <v>0</v>
      </c>
      <c r="BI480">
        <f>IF(AN480=SecureLabel,AS480,0)</f>
        <v>0</v>
      </c>
      <c r="BJ480">
        <f>IF(AN480=SureThingLabel,AS480,0)</f>
        <v>0</v>
      </c>
      <c r="BK480">
        <f>MAX(BF480:BJ480)</f>
        <v>0</v>
      </c>
      <c r="BL480">
        <f>MAX(BG480:BJ480)</f>
        <v>0</v>
      </c>
      <c r="BM480">
        <f>MAX(BH480:BJ480)</f>
        <v>0</v>
      </c>
      <c r="BN480">
        <f>IF(AND(AN480=ReachLabel,BB480=1),AS480,0)</f>
        <v>0</v>
      </c>
      <c r="BO480">
        <f>IF(AND(AN480=MatchLabel,BB480=1),AS480,0)</f>
        <v>0</v>
      </c>
      <c r="BP480">
        <f>IF(AND(AN480=SafetyLabel,BB480=1),AS480,0)</f>
        <v>0</v>
      </c>
      <c r="BQ480">
        <f>IF(AND(AN480=SecureLabel,BB480=1),AS480,0)</f>
        <v>0</v>
      </c>
      <c r="BR480">
        <f>IF(AND(AN480=SureThingLabel,BB480=1),AS480,0)</f>
        <v>0</v>
      </c>
      <c r="BS480">
        <f>MAX(BN480:BR480)</f>
        <v>0</v>
      </c>
      <c r="BT480">
        <f>MAX(BO480:BR480)</f>
        <v>0</v>
      </c>
      <c r="BU480">
        <f>MAX(BP480:BR480)</f>
        <v>0</v>
      </c>
      <c r="BV480">
        <f>IF(ISNUMBER(AB480),INDEX(AllCollegeChicago, MATCH(N480,AllCollegeNCES,0))*BB480,0)</f>
        <v>0</v>
      </c>
      <c r="BW480">
        <f>IF(ISNUMBER(AB480),INDEX(AllCollegeMoneyCode, MATCH(N480,AllCollegeNCES,0)),"?")</f>
        <v>0</v>
      </c>
      <c r="BX480">
        <f>IF(OR(BW480="---",BW480="--",BW480="+/--",BW480="+/---"),1,0)</f>
        <v>0</v>
      </c>
      <c r="BY480">
        <f>BB480*AR480*AT480</f>
        <v>0</v>
      </c>
    </row>
    <row r="481" spans="1:77">
      <c r="A481" t="s">
        <v>96</v>
      </c>
      <c r="B481">
        <v>23461683</v>
      </c>
      <c r="C481" t="s">
        <v>303</v>
      </c>
      <c r="D481" t="s">
        <v>304</v>
      </c>
      <c r="E481" t="s">
        <v>446</v>
      </c>
      <c r="F481" t="s">
        <v>470</v>
      </c>
      <c r="G481" t="s">
        <v>448</v>
      </c>
      <c r="H481" t="s">
        <v>449</v>
      </c>
      <c r="I481" t="s">
        <v>450</v>
      </c>
      <c r="J481" t="s">
        <v>450</v>
      </c>
      <c r="K481">
        <v>0</v>
      </c>
      <c r="L481" t="s">
        <v>446</v>
      </c>
      <c r="M481" t="s">
        <v>446</v>
      </c>
      <c r="N481">
        <v>240444</v>
      </c>
      <c r="O481">
        <f>INDEX(Counselor,MATCH(B481,KidIDs,0))</f>
        <v>0</v>
      </c>
      <c r="P481">
        <f>INDEX(Advisors,MATCH(B481,KidIDs,0))</f>
        <v>0</v>
      </c>
      <c r="Q481">
        <f>INDEX(Cohort,MATCH(B481,KidIDs,0))</f>
        <v>0</v>
      </c>
      <c r="R481">
        <f>INDEX(AllCollegeBarrons,MATCH(N481,AllCollegeNCES,0))</f>
        <v>0</v>
      </c>
      <c r="S481">
        <f>INDEX(KidGPAs,MATCH(B481,KidIDs,0))</f>
        <v>0</v>
      </c>
      <c r="T481">
        <f>INDEX(KidSATs,MATCH(B481,KidIDs,0))</f>
        <v>0</v>
      </c>
      <c r="U481">
        <f>INDEX(Strats,MATCH(B481,KidIDs,0))</f>
        <v>0</v>
      </c>
      <c r="V481">
        <f>INDEX(KidRace,MATCH(B481,KidIDs,0))</f>
        <v>0</v>
      </c>
      <c r="W481">
        <f>IF(OR(V481="M",V481="I"),"H",IF(V481="P","A",V481))</f>
        <v>0</v>
      </c>
      <c r="X481">
        <f>INDEX(StudentTargets,MATCH(B481,KidIDs,0))</f>
        <v>0</v>
      </c>
      <c r="Y481">
        <f>INDEX(ReachStudentTargets,MATCH(B481,KidIDs,0))</f>
        <v>0</v>
      </c>
      <c r="Z481">
        <f>IF(OR(M481="Posse"),1,0)</f>
        <v>0</v>
      </c>
      <c r="AA481">
        <f>IF(ISNUMBER(INDEX(AllCollegeGR, MATCH(N481,AllCollegeNCES,0))),ROUND(INDEX(AllCollegeGR, MATCH(N481,AllCollegeNCES,0))+Z481*IF(INDEX(AllCollegeGR, MATCH(N481,AllCollegeNCES,0))&gt;0.7,(1-INDEX(AllCollegeGR, MATCH(N481,AllCollegeNCES,0)))/2,0.15),2),INDEX(AllCollegeGR, MATCH(N481,AllCollegeNCES,0)))</f>
        <v>0</v>
      </c>
      <c r="AB481">
        <f>IF(ISNUMBER(INDEX(AllCollegeAAHGR, MATCH(N481,AllCollegeNCES,0))),ROUND(INDEX(AllCollegeAAHGR, MATCH(N481,AllCollegeNCES,0))+Z481*IF(INDEX(AllCollegeAAHGR, MATCH(N481,AllCollegeNCES,0))&gt;0.7,(1-INDEX(AllCollegeAAHGR, MATCH(N481,AllCollegeNCES,0)))/2,0.15),2),INDEX(AllCollegeAAHGR, MATCH(N481,AllCollegeNCES,0)))</f>
        <v>0</v>
      </c>
      <c r="AC481">
        <f>IF(OR(W481="H",W481="B"),INDEX(AllCollegeSAT25, MATCH(N481,AllCollegeNCES,0)),INDEX(AllCollegeSAT50, MATCH(N481,AllCollegeNCES,0)))</f>
        <v>0</v>
      </c>
      <c r="AD481">
        <f>INDEX(CustomWeightsGPA,MATCH(W481&amp;":"&amp;N481,CustomWeightsIndex,0))</f>
        <v>0</v>
      </c>
      <c r="AE481">
        <f>INDEX(CustomWeightsSAT,MATCH(W481&amp;":"&amp;N481,CustomWeightsIndex,0))</f>
        <v>0</v>
      </c>
      <c r="AF481">
        <f>INDEX(CustomWeightsIntercept,MATCH(W481&amp;":"&amp;N481,CustomWeightsIndex,0))</f>
        <v>0</v>
      </c>
      <c r="AG481">
        <f>AD481*S481+AE481*T481+AF481</f>
        <v>0</v>
      </c>
      <c r="AH481">
        <f>INDEX(CoefficientsGPA,MATCH(W481&amp;":"&amp;R481,CoefficientsIndex,0))</f>
        <v>0</v>
      </c>
      <c r="AI481">
        <f>INDEX(CoefficientsSAT,MATCH(W481&amp;":"&amp;R481,CoefficientsIndex,0))</f>
        <v>0</v>
      </c>
      <c r="AJ481">
        <f>INDEX(CoefficientsIntercept,MATCH(W481&amp;":"&amp;R481,CoefficientsIndex,0))</f>
        <v>0</v>
      </c>
      <c r="AK481">
        <f>AH481*S481+(T481-AC481)*AI481+AJ481</f>
        <v>0</v>
      </c>
      <c r="AL481">
        <f>IF(ISNUMBER(AG481),AG481,AK481)</f>
        <v>0</v>
      </c>
      <c r="AM481">
        <f>IF(ISNUMBER(AL481),IF(ISNUMBER(AH481),IF(AND(AH481=1,AI481=1,AJ481=1),100,MIN(99,ROUND(100*EXP(AL481)/(1+EXP(AL481)),2))),MIN(99,ROUND(100*EXP(AL481)/(1+EXP(AL481)),2))),IF(ISTEXT(R481),IF(LEFT(R481,1)="2",100,"N/A"),"N/A"))</f>
        <v>0</v>
      </c>
      <c r="AN481">
        <f>IF(ISNUMBER(AM481),IF(AM481&gt;=99,IF(OR(U481=10,U481=11),MatchLabel,SureThingLabel),IF(AM481&gt;=95,SecureLabel,IF(AM481&gt;=80,SafetyLabel,IF(AM481&gt;=50,MatchLabel,IF(AM481&gt;=20,ReachLabel,IF(AM481&gt;=10,LongshotLabel,HailMaryLabel)))))),"Other")</f>
        <v>0</v>
      </c>
      <c r="AO481">
        <f>IF(OR(I481="accepted",I481="cond. accept",I481="summer admit"),IF(J481="yes","CHOICE!","Accepted!"),IF(I481="guar. transfer","Guar. Xfer",IF(I481="denied","Denied",IF(K481=1,"Waitlist",IF(L481=1,"Deferred",IF(G481="pending","Pending",IF(OR(G481="initial materials submitted",G481="mid-year submitted",G481="final submitted"),"Submitted",IF(H481="interest","Interest","?"))))))))</f>
        <v>0</v>
      </c>
      <c r="AP481">
        <f>IF(OR(AN481=ReachLabel,AN481=LongshotLabel,AN481=HailMaryLabel),1,0)</f>
        <v>0</v>
      </c>
      <c r="AQ481">
        <f>IF(OR(AP481=1,AN481=MatchLabel),1,0)</f>
        <v>0</v>
      </c>
      <c r="AR481">
        <f>IF(OR(AN481=MatchLabel,AN481=SafetyLabel,AN481=SecureLabel,AN481=SureThingLabel),1,0)</f>
        <v>0</v>
      </c>
      <c r="AS481">
        <f>IF(OR(W481="H",W481="B",W481="I",W481="M"),IF(ISNUMBER(AB481),ROUND(AB481,2),0),IF(ISNUMBER(AA481),ROUND(AA481,2),0))</f>
        <v>0</v>
      </c>
      <c r="AT481">
        <f>IF(AS481&gt;=X481,1,0)</f>
        <v>0</v>
      </c>
      <c r="AU481">
        <f>IF(AS481&gt;=Y481,1,0)</f>
        <v>0</v>
      </c>
      <c r="AV481">
        <f>IF(AS481&lt;(X481-0.10),1,0)</f>
        <v>0</v>
      </c>
      <c r="AW481">
        <f>1-AM481/100</f>
        <v>0</v>
      </c>
      <c r="AX481">
        <f>IF(AQ481=1,AW481,1)</f>
        <v>0</v>
      </c>
      <c r="AY481">
        <f>IF(AP481=1,AW481,1)</f>
        <v>0</v>
      </c>
      <c r="AZ481">
        <f>IF(AND(AT481=1,ISNUMBER(AW481)),$AW481,1)</f>
        <v>0</v>
      </c>
      <c r="BA481">
        <f>IF(AND(AU481=1,ISNUMBER(AW481)),$AW481,1)</f>
        <v>0</v>
      </c>
      <c r="BB481">
        <f>IF(ISNUMBER(AB481),INDEX(AllCollegeMoney, MATCH(N481,AllCollegeNCES,0)),0)</f>
        <v>0</v>
      </c>
      <c r="BC481">
        <f>IF(AND(AT481=1,ISNUMBER(AW481),BB481=1),$AW481,1)</f>
        <v>0</v>
      </c>
      <c r="BD481">
        <f>IF(AND(AU481=1,ISNUMBER(AW481),BB481=1),$AW481,1)</f>
        <v>0</v>
      </c>
      <c r="BE481">
        <f>IF(ISNUMBER(AB481),INDEX(AllCollegeILPub, MATCH(N481,AllCollegeNCES,0)),0)</f>
        <v>0</v>
      </c>
      <c r="BF481">
        <f>IF(AN481=ReachLabel,AS481,0)</f>
        <v>0</v>
      </c>
      <c r="BG481">
        <f>IF(AN481=MatchLabel,AS481,0)</f>
        <v>0</v>
      </c>
      <c r="BH481">
        <f>IF(AN481=SafetyLabel,AS481,0)</f>
        <v>0</v>
      </c>
      <c r="BI481">
        <f>IF(AN481=SecureLabel,AS481,0)</f>
        <v>0</v>
      </c>
      <c r="BJ481">
        <f>IF(AN481=SureThingLabel,AS481,0)</f>
        <v>0</v>
      </c>
      <c r="BK481">
        <f>MAX(BF481:BJ481)</f>
        <v>0</v>
      </c>
      <c r="BL481">
        <f>MAX(BG481:BJ481)</f>
        <v>0</v>
      </c>
      <c r="BM481">
        <f>MAX(BH481:BJ481)</f>
        <v>0</v>
      </c>
      <c r="BN481">
        <f>IF(AND(AN481=ReachLabel,BB481=1),AS481,0)</f>
        <v>0</v>
      </c>
      <c r="BO481">
        <f>IF(AND(AN481=MatchLabel,BB481=1),AS481,0)</f>
        <v>0</v>
      </c>
      <c r="BP481">
        <f>IF(AND(AN481=SafetyLabel,BB481=1),AS481,0)</f>
        <v>0</v>
      </c>
      <c r="BQ481">
        <f>IF(AND(AN481=SecureLabel,BB481=1),AS481,0)</f>
        <v>0</v>
      </c>
      <c r="BR481">
        <f>IF(AND(AN481=SureThingLabel,BB481=1),AS481,0)</f>
        <v>0</v>
      </c>
      <c r="BS481">
        <f>MAX(BN481:BR481)</f>
        <v>0</v>
      </c>
      <c r="BT481">
        <f>MAX(BO481:BR481)</f>
        <v>0</v>
      </c>
      <c r="BU481">
        <f>MAX(BP481:BR481)</f>
        <v>0</v>
      </c>
      <c r="BV481">
        <f>IF(ISNUMBER(AB481),INDEX(AllCollegeChicago, MATCH(N481,AllCollegeNCES,0))*BB481,0)</f>
        <v>0</v>
      </c>
      <c r="BW481">
        <f>IF(ISNUMBER(AB481),INDEX(AllCollegeMoneyCode, MATCH(N481,AllCollegeNCES,0)),"?")</f>
        <v>0</v>
      </c>
      <c r="BX481">
        <f>IF(OR(BW481="---",BW481="--",BW481="+/--",BW481="+/---"),1,0)</f>
        <v>0</v>
      </c>
      <c r="BY481">
        <f>BB481*AR481*AT481</f>
        <v>0</v>
      </c>
    </row>
    <row r="482" spans="1:77">
      <c r="A482" t="s">
        <v>96</v>
      </c>
      <c r="B482">
        <v>23461683</v>
      </c>
      <c r="C482" t="s">
        <v>303</v>
      </c>
      <c r="D482" t="s">
        <v>304</v>
      </c>
      <c r="E482" t="s">
        <v>446</v>
      </c>
      <c r="F482" t="s">
        <v>512</v>
      </c>
      <c r="G482" t="s">
        <v>448</v>
      </c>
      <c r="H482" t="s">
        <v>449</v>
      </c>
      <c r="I482" t="s">
        <v>450</v>
      </c>
      <c r="J482" t="s">
        <v>450</v>
      </c>
      <c r="K482">
        <v>0</v>
      </c>
      <c r="L482" t="s">
        <v>446</v>
      </c>
      <c r="M482" t="s">
        <v>446</v>
      </c>
      <c r="N482">
        <v>150400</v>
      </c>
      <c r="O482">
        <f>INDEX(Counselor,MATCH(B482,KidIDs,0))</f>
        <v>0</v>
      </c>
      <c r="P482">
        <f>INDEX(Advisors,MATCH(B482,KidIDs,0))</f>
        <v>0</v>
      </c>
      <c r="Q482">
        <f>INDEX(Cohort,MATCH(B482,KidIDs,0))</f>
        <v>0</v>
      </c>
      <c r="R482">
        <f>INDEX(AllCollegeBarrons,MATCH(N482,AllCollegeNCES,0))</f>
        <v>0</v>
      </c>
      <c r="S482">
        <f>INDEX(KidGPAs,MATCH(B482,KidIDs,0))</f>
        <v>0</v>
      </c>
      <c r="T482">
        <f>INDEX(KidSATs,MATCH(B482,KidIDs,0))</f>
        <v>0</v>
      </c>
      <c r="U482">
        <f>INDEX(Strats,MATCH(B482,KidIDs,0))</f>
        <v>0</v>
      </c>
      <c r="V482">
        <f>INDEX(KidRace,MATCH(B482,KidIDs,0))</f>
        <v>0</v>
      </c>
      <c r="W482">
        <f>IF(OR(V482="M",V482="I"),"H",IF(V482="P","A",V482))</f>
        <v>0</v>
      </c>
      <c r="X482">
        <f>INDEX(StudentTargets,MATCH(B482,KidIDs,0))</f>
        <v>0</v>
      </c>
      <c r="Y482">
        <f>INDEX(ReachStudentTargets,MATCH(B482,KidIDs,0))</f>
        <v>0</v>
      </c>
      <c r="Z482">
        <f>IF(OR(M482="Posse"),1,0)</f>
        <v>0</v>
      </c>
      <c r="AA482">
        <f>IF(ISNUMBER(INDEX(AllCollegeGR, MATCH(N482,AllCollegeNCES,0))),ROUND(INDEX(AllCollegeGR, MATCH(N482,AllCollegeNCES,0))+Z482*IF(INDEX(AllCollegeGR, MATCH(N482,AllCollegeNCES,0))&gt;0.7,(1-INDEX(AllCollegeGR, MATCH(N482,AllCollegeNCES,0)))/2,0.15),2),INDEX(AllCollegeGR, MATCH(N482,AllCollegeNCES,0)))</f>
        <v>0</v>
      </c>
      <c r="AB482">
        <f>IF(ISNUMBER(INDEX(AllCollegeAAHGR, MATCH(N482,AllCollegeNCES,0))),ROUND(INDEX(AllCollegeAAHGR, MATCH(N482,AllCollegeNCES,0))+Z482*IF(INDEX(AllCollegeAAHGR, MATCH(N482,AllCollegeNCES,0))&gt;0.7,(1-INDEX(AllCollegeAAHGR, MATCH(N482,AllCollegeNCES,0)))/2,0.15),2),INDEX(AllCollegeAAHGR, MATCH(N482,AllCollegeNCES,0)))</f>
        <v>0</v>
      </c>
      <c r="AC482">
        <f>IF(OR(W482="H",W482="B"),INDEX(AllCollegeSAT25, MATCH(N482,AllCollegeNCES,0)),INDEX(AllCollegeSAT50, MATCH(N482,AllCollegeNCES,0)))</f>
        <v>0</v>
      </c>
      <c r="AD482">
        <f>INDEX(CustomWeightsGPA,MATCH(W482&amp;":"&amp;N482,CustomWeightsIndex,0))</f>
        <v>0</v>
      </c>
      <c r="AE482">
        <f>INDEX(CustomWeightsSAT,MATCH(W482&amp;":"&amp;N482,CustomWeightsIndex,0))</f>
        <v>0</v>
      </c>
      <c r="AF482">
        <f>INDEX(CustomWeightsIntercept,MATCH(W482&amp;":"&amp;N482,CustomWeightsIndex,0))</f>
        <v>0</v>
      </c>
      <c r="AG482">
        <f>AD482*S482+AE482*T482+AF482</f>
        <v>0</v>
      </c>
      <c r="AH482">
        <f>INDEX(CoefficientsGPA,MATCH(W482&amp;":"&amp;R482,CoefficientsIndex,0))</f>
        <v>0</v>
      </c>
      <c r="AI482">
        <f>INDEX(CoefficientsSAT,MATCH(W482&amp;":"&amp;R482,CoefficientsIndex,0))</f>
        <v>0</v>
      </c>
      <c r="AJ482">
        <f>INDEX(CoefficientsIntercept,MATCH(W482&amp;":"&amp;R482,CoefficientsIndex,0))</f>
        <v>0</v>
      </c>
      <c r="AK482">
        <f>AH482*S482+(T482-AC482)*AI482+AJ482</f>
        <v>0</v>
      </c>
      <c r="AL482">
        <f>IF(ISNUMBER(AG482),AG482,AK482)</f>
        <v>0</v>
      </c>
      <c r="AM482">
        <f>IF(ISNUMBER(AL482),IF(ISNUMBER(AH482),IF(AND(AH482=1,AI482=1,AJ482=1),100,MIN(99,ROUND(100*EXP(AL482)/(1+EXP(AL482)),2))),MIN(99,ROUND(100*EXP(AL482)/(1+EXP(AL482)),2))),IF(ISTEXT(R482),IF(LEFT(R482,1)="2",100,"N/A"),"N/A"))</f>
        <v>0</v>
      </c>
      <c r="AN482">
        <f>IF(ISNUMBER(AM482),IF(AM482&gt;=99,IF(OR(U482=10,U482=11),MatchLabel,SureThingLabel),IF(AM482&gt;=95,SecureLabel,IF(AM482&gt;=80,SafetyLabel,IF(AM482&gt;=50,MatchLabel,IF(AM482&gt;=20,ReachLabel,IF(AM482&gt;=10,LongshotLabel,HailMaryLabel)))))),"Other")</f>
        <v>0</v>
      </c>
      <c r="AO482">
        <f>IF(OR(I482="accepted",I482="cond. accept",I482="summer admit"),IF(J482="yes","CHOICE!","Accepted!"),IF(I482="guar. transfer","Guar. Xfer",IF(I482="denied","Denied",IF(K482=1,"Waitlist",IF(L482=1,"Deferred",IF(G482="pending","Pending",IF(OR(G482="initial materials submitted",G482="mid-year submitted",G482="final submitted"),"Submitted",IF(H482="interest","Interest","?"))))))))</f>
        <v>0</v>
      </c>
      <c r="AP482">
        <f>IF(OR(AN482=ReachLabel,AN482=LongshotLabel,AN482=HailMaryLabel),1,0)</f>
        <v>0</v>
      </c>
      <c r="AQ482">
        <f>IF(OR(AP482=1,AN482=MatchLabel),1,0)</f>
        <v>0</v>
      </c>
      <c r="AR482">
        <f>IF(OR(AN482=MatchLabel,AN482=SafetyLabel,AN482=SecureLabel,AN482=SureThingLabel),1,0)</f>
        <v>0</v>
      </c>
      <c r="AS482">
        <f>IF(OR(W482="H",W482="B",W482="I",W482="M"),IF(ISNUMBER(AB482),ROUND(AB482,2),0),IF(ISNUMBER(AA482),ROUND(AA482,2),0))</f>
        <v>0</v>
      </c>
      <c r="AT482">
        <f>IF(AS482&gt;=X482,1,0)</f>
        <v>0</v>
      </c>
      <c r="AU482">
        <f>IF(AS482&gt;=Y482,1,0)</f>
        <v>0</v>
      </c>
      <c r="AV482">
        <f>IF(AS482&lt;(X482-0.10),1,0)</f>
        <v>0</v>
      </c>
      <c r="AW482">
        <f>1-AM482/100</f>
        <v>0</v>
      </c>
      <c r="AX482">
        <f>IF(AQ482=1,AW482,1)</f>
        <v>0</v>
      </c>
      <c r="AY482">
        <f>IF(AP482=1,AW482,1)</f>
        <v>0</v>
      </c>
      <c r="AZ482">
        <f>IF(AND(AT482=1,ISNUMBER(AW482)),$AW482,1)</f>
        <v>0</v>
      </c>
      <c r="BA482">
        <f>IF(AND(AU482=1,ISNUMBER(AW482)),$AW482,1)</f>
        <v>0</v>
      </c>
      <c r="BB482">
        <f>IF(ISNUMBER(AB482),INDEX(AllCollegeMoney, MATCH(N482,AllCollegeNCES,0)),0)</f>
        <v>0</v>
      </c>
      <c r="BC482">
        <f>IF(AND(AT482=1,ISNUMBER(AW482),BB482=1),$AW482,1)</f>
        <v>0</v>
      </c>
      <c r="BD482">
        <f>IF(AND(AU482=1,ISNUMBER(AW482),BB482=1),$AW482,1)</f>
        <v>0</v>
      </c>
      <c r="BE482">
        <f>IF(ISNUMBER(AB482),INDEX(AllCollegeILPub, MATCH(N482,AllCollegeNCES,0)),0)</f>
        <v>0</v>
      </c>
      <c r="BF482">
        <f>IF(AN482=ReachLabel,AS482,0)</f>
        <v>0</v>
      </c>
      <c r="BG482">
        <f>IF(AN482=MatchLabel,AS482,0)</f>
        <v>0</v>
      </c>
      <c r="BH482">
        <f>IF(AN482=SafetyLabel,AS482,0)</f>
        <v>0</v>
      </c>
      <c r="BI482">
        <f>IF(AN482=SecureLabel,AS482,0)</f>
        <v>0</v>
      </c>
      <c r="BJ482">
        <f>IF(AN482=SureThingLabel,AS482,0)</f>
        <v>0</v>
      </c>
      <c r="BK482">
        <f>MAX(BF482:BJ482)</f>
        <v>0</v>
      </c>
      <c r="BL482">
        <f>MAX(BG482:BJ482)</f>
        <v>0</v>
      </c>
      <c r="BM482">
        <f>MAX(BH482:BJ482)</f>
        <v>0</v>
      </c>
      <c r="BN482">
        <f>IF(AND(AN482=ReachLabel,BB482=1),AS482,0)</f>
        <v>0</v>
      </c>
      <c r="BO482">
        <f>IF(AND(AN482=MatchLabel,BB482=1),AS482,0)</f>
        <v>0</v>
      </c>
      <c r="BP482">
        <f>IF(AND(AN482=SafetyLabel,BB482=1),AS482,0)</f>
        <v>0</v>
      </c>
      <c r="BQ482">
        <f>IF(AND(AN482=SecureLabel,BB482=1),AS482,0)</f>
        <v>0</v>
      </c>
      <c r="BR482">
        <f>IF(AND(AN482=SureThingLabel,BB482=1),AS482,0)</f>
        <v>0</v>
      </c>
      <c r="BS482">
        <f>MAX(BN482:BR482)</f>
        <v>0</v>
      </c>
      <c r="BT482">
        <f>MAX(BO482:BR482)</f>
        <v>0</v>
      </c>
      <c r="BU482">
        <f>MAX(BP482:BR482)</f>
        <v>0</v>
      </c>
      <c r="BV482">
        <f>IF(ISNUMBER(AB482),INDEX(AllCollegeChicago, MATCH(N482,AllCollegeNCES,0))*BB482,0)</f>
        <v>0</v>
      </c>
      <c r="BW482">
        <f>IF(ISNUMBER(AB482),INDEX(AllCollegeMoneyCode, MATCH(N482,AllCollegeNCES,0)),"?")</f>
        <v>0</v>
      </c>
      <c r="BX482">
        <f>IF(OR(BW482="---",BW482="--",BW482="+/--",BW482="+/---"),1,0)</f>
        <v>0</v>
      </c>
      <c r="BY482">
        <f>BB482*AR482*AT482</f>
        <v>0</v>
      </c>
    </row>
    <row r="483" spans="1:77">
      <c r="A483" t="s">
        <v>96</v>
      </c>
      <c r="B483">
        <v>23461683</v>
      </c>
      <c r="C483" t="s">
        <v>303</v>
      </c>
      <c r="D483" t="s">
        <v>304</v>
      </c>
      <c r="E483" t="s">
        <v>446</v>
      </c>
      <c r="F483" t="s">
        <v>475</v>
      </c>
      <c r="G483" t="s">
        <v>448</v>
      </c>
      <c r="H483" t="s">
        <v>449</v>
      </c>
      <c r="I483" t="s">
        <v>450</v>
      </c>
      <c r="J483" t="s">
        <v>450</v>
      </c>
      <c r="K483">
        <v>0</v>
      </c>
      <c r="L483" t="s">
        <v>446</v>
      </c>
      <c r="M483" t="s">
        <v>446</v>
      </c>
      <c r="N483">
        <v>145637</v>
      </c>
      <c r="O483">
        <f>INDEX(Counselor,MATCH(B483,KidIDs,0))</f>
        <v>0</v>
      </c>
      <c r="P483">
        <f>INDEX(Advisors,MATCH(B483,KidIDs,0))</f>
        <v>0</v>
      </c>
      <c r="Q483">
        <f>INDEX(Cohort,MATCH(B483,KidIDs,0))</f>
        <v>0</v>
      </c>
      <c r="R483">
        <f>INDEX(AllCollegeBarrons,MATCH(N483,AllCollegeNCES,0))</f>
        <v>0</v>
      </c>
      <c r="S483">
        <f>INDEX(KidGPAs,MATCH(B483,KidIDs,0))</f>
        <v>0</v>
      </c>
      <c r="T483">
        <f>INDEX(KidSATs,MATCH(B483,KidIDs,0))</f>
        <v>0</v>
      </c>
      <c r="U483">
        <f>INDEX(Strats,MATCH(B483,KidIDs,0))</f>
        <v>0</v>
      </c>
      <c r="V483">
        <f>INDEX(KidRace,MATCH(B483,KidIDs,0))</f>
        <v>0</v>
      </c>
      <c r="W483">
        <f>IF(OR(V483="M",V483="I"),"H",IF(V483="P","A",V483))</f>
        <v>0</v>
      </c>
      <c r="X483">
        <f>INDEX(StudentTargets,MATCH(B483,KidIDs,0))</f>
        <v>0</v>
      </c>
      <c r="Y483">
        <f>INDEX(ReachStudentTargets,MATCH(B483,KidIDs,0))</f>
        <v>0</v>
      </c>
      <c r="Z483">
        <f>IF(OR(M483="Posse"),1,0)</f>
        <v>0</v>
      </c>
      <c r="AA483">
        <f>IF(ISNUMBER(INDEX(AllCollegeGR, MATCH(N483,AllCollegeNCES,0))),ROUND(INDEX(AllCollegeGR, MATCH(N483,AllCollegeNCES,0))+Z483*IF(INDEX(AllCollegeGR, MATCH(N483,AllCollegeNCES,0))&gt;0.7,(1-INDEX(AllCollegeGR, MATCH(N483,AllCollegeNCES,0)))/2,0.15),2),INDEX(AllCollegeGR, MATCH(N483,AllCollegeNCES,0)))</f>
        <v>0</v>
      </c>
      <c r="AB483">
        <f>IF(ISNUMBER(INDEX(AllCollegeAAHGR, MATCH(N483,AllCollegeNCES,0))),ROUND(INDEX(AllCollegeAAHGR, MATCH(N483,AllCollegeNCES,0))+Z483*IF(INDEX(AllCollegeAAHGR, MATCH(N483,AllCollegeNCES,0))&gt;0.7,(1-INDEX(AllCollegeAAHGR, MATCH(N483,AllCollegeNCES,0)))/2,0.15),2),INDEX(AllCollegeAAHGR, MATCH(N483,AllCollegeNCES,0)))</f>
        <v>0</v>
      </c>
      <c r="AC483">
        <f>IF(OR(W483="H",W483="B"),INDEX(AllCollegeSAT25, MATCH(N483,AllCollegeNCES,0)),INDEX(AllCollegeSAT50, MATCH(N483,AllCollegeNCES,0)))</f>
        <v>0</v>
      </c>
      <c r="AD483">
        <f>INDEX(CustomWeightsGPA,MATCH(W483&amp;":"&amp;N483,CustomWeightsIndex,0))</f>
        <v>0</v>
      </c>
      <c r="AE483">
        <f>INDEX(CustomWeightsSAT,MATCH(W483&amp;":"&amp;N483,CustomWeightsIndex,0))</f>
        <v>0</v>
      </c>
      <c r="AF483">
        <f>INDEX(CustomWeightsIntercept,MATCH(W483&amp;":"&amp;N483,CustomWeightsIndex,0))</f>
        <v>0</v>
      </c>
      <c r="AG483">
        <f>AD483*S483+AE483*T483+AF483</f>
        <v>0</v>
      </c>
      <c r="AH483">
        <f>INDEX(CoefficientsGPA,MATCH(W483&amp;":"&amp;R483,CoefficientsIndex,0))</f>
        <v>0</v>
      </c>
      <c r="AI483">
        <f>INDEX(CoefficientsSAT,MATCH(W483&amp;":"&amp;R483,CoefficientsIndex,0))</f>
        <v>0</v>
      </c>
      <c r="AJ483">
        <f>INDEX(CoefficientsIntercept,MATCH(W483&amp;":"&amp;R483,CoefficientsIndex,0))</f>
        <v>0</v>
      </c>
      <c r="AK483">
        <f>AH483*S483+(T483-AC483)*AI483+AJ483</f>
        <v>0</v>
      </c>
      <c r="AL483">
        <f>IF(ISNUMBER(AG483),AG483,AK483)</f>
        <v>0</v>
      </c>
      <c r="AM483">
        <f>IF(ISNUMBER(AL483),IF(ISNUMBER(AH483),IF(AND(AH483=1,AI483=1,AJ483=1),100,MIN(99,ROUND(100*EXP(AL483)/(1+EXP(AL483)),2))),MIN(99,ROUND(100*EXP(AL483)/(1+EXP(AL483)),2))),IF(ISTEXT(R483),IF(LEFT(R483,1)="2",100,"N/A"),"N/A"))</f>
        <v>0</v>
      </c>
      <c r="AN483">
        <f>IF(ISNUMBER(AM483),IF(AM483&gt;=99,IF(OR(U483=10,U483=11),MatchLabel,SureThingLabel),IF(AM483&gt;=95,SecureLabel,IF(AM483&gt;=80,SafetyLabel,IF(AM483&gt;=50,MatchLabel,IF(AM483&gt;=20,ReachLabel,IF(AM483&gt;=10,LongshotLabel,HailMaryLabel)))))),"Other")</f>
        <v>0</v>
      </c>
      <c r="AO483">
        <f>IF(OR(I483="accepted",I483="cond. accept",I483="summer admit"),IF(J483="yes","CHOICE!","Accepted!"),IF(I483="guar. transfer","Guar. Xfer",IF(I483="denied","Denied",IF(K483=1,"Waitlist",IF(L483=1,"Deferred",IF(G483="pending","Pending",IF(OR(G483="initial materials submitted",G483="mid-year submitted",G483="final submitted"),"Submitted",IF(H483="interest","Interest","?"))))))))</f>
        <v>0</v>
      </c>
      <c r="AP483">
        <f>IF(OR(AN483=ReachLabel,AN483=LongshotLabel,AN483=HailMaryLabel),1,0)</f>
        <v>0</v>
      </c>
      <c r="AQ483">
        <f>IF(OR(AP483=1,AN483=MatchLabel),1,0)</f>
        <v>0</v>
      </c>
      <c r="AR483">
        <f>IF(OR(AN483=MatchLabel,AN483=SafetyLabel,AN483=SecureLabel,AN483=SureThingLabel),1,0)</f>
        <v>0</v>
      </c>
      <c r="AS483">
        <f>IF(OR(W483="H",W483="B",W483="I",W483="M"),IF(ISNUMBER(AB483),ROUND(AB483,2),0),IF(ISNUMBER(AA483),ROUND(AA483,2),0))</f>
        <v>0</v>
      </c>
      <c r="AT483">
        <f>IF(AS483&gt;=X483,1,0)</f>
        <v>0</v>
      </c>
      <c r="AU483">
        <f>IF(AS483&gt;=Y483,1,0)</f>
        <v>0</v>
      </c>
      <c r="AV483">
        <f>IF(AS483&lt;(X483-0.10),1,0)</f>
        <v>0</v>
      </c>
      <c r="AW483">
        <f>1-AM483/100</f>
        <v>0</v>
      </c>
      <c r="AX483">
        <f>IF(AQ483=1,AW483,1)</f>
        <v>0</v>
      </c>
      <c r="AY483">
        <f>IF(AP483=1,AW483,1)</f>
        <v>0</v>
      </c>
      <c r="AZ483">
        <f>IF(AND(AT483=1,ISNUMBER(AW483)),$AW483,1)</f>
        <v>0</v>
      </c>
      <c r="BA483">
        <f>IF(AND(AU483=1,ISNUMBER(AW483)),$AW483,1)</f>
        <v>0</v>
      </c>
      <c r="BB483">
        <f>IF(ISNUMBER(AB483),INDEX(AllCollegeMoney, MATCH(N483,AllCollegeNCES,0)),0)</f>
        <v>0</v>
      </c>
      <c r="BC483">
        <f>IF(AND(AT483=1,ISNUMBER(AW483),BB483=1),$AW483,1)</f>
        <v>0</v>
      </c>
      <c r="BD483">
        <f>IF(AND(AU483=1,ISNUMBER(AW483),BB483=1),$AW483,1)</f>
        <v>0</v>
      </c>
      <c r="BE483">
        <f>IF(ISNUMBER(AB483),INDEX(AllCollegeILPub, MATCH(N483,AllCollegeNCES,0)),0)</f>
        <v>0</v>
      </c>
      <c r="BF483">
        <f>IF(AN483=ReachLabel,AS483,0)</f>
        <v>0</v>
      </c>
      <c r="BG483">
        <f>IF(AN483=MatchLabel,AS483,0)</f>
        <v>0</v>
      </c>
      <c r="BH483">
        <f>IF(AN483=SafetyLabel,AS483,0)</f>
        <v>0</v>
      </c>
      <c r="BI483">
        <f>IF(AN483=SecureLabel,AS483,0)</f>
        <v>0</v>
      </c>
      <c r="BJ483">
        <f>IF(AN483=SureThingLabel,AS483,0)</f>
        <v>0</v>
      </c>
      <c r="BK483">
        <f>MAX(BF483:BJ483)</f>
        <v>0</v>
      </c>
      <c r="BL483">
        <f>MAX(BG483:BJ483)</f>
        <v>0</v>
      </c>
      <c r="BM483">
        <f>MAX(BH483:BJ483)</f>
        <v>0</v>
      </c>
      <c r="BN483">
        <f>IF(AND(AN483=ReachLabel,BB483=1),AS483,0)</f>
        <v>0</v>
      </c>
      <c r="BO483">
        <f>IF(AND(AN483=MatchLabel,BB483=1),AS483,0)</f>
        <v>0</v>
      </c>
      <c r="BP483">
        <f>IF(AND(AN483=SafetyLabel,BB483=1),AS483,0)</f>
        <v>0</v>
      </c>
      <c r="BQ483">
        <f>IF(AND(AN483=SecureLabel,BB483=1),AS483,0)</f>
        <v>0</v>
      </c>
      <c r="BR483">
        <f>IF(AND(AN483=SureThingLabel,BB483=1),AS483,0)</f>
        <v>0</v>
      </c>
      <c r="BS483">
        <f>MAX(BN483:BR483)</f>
        <v>0</v>
      </c>
      <c r="BT483">
        <f>MAX(BO483:BR483)</f>
        <v>0</v>
      </c>
      <c r="BU483">
        <f>MAX(BP483:BR483)</f>
        <v>0</v>
      </c>
      <c r="BV483">
        <f>IF(ISNUMBER(AB483),INDEX(AllCollegeChicago, MATCH(N483,AllCollegeNCES,0))*BB483,0)</f>
        <v>0</v>
      </c>
      <c r="BW483">
        <f>IF(ISNUMBER(AB483),INDEX(AllCollegeMoneyCode, MATCH(N483,AllCollegeNCES,0)),"?")</f>
        <v>0</v>
      </c>
      <c r="BX483">
        <f>IF(OR(BW483="---",BW483="--",BW483="+/--",BW483="+/---"),1,0)</f>
        <v>0</v>
      </c>
      <c r="BY483">
        <f>BB483*AR483*AT483</f>
        <v>0</v>
      </c>
    </row>
    <row r="484" spans="1:77">
      <c r="A484" t="s">
        <v>96</v>
      </c>
      <c r="B484">
        <v>23461683</v>
      </c>
      <c r="C484" t="s">
        <v>303</v>
      </c>
      <c r="D484" t="s">
        <v>304</v>
      </c>
      <c r="E484" t="s">
        <v>446</v>
      </c>
      <c r="F484" t="s">
        <v>525</v>
      </c>
      <c r="G484" t="s">
        <v>448</v>
      </c>
      <c r="H484" t="s">
        <v>449</v>
      </c>
      <c r="I484" t="s">
        <v>450</v>
      </c>
      <c r="J484" t="s">
        <v>450</v>
      </c>
      <c r="K484">
        <v>0</v>
      </c>
      <c r="L484" t="s">
        <v>446</v>
      </c>
      <c r="M484" t="s">
        <v>446</v>
      </c>
      <c r="N484">
        <v>209056</v>
      </c>
      <c r="O484">
        <f>INDEX(Counselor,MATCH(B484,KidIDs,0))</f>
        <v>0</v>
      </c>
      <c r="P484">
        <f>INDEX(Advisors,MATCH(B484,KidIDs,0))</f>
        <v>0</v>
      </c>
      <c r="Q484">
        <f>INDEX(Cohort,MATCH(B484,KidIDs,0))</f>
        <v>0</v>
      </c>
      <c r="R484">
        <f>INDEX(AllCollegeBarrons,MATCH(N484,AllCollegeNCES,0))</f>
        <v>0</v>
      </c>
      <c r="S484">
        <f>INDEX(KidGPAs,MATCH(B484,KidIDs,0))</f>
        <v>0</v>
      </c>
      <c r="T484">
        <f>INDEX(KidSATs,MATCH(B484,KidIDs,0))</f>
        <v>0</v>
      </c>
      <c r="U484">
        <f>INDEX(Strats,MATCH(B484,KidIDs,0))</f>
        <v>0</v>
      </c>
      <c r="V484">
        <f>INDEX(KidRace,MATCH(B484,KidIDs,0))</f>
        <v>0</v>
      </c>
      <c r="W484">
        <f>IF(OR(V484="M",V484="I"),"H",IF(V484="P","A",V484))</f>
        <v>0</v>
      </c>
      <c r="X484">
        <f>INDEX(StudentTargets,MATCH(B484,KidIDs,0))</f>
        <v>0</v>
      </c>
      <c r="Y484">
        <f>INDEX(ReachStudentTargets,MATCH(B484,KidIDs,0))</f>
        <v>0</v>
      </c>
      <c r="Z484">
        <f>IF(OR(M484="Posse"),1,0)</f>
        <v>0</v>
      </c>
      <c r="AA484">
        <f>IF(ISNUMBER(INDEX(AllCollegeGR, MATCH(N484,AllCollegeNCES,0))),ROUND(INDEX(AllCollegeGR, MATCH(N484,AllCollegeNCES,0))+Z484*IF(INDEX(AllCollegeGR, MATCH(N484,AllCollegeNCES,0))&gt;0.7,(1-INDEX(AllCollegeGR, MATCH(N484,AllCollegeNCES,0)))/2,0.15),2),INDEX(AllCollegeGR, MATCH(N484,AllCollegeNCES,0)))</f>
        <v>0</v>
      </c>
      <c r="AB484">
        <f>IF(ISNUMBER(INDEX(AllCollegeAAHGR, MATCH(N484,AllCollegeNCES,0))),ROUND(INDEX(AllCollegeAAHGR, MATCH(N484,AllCollegeNCES,0))+Z484*IF(INDEX(AllCollegeAAHGR, MATCH(N484,AllCollegeNCES,0))&gt;0.7,(1-INDEX(AllCollegeAAHGR, MATCH(N484,AllCollegeNCES,0)))/2,0.15),2),INDEX(AllCollegeAAHGR, MATCH(N484,AllCollegeNCES,0)))</f>
        <v>0</v>
      </c>
      <c r="AC484">
        <f>IF(OR(W484="H",W484="B"),INDEX(AllCollegeSAT25, MATCH(N484,AllCollegeNCES,0)),INDEX(AllCollegeSAT50, MATCH(N484,AllCollegeNCES,0)))</f>
        <v>0</v>
      </c>
      <c r="AD484">
        <f>INDEX(CustomWeightsGPA,MATCH(W484&amp;":"&amp;N484,CustomWeightsIndex,0))</f>
        <v>0</v>
      </c>
      <c r="AE484">
        <f>INDEX(CustomWeightsSAT,MATCH(W484&amp;":"&amp;N484,CustomWeightsIndex,0))</f>
        <v>0</v>
      </c>
      <c r="AF484">
        <f>INDEX(CustomWeightsIntercept,MATCH(W484&amp;":"&amp;N484,CustomWeightsIndex,0))</f>
        <v>0</v>
      </c>
      <c r="AG484">
        <f>AD484*S484+AE484*T484+AF484</f>
        <v>0</v>
      </c>
      <c r="AH484">
        <f>INDEX(CoefficientsGPA,MATCH(W484&amp;":"&amp;R484,CoefficientsIndex,0))</f>
        <v>0</v>
      </c>
      <c r="AI484">
        <f>INDEX(CoefficientsSAT,MATCH(W484&amp;":"&amp;R484,CoefficientsIndex,0))</f>
        <v>0</v>
      </c>
      <c r="AJ484">
        <f>INDEX(CoefficientsIntercept,MATCH(W484&amp;":"&amp;R484,CoefficientsIndex,0))</f>
        <v>0</v>
      </c>
      <c r="AK484">
        <f>AH484*S484+(T484-AC484)*AI484+AJ484</f>
        <v>0</v>
      </c>
      <c r="AL484">
        <f>IF(ISNUMBER(AG484),AG484,AK484)</f>
        <v>0</v>
      </c>
      <c r="AM484">
        <f>IF(ISNUMBER(AL484),IF(ISNUMBER(AH484),IF(AND(AH484=1,AI484=1,AJ484=1),100,MIN(99,ROUND(100*EXP(AL484)/(1+EXP(AL484)),2))),MIN(99,ROUND(100*EXP(AL484)/(1+EXP(AL484)),2))),IF(ISTEXT(R484),IF(LEFT(R484,1)="2",100,"N/A"),"N/A"))</f>
        <v>0</v>
      </c>
      <c r="AN484">
        <f>IF(ISNUMBER(AM484),IF(AM484&gt;=99,IF(OR(U484=10,U484=11),MatchLabel,SureThingLabel),IF(AM484&gt;=95,SecureLabel,IF(AM484&gt;=80,SafetyLabel,IF(AM484&gt;=50,MatchLabel,IF(AM484&gt;=20,ReachLabel,IF(AM484&gt;=10,LongshotLabel,HailMaryLabel)))))),"Other")</f>
        <v>0</v>
      </c>
      <c r="AO484">
        <f>IF(OR(I484="accepted",I484="cond. accept",I484="summer admit"),IF(J484="yes","CHOICE!","Accepted!"),IF(I484="guar. transfer","Guar. Xfer",IF(I484="denied","Denied",IF(K484=1,"Waitlist",IF(L484=1,"Deferred",IF(G484="pending","Pending",IF(OR(G484="initial materials submitted",G484="mid-year submitted",G484="final submitted"),"Submitted",IF(H484="interest","Interest","?"))))))))</f>
        <v>0</v>
      </c>
      <c r="AP484">
        <f>IF(OR(AN484=ReachLabel,AN484=LongshotLabel,AN484=HailMaryLabel),1,0)</f>
        <v>0</v>
      </c>
      <c r="AQ484">
        <f>IF(OR(AP484=1,AN484=MatchLabel),1,0)</f>
        <v>0</v>
      </c>
      <c r="AR484">
        <f>IF(OR(AN484=MatchLabel,AN484=SafetyLabel,AN484=SecureLabel,AN484=SureThingLabel),1,0)</f>
        <v>0</v>
      </c>
      <c r="AS484">
        <f>IF(OR(W484="H",W484="B",W484="I",W484="M"),IF(ISNUMBER(AB484),ROUND(AB484,2),0),IF(ISNUMBER(AA484),ROUND(AA484,2),0))</f>
        <v>0</v>
      </c>
      <c r="AT484">
        <f>IF(AS484&gt;=X484,1,0)</f>
        <v>0</v>
      </c>
      <c r="AU484">
        <f>IF(AS484&gt;=Y484,1,0)</f>
        <v>0</v>
      </c>
      <c r="AV484">
        <f>IF(AS484&lt;(X484-0.10),1,0)</f>
        <v>0</v>
      </c>
      <c r="AW484">
        <f>1-AM484/100</f>
        <v>0</v>
      </c>
      <c r="AX484">
        <f>IF(AQ484=1,AW484,1)</f>
        <v>0</v>
      </c>
      <c r="AY484">
        <f>IF(AP484=1,AW484,1)</f>
        <v>0</v>
      </c>
      <c r="AZ484">
        <f>IF(AND(AT484=1,ISNUMBER(AW484)),$AW484,1)</f>
        <v>0</v>
      </c>
      <c r="BA484">
        <f>IF(AND(AU484=1,ISNUMBER(AW484)),$AW484,1)</f>
        <v>0</v>
      </c>
      <c r="BB484">
        <f>IF(ISNUMBER(AB484),INDEX(AllCollegeMoney, MATCH(N484,AllCollegeNCES,0)),0)</f>
        <v>0</v>
      </c>
      <c r="BC484">
        <f>IF(AND(AT484=1,ISNUMBER(AW484),BB484=1),$AW484,1)</f>
        <v>0</v>
      </c>
      <c r="BD484">
        <f>IF(AND(AU484=1,ISNUMBER(AW484),BB484=1),$AW484,1)</f>
        <v>0</v>
      </c>
      <c r="BE484">
        <f>IF(ISNUMBER(AB484),INDEX(AllCollegeILPub, MATCH(N484,AllCollegeNCES,0)),0)</f>
        <v>0</v>
      </c>
      <c r="BF484">
        <f>IF(AN484=ReachLabel,AS484,0)</f>
        <v>0</v>
      </c>
      <c r="BG484">
        <f>IF(AN484=MatchLabel,AS484,0)</f>
        <v>0</v>
      </c>
      <c r="BH484">
        <f>IF(AN484=SafetyLabel,AS484,0)</f>
        <v>0</v>
      </c>
      <c r="BI484">
        <f>IF(AN484=SecureLabel,AS484,0)</f>
        <v>0</v>
      </c>
      <c r="BJ484">
        <f>IF(AN484=SureThingLabel,AS484,0)</f>
        <v>0</v>
      </c>
      <c r="BK484">
        <f>MAX(BF484:BJ484)</f>
        <v>0</v>
      </c>
      <c r="BL484">
        <f>MAX(BG484:BJ484)</f>
        <v>0</v>
      </c>
      <c r="BM484">
        <f>MAX(BH484:BJ484)</f>
        <v>0</v>
      </c>
      <c r="BN484">
        <f>IF(AND(AN484=ReachLabel,BB484=1),AS484,0)</f>
        <v>0</v>
      </c>
      <c r="BO484">
        <f>IF(AND(AN484=MatchLabel,BB484=1),AS484,0)</f>
        <v>0</v>
      </c>
      <c r="BP484">
        <f>IF(AND(AN484=SafetyLabel,BB484=1),AS484,0)</f>
        <v>0</v>
      </c>
      <c r="BQ484">
        <f>IF(AND(AN484=SecureLabel,BB484=1),AS484,0)</f>
        <v>0</v>
      </c>
      <c r="BR484">
        <f>IF(AND(AN484=SureThingLabel,BB484=1),AS484,0)</f>
        <v>0</v>
      </c>
      <c r="BS484">
        <f>MAX(BN484:BR484)</f>
        <v>0</v>
      </c>
      <c r="BT484">
        <f>MAX(BO484:BR484)</f>
        <v>0</v>
      </c>
      <c r="BU484">
        <f>MAX(BP484:BR484)</f>
        <v>0</v>
      </c>
      <c r="BV484">
        <f>IF(ISNUMBER(AB484),INDEX(AllCollegeChicago, MATCH(N484,AllCollegeNCES,0))*BB484,0)</f>
        <v>0</v>
      </c>
      <c r="BW484">
        <f>IF(ISNUMBER(AB484),INDEX(AllCollegeMoneyCode, MATCH(N484,AllCollegeNCES,0)),"?")</f>
        <v>0</v>
      </c>
      <c r="BX484">
        <f>IF(OR(BW484="---",BW484="--",BW484="+/--",BW484="+/---"),1,0)</f>
        <v>0</v>
      </c>
      <c r="BY484">
        <f>BB484*AR484*AT484</f>
        <v>0</v>
      </c>
    </row>
    <row r="485" spans="1:77">
      <c r="A485" t="s">
        <v>96</v>
      </c>
      <c r="B485">
        <v>23461683</v>
      </c>
      <c r="C485" t="s">
        <v>303</v>
      </c>
      <c r="D485" t="s">
        <v>304</v>
      </c>
      <c r="E485" t="s">
        <v>446</v>
      </c>
      <c r="F485" t="s">
        <v>477</v>
      </c>
      <c r="G485" t="s">
        <v>448</v>
      </c>
      <c r="H485" t="s">
        <v>449</v>
      </c>
      <c r="I485" t="s">
        <v>450</v>
      </c>
      <c r="J485" t="s">
        <v>450</v>
      </c>
      <c r="K485">
        <v>0</v>
      </c>
      <c r="L485" t="s">
        <v>446</v>
      </c>
      <c r="M485" t="s">
        <v>446</v>
      </c>
      <c r="N485">
        <v>146427</v>
      </c>
      <c r="O485">
        <f>INDEX(Counselor,MATCH(B485,KidIDs,0))</f>
        <v>0</v>
      </c>
      <c r="P485">
        <f>INDEX(Advisors,MATCH(B485,KidIDs,0))</f>
        <v>0</v>
      </c>
      <c r="Q485">
        <f>INDEX(Cohort,MATCH(B485,KidIDs,0))</f>
        <v>0</v>
      </c>
      <c r="R485">
        <f>INDEX(AllCollegeBarrons,MATCH(N485,AllCollegeNCES,0))</f>
        <v>0</v>
      </c>
      <c r="S485">
        <f>INDEX(KidGPAs,MATCH(B485,KidIDs,0))</f>
        <v>0</v>
      </c>
      <c r="T485">
        <f>INDEX(KidSATs,MATCH(B485,KidIDs,0))</f>
        <v>0</v>
      </c>
      <c r="U485">
        <f>INDEX(Strats,MATCH(B485,KidIDs,0))</f>
        <v>0</v>
      </c>
      <c r="V485">
        <f>INDEX(KidRace,MATCH(B485,KidIDs,0))</f>
        <v>0</v>
      </c>
      <c r="W485">
        <f>IF(OR(V485="M",V485="I"),"H",IF(V485="P","A",V485))</f>
        <v>0</v>
      </c>
      <c r="X485">
        <f>INDEX(StudentTargets,MATCH(B485,KidIDs,0))</f>
        <v>0</v>
      </c>
      <c r="Y485">
        <f>INDEX(ReachStudentTargets,MATCH(B485,KidIDs,0))</f>
        <v>0</v>
      </c>
      <c r="Z485">
        <f>IF(OR(M485="Posse"),1,0)</f>
        <v>0</v>
      </c>
      <c r="AA485">
        <f>IF(ISNUMBER(INDEX(AllCollegeGR, MATCH(N485,AllCollegeNCES,0))),ROUND(INDEX(AllCollegeGR, MATCH(N485,AllCollegeNCES,0))+Z485*IF(INDEX(AllCollegeGR, MATCH(N485,AllCollegeNCES,0))&gt;0.7,(1-INDEX(AllCollegeGR, MATCH(N485,AllCollegeNCES,0)))/2,0.15),2),INDEX(AllCollegeGR, MATCH(N485,AllCollegeNCES,0)))</f>
        <v>0</v>
      </c>
      <c r="AB485">
        <f>IF(ISNUMBER(INDEX(AllCollegeAAHGR, MATCH(N485,AllCollegeNCES,0))),ROUND(INDEX(AllCollegeAAHGR, MATCH(N485,AllCollegeNCES,0))+Z485*IF(INDEX(AllCollegeAAHGR, MATCH(N485,AllCollegeNCES,0))&gt;0.7,(1-INDEX(AllCollegeAAHGR, MATCH(N485,AllCollegeNCES,0)))/2,0.15),2),INDEX(AllCollegeAAHGR, MATCH(N485,AllCollegeNCES,0)))</f>
        <v>0</v>
      </c>
      <c r="AC485">
        <f>IF(OR(W485="H",W485="B"),INDEX(AllCollegeSAT25, MATCH(N485,AllCollegeNCES,0)),INDEX(AllCollegeSAT50, MATCH(N485,AllCollegeNCES,0)))</f>
        <v>0</v>
      </c>
      <c r="AD485">
        <f>INDEX(CustomWeightsGPA,MATCH(W485&amp;":"&amp;N485,CustomWeightsIndex,0))</f>
        <v>0</v>
      </c>
      <c r="AE485">
        <f>INDEX(CustomWeightsSAT,MATCH(W485&amp;":"&amp;N485,CustomWeightsIndex,0))</f>
        <v>0</v>
      </c>
      <c r="AF485">
        <f>INDEX(CustomWeightsIntercept,MATCH(W485&amp;":"&amp;N485,CustomWeightsIndex,0))</f>
        <v>0</v>
      </c>
      <c r="AG485">
        <f>AD485*S485+AE485*T485+AF485</f>
        <v>0</v>
      </c>
      <c r="AH485">
        <f>INDEX(CoefficientsGPA,MATCH(W485&amp;":"&amp;R485,CoefficientsIndex,0))</f>
        <v>0</v>
      </c>
      <c r="AI485">
        <f>INDEX(CoefficientsSAT,MATCH(W485&amp;":"&amp;R485,CoefficientsIndex,0))</f>
        <v>0</v>
      </c>
      <c r="AJ485">
        <f>INDEX(CoefficientsIntercept,MATCH(W485&amp;":"&amp;R485,CoefficientsIndex,0))</f>
        <v>0</v>
      </c>
      <c r="AK485">
        <f>AH485*S485+(T485-AC485)*AI485+AJ485</f>
        <v>0</v>
      </c>
      <c r="AL485">
        <f>IF(ISNUMBER(AG485),AG485,AK485)</f>
        <v>0</v>
      </c>
      <c r="AM485">
        <f>IF(ISNUMBER(AL485),IF(ISNUMBER(AH485),IF(AND(AH485=1,AI485=1,AJ485=1),100,MIN(99,ROUND(100*EXP(AL485)/(1+EXP(AL485)),2))),MIN(99,ROUND(100*EXP(AL485)/(1+EXP(AL485)),2))),IF(ISTEXT(R485),IF(LEFT(R485,1)="2",100,"N/A"),"N/A"))</f>
        <v>0</v>
      </c>
      <c r="AN485">
        <f>IF(ISNUMBER(AM485),IF(AM485&gt;=99,IF(OR(U485=10,U485=11),MatchLabel,SureThingLabel),IF(AM485&gt;=95,SecureLabel,IF(AM485&gt;=80,SafetyLabel,IF(AM485&gt;=50,MatchLabel,IF(AM485&gt;=20,ReachLabel,IF(AM485&gt;=10,LongshotLabel,HailMaryLabel)))))),"Other")</f>
        <v>0</v>
      </c>
      <c r="AO485">
        <f>IF(OR(I485="accepted",I485="cond. accept",I485="summer admit"),IF(J485="yes","CHOICE!","Accepted!"),IF(I485="guar. transfer","Guar. Xfer",IF(I485="denied","Denied",IF(K485=1,"Waitlist",IF(L485=1,"Deferred",IF(G485="pending","Pending",IF(OR(G485="initial materials submitted",G485="mid-year submitted",G485="final submitted"),"Submitted",IF(H485="interest","Interest","?"))))))))</f>
        <v>0</v>
      </c>
      <c r="AP485">
        <f>IF(OR(AN485=ReachLabel,AN485=LongshotLabel,AN485=HailMaryLabel),1,0)</f>
        <v>0</v>
      </c>
      <c r="AQ485">
        <f>IF(OR(AP485=1,AN485=MatchLabel),1,0)</f>
        <v>0</v>
      </c>
      <c r="AR485">
        <f>IF(OR(AN485=MatchLabel,AN485=SafetyLabel,AN485=SecureLabel,AN485=SureThingLabel),1,0)</f>
        <v>0</v>
      </c>
      <c r="AS485">
        <f>IF(OR(W485="H",W485="B",W485="I",W485="M"),IF(ISNUMBER(AB485),ROUND(AB485,2),0),IF(ISNUMBER(AA485),ROUND(AA485,2),0))</f>
        <v>0</v>
      </c>
      <c r="AT485">
        <f>IF(AS485&gt;=X485,1,0)</f>
        <v>0</v>
      </c>
      <c r="AU485">
        <f>IF(AS485&gt;=Y485,1,0)</f>
        <v>0</v>
      </c>
      <c r="AV485">
        <f>IF(AS485&lt;(X485-0.10),1,0)</f>
        <v>0</v>
      </c>
      <c r="AW485">
        <f>1-AM485/100</f>
        <v>0</v>
      </c>
      <c r="AX485">
        <f>IF(AQ485=1,AW485,1)</f>
        <v>0</v>
      </c>
      <c r="AY485">
        <f>IF(AP485=1,AW485,1)</f>
        <v>0</v>
      </c>
      <c r="AZ485">
        <f>IF(AND(AT485=1,ISNUMBER(AW485)),$AW485,1)</f>
        <v>0</v>
      </c>
      <c r="BA485">
        <f>IF(AND(AU485=1,ISNUMBER(AW485)),$AW485,1)</f>
        <v>0</v>
      </c>
      <c r="BB485">
        <f>IF(ISNUMBER(AB485),INDEX(AllCollegeMoney, MATCH(N485,AllCollegeNCES,0)),0)</f>
        <v>0</v>
      </c>
      <c r="BC485">
        <f>IF(AND(AT485=1,ISNUMBER(AW485),BB485=1),$AW485,1)</f>
        <v>0</v>
      </c>
      <c r="BD485">
        <f>IF(AND(AU485=1,ISNUMBER(AW485),BB485=1),$AW485,1)</f>
        <v>0</v>
      </c>
      <c r="BE485">
        <f>IF(ISNUMBER(AB485),INDEX(AllCollegeILPub, MATCH(N485,AllCollegeNCES,0)),0)</f>
        <v>0</v>
      </c>
      <c r="BF485">
        <f>IF(AN485=ReachLabel,AS485,0)</f>
        <v>0</v>
      </c>
      <c r="BG485">
        <f>IF(AN485=MatchLabel,AS485,0)</f>
        <v>0</v>
      </c>
      <c r="BH485">
        <f>IF(AN485=SafetyLabel,AS485,0)</f>
        <v>0</v>
      </c>
      <c r="BI485">
        <f>IF(AN485=SecureLabel,AS485,0)</f>
        <v>0</v>
      </c>
      <c r="BJ485">
        <f>IF(AN485=SureThingLabel,AS485,0)</f>
        <v>0</v>
      </c>
      <c r="BK485">
        <f>MAX(BF485:BJ485)</f>
        <v>0</v>
      </c>
      <c r="BL485">
        <f>MAX(BG485:BJ485)</f>
        <v>0</v>
      </c>
      <c r="BM485">
        <f>MAX(BH485:BJ485)</f>
        <v>0</v>
      </c>
      <c r="BN485">
        <f>IF(AND(AN485=ReachLabel,BB485=1),AS485,0)</f>
        <v>0</v>
      </c>
      <c r="BO485">
        <f>IF(AND(AN485=MatchLabel,BB485=1),AS485,0)</f>
        <v>0</v>
      </c>
      <c r="BP485">
        <f>IF(AND(AN485=SafetyLabel,BB485=1),AS485,0)</f>
        <v>0</v>
      </c>
      <c r="BQ485">
        <f>IF(AND(AN485=SecureLabel,BB485=1),AS485,0)</f>
        <v>0</v>
      </c>
      <c r="BR485">
        <f>IF(AND(AN485=SureThingLabel,BB485=1),AS485,0)</f>
        <v>0</v>
      </c>
      <c r="BS485">
        <f>MAX(BN485:BR485)</f>
        <v>0</v>
      </c>
      <c r="BT485">
        <f>MAX(BO485:BR485)</f>
        <v>0</v>
      </c>
      <c r="BU485">
        <f>MAX(BP485:BR485)</f>
        <v>0</v>
      </c>
      <c r="BV485">
        <f>IF(ISNUMBER(AB485),INDEX(AllCollegeChicago, MATCH(N485,AllCollegeNCES,0))*BB485,0)</f>
        <v>0</v>
      </c>
      <c r="BW485">
        <f>IF(ISNUMBER(AB485),INDEX(AllCollegeMoneyCode, MATCH(N485,AllCollegeNCES,0)),"?")</f>
        <v>0</v>
      </c>
      <c r="BX485">
        <f>IF(OR(BW485="---",BW485="--",BW485="+/--",BW485="+/---"),1,0)</f>
        <v>0</v>
      </c>
      <c r="BY485">
        <f>BB485*AR485*AT485</f>
        <v>0</v>
      </c>
    </row>
    <row r="486" spans="1:77">
      <c r="A486" t="s">
        <v>96</v>
      </c>
      <c r="B486">
        <v>23461683</v>
      </c>
      <c r="C486" t="s">
        <v>303</v>
      </c>
      <c r="D486" t="s">
        <v>304</v>
      </c>
      <c r="E486" t="s">
        <v>446</v>
      </c>
      <c r="F486" t="s">
        <v>488</v>
      </c>
      <c r="G486" t="s">
        <v>448</v>
      </c>
      <c r="H486" t="s">
        <v>449</v>
      </c>
      <c r="I486" t="s">
        <v>450</v>
      </c>
      <c r="J486" t="s">
        <v>450</v>
      </c>
      <c r="K486">
        <v>0</v>
      </c>
      <c r="L486" t="s">
        <v>446</v>
      </c>
      <c r="M486" t="s">
        <v>446</v>
      </c>
      <c r="N486">
        <v>202480</v>
      </c>
      <c r="O486">
        <f>INDEX(Counselor,MATCH(B486,KidIDs,0))</f>
        <v>0</v>
      </c>
      <c r="P486">
        <f>INDEX(Advisors,MATCH(B486,KidIDs,0))</f>
        <v>0</v>
      </c>
      <c r="Q486">
        <f>INDEX(Cohort,MATCH(B486,KidIDs,0))</f>
        <v>0</v>
      </c>
      <c r="R486">
        <f>INDEX(AllCollegeBarrons,MATCH(N486,AllCollegeNCES,0))</f>
        <v>0</v>
      </c>
      <c r="S486">
        <f>INDEX(KidGPAs,MATCH(B486,KidIDs,0))</f>
        <v>0</v>
      </c>
      <c r="T486">
        <f>INDEX(KidSATs,MATCH(B486,KidIDs,0))</f>
        <v>0</v>
      </c>
      <c r="U486">
        <f>INDEX(Strats,MATCH(B486,KidIDs,0))</f>
        <v>0</v>
      </c>
      <c r="V486">
        <f>INDEX(KidRace,MATCH(B486,KidIDs,0))</f>
        <v>0</v>
      </c>
      <c r="W486">
        <f>IF(OR(V486="M",V486="I"),"H",IF(V486="P","A",V486))</f>
        <v>0</v>
      </c>
      <c r="X486">
        <f>INDEX(StudentTargets,MATCH(B486,KidIDs,0))</f>
        <v>0</v>
      </c>
      <c r="Y486">
        <f>INDEX(ReachStudentTargets,MATCH(B486,KidIDs,0))</f>
        <v>0</v>
      </c>
      <c r="Z486">
        <f>IF(OR(M486="Posse"),1,0)</f>
        <v>0</v>
      </c>
      <c r="AA486">
        <f>IF(ISNUMBER(INDEX(AllCollegeGR, MATCH(N486,AllCollegeNCES,0))),ROUND(INDEX(AllCollegeGR, MATCH(N486,AllCollegeNCES,0))+Z486*IF(INDEX(AllCollegeGR, MATCH(N486,AllCollegeNCES,0))&gt;0.7,(1-INDEX(AllCollegeGR, MATCH(N486,AllCollegeNCES,0)))/2,0.15),2),INDEX(AllCollegeGR, MATCH(N486,AllCollegeNCES,0)))</f>
        <v>0</v>
      </c>
      <c r="AB486">
        <f>IF(ISNUMBER(INDEX(AllCollegeAAHGR, MATCH(N486,AllCollegeNCES,0))),ROUND(INDEX(AllCollegeAAHGR, MATCH(N486,AllCollegeNCES,0))+Z486*IF(INDEX(AllCollegeAAHGR, MATCH(N486,AllCollegeNCES,0))&gt;0.7,(1-INDEX(AllCollegeAAHGR, MATCH(N486,AllCollegeNCES,0)))/2,0.15),2),INDEX(AllCollegeAAHGR, MATCH(N486,AllCollegeNCES,0)))</f>
        <v>0</v>
      </c>
      <c r="AC486">
        <f>IF(OR(W486="H",W486="B"),INDEX(AllCollegeSAT25, MATCH(N486,AllCollegeNCES,0)),INDEX(AllCollegeSAT50, MATCH(N486,AllCollegeNCES,0)))</f>
        <v>0</v>
      </c>
      <c r="AD486">
        <f>INDEX(CustomWeightsGPA,MATCH(W486&amp;":"&amp;N486,CustomWeightsIndex,0))</f>
        <v>0</v>
      </c>
      <c r="AE486">
        <f>INDEX(CustomWeightsSAT,MATCH(W486&amp;":"&amp;N486,CustomWeightsIndex,0))</f>
        <v>0</v>
      </c>
      <c r="AF486">
        <f>INDEX(CustomWeightsIntercept,MATCH(W486&amp;":"&amp;N486,CustomWeightsIndex,0))</f>
        <v>0</v>
      </c>
      <c r="AG486">
        <f>AD486*S486+AE486*T486+AF486</f>
        <v>0</v>
      </c>
      <c r="AH486">
        <f>INDEX(CoefficientsGPA,MATCH(W486&amp;":"&amp;R486,CoefficientsIndex,0))</f>
        <v>0</v>
      </c>
      <c r="AI486">
        <f>INDEX(CoefficientsSAT,MATCH(W486&amp;":"&amp;R486,CoefficientsIndex,0))</f>
        <v>0</v>
      </c>
      <c r="AJ486">
        <f>INDEX(CoefficientsIntercept,MATCH(W486&amp;":"&amp;R486,CoefficientsIndex,0))</f>
        <v>0</v>
      </c>
      <c r="AK486">
        <f>AH486*S486+(T486-AC486)*AI486+AJ486</f>
        <v>0</v>
      </c>
      <c r="AL486">
        <f>IF(ISNUMBER(AG486),AG486,AK486)</f>
        <v>0</v>
      </c>
      <c r="AM486">
        <f>IF(ISNUMBER(AL486),IF(ISNUMBER(AH486),IF(AND(AH486=1,AI486=1,AJ486=1),100,MIN(99,ROUND(100*EXP(AL486)/(1+EXP(AL486)),2))),MIN(99,ROUND(100*EXP(AL486)/(1+EXP(AL486)),2))),IF(ISTEXT(R486),IF(LEFT(R486,1)="2",100,"N/A"),"N/A"))</f>
        <v>0</v>
      </c>
      <c r="AN486">
        <f>IF(ISNUMBER(AM486),IF(AM486&gt;=99,IF(OR(U486=10,U486=11),MatchLabel,SureThingLabel),IF(AM486&gt;=95,SecureLabel,IF(AM486&gt;=80,SafetyLabel,IF(AM486&gt;=50,MatchLabel,IF(AM486&gt;=20,ReachLabel,IF(AM486&gt;=10,LongshotLabel,HailMaryLabel)))))),"Other")</f>
        <v>0</v>
      </c>
      <c r="AO486">
        <f>IF(OR(I486="accepted",I486="cond. accept",I486="summer admit"),IF(J486="yes","CHOICE!","Accepted!"),IF(I486="guar. transfer","Guar. Xfer",IF(I486="denied","Denied",IF(K486=1,"Waitlist",IF(L486=1,"Deferred",IF(G486="pending","Pending",IF(OR(G486="initial materials submitted",G486="mid-year submitted",G486="final submitted"),"Submitted",IF(H486="interest","Interest","?"))))))))</f>
        <v>0</v>
      </c>
      <c r="AP486">
        <f>IF(OR(AN486=ReachLabel,AN486=LongshotLabel,AN486=HailMaryLabel),1,0)</f>
        <v>0</v>
      </c>
      <c r="AQ486">
        <f>IF(OR(AP486=1,AN486=MatchLabel),1,0)</f>
        <v>0</v>
      </c>
      <c r="AR486">
        <f>IF(OR(AN486=MatchLabel,AN486=SafetyLabel,AN486=SecureLabel,AN486=SureThingLabel),1,0)</f>
        <v>0</v>
      </c>
      <c r="AS486">
        <f>IF(OR(W486="H",W486="B",W486="I",W486="M"),IF(ISNUMBER(AB486),ROUND(AB486,2),0),IF(ISNUMBER(AA486),ROUND(AA486,2),0))</f>
        <v>0</v>
      </c>
      <c r="AT486">
        <f>IF(AS486&gt;=X486,1,0)</f>
        <v>0</v>
      </c>
      <c r="AU486">
        <f>IF(AS486&gt;=Y486,1,0)</f>
        <v>0</v>
      </c>
      <c r="AV486">
        <f>IF(AS486&lt;(X486-0.10),1,0)</f>
        <v>0</v>
      </c>
      <c r="AW486">
        <f>1-AM486/100</f>
        <v>0</v>
      </c>
      <c r="AX486">
        <f>IF(AQ486=1,AW486,1)</f>
        <v>0</v>
      </c>
      <c r="AY486">
        <f>IF(AP486=1,AW486,1)</f>
        <v>0</v>
      </c>
      <c r="AZ486">
        <f>IF(AND(AT486=1,ISNUMBER(AW486)),$AW486,1)</f>
        <v>0</v>
      </c>
      <c r="BA486">
        <f>IF(AND(AU486=1,ISNUMBER(AW486)),$AW486,1)</f>
        <v>0</v>
      </c>
      <c r="BB486">
        <f>IF(ISNUMBER(AB486),INDEX(AllCollegeMoney, MATCH(N486,AllCollegeNCES,0)),0)</f>
        <v>0</v>
      </c>
      <c r="BC486">
        <f>IF(AND(AT486=1,ISNUMBER(AW486),BB486=1),$AW486,1)</f>
        <v>0</v>
      </c>
      <c r="BD486">
        <f>IF(AND(AU486=1,ISNUMBER(AW486),BB486=1),$AW486,1)</f>
        <v>0</v>
      </c>
      <c r="BE486">
        <f>IF(ISNUMBER(AB486),INDEX(AllCollegeILPub, MATCH(N486,AllCollegeNCES,0)),0)</f>
        <v>0</v>
      </c>
      <c r="BF486">
        <f>IF(AN486=ReachLabel,AS486,0)</f>
        <v>0</v>
      </c>
      <c r="BG486">
        <f>IF(AN486=MatchLabel,AS486,0)</f>
        <v>0</v>
      </c>
      <c r="BH486">
        <f>IF(AN486=SafetyLabel,AS486,0)</f>
        <v>0</v>
      </c>
      <c r="BI486">
        <f>IF(AN486=SecureLabel,AS486,0)</f>
        <v>0</v>
      </c>
      <c r="BJ486">
        <f>IF(AN486=SureThingLabel,AS486,0)</f>
        <v>0</v>
      </c>
      <c r="BK486">
        <f>MAX(BF486:BJ486)</f>
        <v>0</v>
      </c>
      <c r="BL486">
        <f>MAX(BG486:BJ486)</f>
        <v>0</v>
      </c>
      <c r="BM486">
        <f>MAX(BH486:BJ486)</f>
        <v>0</v>
      </c>
      <c r="BN486">
        <f>IF(AND(AN486=ReachLabel,BB486=1),AS486,0)</f>
        <v>0</v>
      </c>
      <c r="BO486">
        <f>IF(AND(AN486=MatchLabel,BB486=1),AS486,0)</f>
        <v>0</v>
      </c>
      <c r="BP486">
        <f>IF(AND(AN486=SafetyLabel,BB486=1),AS486,0)</f>
        <v>0</v>
      </c>
      <c r="BQ486">
        <f>IF(AND(AN486=SecureLabel,BB486=1),AS486,0)</f>
        <v>0</v>
      </c>
      <c r="BR486">
        <f>IF(AND(AN486=SureThingLabel,BB486=1),AS486,0)</f>
        <v>0</v>
      </c>
      <c r="BS486">
        <f>MAX(BN486:BR486)</f>
        <v>0</v>
      </c>
      <c r="BT486">
        <f>MAX(BO486:BR486)</f>
        <v>0</v>
      </c>
      <c r="BU486">
        <f>MAX(BP486:BR486)</f>
        <v>0</v>
      </c>
      <c r="BV486">
        <f>IF(ISNUMBER(AB486),INDEX(AllCollegeChicago, MATCH(N486,AllCollegeNCES,0))*BB486,0)</f>
        <v>0</v>
      </c>
      <c r="BW486">
        <f>IF(ISNUMBER(AB486),INDEX(AllCollegeMoneyCode, MATCH(N486,AllCollegeNCES,0)),"?")</f>
        <v>0</v>
      </c>
      <c r="BX486">
        <f>IF(OR(BW486="---",BW486="--",BW486="+/--",BW486="+/---"),1,0)</f>
        <v>0</v>
      </c>
      <c r="BY486">
        <f>BB486*AR486*AT486</f>
        <v>0</v>
      </c>
    </row>
    <row r="487" spans="1:77">
      <c r="A487" t="s">
        <v>96</v>
      </c>
      <c r="B487">
        <v>23461683</v>
      </c>
      <c r="C487" t="s">
        <v>303</v>
      </c>
      <c r="D487" t="s">
        <v>304</v>
      </c>
      <c r="E487" t="s">
        <v>446</v>
      </c>
      <c r="F487" t="s">
        <v>478</v>
      </c>
      <c r="G487" t="s">
        <v>448</v>
      </c>
      <c r="H487" t="s">
        <v>449</v>
      </c>
      <c r="I487" t="s">
        <v>450</v>
      </c>
      <c r="J487" t="s">
        <v>450</v>
      </c>
      <c r="K487">
        <v>0</v>
      </c>
      <c r="L487" t="s">
        <v>446</v>
      </c>
      <c r="M487" t="s">
        <v>446</v>
      </c>
      <c r="N487">
        <v>168546</v>
      </c>
      <c r="O487">
        <f>INDEX(Counselor,MATCH(B487,KidIDs,0))</f>
        <v>0</v>
      </c>
      <c r="P487">
        <f>INDEX(Advisors,MATCH(B487,KidIDs,0))</f>
        <v>0</v>
      </c>
      <c r="Q487">
        <f>INDEX(Cohort,MATCH(B487,KidIDs,0))</f>
        <v>0</v>
      </c>
      <c r="R487">
        <f>INDEX(AllCollegeBarrons,MATCH(N487,AllCollegeNCES,0))</f>
        <v>0</v>
      </c>
      <c r="S487">
        <f>INDEX(KidGPAs,MATCH(B487,KidIDs,0))</f>
        <v>0</v>
      </c>
      <c r="T487">
        <f>INDEX(KidSATs,MATCH(B487,KidIDs,0))</f>
        <v>0</v>
      </c>
      <c r="U487">
        <f>INDEX(Strats,MATCH(B487,KidIDs,0))</f>
        <v>0</v>
      </c>
      <c r="V487">
        <f>INDEX(KidRace,MATCH(B487,KidIDs,0))</f>
        <v>0</v>
      </c>
      <c r="W487">
        <f>IF(OR(V487="M",V487="I"),"H",IF(V487="P","A",V487))</f>
        <v>0</v>
      </c>
      <c r="X487">
        <f>INDEX(StudentTargets,MATCH(B487,KidIDs,0))</f>
        <v>0</v>
      </c>
      <c r="Y487">
        <f>INDEX(ReachStudentTargets,MATCH(B487,KidIDs,0))</f>
        <v>0</v>
      </c>
      <c r="Z487">
        <f>IF(OR(M487="Posse"),1,0)</f>
        <v>0</v>
      </c>
      <c r="AA487">
        <f>IF(ISNUMBER(INDEX(AllCollegeGR, MATCH(N487,AllCollegeNCES,0))),ROUND(INDEX(AllCollegeGR, MATCH(N487,AllCollegeNCES,0))+Z487*IF(INDEX(AllCollegeGR, MATCH(N487,AllCollegeNCES,0))&gt;0.7,(1-INDEX(AllCollegeGR, MATCH(N487,AllCollegeNCES,0)))/2,0.15),2),INDEX(AllCollegeGR, MATCH(N487,AllCollegeNCES,0)))</f>
        <v>0</v>
      </c>
      <c r="AB487">
        <f>IF(ISNUMBER(INDEX(AllCollegeAAHGR, MATCH(N487,AllCollegeNCES,0))),ROUND(INDEX(AllCollegeAAHGR, MATCH(N487,AllCollegeNCES,0))+Z487*IF(INDEX(AllCollegeAAHGR, MATCH(N487,AllCollegeNCES,0))&gt;0.7,(1-INDEX(AllCollegeAAHGR, MATCH(N487,AllCollegeNCES,0)))/2,0.15),2),INDEX(AllCollegeAAHGR, MATCH(N487,AllCollegeNCES,0)))</f>
        <v>0</v>
      </c>
      <c r="AC487">
        <f>IF(OR(W487="H",W487="B"),INDEX(AllCollegeSAT25, MATCH(N487,AllCollegeNCES,0)),INDEX(AllCollegeSAT50, MATCH(N487,AllCollegeNCES,0)))</f>
        <v>0</v>
      </c>
      <c r="AD487">
        <f>INDEX(CustomWeightsGPA,MATCH(W487&amp;":"&amp;N487,CustomWeightsIndex,0))</f>
        <v>0</v>
      </c>
      <c r="AE487">
        <f>INDEX(CustomWeightsSAT,MATCH(W487&amp;":"&amp;N487,CustomWeightsIndex,0))</f>
        <v>0</v>
      </c>
      <c r="AF487">
        <f>INDEX(CustomWeightsIntercept,MATCH(W487&amp;":"&amp;N487,CustomWeightsIndex,0))</f>
        <v>0</v>
      </c>
      <c r="AG487">
        <f>AD487*S487+AE487*T487+AF487</f>
        <v>0</v>
      </c>
      <c r="AH487">
        <f>INDEX(CoefficientsGPA,MATCH(W487&amp;":"&amp;R487,CoefficientsIndex,0))</f>
        <v>0</v>
      </c>
      <c r="AI487">
        <f>INDEX(CoefficientsSAT,MATCH(W487&amp;":"&amp;R487,CoefficientsIndex,0))</f>
        <v>0</v>
      </c>
      <c r="AJ487">
        <f>INDEX(CoefficientsIntercept,MATCH(W487&amp;":"&amp;R487,CoefficientsIndex,0))</f>
        <v>0</v>
      </c>
      <c r="AK487">
        <f>AH487*S487+(T487-AC487)*AI487+AJ487</f>
        <v>0</v>
      </c>
      <c r="AL487">
        <f>IF(ISNUMBER(AG487),AG487,AK487)</f>
        <v>0</v>
      </c>
      <c r="AM487">
        <f>IF(ISNUMBER(AL487),IF(ISNUMBER(AH487),IF(AND(AH487=1,AI487=1,AJ487=1),100,MIN(99,ROUND(100*EXP(AL487)/(1+EXP(AL487)),2))),MIN(99,ROUND(100*EXP(AL487)/(1+EXP(AL487)),2))),IF(ISTEXT(R487),IF(LEFT(R487,1)="2",100,"N/A"),"N/A"))</f>
        <v>0</v>
      </c>
      <c r="AN487">
        <f>IF(ISNUMBER(AM487),IF(AM487&gt;=99,IF(OR(U487=10,U487=11),MatchLabel,SureThingLabel),IF(AM487&gt;=95,SecureLabel,IF(AM487&gt;=80,SafetyLabel,IF(AM487&gt;=50,MatchLabel,IF(AM487&gt;=20,ReachLabel,IF(AM487&gt;=10,LongshotLabel,HailMaryLabel)))))),"Other")</f>
        <v>0</v>
      </c>
      <c r="AO487">
        <f>IF(OR(I487="accepted",I487="cond. accept",I487="summer admit"),IF(J487="yes","CHOICE!","Accepted!"),IF(I487="guar. transfer","Guar. Xfer",IF(I487="denied","Denied",IF(K487=1,"Waitlist",IF(L487=1,"Deferred",IF(G487="pending","Pending",IF(OR(G487="initial materials submitted",G487="mid-year submitted",G487="final submitted"),"Submitted",IF(H487="interest","Interest","?"))))))))</f>
        <v>0</v>
      </c>
      <c r="AP487">
        <f>IF(OR(AN487=ReachLabel,AN487=LongshotLabel,AN487=HailMaryLabel),1,0)</f>
        <v>0</v>
      </c>
      <c r="AQ487">
        <f>IF(OR(AP487=1,AN487=MatchLabel),1,0)</f>
        <v>0</v>
      </c>
      <c r="AR487">
        <f>IF(OR(AN487=MatchLabel,AN487=SafetyLabel,AN487=SecureLabel,AN487=SureThingLabel),1,0)</f>
        <v>0</v>
      </c>
      <c r="AS487">
        <f>IF(OR(W487="H",W487="B",W487="I",W487="M"),IF(ISNUMBER(AB487),ROUND(AB487,2),0),IF(ISNUMBER(AA487),ROUND(AA487,2),0))</f>
        <v>0</v>
      </c>
      <c r="AT487">
        <f>IF(AS487&gt;=X487,1,0)</f>
        <v>0</v>
      </c>
      <c r="AU487">
        <f>IF(AS487&gt;=Y487,1,0)</f>
        <v>0</v>
      </c>
      <c r="AV487">
        <f>IF(AS487&lt;(X487-0.10),1,0)</f>
        <v>0</v>
      </c>
      <c r="AW487">
        <f>1-AM487/100</f>
        <v>0</v>
      </c>
      <c r="AX487">
        <f>IF(AQ487=1,AW487,1)</f>
        <v>0</v>
      </c>
      <c r="AY487">
        <f>IF(AP487=1,AW487,1)</f>
        <v>0</v>
      </c>
      <c r="AZ487">
        <f>IF(AND(AT487=1,ISNUMBER(AW487)),$AW487,1)</f>
        <v>0</v>
      </c>
      <c r="BA487">
        <f>IF(AND(AU487=1,ISNUMBER(AW487)),$AW487,1)</f>
        <v>0</v>
      </c>
      <c r="BB487">
        <f>IF(ISNUMBER(AB487),INDEX(AllCollegeMoney, MATCH(N487,AllCollegeNCES,0)),0)</f>
        <v>0</v>
      </c>
      <c r="BC487">
        <f>IF(AND(AT487=1,ISNUMBER(AW487),BB487=1),$AW487,1)</f>
        <v>0</v>
      </c>
      <c r="BD487">
        <f>IF(AND(AU487=1,ISNUMBER(AW487),BB487=1),$AW487,1)</f>
        <v>0</v>
      </c>
      <c r="BE487">
        <f>IF(ISNUMBER(AB487),INDEX(AllCollegeILPub, MATCH(N487,AllCollegeNCES,0)),0)</f>
        <v>0</v>
      </c>
      <c r="BF487">
        <f>IF(AN487=ReachLabel,AS487,0)</f>
        <v>0</v>
      </c>
      <c r="BG487">
        <f>IF(AN487=MatchLabel,AS487,0)</f>
        <v>0</v>
      </c>
      <c r="BH487">
        <f>IF(AN487=SafetyLabel,AS487,0)</f>
        <v>0</v>
      </c>
      <c r="BI487">
        <f>IF(AN487=SecureLabel,AS487,0)</f>
        <v>0</v>
      </c>
      <c r="BJ487">
        <f>IF(AN487=SureThingLabel,AS487,0)</f>
        <v>0</v>
      </c>
      <c r="BK487">
        <f>MAX(BF487:BJ487)</f>
        <v>0</v>
      </c>
      <c r="BL487">
        <f>MAX(BG487:BJ487)</f>
        <v>0</v>
      </c>
      <c r="BM487">
        <f>MAX(BH487:BJ487)</f>
        <v>0</v>
      </c>
      <c r="BN487">
        <f>IF(AND(AN487=ReachLabel,BB487=1),AS487,0)</f>
        <v>0</v>
      </c>
      <c r="BO487">
        <f>IF(AND(AN487=MatchLabel,BB487=1),AS487,0)</f>
        <v>0</v>
      </c>
      <c r="BP487">
        <f>IF(AND(AN487=SafetyLabel,BB487=1),AS487,0)</f>
        <v>0</v>
      </c>
      <c r="BQ487">
        <f>IF(AND(AN487=SecureLabel,BB487=1),AS487,0)</f>
        <v>0</v>
      </c>
      <c r="BR487">
        <f>IF(AND(AN487=SureThingLabel,BB487=1),AS487,0)</f>
        <v>0</v>
      </c>
      <c r="BS487">
        <f>MAX(BN487:BR487)</f>
        <v>0</v>
      </c>
      <c r="BT487">
        <f>MAX(BO487:BR487)</f>
        <v>0</v>
      </c>
      <c r="BU487">
        <f>MAX(BP487:BR487)</f>
        <v>0</v>
      </c>
      <c r="BV487">
        <f>IF(ISNUMBER(AB487),INDEX(AllCollegeChicago, MATCH(N487,AllCollegeNCES,0))*BB487,0)</f>
        <v>0</v>
      </c>
      <c r="BW487">
        <f>IF(ISNUMBER(AB487),INDEX(AllCollegeMoneyCode, MATCH(N487,AllCollegeNCES,0)),"?")</f>
        <v>0</v>
      </c>
      <c r="BX487">
        <f>IF(OR(BW487="---",BW487="--",BW487="+/--",BW487="+/---"),1,0)</f>
        <v>0</v>
      </c>
      <c r="BY487">
        <f>BB487*AR487*AT487</f>
        <v>0</v>
      </c>
    </row>
    <row r="488" spans="1:77">
      <c r="A488" t="s">
        <v>96</v>
      </c>
      <c r="B488">
        <v>23461683</v>
      </c>
      <c r="C488" t="s">
        <v>303</v>
      </c>
      <c r="D488" t="s">
        <v>304</v>
      </c>
      <c r="E488" t="s">
        <v>446</v>
      </c>
      <c r="F488" t="s">
        <v>502</v>
      </c>
      <c r="G488" t="s">
        <v>448</v>
      </c>
      <c r="H488" t="s">
        <v>449</v>
      </c>
      <c r="I488" t="s">
        <v>450</v>
      </c>
      <c r="J488" t="s">
        <v>450</v>
      </c>
      <c r="K488">
        <v>0</v>
      </c>
      <c r="L488" t="s">
        <v>446</v>
      </c>
      <c r="M488" t="s">
        <v>446</v>
      </c>
      <c r="N488">
        <v>170082</v>
      </c>
      <c r="O488">
        <f>INDEX(Counselor,MATCH(B488,KidIDs,0))</f>
        <v>0</v>
      </c>
      <c r="P488">
        <f>INDEX(Advisors,MATCH(B488,KidIDs,0))</f>
        <v>0</v>
      </c>
      <c r="Q488">
        <f>INDEX(Cohort,MATCH(B488,KidIDs,0))</f>
        <v>0</v>
      </c>
      <c r="R488">
        <f>INDEX(AllCollegeBarrons,MATCH(N488,AllCollegeNCES,0))</f>
        <v>0</v>
      </c>
      <c r="S488">
        <f>INDEX(KidGPAs,MATCH(B488,KidIDs,0))</f>
        <v>0</v>
      </c>
      <c r="T488">
        <f>INDEX(KidSATs,MATCH(B488,KidIDs,0))</f>
        <v>0</v>
      </c>
      <c r="U488">
        <f>INDEX(Strats,MATCH(B488,KidIDs,0))</f>
        <v>0</v>
      </c>
      <c r="V488">
        <f>INDEX(KidRace,MATCH(B488,KidIDs,0))</f>
        <v>0</v>
      </c>
      <c r="W488">
        <f>IF(OR(V488="M",V488="I"),"H",IF(V488="P","A",V488))</f>
        <v>0</v>
      </c>
      <c r="X488">
        <f>INDEX(StudentTargets,MATCH(B488,KidIDs,0))</f>
        <v>0</v>
      </c>
      <c r="Y488">
        <f>INDEX(ReachStudentTargets,MATCH(B488,KidIDs,0))</f>
        <v>0</v>
      </c>
      <c r="Z488">
        <f>IF(OR(M488="Posse"),1,0)</f>
        <v>0</v>
      </c>
      <c r="AA488">
        <f>IF(ISNUMBER(INDEX(AllCollegeGR, MATCH(N488,AllCollegeNCES,0))),ROUND(INDEX(AllCollegeGR, MATCH(N488,AllCollegeNCES,0))+Z488*IF(INDEX(AllCollegeGR, MATCH(N488,AllCollegeNCES,0))&gt;0.7,(1-INDEX(AllCollegeGR, MATCH(N488,AllCollegeNCES,0)))/2,0.15),2),INDEX(AllCollegeGR, MATCH(N488,AllCollegeNCES,0)))</f>
        <v>0</v>
      </c>
      <c r="AB488">
        <f>IF(ISNUMBER(INDEX(AllCollegeAAHGR, MATCH(N488,AllCollegeNCES,0))),ROUND(INDEX(AllCollegeAAHGR, MATCH(N488,AllCollegeNCES,0))+Z488*IF(INDEX(AllCollegeAAHGR, MATCH(N488,AllCollegeNCES,0))&gt;0.7,(1-INDEX(AllCollegeAAHGR, MATCH(N488,AllCollegeNCES,0)))/2,0.15),2),INDEX(AllCollegeAAHGR, MATCH(N488,AllCollegeNCES,0)))</f>
        <v>0</v>
      </c>
      <c r="AC488">
        <f>IF(OR(W488="H",W488="B"),INDEX(AllCollegeSAT25, MATCH(N488,AllCollegeNCES,0)),INDEX(AllCollegeSAT50, MATCH(N488,AllCollegeNCES,0)))</f>
        <v>0</v>
      </c>
      <c r="AD488">
        <f>INDEX(CustomWeightsGPA,MATCH(W488&amp;":"&amp;N488,CustomWeightsIndex,0))</f>
        <v>0</v>
      </c>
      <c r="AE488">
        <f>INDEX(CustomWeightsSAT,MATCH(W488&amp;":"&amp;N488,CustomWeightsIndex,0))</f>
        <v>0</v>
      </c>
      <c r="AF488">
        <f>INDEX(CustomWeightsIntercept,MATCH(W488&amp;":"&amp;N488,CustomWeightsIndex,0))</f>
        <v>0</v>
      </c>
      <c r="AG488">
        <f>AD488*S488+AE488*T488+AF488</f>
        <v>0</v>
      </c>
      <c r="AH488">
        <f>INDEX(CoefficientsGPA,MATCH(W488&amp;":"&amp;R488,CoefficientsIndex,0))</f>
        <v>0</v>
      </c>
      <c r="AI488">
        <f>INDEX(CoefficientsSAT,MATCH(W488&amp;":"&amp;R488,CoefficientsIndex,0))</f>
        <v>0</v>
      </c>
      <c r="AJ488">
        <f>INDEX(CoefficientsIntercept,MATCH(W488&amp;":"&amp;R488,CoefficientsIndex,0))</f>
        <v>0</v>
      </c>
      <c r="AK488">
        <f>AH488*S488+(T488-AC488)*AI488+AJ488</f>
        <v>0</v>
      </c>
      <c r="AL488">
        <f>IF(ISNUMBER(AG488),AG488,AK488)</f>
        <v>0</v>
      </c>
      <c r="AM488">
        <f>IF(ISNUMBER(AL488),IF(ISNUMBER(AH488),IF(AND(AH488=1,AI488=1,AJ488=1),100,MIN(99,ROUND(100*EXP(AL488)/(1+EXP(AL488)),2))),MIN(99,ROUND(100*EXP(AL488)/(1+EXP(AL488)),2))),IF(ISTEXT(R488),IF(LEFT(R488,1)="2",100,"N/A"),"N/A"))</f>
        <v>0</v>
      </c>
      <c r="AN488">
        <f>IF(ISNUMBER(AM488),IF(AM488&gt;=99,IF(OR(U488=10,U488=11),MatchLabel,SureThingLabel),IF(AM488&gt;=95,SecureLabel,IF(AM488&gt;=80,SafetyLabel,IF(AM488&gt;=50,MatchLabel,IF(AM488&gt;=20,ReachLabel,IF(AM488&gt;=10,LongshotLabel,HailMaryLabel)))))),"Other")</f>
        <v>0</v>
      </c>
      <c r="AO488">
        <f>IF(OR(I488="accepted",I488="cond. accept",I488="summer admit"),IF(J488="yes","CHOICE!","Accepted!"),IF(I488="guar. transfer","Guar. Xfer",IF(I488="denied","Denied",IF(K488=1,"Waitlist",IF(L488=1,"Deferred",IF(G488="pending","Pending",IF(OR(G488="initial materials submitted",G488="mid-year submitted",G488="final submitted"),"Submitted",IF(H488="interest","Interest","?"))))))))</f>
        <v>0</v>
      </c>
      <c r="AP488">
        <f>IF(OR(AN488=ReachLabel,AN488=LongshotLabel,AN488=HailMaryLabel),1,0)</f>
        <v>0</v>
      </c>
      <c r="AQ488">
        <f>IF(OR(AP488=1,AN488=MatchLabel),1,0)</f>
        <v>0</v>
      </c>
      <c r="AR488">
        <f>IF(OR(AN488=MatchLabel,AN488=SafetyLabel,AN488=SecureLabel,AN488=SureThingLabel),1,0)</f>
        <v>0</v>
      </c>
      <c r="AS488">
        <f>IF(OR(W488="H",W488="B",W488="I",W488="M"),IF(ISNUMBER(AB488),ROUND(AB488,2),0),IF(ISNUMBER(AA488),ROUND(AA488,2),0))</f>
        <v>0</v>
      </c>
      <c r="AT488">
        <f>IF(AS488&gt;=X488,1,0)</f>
        <v>0</v>
      </c>
      <c r="AU488">
        <f>IF(AS488&gt;=Y488,1,0)</f>
        <v>0</v>
      </c>
      <c r="AV488">
        <f>IF(AS488&lt;(X488-0.10),1,0)</f>
        <v>0</v>
      </c>
      <c r="AW488">
        <f>1-AM488/100</f>
        <v>0</v>
      </c>
      <c r="AX488">
        <f>IF(AQ488=1,AW488,1)</f>
        <v>0</v>
      </c>
      <c r="AY488">
        <f>IF(AP488=1,AW488,1)</f>
        <v>0</v>
      </c>
      <c r="AZ488">
        <f>IF(AND(AT488=1,ISNUMBER(AW488)),$AW488,1)</f>
        <v>0</v>
      </c>
      <c r="BA488">
        <f>IF(AND(AU488=1,ISNUMBER(AW488)),$AW488,1)</f>
        <v>0</v>
      </c>
      <c r="BB488">
        <f>IF(ISNUMBER(AB488),INDEX(AllCollegeMoney, MATCH(N488,AllCollegeNCES,0)),0)</f>
        <v>0</v>
      </c>
      <c r="BC488">
        <f>IF(AND(AT488=1,ISNUMBER(AW488),BB488=1),$AW488,1)</f>
        <v>0</v>
      </c>
      <c r="BD488">
        <f>IF(AND(AU488=1,ISNUMBER(AW488),BB488=1),$AW488,1)</f>
        <v>0</v>
      </c>
      <c r="BE488">
        <f>IF(ISNUMBER(AB488),INDEX(AllCollegeILPub, MATCH(N488,AllCollegeNCES,0)),0)</f>
        <v>0</v>
      </c>
      <c r="BF488">
        <f>IF(AN488=ReachLabel,AS488,0)</f>
        <v>0</v>
      </c>
      <c r="BG488">
        <f>IF(AN488=MatchLabel,AS488,0)</f>
        <v>0</v>
      </c>
      <c r="BH488">
        <f>IF(AN488=SafetyLabel,AS488,0)</f>
        <v>0</v>
      </c>
      <c r="BI488">
        <f>IF(AN488=SecureLabel,AS488,0)</f>
        <v>0</v>
      </c>
      <c r="BJ488">
        <f>IF(AN488=SureThingLabel,AS488,0)</f>
        <v>0</v>
      </c>
      <c r="BK488">
        <f>MAX(BF488:BJ488)</f>
        <v>0</v>
      </c>
      <c r="BL488">
        <f>MAX(BG488:BJ488)</f>
        <v>0</v>
      </c>
      <c r="BM488">
        <f>MAX(BH488:BJ488)</f>
        <v>0</v>
      </c>
      <c r="BN488">
        <f>IF(AND(AN488=ReachLabel,BB488=1),AS488,0)</f>
        <v>0</v>
      </c>
      <c r="BO488">
        <f>IF(AND(AN488=MatchLabel,BB488=1),AS488,0)</f>
        <v>0</v>
      </c>
      <c r="BP488">
        <f>IF(AND(AN488=SafetyLabel,BB488=1),AS488,0)</f>
        <v>0</v>
      </c>
      <c r="BQ488">
        <f>IF(AND(AN488=SecureLabel,BB488=1),AS488,0)</f>
        <v>0</v>
      </c>
      <c r="BR488">
        <f>IF(AND(AN488=SureThingLabel,BB488=1),AS488,0)</f>
        <v>0</v>
      </c>
      <c r="BS488">
        <f>MAX(BN488:BR488)</f>
        <v>0</v>
      </c>
      <c r="BT488">
        <f>MAX(BO488:BR488)</f>
        <v>0</v>
      </c>
      <c r="BU488">
        <f>MAX(BP488:BR488)</f>
        <v>0</v>
      </c>
      <c r="BV488">
        <f>IF(ISNUMBER(AB488),INDEX(AllCollegeChicago, MATCH(N488,AllCollegeNCES,0))*BB488,0)</f>
        <v>0</v>
      </c>
      <c r="BW488">
        <f>IF(ISNUMBER(AB488),INDEX(AllCollegeMoneyCode, MATCH(N488,AllCollegeNCES,0)),"?")</f>
        <v>0</v>
      </c>
      <c r="BX488">
        <f>IF(OR(BW488="---",BW488="--",BW488="+/--",BW488="+/---"),1,0)</f>
        <v>0</v>
      </c>
      <c r="BY488">
        <f>BB488*AR488*AT488</f>
        <v>0</v>
      </c>
    </row>
    <row r="489" spans="1:77">
      <c r="A489" t="s">
        <v>96</v>
      </c>
      <c r="B489">
        <v>23461683</v>
      </c>
      <c r="C489" t="s">
        <v>303</v>
      </c>
      <c r="D489" t="s">
        <v>304</v>
      </c>
      <c r="E489" t="s">
        <v>446</v>
      </c>
      <c r="F489" t="s">
        <v>465</v>
      </c>
      <c r="G489" t="s">
        <v>448</v>
      </c>
      <c r="H489" t="s">
        <v>449</v>
      </c>
      <c r="I489" t="s">
        <v>450</v>
      </c>
      <c r="J489" t="s">
        <v>450</v>
      </c>
      <c r="K489">
        <v>0</v>
      </c>
      <c r="L489" t="s">
        <v>446</v>
      </c>
      <c r="M489" t="s">
        <v>446</v>
      </c>
      <c r="N489">
        <v>145600</v>
      </c>
      <c r="O489">
        <f>INDEX(Counselor,MATCH(B489,KidIDs,0))</f>
        <v>0</v>
      </c>
      <c r="P489">
        <f>INDEX(Advisors,MATCH(B489,KidIDs,0))</f>
        <v>0</v>
      </c>
      <c r="Q489">
        <f>INDEX(Cohort,MATCH(B489,KidIDs,0))</f>
        <v>0</v>
      </c>
      <c r="R489">
        <f>INDEX(AllCollegeBarrons,MATCH(N489,AllCollegeNCES,0))</f>
        <v>0</v>
      </c>
      <c r="S489">
        <f>INDEX(KidGPAs,MATCH(B489,KidIDs,0))</f>
        <v>0</v>
      </c>
      <c r="T489">
        <f>INDEX(KidSATs,MATCH(B489,KidIDs,0))</f>
        <v>0</v>
      </c>
      <c r="U489">
        <f>INDEX(Strats,MATCH(B489,KidIDs,0))</f>
        <v>0</v>
      </c>
      <c r="V489">
        <f>INDEX(KidRace,MATCH(B489,KidIDs,0))</f>
        <v>0</v>
      </c>
      <c r="W489">
        <f>IF(OR(V489="M",V489="I"),"H",IF(V489="P","A",V489))</f>
        <v>0</v>
      </c>
      <c r="X489">
        <f>INDEX(StudentTargets,MATCH(B489,KidIDs,0))</f>
        <v>0</v>
      </c>
      <c r="Y489">
        <f>INDEX(ReachStudentTargets,MATCH(B489,KidIDs,0))</f>
        <v>0</v>
      </c>
      <c r="Z489">
        <f>IF(OR(M489="Posse"),1,0)</f>
        <v>0</v>
      </c>
      <c r="AA489">
        <f>IF(ISNUMBER(INDEX(AllCollegeGR, MATCH(N489,AllCollegeNCES,0))),ROUND(INDEX(AllCollegeGR, MATCH(N489,AllCollegeNCES,0))+Z489*IF(INDEX(AllCollegeGR, MATCH(N489,AllCollegeNCES,0))&gt;0.7,(1-INDEX(AllCollegeGR, MATCH(N489,AllCollegeNCES,0)))/2,0.15),2),INDEX(AllCollegeGR, MATCH(N489,AllCollegeNCES,0)))</f>
        <v>0</v>
      </c>
      <c r="AB489">
        <f>IF(ISNUMBER(INDEX(AllCollegeAAHGR, MATCH(N489,AllCollegeNCES,0))),ROUND(INDEX(AllCollegeAAHGR, MATCH(N489,AllCollegeNCES,0))+Z489*IF(INDEX(AllCollegeAAHGR, MATCH(N489,AllCollegeNCES,0))&gt;0.7,(1-INDEX(AllCollegeAAHGR, MATCH(N489,AllCollegeNCES,0)))/2,0.15),2),INDEX(AllCollegeAAHGR, MATCH(N489,AllCollegeNCES,0)))</f>
        <v>0</v>
      </c>
      <c r="AC489">
        <f>IF(OR(W489="H",W489="B"),INDEX(AllCollegeSAT25, MATCH(N489,AllCollegeNCES,0)),INDEX(AllCollegeSAT50, MATCH(N489,AllCollegeNCES,0)))</f>
        <v>0</v>
      </c>
      <c r="AD489">
        <f>INDEX(CustomWeightsGPA,MATCH(W489&amp;":"&amp;N489,CustomWeightsIndex,0))</f>
        <v>0</v>
      </c>
      <c r="AE489">
        <f>INDEX(CustomWeightsSAT,MATCH(W489&amp;":"&amp;N489,CustomWeightsIndex,0))</f>
        <v>0</v>
      </c>
      <c r="AF489">
        <f>INDEX(CustomWeightsIntercept,MATCH(W489&amp;":"&amp;N489,CustomWeightsIndex,0))</f>
        <v>0</v>
      </c>
      <c r="AG489">
        <f>AD489*S489+AE489*T489+AF489</f>
        <v>0</v>
      </c>
      <c r="AH489">
        <f>INDEX(CoefficientsGPA,MATCH(W489&amp;":"&amp;R489,CoefficientsIndex,0))</f>
        <v>0</v>
      </c>
      <c r="AI489">
        <f>INDEX(CoefficientsSAT,MATCH(W489&amp;":"&amp;R489,CoefficientsIndex,0))</f>
        <v>0</v>
      </c>
      <c r="AJ489">
        <f>INDEX(CoefficientsIntercept,MATCH(W489&amp;":"&amp;R489,CoefficientsIndex,0))</f>
        <v>0</v>
      </c>
      <c r="AK489">
        <f>AH489*S489+(T489-AC489)*AI489+AJ489</f>
        <v>0</v>
      </c>
      <c r="AL489">
        <f>IF(ISNUMBER(AG489),AG489,AK489)</f>
        <v>0</v>
      </c>
      <c r="AM489">
        <f>IF(ISNUMBER(AL489),IF(ISNUMBER(AH489),IF(AND(AH489=1,AI489=1,AJ489=1),100,MIN(99,ROUND(100*EXP(AL489)/(1+EXP(AL489)),2))),MIN(99,ROUND(100*EXP(AL489)/(1+EXP(AL489)),2))),IF(ISTEXT(R489),IF(LEFT(R489,1)="2",100,"N/A"),"N/A"))</f>
        <v>0</v>
      </c>
      <c r="AN489">
        <f>IF(ISNUMBER(AM489),IF(AM489&gt;=99,IF(OR(U489=10,U489=11),MatchLabel,SureThingLabel),IF(AM489&gt;=95,SecureLabel,IF(AM489&gt;=80,SafetyLabel,IF(AM489&gt;=50,MatchLabel,IF(AM489&gt;=20,ReachLabel,IF(AM489&gt;=10,LongshotLabel,HailMaryLabel)))))),"Other")</f>
        <v>0</v>
      </c>
      <c r="AO489">
        <f>IF(OR(I489="accepted",I489="cond. accept",I489="summer admit"),IF(J489="yes","CHOICE!","Accepted!"),IF(I489="guar. transfer","Guar. Xfer",IF(I489="denied","Denied",IF(K489=1,"Waitlist",IF(L489=1,"Deferred",IF(G489="pending","Pending",IF(OR(G489="initial materials submitted",G489="mid-year submitted",G489="final submitted"),"Submitted",IF(H489="interest","Interest","?"))))))))</f>
        <v>0</v>
      </c>
      <c r="AP489">
        <f>IF(OR(AN489=ReachLabel,AN489=LongshotLabel,AN489=HailMaryLabel),1,0)</f>
        <v>0</v>
      </c>
      <c r="AQ489">
        <f>IF(OR(AP489=1,AN489=MatchLabel),1,0)</f>
        <v>0</v>
      </c>
      <c r="AR489">
        <f>IF(OR(AN489=MatchLabel,AN489=SafetyLabel,AN489=SecureLabel,AN489=SureThingLabel),1,0)</f>
        <v>0</v>
      </c>
      <c r="AS489">
        <f>IF(OR(W489="H",W489="B",W489="I",W489="M"),IF(ISNUMBER(AB489),ROUND(AB489,2),0),IF(ISNUMBER(AA489),ROUND(AA489,2),0))</f>
        <v>0</v>
      </c>
      <c r="AT489">
        <f>IF(AS489&gt;=X489,1,0)</f>
        <v>0</v>
      </c>
      <c r="AU489">
        <f>IF(AS489&gt;=Y489,1,0)</f>
        <v>0</v>
      </c>
      <c r="AV489">
        <f>IF(AS489&lt;(X489-0.10),1,0)</f>
        <v>0</v>
      </c>
      <c r="AW489">
        <f>1-AM489/100</f>
        <v>0</v>
      </c>
      <c r="AX489">
        <f>IF(AQ489=1,AW489,1)</f>
        <v>0</v>
      </c>
      <c r="AY489">
        <f>IF(AP489=1,AW489,1)</f>
        <v>0</v>
      </c>
      <c r="AZ489">
        <f>IF(AND(AT489=1,ISNUMBER(AW489)),$AW489,1)</f>
        <v>0</v>
      </c>
      <c r="BA489">
        <f>IF(AND(AU489=1,ISNUMBER(AW489)),$AW489,1)</f>
        <v>0</v>
      </c>
      <c r="BB489">
        <f>IF(ISNUMBER(AB489),INDEX(AllCollegeMoney, MATCH(N489,AllCollegeNCES,0)),0)</f>
        <v>0</v>
      </c>
      <c r="BC489">
        <f>IF(AND(AT489=1,ISNUMBER(AW489),BB489=1),$AW489,1)</f>
        <v>0</v>
      </c>
      <c r="BD489">
        <f>IF(AND(AU489=1,ISNUMBER(AW489),BB489=1),$AW489,1)</f>
        <v>0</v>
      </c>
      <c r="BE489">
        <f>IF(ISNUMBER(AB489),INDEX(AllCollegeILPub, MATCH(N489,AllCollegeNCES,0)),0)</f>
        <v>0</v>
      </c>
      <c r="BF489">
        <f>IF(AN489=ReachLabel,AS489,0)</f>
        <v>0</v>
      </c>
      <c r="BG489">
        <f>IF(AN489=MatchLabel,AS489,0)</f>
        <v>0</v>
      </c>
      <c r="BH489">
        <f>IF(AN489=SafetyLabel,AS489,0)</f>
        <v>0</v>
      </c>
      <c r="BI489">
        <f>IF(AN489=SecureLabel,AS489,0)</f>
        <v>0</v>
      </c>
      <c r="BJ489">
        <f>IF(AN489=SureThingLabel,AS489,0)</f>
        <v>0</v>
      </c>
      <c r="BK489">
        <f>MAX(BF489:BJ489)</f>
        <v>0</v>
      </c>
      <c r="BL489">
        <f>MAX(BG489:BJ489)</f>
        <v>0</v>
      </c>
      <c r="BM489">
        <f>MAX(BH489:BJ489)</f>
        <v>0</v>
      </c>
      <c r="BN489">
        <f>IF(AND(AN489=ReachLabel,BB489=1),AS489,0)</f>
        <v>0</v>
      </c>
      <c r="BO489">
        <f>IF(AND(AN489=MatchLabel,BB489=1),AS489,0)</f>
        <v>0</v>
      </c>
      <c r="BP489">
        <f>IF(AND(AN489=SafetyLabel,BB489=1),AS489,0)</f>
        <v>0</v>
      </c>
      <c r="BQ489">
        <f>IF(AND(AN489=SecureLabel,BB489=1),AS489,0)</f>
        <v>0</v>
      </c>
      <c r="BR489">
        <f>IF(AND(AN489=SureThingLabel,BB489=1),AS489,0)</f>
        <v>0</v>
      </c>
      <c r="BS489">
        <f>MAX(BN489:BR489)</f>
        <v>0</v>
      </c>
      <c r="BT489">
        <f>MAX(BO489:BR489)</f>
        <v>0</v>
      </c>
      <c r="BU489">
        <f>MAX(BP489:BR489)</f>
        <v>0</v>
      </c>
      <c r="BV489">
        <f>IF(ISNUMBER(AB489),INDEX(AllCollegeChicago, MATCH(N489,AllCollegeNCES,0))*BB489,0)</f>
        <v>0</v>
      </c>
      <c r="BW489">
        <f>IF(ISNUMBER(AB489),INDEX(AllCollegeMoneyCode, MATCH(N489,AllCollegeNCES,0)),"?")</f>
        <v>0</v>
      </c>
      <c r="BX489">
        <f>IF(OR(BW489="---",BW489="--",BW489="+/--",BW489="+/---"),1,0)</f>
        <v>0</v>
      </c>
      <c r="BY489">
        <f>BB489*AR489*AT489</f>
        <v>0</v>
      </c>
    </row>
    <row r="490" spans="1:77">
      <c r="A490" t="s">
        <v>96</v>
      </c>
      <c r="B490">
        <v>23461683</v>
      </c>
      <c r="C490" t="s">
        <v>303</v>
      </c>
      <c r="D490" t="s">
        <v>304</v>
      </c>
      <c r="E490" t="s">
        <v>446</v>
      </c>
      <c r="F490" t="s">
        <v>519</v>
      </c>
      <c r="G490" t="s">
        <v>448</v>
      </c>
      <c r="H490" t="s">
        <v>449</v>
      </c>
      <c r="I490" t="s">
        <v>450</v>
      </c>
      <c r="J490" t="s">
        <v>450</v>
      </c>
      <c r="K490">
        <v>0</v>
      </c>
      <c r="L490" t="s">
        <v>446</v>
      </c>
      <c r="M490" t="s">
        <v>446</v>
      </c>
      <c r="N490">
        <v>145813</v>
      </c>
      <c r="O490">
        <f>INDEX(Counselor,MATCH(B490,KidIDs,0))</f>
        <v>0</v>
      </c>
      <c r="P490">
        <f>INDEX(Advisors,MATCH(B490,KidIDs,0))</f>
        <v>0</v>
      </c>
      <c r="Q490">
        <f>INDEX(Cohort,MATCH(B490,KidIDs,0))</f>
        <v>0</v>
      </c>
      <c r="R490">
        <f>INDEX(AllCollegeBarrons,MATCH(N490,AllCollegeNCES,0))</f>
        <v>0</v>
      </c>
      <c r="S490">
        <f>INDEX(KidGPAs,MATCH(B490,KidIDs,0))</f>
        <v>0</v>
      </c>
      <c r="T490">
        <f>INDEX(KidSATs,MATCH(B490,KidIDs,0))</f>
        <v>0</v>
      </c>
      <c r="U490">
        <f>INDEX(Strats,MATCH(B490,KidIDs,0))</f>
        <v>0</v>
      </c>
      <c r="V490">
        <f>INDEX(KidRace,MATCH(B490,KidIDs,0))</f>
        <v>0</v>
      </c>
      <c r="W490">
        <f>IF(OR(V490="M",V490="I"),"H",IF(V490="P","A",V490))</f>
        <v>0</v>
      </c>
      <c r="X490">
        <f>INDEX(StudentTargets,MATCH(B490,KidIDs,0))</f>
        <v>0</v>
      </c>
      <c r="Y490">
        <f>INDEX(ReachStudentTargets,MATCH(B490,KidIDs,0))</f>
        <v>0</v>
      </c>
      <c r="Z490">
        <f>IF(OR(M490="Posse"),1,0)</f>
        <v>0</v>
      </c>
      <c r="AA490">
        <f>IF(ISNUMBER(INDEX(AllCollegeGR, MATCH(N490,AllCollegeNCES,0))),ROUND(INDEX(AllCollegeGR, MATCH(N490,AllCollegeNCES,0))+Z490*IF(INDEX(AllCollegeGR, MATCH(N490,AllCollegeNCES,0))&gt;0.7,(1-INDEX(AllCollegeGR, MATCH(N490,AllCollegeNCES,0)))/2,0.15),2),INDEX(AllCollegeGR, MATCH(N490,AllCollegeNCES,0)))</f>
        <v>0</v>
      </c>
      <c r="AB490">
        <f>IF(ISNUMBER(INDEX(AllCollegeAAHGR, MATCH(N490,AllCollegeNCES,0))),ROUND(INDEX(AllCollegeAAHGR, MATCH(N490,AllCollegeNCES,0))+Z490*IF(INDEX(AllCollegeAAHGR, MATCH(N490,AllCollegeNCES,0))&gt;0.7,(1-INDEX(AllCollegeAAHGR, MATCH(N490,AllCollegeNCES,0)))/2,0.15),2),INDEX(AllCollegeAAHGR, MATCH(N490,AllCollegeNCES,0)))</f>
        <v>0</v>
      </c>
      <c r="AC490">
        <f>IF(OR(W490="H",W490="B"),INDEX(AllCollegeSAT25, MATCH(N490,AllCollegeNCES,0)),INDEX(AllCollegeSAT50, MATCH(N490,AllCollegeNCES,0)))</f>
        <v>0</v>
      </c>
      <c r="AD490">
        <f>INDEX(CustomWeightsGPA,MATCH(W490&amp;":"&amp;N490,CustomWeightsIndex,0))</f>
        <v>0</v>
      </c>
      <c r="AE490">
        <f>INDEX(CustomWeightsSAT,MATCH(W490&amp;":"&amp;N490,CustomWeightsIndex,0))</f>
        <v>0</v>
      </c>
      <c r="AF490">
        <f>INDEX(CustomWeightsIntercept,MATCH(W490&amp;":"&amp;N490,CustomWeightsIndex,0))</f>
        <v>0</v>
      </c>
      <c r="AG490">
        <f>AD490*S490+AE490*T490+AF490</f>
        <v>0</v>
      </c>
      <c r="AH490">
        <f>INDEX(CoefficientsGPA,MATCH(W490&amp;":"&amp;R490,CoefficientsIndex,0))</f>
        <v>0</v>
      </c>
      <c r="AI490">
        <f>INDEX(CoefficientsSAT,MATCH(W490&amp;":"&amp;R490,CoefficientsIndex,0))</f>
        <v>0</v>
      </c>
      <c r="AJ490">
        <f>INDEX(CoefficientsIntercept,MATCH(W490&amp;":"&amp;R490,CoefficientsIndex,0))</f>
        <v>0</v>
      </c>
      <c r="AK490">
        <f>AH490*S490+(T490-AC490)*AI490+AJ490</f>
        <v>0</v>
      </c>
      <c r="AL490">
        <f>IF(ISNUMBER(AG490),AG490,AK490)</f>
        <v>0</v>
      </c>
      <c r="AM490">
        <f>IF(ISNUMBER(AL490),IF(ISNUMBER(AH490),IF(AND(AH490=1,AI490=1,AJ490=1),100,MIN(99,ROUND(100*EXP(AL490)/(1+EXP(AL490)),2))),MIN(99,ROUND(100*EXP(AL490)/(1+EXP(AL490)),2))),IF(ISTEXT(R490),IF(LEFT(R490,1)="2",100,"N/A"),"N/A"))</f>
        <v>0</v>
      </c>
      <c r="AN490">
        <f>IF(ISNUMBER(AM490),IF(AM490&gt;=99,IF(OR(U490=10,U490=11),MatchLabel,SureThingLabel),IF(AM490&gt;=95,SecureLabel,IF(AM490&gt;=80,SafetyLabel,IF(AM490&gt;=50,MatchLabel,IF(AM490&gt;=20,ReachLabel,IF(AM490&gt;=10,LongshotLabel,HailMaryLabel)))))),"Other")</f>
        <v>0</v>
      </c>
      <c r="AO490">
        <f>IF(OR(I490="accepted",I490="cond. accept",I490="summer admit"),IF(J490="yes","CHOICE!","Accepted!"),IF(I490="guar. transfer","Guar. Xfer",IF(I490="denied","Denied",IF(K490=1,"Waitlist",IF(L490=1,"Deferred",IF(G490="pending","Pending",IF(OR(G490="initial materials submitted",G490="mid-year submitted",G490="final submitted"),"Submitted",IF(H490="interest","Interest","?"))))))))</f>
        <v>0</v>
      </c>
      <c r="AP490">
        <f>IF(OR(AN490=ReachLabel,AN490=LongshotLabel,AN490=HailMaryLabel),1,0)</f>
        <v>0</v>
      </c>
      <c r="AQ490">
        <f>IF(OR(AP490=1,AN490=MatchLabel),1,0)</f>
        <v>0</v>
      </c>
      <c r="AR490">
        <f>IF(OR(AN490=MatchLabel,AN490=SafetyLabel,AN490=SecureLabel,AN490=SureThingLabel),1,0)</f>
        <v>0</v>
      </c>
      <c r="AS490">
        <f>IF(OR(W490="H",W490="B",W490="I",W490="M"),IF(ISNUMBER(AB490),ROUND(AB490,2),0),IF(ISNUMBER(AA490),ROUND(AA490,2),0))</f>
        <v>0</v>
      </c>
      <c r="AT490">
        <f>IF(AS490&gt;=X490,1,0)</f>
        <v>0</v>
      </c>
      <c r="AU490">
        <f>IF(AS490&gt;=Y490,1,0)</f>
        <v>0</v>
      </c>
      <c r="AV490">
        <f>IF(AS490&lt;(X490-0.10),1,0)</f>
        <v>0</v>
      </c>
      <c r="AW490">
        <f>1-AM490/100</f>
        <v>0</v>
      </c>
      <c r="AX490">
        <f>IF(AQ490=1,AW490,1)</f>
        <v>0</v>
      </c>
      <c r="AY490">
        <f>IF(AP490=1,AW490,1)</f>
        <v>0</v>
      </c>
      <c r="AZ490">
        <f>IF(AND(AT490=1,ISNUMBER(AW490)),$AW490,1)</f>
        <v>0</v>
      </c>
      <c r="BA490">
        <f>IF(AND(AU490=1,ISNUMBER(AW490)),$AW490,1)</f>
        <v>0</v>
      </c>
      <c r="BB490">
        <f>IF(ISNUMBER(AB490),INDEX(AllCollegeMoney, MATCH(N490,AllCollegeNCES,0)),0)</f>
        <v>0</v>
      </c>
      <c r="BC490">
        <f>IF(AND(AT490=1,ISNUMBER(AW490),BB490=1),$AW490,1)</f>
        <v>0</v>
      </c>
      <c r="BD490">
        <f>IF(AND(AU490=1,ISNUMBER(AW490),BB490=1),$AW490,1)</f>
        <v>0</v>
      </c>
      <c r="BE490">
        <f>IF(ISNUMBER(AB490),INDEX(AllCollegeILPub, MATCH(N490,AllCollegeNCES,0)),0)</f>
        <v>0</v>
      </c>
      <c r="BF490">
        <f>IF(AN490=ReachLabel,AS490,0)</f>
        <v>0</v>
      </c>
      <c r="BG490">
        <f>IF(AN490=MatchLabel,AS490,0)</f>
        <v>0</v>
      </c>
      <c r="BH490">
        <f>IF(AN490=SafetyLabel,AS490,0)</f>
        <v>0</v>
      </c>
      <c r="BI490">
        <f>IF(AN490=SecureLabel,AS490,0)</f>
        <v>0</v>
      </c>
      <c r="BJ490">
        <f>IF(AN490=SureThingLabel,AS490,0)</f>
        <v>0</v>
      </c>
      <c r="BK490">
        <f>MAX(BF490:BJ490)</f>
        <v>0</v>
      </c>
      <c r="BL490">
        <f>MAX(BG490:BJ490)</f>
        <v>0</v>
      </c>
      <c r="BM490">
        <f>MAX(BH490:BJ490)</f>
        <v>0</v>
      </c>
      <c r="BN490">
        <f>IF(AND(AN490=ReachLabel,BB490=1),AS490,0)</f>
        <v>0</v>
      </c>
      <c r="BO490">
        <f>IF(AND(AN490=MatchLabel,BB490=1),AS490,0)</f>
        <v>0</v>
      </c>
      <c r="BP490">
        <f>IF(AND(AN490=SafetyLabel,BB490=1),AS490,0)</f>
        <v>0</v>
      </c>
      <c r="BQ490">
        <f>IF(AND(AN490=SecureLabel,BB490=1),AS490,0)</f>
        <v>0</v>
      </c>
      <c r="BR490">
        <f>IF(AND(AN490=SureThingLabel,BB490=1),AS490,0)</f>
        <v>0</v>
      </c>
      <c r="BS490">
        <f>MAX(BN490:BR490)</f>
        <v>0</v>
      </c>
      <c r="BT490">
        <f>MAX(BO490:BR490)</f>
        <v>0</v>
      </c>
      <c r="BU490">
        <f>MAX(BP490:BR490)</f>
        <v>0</v>
      </c>
      <c r="BV490">
        <f>IF(ISNUMBER(AB490),INDEX(AllCollegeChicago, MATCH(N490,AllCollegeNCES,0))*BB490,0)</f>
        <v>0</v>
      </c>
      <c r="BW490">
        <f>IF(ISNUMBER(AB490),INDEX(AllCollegeMoneyCode, MATCH(N490,AllCollegeNCES,0)),"?")</f>
        <v>0</v>
      </c>
      <c r="BX490">
        <f>IF(OR(BW490="---",BW490="--",BW490="+/--",BW490="+/---"),1,0)</f>
        <v>0</v>
      </c>
      <c r="BY490">
        <f>BB490*AR490*AT490</f>
        <v>0</v>
      </c>
    </row>
    <row r="491" spans="1:77">
      <c r="A491" t="s">
        <v>96</v>
      </c>
      <c r="B491">
        <v>23461683</v>
      </c>
      <c r="C491" t="s">
        <v>303</v>
      </c>
      <c r="D491" t="s">
        <v>304</v>
      </c>
      <c r="E491" t="s">
        <v>446</v>
      </c>
      <c r="F491" t="s">
        <v>481</v>
      </c>
      <c r="G491" t="s">
        <v>479</v>
      </c>
      <c r="H491" t="s">
        <v>449</v>
      </c>
      <c r="I491" t="s">
        <v>450</v>
      </c>
      <c r="J491" t="s">
        <v>450</v>
      </c>
      <c r="K491">
        <v>0</v>
      </c>
      <c r="L491" t="s">
        <v>446</v>
      </c>
      <c r="M491" t="s">
        <v>446</v>
      </c>
      <c r="N491">
        <v>153834</v>
      </c>
      <c r="O491">
        <f>INDEX(Counselor,MATCH(B491,KidIDs,0))</f>
        <v>0</v>
      </c>
      <c r="P491">
        <f>INDEX(Advisors,MATCH(B491,KidIDs,0))</f>
        <v>0</v>
      </c>
      <c r="Q491">
        <f>INDEX(Cohort,MATCH(B491,KidIDs,0))</f>
        <v>0</v>
      </c>
      <c r="R491">
        <f>INDEX(AllCollegeBarrons,MATCH(N491,AllCollegeNCES,0))</f>
        <v>0</v>
      </c>
      <c r="S491">
        <f>INDEX(KidGPAs,MATCH(B491,KidIDs,0))</f>
        <v>0</v>
      </c>
      <c r="T491">
        <f>INDEX(KidSATs,MATCH(B491,KidIDs,0))</f>
        <v>0</v>
      </c>
      <c r="U491">
        <f>INDEX(Strats,MATCH(B491,KidIDs,0))</f>
        <v>0</v>
      </c>
      <c r="V491">
        <f>INDEX(KidRace,MATCH(B491,KidIDs,0))</f>
        <v>0</v>
      </c>
      <c r="W491">
        <f>IF(OR(V491="M",V491="I"),"H",IF(V491="P","A",V491))</f>
        <v>0</v>
      </c>
      <c r="X491">
        <f>INDEX(StudentTargets,MATCH(B491,KidIDs,0))</f>
        <v>0</v>
      </c>
      <c r="Y491">
        <f>INDEX(ReachStudentTargets,MATCH(B491,KidIDs,0))</f>
        <v>0</v>
      </c>
      <c r="Z491">
        <f>IF(OR(M491="Posse"),1,0)</f>
        <v>0</v>
      </c>
      <c r="AA491">
        <f>IF(ISNUMBER(INDEX(AllCollegeGR, MATCH(N491,AllCollegeNCES,0))),ROUND(INDEX(AllCollegeGR, MATCH(N491,AllCollegeNCES,0))+Z491*IF(INDEX(AllCollegeGR, MATCH(N491,AllCollegeNCES,0))&gt;0.7,(1-INDEX(AllCollegeGR, MATCH(N491,AllCollegeNCES,0)))/2,0.15),2),INDEX(AllCollegeGR, MATCH(N491,AllCollegeNCES,0)))</f>
        <v>0</v>
      </c>
      <c r="AB491">
        <f>IF(ISNUMBER(INDEX(AllCollegeAAHGR, MATCH(N491,AllCollegeNCES,0))),ROUND(INDEX(AllCollegeAAHGR, MATCH(N491,AllCollegeNCES,0))+Z491*IF(INDEX(AllCollegeAAHGR, MATCH(N491,AllCollegeNCES,0))&gt;0.7,(1-INDEX(AllCollegeAAHGR, MATCH(N491,AllCollegeNCES,0)))/2,0.15),2),INDEX(AllCollegeAAHGR, MATCH(N491,AllCollegeNCES,0)))</f>
        <v>0</v>
      </c>
      <c r="AC491">
        <f>IF(OR(W491="H",W491="B"),INDEX(AllCollegeSAT25, MATCH(N491,AllCollegeNCES,0)),INDEX(AllCollegeSAT50, MATCH(N491,AllCollegeNCES,0)))</f>
        <v>0</v>
      </c>
      <c r="AD491">
        <f>INDEX(CustomWeightsGPA,MATCH(W491&amp;":"&amp;N491,CustomWeightsIndex,0))</f>
        <v>0</v>
      </c>
      <c r="AE491">
        <f>INDEX(CustomWeightsSAT,MATCH(W491&amp;":"&amp;N491,CustomWeightsIndex,0))</f>
        <v>0</v>
      </c>
      <c r="AF491">
        <f>INDEX(CustomWeightsIntercept,MATCH(W491&amp;":"&amp;N491,CustomWeightsIndex,0))</f>
        <v>0</v>
      </c>
      <c r="AG491">
        <f>AD491*S491+AE491*T491+AF491</f>
        <v>0</v>
      </c>
      <c r="AH491">
        <f>INDEX(CoefficientsGPA,MATCH(W491&amp;":"&amp;R491,CoefficientsIndex,0))</f>
        <v>0</v>
      </c>
      <c r="AI491">
        <f>INDEX(CoefficientsSAT,MATCH(W491&amp;":"&amp;R491,CoefficientsIndex,0))</f>
        <v>0</v>
      </c>
      <c r="AJ491">
        <f>INDEX(CoefficientsIntercept,MATCH(W491&amp;":"&amp;R491,CoefficientsIndex,0))</f>
        <v>0</v>
      </c>
      <c r="AK491">
        <f>AH491*S491+(T491-AC491)*AI491+AJ491</f>
        <v>0</v>
      </c>
      <c r="AL491">
        <f>IF(ISNUMBER(AG491),AG491,AK491)</f>
        <v>0</v>
      </c>
      <c r="AM491">
        <f>IF(ISNUMBER(AL491),IF(ISNUMBER(AH491),IF(AND(AH491=1,AI491=1,AJ491=1),100,MIN(99,ROUND(100*EXP(AL491)/(1+EXP(AL491)),2))),MIN(99,ROUND(100*EXP(AL491)/(1+EXP(AL491)),2))),IF(ISTEXT(R491),IF(LEFT(R491,1)="2",100,"N/A"),"N/A"))</f>
        <v>0</v>
      </c>
      <c r="AN491">
        <f>IF(ISNUMBER(AM491),IF(AM491&gt;=99,IF(OR(U491=10,U491=11),MatchLabel,SureThingLabel),IF(AM491&gt;=95,SecureLabel,IF(AM491&gt;=80,SafetyLabel,IF(AM491&gt;=50,MatchLabel,IF(AM491&gt;=20,ReachLabel,IF(AM491&gt;=10,LongshotLabel,HailMaryLabel)))))),"Other")</f>
        <v>0</v>
      </c>
      <c r="AO491">
        <f>IF(OR(I491="accepted",I491="cond. accept",I491="summer admit"),IF(J491="yes","CHOICE!","Accepted!"),IF(I491="guar. transfer","Guar. Xfer",IF(I491="denied","Denied",IF(K491=1,"Waitlist",IF(L491=1,"Deferred",IF(G491="pending","Pending",IF(OR(G491="initial materials submitted",G491="mid-year submitted",G491="final submitted"),"Submitted",IF(H491="interest","Interest","?"))))))))</f>
        <v>0</v>
      </c>
      <c r="AP491">
        <f>IF(OR(AN491=ReachLabel,AN491=LongshotLabel,AN491=HailMaryLabel),1,0)</f>
        <v>0</v>
      </c>
      <c r="AQ491">
        <f>IF(OR(AP491=1,AN491=MatchLabel),1,0)</f>
        <v>0</v>
      </c>
      <c r="AR491">
        <f>IF(OR(AN491=MatchLabel,AN491=SafetyLabel,AN491=SecureLabel,AN491=SureThingLabel),1,0)</f>
        <v>0</v>
      </c>
      <c r="AS491">
        <f>IF(OR(W491="H",W491="B",W491="I",W491="M"),IF(ISNUMBER(AB491),ROUND(AB491,2),0),IF(ISNUMBER(AA491),ROUND(AA491,2),0))</f>
        <v>0</v>
      </c>
      <c r="AT491">
        <f>IF(AS491&gt;=X491,1,0)</f>
        <v>0</v>
      </c>
      <c r="AU491">
        <f>IF(AS491&gt;=Y491,1,0)</f>
        <v>0</v>
      </c>
      <c r="AV491">
        <f>IF(AS491&lt;(X491-0.10),1,0)</f>
        <v>0</v>
      </c>
      <c r="AW491">
        <f>1-AM491/100</f>
        <v>0</v>
      </c>
      <c r="AX491">
        <f>IF(AQ491=1,AW491,1)</f>
        <v>0</v>
      </c>
      <c r="AY491">
        <f>IF(AP491=1,AW491,1)</f>
        <v>0</v>
      </c>
      <c r="AZ491">
        <f>IF(AND(AT491=1,ISNUMBER(AW491)),$AW491,1)</f>
        <v>0</v>
      </c>
      <c r="BA491">
        <f>IF(AND(AU491=1,ISNUMBER(AW491)),$AW491,1)</f>
        <v>0</v>
      </c>
      <c r="BB491">
        <f>IF(ISNUMBER(AB491),INDEX(AllCollegeMoney, MATCH(N491,AllCollegeNCES,0)),0)</f>
        <v>0</v>
      </c>
      <c r="BC491">
        <f>IF(AND(AT491=1,ISNUMBER(AW491),BB491=1),$AW491,1)</f>
        <v>0</v>
      </c>
      <c r="BD491">
        <f>IF(AND(AU491=1,ISNUMBER(AW491),BB491=1),$AW491,1)</f>
        <v>0</v>
      </c>
      <c r="BE491">
        <f>IF(ISNUMBER(AB491),INDEX(AllCollegeILPub, MATCH(N491,AllCollegeNCES,0)),0)</f>
        <v>0</v>
      </c>
      <c r="BF491">
        <f>IF(AN491=ReachLabel,AS491,0)</f>
        <v>0</v>
      </c>
      <c r="BG491">
        <f>IF(AN491=MatchLabel,AS491,0)</f>
        <v>0</v>
      </c>
      <c r="BH491">
        <f>IF(AN491=SafetyLabel,AS491,0)</f>
        <v>0</v>
      </c>
      <c r="BI491">
        <f>IF(AN491=SecureLabel,AS491,0)</f>
        <v>0</v>
      </c>
      <c r="BJ491">
        <f>IF(AN491=SureThingLabel,AS491,0)</f>
        <v>0</v>
      </c>
      <c r="BK491">
        <f>MAX(BF491:BJ491)</f>
        <v>0</v>
      </c>
      <c r="BL491">
        <f>MAX(BG491:BJ491)</f>
        <v>0</v>
      </c>
      <c r="BM491">
        <f>MAX(BH491:BJ491)</f>
        <v>0</v>
      </c>
      <c r="BN491">
        <f>IF(AND(AN491=ReachLabel,BB491=1),AS491,0)</f>
        <v>0</v>
      </c>
      <c r="BO491">
        <f>IF(AND(AN491=MatchLabel,BB491=1),AS491,0)</f>
        <v>0</v>
      </c>
      <c r="BP491">
        <f>IF(AND(AN491=SafetyLabel,BB491=1),AS491,0)</f>
        <v>0</v>
      </c>
      <c r="BQ491">
        <f>IF(AND(AN491=SecureLabel,BB491=1),AS491,0)</f>
        <v>0</v>
      </c>
      <c r="BR491">
        <f>IF(AND(AN491=SureThingLabel,BB491=1),AS491,0)</f>
        <v>0</v>
      </c>
      <c r="BS491">
        <f>MAX(BN491:BR491)</f>
        <v>0</v>
      </c>
      <c r="BT491">
        <f>MAX(BO491:BR491)</f>
        <v>0</v>
      </c>
      <c r="BU491">
        <f>MAX(BP491:BR491)</f>
        <v>0</v>
      </c>
      <c r="BV491">
        <f>IF(ISNUMBER(AB491),INDEX(AllCollegeChicago, MATCH(N491,AllCollegeNCES,0))*BB491,0)</f>
        <v>0</v>
      </c>
      <c r="BW491">
        <f>IF(ISNUMBER(AB491),INDEX(AllCollegeMoneyCode, MATCH(N491,AllCollegeNCES,0)),"?")</f>
        <v>0</v>
      </c>
      <c r="BX491">
        <f>IF(OR(BW491="---",BW491="--",BW491="+/--",BW491="+/---"),1,0)</f>
        <v>0</v>
      </c>
      <c r="BY491">
        <f>BB491*AR491*AT491</f>
        <v>0</v>
      </c>
    </row>
    <row r="492" spans="1:77">
      <c r="A492" t="s">
        <v>96</v>
      </c>
      <c r="B492">
        <v>23461683</v>
      </c>
      <c r="C492" t="s">
        <v>303</v>
      </c>
      <c r="D492" t="s">
        <v>304</v>
      </c>
      <c r="E492" t="s">
        <v>446</v>
      </c>
      <c r="F492" t="s">
        <v>536</v>
      </c>
      <c r="G492" t="s">
        <v>448</v>
      </c>
      <c r="H492" t="s">
        <v>449</v>
      </c>
      <c r="I492" t="s">
        <v>450</v>
      </c>
      <c r="J492" t="s">
        <v>450</v>
      </c>
      <c r="K492">
        <v>0</v>
      </c>
      <c r="L492" t="s">
        <v>446</v>
      </c>
      <c r="M492" t="s">
        <v>446</v>
      </c>
      <c r="N492">
        <v>239628</v>
      </c>
      <c r="O492">
        <f>INDEX(Counselor,MATCH(B492,KidIDs,0))</f>
        <v>0</v>
      </c>
      <c r="P492">
        <f>INDEX(Advisors,MATCH(B492,KidIDs,0))</f>
        <v>0</v>
      </c>
      <c r="Q492">
        <f>INDEX(Cohort,MATCH(B492,KidIDs,0))</f>
        <v>0</v>
      </c>
      <c r="R492">
        <f>INDEX(AllCollegeBarrons,MATCH(N492,AllCollegeNCES,0))</f>
        <v>0</v>
      </c>
      <c r="S492">
        <f>INDEX(KidGPAs,MATCH(B492,KidIDs,0))</f>
        <v>0</v>
      </c>
      <c r="T492">
        <f>INDEX(KidSATs,MATCH(B492,KidIDs,0))</f>
        <v>0</v>
      </c>
      <c r="U492">
        <f>INDEX(Strats,MATCH(B492,KidIDs,0))</f>
        <v>0</v>
      </c>
      <c r="V492">
        <f>INDEX(KidRace,MATCH(B492,KidIDs,0))</f>
        <v>0</v>
      </c>
      <c r="W492">
        <f>IF(OR(V492="M",V492="I"),"H",IF(V492="P","A",V492))</f>
        <v>0</v>
      </c>
      <c r="X492">
        <f>INDEX(StudentTargets,MATCH(B492,KidIDs,0))</f>
        <v>0</v>
      </c>
      <c r="Y492">
        <f>INDEX(ReachStudentTargets,MATCH(B492,KidIDs,0))</f>
        <v>0</v>
      </c>
      <c r="Z492">
        <f>IF(OR(M492="Posse"),1,0)</f>
        <v>0</v>
      </c>
      <c r="AA492">
        <f>IF(ISNUMBER(INDEX(AllCollegeGR, MATCH(N492,AllCollegeNCES,0))),ROUND(INDEX(AllCollegeGR, MATCH(N492,AllCollegeNCES,0))+Z492*IF(INDEX(AllCollegeGR, MATCH(N492,AllCollegeNCES,0))&gt;0.7,(1-INDEX(AllCollegeGR, MATCH(N492,AllCollegeNCES,0)))/2,0.15),2),INDEX(AllCollegeGR, MATCH(N492,AllCollegeNCES,0)))</f>
        <v>0</v>
      </c>
      <c r="AB492">
        <f>IF(ISNUMBER(INDEX(AllCollegeAAHGR, MATCH(N492,AllCollegeNCES,0))),ROUND(INDEX(AllCollegeAAHGR, MATCH(N492,AllCollegeNCES,0))+Z492*IF(INDEX(AllCollegeAAHGR, MATCH(N492,AllCollegeNCES,0))&gt;0.7,(1-INDEX(AllCollegeAAHGR, MATCH(N492,AllCollegeNCES,0)))/2,0.15),2),INDEX(AllCollegeAAHGR, MATCH(N492,AllCollegeNCES,0)))</f>
        <v>0</v>
      </c>
      <c r="AC492">
        <f>IF(OR(W492="H",W492="B"),INDEX(AllCollegeSAT25, MATCH(N492,AllCollegeNCES,0)),INDEX(AllCollegeSAT50, MATCH(N492,AllCollegeNCES,0)))</f>
        <v>0</v>
      </c>
      <c r="AD492">
        <f>INDEX(CustomWeightsGPA,MATCH(W492&amp;":"&amp;N492,CustomWeightsIndex,0))</f>
        <v>0</v>
      </c>
      <c r="AE492">
        <f>INDEX(CustomWeightsSAT,MATCH(W492&amp;":"&amp;N492,CustomWeightsIndex,0))</f>
        <v>0</v>
      </c>
      <c r="AF492">
        <f>INDEX(CustomWeightsIntercept,MATCH(W492&amp;":"&amp;N492,CustomWeightsIndex,0))</f>
        <v>0</v>
      </c>
      <c r="AG492">
        <f>AD492*S492+AE492*T492+AF492</f>
        <v>0</v>
      </c>
      <c r="AH492">
        <f>INDEX(CoefficientsGPA,MATCH(W492&amp;":"&amp;R492,CoefficientsIndex,0))</f>
        <v>0</v>
      </c>
      <c r="AI492">
        <f>INDEX(CoefficientsSAT,MATCH(W492&amp;":"&amp;R492,CoefficientsIndex,0))</f>
        <v>0</v>
      </c>
      <c r="AJ492">
        <f>INDEX(CoefficientsIntercept,MATCH(W492&amp;":"&amp;R492,CoefficientsIndex,0))</f>
        <v>0</v>
      </c>
      <c r="AK492">
        <f>AH492*S492+(T492-AC492)*AI492+AJ492</f>
        <v>0</v>
      </c>
      <c r="AL492">
        <f>IF(ISNUMBER(AG492),AG492,AK492)</f>
        <v>0</v>
      </c>
      <c r="AM492">
        <f>IF(ISNUMBER(AL492),IF(ISNUMBER(AH492),IF(AND(AH492=1,AI492=1,AJ492=1),100,MIN(99,ROUND(100*EXP(AL492)/(1+EXP(AL492)),2))),MIN(99,ROUND(100*EXP(AL492)/(1+EXP(AL492)),2))),IF(ISTEXT(R492),IF(LEFT(R492,1)="2",100,"N/A"),"N/A"))</f>
        <v>0</v>
      </c>
      <c r="AN492">
        <f>IF(ISNUMBER(AM492),IF(AM492&gt;=99,IF(OR(U492=10,U492=11),MatchLabel,SureThingLabel),IF(AM492&gt;=95,SecureLabel,IF(AM492&gt;=80,SafetyLabel,IF(AM492&gt;=50,MatchLabel,IF(AM492&gt;=20,ReachLabel,IF(AM492&gt;=10,LongshotLabel,HailMaryLabel)))))),"Other")</f>
        <v>0</v>
      </c>
      <c r="AO492">
        <f>IF(OR(I492="accepted",I492="cond. accept",I492="summer admit"),IF(J492="yes","CHOICE!","Accepted!"),IF(I492="guar. transfer","Guar. Xfer",IF(I492="denied","Denied",IF(K492=1,"Waitlist",IF(L492=1,"Deferred",IF(G492="pending","Pending",IF(OR(G492="initial materials submitted",G492="mid-year submitted",G492="final submitted"),"Submitted",IF(H492="interest","Interest","?"))))))))</f>
        <v>0</v>
      </c>
      <c r="AP492">
        <f>IF(OR(AN492=ReachLabel,AN492=LongshotLabel,AN492=HailMaryLabel),1,0)</f>
        <v>0</v>
      </c>
      <c r="AQ492">
        <f>IF(OR(AP492=1,AN492=MatchLabel),1,0)</f>
        <v>0</v>
      </c>
      <c r="AR492">
        <f>IF(OR(AN492=MatchLabel,AN492=SafetyLabel,AN492=SecureLabel,AN492=SureThingLabel),1,0)</f>
        <v>0</v>
      </c>
      <c r="AS492">
        <f>IF(OR(W492="H",W492="B",W492="I",W492="M"),IF(ISNUMBER(AB492),ROUND(AB492,2),0),IF(ISNUMBER(AA492),ROUND(AA492,2),0))</f>
        <v>0</v>
      </c>
      <c r="AT492">
        <f>IF(AS492&gt;=X492,1,0)</f>
        <v>0</v>
      </c>
      <c r="AU492">
        <f>IF(AS492&gt;=Y492,1,0)</f>
        <v>0</v>
      </c>
      <c r="AV492">
        <f>IF(AS492&lt;(X492-0.10),1,0)</f>
        <v>0</v>
      </c>
      <c r="AW492">
        <f>1-AM492/100</f>
        <v>0</v>
      </c>
      <c r="AX492">
        <f>IF(AQ492=1,AW492,1)</f>
        <v>0</v>
      </c>
      <c r="AY492">
        <f>IF(AP492=1,AW492,1)</f>
        <v>0</v>
      </c>
      <c r="AZ492">
        <f>IF(AND(AT492=1,ISNUMBER(AW492)),$AW492,1)</f>
        <v>0</v>
      </c>
      <c r="BA492">
        <f>IF(AND(AU492=1,ISNUMBER(AW492)),$AW492,1)</f>
        <v>0</v>
      </c>
      <c r="BB492">
        <f>IF(ISNUMBER(AB492),INDEX(AllCollegeMoney, MATCH(N492,AllCollegeNCES,0)),0)</f>
        <v>0</v>
      </c>
      <c r="BC492">
        <f>IF(AND(AT492=1,ISNUMBER(AW492),BB492=1),$AW492,1)</f>
        <v>0</v>
      </c>
      <c r="BD492">
        <f>IF(AND(AU492=1,ISNUMBER(AW492),BB492=1),$AW492,1)</f>
        <v>0</v>
      </c>
      <c r="BE492">
        <f>IF(ISNUMBER(AB492),INDEX(AllCollegeILPub, MATCH(N492,AllCollegeNCES,0)),0)</f>
        <v>0</v>
      </c>
      <c r="BF492">
        <f>IF(AN492=ReachLabel,AS492,0)</f>
        <v>0</v>
      </c>
      <c r="BG492">
        <f>IF(AN492=MatchLabel,AS492,0)</f>
        <v>0</v>
      </c>
      <c r="BH492">
        <f>IF(AN492=SafetyLabel,AS492,0)</f>
        <v>0</v>
      </c>
      <c r="BI492">
        <f>IF(AN492=SecureLabel,AS492,0)</f>
        <v>0</v>
      </c>
      <c r="BJ492">
        <f>IF(AN492=SureThingLabel,AS492,0)</f>
        <v>0</v>
      </c>
      <c r="BK492">
        <f>MAX(BF492:BJ492)</f>
        <v>0</v>
      </c>
      <c r="BL492">
        <f>MAX(BG492:BJ492)</f>
        <v>0</v>
      </c>
      <c r="BM492">
        <f>MAX(BH492:BJ492)</f>
        <v>0</v>
      </c>
      <c r="BN492">
        <f>IF(AND(AN492=ReachLabel,BB492=1),AS492,0)</f>
        <v>0</v>
      </c>
      <c r="BO492">
        <f>IF(AND(AN492=MatchLabel,BB492=1),AS492,0)</f>
        <v>0</v>
      </c>
      <c r="BP492">
        <f>IF(AND(AN492=SafetyLabel,BB492=1),AS492,0)</f>
        <v>0</v>
      </c>
      <c r="BQ492">
        <f>IF(AND(AN492=SecureLabel,BB492=1),AS492,0)</f>
        <v>0</v>
      </c>
      <c r="BR492">
        <f>IF(AND(AN492=SureThingLabel,BB492=1),AS492,0)</f>
        <v>0</v>
      </c>
      <c r="BS492">
        <f>MAX(BN492:BR492)</f>
        <v>0</v>
      </c>
      <c r="BT492">
        <f>MAX(BO492:BR492)</f>
        <v>0</v>
      </c>
      <c r="BU492">
        <f>MAX(BP492:BR492)</f>
        <v>0</v>
      </c>
      <c r="BV492">
        <f>IF(ISNUMBER(AB492),INDEX(AllCollegeChicago, MATCH(N492,AllCollegeNCES,0))*BB492,0)</f>
        <v>0</v>
      </c>
      <c r="BW492">
        <f>IF(ISNUMBER(AB492),INDEX(AllCollegeMoneyCode, MATCH(N492,AllCollegeNCES,0)),"?")</f>
        <v>0</v>
      </c>
      <c r="BX492">
        <f>IF(OR(BW492="---",BW492="--",BW492="+/--",BW492="+/---"),1,0)</f>
        <v>0</v>
      </c>
      <c r="BY492">
        <f>BB492*AR492*AT492</f>
        <v>0</v>
      </c>
    </row>
    <row r="493" spans="1:77">
      <c r="A493" t="s">
        <v>96</v>
      </c>
      <c r="B493">
        <v>23463287</v>
      </c>
      <c r="C493" t="s">
        <v>155</v>
      </c>
      <c r="D493" t="s">
        <v>156</v>
      </c>
      <c r="E493" t="s">
        <v>446</v>
      </c>
      <c r="F493" t="s">
        <v>465</v>
      </c>
      <c r="G493" t="s">
        <v>448</v>
      </c>
      <c r="H493" t="s">
        <v>449</v>
      </c>
      <c r="I493" t="s">
        <v>450</v>
      </c>
      <c r="J493" t="s">
        <v>450</v>
      </c>
      <c r="K493">
        <v>0</v>
      </c>
      <c r="L493" t="s">
        <v>446</v>
      </c>
      <c r="M493" t="s">
        <v>446</v>
      </c>
      <c r="N493">
        <v>145600</v>
      </c>
      <c r="O493">
        <f>INDEX(Counselor,MATCH(B493,KidIDs,0))</f>
        <v>0</v>
      </c>
      <c r="P493">
        <f>INDEX(Advisors,MATCH(B493,KidIDs,0))</f>
        <v>0</v>
      </c>
      <c r="Q493">
        <f>INDEX(Cohort,MATCH(B493,KidIDs,0))</f>
        <v>0</v>
      </c>
      <c r="R493">
        <f>INDEX(AllCollegeBarrons,MATCH(N493,AllCollegeNCES,0))</f>
        <v>0</v>
      </c>
      <c r="S493">
        <f>INDEX(KidGPAs,MATCH(B493,KidIDs,0))</f>
        <v>0</v>
      </c>
      <c r="T493">
        <f>INDEX(KidSATs,MATCH(B493,KidIDs,0))</f>
        <v>0</v>
      </c>
      <c r="U493">
        <f>INDEX(Strats,MATCH(B493,KidIDs,0))</f>
        <v>0</v>
      </c>
      <c r="V493">
        <f>INDEX(KidRace,MATCH(B493,KidIDs,0))</f>
        <v>0</v>
      </c>
      <c r="W493">
        <f>IF(OR(V493="M",V493="I"),"H",IF(V493="P","A",V493))</f>
        <v>0</v>
      </c>
      <c r="X493">
        <f>INDEX(StudentTargets,MATCH(B493,KidIDs,0))</f>
        <v>0</v>
      </c>
      <c r="Y493">
        <f>INDEX(ReachStudentTargets,MATCH(B493,KidIDs,0))</f>
        <v>0</v>
      </c>
      <c r="Z493">
        <f>IF(OR(M493="Posse"),1,0)</f>
        <v>0</v>
      </c>
      <c r="AA493">
        <f>IF(ISNUMBER(INDEX(AllCollegeGR, MATCH(N493,AllCollegeNCES,0))),ROUND(INDEX(AllCollegeGR, MATCH(N493,AllCollegeNCES,0))+Z493*IF(INDEX(AllCollegeGR, MATCH(N493,AllCollegeNCES,0))&gt;0.7,(1-INDEX(AllCollegeGR, MATCH(N493,AllCollegeNCES,0)))/2,0.15),2),INDEX(AllCollegeGR, MATCH(N493,AllCollegeNCES,0)))</f>
        <v>0</v>
      </c>
      <c r="AB493">
        <f>IF(ISNUMBER(INDEX(AllCollegeAAHGR, MATCH(N493,AllCollegeNCES,0))),ROUND(INDEX(AllCollegeAAHGR, MATCH(N493,AllCollegeNCES,0))+Z493*IF(INDEX(AllCollegeAAHGR, MATCH(N493,AllCollegeNCES,0))&gt;0.7,(1-INDEX(AllCollegeAAHGR, MATCH(N493,AllCollegeNCES,0)))/2,0.15),2),INDEX(AllCollegeAAHGR, MATCH(N493,AllCollegeNCES,0)))</f>
        <v>0</v>
      </c>
      <c r="AC493">
        <f>IF(OR(W493="H",W493="B"),INDEX(AllCollegeSAT25, MATCH(N493,AllCollegeNCES,0)),INDEX(AllCollegeSAT50, MATCH(N493,AllCollegeNCES,0)))</f>
        <v>0</v>
      </c>
      <c r="AD493">
        <f>INDEX(CustomWeightsGPA,MATCH(W493&amp;":"&amp;N493,CustomWeightsIndex,0))</f>
        <v>0</v>
      </c>
      <c r="AE493">
        <f>INDEX(CustomWeightsSAT,MATCH(W493&amp;":"&amp;N493,CustomWeightsIndex,0))</f>
        <v>0</v>
      </c>
      <c r="AF493">
        <f>INDEX(CustomWeightsIntercept,MATCH(W493&amp;":"&amp;N493,CustomWeightsIndex,0))</f>
        <v>0</v>
      </c>
      <c r="AG493">
        <f>AD493*S493+AE493*T493+AF493</f>
        <v>0</v>
      </c>
      <c r="AH493">
        <f>INDEX(CoefficientsGPA,MATCH(W493&amp;":"&amp;R493,CoefficientsIndex,0))</f>
        <v>0</v>
      </c>
      <c r="AI493">
        <f>INDEX(CoefficientsSAT,MATCH(W493&amp;":"&amp;R493,CoefficientsIndex,0))</f>
        <v>0</v>
      </c>
      <c r="AJ493">
        <f>INDEX(CoefficientsIntercept,MATCH(W493&amp;":"&amp;R493,CoefficientsIndex,0))</f>
        <v>0</v>
      </c>
      <c r="AK493">
        <f>AH493*S493+(T493-AC493)*AI493+AJ493</f>
        <v>0</v>
      </c>
      <c r="AL493">
        <f>IF(ISNUMBER(AG493),AG493,AK493)</f>
        <v>0</v>
      </c>
      <c r="AM493">
        <f>IF(ISNUMBER(AL493),IF(ISNUMBER(AH493),IF(AND(AH493=1,AI493=1,AJ493=1),100,MIN(99,ROUND(100*EXP(AL493)/(1+EXP(AL493)),2))),MIN(99,ROUND(100*EXP(AL493)/(1+EXP(AL493)),2))),IF(ISTEXT(R493),IF(LEFT(R493,1)="2",100,"N/A"),"N/A"))</f>
        <v>0</v>
      </c>
      <c r="AN493">
        <f>IF(ISNUMBER(AM493),IF(AM493&gt;=99,IF(OR(U493=10,U493=11),MatchLabel,SureThingLabel),IF(AM493&gt;=95,SecureLabel,IF(AM493&gt;=80,SafetyLabel,IF(AM493&gt;=50,MatchLabel,IF(AM493&gt;=20,ReachLabel,IF(AM493&gt;=10,LongshotLabel,HailMaryLabel)))))),"Other")</f>
        <v>0</v>
      </c>
      <c r="AO493">
        <f>IF(OR(I493="accepted",I493="cond. accept",I493="summer admit"),IF(J493="yes","CHOICE!","Accepted!"),IF(I493="guar. transfer","Guar. Xfer",IF(I493="denied","Denied",IF(K493=1,"Waitlist",IF(L493=1,"Deferred",IF(G493="pending","Pending",IF(OR(G493="initial materials submitted",G493="mid-year submitted",G493="final submitted"),"Submitted",IF(H493="interest","Interest","?"))))))))</f>
        <v>0</v>
      </c>
      <c r="AP493">
        <f>IF(OR(AN493=ReachLabel,AN493=LongshotLabel,AN493=HailMaryLabel),1,0)</f>
        <v>0</v>
      </c>
      <c r="AQ493">
        <f>IF(OR(AP493=1,AN493=MatchLabel),1,0)</f>
        <v>0</v>
      </c>
      <c r="AR493">
        <f>IF(OR(AN493=MatchLabel,AN493=SafetyLabel,AN493=SecureLabel,AN493=SureThingLabel),1,0)</f>
        <v>0</v>
      </c>
      <c r="AS493">
        <f>IF(OR(W493="H",W493="B",W493="I",W493="M"),IF(ISNUMBER(AB493),ROUND(AB493,2),0),IF(ISNUMBER(AA493),ROUND(AA493,2),0))</f>
        <v>0</v>
      </c>
      <c r="AT493">
        <f>IF(AS493&gt;=X493,1,0)</f>
        <v>0</v>
      </c>
      <c r="AU493">
        <f>IF(AS493&gt;=Y493,1,0)</f>
        <v>0</v>
      </c>
      <c r="AV493">
        <f>IF(AS493&lt;(X493-0.10),1,0)</f>
        <v>0</v>
      </c>
      <c r="AW493">
        <f>1-AM493/100</f>
        <v>0</v>
      </c>
      <c r="AX493">
        <f>IF(AQ493=1,AW493,1)</f>
        <v>0</v>
      </c>
      <c r="AY493">
        <f>IF(AP493=1,AW493,1)</f>
        <v>0</v>
      </c>
      <c r="AZ493">
        <f>IF(AND(AT493=1,ISNUMBER(AW493)),$AW493,1)</f>
        <v>0</v>
      </c>
      <c r="BA493">
        <f>IF(AND(AU493=1,ISNUMBER(AW493)),$AW493,1)</f>
        <v>0</v>
      </c>
      <c r="BB493">
        <f>IF(ISNUMBER(AB493),INDEX(AllCollegeMoney, MATCH(N493,AllCollegeNCES,0)),0)</f>
        <v>0</v>
      </c>
      <c r="BC493">
        <f>IF(AND(AT493=1,ISNUMBER(AW493),BB493=1),$AW493,1)</f>
        <v>0</v>
      </c>
      <c r="BD493">
        <f>IF(AND(AU493=1,ISNUMBER(AW493),BB493=1),$AW493,1)</f>
        <v>0</v>
      </c>
      <c r="BE493">
        <f>IF(ISNUMBER(AB493),INDEX(AllCollegeILPub, MATCH(N493,AllCollegeNCES,0)),0)</f>
        <v>0</v>
      </c>
      <c r="BF493">
        <f>IF(AN493=ReachLabel,AS493,0)</f>
        <v>0</v>
      </c>
      <c r="BG493">
        <f>IF(AN493=MatchLabel,AS493,0)</f>
        <v>0</v>
      </c>
      <c r="BH493">
        <f>IF(AN493=SafetyLabel,AS493,0)</f>
        <v>0</v>
      </c>
      <c r="BI493">
        <f>IF(AN493=SecureLabel,AS493,0)</f>
        <v>0</v>
      </c>
      <c r="BJ493">
        <f>IF(AN493=SureThingLabel,AS493,0)</f>
        <v>0</v>
      </c>
      <c r="BK493">
        <f>MAX(BF493:BJ493)</f>
        <v>0</v>
      </c>
      <c r="BL493">
        <f>MAX(BG493:BJ493)</f>
        <v>0</v>
      </c>
      <c r="BM493">
        <f>MAX(BH493:BJ493)</f>
        <v>0</v>
      </c>
      <c r="BN493">
        <f>IF(AND(AN493=ReachLabel,BB493=1),AS493,0)</f>
        <v>0</v>
      </c>
      <c r="BO493">
        <f>IF(AND(AN493=MatchLabel,BB493=1),AS493,0)</f>
        <v>0</v>
      </c>
      <c r="BP493">
        <f>IF(AND(AN493=SafetyLabel,BB493=1),AS493,0)</f>
        <v>0</v>
      </c>
      <c r="BQ493">
        <f>IF(AND(AN493=SecureLabel,BB493=1),AS493,0)</f>
        <v>0</v>
      </c>
      <c r="BR493">
        <f>IF(AND(AN493=SureThingLabel,BB493=1),AS493,0)</f>
        <v>0</v>
      </c>
      <c r="BS493">
        <f>MAX(BN493:BR493)</f>
        <v>0</v>
      </c>
      <c r="BT493">
        <f>MAX(BO493:BR493)</f>
        <v>0</v>
      </c>
      <c r="BU493">
        <f>MAX(BP493:BR493)</f>
        <v>0</v>
      </c>
      <c r="BV493">
        <f>IF(ISNUMBER(AB493),INDEX(AllCollegeChicago, MATCH(N493,AllCollegeNCES,0))*BB493,0)</f>
        <v>0</v>
      </c>
      <c r="BW493">
        <f>IF(ISNUMBER(AB493),INDEX(AllCollegeMoneyCode, MATCH(N493,AllCollegeNCES,0)),"?")</f>
        <v>0</v>
      </c>
      <c r="BX493">
        <f>IF(OR(BW493="---",BW493="--",BW493="+/--",BW493="+/---"),1,0)</f>
        <v>0</v>
      </c>
      <c r="BY493">
        <f>BB493*AR493*AT493</f>
        <v>0</v>
      </c>
    </row>
    <row r="494" spans="1:77">
      <c r="A494" t="s">
        <v>96</v>
      </c>
      <c r="B494">
        <v>23463287</v>
      </c>
      <c r="C494" t="s">
        <v>155</v>
      </c>
      <c r="D494" t="s">
        <v>156</v>
      </c>
      <c r="E494" t="s">
        <v>446</v>
      </c>
      <c r="F494" t="s">
        <v>561</v>
      </c>
      <c r="G494" t="s">
        <v>543</v>
      </c>
      <c r="H494" t="s">
        <v>543</v>
      </c>
      <c r="I494" t="s">
        <v>544</v>
      </c>
      <c r="J494" t="s">
        <v>446</v>
      </c>
      <c r="K494" t="s">
        <v>446</v>
      </c>
      <c r="L494" t="s">
        <v>446</v>
      </c>
      <c r="M494" t="s">
        <v>446</v>
      </c>
      <c r="N494">
        <v>100000001</v>
      </c>
      <c r="O494">
        <f>INDEX(Counselor,MATCH(B494,KidIDs,0))</f>
        <v>0</v>
      </c>
      <c r="P494">
        <f>INDEX(Advisors,MATCH(B494,KidIDs,0))</f>
        <v>0</v>
      </c>
      <c r="Q494">
        <f>INDEX(Cohort,MATCH(B494,KidIDs,0))</f>
        <v>0</v>
      </c>
      <c r="R494">
        <f>INDEX(AllCollegeBarrons,MATCH(N494,AllCollegeNCES,0))</f>
        <v>0</v>
      </c>
      <c r="S494">
        <f>INDEX(KidGPAs,MATCH(B494,KidIDs,0))</f>
        <v>0</v>
      </c>
      <c r="T494">
        <f>INDEX(KidSATs,MATCH(B494,KidIDs,0))</f>
        <v>0</v>
      </c>
      <c r="U494">
        <f>INDEX(Strats,MATCH(B494,KidIDs,0))</f>
        <v>0</v>
      </c>
      <c r="V494">
        <f>INDEX(KidRace,MATCH(B494,KidIDs,0))</f>
        <v>0</v>
      </c>
      <c r="W494">
        <f>IF(OR(V494="M",V494="I"),"H",IF(V494="P","A",V494))</f>
        <v>0</v>
      </c>
      <c r="X494">
        <f>INDEX(StudentTargets,MATCH(B494,KidIDs,0))</f>
        <v>0</v>
      </c>
      <c r="Y494">
        <f>INDEX(ReachStudentTargets,MATCH(B494,KidIDs,0))</f>
        <v>0</v>
      </c>
      <c r="Z494">
        <f>IF(OR(M494="Posse"),1,0)</f>
        <v>0</v>
      </c>
      <c r="AA494">
        <f>IF(ISNUMBER(INDEX(AllCollegeGR, MATCH(N494,AllCollegeNCES,0))),ROUND(INDEX(AllCollegeGR, MATCH(N494,AllCollegeNCES,0))+Z494*IF(INDEX(AllCollegeGR, MATCH(N494,AllCollegeNCES,0))&gt;0.7,(1-INDEX(AllCollegeGR, MATCH(N494,AllCollegeNCES,0)))/2,0.15),2),INDEX(AllCollegeGR, MATCH(N494,AllCollegeNCES,0)))</f>
        <v>0</v>
      </c>
      <c r="AB494">
        <f>IF(ISNUMBER(INDEX(AllCollegeAAHGR, MATCH(N494,AllCollegeNCES,0))),ROUND(INDEX(AllCollegeAAHGR, MATCH(N494,AllCollegeNCES,0))+Z494*IF(INDEX(AllCollegeAAHGR, MATCH(N494,AllCollegeNCES,0))&gt;0.7,(1-INDEX(AllCollegeAAHGR, MATCH(N494,AllCollegeNCES,0)))/2,0.15),2),INDEX(AllCollegeAAHGR, MATCH(N494,AllCollegeNCES,0)))</f>
        <v>0</v>
      </c>
      <c r="AC494">
        <f>IF(OR(W494="H",W494="B"),INDEX(AllCollegeSAT25, MATCH(N494,AllCollegeNCES,0)),INDEX(AllCollegeSAT50, MATCH(N494,AllCollegeNCES,0)))</f>
        <v>0</v>
      </c>
      <c r="AD494">
        <f>INDEX(CustomWeightsGPA,MATCH(W494&amp;":"&amp;N494,CustomWeightsIndex,0))</f>
        <v>0</v>
      </c>
      <c r="AE494">
        <f>INDEX(CustomWeightsSAT,MATCH(W494&amp;":"&amp;N494,CustomWeightsIndex,0))</f>
        <v>0</v>
      </c>
      <c r="AF494">
        <f>INDEX(CustomWeightsIntercept,MATCH(W494&amp;":"&amp;N494,CustomWeightsIndex,0))</f>
        <v>0</v>
      </c>
      <c r="AG494">
        <f>AD494*S494+AE494*T494+AF494</f>
        <v>0</v>
      </c>
      <c r="AH494">
        <f>INDEX(CoefficientsGPA,MATCH(W494&amp;":"&amp;R494,CoefficientsIndex,0))</f>
        <v>0</v>
      </c>
      <c r="AI494">
        <f>INDEX(CoefficientsSAT,MATCH(W494&amp;":"&amp;R494,CoefficientsIndex,0))</f>
        <v>0</v>
      </c>
      <c r="AJ494">
        <f>INDEX(CoefficientsIntercept,MATCH(W494&amp;":"&amp;R494,CoefficientsIndex,0))</f>
        <v>0</v>
      </c>
      <c r="AK494">
        <f>AH494*S494+(T494-AC494)*AI494+AJ494</f>
        <v>0</v>
      </c>
      <c r="AL494">
        <f>IF(ISNUMBER(AG494),AG494,AK494)</f>
        <v>0</v>
      </c>
      <c r="AM494">
        <f>IF(ISNUMBER(AL494),IF(ISNUMBER(AH494),IF(AND(AH494=1,AI494=1,AJ494=1),100,MIN(99,ROUND(100*EXP(AL494)/(1+EXP(AL494)),2))),MIN(99,ROUND(100*EXP(AL494)/(1+EXP(AL494)),2))),IF(ISTEXT(R494),IF(LEFT(R494,1)="2",100,"N/A"),"N/A"))</f>
        <v>0</v>
      </c>
      <c r="AN494">
        <f>IF(ISNUMBER(AM494),IF(AM494&gt;=99,IF(OR(U494=10,U494=11),MatchLabel,SureThingLabel),IF(AM494&gt;=95,SecureLabel,IF(AM494&gt;=80,SafetyLabel,IF(AM494&gt;=50,MatchLabel,IF(AM494&gt;=20,ReachLabel,IF(AM494&gt;=10,LongshotLabel,HailMaryLabel)))))),"Other")</f>
        <v>0</v>
      </c>
      <c r="AO494">
        <f>IF(OR(I494="accepted",I494="cond. accept",I494="summer admit"),IF(J494="yes","CHOICE!","Accepted!"),IF(I494="guar. transfer","Guar. Xfer",IF(I494="denied","Denied",IF(K494=1,"Waitlist",IF(L494=1,"Deferred",IF(G494="pending","Pending",IF(OR(G494="initial materials submitted",G494="mid-year submitted",G494="final submitted"),"Submitted",IF(H494="interest","Interest","?"))))))))</f>
        <v>0</v>
      </c>
      <c r="AP494">
        <f>IF(OR(AN494=ReachLabel,AN494=LongshotLabel,AN494=HailMaryLabel),1,0)</f>
        <v>0</v>
      </c>
      <c r="AQ494">
        <f>IF(OR(AP494=1,AN494=MatchLabel),1,0)</f>
        <v>0</v>
      </c>
      <c r="AR494">
        <f>IF(OR(AN494=MatchLabel,AN494=SafetyLabel,AN494=SecureLabel,AN494=SureThingLabel),1,0)</f>
        <v>0</v>
      </c>
      <c r="AS494">
        <f>IF(OR(W494="H",W494="B",W494="I",W494="M"),IF(ISNUMBER(AB494),ROUND(AB494,2),0),IF(ISNUMBER(AA494),ROUND(AA494,2),0))</f>
        <v>0</v>
      </c>
      <c r="AT494">
        <f>IF(AS494&gt;=X494,1,0)</f>
        <v>0</v>
      </c>
      <c r="AU494">
        <f>IF(AS494&gt;=Y494,1,0)</f>
        <v>0</v>
      </c>
      <c r="AV494">
        <f>IF(AS494&lt;(X494-0.10),1,0)</f>
        <v>0</v>
      </c>
      <c r="AW494">
        <f>1-AM494/100</f>
        <v>0</v>
      </c>
      <c r="AX494">
        <f>IF(AQ494=1,AW494,1)</f>
        <v>0</v>
      </c>
      <c r="AY494">
        <f>IF(AP494=1,AW494,1)</f>
        <v>0</v>
      </c>
      <c r="AZ494">
        <f>IF(AND(AT494=1,ISNUMBER(AW494)),$AW494,1)</f>
        <v>0</v>
      </c>
      <c r="BA494">
        <f>IF(AND(AU494=1,ISNUMBER(AW494)),$AW494,1)</f>
        <v>0</v>
      </c>
      <c r="BB494">
        <f>IF(ISNUMBER(AB494),INDEX(AllCollegeMoney, MATCH(N494,AllCollegeNCES,0)),0)</f>
        <v>0</v>
      </c>
      <c r="BC494">
        <f>IF(AND(AT494=1,ISNUMBER(AW494),BB494=1),$AW494,1)</f>
        <v>0</v>
      </c>
      <c r="BD494">
        <f>IF(AND(AU494=1,ISNUMBER(AW494),BB494=1),$AW494,1)</f>
        <v>0</v>
      </c>
      <c r="BE494">
        <f>IF(ISNUMBER(AB494),INDEX(AllCollegeILPub, MATCH(N494,AllCollegeNCES,0)),0)</f>
        <v>0</v>
      </c>
      <c r="BF494">
        <f>IF(AN494=ReachLabel,AS494,0)</f>
        <v>0</v>
      </c>
      <c r="BG494">
        <f>IF(AN494=MatchLabel,AS494,0)</f>
        <v>0</v>
      </c>
      <c r="BH494">
        <f>IF(AN494=SafetyLabel,AS494,0)</f>
        <v>0</v>
      </c>
      <c r="BI494">
        <f>IF(AN494=SecureLabel,AS494,0)</f>
        <v>0</v>
      </c>
      <c r="BJ494">
        <f>IF(AN494=SureThingLabel,AS494,0)</f>
        <v>0</v>
      </c>
      <c r="BK494">
        <f>MAX(BF494:BJ494)</f>
        <v>0</v>
      </c>
      <c r="BL494">
        <f>MAX(BG494:BJ494)</f>
        <v>0</v>
      </c>
      <c r="BM494">
        <f>MAX(BH494:BJ494)</f>
        <v>0</v>
      </c>
      <c r="BN494">
        <f>IF(AND(AN494=ReachLabel,BB494=1),AS494,0)</f>
        <v>0</v>
      </c>
      <c r="BO494">
        <f>IF(AND(AN494=MatchLabel,BB494=1),AS494,0)</f>
        <v>0</v>
      </c>
      <c r="BP494">
        <f>IF(AND(AN494=SafetyLabel,BB494=1),AS494,0)</f>
        <v>0</v>
      </c>
      <c r="BQ494">
        <f>IF(AND(AN494=SecureLabel,BB494=1),AS494,0)</f>
        <v>0</v>
      </c>
      <c r="BR494">
        <f>IF(AND(AN494=SureThingLabel,BB494=1),AS494,0)</f>
        <v>0</v>
      </c>
      <c r="BS494">
        <f>MAX(BN494:BR494)</f>
        <v>0</v>
      </c>
      <c r="BT494">
        <f>MAX(BO494:BR494)</f>
        <v>0</v>
      </c>
      <c r="BU494">
        <f>MAX(BP494:BR494)</f>
        <v>0</v>
      </c>
      <c r="BV494">
        <f>IF(ISNUMBER(AB494),INDEX(AllCollegeChicago, MATCH(N494,AllCollegeNCES,0))*BB494,0)</f>
        <v>0</v>
      </c>
      <c r="BW494">
        <f>IF(ISNUMBER(AB494),INDEX(AllCollegeMoneyCode, MATCH(N494,AllCollegeNCES,0)),"?")</f>
        <v>0</v>
      </c>
      <c r="BX494">
        <f>IF(OR(BW494="---",BW494="--",BW494="+/--",BW494="+/---"),1,0)</f>
        <v>0</v>
      </c>
      <c r="BY494">
        <f>BB494*AR494*AT494</f>
        <v>0</v>
      </c>
    </row>
    <row r="495" spans="1:77">
      <c r="A495" t="s">
        <v>96</v>
      </c>
      <c r="B495">
        <v>23463287</v>
      </c>
      <c r="C495" t="s">
        <v>155</v>
      </c>
      <c r="D495" t="s">
        <v>156</v>
      </c>
      <c r="E495" t="s">
        <v>446</v>
      </c>
      <c r="F495" t="s">
        <v>573</v>
      </c>
      <c r="G495" t="s">
        <v>543</v>
      </c>
      <c r="H495" t="s">
        <v>543</v>
      </c>
      <c r="I495" t="s">
        <v>544</v>
      </c>
      <c r="J495" t="s">
        <v>446</v>
      </c>
      <c r="K495" t="s">
        <v>446</v>
      </c>
      <c r="L495" t="s">
        <v>446</v>
      </c>
      <c r="M495" t="s">
        <v>446</v>
      </c>
      <c r="N495">
        <v>144184</v>
      </c>
      <c r="O495">
        <f>INDEX(Counselor,MATCH(B495,KidIDs,0))</f>
        <v>0</v>
      </c>
      <c r="P495">
        <f>INDEX(Advisors,MATCH(B495,KidIDs,0))</f>
        <v>0</v>
      </c>
      <c r="Q495">
        <f>INDEX(Cohort,MATCH(B495,KidIDs,0))</f>
        <v>0</v>
      </c>
      <c r="R495">
        <f>INDEX(AllCollegeBarrons,MATCH(N495,AllCollegeNCES,0))</f>
        <v>0</v>
      </c>
      <c r="S495">
        <f>INDEX(KidGPAs,MATCH(B495,KidIDs,0))</f>
        <v>0</v>
      </c>
      <c r="T495">
        <f>INDEX(KidSATs,MATCH(B495,KidIDs,0))</f>
        <v>0</v>
      </c>
      <c r="U495">
        <f>INDEX(Strats,MATCH(B495,KidIDs,0))</f>
        <v>0</v>
      </c>
      <c r="V495">
        <f>INDEX(KidRace,MATCH(B495,KidIDs,0))</f>
        <v>0</v>
      </c>
      <c r="W495">
        <f>IF(OR(V495="M",V495="I"),"H",IF(V495="P","A",V495))</f>
        <v>0</v>
      </c>
      <c r="X495">
        <f>INDEX(StudentTargets,MATCH(B495,KidIDs,0))</f>
        <v>0</v>
      </c>
      <c r="Y495">
        <f>INDEX(ReachStudentTargets,MATCH(B495,KidIDs,0))</f>
        <v>0</v>
      </c>
      <c r="Z495">
        <f>IF(OR(M495="Posse"),1,0)</f>
        <v>0</v>
      </c>
      <c r="AA495">
        <f>IF(ISNUMBER(INDEX(AllCollegeGR, MATCH(N495,AllCollegeNCES,0))),ROUND(INDEX(AllCollegeGR, MATCH(N495,AllCollegeNCES,0))+Z495*IF(INDEX(AllCollegeGR, MATCH(N495,AllCollegeNCES,0))&gt;0.7,(1-INDEX(AllCollegeGR, MATCH(N495,AllCollegeNCES,0)))/2,0.15),2),INDEX(AllCollegeGR, MATCH(N495,AllCollegeNCES,0)))</f>
        <v>0</v>
      </c>
      <c r="AB495">
        <f>IF(ISNUMBER(INDEX(AllCollegeAAHGR, MATCH(N495,AllCollegeNCES,0))),ROUND(INDEX(AllCollegeAAHGR, MATCH(N495,AllCollegeNCES,0))+Z495*IF(INDEX(AllCollegeAAHGR, MATCH(N495,AllCollegeNCES,0))&gt;0.7,(1-INDEX(AllCollegeAAHGR, MATCH(N495,AllCollegeNCES,0)))/2,0.15),2),INDEX(AllCollegeAAHGR, MATCH(N495,AllCollegeNCES,0)))</f>
        <v>0</v>
      </c>
      <c r="AC495">
        <f>IF(OR(W495="H",W495="B"),INDEX(AllCollegeSAT25, MATCH(N495,AllCollegeNCES,0)),INDEX(AllCollegeSAT50, MATCH(N495,AllCollegeNCES,0)))</f>
        <v>0</v>
      </c>
      <c r="AD495">
        <f>INDEX(CustomWeightsGPA,MATCH(W495&amp;":"&amp;N495,CustomWeightsIndex,0))</f>
        <v>0</v>
      </c>
      <c r="AE495">
        <f>INDEX(CustomWeightsSAT,MATCH(W495&amp;":"&amp;N495,CustomWeightsIndex,0))</f>
        <v>0</v>
      </c>
      <c r="AF495">
        <f>INDEX(CustomWeightsIntercept,MATCH(W495&amp;":"&amp;N495,CustomWeightsIndex,0))</f>
        <v>0</v>
      </c>
      <c r="AG495">
        <f>AD495*S495+AE495*T495+AF495</f>
        <v>0</v>
      </c>
      <c r="AH495">
        <f>INDEX(CoefficientsGPA,MATCH(W495&amp;":"&amp;R495,CoefficientsIndex,0))</f>
        <v>0</v>
      </c>
      <c r="AI495">
        <f>INDEX(CoefficientsSAT,MATCH(W495&amp;":"&amp;R495,CoefficientsIndex,0))</f>
        <v>0</v>
      </c>
      <c r="AJ495">
        <f>INDEX(CoefficientsIntercept,MATCH(W495&amp;":"&amp;R495,CoefficientsIndex,0))</f>
        <v>0</v>
      </c>
      <c r="AK495">
        <f>AH495*S495+(T495-AC495)*AI495+AJ495</f>
        <v>0</v>
      </c>
      <c r="AL495">
        <f>IF(ISNUMBER(AG495),AG495,AK495)</f>
        <v>0</v>
      </c>
      <c r="AM495">
        <f>IF(ISNUMBER(AL495),IF(ISNUMBER(AH495),IF(AND(AH495=1,AI495=1,AJ495=1),100,MIN(99,ROUND(100*EXP(AL495)/(1+EXP(AL495)),2))),MIN(99,ROUND(100*EXP(AL495)/(1+EXP(AL495)),2))),IF(ISTEXT(R495),IF(LEFT(R495,1)="2",100,"N/A"),"N/A"))</f>
        <v>0</v>
      </c>
      <c r="AN495">
        <f>IF(ISNUMBER(AM495),IF(AM495&gt;=99,IF(OR(U495=10,U495=11),MatchLabel,SureThingLabel),IF(AM495&gt;=95,SecureLabel,IF(AM495&gt;=80,SafetyLabel,IF(AM495&gt;=50,MatchLabel,IF(AM495&gt;=20,ReachLabel,IF(AM495&gt;=10,LongshotLabel,HailMaryLabel)))))),"Other")</f>
        <v>0</v>
      </c>
      <c r="AO495">
        <f>IF(OR(I495="accepted",I495="cond. accept",I495="summer admit"),IF(J495="yes","CHOICE!","Accepted!"),IF(I495="guar. transfer","Guar. Xfer",IF(I495="denied","Denied",IF(K495=1,"Waitlist",IF(L495=1,"Deferred",IF(G495="pending","Pending",IF(OR(G495="initial materials submitted",G495="mid-year submitted",G495="final submitted"),"Submitted",IF(H495="interest","Interest","?"))))))))</f>
        <v>0</v>
      </c>
      <c r="AP495">
        <f>IF(OR(AN495=ReachLabel,AN495=LongshotLabel,AN495=HailMaryLabel),1,0)</f>
        <v>0</v>
      </c>
      <c r="AQ495">
        <f>IF(OR(AP495=1,AN495=MatchLabel),1,0)</f>
        <v>0</v>
      </c>
      <c r="AR495">
        <f>IF(OR(AN495=MatchLabel,AN495=SafetyLabel,AN495=SecureLabel,AN495=SureThingLabel),1,0)</f>
        <v>0</v>
      </c>
      <c r="AS495">
        <f>IF(OR(W495="H",W495="B",W495="I",W495="M"),IF(ISNUMBER(AB495),ROUND(AB495,2),0),IF(ISNUMBER(AA495),ROUND(AA495,2),0))</f>
        <v>0</v>
      </c>
      <c r="AT495">
        <f>IF(AS495&gt;=X495,1,0)</f>
        <v>0</v>
      </c>
      <c r="AU495">
        <f>IF(AS495&gt;=Y495,1,0)</f>
        <v>0</v>
      </c>
      <c r="AV495">
        <f>IF(AS495&lt;(X495-0.10),1,0)</f>
        <v>0</v>
      </c>
      <c r="AW495">
        <f>1-AM495/100</f>
        <v>0</v>
      </c>
      <c r="AX495">
        <f>IF(AQ495=1,AW495,1)</f>
        <v>0</v>
      </c>
      <c r="AY495">
        <f>IF(AP495=1,AW495,1)</f>
        <v>0</v>
      </c>
      <c r="AZ495">
        <f>IF(AND(AT495=1,ISNUMBER(AW495)),$AW495,1)</f>
        <v>0</v>
      </c>
      <c r="BA495">
        <f>IF(AND(AU495=1,ISNUMBER(AW495)),$AW495,1)</f>
        <v>0</v>
      </c>
      <c r="BB495">
        <f>IF(ISNUMBER(AB495),INDEX(AllCollegeMoney, MATCH(N495,AllCollegeNCES,0)),0)</f>
        <v>0</v>
      </c>
      <c r="BC495">
        <f>IF(AND(AT495=1,ISNUMBER(AW495),BB495=1),$AW495,1)</f>
        <v>0</v>
      </c>
      <c r="BD495">
        <f>IF(AND(AU495=1,ISNUMBER(AW495),BB495=1),$AW495,1)</f>
        <v>0</v>
      </c>
      <c r="BE495">
        <f>IF(ISNUMBER(AB495),INDEX(AllCollegeILPub, MATCH(N495,AllCollegeNCES,0)),0)</f>
        <v>0</v>
      </c>
      <c r="BF495">
        <f>IF(AN495=ReachLabel,AS495,0)</f>
        <v>0</v>
      </c>
      <c r="BG495">
        <f>IF(AN495=MatchLabel,AS495,0)</f>
        <v>0</v>
      </c>
      <c r="BH495">
        <f>IF(AN495=SafetyLabel,AS495,0)</f>
        <v>0</v>
      </c>
      <c r="BI495">
        <f>IF(AN495=SecureLabel,AS495,0)</f>
        <v>0</v>
      </c>
      <c r="BJ495">
        <f>IF(AN495=SureThingLabel,AS495,0)</f>
        <v>0</v>
      </c>
      <c r="BK495">
        <f>MAX(BF495:BJ495)</f>
        <v>0</v>
      </c>
      <c r="BL495">
        <f>MAX(BG495:BJ495)</f>
        <v>0</v>
      </c>
      <c r="BM495">
        <f>MAX(BH495:BJ495)</f>
        <v>0</v>
      </c>
      <c r="BN495">
        <f>IF(AND(AN495=ReachLabel,BB495=1),AS495,0)</f>
        <v>0</v>
      </c>
      <c r="BO495">
        <f>IF(AND(AN495=MatchLabel,BB495=1),AS495,0)</f>
        <v>0</v>
      </c>
      <c r="BP495">
        <f>IF(AND(AN495=SafetyLabel,BB495=1),AS495,0)</f>
        <v>0</v>
      </c>
      <c r="BQ495">
        <f>IF(AND(AN495=SecureLabel,BB495=1),AS495,0)</f>
        <v>0</v>
      </c>
      <c r="BR495">
        <f>IF(AND(AN495=SureThingLabel,BB495=1),AS495,0)</f>
        <v>0</v>
      </c>
      <c r="BS495">
        <f>MAX(BN495:BR495)</f>
        <v>0</v>
      </c>
      <c r="BT495">
        <f>MAX(BO495:BR495)</f>
        <v>0</v>
      </c>
      <c r="BU495">
        <f>MAX(BP495:BR495)</f>
        <v>0</v>
      </c>
      <c r="BV495">
        <f>IF(ISNUMBER(AB495),INDEX(AllCollegeChicago, MATCH(N495,AllCollegeNCES,0))*BB495,0)</f>
        <v>0</v>
      </c>
      <c r="BW495">
        <f>IF(ISNUMBER(AB495),INDEX(AllCollegeMoneyCode, MATCH(N495,AllCollegeNCES,0)),"?")</f>
        <v>0</v>
      </c>
      <c r="BX495">
        <f>IF(OR(BW495="---",BW495="--",BW495="+/--",BW495="+/---"),1,0)</f>
        <v>0</v>
      </c>
      <c r="BY495">
        <f>BB495*AR495*AT495</f>
        <v>0</v>
      </c>
    </row>
    <row r="496" spans="1:77">
      <c r="A496" t="s">
        <v>96</v>
      </c>
      <c r="B496">
        <v>23463287</v>
      </c>
      <c r="C496" t="s">
        <v>155</v>
      </c>
      <c r="D496" t="s">
        <v>156</v>
      </c>
      <c r="E496" t="s">
        <v>446</v>
      </c>
      <c r="F496" t="s">
        <v>574</v>
      </c>
      <c r="G496" t="s">
        <v>543</v>
      </c>
      <c r="H496" t="s">
        <v>543</v>
      </c>
      <c r="I496" t="s">
        <v>544</v>
      </c>
      <c r="J496" t="s">
        <v>446</v>
      </c>
      <c r="K496" t="s">
        <v>446</v>
      </c>
      <c r="L496" t="s">
        <v>446</v>
      </c>
      <c r="M496" t="s">
        <v>446</v>
      </c>
      <c r="N496">
        <v>147536</v>
      </c>
      <c r="O496">
        <f>INDEX(Counselor,MATCH(B496,KidIDs,0))</f>
        <v>0</v>
      </c>
      <c r="P496">
        <f>INDEX(Advisors,MATCH(B496,KidIDs,0))</f>
        <v>0</v>
      </c>
      <c r="Q496">
        <f>INDEX(Cohort,MATCH(B496,KidIDs,0))</f>
        <v>0</v>
      </c>
      <c r="R496">
        <f>INDEX(AllCollegeBarrons,MATCH(N496,AllCollegeNCES,0))</f>
        <v>0</v>
      </c>
      <c r="S496">
        <f>INDEX(KidGPAs,MATCH(B496,KidIDs,0))</f>
        <v>0</v>
      </c>
      <c r="T496">
        <f>INDEX(KidSATs,MATCH(B496,KidIDs,0))</f>
        <v>0</v>
      </c>
      <c r="U496">
        <f>INDEX(Strats,MATCH(B496,KidIDs,0))</f>
        <v>0</v>
      </c>
      <c r="V496">
        <f>INDEX(KidRace,MATCH(B496,KidIDs,0))</f>
        <v>0</v>
      </c>
      <c r="W496">
        <f>IF(OR(V496="M",V496="I"),"H",IF(V496="P","A",V496))</f>
        <v>0</v>
      </c>
      <c r="X496">
        <f>INDEX(StudentTargets,MATCH(B496,KidIDs,0))</f>
        <v>0</v>
      </c>
      <c r="Y496">
        <f>INDEX(ReachStudentTargets,MATCH(B496,KidIDs,0))</f>
        <v>0</v>
      </c>
      <c r="Z496">
        <f>IF(OR(M496="Posse"),1,0)</f>
        <v>0</v>
      </c>
      <c r="AA496">
        <f>IF(ISNUMBER(INDEX(AllCollegeGR, MATCH(N496,AllCollegeNCES,0))),ROUND(INDEX(AllCollegeGR, MATCH(N496,AllCollegeNCES,0))+Z496*IF(INDEX(AllCollegeGR, MATCH(N496,AllCollegeNCES,0))&gt;0.7,(1-INDEX(AllCollegeGR, MATCH(N496,AllCollegeNCES,0)))/2,0.15),2),INDEX(AllCollegeGR, MATCH(N496,AllCollegeNCES,0)))</f>
        <v>0</v>
      </c>
      <c r="AB496">
        <f>IF(ISNUMBER(INDEX(AllCollegeAAHGR, MATCH(N496,AllCollegeNCES,0))),ROUND(INDEX(AllCollegeAAHGR, MATCH(N496,AllCollegeNCES,0))+Z496*IF(INDEX(AllCollegeAAHGR, MATCH(N496,AllCollegeNCES,0))&gt;0.7,(1-INDEX(AllCollegeAAHGR, MATCH(N496,AllCollegeNCES,0)))/2,0.15),2),INDEX(AllCollegeAAHGR, MATCH(N496,AllCollegeNCES,0)))</f>
        <v>0</v>
      </c>
      <c r="AC496">
        <f>IF(OR(W496="H",W496="B"),INDEX(AllCollegeSAT25, MATCH(N496,AllCollegeNCES,0)),INDEX(AllCollegeSAT50, MATCH(N496,AllCollegeNCES,0)))</f>
        <v>0</v>
      </c>
      <c r="AD496">
        <f>INDEX(CustomWeightsGPA,MATCH(W496&amp;":"&amp;N496,CustomWeightsIndex,0))</f>
        <v>0</v>
      </c>
      <c r="AE496">
        <f>INDEX(CustomWeightsSAT,MATCH(W496&amp;":"&amp;N496,CustomWeightsIndex,0))</f>
        <v>0</v>
      </c>
      <c r="AF496">
        <f>INDEX(CustomWeightsIntercept,MATCH(W496&amp;":"&amp;N496,CustomWeightsIndex,0))</f>
        <v>0</v>
      </c>
      <c r="AG496">
        <f>AD496*S496+AE496*T496+AF496</f>
        <v>0</v>
      </c>
      <c r="AH496">
        <f>INDEX(CoefficientsGPA,MATCH(W496&amp;":"&amp;R496,CoefficientsIndex,0))</f>
        <v>0</v>
      </c>
      <c r="AI496">
        <f>INDEX(CoefficientsSAT,MATCH(W496&amp;":"&amp;R496,CoefficientsIndex,0))</f>
        <v>0</v>
      </c>
      <c r="AJ496">
        <f>INDEX(CoefficientsIntercept,MATCH(W496&amp;":"&amp;R496,CoefficientsIndex,0))</f>
        <v>0</v>
      </c>
      <c r="AK496">
        <f>AH496*S496+(T496-AC496)*AI496+AJ496</f>
        <v>0</v>
      </c>
      <c r="AL496">
        <f>IF(ISNUMBER(AG496),AG496,AK496)</f>
        <v>0</v>
      </c>
      <c r="AM496">
        <f>IF(ISNUMBER(AL496),IF(ISNUMBER(AH496),IF(AND(AH496=1,AI496=1,AJ496=1),100,MIN(99,ROUND(100*EXP(AL496)/(1+EXP(AL496)),2))),MIN(99,ROUND(100*EXP(AL496)/(1+EXP(AL496)),2))),IF(ISTEXT(R496),IF(LEFT(R496,1)="2",100,"N/A"),"N/A"))</f>
        <v>0</v>
      </c>
      <c r="AN496">
        <f>IF(ISNUMBER(AM496),IF(AM496&gt;=99,IF(OR(U496=10,U496=11),MatchLabel,SureThingLabel),IF(AM496&gt;=95,SecureLabel,IF(AM496&gt;=80,SafetyLabel,IF(AM496&gt;=50,MatchLabel,IF(AM496&gt;=20,ReachLabel,IF(AM496&gt;=10,LongshotLabel,HailMaryLabel)))))),"Other")</f>
        <v>0</v>
      </c>
      <c r="AO496">
        <f>IF(OR(I496="accepted",I496="cond. accept",I496="summer admit"),IF(J496="yes","CHOICE!","Accepted!"),IF(I496="guar. transfer","Guar. Xfer",IF(I496="denied","Denied",IF(K496=1,"Waitlist",IF(L496=1,"Deferred",IF(G496="pending","Pending",IF(OR(G496="initial materials submitted",G496="mid-year submitted",G496="final submitted"),"Submitted",IF(H496="interest","Interest","?"))))))))</f>
        <v>0</v>
      </c>
      <c r="AP496">
        <f>IF(OR(AN496=ReachLabel,AN496=LongshotLabel,AN496=HailMaryLabel),1,0)</f>
        <v>0</v>
      </c>
      <c r="AQ496">
        <f>IF(OR(AP496=1,AN496=MatchLabel),1,0)</f>
        <v>0</v>
      </c>
      <c r="AR496">
        <f>IF(OR(AN496=MatchLabel,AN496=SafetyLabel,AN496=SecureLabel,AN496=SureThingLabel),1,0)</f>
        <v>0</v>
      </c>
      <c r="AS496">
        <f>IF(OR(W496="H",W496="B",W496="I",W496="M"),IF(ISNUMBER(AB496),ROUND(AB496,2),0),IF(ISNUMBER(AA496),ROUND(AA496,2),0))</f>
        <v>0</v>
      </c>
      <c r="AT496">
        <f>IF(AS496&gt;=X496,1,0)</f>
        <v>0</v>
      </c>
      <c r="AU496">
        <f>IF(AS496&gt;=Y496,1,0)</f>
        <v>0</v>
      </c>
      <c r="AV496">
        <f>IF(AS496&lt;(X496-0.10),1,0)</f>
        <v>0</v>
      </c>
      <c r="AW496">
        <f>1-AM496/100</f>
        <v>0</v>
      </c>
      <c r="AX496">
        <f>IF(AQ496=1,AW496,1)</f>
        <v>0</v>
      </c>
      <c r="AY496">
        <f>IF(AP496=1,AW496,1)</f>
        <v>0</v>
      </c>
      <c r="AZ496">
        <f>IF(AND(AT496=1,ISNUMBER(AW496)),$AW496,1)</f>
        <v>0</v>
      </c>
      <c r="BA496">
        <f>IF(AND(AU496=1,ISNUMBER(AW496)),$AW496,1)</f>
        <v>0</v>
      </c>
      <c r="BB496">
        <f>IF(ISNUMBER(AB496),INDEX(AllCollegeMoney, MATCH(N496,AllCollegeNCES,0)),0)</f>
        <v>0</v>
      </c>
      <c r="BC496">
        <f>IF(AND(AT496=1,ISNUMBER(AW496),BB496=1),$AW496,1)</f>
        <v>0</v>
      </c>
      <c r="BD496">
        <f>IF(AND(AU496=1,ISNUMBER(AW496),BB496=1),$AW496,1)</f>
        <v>0</v>
      </c>
      <c r="BE496">
        <f>IF(ISNUMBER(AB496),INDEX(AllCollegeILPub, MATCH(N496,AllCollegeNCES,0)),0)</f>
        <v>0</v>
      </c>
      <c r="BF496">
        <f>IF(AN496=ReachLabel,AS496,0)</f>
        <v>0</v>
      </c>
      <c r="BG496">
        <f>IF(AN496=MatchLabel,AS496,0)</f>
        <v>0</v>
      </c>
      <c r="BH496">
        <f>IF(AN496=SafetyLabel,AS496,0)</f>
        <v>0</v>
      </c>
      <c r="BI496">
        <f>IF(AN496=SecureLabel,AS496,0)</f>
        <v>0</v>
      </c>
      <c r="BJ496">
        <f>IF(AN496=SureThingLabel,AS496,0)</f>
        <v>0</v>
      </c>
      <c r="BK496">
        <f>MAX(BF496:BJ496)</f>
        <v>0</v>
      </c>
      <c r="BL496">
        <f>MAX(BG496:BJ496)</f>
        <v>0</v>
      </c>
      <c r="BM496">
        <f>MAX(BH496:BJ496)</f>
        <v>0</v>
      </c>
      <c r="BN496">
        <f>IF(AND(AN496=ReachLabel,BB496=1),AS496,0)</f>
        <v>0</v>
      </c>
      <c r="BO496">
        <f>IF(AND(AN496=MatchLabel,BB496=1),AS496,0)</f>
        <v>0</v>
      </c>
      <c r="BP496">
        <f>IF(AND(AN496=SafetyLabel,BB496=1),AS496,0)</f>
        <v>0</v>
      </c>
      <c r="BQ496">
        <f>IF(AND(AN496=SecureLabel,BB496=1),AS496,0)</f>
        <v>0</v>
      </c>
      <c r="BR496">
        <f>IF(AND(AN496=SureThingLabel,BB496=1),AS496,0)</f>
        <v>0</v>
      </c>
      <c r="BS496">
        <f>MAX(BN496:BR496)</f>
        <v>0</v>
      </c>
      <c r="BT496">
        <f>MAX(BO496:BR496)</f>
        <v>0</v>
      </c>
      <c r="BU496">
        <f>MAX(BP496:BR496)</f>
        <v>0</v>
      </c>
      <c r="BV496">
        <f>IF(ISNUMBER(AB496),INDEX(AllCollegeChicago, MATCH(N496,AllCollegeNCES,0))*BB496,0)</f>
        <v>0</v>
      </c>
      <c r="BW496">
        <f>IF(ISNUMBER(AB496),INDEX(AllCollegeMoneyCode, MATCH(N496,AllCollegeNCES,0)),"?")</f>
        <v>0</v>
      </c>
      <c r="BX496">
        <f>IF(OR(BW496="---",BW496="--",BW496="+/--",BW496="+/---"),1,0)</f>
        <v>0</v>
      </c>
      <c r="BY496">
        <f>BB496*AR496*AT496</f>
        <v>0</v>
      </c>
    </row>
    <row r="497" spans="1:77">
      <c r="A497" t="s">
        <v>96</v>
      </c>
      <c r="B497">
        <v>23463287</v>
      </c>
      <c r="C497" t="s">
        <v>155</v>
      </c>
      <c r="D497" t="s">
        <v>156</v>
      </c>
      <c r="E497" t="s">
        <v>446</v>
      </c>
      <c r="F497" t="s">
        <v>575</v>
      </c>
      <c r="G497" t="s">
        <v>543</v>
      </c>
      <c r="H497" t="s">
        <v>543</v>
      </c>
      <c r="I497" t="s">
        <v>544</v>
      </c>
      <c r="J497" t="s">
        <v>446</v>
      </c>
      <c r="K497" t="s">
        <v>446</v>
      </c>
      <c r="L497" t="s">
        <v>446</v>
      </c>
      <c r="M497" t="s">
        <v>446</v>
      </c>
      <c r="N497">
        <v>146700</v>
      </c>
      <c r="O497">
        <f>INDEX(Counselor,MATCH(B497,KidIDs,0))</f>
        <v>0</v>
      </c>
      <c r="P497">
        <f>INDEX(Advisors,MATCH(B497,KidIDs,0))</f>
        <v>0</v>
      </c>
      <c r="Q497">
        <f>INDEX(Cohort,MATCH(B497,KidIDs,0))</f>
        <v>0</v>
      </c>
      <c r="R497">
        <f>INDEX(AllCollegeBarrons,MATCH(N497,AllCollegeNCES,0))</f>
        <v>0</v>
      </c>
      <c r="S497">
        <f>INDEX(KidGPAs,MATCH(B497,KidIDs,0))</f>
        <v>0</v>
      </c>
      <c r="T497">
        <f>INDEX(KidSATs,MATCH(B497,KidIDs,0))</f>
        <v>0</v>
      </c>
      <c r="U497">
        <f>INDEX(Strats,MATCH(B497,KidIDs,0))</f>
        <v>0</v>
      </c>
      <c r="V497">
        <f>INDEX(KidRace,MATCH(B497,KidIDs,0))</f>
        <v>0</v>
      </c>
      <c r="W497">
        <f>IF(OR(V497="M",V497="I"),"H",IF(V497="P","A",V497))</f>
        <v>0</v>
      </c>
      <c r="X497">
        <f>INDEX(StudentTargets,MATCH(B497,KidIDs,0))</f>
        <v>0</v>
      </c>
      <c r="Y497">
        <f>INDEX(ReachStudentTargets,MATCH(B497,KidIDs,0))</f>
        <v>0</v>
      </c>
      <c r="Z497">
        <f>IF(OR(M497="Posse"),1,0)</f>
        <v>0</v>
      </c>
      <c r="AA497">
        <f>IF(ISNUMBER(INDEX(AllCollegeGR, MATCH(N497,AllCollegeNCES,0))),ROUND(INDEX(AllCollegeGR, MATCH(N497,AllCollegeNCES,0))+Z497*IF(INDEX(AllCollegeGR, MATCH(N497,AllCollegeNCES,0))&gt;0.7,(1-INDEX(AllCollegeGR, MATCH(N497,AllCollegeNCES,0)))/2,0.15),2),INDEX(AllCollegeGR, MATCH(N497,AllCollegeNCES,0)))</f>
        <v>0</v>
      </c>
      <c r="AB497">
        <f>IF(ISNUMBER(INDEX(AllCollegeAAHGR, MATCH(N497,AllCollegeNCES,0))),ROUND(INDEX(AllCollegeAAHGR, MATCH(N497,AllCollegeNCES,0))+Z497*IF(INDEX(AllCollegeAAHGR, MATCH(N497,AllCollegeNCES,0))&gt;0.7,(1-INDEX(AllCollegeAAHGR, MATCH(N497,AllCollegeNCES,0)))/2,0.15),2),INDEX(AllCollegeAAHGR, MATCH(N497,AllCollegeNCES,0)))</f>
        <v>0</v>
      </c>
      <c r="AC497">
        <f>IF(OR(W497="H",W497="B"),INDEX(AllCollegeSAT25, MATCH(N497,AllCollegeNCES,0)),INDEX(AllCollegeSAT50, MATCH(N497,AllCollegeNCES,0)))</f>
        <v>0</v>
      </c>
      <c r="AD497">
        <f>INDEX(CustomWeightsGPA,MATCH(W497&amp;":"&amp;N497,CustomWeightsIndex,0))</f>
        <v>0</v>
      </c>
      <c r="AE497">
        <f>INDEX(CustomWeightsSAT,MATCH(W497&amp;":"&amp;N497,CustomWeightsIndex,0))</f>
        <v>0</v>
      </c>
      <c r="AF497">
        <f>INDEX(CustomWeightsIntercept,MATCH(W497&amp;":"&amp;N497,CustomWeightsIndex,0))</f>
        <v>0</v>
      </c>
      <c r="AG497">
        <f>AD497*S497+AE497*T497+AF497</f>
        <v>0</v>
      </c>
      <c r="AH497">
        <f>INDEX(CoefficientsGPA,MATCH(W497&amp;":"&amp;R497,CoefficientsIndex,0))</f>
        <v>0</v>
      </c>
      <c r="AI497">
        <f>INDEX(CoefficientsSAT,MATCH(W497&amp;":"&amp;R497,CoefficientsIndex,0))</f>
        <v>0</v>
      </c>
      <c r="AJ497">
        <f>INDEX(CoefficientsIntercept,MATCH(W497&amp;":"&amp;R497,CoefficientsIndex,0))</f>
        <v>0</v>
      </c>
      <c r="AK497">
        <f>AH497*S497+(T497-AC497)*AI497+AJ497</f>
        <v>0</v>
      </c>
      <c r="AL497">
        <f>IF(ISNUMBER(AG497),AG497,AK497)</f>
        <v>0</v>
      </c>
      <c r="AM497">
        <f>IF(ISNUMBER(AL497),IF(ISNUMBER(AH497),IF(AND(AH497=1,AI497=1,AJ497=1),100,MIN(99,ROUND(100*EXP(AL497)/(1+EXP(AL497)),2))),MIN(99,ROUND(100*EXP(AL497)/(1+EXP(AL497)),2))),IF(ISTEXT(R497),IF(LEFT(R497,1)="2",100,"N/A"),"N/A"))</f>
        <v>0</v>
      </c>
      <c r="AN497">
        <f>IF(ISNUMBER(AM497),IF(AM497&gt;=99,IF(OR(U497=10,U497=11),MatchLabel,SureThingLabel),IF(AM497&gt;=95,SecureLabel,IF(AM497&gt;=80,SafetyLabel,IF(AM497&gt;=50,MatchLabel,IF(AM497&gt;=20,ReachLabel,IF(AM497&gt;=10,LongshotLabel,HailMaryLabel)))))),"Other")</f>
        <v>0</v>
      </c>
      <c r="AO497">
        <f>IF(OR(I497="accepted",I497="cond. accept",I497="summer admit"),IF(J497="yes","CHOICE!","Accepted!"),IF(I497="guar. transfer","Guar. Xfer",IF(I497="denied","Denied",IF(K497=1,"Waitlist",IF(L497=1,"Deferred",IF(G497="pending","Pending",IF(OR(G497="initial materials submitted",G497="mid-year submitted",G497="final submitted"),"Submitted",IF(H497="interest","Interest","?"))))))))</f>
        <v>0</v>
      </c>
      <c r="AP497">
        <f>IF(OR(AN497=ReachLabel,AN497=LongshotLabel,AN497=HailMaryLabel),1,0)</f>
        <v>0</v>
      </c>
      <c r="AQ497">
        <f>IF(OR(AP497=1,AN497=MatchLabel),1,0)</f>
        <v>0</v>
      </c>
      <c r="AR497">
        <f>IF(OR(AN497=MatchLabel,AN497=SafetyLabel,AN497=SecureLabel,AN497=SureThingLabel),1,0)</f>
        <v>0</v>
      </c>
      <c r="AS497">
        <f>IF(OR(W497="H",W497="B",W497="I",W497="M"),IF(ISNUMBER(AB497),ROUND(AB497,2),0),IF(ISNUMBER(AA497),ROUND(AA497,2),0))</f>
        <v>0</v>
      </c>
      <c r="AT497">
        <f>IF(AS497&gt;=X497,1,0)</f>
        <v>0</v>
      </c>
      <c r="AU497">
        <f>IF(AS497&gt;=Y497,1,0)</f>
        <v>0</v>
      </c>
      <c r="AV497">
        <f>IF(AS497&lt;(X497-0.10),1,0)</f>
        <v>0</v>
      </c>
      <c r="AW497">
        <f>1-AM497/100</f>
        <v>0</v>
      </c>
      <c r="AX497">
        <f>IF(AQ497=1,AW497,1)</f>
        <v>0</v>
      </c>
      <c r="AY497">
        <f>IF(AP497=1,AW497,1)</f>
        <v>0</v>
      </c>
      <c r="AZ497">
        <f>IF(AND(AT497=1,ISNUMBER(AW497)),$AW497,1)</f>
        <v>0</v>
      </c>
      <c r="BA497">
        <f>IF(AND(AU497=1,ISNUMBER(AW497)),$AW497,1)</f>
        <v>0</v>
      </c>
      <c r="BB497">
        <f>IF(ISNUMBER(AB497),INDEX(AllCollegeMoney, MATCH(N497,AllCollegeNCES,0)),0)</f>
        <v>0</v>
      </c>
      <c r="BC497">
        <f>IF(AND(AT497=1,ISNUMBER(AW497),BB497=1),$AW497,1)</f>
        <v>0</v>
      </c>
      <c r="BD497">
        <f>IF(AND(AU497=1,ISNUMBER(AW497),BB497=1),$AW497,1)</f>
        <v>0</v>
      </c>
      <c r="BE497">
        <f>IF(ISNUMBER(AB497),INDEX(AllCollegeILPub, MATCH(N497,AllCollegeNCES,0)),0)</f>
        <v>0</v>
      </c>
      <c r="BF497">
        <f>IF(AN497=ReachLabel,AS497,0)</f>
        <v>0</v>
      </c>
      <c r="BG497">
        <f>IF(AN497=MatchLabel,AS497,0)</f>
        <v>0</v>
      </c>
      <c r="BH497">
        <f>IF(AN497=SafetyLabel,AS497,0)</f>
        <v>0</v>
      </c>
      <c r="BI497">
        <f>IF(AN497=SecureLabel,AS497,0)</f>
        <v>0</v>
      </c>
      <c r="BJ497">
        <f>IF(AN497=SureThingLabel,AS497,0)</f>
        <v>0</v>
      </c>
      <c r="BK497">
        <f>MAX(BF497:BJ497)</f>
        <v>0</v>
      </c>
      <c r="BL497">
        <f>MAX(BG497:BJ497)</f>
        <v>0</v>
      </c>
      <c r="BM497">
        <f>MAX(BH497:BJ497)</f>
        <v>0</v>
      </c>
      <c r="BN497">
        <f>IF(AND(AN497=ReachLabel,BB497=1),AS497,0)</f>
        <v>0</v>
      </c>
      <c r="BO497">
        <f>IF(AND(AN497=MatchLabel,BB497=1),AS497,0)</f>
        <v>0</v>
      </c>
      <c r="BP497">
        <f>IF(AND(AN497=SafetyLabel,BB497=1),AS497,0)</f>
        <v>0</v>
      </c>
      <c r="BQ497">
        <f>IF(AND(AN497=SecureLabel,BB497=1),AS497,0)</f>
        <v>0</v>
      </c>
      <c r="BR497">
        <f>IF(AND(AN497=SureThingLabel,BB497=1),AS497,0)</f>
        <v>0</v>
      </c>
      <c r="BS497">
        <f>MAX(BN497:BR497)</f>
        <v>0</v>
      </c>
      <c r="BT497">
        <f>MAX(BO497:BR497)</f>
        <v>0</v>
      </c>
      <c r="BU497">
        <f>MAX(BP497:BR497)</f>
        <v>0</v>
      </c>
      <c r="BV497">
        <f>IF(ISNUMBER(AB497),INDEX(AllCollegeChicago, MATCH(N497,AllCollegeNCES,0))*BB497,0)</f>
        <v>0</v>
      </c>
      <c r="BW497">
        <f>IF(ISNUMBER(AB497),INDEX(AllCollegeMoneyCode, MATCH(N497,AllCollegeNCES,0)),"?")</f>
        <v>0</v>
      </c>
      <c r="BX497">
        <f>IF(OR(BW497="---",BW497="--",BW497="+/--",BW497="+/---"),1,0)</f>
        <v>0</v>
      </c>
      <c r="BY497">
        <f>BB497*AR497*AT497</f>
        <v>0</v>
      </c>
    </row>
    <row r="498" spans="1:77">
      <c r="A498" t="s">
        <v>96</v>
      </c>
      <c r="B498">
        <v>23463287</v>
      </c>
      <c r="C498" t="s">
        <v>155</v>
      </c>
      <c r="D498" t="s">
        <v>156</v>
      </c>
      <c r="E498" t="s">
        <v>446</v>
      </c>
      <c r="F498" t="s">
        <v>576</v>
      </c>
      <c r="G498" t="s">
        <v>543</v>
      </c>
      <c r="H498" t="s">
        <v>543</v>
      </c>
      <c r="I498" t="s">
        <v>544</v>
      </c>
      <c r="J498" t="s">
        <v>446</v>
      </c>
      <c r="K498" t="s">
        <v>446</v>
      </c>
      <c r="L498" t="s">
        <v>446</v>
      </c>
      <c r="M498" t="s">
        <v>446</v>
      </c>
      <c r="N498">
        <v>366191</v>
      </c>
      <c r="O498">
        <f>INDEX(Counselor,MATCH(B498,KidIDs,0))</f>
        <v>0</v>
      </c>
      <c r="P498">
        <f>INDEX(Advisors,MATCH(B498,KidIDs,0))</f>
        <v>0</v>
      </c>
      <c r="Q498">
        <f>INDEX(Cohort,MATCH(B498,KidIDs,0))</f>
        <v>0</v>
      </c>
      <c r="R498">
        <f>INDEX(AllCollegeBarrons,MATCH(N498,AllCollegeNCES,0))</f>
        <v>0</v>
      </c>
      <c r="S498">
        <f>INDEX(KidGPAs,MATCH(B498,KidIDs,0))</f>
        <v>0</v>
      </c>
      <c r="T498">
        <f>INDEX(KidSATs,MATCH(B498,KidIDs,0))</f>
        <v>0</v>
      </c>
      <c r="U498">
        <f>INDEX(Strats,MATCH(B498,KidIDs,0))</f>
        <v>0</v>
      </c>
      <c r="V498">
        <f>INDEX(KidRace,MATCH(B498,KidIDs,0))</f>
        <v>0</v>
      </c>
      <c r="W498">
        <f>IF(OR(V498="M",V498="I"),"H",IF(V498="P","A",V498))</f>
        <v>0</v>
      </c>
      <c r="X498">
        <f>INDEX(StudentTargets,MATCH(B498,KidIDs,0))</f>
        <v>0</v>
      </c>
      <c r="Y498">
        <f>INDEX(ReachStudentTargets,MATCH(B498,KidIDs,0))</f>
        <v>0</v>
      </c>
      <c r="Z498">
        <f>IF(OR(M498="Posse"),1,0)</f>
        <v>0</v>
      </c>
      <c r="AA498">
        <f>IF(ISNUMBER(INDEX(AllCollegeGR, MATCH(N498,AllCollegeNCES,0))),ROUND(INDEX(AllCollegeGR, MATCH(N498,AllCollegeNCES,0))+Z498*IF(INDEX(AllCollegeGR, MATCH(N498,AllCollegeNCES,0))&gt;0.7,(1-INDEX(AllCollegeGR, MATCH(N498,AllCollegeNCES,0)))/2,0.15),2),INDEX(AllCollegeGR, MATCH(N498,AllCollegeNCES,0)))</f>
        <v>0</v>
      </c>
      <c r="AB498">
        <f>IF(ISNUMBER(INDEX(AllCollegeAAHGR, MATCH(N498,AllCollegeNCES,0))),ROUND(INDEX(AllCollegeAAHGR, MATCH(N498,AllCollegeNCES,0))+Z498*IF(INDEX(AllCollegeAAHGR, MATCH(N498,AllCollegeNCES,0))&gt;0.7,(1-INDEX(AllCollegeAAHGR, MATCH(N498,AllCollegeNCES,0)))/2,0.15),2),INDEX(AllCollegeAAHGR, MATCH(N498,AllCollegeNCES,0)))</f>
        <v>0</v>
      </c>
      <c r="AC498">
        <f>IF(OR(W498="H",W498="B"),INDEX(AllCollegeSAT25, MATCH(N498,AllCollegeNCES,0)),INDEX(AllCollegeSAT50, MATCH(N498,AllCollegeNCES,0)))</f>
        <v>0</v>
      </c>
      <c r="AD498">
        <f>INDEX(CustomWeightsGPA,MATCH(W498&amp;":"&amp;N498,CustomWeightsIndex,0))</f>
        <v>0</v>
      </c>
      <c r="AE498">
        <f>INDEX(CustomWeightsSAT,MATCH(W498&amp;":"&amp;N498,CustomWeightsIndex,0))</f>
        <v>0</v>
      </c>
      <c r="AF498">
        <f>INDEX(CustomWeightsIntercept,MATCH(W498&amp;":"&amp;N498,CustomWeightsIndex,0))</f>
        <v>0</v>
      </c>
      <c r="AG498">
        <f>AD498*S498+AE498*T498+AF498</f>
        <v>0</v>
      </c>
      <c r="AH498">
        <f>INDEX(CoefficientsGPA,MATCH(W498&amp;":"&amp;R498,CoefficientsIndex,0))</f>
        <v>0</v>
      </c>
      <c r="AI498">
        <f>INDEX(CoefficientsSAT,MATCH(W498&amp;":"&amp;R498,CoefficientsIndex,0))</f>
        <v>0</v>
      </c>
      <c r="AJ498">
        <f>INDEX(CoefficientsIntercept,MATCH(W498&amp;":"&amp;R498,CoefficientsIndex,0))</f>
        <v>0</v>
      </c>
      <c r="AK498">
        <f>AH498*S498+(T498-AC498)*AI498+AJ498</f>
        <v>0</v>
      </c>
      <c r="AL498">
        <f>IF(ISNUMBER(AG498),AG498,AK498)</f>
        <v>0</v>
      </c>
      <c r="AM498">
        <f>IF(ISNUMBER(AL498),IF(ISNUMBER(AH498),IF(AND(AH498=1,AI498=1,AJ498=1),100,MIN(99,ROUND(100*EXP(AL498)/(1+EXP(AL498)),2))),MIN(99,ROUND(100*EXP(AL498)/(1+EXP(AL498)),2))),IF(ISTEXT(R498),IF(LEFT(R498,1)="2",100,"N/A"),"N/A"))</f>
        <v>0</v>
      </c>
      <c r="AN498">
        <f>IF(ISNUMBER(AM498),IF(AM498&gt;=99,IF(OR(U498=10,U498=11),MatchLabel,SureThingLabel),IF(AM498&gt;=95,SecureLabel,IF(AM498&gt;=80,SafetyLabel,IF(AM498&gt;=50,MatchLabel,IF(AM498&gt;=20,ReachLabel,IF(AM498&gt;=10,LongshotLabel,HailMaryLabel)))))),"Other")</f>
        <v>0</v>
      </c>
      <c r="AO498">
        <f>IF(OR(I498="accepted",I498="cond. accept",I498="summer admit"),IF(J498="yes","CHOICE!","Accepted!"),IF(I498="guar. transfer","Guar. Xfer",IF(I498="denied","Denied",IF(K498=1,"Waitlist",IF(L498=1,"Deferred",IF(G498="pending","Pending",IF(OR(G498="initial materials submitted",G498="mid-year submitted",G498="final submitted"),"Submitted",IF(H498="interest","Interest","?"))))))))</f>
        <v>0</v>
      </c>
      <c r="AP498">
        <f>IF(OR(AN498=ReachLabel,AN498=LongshotLabel,AN498=HailMaryLabel),1,0)</f>
        <v>0</v>
      </c>
      <c r="AQ498">
        <f>IF(OR(AP498=1,AN498=MatchLabel),1,0)</f>
        <v>0</v>
      </c>
      <c r="AR498">
        <f>IF(OR(AN498=MatchLabel,AN498=SafetyLabel,AN498=SecureLabel,AN498=SureThingLabel),1,0)</f>
        <v>0</v>
      </c>
      <c r="AS498">
        <f>IF(OR(W498="H",W498="B",W498="I",W498="M"),IF(ISNUMBER(AB498),ROUND(AB498,2),0),IF(ISNUMBER(AA498),ROUND(AA498,2),0))</f>
        <v>0</v>
      </c>
      <c r="AT498">
        <f>IF(AS498&gt;=X498,1,0)</f>
        <v>0</v>
      </c>
      <c r="AU498">
        <f>IF(AS498&gt;=Y498,1,0)</f>
        <v>0</v>
      </c>
      <c r="AV498">
        <f>IF(AS498&lt;(X498-0.10),1,0)</f>
        <v>0</v>
      </c>
      <c r="AW498">
        <f>1-AM498/100</f>
        <v>0</v>
      </c>
      <c r="AX498">
        <f>IF(AQ498=1,AW498,1)</f>
        <v>0</v>
      </c>
      <c r="AY498">
        <f>IF(AP498=1,AW498,1)</f>
        <v>0</v>
      </c>
      <c r="AZ498">
        <f>IF(AND(AT498=1,ISNUMBER(AW498)),$AW498,1)</f>
        <v>0</v>
      </c>
      <c r="BA498">
        <f>IF(AND(AU498=1,ISNUMBER(AW498)),$AW498,1)</f>
        <v>0</v>
      </c>
      <c r="BB498">
        <f>IF(ISNUMBER(AB498),INDEX(AllCollegeMoney, MATCH(N498,AllCollegeNCES,0)),0)</f>
        <v>0</v>
      </c>
      <c r="BC498">
        <f>IF(AND(AT498=1,ISNUMBER(AW498),BB498=1),$AW498,1)</f>
        <v>0</v>
      </c>
      <c r="BD498">
        <f>IF(AND(AU498=1,ISNUMBER(AW498),BB498=1),$AW498,1)</f>
        <v>0</v>
      </c>
      <c r="BE498">
        <f>IF(ISNUMBER(AB498),INDEX(AllCollegeILPub, MATCH(N498,AllCollegeNCES,0)),0)</f>
        <v>0</v>
      </c>
      <c r="BF498">
        <f>IF(AN498=ReachLabel,AS498,0)</f>
        <v>0</v>
      </c>
      <c r="BG498">
        <f>IF(AN498=MatchLabel,AS498,0)</f>
        <v>0</v>
      </c>
      <c r="BH498">
        <f>IF(AN498=SafetyLabel,AS498,0)</f>
        <v>0</v>
      </c>
      <c r="BI498">
        <f>IF(AN498=SecureLabel,AS498,0)</f>
        <v>0</v>
      </c>
      <c r="BJ498">
        <f>IF(AN498=SureThingLabel,AS498,0)</f>
        <v>0</v>
      </c>
      <c r="BK498">
        <f>MAX(BF498:BJ498)</f>
        <v>0</v>
      </c>
      <c r="BL498">
        <f>MAX(BG498:BJ498)</f>
        <v>0</v>
      </c>
      <c r="BM498">
        <f>MAX(BH498:BJ498)</f>
        <v>0</v>
      </c>
      <c r="BN498">
        <f>IF(AND(AN498=ReachLabel,BB498=1),AS498,0)</f>
        <v>0</v>
      </c>
      <c r="BO498">
        <f>IF(AND(AN498=MatchLabel,BB498=1),AS498,0)</f>
        <v>0</v>
      </c>
      <c r="BP498">
        <f>IF(AND(AN498=SafetyLabel,BB498=1),AS498,0)</f>
        <v>0</v>
      </c>
      <c r="BQ498">
        <f>IF(AND(AN498=SecureLabel,BB498=1),AS498,0)</f>
        <v>0</v>
      </c>
      <c r="BR498">
        <f>IF(AND(AN498=SureThingLabel,BB498=1),AS498,0)</f>
        <v>0</v>
      </c>
      <c r="BS498">
        <f>MAX(BN498:BR498)</f>
        <v>0</v>
      </c>
      <c r="BT498">
        <f>MAX(BO498:BR498)</f>
        <v>0</v>
      </c>
      <c r="BU498">
        <f>MAX(BP498:BR498)</f>
        <v>0</v>
      </c>
      <c r="BV498">
        <f>IF(ISNUMBER(AB498),INDEX(AllCollegeChicago, MATCH(N498,AllCollegeNCES,0))*BB498,0)</f>
        <v>0</v>
      </c>
      <c r="BW498">
        <f>IF(ISNUMBER(AB498),INDEX(AllCollegeMoneyCode, MATCH(N498,AllCollegeNCES,0)),"?")</f>
        <v>0</v>
      </c>
      <c r="BX498">
        <f>IF(OR(BW498="---",BW498="--",BW498="+/--",BW498="+/---"),1,0)</f>
        <v>0</v>
      </c>
      <c r="BY498">
        <f>BB498*AR498*AT498</f>
        <v>0</v>
      </c>
    </row>
    <row r="499" spans="1:77">
      <c r="A499" t="s">
        <v>96</v>
      </c>
      <c r="B499">
        <v>23463287</v>
      </c>
      <c r="C499" t="s">
        <v>155</v>
      </c>
      <c r="D499" t="s">
        <v>156</v>
      </c>
      <c r="E499" t="s">
        <v>446</v>
      </c>
      <c r="F499" t="s">
        <v>565</v>
      </c>
      <c r="G499" t="s">
        <v>543</v>
      </c>
      <c r="H499" t="s">
        <v>543</v>
      </c>
      <c r="I499" t="s">
        <v>544</v>
      </c>
      <c r="J499" t="s">
        <v>446</v>
      </c>
      <c r="K499" t="s">
        <v>446</v>
      </c>
      <c r="L499" t="s">
        <v>446</v>
      </c>
      <c r="M499" t="s">
        <v>446</v>
      </c>
      <c r="N499">
        <v>147776</v>
      </c>
      <c r="O499">
        <f>INDEX(Counselor,MATCH(B499,KidIDs,0))</f>
        <v>0</v>
      </c>
      <c r="P499">
        <f>INDEX(Advisors,MATCH(B499,KidIDs,0))</f>
        <v>0</v>
      </c>
      <c r="Q499">
        <f>INDEX(Cohort,MATCH(B499,KidIDs,0))</f>
        <v>0</v>
      </c>
      <c r="R499">
        <f>INDEX(AllCollegeBarrons,MATCH(N499,AllCollegeNCES,0))</f>
        <v>0</v>
      </c>
      <c r="S499">
        <f>INDEX(KidGPAs,MATCH(B499,KidIDs,0))</f>
        <v>0</v>
      </c>
      <c r="T499">
        <f>INDEX(KidSATs,MATCH(B499,KidIDs,0))</f>
        <v>0</v>
      </c>
      <c r="U499">
        <f>INDEX(Strats,MATCH(B499,KidIDs,0))</f>
        <v>0</v>
      </c>
      <c r="V499">
        <f>INDEX(KidRace,MATCH(B499,KidIDs,0))</f>
        <v>0</v>
      </c>
      <c r="W499">
        <f>IF(OR(V499="M",V499="I"),"H",IF(V499="P","A",V499))</f>
        <v>0</v>
      </c>
      <c r="X499">
        <f>INDEX(StudentTargets,MATCH(B499,KidIDs,0))</f>
        <v>0</v>
      </c>
      <c r="Y499">
        <f>INDEX(ReachStudentTargets,MATCH(B499,KidIDs,0))</f>
        <v>0</v>
      </c>
      <c r="Z499">
        <f>IF(OR(M499="Posse"),1,0)</f>
        <v>0</v>
      </c>
      <c r="AA499">
        <f>IF(ISNUMBER(INDEX(AllCollegeGR, MATCH(N499,AllCollegeNCES,0))),ROUND(INDEX(AllCollegeGR, MATCH(N499,AllCollegeNCES,0))+Z499*IF(INDEX(AllCollegeGR, MATCH(N499,AllCollegeNCES,0))&gt;0.7,(1-INDEX(AllCollegeGR, MATCH(N499,AllCollegeNCES,0)))/2,0.15),2),INDEX(AllCollegeGR, MATCH(N499,AllCollegeNCES,0)))</f>
        <v>0</v>
      </c>
      <c r="AB499">
        <f>IF(ISNUMBER(INDEX(AllCollegeAAHGR, MATCH(N499,AllCollegeNCES,0))),ROUND(INDEX(AllCollegeAAHGR, MATCH(N499,AllCollegeNCES,0))+Z499*IF(INDEX(AllCollegeAAHGR, MATCH(N499,AllCollegeNCES,0))&gt;0.7,(1-INDEX(AllCollegeAAHGR, MATCH(N499,AllCollegeNCES,0)))/2,0.15),2),INDEX(AllCollegeAAHGR, MATCH(N499,AllCollegeNCES,0)))</f>
        <v>0</v>
      </c>
      <c r="AC499">
        <f>IF(OR(W499="H",W499="B"),INDEX(AllCollegeSAT25, MATCH(N499,AllCollegeNCES,0)),INDEX(AllCollegeSAT50, MATCH(N499,AllCollegeNCES,0)))</f>
        <v>0</v>
      </c>
      <c r="AD499">
        <f>INDEX(CustomWeightsGPA,MATCH(W499&amp;":"&amp;N499,CustomWeightsIndex,0))</f>
        <v>0</v>
      </c>
      <c r="AE499">
        <f>INDEX(CustomWeightsSAT,MATCH(W499&amp;":"&amp;N499,CustomWeightsIndex,0))</f>
        <v>0</v>
      </c>
      <c r="AF499">
        <f>INDEX(CustomWeightsIntercept,MATCH(W499&amp;":"&amp;N499,CustomWeightsIndex,0))</f>
        <v>0</v>
      </c>
      <c r="AG499">
        <f>AD499*S499+AE499*T499+AF499</f>
        <v>0</v>
      </c>
      <c r="AH499">
        <f>INDEX(CoefficientsGPA,MATCH(W499&amp;":"&amp;R499,CoefficientsIndex,0))</f>
        <v>0</v>
      </c>
      <c r="AI499">
        <f>INDEX(CoefficientsSAT,MATCH(W499&amp;":"&amp;R499,CoefficientsIndex,0))</f>
        <v>0</v>
      </c>
      <c r="AJ499">
        <f>INDEX(CoefficientsIntercept,MATCH(W499&amp;":"&amp;R499,CoefficientsIndex,0))</f>
        <v>0</v>
      </c>
      <c r="AK499">
        <f>AH499*S499+(T499-AC499)*AI499+AJ499</f>
        <v>0</v>
      </c>
      <c r="AL499">
        <f>IF(ISNUMBER(AG499),AG499,AK499)</f>
        <v>0</v>
      </c>
      <c r="AM499">
        <f>IF(ISNUMBER(AL499),IF(ISNUMBER(AH499),IF(AND(AH499=1,AI499=1,AJ499=1),100,MIN(99,ROUND(100*EXP(AL499)/(1+EXP(AL499)),2))),MIN(99,ROUND(100*EXP(AL499)/(1+EXP(AL499)),2))),IF(ISTEXT(R499),IF(LEFT(R499,1)="2",100,"N/A"),"N/A"))</f>
        <v>0</v>
      </c>
      <c r="AN499">
        <f>IF(ISNUMBER(AM499),IF(AM499&gt;=99,IF(OR(U499=10,U499=11),MatchLabel,SureThingLabel),IF(AM499&gt;=95,SecureLabel,IF(AM499&gt;=80,SafetyLabel,IF(AM499&gt;=50,MatchLabel,IF(AM499&gt;=20,ReachLabel,IF(AM499&gt;=10,LongshotLabel,HailMaryLabel)))))),"Other")</f>
        <v>0</v>
      </c>
      <c r="AO499">
        <f>IF(OR(I499="accepted",I499="cond. accept",I499="summer admit"),IF(J499="yes","CHOICE!","Accepted!"),IF(I499="guar. transfer","Guar. Xfer",IF(I499="denied","Denied",IF(K499=1,"Waitlist",IF(L499=1,"Deferred",IF(G499="pending","Pending",IF(OR(G499="initial materials submitted",G499="mid-year submitted",G499="final submitted"),"Submitted",IF(H499="interest","Interest","?"))))))))</f>
        <v>0</v>
      </c>
      <c r="AP499">
        <f>IF(OR(AN499=ReachLabel,AN499=LongshotLabel,AN499=HailMaryLabel),1,0)</f>
        <v>0</v>
      </c>
      <c r="AQ499">
        <f>IF(OR(AP499=1,AN499=MatchLabel),1,0)</f>
        <v>0</v>
      </c>
      <c r="AR499">
        <f>IF(OR(AN499=MatchLabel,AN499=SafetyLabel,AN499=SecureLabel,AN499=SureThingLabel),1,0)</f>
        <v>0</v>
      </c>
      <c r="AS499">
        <f>IF(OR(W499="H",W499="B",W499="I",W499="M"),IF(ISNUMBER(AB499),ROUND(AB499,2),0),IF(ISNUMBER(AA499),ROUND(AA499,2),0))</f>
        <v>0</v>
      </c>
      <c r="AT499">
        <f>IF(AS499&gt;=X499,1,0)</f>
        <v>0</v>
      </c>
      <c r="AU499">
        <f>IF(AS499&gt;=Y499,1,0)</f>
        <v>0</v>
      </c>
      <c r="AV499">
        <f>IF(AS499&lt;(X499-0.10),1,0)</f>
        <v>0</v>
      </c>
      <c r="AW499">
        <f>1-AM499/100</f>
        <v>0</v>
      </c>
      <c r="AX499">
        <f>IF(AQ499=1,AW499,1)</f>
        <v>0</v>
      </c>
      <c r="AY499">
        <f>IF(AP499=1,AW499,1)</f>
        <v>0</v>
      </c>
      <c r="AZ499">
        <f>IF(AND(AT499=1,ISNUMBER(AW499)),$AW499,1)</f>
        <v>0</v>
      </c>
      <c r="BA499">
        <f>IF(AND(AU499=1,ISNUMBER(AW499)),$AW499,1)</f>
        <v>0</v>
      </c>
      <c r="BB499">
        <f>IF(ISNUMBER(AB499),INDEX(AllCollegeMoney, MATCH(N499,AllCollegeNCES,0)),0)</f>
        <v>0</v>
      </c>
      <c r="BC499">
        <f>IF(AND(AT499=1,ISNUMBER(AW499),BB499=1),$AW499,1)</f>
        <v>0</v>
      </c>
      <c r="BD499">
        <f>IF(AND(AU499=1,ISNUMBER(AW499),BB499=1),$AW499,1)</f>
        <v>0</v>
      </c>
      <c r="BE499">
        <f>IF(ISNUMBER(AB499),INDEX(AllCollegeILPub, MATCH(N499,AllCollegeNCES,0)),0)</f>
        <v>0</v>
      </c>
      <c r="BF499">
        <f>IF(AN499=ReachLabel,AS499,0)</f>
        <v>0</v>
      </c>
      <c r="BG499">
        <f>IF(AN499=MatchLabel,AS499,0)</f>
        <v>0</v>
      </c>
      <c r="BH499">
        <f>IF(AN499=SafetyLabel,AS499,0)</f>
        <v>0</v>
      </c>
      <c r="BI499">
        <f>IF(AN499=SecureLabel,AS499,0)</f>
        <v>0</v>
      </c>
      <c r="BJ499">
        <f>IF(AN499=SureThingLabel,AS499,0)</f>
        <v>0</v>
      </c>
      <c r="BK499">
        <f>MAX(BF499:BJ499)</f>
        <v>0</v>
      </c>
      <c r="BL499">
        <f>MAX(BG499:BJ499)</f>
        <v>0</v>
      </c>
      <c r="BM499">
        <f>MAX(BH499:BJ499)</f>
        <v>0</v>
      </c>
      <c r="BN499">
        <f>IF(AND(AN499=ReachLabel,BB499=1),AS499,0)</f>
        <v>0</v>
      </c>
      <c r="BO499">
        <f>IF(AND(AN499=MatchLabel,BB499=1),AS499,0)</f>
        <v>0</v>
      </c>
      <c r="BP499">
        <f>IF(AND(AN499=SafetyLabel,BB499=1),AS499,0)</f>
        <v>0</v>
      </c>
      <c r="BQ499">
        <f>IF(AND(AN499=SecureLabel,BB499=1),AS499,0)</f>
        <v>0</v>
      </c>
      <c r="BR499">
        <f>IF(AND(AN499=SureThingLabel,BB499=1),AS499,0)</f>
        <v>0</v>
      </c>
      <c r="BS499">
        <f>MAX(BN499:BR499)</f>
        <v>0</v>
      </c>
      <c r="BT499">
        <f>MAX(BO499:BR499)</f>
        <v>0</v>
      </c>
      <c r="BU499">
        <f>MAX(BP499:BR499)</f>
        <v>0</v>
      </c>
      <c r="BV499">
        <f>IF(ISNUMBER(AB499),INDEX(AllCollegeChicago, MATCH(N499,AllCollegeNCES,0))*BB499,0)</f>
        <v>0</v>
      </c>
      <c r="BW499">
        <f>IF(ISNUMBER(AB499),INDEX(AllCollegeMoneyCode, MATCH(N499,AllCollegeNCES,0)),"?")</f>
        <v>0</v>
      </c>
      <c r="BX499">
        <f>IF(OR(BW499="---",BW499="--",BW499="+/--",BW499="+/---"),1,0)</f>
        <v>0</v>
      </c>
      <c r="BY499">
        <f>BB499*AR499*AT499</f>
        <v>0</v>
      </c>
    </row>
    <row r="500" spans="1:77">
      <c r="A500" t="s">
        <v>96</v>
      </c>
      <c r="B500">
        <v>23463287</v>
      </c>
      <c r="C500" t="s">
        <v>155</v>
      </c>
      <c r="D500" t="s">
        <v>156</v>
      </c>
      <c r="E500" t="s">
        <v>446</v>
      </c>
      <c r="F500" t="s">
        <v>577</v>
      </c>
      <c r="G500" t="s">
        <v>543</v>
      </c>
      <c r="H500" t="s">
        <v>543</v>
      </c>
      <c r="I500" t="s">
        <v>544</v>
      </c>
      <c r="J500" t="s">
        <v>446</v>
      </c>
      <c r="K500" t="s">
        <v>446</v>
      </c>
      <c r="L500" t="s">
        <v>446</v>
      </c>
      <c r="M500" t="s">
        <v>446</v>
      </c>
      <c r="N500">
        <v>146676</v>
      </c>
      <c r="O500">
        <f>INDEX(Counselor,MATCH(B500,KidIDs,0))</f>
        <v>0</v>
      </c>
      <c r="P500">
        <f>INDEX(Advisors,MATCH(B500,KidIDs,0))</f>
        <v>0</v>
      </c>
      <c r="Q500">
        <f>INDEX(Cohort,MATCH(B500,KidIDs,0))</f>
        <v>0</v>
      </c>
      <c r="R500">
        <f>INDEX(AllCollegeBarrons,MATCH(N500,AllCollegeNCES,0))</f>
        <v>0</v>
      </c>
      <c r="S500">
        <f>INDEX(KidGPAs,MATCH(B500,KidIDs,0))</f>
        <v>0</v>
      </c>
      <c r="T500">
        <f>INDEX(KidSATs,MATCH(B500,KidIDs,0))</f>
        <v>0</v>
      </c>
      <c r="U500">
        <f>INDEX(Strats,MATCH(B500,KidIDs,0))</f>
        <v>0</v>
      </c>
      <c r="V500">
        <f>INDEX(KidRace,MATCH(B500,KidIDs,0))</f>
        <v>0</v>
      </c>
      <c r="W500">
        <f>IF(OR(V500="M",V500="I"),"H",IF(V500="P","A",V500))</f>
        <v>0</v>
      </c>
      <c r="X500">
        <f>INDEX(StudentTargets,MATCH(B500,KidIDs,0))</f>
        <v>0</v>
      </c>
      <c r="Y500">
        <f>INDEX(ReachStudentTargets,MATCH(B500,KidIDs,0))</f>
        <v>0</v>
      </c>
      <c r="Z500">
        <f>IF(OR(M500="Posse"),1,0)</f>
        <v>0</v>
      </c>
      <c r="AA500">
        <f>IF(ISNUMBER(INDEX(AllCollegeGR, MATCH(N500,AllCollegeNCES,0))),ROUND(INDEX(AllCollegeGR, MATCH(N500,AllCollegeNCES,0))+Z500*IF(INDEX(AllCollegeGR, MATCH(N500,AllCollegeNCES,0))&gt;0.7,(1-INDEX(AllCollegeGR, MATCH(N500,AllCollegeNCES,0)))/2,0.15),2),INDEX(AllCollegeGR, MATCH(N500,AllCollegeNCES,0)))</f>
        <v>0</v>
      </c>
      <c r="AB500">
        <f>IF(ISNUMBER(INDEX(AllCollegeAAHGR, MATCH(N500,AllCollegeNCES,0))),ROUND(INDEX(AllCollegeAAHGR, MATCH(N500,AllCollegeNCES,0))+Z500*IF(INDEX(AllCollegeAAHGR, MATCH(N500,AllCollegeNCES,0))&gt;0.7,(1-INDEX(AllCollegeAAHGR, MATCH(N500,AllCollegeNCES,0)))/2,0.15),2),INDEX(AllCollegeAAHGR, MATCH(N500,AllCollegeNCES,0)))</f>
        <v>0</v>
      </c>
      <c r="AC500">
        <f>IF(OR(W500="H",W500="B"),INDEX(AllCollegeSAT25, MATCH(N500,AllCollegeNCES,0)),INDEX(AllCollegeSAT50, MATCH(N500,AllCollegeNCES,0)))</f>
        <v>0</v>
      </c>
      <c r="AD500">
        <f>INDEX(CustomWeightsGPA,MATCH(W500&amp;":"&amp;N500,CustomWeightsIndex,0))</f>
        <v>0</v>
      </c>
      <c r="AE500">
        <f>INDEX(CustomWeightsSAT,MATCH(W500&amp;":"&amp;N500,CustomWeightsIndex,0))</f>
        <v>0</v>
      </c>
      <c r="AF500">
        <f>INDEX(CustomWeightsIntercept,MATCH(W500&amp;":"&amp;N500,CustomWeightsIndex,0))</f>
        <v>0</v>
      </c>
      <c r="AG500">
        <f>AD500*S500+AE500*T500+AF500</f>
        <v>0</v>
      </c>
      <c r="AH500">
        <f>INDEX(CoefficientsGPA,MATCH(W500&amp;":"&amp;R500,CoefficientsIndex,0))</f>
        <v>0</v>
      </c>
      <c r="AI500">
        <f>INDEX(CoefficientsSAT,MATCH(W500&amp;":"&amp;R500,CoefficientsIndex,0))</f>
        <v>0</v>
      </c>
      <c r="AJ500">
        <f>INDEX(CoefficientsIntercept,MATCH(W500&amp;":"&amp;R500,CoefficientsIndex,0))</f>
        <v>0</v>
      </c>
      <c r="AK500">
        <f>AH500*S500+(T500-AC500)*AI500+AJ500</f>
        <v>0</v>
      </c>
      <c r="AL500">
        <f>IF(ISNUMBER(AG500),AG500,AK500)</f>
        <v>0</v>
      </c>
      <c r="AM500">
        <f>IF(ISNUMBER(AL500),IF(ISNUMBER(AH500),IF(AND(AH500=1,AI500=1,AJ500=1),100,MIN(99,ROUND(100*EXP(AL500)/(1+EXP(AL500)),2))),MIN(99,ROUND(100*EXP(AL500)/(1+EXP(AL500)),2))),IF(ISTEXT(R500),IF(LEFT(R500,1)="2",100,"N/A"),"N/A"))</f>
        <v>0</v>
      </c>
      <c r="AN500">
        <f>IF(ISNUMBER(AM500),IF(AM500&gt;=99,IF(OR(U500=10,U500=11),MatchLabel,SureThingLabel),IF(AM500&gt;=95,SecureLabel,IF(AM500&gt;=80,SafetyLabel,IF(AM500&gt;=50,MatchLabel,IF(AM500&gt;=20,ReachLabel,IF(AM500&gt;=10,LongshotLabel,HailMaryLabel)))))),"Other")</f>
        <v>0</v>
      </c>
      <c r="AO500">
        <f>IF(OR(I500="accepted",I500="cond. accept",I500="summer admit"),IF(J500="yes","CHOICE!","Accepted!"),IF(I500="guar. transfer","Guar. Xfer",IF(I500="denied","Denied",IF(K500=1,"Waitlist",IF(L500=1,"Deferred",IF(G500="pending","Pending",IF(OR(G500="initial materials submitted",G500="mid-year submitted",G500="final submitted"),"Submitted",IF(H500="interest","Interest","?"))))))))</f>
        <v>0</v>
      </c>
      <c r="AP500">
        <f>IF(OR(AN500=ReachLabel,AN500=LongshotLabel,AN500=HailMaryLabel),1,0)</f>
        <v>0</v>
      </c>
      <c r="AQ500">
        <f>IF(OR(AP500=1,AN500=MatchLabel),1,0)</f>
        <v>0</v>
      </c>
      <c r="AR500">
        <f>IF(OR(AN500=MatchLabel,AN500=SafetyLabel,AN500=SecureLabel,AN500=SureThingLabel),1,0)</f>
        <v>0</v>
      </c>
      <c r="AS500">
        <f>IF(OR(W500="H",W500="B",W500="I",W500="M"),IF(ISNUMBER(AB500),ROUND(AB500,2),0),IF(ISNUMBER(AA500),ROUND(AA500,2),0))</f>
        <v>0</v>
      </c>
      <c r="AT500">
        <f>IF(AS500&gt;=X500,1,0)</f>
        <v>0</v>
      </c>
      <c r="AU500">
        <f>IF(AS500&gt;=Y500,1,0)</f>
        <v>0</v>
      </c>
      <c r="AV500">
        <f>IF(AS500&lt;(X500-0.10),1,0)</f>
        <v>0</v>
      </c>
      <c r="AW500">
        <f>1-AM500/100</f>
        <v>0</v>
      </c>
      <c r="AX500">
        <f>IF(AQ500=1,AW500,1)</f>
        <v>0</v>
      </c>
      <c r="AY500">
        <f>IF(AP500=1,AW500,1)</f>
        <v>0</v>
      </c>
      <c r="AZ500">
        <f>IF(AND(AT500=1,ISNUMBER(AW500)),$AW500,1)</f>
        <v>0</v>
      </c>
      <c r="BA500">
        <f>IF(AND(AU500=1,ISNUMBER(AW500)),$AW500,1)</f>
        <v>0</v>
      </c>
      <c r="BB500">
        <f>IF(ISNUMBER(AB500),INDEX(AllCollegeMoney, MATCH(N500,AllCollegeNCES,0)),0)</f>
        <v>0</v>
      </c>
      <c r="BC500">
        <f>IF(AND(AT500=1,ISNUMBER(AW500),BB500=1),$AW500,1)</f>
        <v>0</v>
      </c>
      <c r="BD500">
        <f>IF(AND(AU500=1,ISNUMBER(AW500),BB500=1),$AW500,1)</f>
        <v>0</v>
      </c>
      <c r="BE500">
        <f>IF(ISNUMBER(AB500),INDEX(AllCollegeILPub, MATCH(N500,AllCollegeNCES,0)),0)</f>
        <v>0</v>
      </c>
      <c r="BF500">
        <f>IF(AN500=ReachLabel,AS500,0)</f>
        <v>0</v>
      </c>
      <c r="BG500">
        <f>IF(AN500=MatchLabel,AS500,0)</f>
        <v>0</v>
      </c>
      <c r="BH500">
        <f>IF(AN500=SafetyLabel,AS500,0)</f>
        <v>0</v>
      </c>
      <c r="BI500">
        <f>IF(AN500=SecureLabel,AS500,0)</f>
        <v>0</v>
      </c>
      <c r="BJ500">
        <f>IF(AN500=SureThingLabel,AS500,0)</f>
        <v>0</v>
      </c>
      <c r="BK500">
        <f>MAX(BF500:BJ500)</f>
        <v>0</v>
      </c>
      <c r="BL500">
        <f>MAX(BG500:BJ500)</f>
        <v>0</v>
      </c>
      <c r="BM500">
        <f>MAX(BH500:BJ500)</f>
        <v>0</v>
      </c>
      <c r="BN500">
        <f>IF(AND(AN500=ReachLabel,BB500=1),AS500,0)</f>
        <v>0</v>
      </c>
      <c r="BO500">
        <f>IF(AND(AN500=MatchLabel,BB500=1),AS500,0)</f>
        <v>0</v>
      </c>
      <c r="BP500">
        <f>IF(AND(AN500=SafetyLabel,BB500=1),AS500,0)</f>
        <v>0</v>
      </c>
      <c r="BQ500">
        <f>IF(AND(AN500=SecureLabel,BB500=1),AS500,0)</f>
        <v>0</v>
      </c>
      <c r="BR500">
        <f>IF(AND(AN500=SureThingLabel,BB500=1),AS500,0)</f>
        <v>0</v>
      </c>
      <c r="BS500">
        <f>MAX(BN500:BR500)</f>
        <v>0</v>
      </c>
      <c r="BT500">
        <f>MAX(BO500:BR500)</f>
        <v>0</v>
      </c>
      <c r="BU500">
        <f>MAX(BP500:BR500)</f>
        <v>0</v>
      </c>
      <c r="BV500">
        <f>IF(ISNUMBER(AB500),INDEX(AllCollegeChicago, MATCH(N500,AllCollegeNCES,0))*BB500,0)</f>
        <v>0</v>
      </c>
      <c r="BW500">
        <f>IF(ISNUMBER(AB500),INDEX(AllCollegeMoneyCode, MATCH(N500,AllCollegeNCES,0)),"?")</f>
        <v>0</v>
      </c>
      <c r="BX500">
        <f>IF(OR(BW500="---",BW500="--",BW500="+/--",BW500="+/---"),1,0)</f>
        <v>0</v>
      </c>
      <c r="BY500">
        <f>BB500*AR500*AT500</f>
        <v>0</v>
      </c>
    </row>
    <row r="501" spans="1:77">
      <c r="A501" t="s">
        <v>96</v>
      </c>
      <c r="B501">
        <v>23473460</v>
      </c>
      <c r="C501" t="s">
        <v>255</v>
      </c>
      <c r="D501" t="s">
        <v>256</v>
      </c>
      <c r="E501" t="s">
        <v>446</v>
      </c>
      <c r="F501" t="s">
        <v>486</v>
      </c>
      <c r="G501" t="s">
        <v>448</v>
      </c>
      <c r="H501" t="s">
        <v>449</v>
      </c>
      <c r="I501" t="s">
        <v>450</v>
      </c>
      <c r="J501" t="s">
        <v>450</v>
      </c>
      <c r="K501">
        <v>0</v>
      </c>
      <c r="L501" t="s">
        <v>446</v>
      </c>
      <c r="M501" t="s">
        <v>446</v>
      </c>
      <c r="N501">
        <v>206589</v>
      </c>
      <c r="O501">
        <f>INDEX(Counselor,MATCH(B501,KidIDs,0))</f>
        <v>0</v>
      </c>
      <c r="P501">
        <f>INDEX(Advisors,MATCH(B501,KidIDs,0))</f>
        <v>0</v>
      </c>
      <c r="Q501">
        <f>INDEX(Cohort,MATCH(B501,KidIDs,0))</f>
        <v>0</v>
      </c>
      <c r="R501">
        <f>INDEX(AllCollegeBarrons,MATCH(N501,AllCollegeNCES,0))</f>
        <v>0</v>
      </c>
      <c r="S501">
        <f>INDEX(KidGPAs,MATCH(B501,KidIDs,0))</f>
        <v>0</v>
      </c>
      <c r="T501">
        <f>INDEX(KidSATs,MATCH(B501,KidIDs,0))</f>
        <v>0</v>
      </c>
      <c r="U501">
        <f>INDEX(Strats,MATCH(B501,KidIDs,0))</f>
        <v>0</v>
      </c>
      <c r="V501">
        <f>INDEX(KidRace,MATCH(B501,KidIDs,0))</f>
        <v>0</v>
      </c>
      <c r="W501">
        <f>IF(OR(V501="M",V501="I"),"H",IF(V501="P","A",V501))</f>
        <v>0</v>
      </c>
      <c r="X501">
        <f>INDEX(StudentTargets,MATCH(B501,KidIDs,0))</f>
        <v>0</v>
      </c>
      <c r="Y501">
        <f>INDEX(ReachStudentTargets,MATCH(B501,KidIDs,0))</f>
        <v>0</v>
      </c>
      <c r="Z501">
        <f>IF(OR(M501="Posse"),1,0)</f>
        <v>0</v>
      </c>
      <c r="AA501">
        <f>IF(ISNUMBER(INDEX(AllCollegeGR, MATCH(N501,AllCollegeNCES,0))),ROUND(INDEX(AllCollegeGR, MATCH(N501,AllCollegeNCES,0))+Z501*IF(INDEX(AllCollegeGR, MATCH(N501,AllCollegeNCES,0))&gt;0.7,(1-INDEX(AllCollegeGR, MATCH(N501,AllCollegeNCES,0)))/2,0.15),2),INDEX(AllCollegeGR, MATCH(N501,AllCollegeNCES,0)))</f>
        <v>0</v>
      </c>
      <c r="AB501">
        <f>IF(ISNUMBER(INDEX(AllCollegeAAHGR, MATCH(N501,AllCollegeNCES,0))),ROUND(INDEX(AllCollegeAAHGR, MATCH(N501,AllCollegeNCES,0))+Z501*IF(INDEX(AllCollegeAAHGR, MATCH(N501,AllCollegeNCES,0))&gt;0.7,(1-INDEX(AllCollegeAAHGR, MATCH(N501,AllCollegeNCES,0)))/2,0.15),2),INDEX(AllCollegeAAHGR, MATCH(N501,AllCollegeNCES,0)))</f>
        <v>0</v>
      </c>
      <c r="AC501">
        <f>IF(OR(W501="H",W501="B"),INDEX(AllCollegeSAT25, MATCH(N501,AllCollegeNCES,0)),INDEX(AllCollegeSAT50, MATCH(N501,AllCollegeNCES,0)))</f>
        <v>0</v>
      </c>
      <c r="AD501">
        <f>INDEX(CustomWeightsGPA,MATCH(W501&amp;":"&amp;N501,CustomWeightsIndex,0))</f>
        <v>0</v>
      </c>
      <c r="AE501">
        <f>INDEX(CustomWeightsSAT,MATCH(W501&amp;":"&amp;N501,CustomWeightsIndex,0))</f>
        <v>0</v>
      </c>
      <c r="AF501">
        <f>INDEX(CustomWeightsIntercept,MATCH(W501&amp;":"&amp;N501,CustomWeightsIndex,0))</f>
        <v>0</v>
      </c>
      <c r="AG501">
        <f>AD501*S501+AE501*T501+AF501</f>
        <v>0</v>
      </c>
      <c r="AH501">
        <f>INDEX(CoefficientsGPA,MATCH(W501&amp;":"&amp;R501,CoefficientsIndex,0))</f>
        <v>0</v>
      </c>
      <c r="AI501">
        <f>INDEX(CoefficientsSAT,MATCH(W501&amp;":"&amp;R501,CoefficientsIndex,0))</f>
        <v>0</v>
      </c>
      <c r="AJ501">
        <f>INDEX(CoefficientsIntercept,MATCH(W501&amp;":"&amp;R501,CoefficientsIndex,0))</f>
        <v>0</v>
      </c>
      <c r="AK501">
        <f>AH501*S501+(T501-AC501)*AI501+AJ501</f>
        <v>0</v>
      </c>
      <c r="AL501">
        <f>IF(ISNUMBER(AG501),AG501,AK501)</f>
        <v>0</v>
      </c>
      <c r="AM501">
        <f>IF(ISNUMBER(AL501),IF(ISNUMBER(AH501),IF(AND(AH501=1,AI501=1,AJ501=1),100,MIN(99,ROUND(100*EXP(AL501)/(1+EXP(AL501)),2))),MIN(99,ROUND(100*EXP(AL501)/(1+EXP(AL501)),2))),IF(ISTEXT(R501),IF(LEFT(R501,1)="2",100,"N/A"),"N/A"))</f>
        <v>0</v>
      </c>
      <c r="AN501">
        <f>IF(ISNUMBER(AM501),IF(AM501&gt;=99,IF(OR(U501=10,U501=11),MatchLabel,SureThingLabel),IF(AM501&gt;=95,SecureLabel,IF(AM501&gt;=80,SafetyLabel,IF(AM501&gt;=50,MatchLabel,IF(AM501&gt;=20,ReachLabel,IF(AM501&gt;=10,LongshotLabel,HailMaryLabel)))))),"Other")</f>
        <v>0</v>
      </c>
      <c r="AO501">
        <f>IF(OR(I501="accepted",I501="cond. accept",I501="summer admit"),IF(J501="yes","CHOICE!","Accepted!"),IF(I501="guar. transfer","Guar. Xfer",IF(I501="denied","Denied",IF(K501=1,"Waitlist",IF(L501=1,"Deferred",IF(G501="pending","Pending",IF(OR(G501="initial materials submitted",G501="mid-year submitted",G501="final submitted"),"Submitted",IF(H501="interest","Interest","?"))))))))</f>
        <v>0</v>
      </c>
      <c r="AP501">
        <f>IF(OR(AN501=ReachLabel,AN501=LongshotLabel,AN501=HailMaryLabel),1,0)</f>
        <v>0</v>
      </c>
      <c r="AQ501">
        <f>IF(OR(AP501=1,AN501=MatchLabel),1,0)</f>
        <v>0</v>
      </c>
      <c r="AR501">
        <f>IF(OR(AN501=MatchLabel,AN501=SafetyLabel,AN501=SecureLabel,AN501=SureThingLabel),1,0)</f>
        <v>0</v>
      </c>
      <c r="AS501">
        <f>IF(OR(W501="H",W501="B",W501="I",W501="M"),IF(ISNUMBER(AB501),ROUND(AB501,2),0),IF(ISNUMBER(AA501),ROUND(AA501,2),0))</f>
        <v>0</v>
      </c>
      <c r="AT501">
        <f>IF(AS501&gt;=X501,1,0)</f>
        <v>0</v>
      </c>
      <c r="AU501">
        <f>IF(AS501&gt;=Y501,1,0)</f>
        <v>0</v>
      </c>
      <c r="AV501">
        <f>IF(AS501&lt;(X501-0.10),1,0)</f>
        <v>0</v>
      </c>
      <c r="AW501">
        <f>1-AM501/100</f>
        <v>0</v>
      </c>
      <c r="AX501">
        <f>IF(AQ501=1,AW501,1)</f>
        <v>0</v>
      </c>
      <c r="AY501">
        <f>IF(AP501=1,AW501,1)</f>
        <v>0</v>
      </c>
      <c r="AZ501">
        <f>IF(AND(AT501=1,ISNUMBER(AW501)),$AW501,1)</f>
        <v>0</v>
      </c>
      <c r="BA501">
        <f>IF(AND(AU501=1,ISNUMBER(AW501)),$AW501,1)</f>
        <v>0</v>
      </c>
      <c r="BB501">
        <f>IF(ISNUMBER(AB501),INDEX(AllCollegeMoney, MATCH(N501,AllCollegeNCES,0)),0)</f>
        <v>0</v>
      </c>
      <c r="BC501">
        <f>IF(AND(AT501=1,ISNUMBER(AW501),BB501=1),$AW501,1)</f>
        <v>0</v>
      </c>
      <c r="BD501">
        <f>IF(AND(AU501=1,ISNUMBER(AW501),BB501=1),$AW501,1)</f>
        <v>0</v>
      </c>
      <c r="BE501">
        <f>IF(ISNUMBER(AB501),INDEX(AllCollegeILPub, MATCH(N501,AllCollegeNCES,0)),0)</f>
        <v>0</v>
      </c>
      <c r="BF501">
        <f>IF(AN501=ReachLabel,AS501,0)</f>
        <v>0</v>
      </c>
      <c r="BG501">
        <f>IF(AN501=MatchLabel,AS501,0)</f>
        <v>0</v>
      </c>
      <c r="BH501">
        <f>IF(AN501=SafetyLabel,AS501,0)</f>
        <v>0</v>
      </c>
      <c r="BI501">
        <f>IF(AN501=SecureLabel,AS501,0)</f>
        <v>0</v>
      </c>
      <c r="BJ501">
        <f>IF(AN501=SureThingLabel,AS501,0)</f>
        <v>0</v>
      </c>
      <c r="BK501">
        <f>MAX(BF501:BJ501)</f>
        <v>0</v>
      </c>
      <c r="BL501">
        <f>MAX(BG501:BJ501)</f>
        <v>0</v>
      </c>
      <c r="BM501">
        <f>MAX(BH501:BJ501)</f>
        <v>0</v>
      </c>
      <c r="BN501">
        <f>IF(AND(AN501=ReachLabel,BB501=1),AS501,0)</f>
        <v>0</v>
      </c>
      <c r="BO501">
        <f>IF(AND(AN501=MatchLabel,BB501=1),AS501,0)</f>
        <v>0</v>
      </c>
      <c r="BP501">
        <f>IF(AND(AN501=SafetyLabel,BB501=1),AS501,0)</f>
        <v>0</v>
      </c>
      <c r="BQ501">
        <f>IF(AND(AN501=SecureLabel,BB501=1),AS501,0)</f>
        <v>0</v>
      </c>
      <c r="BR501">
        <f>IF(AND(AN501=SureThingLabel,BB501=1),AS501,0)</f>
        <v>0</v>
      </c>
      <c r="BS501">
        <f>MAX(BN501:BR501)</f>
        <v>0</v>
      </c>
      <c r="BT501">
        <f>MAX(BO501:BR501)</f>
        <v>0</v>
      </c>
      <c r="BU501">
        <f>MAX(BP501:BR501)</f>
        <v>0</v>
      </c>
      <c r="BV501">
        <f>IF(ISNUMBER(AB501),INDEX(AllCollegeChicago, MATCH(N501,AllCollegeNCES,0))*BB501,0)</f>
        <v>0</v>
      </c>
      <c r="BW501">
        <f>IF(ISNUMBER(AB501),INDEX(AllCollegeMoneyCode, MATCH(N501,AllCollegeNCES,0)),"?")</f>
        <v>0</v>
      </c>
      <c r="BX501">
        <f>IF(OR(BW501="---",BW501="--",BW501="+/--",BW501="+/---"),1,0)</f>
        <v>0</v>
      </c>
      <c r="BY501">
        <f>BB501*AR501*AT501</f>
        <v>0</v>
      </c>
    </row>
    <row r="502" spans="1:77">
      <c r="A502" t="s">
        <v>96</v>
      </c>
      <c r="B502">
        <v>23473460</v>
      </c>
      <c r="C502" t="s">
        <v>255</v>
      </c>
      <c r="D502" t="s">
        <v>256</v>
      </c>
      <c r="E502" t="s">
        <v>446</v>
      </c>
      <c r="F502" t="s">
        <v>475</v>
      </c>
      <c r="G502" t="s">
        <v>448</v>
      </c>
      <c r="H502" t="s">
        <v>449</v>
      </c>
      <c r="I502" t="s">
        <v>450</v>
      </c>
      <c r="J502" t="s">
        <v>450</v>
      </c>
      <c r="K502">
        <v>0</v>
      </c>
      <c r="L502" t="s">
        <v>446</v>
      </c>
      <c r="M502" t="s">
        <v>446</v>
      </c>
      <c r="N502">
        <v>145637</v>
      </c>
      <c r="O502">
        <f>INDEX(Counselor,MATCH(B502,KidIDs,0))</f>
        <v>0</v>
      </c>
      <c r="P502">
        <f>INDEX(Advisors,MATCH(B502,KidIDs,0))</f>
        <v>0</v>
      </c>
      <c r="Q502">
        <f>INDEX(Cohort,MATCH(B502,KidIDs,0))</f>
        <v>0</v>
      </c>
      <c r="R502">
        <f>INDEX(AllCollegeBarrons,MATCH(N502,AllCollegeNCES,0))</f>
        <v>0</v>
      </c>
      <c r="S502">
        <f>INDEX(KidGPAs,MATCH(B502,KidIDs,0))</f>
        <v>0</v>
      </c>
      <c r="T502">
        <f>INDEX(KidSATs,MATCH(B502,KidIDs,0))</f>
        <v>0</v>
      </c>
      <c r="U502">
        <f>INDEX(Strats,MATCH(B502,KidIDs,0))</f>
        <v>0</v>
      </c>
      <c r="V502">
        <f>INDEX(KidRace,MATCH(B502,KidIDs,0))</f>
        <v>0</v>
      </c>
      <c r="W502">
        <f>IF(OR(V502="M",V502="I"),"H",IF(V502="P","A",V502))</f>
        <v>0</v>
      </c>
      <c r="X502">
        <f>INDEX(StudentTargets,MATCH(B502,KidIDs,0))</f>
        <v>0</v>
      </c>
      <c r="Y502">
        <f>INDEX(ReachStudentTargets,MATCH(B502,KidIDs,0))</f>
        <v>0</v>
      </c>
      <c r="Z502">
        <f>IF(OR(M502="Posse"),1,0)</f>
        <v>0</v>
      </c>
      <c r="AA502">
        <f>IF(ISNUMBER(INDEX(AllCollegeGR, MATCH(N502,AllCollegeNCES,0))),ROUND(INDEX(AllCollegeGR, MATCH(N502,AllCollegeNCES,0))+Z502*IF(INDEX(AllCollegeGR, MATCH(N502,AllCollegeNCES,0))&gt;0.7,(1-INDEX(AllCollegeGR, MATCH(N502,AllCollegeNCES,0)))/2,0.15),2),INDEX(AllCollegeGR, MATCH(N502,AllCollegeNCES,0)))</f>
        <v>0</v>
      </c>
      <c r="AB502">
        <f>IF(ISNUMBER(INDEX(AllCollegeAAHGR, MATCH(N502,AllCollegeNCES,0))),ROUND(INDEX(AllCollegeAAHGR, MATCH(N502,AllCollegeNCES,0))+Z502*IF(INDEX(AllCollegeAAHGR, MATCH(N502,AllCollegeNCES,0))&gt;0.7,(1-INDEX(AllCollegeAAHGR, MATCH(N502,AllCollegeNCES,0)))/2,0.15),2),INDEX(AllCollegeAAHGR, MATCH(N502,AllCollegeNCES,0)))</f>
        <v>0</v>
      </c>
      <c r="AC502">
        <f>IF(OR(W502="H",W502="B"),INDEX(AllCollegeSAT25, MATCH(N502,AllCollegeNCES,0)),INDEX(AllCollegeSAT50, MATCH(N502,AllCollegeNCES,0)))</f>
        <v>0</v>
      </c>
      <c r="AD502">
        <f>INDEX(CustomWeightsGPA,MATCH(W502&amp;":"&amp;N502,CustomWeightsIndex,0))</f>
        <v>0</v>
      </c>
      <c r="AE502">
        <f>INDEX(CustomWeightsSAT,MATCH(W502&amp;":"&amp;N502,CustomWeightsIndex,0))</f>
        <v>0</v>
      </c>
      <c r="AF502">
        <f>INDEX(CustomWeightsIntercept,MATCH(W502&amp;":"&amp;N502,CustomWeightsIndex,0))</f>
        <v>0</v>
      </c>
      <c r="AG502">
        <f>AD502*S502+AE502*T502+AF502</f>
        <v>0</v>
      </c>
      <c r="AH502">
        <f>INDEX(CoefficientsGPA,MATCH(W502&amp;":"&amp;R502,CoefficientsIndex,0))</f>
        <v>0</v>
      </c>
      <c r="AI502">
        <f>INDEX(CoefficientsSAT,MATCH(W502&amp;":"&amp;R502,CoefficientsIndex,0))</f>
        <v>0</v>
      </c>
      <c r="AJ502">
        <f>INDEX(CoefficientsIntercept,MATCH(W502&amp;":"&amp;R502,CoefficientsIndex,0))</f>
        <v>0</v>
      </c>
      <c r="AK502">
        <f>AH502*S502+(T502-AC502)*AI502+AJ502</f>
        <v>0</v>
      </c>
      <c r="AL502">
        <f>IF(ISNUMBER(AG502),AG502,AK502)</f>
        <v>0</v>
      </c>
      <c r="AM502">
        <f>IF(ISNUMBER(AL502),IF(ISNUMBER(AH502),IF(AND(AH502=1,AI502=1,AJ502=1),100,MIN(99,ROUND(100*EXP(AL502)/(1+EXP(AL502)),2))),MIN(99,ROUND(100*EXP(AL502)/(1+EXP(AL502)),2))),IF(ISTEXT(R502),IF(LEFT(R502,1)="2",100,"N/A"),"N/A"))</f>
        <v>0</v>
      </c>
      <c r="AN502">
        <f>IF(ISNUMBER(AM502),IF(AM502&gt;=99,IF(OR(U502=10,U502=11),MatchLabel,SureThingLabel),IF(AM502&gt;=95,SecureLabel,IF(AM502&gt;=80,SafetyLabel,IF(AM502&gt;=50,MatchLabel,IF(AM502&gt;=20,ReachLabel,IF(AM502&gt;=10,LongshotLabel,HailMaryLabel)))))),"Other")</f>
        <v>0</v>
      </c>
      <c r="AO502">
        <f>IF(OR(I502="accepted",I502="cond. accept",I502="summer admit"),IF(J502="yes","CHOICE!","Accepted!"),IF(I502="guar. transfer","Guar. Xfer",IF(I502="denied","Denied",IF(K502=1,"Waitlist",IF(L502=1,"Deferred",IF(G502="pending","Pending",IF(OR(G502="initial materials submitted",G502="mid-year submitted",G502="final submitted"),"Submitted",IF(H502="interest","Interest","?"))))))))</f>
        <v>0</v>
      </c>
      <c r="AP502">
        <f>IF(OR(AN502=ReachLabel,AN502=LongshotLabel,AN502=HailMaryLabel),1,0)</f>
        <v>0</v>
      </c>
      <c r="AQ502">
        <f>IF(OR(AP502=1,AN502=MatchLabel),1,0)</f>
        <v>0</v>
      </c>
      <c r="AR502">
        <f>IF(OR(AN502=MatchLabel,AN502=SafetyLabel,AN502=SecureLabel,AN502=SureThingLabel),1,0)</f>
        <v>0</v>
      </c>
      <c r="AS502">
        <f>IF(OR(W502="H",W502="B",W502="I",W502="M"),IF(ISNUMBER(AB502),ROUND(AB502,2),0),IF(ISNUMBER(AA502),ROUND(AA502,2),0))</f>
        <v>0</v>
      </c>
      <c r="AT502">
        <f>IF(AS502&gt;=X502,1,0)</f>
        <v>0</v>
      </c>
      <c r="AU502">
        <f>IF(AS502&gt;=Y502,1,0)</f>
        <v>0</v>
      </c>
      <c r="AV502">
        <f>IF(AS502&lt;(X502-0.10),1,0)</f>
        <v>0</v>
      </c>
      <c r="AW502">
        <f>1-AM502/100</f>
        <v>0</v>
      </c>
      <c r="AX502">
        <f>IF(AQ502=1,AW502,1)</f>
        <v>0</v>
      </c>
      <c r="AY502">
        <f>IF(AP502=1,AW502,1)</f>
        <v>0</v>
      </c>
      <c r="AZ502">
        <f>IF(AND(AT502=1,ISNUMBER(AW502)),$AW502,1)</f>
        <v>0</v>
      </c>
      <c r="BA502">
        <f>IF(AND(AU502=1,ISNUMBER(AW502)),$AW502,1)</f>
        <v>0</v>
      </c>
      <c r="BB502">
        <f>IF(ISNUMBER(AB502),INDEX(AllCollegeMoney, MATCH(N502,AllCollegeNCES,0)),0)</f>
        <v>0</v>
      </c>
      <c r="BC502">
        <f>IF(AND(AT502=1,ISNUMBER(AW502),BB502=1),$AW502,1)</f>
        <v>0</v>
      </c>
      <c r="BD502">
        <f>IF(AND(AU502=1,ISNUMBER(AW502),BB502=1),$AW502,1)</f>
        <v>0</v>
      </c>
      <c r="BE502">
        <f>IF(ISNUMBER(AB502),INDEX(AllCollegeILPub, MATCH(N502,AllCollegeNCES,0)),0)</f>
        <v>0</v>
      </c>
      <c r="BF502">
        <f>IF(AN502=ReachLabel,AS502,0)</f>
        <v>0</v>
      </c>
      <c r="BG502">
        <f>IF(AN502=MatchLabel,AS502,0)</f>
        <v>0</v>
      </c>
      <c r="BH502">
        <f>IF(AN502=SafetyLabel,AS502,0)</f>
        <v>0</v>
      </c>
      <c r="BI502">
        <f>IF(AN502=SecureLabel,AS502,0)</f>
        <v>0</v>
      </c>
      <c r="BJ502">
        <f>IF(AN502=SureThingLabel,AS502,0)</f>
        <v>0</v>
      </c>
      <c r="BK502">
        <f>MAX(BF502:BJ502)</f>
        <v>0</v>
      </c>
      <c r="BL502">
        <f>MAX(BG502:BJ502)</f>
        <v>0</v>
      </c>
      <c r="BM502">
        <f>MAX(BH502:BJ502)</f>
        <v>0</v>
      </c>
      <c r="BN502">
        <f>IF(AND(AN502=ReachLabel,BB502=1),AS502,0)</f>
        <v>0</v>
      </c>
      <c r="BO502">
        <f>IF(AND(AN502=MatchLabel,BB502=1),AS502,0)</f>
        <v>0</v>
      </c>
      <c r="BP502">
        <f>IF(AND(AN502=SafetyLabel,BB502=1),AS502,0)</f>
        <v>0</v>
      </c>
      <c r="BQ502">
        <f>IF(AND(AN502=SecureLabel,BB502=1),AS502,0)</f>
        <v>0</v>
      </c>
      <c r="BR502">
        <f>IF(AND(AN502=SureThingLabel,BB502=1),AS502,0)</f>
        <v>0</v>
      </c>
      <c r="BS502">
        <f>MAX(BN502:BR502)</f>
        <v>0</v>
      </c>
      <c r="BT502">
        <f>MAX(BO502:BR502)</f>
        <v>0</v>
      </c>
      <c r="BU502">
        <f>MAX(BP502:BR502)</f>
        <v>0</v>
      </c>
      <c r="BV502">
        <f>IF(ISNUMBER(AB502),INDEX(AllCollegeChicago, MATCH(N502,AllCollegeNCES,0))*BB502,0)</f>
        <v>0</v>
      </c>
      <c r="BW502">
        <f>IF(ISNUMBER(AB502),INDEX(AllCollegeMoneyCode, MATCH(N502,AllCollegeNCES,0)),"?")</f>
        <v>0</v>
      </c>
      <c r="BX502">
        <f>IF(OR(BW502="---",BW502="--",BW502="+/--",BW502="+/---"),1,0)</f>
        <v>0</v>
      </c>
      <c r="BY502">
        <f>BB502*AR502*AT502</f>
        <v>0</v>
      </c>
    </row>
    <row r="503" spans="1:77">
      <c r="A503" t="s">
        <v>96</v>
      </c>
      <c r="B503">
        <v>23473460</v>
      </c>
      <c r="C503" t="s">
        <v>255</v>
      </c>
      <c r="D503" t="s">
        <v>256</v>
      </c>
      <c r="E503" t="s">
        <v>446</v>
      </c>
      <c r="F503" t="s">
        <v>447</v>
      </c>
      <c r="G503" t="s">
        <v>448</v>
      </c>
      <c r="H503" t="s">
        <v>449</v>
      </c>
      <c r="I503" t="s">
        <v>450</v>
      </c>
      <c r="J503" t="s">
        <v>450</v>
      </c>
      <c r="K503">
        <v>0</v>
      </c>
      <c r="L503" t="s">
        <v>446</v>
      </c>
      <c r="M503" t="s">
        <v>446</v>
      </c>
      <c r="N503">
        <v>148496</v>
      </c>
      <c r="O503">
        <f>INDEX(Counselor,MATCH(B503,KidIDs,0))</f>
        <v>0</v>
      </c>
      <c r="P503">
        <f>INDEX(Advisors,MATCH(B503,KidIDs,0))</f>
        <v>0</v>
      </c>
      <c r="Q503">
        <f>INDEX(Cohort,MATCH(B503,KidIDs,0))</f>
        <v>0</v>
      </c>
      <c r="R503">
        <f>INDEX(AllCollegeBarrons,MATCH(N503,AllCollegeNCES,0))</f>
        <v>0</v>
      </c>
      <c r="S503">
        <f>INDEX(KidGPAs,MATCH(B503,KidIDs,0))</f>
        <v>0</v>
      </c>
      <c r="T503">
        <f>INDEX(KidSATs,MATCH(B503,KidIDs,0))</f>
        <v>0</v>
      </c>
      <c r="U503">
        <f>INDEX(Strats,MATCH(B503,KidIDs,0))</f>
        <v>0</v>
      </c>
      <c r="V503">
        <f>INDEX(KidRace,MATCH(B503,KidIDs,0))</f>
        <v>0</v>
      </c>
      <c r="W503">
        <f>IF(OR(V503="M",V503="I"),"H",IF(V503="P","A",V503))</f>
        <v>0</v>
      </c>
      <c r="X503">
        <f>INDEX(StudentTargets,MATCH(B503,KidIDs,0))</f>
        <v>0</v>
      </c>
      <c r="Y503">
        <f>INDEX(ReachStudentTargets,MATCH(B503,KidIDs,0))</f>
        <v>0</v>
      </c>
      <c r="Z503">
        <f>IF(OR(M503="Posse"),1,0)</f>
        <v>0</v>
      </c>
      <c r="AA503">
        <f>IF(ISNUMBER(INDEX(AllCollegeGR, MATCH(N503,AllCollegeNCES,0))),ROUND(INDEX(AllCollegeGR, MATCH(N503,AllCollegeNCES,0))+Z503*IF(INDEX(AllCollegeGR, MATCH(N503,AllCollegeNCES,0))&gt;0.7,(1-INDEX(AllCollegeGR, MATCH(N503,AllCollegeNCES,0)))/2,0.15),2),INDEX(AllCollegeGR, MATCH(N503,AllCollegeNCES,0)))</f>
        <v>0</v>
      </c>
      <c r="AB503">
        <f>IF(ISNUMBER(INDEX(AllCollegeAAHGR, MATCH(N503,AllCollegeNCES,0))),ROUND(INDEX(AllCollegeAAHGR, MATCH(N503,AllCollegeNCES,0))+Z503*IF(INDEX(AllCollegeAAHGR, MATCH(N503,AllCollegeNCES,0))&gt;0.7,(1-INDEX(AllCollegeAAHGR, MATCH(N503,AllCollegeNCES,0)))/2,0.15),2),INDEX(AllCollegeAAHGR, MATCH(N503,AllCollegeNCES,0)))</f>
        <v>0</v>
      </c>
      <c r="AC503">
        <f>IF(OR(W503="H",W503="B"),INDEX(AllCollegeSAT25, MATCH(N503,AllCollegeNCES,0)),INDEX(AllCollegeSAT50, MATCH(N503,AllCollegeNCES,0)))</f>
        <v>0</v>
      </c>
      <c r="AD503">
        <f>INDEX(CustomWeightsGPA,MATCH(W503&amp;":"&amp;N503,CustomWeightsIndex,0))</f>
        <v>0</v>
      </c>
      <c r="AE503">
        <f>INDEX(CustomWeightsSAT,MATCH(W503&amp;":"&amp;N503,CustomWeightsIndex,0))</f>
        <v>0</v>
      </c>
      <c r="AF503">
        <f>INDEX(CustomWeightsIntercept,MATCH(W503&amp;":"&amp;N503,CustomWeightsIndex,0))</f>
        <v>0</v>
      </c>
      <c r="AG503">
        <f>AD503*S503+AE503*T503+AF503</f>
        <v>0</v>
      </c>
      <c r="AH503">
        <f>INDEX(CoefficientsGPA,MATCH(W503&amp;":"&amp;R503,CoefficientsIndex,0))</f>
        <v>0</v>
      </c>
      <c r="AI503">
        <f>INDEX(CoefficientsSAT,MATCH(W503&amp;":"&amp;R503,CoefficientsIndex,0))</f>
        <v>0</v>
      </c>
      <c r="AJ503">
        <f>INDEX(CoefficientsIntercept,MATCH(W503&amp;":"&amp;R503,CoefficientsIndex,0))</f>
        <v>0</v>
      </c>
      <c r="AK503">
        <f>AH503*S503+(T503-AC503)*AI503+AJ503</f>
        <v>0</v>
      </c>
      <c r="AL503">
        <f>IF(ISNUMBER(AG503),AG503,AK503)</f>
        <v>0</v>
      </c>
      <c r="AM503">
        <f>IF(ISNUMBER(AL503),IF(ISNUMBER(AH503),IF(AND(AH503=1,AI503=1,AJ503=1),100,MIN(99,ROUND(100*EXP(AL503)/(1+EXP(AL503)),2))),MIN(99,ROUND(100*EXP(AL503)/(1+EXP(AL503)),2))),IF(ISTEXT(R503),IF(LEFT(R503,1)="2",100,"N/A"),"N/A"))</f>
        <v>0</v>
      </c>
      <c r="AN503">
        <f>IF(ISNUMBER(AM503),IF(AM503&gt;=99,IF(OR(U503=10,U503=11),MatchLabel,SureThingLabel),IF(AM503&gt;=95,SecureLabel,IF(AM503&gt;=80,SafetyLabel,IF(AM503&gt;=50,MatchLabel,IF(AM503&gt;=20,ReachLabel,IF(AM503&gt;=10,LongshotLabel,HailMaryLabel)))))),"Other")</f>
        <v>0</v>
      </c>
      <c r="AO503">
        <f>IF(OR(I503="accepted",I503="cond. accept",I503="summer admit"),IF(J503="yes","CHOICE!","Accepted!"),IF(I503="guar. transfer","Guar. Xfer",IF(I503="denied","Denied",IF(K503=1,"Waitlist",IF(L503=1,"Deferred",IF(G503="pending","Pending",IF(OR(G503="initial materials submitted",G503="mid-year submitted",G503="final submitted"),"Submitted",IF(H503="interest","Interest","?"))))))))</f>
        <v>0</v>
      </c>
      <c r="AP503">
        <f>IF(OR(AN503=ReachLabel,AN503=LongshotLabel,AN503=HailMaryLabel),1,0)</f>
        <v>0</v>
      </c>
      <c r="AQ503">
        <f>IF(OR(AP503=1,AN503=MatchLabel),1,0)</f>
        <v>0</v>
      </c>
      <c r="AR503">
        <f>IF(OR(AN503=MatchLabel,AN503=SafetyLabel,AN503=SecureLabel,AN503=SureThingLabel),1,0)</f>
        <v>0</v>
      </c>
      <c r="AS503">
        <f>IF(OR(W503="H",W503="B",W503="I",W503="M"),IF(ISNUMBER(AB503),ROUND(AB503,2),0),IF(ISNUMBER(AA503),ROUND(AA503,2),0))</f>
        <v>0</v>
      </c>
      <c r="AT503">
        <f>IF(AS503&gt;=X503,1,0)</f>
        <v>0</v>
      </c>
      <c r="AU503">
        <f>IF(AS503&gt;=Y503,1,0)</f>
        <v>0</v>
      </c>
      <c r="AV503">
        <f>IF(AS503&lt;(X503-0.10),1,0)</f>
        <v>0</v>
      </c>
      <c r="AW503">
        <f>1-AM503/100</f>
        <v>0</v>
      </c>
      <c r="AX503">
        <f>IF(AQ503=1,AW503,1)</f>
        <v>0</v>
      </c>
      <c r="AY503">
        <f>IF(AP503=1,AW503,1)</f>
        <v>0</v>
      </c>
      <c r="AZ503">
        <f>IF(AND(AT503=1,ISNUMBER(AW503)),$AW503,1)</f>
        <v>0</v>
      </c>
      <c r="BA503">
        <f>IF(AND(AU503=1,ISNUMBER(AW503)),$AW503,1)</f>
        <v>0</v>
      </c>
      <c r="BB503">
        <f>IF(ISNUMBER(AB503),INDEX(AllCollegeMoney, MATCH(N503,AllCollegeNCES,0)),0)</f>
        <v>0</v>
      </c>
      <c r="BC503">
        <f>IF(AND(AT503=1,ISNUMBER(AW503),BB503=1),$AW503,1)</f>
        <v>0</v>
      </c>
      <c r="BD503">
        <f>IF(AND(AU503=1,ISNUMBER(AW503),BB503=1),$AW503,1)</f>
        <v>0</v>
      </c>
      <c r="BE503">
        <f>IF(ISNUMBER(AB503),INDEX(AllCollegeILPub, MATCH(N503,AllCollegeNCES,0)),0)</f>
        <v>0</v>
      </c>
      <c r="BF503">
        <f>IF(AN503=ReachLabel,AS503,0)</f>
        <v>0</v>
      </c>
      <c r="BG503">
        <f>IF(AN503=MatchLabel,AS503,0)</f>
        <v>0</v>
      </c>
      <c r="BH503">
        <f>IF(AN503=SafetyLabel,AS503,0)</f>
        <v>0</v>
      </c>
      <c r="BI503">
        <f>IF(AN503=SecureLabel,AS503,0)</f>
        <v>0</v>
      </c>
      <c r="BJ503">
        <f>IF(AN503=SureThingLabel,AS503,0)</f>
        <v>0</v>
      </c>
      <c r="BK503">
        <f>MAX(BF503:BJ503)</f>
        <v>0</v>
      </c>
      <c r="BL503">
        <f>MAX(BG503:BJ503)</f>
        <v>0</v>
      </c>
      <c r="BM503">
        <f>MAX(BH503:BJ503)</f>
        <v>0</v>
      </c>
      <c r="BN503">
        <f>IF(AND(AN503=ReachLabel,BB503=1),AS503,0)</f>
        <v>0</v>
      </c>
      <c r="BO503">
        <f>IF(AND(AN503=MatchLabel,BB503=1),AS503,0)</f>
        <v>0</v>
      </c>
      <c r="BP503">
        <f>IF(AND(AN503=SafetyLabel,BB503=1),AS503,0)</f>
        <v>0</v>
      </c>
      <c r="BQ503">
        <f>IF(AND(AN503=SecureLabel,BB503=1),AS503,0)</f>
        <v>0</v>
      </c>
      <c r="BR503">
        <f>IF(AND(AN503=SureThingLabel,BB503=1),AS503,0)</f>
        <v>0</v>
      </c>
      <c r="BS503">
        <f>MAX(BN503:BR503)</f>
        <v>0</v>
      </c>
      <c r="BT503">
        <f>MAX(BO503:BR503)</f>
        <v>0</v>
      </c>
      <c r="BU503">
        <f>MAX(BP503:BR503)</f>
        <v>0</v>
      </c>
      <c r="BV503">
        <f>IF(ISNUMBER(AB503),INDEX(AllCollegeChicago, MATCH(N503,AllCollegeNCES,0))*BB503,0)</f>
        <v>0</v>
      </c>
      <c r="BW503">
        <f>IF(ISNUMBER(AB503),INDEX(AllCollegeMoneyCode, MATCH(N503,AllCollegeNCES,0)),"?")</f>
        <v>0</v>
      </c>
      <c r="BX503">
        <f>IF(OR(BW503="---",BW503="--",BW503="+/--",BW503="+/---"),1,0)</f>
        <v>0</v>
      </c>
      <c r="BY503">
        <f>BB503*AR503*AT503</f>
        <v>0</v>
      </c>
    </row>
    <row r="504" spans="1:77">
      <c r="A504" t="s">
        <v>96</v>
      </c>
      <c r="B504">
        <v>23473460</v>
      </c>
      <c r="C504" t="s">
        <v>255</v>
      </c>
      <c r="D504" t="s">
        <v>256</v>
      </c>
      <c r="E504" t="s">
        <v>446</v>
      </c>
      <c r="F504" t="s">
        <v>476</v>
      </c>
      <c r="G504" t="s">
        <v>448</v>
      </c>
      <c r="H504" t="s">
        <v>449</v>
      </c>
      <c r="I504" t="s">
        <v>450</v>
      </c>
      <c r="J504" t="s">
        <v>450</v>
      </c>
      <c r="K504">
        <v>0</v>
      </c>
      <c r="L504" t="s">
        <v>446</v>
      </c>
      <c r="M504" t="s">
        <v>446</v>
      </c>
      <c r="N504">
        <v>213668</v>
      </c>
      <c r="O504">
        <f>INDEX(Counselor,MATCH(B504,KidIDs,0))</f>
        <v>0</v>
      </c>
      <c r="P504">
        <f>INDEX(Advisors,MATCH(B504,KidIDs,0))</f>
        <v>0</v>
      </c>
      <c r="Q504">
        <f>INDEX(Cohort,MATCH(B504,KidIDs,0))</f>
        <v>0</v>
      </c>
      <c r="R504">
        <f>INDEX(AllCollegeBarrons,MATCH(N504,AllCollegeNCES,0))</f>
        <v>0</v>
      </c>
      <c r="S504">
        <f>INDEX(KidGPAs,MATCH(B504,KidIDs,0))</f>
        <v>0</v>
      </c>
      <c r="T504">
        <f>INDEX(KidSATs,MATCH(B504,KidIDs,0))</f>
        <v>0</v>
      </c>
      <c r="U504">
        <f>INDEX(Strats,MATCH(B504,KidIDs,0))</f>
        <v>0</v>
      </c>
      <c r="V504">
        <f>INDEX(KidRace,MATCH(B504,KidIDs,0))</f>
        <v>0</v>
      </c>
      <c r="W504">
        <f>IF(OR(V504="M",V504="I"),"H",IF(V504="P","A",V504))</f>
        <v>0</v>
      </c>
      <c r="X504">
        <f>INDEX(StudentTargets,MATCH(B504,KidIDs,0))</f>
        <v>0</v>
      </c>
      <c r="Y504">
        <f>INDEX(ReachStudentTargets,MATCH(B504,KidIDs,0))</f>
        <v>0</v>
      </c>
      <c r="Z504">
        <f>IF(OR(M504="Posse"),1,0)</f>
        <v>0</v>
      </c>
      <c r="AA504">
        <f>IF(ISNUMBER(INDEX(AllCollegeGR, MATCH(N504,AllCollegeNCES,0))),ROUND(INDEX(AllCollegeGR, MATCH(N504,AllCollegeNCES,0))+Z504*IF(INDEX(AllCollegeGR, MATCH(N504,AllCollegeNCES,0))&gt;0.7,(1-INDEX(AllCollegeGR, MATCH(N504,AllCollegeNCES,0)))/2,0.15),2),INDEX(AllCollegeGR, MATCH(N504,AllCollegeNCES,0)))</f>
        <v>0</v>
      </c>
      <c r="AB504">
        <f>IF(ISNUMBER(INDEX(AllCollegeAAHGR, MATCH(N504,AllCollegeNCES,0))),ROUND(INDEX(AllCollegeAAHGR, MATCH(N504,AllCollegeNCES,0))+Z504*IF(INDEX(AllCollegeAAHGR, MATCH(N504,AllCollegeNCES,0))&gt;0.7,(1-INDEX(AllCollegeAAHGR, MATCH(N504,AllCollegeNCES,0)))/2,0.15),2),INDEX(AllCollegeAAHGR, MATCH(N504,AllCollegeNCES,0)))</f>
        <v>0</v>
      </c>
      <c r="AC504">
        <f>IF(OR(W504="H",W504="B"),INDEX(AllCollegeSAT25, MATCH(N504,AllCollegeNCES,0)),INDEX(AllCollegeSAT50, MATCH(N504,AllCollegeNCES,0)))</f>
        <v>0</v>
      </c>
      <c r="AD504">
        <f>INDEX(CustomWeightsGPA,MATCH(W504&amp;":"&amp;N504,CustomWeightsIndex,0))</f>
        <v>0</v>
      </c>
      <c r="AE504">
        <f>INDEX(CustomWeightsSAT,MATCH(W504&amp;":"&amp;N504,CustomWeightsIndex,0))</f>
        <v>0</v>
      </c>
      <c r="AF504">
        <f>INDEX(CustomWeightsIntercept,MATCH(W504&amp;":"&amp;N504,CustomWeightsIndex,0))</f>
        <v>0</v>
      </c>
      <c r="AG504">
        <f>AD504*S504+AE504*T504+AF504</f>
        <v>0</v>
      </c>
      <c r="AH504">
        <f>INDEX(CoefficientsGPA,MATCH(W504&amp;":"&amp;R504,CoefficientsIndex,0))</f>
        <v>0</v>
      </c>
      <c r="AI504">
        <f>INDEX(CoefficientsSAT,MATCH(W504&amp;":"&amp;R504,CoefficientsIndex,0))</f>
        <v>0</v>
      </c>
      <c r="AJ504">
        <f>INDEX(CoefficientsIntercept,MATCH(W504&amp;":"&amp;R504,CoefficientsIndex,0))</f>
        <v>0</v>
      </c>
      <c r="AK504">
        <f>AH504*S504+(T504-AC504)*AI504+AJ504</f>
        <v>0</v>
      </c>
      <c r="AL504">
        <f>IF(ISNUMBER(AG504),AG504,AK504)</f>
        <v>0</v>
      </c>
      <c r="AM504">
        <f>IF(ISNUMBER(AL504),IF(ISNUMBER(AH504),IF(AND(AH504=1,AI504=1,AJ504=1),100,MIN(99,ROUND(100*EXP(AL504)/(1+EXP(AL504)),2))),MIN(99,ROUND(100*EXP(AL504)/(1+EXP(AL504)),2))),IF(ISTEXT(R504),IF(LEFT(R504,1)="2",100,"N/A"),"N/A"))</f>
        <v>0</v>
      </c>
      <c r="AN504">
        <f>IF(ISNUMBER(AM504),IF(AM504&gt;=99,IF(OR(U504=10,U504=11),MatchLabel,SureThingLabel),IF(AM504&gt;=95,SecureLabel,IF(AM504&gt;=80,SafetyLabel,IF(AM504&gt;=50,MatchLabel,IF(AM504&gt;=20,ReachLabel,IF(AM504&gt;=10,LongshotLabel,HailMaryLabel)))))),"Other")</f>
        <v>0</v>
      </c>
      <c r="AO504">
        <f>IF(OR(I504="accepted",I504="cond. accept",I504="summer admit"),IF(J504="yes","CHOICE!","Accepted!"),IF(I504="guar. transfer","Guar. Xfer",IF(I504="denied","Denied",IF(K504=1,"Waitlist",IF(L504=1,"Deferred",IF(G504="pending","Pending",IF(OR(G504="initial materials submitted",G504="mid-year submitted",G504="final submitted"),"Submitted",IF(H504="interest","Interest","?"))))))))</f>
        <v>0</v>
      </c>
      <c r="AP504">
        <f>IF(OR(AN504=ReachLabel,AN504=LongshotLabel,AN504=HailMaryLabel),1,0)</f>
        <v>0</v>
      </c>
      <c r="AQ504">
        <f>IF(OR(AP504=1,AN504=MatchLabel),1,0)</f>
        <v>0</v>
      </c>
      <c r="AR504">
        <f>IF(OR(AN504=MatchLabel,AN504=SafetyLabel,AN504=SecureLabel,AN504=SureThingLabel),1,0)</f>
        <v>0</v>
      </c>
      <c r="AS504">
        <f>IF(OR(W504="H",W504="B",W504="I",W504="M"),IF(ISNUMBER(AB504),ROUND(AB504,2),0),IF(ISNUMBER(AA504),ROUND(AA504,2),0))</f>
        <v>0</v>
      </c>
      <c r="AT504">
        <f>IF(AS504&gt;=X504,1,0)</f>
        <v>0</v>
      </c>
      <c r="AU504">
        <f>IF(AS504&gt;=Y504,1,0)</f>
        <v>0</v>
      </c>
      <c r="AV504">
        <f>IF(AS504&lt;(X504-0.10),1,0)</f>
        <v>0</v>
      </c>
      <c r="AW504">
        <f>1-AM504/100</f>
        <v>0</v>
      </c>
      <c r="AX504">
        <f>IF(AQ504=1,AW504,1)</f>
        <v>0</v>
      </c>
      <c r="AY504">
        <f>IF(AP504=1,AW504,1)</f>
        <v>0</v>
      </c>
      <c r="AZ504">
        <f>IF(AND(AT504=1,ISNUMBER(AW504)),$AW504,1)</f>
        <v>0</v>
      </c>
      <c r="BA504">
        <f>IF(AND(AU504=1,ISNUMBER(AW504)),$AW504,1)</f>
        <v>0</v>
      </c>
      <c r="BB504">
        <f>IF(ISNUMBER(AB504),INDEX(AllCollegeMoney, MATCH(N504,AllCollegeNCES,0)),0)</f>
        <v>0</v>
      </c>
      <c r="BC504">
        <f>IF(AND(AT504=1,ISNUMBER(AW504),BB504=1),$AW504,1)</f>
        <v>0</v>
      </c>
      <c r="BD504">
        <f>IF(AND(AU504=1,ISNUMBER(AW504),BB504=1),$AW504,1)</f>
        <v>0</v>
      </c>
      <c r="BE504">
        <f>IF(ISNUMBER(AB504),INDEX(AllCollegeILPub, MATCH(N504,AllCollegeNCES,0)),0)</f>
        <v>0</v>
      </c>
      <c r="BF504">
        <f>IF(AN504=ReachLabel,AS504,0)</f>
        <v>0</v>
      </c>
      <c r="BG504">
        <f>IF(AN504=MatchLabel,AS504,0)</f>
        <v>0</v>
      </c>
      <c r="BH504">
        <f>IF(AN504=SafetyLabel,AS504,0)</f>
        <v>0</v>
      </c>
      <c r="BI504">
        <f>IF(AN504=SecureLabel,AS504,0)</f>
        <v>0</v>
      </c>
      <c r="BJ504">
        <f>IF(AN504=SureThingLabel,AS504,0)</f>
        <v>0</v>
      </c>
      <c r="BK504">
        <f>MAX(BF504:BJ504)</f>
        <v>0</v>
      </c>
      <c r="BL504">
        <f>MAX(BG504:BJ504)</f>
        <v>0</v>
      </c>
      <c r="BM504">
        <f>MAX(BH504:BJ504)</f>
        <v>0</v>
      </c>
      <c r="BN504">
        <f>IF(AND(AN504=ReachLabel,BB504=1),AS504,0)</f>
        <v>0</v>
      </c>
      <c r="BO504">
        <f>IF(AND(AN504=MatchLabel,BB504=1),AS504,0)</f>
        <v>0</v>
      </c>
      <c r="BP504">
        <f>IF(AND(AN504=SafetyLabel,BB504=1),AS504,0)</f>
        <v>0</v>
      </c>
      <c r="BQ504">
        <f>IF(AND(AN504=SecureLabel,BB504=1),AS504,0)</f>
        <v>0</v>
      </c>
      <c r="BR504">
        <f>IF(AND(AN504=SureThingLabel,BB504=1),AS504,0)</f>
        <v>0</v>
      </c>
      <c r="BS504">
        <f>MAX(BN504:BR504)</f>
        <v>0</v>
      </c>
      <c r="BT504">
        <f>MAX(BO504:BR504)</f>
        <v>0</v>
      </c>
      <c r="BU504">
        <f>MAX(BP504:BR504)</f>
        <v>0</v>
      </c>
      <c r="BV504">
        <f>IF(ISNUMBER(AB504),INDEX(AllCollegeChicago, MATCH(N504,AllCollegeNCES,0))*BB504,0)</f>
        <v>0</v>
      </c>
      <c r="BW504">
        <f>IF(ISNUMBER(AB504),INDEX(AllCollegeMoneyCode, MATCH(N504,AllCollegeNCES,0)),"?")</f>
        <v>0</v>
      </c>
      <c r="BX504">
        <f>IF(OR(BW504="---",BW504="--",BW504="+/--",BW504="+/---"),1,0)</f>
        <v>0</v>
      </c>
      <c r="BY504">
        <f>BB504*AR504*AT504</f>
        <v>0</v>
      </c>
    </row>
    <row r="505" spans="1:77">
      <c r="A505" t="s">
        <v>96</v>
      </c>
      <c r="B505">
        <v>23473460</v>
      </c>
      <c r="C505" t="s">
        <v>255</v>
      </c>
      <c r="D505" t="s">
        <v>256</v>
      </c>
      <c r="E505" t="s">
        <v>446</v>
      </c>
      <c r="F505" t="s">
        <v>477</v>
      </c>
      <c r="G505" t="s">
        <v>448</v>
      </c>
      <c r="H505" t="s">
        <v>449</v>
      </c>
      <c r="I505" t="s">
        <v>450</v>
      </c>
      <c r="J505" t="s">
        <v>450</v>
      </c>
      <c r="K505">
        <v>0</v>
      </c>
      <c r="L505" t="s">
        <v>446</v>
      </c>
      <c r="M505" t="s">
        <v>446</v>
      </c>
      <c r="N505">
        <v>146427</v>
      </c>
      <c r="O505">
        <f>INDEX(Counselor,MATCH(B505,KidIDs,0))</f>
        <v>0</v>
      </c>
      <c r="P505">
        <f>INDEX(Advisors,MATCH(B505,KidIDs,0))</f>
        <v>0</v>
      </c>
      <c r="Q505">
        <f>INDEX(Cohort,MATCH(B505,KidIDs,0))</f>
        <v>0</v>
      </c>
      <c r="R505">
        <f>INDEX(AllCollegeBarrons,MATCH(N505,AllCollegeNCES,0))</f>
        <v>0</v>
      </c>
      <c r="S505">
        <f>INDEX(KidGPAs,MATCH(B505,KidIDs,0))</f>
        <v>0</v>
      </c>
      <c r="T505">
        <f>INDEX(KidSATs,MATCH(B505,KidIDs,0))</f>
        <v>0</v>
      </c>
      <c r="U505">
        <f>INDEX(Strats,MATCH(B505,KidIDs,0))</f>
        <v>0</v>
      </c>
      <c r="V505">
        <f>INDEX(KidRace,MATCH(B505,KidIDs,0))</f>
        <v>0</v>
      </c>
      <c r="W505">
        <f>IF(OR(V505="M",V505="I"),"H",IF(V505="P","A",V505))</f>
        <v>0</v>
      </c>
      <c r="X505">
        <f>INDEX(StudentTargets,MATCH(B505,KidIDs,0))</f>
        <v>0</v>
      </c>
      <c r="Y505">
        <f>INDEX(ReachStudentTargets,MATCH(B505,KidIDs,0))</f>
        <v>0</v>
      </c>
      <c r="Z505">
        <f>IF(OR(M505="Posse"),1,0)</f>
        <v>0</v>
      </c>
      <c r="AA505">
        <f>IF(ISNUMBER(INDEX(AllCollegeGR, MATCH(N505,AllCollegeNCES,0))),ROUND(INDEX(AllCollegeGR, MATCH(N505,AllCollegeNCES,0))+Z505*IF(INDEX(AllCollegeGR, MATCH(N505,AllCollegeNCES,0))&gt;0.7,(1-INDEX(AllCollegeGR, MATCH(N505,AllCollegeNCES,0)))/2,0.15),2),INDEX(AllCollegeGR, MATCH(N505,AllCollegeNCES,0)))</f>
        <v>0</v>
      </c>
      <c r="AB505">
        <f>IF(ISNUMBER(INDEX(AllCollegeAAHGR, MATCH(N505,AllCollegeNCES,0))),ROUND(INDEX(AllCollegeAAHGR, MATCH(N505,AllCollegeNCES,0))+Z505*IF(INDEX(AllCollegeAAHGR, MATCH(N505,AllCollegeNCES,0))&gt;0.7,(1-INDEX(AllCollegeAAHGR, MATCH(N505,AllCollegeNCES,0)))/2,0.15),2),INDEX(AllCollegeAAHGR, MATCH(N505,AllCollegeNCES,0)))</f>
        <v>0</v>
      </c>
      <c r="AC505">
        <f>IF(OR(W505="H",W505="B"),INDEX(AllCollegeSAT25, MATCH(N505,AllCollegeNCES,0)),INDEX(AllCollegeSAT50, MATCH(N505,AllCollegeNCES,0)))</f>
        <v>0</v>
      </c>
      <c r="AD505">
        <f>INDEX(CustomWeightsGPA,MATCH(W505&amp;":"&amp;N505,CustomWeightsIndex,0))</f>
        <v>0</v>
      </c>
      <c r="AE505">
        <f>INDEX(CustomWeightsSAT,MATCH(W505&amp;":"&amp;N505,CustomWeightsIndex,0))</f>
        <v>0</v>
      </c>
      <c r="AF505">
        <f>INDEX(CustomWeightsIntercept,MATCH(W505&amp;":"&amp;N505,CustomWeightsIndex,0))</f>
        <v>0</v>
      </c>
      <c r="AG505">
        <f>AD505*S505+AE505*T505+AF505</f>
        <v>0</v>
      </c>
      <c r="AH505">
        <f>INDEX(CoefficientsGPA,MATCH(W505&amp;":"&amp;R505,CoefficientsIndex,0))</f>
        <v>0</v>
      </c>
      <c r="AI505">
        <f>INDEX(CoefficientsSAT,MATCH(W505&amp;":"&amp;R505,CoefficientsIndex,0))</f>
        <v>0</v>
      </c>
      <c r="AJ505">
        <f>INDEX(CoefficientsIntercept,MATCH(W505&amp;":"&amp;R505,CoefficientsIndex,0))</f>
        <v>0</v>
      </c>
      <c r="AK505">
        <f>AH505*S505+(T505-AC505)*AI505+AJ505</f>
        <v>0</v>
      </c>
      <c r="AL505">
        <f>IF(ISNUMBER(AG505),AG505,AK505)</f>
        <v>0</v>
      </c>
      <c r="AM505">
        <f>IF(ISNUMBER(AL505),IF(ISNUMBER(AH505),IF(AND(AH505=1,AI505=1,AJ505=1),100,MIN(99,ROUND(100*EXP(AL505)/(1+EXP(AL505)),2))),MIN(99,ROUND(100*EXP(AL505)/(1+EXP(AL505)),2))),IF(ISTEXT(R505),IF(LEFT(R505,1)="2",100,"N/A"),"N/A"))</f>
        <v>0</v>
      </c>
      <c r="AN505">
        <f>IF(ISNUMBER(AM505),IF(AM505&gt;=99,IF(OR(U505=10,U505=11),MatchLabel,SureThingLabel),IF(AM505&gt;=95,SecureLabel,IF(AM505&gt;=80,SafetyLabel,IF(AM505&gt;=50,MatchLabel,IF(AM505&gt;=20,ReachLabel,IF(AM505&gt;=10,LongshotLabel,HailMaryLabel)))))),"Other")</f>
        <v>0</v>
      </c>
      <c r="AO505">
        <f>IF(OR(I505="accepted",I505="cond. accept",I505="summer admit"),IF(J505="yes","CHOICE!","Accepted!"),IF(I505="guar. transfer","Guar. Xfer",IF(I505="denied","Denied",IF(K505=1,"Waitlist",IF(L505=1,"Deferred",IF(G505="pending","Pending",IF(OR(G505="initial materials submitted",G505="mid-year submitted",G505="final submitted"),"Submitted",IF(H505="interest","Interest","?"))))))))</f>
        <v>0</v>
      </c>
      <c r="AP505">
        <f>IF(OR(AN505=ReachLabel,AN505=LongshotLabel,AN505=HailMaryLabel),1,0)</f>
        <v>0</v>
      </c>
      <c r="AQ505">
        <f>IF(OR(AP505=1,AN505=MatchLabel),1,0)</f>
        <v>0</v>
      </c>
      <c r="AR505">
        <f>IF(OR(AN505=MatchLabel,AN505=SafetyLabel,AN505=SecureLabel,AN505=SureThingLabel),1,0)</f>
        <v>0</v>
      </c>
      <c r="AS505">
        <f>IF(OR(W505="H",W505="B",W505="I",W505="M"),IF(ISNUMBER(AB505),ROUND(AB505,2),0),IF(ISNUMBER(AA505),ROUND(AA505,2),0))</f>
        <v>0</v>
      </c>
      <c r="AT505">
        <f>IF(AS505&gt;=X505,1,0)</f>
        <v>0</v>
      </c>
      <c r="AU505">
        <f>IF(AS505&gt;=Y505,1,0)</f>
        <v>0</v>
      </c>
      <c r="AV505">
        <f>IF(AS505&lt;(X505-0.10),1,0)</f>
        <v>0</v>
      </c>
      <c r="AW505">
        <f>1-AM505/100</f>
        <v>0</v>
      </c>
      <c r="AX505">
        <f>IF(AQ505=1,AW505,1)</f>
        <v>0</v>
      </c>
      <c r="AY505">
        <f>IF(AP505=1,AW505,1)</f>
        <v>0</v>
      </c>
      <c r="AZ505">
        <f>IF(AND(AT505=1,ISNUMBER(AW505)),$AW505,1)</f>
        <v>0</v>
      </c>
      <c r="BA505">
        <f>IF(AND(AU505=1,ISNUMBER(AW505)),$AW505,1)</f>
        <v>0</v>
      </c>
      <c r="BB505">
        <f>IF(ISNUMBER(AB505),INDEX(AllCollegeMoney, MATCH(N505,AllCollegeNCES,0)),0)</f>
        <v>0</v>
      </c>
      <c r="BC505">
        <f>IF(AND(AT505=1,ISNUMBER(AW505),BB505=1),$AW505,1)</f>
        <v>0</v>
      </c>
      <c r="BD505">
        <f>IF(AND(AU505=1,ISNUMBER(AW505),BB505=1),$AW505,1)</f>
        <v>0</v>
      </c>
      <c r="BE505">
        <f>IF(ISNUMBER(AB505),INDEX(AllCollegeILPub, MATCH(N505,AllCollegeNCES,0)),0)</f>
        <v>0</v>
      </c>
      <c r="BF505">
        <f>IF(AN505=ReachLabel,AS505,0)</f>
        <v>0</v>
      </c>
      <c r="BG505">
        <f>IF(AN505=MatchLabel,AS505,0)</f>
        <v>0</v>
      </c>
      <c r="BH505">
        <f>IF(AN505=SafetyLabel,AS505,0)</f>
        <v>0</v>
      </c>
      <c r="BI505">
        <f>IF(AN505=SecureLabel,AS505,0)</f>
        <v>0</v>
      </c>
      <c r="BJ505">
        <f>IF(AN505=SureThingLabel,AS505,0)</f>
        <v>0</v>
      </c>
      <c r="BK505">
        <f>MAX(BF505:BJ505)</f>
        <v>0</v>
      </c>
      <c r="BL505">
        <f>MAX(BG505:BJ505)</f>
        <v>0</v>
      </c>
      <c r="BM505">
        <f>MAX(BH505:BJ505)</f>
        <v>0</v>
      </c>
      <c r="BN505">
        <f>IF(AND(AN505=ReachLabel,BB505=1),AS505,0)</f>
        <v>0</v>
      </c>
      <c r="BO505">
        <f>IF(AND(AN505=MatchLabel,BB505=1),AS505,0)</f>
        <v>0</v>
      </c>
      <c r="BP505">
        <f>IF(AND(AN505=SafetyLabel,BB505=1),AS505,0)</f>
        <v>0</v>
      </c>
      <c r="BQ505">
        <f>IF(AND(AN505=SecureLabel,BB505=1),AS505,0)</f>
        <v>0</v>
      </c>
      <c r="BR505">
        <f>IF(AND(AN505=SureThingLabel,BB505=1),AS505,0)</f>
        <v>0</v>
      </c>
      <c r="BS505">
        <f>MAX(BN505:BR505)</f>
        <v>0</v>
      </c>
      <c r="BT505">
        <f>MAX(BO505:BR505)</f>
        <v>0</v>
      </c>
      <c r="BU505">
        <f>MAX(BP505:BR505)</f>
        <v>0</v>
      </c>
      <c r="BV505">
        <f>IF(ISNUMBER(AB505),INDEX(AllCollegeChicago, MATCH(N505,AllCollegeNCES,0))*BB505,0)</f>
        <v>0</v>
      </c>
      <c r="BW505">
        <f>IF(ISNUMBER(AB505),INDEX(AllCollegeMoneyCode, MATCH(N505,AllCollegeNCES,0)),"?")</f>
        <v>0</v>
      </c>
      <c r="BX505">
        <f>IF(OR(BW505="---",BW505="--",BW505="+/--",BW505="+/---"),1,0)</f>
        <v>0</v>
      </c>
      <c r="BY505">
        <f>BB505*AR505*AT505</f>
        <v>0</v>
      </c>
    </row>
    <row r="506" spans="1:77">
      <c r="A506" t="s">
        <v>96</v>
      </c>
      <c r="B506">
        <v>23473460</v>
      </c>
      <c r="C506" t="s">
        <v>255</v>
      </c>
      <c r="D506" t="s">
        <v>256</v>
      </c>
      <c r="E506" t="s">
        <v>446</v>
      </c>
      <c r="F506" t="s">
        <v>503</v>
      </c>
      <c r="G506" t="s">
        <v>448</v>
      </c>
      <c r="H506" t="s">
        <v>449</v>
      </c>
      <c r="I506" t="s">
        <v>450</v>
      </c>
      <c r="J506" t="s">
        <v>450</v>
      </c>
      <c r="K506">
        <v>0</v>
      </c>
      <c r="L506" t="s">
        <v>446</v>
      </c>
      <c r="M506" t="s">
        <v>446</v>
      </c>
      <c r="N506">
        <v>238333</v>
      </c>
      <c r="O506">
        <f>INDEX(Counselor,MATCH(B506,KidIDs,0))</f>
        <v>0</v>
      </c>
      <c r="P506">
        <f>INDEX(Advisors,MATCH(B506,KidIDs,0))</f>
        <v>0</v>
      </c>
      <c r="Q506">
        <f>INDEX(Cohort,MATCH(B506,KidIDs,0))</f>
        <v>0</v>
      </c>
      <c r="R506">
        <f>INDEX(AllCollegeBarrons,MATCH(N506,AllCollegeNCES,0))</f>
        <v>0</v>
      </c>
      <c r="S506">
        <f>INDEX(KidGPAs,MATCH(B506,KidIDs,0))</f>
        <v>0</v>
      </c>
      <c r="T506">
        <f>INDEX(KidSATs,MATCH(B506,KidIDs,0))</f>
        <v>0</v>
      </c>
      <c r="U506">
        <f>INDEX(Strats,MATCH(B506,KidIDs,0))</f>
        <v>0</v>
      </c>
      <c r="V506">
        <f>INDEX(KidRace,MATCH(B506,KidIDs,0))</f>
        <v>0</v>
      </c>
      <c r="W506">
        <f>IF(OR(V506="M",V506="I"),"H",IF(V506="P","A",V506))</f>
        <v>0</v>
      </c>
      <c r="X506">
        <f>INDEX(StudentTargets,MATCH(B506,KidIDs,0))</f>
        <v>0</v>
      </c>
      <c r="Y506">
        <f>INDEX(ReachStudentTargets,MATCH(B506,KidIDs,0))</f>
        <v>0</v>
      </c>
      <c r="Z506">
        <f>IF(OR(M506="Posse"),1,0)</f>
        <v>0</v>
      </c>
      <c r="AA506">
        <f>IF(ISNUMBER(INDEX(AllCollegeGR, MATCH(N506,AllCollegeNCES,0))),ROUND(INDEX(AllCollegeGR, MATCH(N506,AllCollegeNCES,0))+Z506*IF(INDEX(AllCollegeGR, MATCH(N506,AllCollegeNCES,0))&gt;0.7,(1-INDEX(AllCollegeGR, MATCH(N506,AllCollegeNCES,0)))/2,0.15),2),INDEX(AllCollegeGR, MATCH(N506,AllCollegeNCES,0)))</f>
        <v>0</v>
      </c>
      <c r="AB506">
        <f>IF(ISNUMBER(INDEX(AllCollegeAAHGR, MATCH(N506,AllCollegeNCES,0))),ROUND(INDEX(AllCollegeAAHGR, MATCH(N506,AllCollegeNCES,0))+Z506*IF(INDEX(AllCollegeAAHGR, MATCH(N506,AllCollegeNCES,0))&gt;0.7,(1-INDEX(AllCollegeAAHGR, MATCH(N506,AllCollegeNCES,0)))/2,0.15),2),INDEX(AllCollegeAAHGR, MATCH(N506,AllCollegeNCES,0)))</f>
        <v>0</v>
      </c>
      <c r="AC506">
        <f>IF(OR(W506="H",W506="B"),INDEX(AllCollegeSAT25, MATCH(N506,AllCollegeNCES,0)),INDEX(AllCollegeSAT50, MATCH(N506,AllCollegeNCES,0)))</f>
        <v>0</v>
      </c>
      <c r="AD506">
        <f>INDEX(CustomWeightsGPA,MATCH(W506&amp;":"&amp;N506,CustomWeightsIndex,0))</f>
        <v>0</v>
      </c>
      <c r="AE506">
        <f>INDEX(CustomWeightsSAT,MATCH(W506&amp;":"&amp;N506,CustomWeightsIndex,0))</f>
        <v>0</v>
      </c>
      <c r="AF506">
        <f>INDEX(CustomWeightsIntercept,MATCH(W506&amp;":"&amp;N506,CustomWeightsIndex,0))</f>
        <v>0</v>
      </c>
      <c r="AG506">
        <f>AD506*S506+AE506*T506+AF506</f>
        <v>0</v>
      </c>
      <c r="AH506">
        <f>INDEX(CoefficientsGPA,MATCH(W506&amp;":"&amp;R506,CoefficientsIndex,0))</f>
        <v>0</v>
      </c>
      <c r="AI506">
        <f>INDEX(CoefficientsSAT,MATCH(W506&amp;":"&amp;R506,CoefficientsIndex,0))</f>
        <v>0</v>
      </c>
      <c r="AJ506">
        <f>INDEX(CoefficientsIntercept,MATCH(W506&amp;":"&amp;R506,CoefficientsIndex,0))</f>
        <v>0</v>
      </c>
      <c r="AK506">
        <f>AH506*S506+(T506-AC506)*AI506+AJ506</f>
        <v>0</v>
      </c>
      <c r="AL506">
        <f>IF(ISNUMBER(AG506),AG506,AK506)</f>
        <v>0</v>
      </c>
      <c r="AM506">
        <f>IF(ISNUMBER(AL506),IF(ISNUMBER(AH506),IF(AND(AH506=1,AI506=1,AJ506=1),100,MIN(99,ROUND(100*EXP(AL506)/(1+EXP(AL506)),2))),MIN(99,ROUND(100*EXP(AL506)/(1+EXP(AL506)),2))),IF(ISTEXT(R506),IF(LEFT(R506,1)="2",100,"N/A"),"N/A"))</f>
        <v>0</v>
      </c>
      <c r="AN506">
        <f>IF(ISNUMBER(AM506),IF(AM506&gt;=99,IF(OR(U506=10,U506=11),MatchLabel,SureThingLabel),IF(AM506&gt;=95,SecureLabel,IF(AM506&gt;=80,SafetyLabel,IF(AM506&gt;=50,MatchLabel,IF(AM506&gt;=20,ReachLabel,IF(AM506&gt;=10,LongshotLabel,HailMaryLabel)))))),"Other")</f>
        <v>0</v>
      </c>
      <c r="AO506">
        <f>IF(OR(I506="accepted",I506="cond. accept",I506="summer admit"),IF(J506="yes","CHOICE!","Accepted!"),IF(I506="guar. transfer","Guar. Xfer",IF(I506="denied","Denied",IF(K506=1,"Waitlist",IF(L506=1,"Deferred",IF(G506="pending","Pending",IF(OR(G506="initial materials submitted",G506="mid-year submitted",G506="final submitted"),"Submitted",IF(H506="interest","Interest","?"))))))))</f>
        <v>0</v>
      </c>
      <c r="AP506">
        <f>IF(OR(AN506=ReachLabel,AN506=LongshotLabel,AN506=HailMaryLabel),1,0)</f>
        <v>0</v>
      </c>
      <c r="AQ506">
        <f>IF(OR(AP506=1,AN506=MatchLabel),1,0)</f>
        <v>0</v>
      </c>
      <c r="AR506">
        <f>IF(OR(AN506=MatchLabel,AN506=SafetyLabel,AN506=SecureLabel,AN506=SureThingLabel),1,0)</f>
        <v>0</v>
      </c>
      <c r="AS506">
        <f>IF(OR(W506="H",W506="B",W506="I",W506="M"),IF(ISNUMBER(AB506),ROUND(AB506,2),0),IF(ISNUMBER(AA506),ROUND(AA506,2),0))</f>
        <v>0</v>
      </c>
      <c r="AT506">
        <f>IF(AS506&gt;=X506,1,0)</f>
        <v>0</v>
      </c>
      <c r="AU506">
        <f>IF(AS506&gt;=Y506,1,0)</f>
        <v>0</v>
      </c>
      <c r="AV506">
        <f>IF(AS506&lt;(X506-0.10),1,0)</f>
        <v>0</v>
      </c>
      <c r="AW506">
        <f>1-AM506/100</f>
        <v>0</v>
      </c>
      <c r="AX506">
        <f>IF(AQ506=1,AW506,1)</f>
        <v>0</v>
      </c>
      <c r="AY506">
        <f>IF(AP506=1,AW506,1)</f>
        <v>0</v>
      </c>
      <c r="AZ506">
        <f>IF(AND(AT506=1,ISNUMBER(AW506)),$AW506,1)</f>
        <v>0</v>
      </c>
      <c r="BA506">
        <f>IF(AND(AU506=1,ISNUMBER(AW506)),$AW506,1)</f>
        <v>0</v>
      </c>
      <c r="BB506">
        <f>IF(ISNUMBER(AB506),INDEX(AllCollegeMoney, MATCH(N506,AllCollegeNCES,0)),0)</f>
        <v>0</v>
      </c>
      <c r="BC506">
        <f>IF(AND(AT506=1,ISNUMBER(AW506),BB506=1),$AW506,1)</f>
        <v>0</v>
      </c>
      <c r="BD506">
        <f>IF(AND(AU506=1,ISNUMBER(AW506),BB506=1),$AW506,1)</f>
        <v>0</v>
      </c>
      <c r="BE506">
        <f>IF(ISNUMBER(AB506),INDEX(AllCollegeILPub, MATCH(N506,AllCollegeNCES,0)),0)</f>
        <v>0</v>
      </c>
      <c r="BF506">
        <f>IF(AN506=ReachLabel,AS506,0)</f>
        <v>0</v>
      </c>
      <c r="BG506">
        <f>IF(AN506=MatchLabel,AS506,0)</f>
        <v>0</v>
      </c>
      <c r="BH506">
        <f>IF(AN506=SafetyLabel,AS506,0)</f>
        <v>0</v>
      </c>
      <c r="BI506">
        <f>IF(AN506=SecureLabel,AS506,0)</f>
        <v>0</v>
      </c>
      <c r="BJ506">
        <f>IF(AN506=SureThingLabel,AS506,0)</f>
        <v>0</v>
      </c>
      <c r="BK506">
        <f>MAX(BF506:BJ506)</f>
        <v>0</v>
      </c>
      <c r="BL506">
        <f>MAX(BG506:BJ506)</f>
        <v>0</v>
      </c>
      <c r="BM506">
        <f>MAX(BH506:BJ506)</f>
        <v>0</v>
      </c>
      <c r="BN506">
        <f>IF(AND(AN506=ReachLabel,BB506=1),AS506,0)</f>
        <v>0</v>
      </c>
      <c r="BO506">
        <f>IF(AND(AN506=MatchLabel,BB506=1),AS506,0)</f>
        <v>0</v>
      </c>
      <c r="BP506">
        <f>IF(AND(AN506=SafetyLabel,BB506=1),AS506,0)</f>
        <v>0</v>
      </c>
      <c r="BQ506">
        <f>IF(AND(AN506=SecureLabel,BB506=1),AS506,0)</f>
        <v>0</v>
      </c>
      <c r="BR506">
        <f>IF(AND(AN506=SureThingLabel,BB506=1),AS506,0)</f>
        <v>0</v>
      </c>
      <c r="BS506">
        <f>MAX(BN506:BR506)</f>
        <v>0</v>
      </c>
      <c r="BT506">
        <f>MAX(BO506:BR506)</f>
        <v>0</v>
      </c>
      <c r="BU506">
        <f>MAX(BP506:BR506)</f>
        <v>0</v>
      </c>
      <c r="BV506">
        <f>IF(ISNUMBER(AB506),INDEX(AllCollegeChicago, MATCH(N506,AllCollegeNCES,0))*BB506,0)</f>
        <v>0</v>
      </c>
      <c r="BW506">
        <f>IF(ISNUMBER(AB506),INDEX(AllCollegeMoneyCode, MATCH(N506,AllCollegeNCES,0)),"?")</f>
        <v>0</v>
      </c>
      <c r="BX506">
        <f>IF(OR(BW506="---",BW506="--",BW506="+/--",BW506="+/---"),1,0)</f>
        <v>0</v>
      </c>
      <c r="BY506">
        <f>BB506*AR506*AT506</f>
        <v>0</v>
      </c>
    </row>
    <row r="507" spans="1:77">
      <c r="A507" t="s">
        <v>96</v>
      </c>
      <c r="B507">
        <v>23473460</v>
      </c>
      <c r="C507" t="s">
        <v>255</v>
      </c>
      <c r="D507" t="s">
        <v>256</v>
      </c>
      <c r="E507" t="s">
        <v>446</v>
      </c>
      <c r="F507" t="s">
        <v>478</v>
      </c>
      <c r="G507" t="s">
        <v>448</v>
      </c>
      <c r="H507" t="s">
        <v>449</v>
      </c>
      <c r="I507" t="s">
        <v>450</v>
      </c>
      <c r="J507" t="s">
        <v>450</v>
      </c>
      <c r="K507">
        <v>0</v>
      </c>
      <c r="L507" t="s">
        <v>446</v>
      </c>
      <c r="M507" t="s">
        <v>446</v>
      </c>
      <c r="N507">
        <v>168546</v>
      </c>
      <c r="O507">
        <f>INDEX(Counselor,MATCH(B507,KidIDs,0))</f>
        <v>0</v>
      </c>
      <c r="P507">
        <f>INDEX(Advisors,MATCH(B507,KidIDs,0))</f>
        <v>0</v>
      </c>
      <c r="Q507">
        <f>INDEX(Cohort,MATCH(B507,KidIDs,0))</f>
        <v>0</v>
      </c>
      <c r="R507">
        <f>INDEX(AllCollegeBarrons,MATCH(N507,AllCollegeNCES,0))</f>
        <v>0</v>
      </c>
      <c r="S507">
        <f>INDEX(KidGPAs,MATCH(B507,KidIDs,0))</f>
        <v>0</v>
      </c>
      <c r="T507">
        <f>INDEX(KidSATs,MATCH(B507,KidIDs,0))</f>
        <v>0</v>
      </c>
      <c r="U507">
        <f>INDEX(Strats,MATCH(B507,KidIDs,0))</f>
        <v>0</v>
      </c>
      <c r="V507">
        <f>INDEX(KidRace,MATCH(B507,KidIDs,0))</f>
        <v>0</v>
      </c>
      <c r="W507">
        <f>IF(OR(V507="M",V507="I"),"H",IF(V507="P","A",V507))</f>
        <v>0</v>
      </c>
      <c r="X507">
        <f>INDEX(StudentTargets,MATCH(B507,KidIDs,0))</f>
        <v>0</v>
      </c>
      <c r="Y507">
        <f>INDEX(ReachStudentTargets,MATCH(B507,KidIDs,0))</f>
        <v>0</v>
      </c>
      <c r="Z507">
        <f>IF(OR(M507="Posse"),1,0)</f>
        <v>0</v>
      </c>
      <c r="AA507">
        <f>IF(ISNUMBER(INDEX(AllCollegeGR, MATCH(N507,AllCollegeNCES,0))),ROUND(INDEX(AllCollegeGR, MATCH(N507,AllCollegeNCES,0))+Z507*IF(INDEX(AllCollegeGR, MATCH(N507,AllCollegeNCES,0))&gt;0.7,(1-INDEX(AllCollegeGR, MATCH(N507,AllCollegeNCES,0)))/2,0.15),2),INDEX(AllCollegeGR, MATCH(N507,AllCollegeNCES,0)))</f>
        <v>0</v>
      </c>
      <c r="AB507">
        <f>IF(ISNUMBER(INDEX(AllCollegeAAHGR, MATCH(N507,AllCollegeNCES,0))),ROUND(INDEX(AllCollegeAAHGR, MATCH(N507,AllCollegeNCES,0))+Z507*IF(INDEX(AllCollegeAAHGR, MATCH(N507,AllCollegeNCES,0))&gt;0.7,(1-INDEX(AllCollegeAAHGR, MATCH(N507,AllCollegeNCES,0)))/2,0.15),2),INDEX(AllCollegeAAHGR, MATCH(N507,AllCollegeNCES,0)))</f>
        <v>0</v>
      </c>
      <c r="AC507">
        <f>IF(OR(W507="H",W507="B"),INDEX(AllCollegeSAT25, MATCH(N507,AllCollegeNCES,0)),INDEX(AllCollegeSAT50, MATCH(N507,AllCollegeNCES,0)))</f>
        <v>0</v>
      </c>
      <c r="AD507">
        <f>INDEX(CustomWeightsGPA,MATCH(W507&amp;":"&amp;N507,CustomWeightsIndex,0))</f>
        <v>0</v>
      </c>
      <c r="AE507">
        <f>INDEX(CustomWeightsSAT,MATCH(W507&amp;":"&amp;N507,CustomWeightsIndex,0))</f>
        <v>0</v>
      </c>
      <c r="AF507">
        <f>INDEX(CustomWeightsIntercept,MATCH(W507&amp;":"&amp;N507,CustomWeightsIndex,0))</f>
        <v>0</v>
      </c>
      <c r="AG507">
        <f>AD507*S507+AE507*T507+AF507</f>
        <v>0</v>
      </c>
      <c r="AH507">
        <f>INDEX(CoefficientsGPA,MATCH(W507&amp;":"&amp;R507,CoefficientsIndex,0))</f>
        <v>0</v>
      </c>
      <c r="AI507">
        <f>INDEX(CoefficientsSAT,MATCH(W507&amp;":"&amp;R507,CoefficientsIndex,0))</f>
        <v>0</v>
      </c>
      <c r="AJ507">
        <f>INDEX(CoefficientsIntercept,MATCH(W507&amp;":"&amp;R507,CoefficientsIndex,0))</f>
        <v>0</v>
      </c>
      <c r="AK507">
        <f>AH507*S507+(T507-AC507)*AI507+AJ507</f>
        <v>0</v>
      </c>
      <c r="AL507">
        <f>IF(ISNUMBER(AG507),AG507,AK507)</f>
        <v>0</v>
      </c>
      <c r="AM507">
        <f>IF(ISNUMBER(AL507),IF(ISNUMBER(AH507),IF(AND(AH507=1,AI507=1,AJ507=1),100,MIN(99,ROUND(100*EXP(AL507)/(1+EXP(AL507)),2))),MIN(99,ROUND(100*EXP(AL507)/(1+EXP(AL507)),2))),IF(ISTEXT(R507),IF(LEFT(R507,1)="2",100,"N/A"),"N/A"))</f>
        <v>0</v>
      </c>
      <c r="AN507">
        <f>IF(ISNUMBER(AM507),IF(AM507&gt;=99,IF(OR(U507=10,U507=11),MatchLabel,SureThingLabel),IF(AM507&gt;=95,SecureLabel,IF(AM507&gt;=80,SafetyLabel,IF(AM507&gt;=50,MatchLabel,IF(AM507&gt;=20,ReachLabel,IF(AM507&gt;=10,LongshotLabel,HailMaryLabel)))))),"Other")</f>
        <v>0</v>
      </c>
      <c r="AO507">
        <f>IF(OR(I507="accepted",I507="cond. accept",I507="summer admit"),IF(J507="yes","CHOICE!","Accepted!"),IF(I507="guar. transfer","Guar. Xfer",IF(I507="denied","Denied",IF(K507=1,"Waitlist",IF(L507=1,"Deferred",IF(G507="pending","Pending",IF(OR(G507="initial materials submitted",G507="mid-year submitted",G507="final submitted"),"Submitted",IF(H507="interest","Interest","?"))))))))</f>
        <v>0</v>
      </c>
      <c r="AP507">
        <f>IF(OR(AN507=ReachLabel,AN507=LongshotLabel,AN507=HailMaryLabel),1,0)</f>
        <v>0</v>
      </c>
      <c r="AQ507">
        <f>IF(OR(AP507=1,AN507=MatchLabel),1,0)</f>
        <v>0</v>
      </c>
      <c r="AR507">
        <f>IF(OR(AN507=MatchLabel,AN507=SafetyLabel,AN507=SecureLabel,AN507=SureThingLabel),1,0)</f>
        <v>0</v>
      </c>
      <c r="AS507">
        <f>IF(OR(W507="H",W507="B",W507="I",W507="M"),IF(ISNUMBER(AB507),ROUND(AB507,2),0),IF(ISNUMBER(AA507),ROUND(AA507,2),0))</f>
        <v>0</v>
      </c>
      <c r="AT507">
        <f>IF(AS507&gt;=X507,1,0)</f>
        <v>0</v>
      </c>
      <c r="AU507">
        <f>IF(AS507&gt;=Y507,1,0)</f>
        <v>0</v>
      </c>
      <c r="AV507">
        <f>IF(AS507&lt;(X507-0.10),1,0)</f>
        <v>0</v>
      </c>
      <c r="AW507">
        <f>1-AM507/100</f>
        <v>0</v>
      </c>
      <c r="AX507">
        <f>IF(AQ507=1,AW507,1)</f>
        <v>0</v>
      </c>
      <c r="AY507">
        <f>IF(AP507=1,AW507,1)</f>
        <v>0</v>
      </c>
      <c r="AZ507">
        <f>IF(AND(AT507=1,ISNUMBER(AW507)),$AW507,1)</f>
        <v>0</v>
      </c>
      <c r="BA507">
        <f>IF(AND(AU507=1,ISNUMBER(AW507)),$AW507,1)</f>
        <v>0</v>
      </c>
      <c r="BB507">
        <f>IF(ISNUMBER(AB507),INDEX(AllCollegeMoney, MATCH(N507,AllCollegeNCES,0)),0)</f>
        <v>0</v>
      </c>
      <c r="BC507">
        <f>IF(AND(AT507=1,ISNUMBER(AW507),BB507=1),$AW507,1)</f>
        <v>0</v>
      </c>
      <c r="BD507">
        <f>IF(AND(AU507=1,ISNUMBER(AW507),BB507=1),$AW507,1)</f>
        <v>0</v>
      </c>
      <c r="BE507">
        <f>IF(ISNUMBER(AB507),INDEX(AllCollegeILPub, MATCH(N507,AllCollegeNCES,0)),0)</f>
        <v>0</v>
      </c>
      <c r="BF507">
        <f>IF(AN507=ReachLabel,AS507,0)</f>
        <v>0</v>
      </c>
      <c r="BG507">
        <f>IF(AN507=MatchLabel,AS507,0)</f>
        <v>0</v>
      </c>
      <c r="BH507">
        <f>IF(AN507=SafetyLabel,AS507,0)</f>
        <v>0</v>
      </c>
      <c r="BI507">
        <f>IF(AN507=SecureLabel,AS507,0)</f>
        <v>0</v>
      </c>
      <c r="BJ507">
        <f>IF(AN507=SureThingLabel,AS507,0)</f>
        <v>0</v>
      </c>
      <c r="BK507">
        <f>MAX(BF507:BJ507)</f>
        <v>0</v>
      </c>
      <c r="BL507">
        <f>MAX(BG507:BJ507)</f>
        <v>0</v>
      </c>
      <c r="BM507">
        <f>MAX(BH507:BJ507)</f>
        <v>0</v>
      </c>
      <c r="BN507">
        <f>IF(AND(AN507=ReachLabel,BB507=1),AS507,0)</f>
        <v>0</v>
      </c>
      <c r="BO507">
        <f>IF(AND(AN507=MatchLabel,BB507=1),AS507,0)</f>
        <v>0</v>
      </c>
      <c r="BP507">
        <f>IF(AND(AN507=SafetyLabel,BB507=1),AS507,0)</f>
        <v>0</v>
      </c>
      <c r="BQ507">
        <f>IF(AND(AN507=SecureLabel,BB507=1),AS507,0)</f>
        <v>0</v>
      </c>
      <c r="BR507">
        <f>IF(AND(AN507=SureThingLabel,BB507=1),AS507,0)</f>
        <v>0</v>
      </c>
      <c r="BS507">
        <f>MAX(BN507:BR507)</f>
        <v>0</v>
      </c>
      <c r="BT507">
        <f>MAX(BO507:BR507)</f>
        <v>0</v>
      </c>
      <c r="BU507">
        <f>MAX(BP507:BR507)</f>
        <v>0</v>
      </c>
      <c r="BV507">
        <f>IF(ISNUMBER(AB507),INDEX(AllCollegeChicago, MATCH(N507,AllCollegeNCES,0))*BB507,0)</f>
        <v>0</v>
      </c>
      <c r="BW507">
        <f>IF(ISNUMBER(AB507),INDEX(AllCollegeMoneyCode, MATCH(N507,AllCollegeNCES,0)),"?")</f>
        <v>0</v>
      </c>
      <c r="BX507">
        <f>IF(OR(BW507="---",BW507="--",BW507="+/--",BW507="+/---"),1,0)</f>
        <v>0</v>
      </c>
      <c r="BY507">
        <f>BB507*AR507*AT507</f>
        <v>0</v>
      </c>
    </row>
    <row r="508" spans="1:77">
      <c r="A508" t="s">
        <v>96</v>
      </c>
      <c r="B508">
        <v>23473460</v>
      </c>
      <c r="C508" t="s">
        <v>255</v>
      </c>
      <c r="D508" t="s">
        <v>256</v>
      </c>
      <c r="E508" t="s">
        <v>446</v>
      </c>
      <c r="F508" t="s">
        <v>465</v>
      </c>
      <c r="G508" t="s">
        <v>448</v>
      </c>
      <c r="H508" t="s">
        <v>449</v>
      </c>
      <c r="I508" t="s">
        <v>450</v>
      </c>
      <c r="J508" t="s">
        <v>450</v>
      </c>
      <c r="K508">
        <v>0</v>
      </c>
      <c r="L508" t="s">
        <v>446</v>
      </c>
      <c r="M508" t="s">
        <v>446</v>
      </c>
      <c r="N508">
        <v>145600</v>
      </c>
      <c r="O508">
        <f>INDEX(Counselor,MATCH(B508,KidIDs,0))</f>
        <v>0</v>
      </c>
      <c r="P508">
        <f>INDEX(Advisors,MATCH(B508,KidIDs,0))</f>
        <v>0</v>
      </c>
      <c r="Q508">
        <f>INDEX(Cohort,MATCH(B508,KidIDs,0))</f>
        <v>0</v>
      </c>
      <c r="R508">
        <f>INDEX(AllCollegeBarrons,MATCH(N508,AllCollegeNCES,0))</f>
        <v>0</v>
      </c>
      <c r="S508">
        <f>INDEX(KidGPAs,MATCH(B508,KidIDs,0))</f>
        <v>0</v>
      </c>
      <c r="T508">
        <f>INDEX(KidSATs,MATCH(B508,KidIDs,0))</f>
        <v>0</v>
      </c>
      <c r="U508">
        <f>INDEX(Strats,MATCH(B508,KidIDs,0))</f>
        <v>0</v>
      </c>
      <c r="V508">
        <f>INDEX(KidRace,MATCH(B508,KidIDs,0))</f>
        <v>0</v>
      </c>
      <c r="W508">
        <f>IF(OR(V508="M",V508="I"),"H",IF(V508="P","A",V508))</f>
        <v>0</v>
      </c>
      <c r="X508">
        <f>INDEX(StudentTargets,MATCH(B508,KidIDs,0))</f>
        <v>0</v>
      </c>
      <c r="Y508">
        <f>INDEX(ReachStudentTargets,MATCH(B508,KidIDs,0))</f>
        <v>0</v>
      </c>
      <c r="Z508">
        <f>IF(OR(M508="Posse"),1,0)</f>
        <v>0</v>
      </c>
      <c r="AA508">
        <f>IF(ISNUMBER(INDEX(AllCollegeGR, MATCH(N508,AllCollegeNCES,0))),ROUND(INDEX(AllCollegeGR, MATCH(N508,AllCollegeNCES,0))+Z508*IF(INDEX(AllCollegeGR, MATCH(N508,AllCollegeNCES,0))&gt;0.7,(1-INDEX(AllCollegeGR, MATCH(N508,AllCollegeNCES,0)))/2,0.15),2),INDEX(AllCollegeGR, MATCH(N508,AllCollegeNCES,0)))</f>
        <v>0</v>
      </c>
      <c r="AB508">
        <f>IF(ISNUMBER(INDEX(AllCollegeAAHGR, MATCH(N508,AllCollegeNCES,0))),ROUND(INDEX(AllCollegeAAHGR, MATCH(N508,AllCollegeNCES,0))+Z508*IF(INDEX(AllCollegeAAHGR, MATCH(N508,AllCollegeNCES,0))&gt;0.7,(1-INDEX(AllCollegeAAHGR, MATCH(N508,AllCollegeNCES,0)))/2,0.15),2),INDEX(AllCollegeAAHGR, MATCH(N508,AllCollegeNCES,0)))</f>
        <v>0</v>
      </c>
      <c r="AC508">
        <f>IF(OR(W508="H",W508="B"),INDEX(AllCollegeSAT25, MATCH(N508,AllCollegeNCES,0)),INDEX(AllCollegeSAT50, MATCH(N508,AllCollegeNCES,0)))</f>
        <v>0</v>
      </c>
      <c r="AD508">
        <f>INDEX(CustomWeightsGPA,MATCH(W508&amp;":"&amp;N508,CustomWeightsIndex,0))</f>
        <v>0</v>
      </c>
      <c r="AE508">
        <f>INDEX(CustomWeightsSAT,MATCH(W508&amp;":"&amp;N508,CustomWeightsIndex,0))</f>
        <v>0</v>
      </c>
      <c r="AF508">
        <f>INDEX(CustomWeightsIntercept,MATCH(W508&amp;":"&amp;N508,CustomWeightsIndex,0))</f>
        <v>0</v>
      </c>
      <c r="AG508">
        <f>AD508*S508+AE508*T508+AF508</f>
        <v>0</v>
      </c>
      <c r="AH508">
        <f>INDEX(CoefficientsGPA,MATCH(W508&amp;":"&amp;R508,CoefficientsIndex,0))</f>
        <v>0</v>
      </c>
      <c r="AI508">
        <f>INDEX(CoefficientsSAT,MATCH(W508&amp;":"&amp;R508,CoefficientsIndex,0))</f>
        <v>0</v>
      </c>
      <c r="AJ508">
        <f>INDEX(CoefficientsIntercept,MATCH(W508&amp;":"&amp;R508,CoefficientsIndex,0))</f>
        <v>0</v>
      </c>
      <c r="AK508">
        <f>AH508*S508+(T508-AC508)*AI508+AJ508</f>
        <v>0</v>
      </c>
      <c r="AL508">
        <f>IF(ISNUMBER(AG508),AG508,AK508)</f>
        <v>0</v>
      </c>
      <c r="AM508">
        <f>IF(ISNUMBER(AL508),IF(ISNUMBER(AH508),IF(AND(AH508=1,AI508=1,AJ508=1),100,MIN(99,ROUND(100*EXP(AL508)/(1+EXP(AL508)),2))),MIN(99,ROUND(100*EXP(AL508)/(1+EXP(AL508)),2))),IF(ISTEXT(R508),IF(LEFT(R508,1)="2",100,"N/A"),"N/A"))</f>
        <v>0</v>
      </c>
      <c r="AN508">
        <f>IF(ISNUMBER(AM508),IF(AM508&gt;=99,IF(OR(U508=10,U508=11),MatchLabel,SureThingLabel),IF(AM508&gt;=95,SecureLabel,IF(AM508&gt;=80,SafetyLabel,IF(AM508&gt;=50,MatchLabel,IF(AM508&gt;=20,ReachLabel,IF(AM508&gt;=10,LongshotLabel,HailMaryLabel)))))),"Other")</f>
        <v>0</v>
      </c>
      <c r="AO508">
        <f>IF(OR(I508="accepted",I508="cond. accept",I508="summer admit"),IF(J508="yes","CHOICE!","Accepted!"),IF(I508="guar. transfer","Guar. Xfer",IF(I508="denied","Denied",IF(K508=1,"Waitlist",IF(L508=1,"Deferred",IF(G508="pending","Pending",IF(OR(G508="initial materials submitted",G508="mid-year submitted",G508="final submitted"),"Submitted",IF(H508="interest","Interest","?"))))))))</f>
        <v>0</v>
      </c>
      <c r="AP508">
        <f>IF(OR(AN508=ReachLabel,AN508=LongshotLabel,AN508=HailMaryLabel),1,0)</f>
        <v>0</v>
      </c>
      <c r="AQ508">
        <f>IF(OR(AP508=1,AN508=MatchLabel),1,0)</f>
        <v>0</v>
      </c>
      <c r="AR508">
        <f>IF(OR(AN508=MatchLabel,AN508=SafetyLabel,AN508=SecureLabel,AN508=SureThingLabel),1,0)</f>
        <v>0</v>
      </c>
      <c r="AS508">
        <f>IF(OR(W508="H",W508="B",W508="I",W508="M"),IF(ISNUMBER(AB508),ROUND(AB508,2),0),IF(ISNUMBER(AA508),ROUND(AA508,2),0))</f>
        <v>0</v>
      </c>
      <c r="AT508">
        <f>IF(AS508&gt;=X508,1,0)</f>
        <v>0</v>
      </c>
      <c r="AU508">
        <f>IF(AS508&gt;=Y508,1,0)</f>
        <v>0</v>
      </c>
      <c r="AV508">
        <f>IF(AS508&lt;(X508-0.10),1,0)</f>
        <v>0</v>
      </c>
      <c r="AW508">
        <f>1-AM508/100</f>
        <v>0</v>
      </c>
      <c r="AX508">
        <f>IF(AQ508=1,AW508,1)</f>
        <v>0</v>
      </c>
      <c r="AY508">
        <f>IF(AP508=1,AW508,1)</f>
        <v>0</v>
      </c>
      <c r="AZ508">
        <f>IF(AND(AT508=1,ISNUMBER(AW508)),$AW508,1)</f>
        <v>0</v>
      </c>
      <c r="BA508">
        <f>IF(AND(AU508=1,ISNUMBER(AW508)),$AW508,1)</f>
        <v>0</v>
      </c>
      <c r="BB508">
        <f>IF(ISNUMBER(AB508),INDEX(AllCollegeMoney, MATCH(N508,AllCollegeNCES,0)),0)</f>
        <v>0</v>
      </c>
      <c r="BC508">
        <f>IF(AND(AT508=1,ISNUMBER(AW508),BB508=1),$AW508,1)</f>
        <v>0</v>
      </c>
      <c r="BD508">
        <f>IF(AND(AU508=1,ISNUMBER(AW508),BB508=1),$AW508,1)</f>
        <v>0</v>
      </c>
      <c r="BE508">
        <f>IF(ISNUMBER(AB508),INDEX(AllCollegeILPub, MATCH(N508,AllCollegeNCES,0)),0)</f>
        <v>0</v>
      </c>
      <c r="BF508">
        <f>IF(AN508=ReachLabel,AS508,0)</f>
        <v>0</v>
      </c>
      <c r="BG508">
        <f>IF(AN508=MatchLabel,AS508,0)</f>
        <v>0</v>
      </c>
      <c r="BH508">
        <f>IF(AN508=SafetyLabel,AS508,0)</f>
        <v>0</v>
      </c>
      <c r="BI508">
        <f>IF(AN508=SecureLabel,AS508,0)</f>
        <v>0</v>
      </c>
      <c r="BJ508">
        <f>IF(AN508=SureThingLabel,AS508,0)</f>
        <v>0</v>
      </c>
      <c r="BK508">
        <f>MAX(BF508:BJ508)</f>
        <v>0</v>
      </c>
      <c r="BL508">
        <f>MAX(BG508:BJ508)</f>
        <v>0</v>
      </c>
      <c r="BM508">
        <f>MAX(BH508:BJ508)</f>
        <v>0</v>
      </c>
      <c r="BN508">
        <f>IF(AND(AN508=ReachLabel,BB508=1),AS508,0)</f>
        <v>0</v>
      </c>
      <c r="BO508">
        <f>IF(AND(AN508=MatchLabel,BB508=1),AS508,0)</f>
        <v>0</v>
      </c>
      <c r="BP508">
        <f>IF(AND(AN508=SafetyLabel,BB508=1),AS508,0)</f>
        <v>0</v>
      </c>
      <c r="BQ508">
        <f>IF(AND(AN508=SecureLabel,BB508=1),AS508,0)</f>
        <v>0</v>
      </c>
      <c r="BR508">
        <f>IF(AND(AN508=SureThingLabel,BB508=1),AS508,0)</f>
        <v>0</v>
      </c>
      <c r="BS508">
        <f>MAX(BN508:BR508)</f>
        <v>0</v>
      </c>
      <c r="BT508">
        <f>MAX(BO508:BR508)</f>
        <v>0</v>
      </c>
      <c r="BU508">
        <f>MAX(BP508:BR508)</f>
        <v>0</v>
      </c>
      <c r="BV508">
        <f>IF(ISNUMBER(AB508),INDEX(AllCollegeChicago, MATCH(N508,AllCollegeNCES,0))*BB508,0)</f>
        <v>0</v>
      </c>
      <c r="BW508">
        <f>IF(ISNUMBER(AB508),INDEX(AllCollegeMoneyCode, MATCH(N508,AllCollegeNCES,0)),"?")</f>
        <v>0</v>
      </c>
      <c r="BX508">
        <f>IF(OR(BW508="---",BW508="--",BW508="+/--",BW508="+/---"),1,0)</f>
        <v>0</v>
      </c>
      <c r="BY508">
        <f>BB508*AR508*AT508</f>
        <v>0</v>
      </c>
    </row>
    <row r="509" spans="1:77">
      <c r="A509" t="s">
        <v>96</v>
      </c>
      <c r="B509">
        <v>23473460</v>
      </c>
      <c r="C509" t="s">
        <v>255</v>
      </c>
      <c r="D509" t="s">
        <v>256</v>
      </c>
      <c r="E509" t="s">
        <v>446</v>
      </c>
      <c r="F509" t="s">
        <v>519</v>
      </c>
      <c r="G509" t="s">
        <v>448</v>
      </c>
      <c r="H509" t="s">
        <v>449</v>
      </c>
      <c r="I509" t="s">
        <v>450</v>
      </c>
      <c r="J509" t="s">
        <v>450</v>
      </c>
      <c r="K509">
        <v>0</v>
      </c>
      <c r="L509" t="s">
        <v>446</v>
      </c>
      <c r="M509" t="s">
        <v>446</v>
      </c>
      <c r="N509">
        <v>145813</v>
      </c>
      <c r="O509">
        <f>INDEX(Counselor,MATCH(B509,KidIDs,0))</f>
        <v>0</v>
      </c>
      <c r="P509">
        <f>INDEX(Advisors,MATCH(B509,KidIDs,0))</f>
        <v>0</v>
      </c>
      <c r="Q509">
        <f>INDEX(Cohort,MATCH(B509,KidIDs,0))</f>
        <v>0</v>
      </c>
      <c r="R509">
        <f>INDEX(AllCollegeBarrons,MATCH(N509,AllCollegeNCES,0))</f>
        <v>0</v>
      </c>
      <c r="S509">
        <f>INDEX(KidGPAs,MATCH(B509,KidIDs,0))</f>
        <v>0</v>
      </c>
      <c r="T509">
        <f>INDEX(KidSATs,MATCH(B509,KidIDs,0))</f>
        <v>0</v>
      </c>
      <c r="U509">
        <f>INDEX(Strats,MATCH(B509,KidIDs,0))</f>
        <v>0</v>
      </c>
      <c r="V509">
        <f>INDEX(KidRace,MATCH(B509,KidIDs,0))</f>
        <v>0</v>
      </c>
      <c r="W509">
        <f>IF(OR(V509="M",V509="I"),"H",IF(V509="P","A",V509))</f>
        <v>0</v>
      </c>
      <c r="X509">
        <f>INDEX(StudentTargets,MATCH(B509,KidIDs,0))</f>
        <v>0</v>
      </c>
      <c r="Y509">
        <f>INDEX(ReachStudentTargets,MATCH(B509,KidIDs,0))</f>
        <v>0</v>
      </c>
      <c r="Z509">
        <f>IF(OR(M509="Posse"),1,0)</f>
        <v>0</v>
      </c>
      <c r="AA509">
        <f>IF(ISNUMBER(INDEX(AllCollegeGR, MATCH(N509,AllCollegeNCES,0))),ROUND(INDEX(AllCollegeGR, MATCH(N509,AllCollegeNCES,0))+Z509*IF(INDEX(AllCollegeGR, MATCH(N509,AllCollegeNCES,0))&gt;0.7,(1-INDEX(AllCollegeGR, MATCH(N509,AllCollegeNCES,0)))/2,0.15),2),INDEX(AllCollegeGR, MATCH(N509,AllCollegeNCES,0)))</f>
        <v>0</v>
      </c>
      <c r="AB509">
        <f>IF(ISNUMBER(INDEX(AllCollegeAAHGR, MATCH(N509,AllCollegeNCES,0))),ROUND(INDEX(AllCollegeAAHGR, MATCH(N509,AllCollegeNCES,0))+Z509*IF(INDEX(AllCollegeAAHGR, MATCH(N509,AllCollegeNCES,0))&gt;0.7,(1-INDEX(AllCollegeAAHGR, MATCH(N509,AllCollegeNCES,0)))/2,0.15),2),INDEX(AllCollegeAAHGR, MATCH(N509,AllCollegeNCES,0)))</f>
        <v>0</v>
      </c>
      <c r="AC509">
        <f>IF(OR(W509="H",W509="B"),INDEX(AllCollegeSAT25, MATCH(N509,AllCollegeNCES,0)),INDEX(AllCollegeSAT50, MATCH(N509,AllCollegeNCES,0)))</f>
        <v>0</v>
      </c>
      <c r="AD509">
        <f>INDEX(CustomWeightsGPA,MATCH(W509&amp;":"&amp;N509,CustomWeightsIndex,0))</f>
        <v>0</v>
      </c>
      <c r="AE509">
        <f>INDEX(CustomWeightsSAT,MATCH(W509&amp;":"&amp;N509,CustomWeightsIndex,0))</f>
        <v>0</v>
      </c>
      <c r="AF509">
        <f>INDEX(CustomWeightsIntercept,MATCH(W509&amp;":"&amp;N509,CustomWeightsIndex,0))</f>
        <v>0</v>
      </c>
      <c r="AG509">
        <f>AD509*S509+AE509*T509+AF509</f>
        <v>0</v>
      </c>
      <c r="AH509">
        <f>INDEX(CoefficientsGPA,MATCH(W509&amp;":"&amp;R509,CoefficientsIndex,0))</f>
        <v>0</v>
      </c>
      <c r="AI509">
        <f>INDEX(CoefficientsSAT,MATCH(W509&amp;":"&amp;R509,CoefficientsIndex,0))</f>
        <v>0</v>
      </c>
      <c r="AJ509">
        <f>INDEX(CoefficientsIntercept,MATCH(W509&amp;":"&amp;R509,CoefficientsIndex,0))</f>
        <v>0</v>
      </c>
      <c r="AK509">
        <f>AH509*S509+(T509-AC509)*AI509+AJ509</f>
        <v>0</v>
      </c>
      <c r="AL509">
        <f>IF(ISNUMBER(AG509),AG509,AK509)</f>
        <v>0</v>
      </c>
      <c r="AM509">
        <f>IF(ISNUMBER(AL509),IF(ISNUMBER(AH509),IF(AND(AH509=1,AI509=1,AJ509=1),100,MIN(99,ROUND(100*EXP(AL509)/(1+EXP(AL509)),2))),MIN(99,ROUND(100*EXP(AL509)/(1+EXP(AL509)),2))),IF(ISTEXT(R509),IF(LEFT(R509,1)="2",100,"N/A"),"N/A"))</f>
        <v>0</v>
      </c>
      <c r="AN509">
        <f>IF(ISNUMBER(AM509),IF(AM509&gt;=99,IF(OR(U509=10,U509=11),MatchLabel,SureThingLabel),IF(AM509&gt;=95,SecureLabel,IF(AM509&gt;=80,SafetyLabel,IF(AM509&gt;=50,MatchLabel,IF(AM509&gt;=20,ReachLabel,IF(AM509&gt;=10,LongshotLabel,HailMaryLabel)))))),"Other")</f>
        <v>0</v>
      </c>
      <c r="AO509">
        <f>IF(OR(I509="accepted",I509="cond. accept",I509="summer admit"),IF(J509="yes","CHOICE!","Accepted!"),IF(I509="guar. transfer","Guar. Xfer",IF(I509="denied","Denied",IF(K509=1,"Waitlist",IF(L509=1,"Deferred",IF(G509="pending","Pending",IF(OR(G509="initial materials submitted",G509="mid-year submitted",G509="final submitted"),"Submitted",IF(H509="interest","Interest","?"))))))))</f>
        <v>0</v>
      </c>
      <c r="AP509">
        <f>IF(OR(AN509=ReachLabel,AN509=LongshotLabel,AN509=HailMaryLabel),1,0)</f>
        <v>0</v>
      </c>
      <c r="AQ509">
        <f>IF(OR(AP509=1,AN509=MatchLabel),1,0)</f>
        <v>0</v>
      </c>
      <c r="AR509">
        <f>IF(OR(AN509=MatchLabel,AN509=SafetyLabel,AN509=SecureLabel,AN509=SureThingLabel),1,0)</f>
        <v>0</v>
      </c>
      <c r="AS509">
        <f>IF(OR(W509="H",W509="B",W509="I",W509="M"),IF(ISNUMBER(AB509),ROUND(AB509,2),0),IF(ISNUMBER(AA509),ROUND(AA509,2),0))</f>
        <v>0</v>
      </c>
      <c r="AT509">
        <f>IF(AS509&gt;=X509,1,0)</f>
        <v>0</v>
      </c>
      <c r="AU509">
        <f>IF(AS509&gt;=Y509,1,0)</f>
        <v>0</v>
      </c>
      <c r="AV509">
        <f>IF(AS509&lt;(X509-0.10),1,0)</f>
        <v>0</v>
      </c>
      <c r="AW509">
        <f>1-AM509/100</f>
        <v>0</v>
      </c>
      <c r="AX509">
        <f>IF(AQ509=1,AW509,1)</f>
        <v>0</v>
      </c>
      <c r="AY509">
        <f>IF(AP509=1,AW509,1)</f>
        <v>0</v>
      </c>
      <c r="AZ509">
        <f>IF(AND(AT509=1,ISNUMBER(AW509)),$AW509,1)</f>
        <v>0</v>
      </c>
      <c r="BA509">
        <f>IF(AND(AU509=1,ISNUMBER(AW509)),$AW509,1)</f>
        <v>0</v>
      </c>
      <c r="BB509">
        <f>IF(ISNUMBER(AB509),INDEX(AllCollegeMoney, MATCH(N509,AllCollegeNCES,0)),0)</f>
        <v>0</v>
      </c>
      <c r="BC509">
        <f>IF(AND(AT509=1,ISNUMBER(AW509),BB509=1),$AW509,1)</f>
        <v>0</v>
      </c>
      <c r="BD509">
        <f>IF(AND(AU509=1,ISNUMBER(AW509),BB509=1),$AW509,1)</f>
        <v>0</v>
      </c>
      <c r="BE509">
        <f>IF(ISNUMBER(AB509),INDEX(AllCollegeILPub, MATCH(N509,AllCollegeNCES,0)),0)</f>
        <v>0</v>
      </c>
      <c r="BF509">
        <f>IF(AN509=ReachLabel,AS509,0)</f>
        <v>0</v>
      </c>
      <c r="BG509">
        <f>IF(AN509=MatchLabel,AS509,0)</f>
        <v>0</v>
      </c>
      <c r="BH509">
        <f>IF(AN509=SafetyLabel,AS509,0)</f>
        <v>0</v>
      </c>
      <c r="BI509">
        <f>IF(AN509=SecureLabel,AS509,0)</f>
        <v>0</v>
      </c>
      <c r="BJ509">
        <f>IF(AN509=SureThingLabel,AS509,0)</f>
        <v>0</v>
      </c>
      <c r="BK509">
        <f>MAX(BF509:BJ509)</f>
        <v>0</v>
      </c>
      <c r="BL509">
        <f>MAX(BG509:BJ509)</f>
        <v>0</v>
      </c>
      <c r="BM509">
        <f>MAX(BH509:BJ509)</f>
        <v>0</v>
      </c>
      <c r="BN509">
        <f>IF(AND(AN509=ReachLabel,BB509=1),AS509,0)</f>
        <v>0</v>
      </c>
      <c r="BO509">
        <f>IF(AND(AN509=MatchLabel,BB509=1),AS509,0)</f>
        <v>0</v>
      </c>
      <c r="BP509">
        <f>IF(AND(AN509=SafetyLabel,BB509=1),AS509,0)</f>
        <v>0</v>
      </c>
      <c r="BQ509">
        <f>IF(AND(AN509=SecureLabel,BB509=1),AS509,0)</f>
        <v>0</v>
      </c>
      <c r="BR509">
        <f>IF(AND(AN509=SureThingLabel,BB509=1),AS509,0)</f>
        <v>0</v>
      </c>
      <c r="BS509">
        <f>MAX(BN509:BR509)</f>
        <v>0</v>
      </c>
      <c r="BT509">
        <f>MAX(BO509:BR509)</f>
        <v>0</v>
      </c>
      <c r="BU509">
        <f>MAX(BP509:BR509)</f>
        <v>0</v>
      </c>
      <c r="BV509">
        <f>IF(ISNUMBER(AB509),INDEX(AllCollegeChicago, MATCH(N509,AllCollegeNCES,0))*BB509,0)</f>
        <v>0</v>
      </c>
      <c r="BW509">
        <f>IF(ISNUMBER(AB509),INDEX(AllCollegeMoneyCode, MATCH(N509,AllCollegeNCES,0)),"?")</f>
        <v>0</v>
      </c>
      <c r="BX509">
        <f>IF(OR(BW509="---",BW509="--",BW509="+/--",BW509="+/---"),1,0)</f>
        <v>0</v>
      </c>
      <c r="BY509">
        <f>BB509*AR509*AT509</f>
        <v>0</v>
      </c>
    </row>
    <row r="510" spans="1:77">
      <c r="A510" t="s">
        <v>96</v>
      </c>
      <c r="B510">
        <v>23473460</v>
      </c>
      <c r="C510" t="s">
        <v>255</v>
      </c>
      <c r="D510" t="s">
        <v>256</v>
      </c>
      <c r="E510" t="s">
        <v>446</v>
      </c>
      <c r="F510" t="s">
        <v>481</v>
      </c>
      <c r="G510" t="s">
        <v>448</v>
      </c>
      <c r="H510" t="s">
        <v>449</v>
      </c>
      <c r="I510" t="s">
        <v>450</v>
      </c>
      <c r="J510" t="s">
        <v>450</v>
      </c>
      <c r="K510">
        <v>0</v>
      </c>
      <c r="L510" t="s">
        <v>446</v>
      </c>
      <c r="M510" t="s">
        <v>446</v>
      </c>
      <c r="N510">
        <v>153834</v>
      </c>
      <c r="O510">
        <f>INDEX(Counselor,MATCH(B510,KidIDs,0))</f>
        <v>0</v>
      </c>
      <c r="P510">
        <f>INDEX(Advisors,MATCH(B510,KidIDs,0))</f>
        <v>0</v>
      </c>
      <c r="Q510">
        <f>INDEX(Cohort,MATCH(B510,KidIDs,0))</f>
        <v>0</v>
      </c>
      <c r="R510">
        <f>INDEX(AllCollegeBarrons,MATCH(N510,AllCollegeNCES,0))</f>
        <v>0</v>
      </c>
      <c r="S510">
        <f>INDEX(KidGPAs,MATCH(B510,KidIDs,0))</f>
        <v>0</v>
      </c>
      <c r="T510">
        <f>INDEX(KidSATs,MATCH(B510,KidIDs,0))</f>
        <v>0</v>
      </c>
      <c r="U510">
        <f>INDEX(Strats,MATCH(B510,KidIDs,0))</f>
        <v>0</v>
      </c>
      <c r="V510">
        <f>INDEX(KidRace,MATCH(B510,KidIDs,0))</f>
        <v>0</v>
      </c>
      <c r="W510">
        <f>IF(OR(V510="M",V510="I"),"H",IF(V510="P","A",V510))</f>
        <v>0</v>
      </c>
      <c r="X510">
        <f>INDEX(StudentTargets,MATCH(B510,KidIDs,0))</f>
        <v>0</v>
      </c>
      <c r="Y510">
        <f>INDEX(ReachStudentTargets,MATCH(B510,KidIDs,0))</f>
        <v>0</v>
      </c>
      <c r="Z510">
        <f>IF(OR(M510="Posse"),1,0)</f>
        <v>0</v>
      </c>
      <c r="AA510">
        <f>IF(ISNUMBER(INDEX(AllCollegeGR, MATCH(N510,AllCollegeNCES,0))),ROUND(INDEX(AllCollegeGR, MATCH(N510,AllCollegeNCES,0))+Z510*IF(INDEX(AllCollegeGR, MATCH(N510,AllCollegeNCES,0))&gt;0.7,(1-INDEX(AllCollegeGR, MATCH(N510,AllCollegeNCES,0)))/2,0.15),2),INDEX(AllCollegeGR, MATCH(N510,AllCollegeNCES,0)))</f>
        <v>0</v>
      </c>
      <c r="AB510">
        <f>IF(ISNUMBER(INDEX(AllCollegeAAHGR, MATCH(N510,AllCollegeNCES,0))),ROUND(INDEX(AllCollegeAAHGR, MATCH(N510,AllCollegeNCES,0))+Z510*IF(INDEX(AllCollegeAAHGR, MATCH(N510,AllCollegeNCES,0))&gt;0.7,(1-INDEX(AllCollegeAAHGR, MATCH(N510,AllCollegeNCES,0)))/2,0.15),2),INDEX(AllCollegeAAHGR, MATCH(N510,AllCollegeNCES,0)))</f>
        <v>0</v>
      </c>
      <c r="AC510">
        <f>IF(OR(W510="H",W510="B"),INDEX(AllCollegeSAT25, MATCH(N510,AllCollegeNCES,0)),INDEX(AllCollegeSAT50, MATCH(N510,AllCollegeNCES,0)))</f>
        <v>0</v>
      </c>
      <c r="AD510">
        <f>INDEX(CustomWeightsGPA,MATCH(W510&amp;":"&amp;N510,CustomWeightsIndex,0))</f>
        <v>0</v>
      </c>
      <c r="AE510">
        <f>INDEX(CustomWeightsSAT,MATCH(W510&amp;":"&amp;N510,CustomWeightsIndex,0))</f>
        <v>0</v>
      </c>
      <c r="AF510">
        <f>INDEX(CustomWeightsIntercept,MATCH(W510&amp;":"&amp;N510,CustomWeightsIndex,0))</f>
        <v>0</v>
      </c>
      <c r="AG510">
        <f>AD510*S510+AE510*T510+AF510</f>
        <v>0</v>
      </c>
      <c r="AH510">
        <f>INDEX(CoefficientsGPA,MATCH(W510&amp;":"&amp;R510,CoefficientsIndex,0))</f>
        <v>0</v>
      </c>
      <c r="AI510">
        <f>INDEX(CoefficientsSAT,MATCH(W510&amp;":"&amp;R510,CoefficientsIndex,0))</f>
        <v>0</v>
      </c>
      <c r="AJ510">
        <f>INDEX(CoefficientsIntercept,MATCH(W510&amp;":"&amp;R510,CoefficientsIndex,0))</f>
        <v>0</v>
      </c>
      <c r="AK510">
        <f>AH510*S510+(T510-AC510)*AI510+AJ510</f>
        <v>0</v>
      </c>
      <c r="AL510">
        <f>IF(ISNUMBER(AG510),AG510,AK510)</f>
        <v>0</v>
      </c>
      <c r="AM510">
        <f>IF(ISNUMBER(AL510),IF(ISNUMBER(AH510),IF(AND(AH510=1,AI510=1,AJ510=1),100,MIN(99,ROUND(100*EXP(AL510)/(1+EXP(AL510)),2))),MIN(99,ROUND(100*EXP(AL510)/(1+EXP(AL510)),2))),IF(ISTEXT(R510),IF(LEFT(R510,1)="2",100,"N/A"),"N/A"))</f>
        <v>0</v>
      </c>
      <c r="AN510">
        <f>IF(ISNUMBER(AM510),IF(AM510&gt;=99,IF(OR(U510=10,U510=11),MatchLabel,SureThingLabel),IF(AM510&gt;=95,SecureLabel,IF(AM510&gt;=80,SafetyLabel,IF(AM510&gt;=50,MatchLabel,IF(AM510&gt;=20,ReachLabel,IF(AM510&gt;=10,LongshotLabel,HailMaryLabel)))))),"Other")</f>
        <v>0</v>
      </c>
      <c r="AO510">
        <f>IF(OR(I510="accepted",I510="cond. accept",I510="summer admit"),IF(J510="yes","CHOICE!","Accepted!"),IF(I510="guar. transfer","Guar. Xfer",IF(I510="denied","Denied",IF(K510=1,"Waitlist",IF(L510=1,"Deferred",IF(G510="pending","Pending",IF(OR(G510="initial materials submitted",G510="mid-year submitted",G510="final submitted"),"Submitted",IF(H510="interest","Interest","?"))))))))</f>
        <v>0</v>
      </c>
      <c r="AP510">
        <f>IF(OR(AN510=ReachLabel,AN510=LongshotLabel,AN510=HailMaryLabel),1,0)</f>
        <v>0</v>
      </c>
      <c r="AQ510">
        <f>IF(OR(AP510=1,AN510=MatchLabel),1,0)</f>
        <v>0</v>
      </c>
      <c r="AR510">
        <f>IF(OR(AN510=MatchLabel,AN510=SafetyLabel,AN510=SecureLabel,AN510=SureThingLabel),1,0)</f>
        <v>0</v>
      </c>
      <c r="AS510">
        <f>IF(OR(W510="H",W510="B",W510="I",W510="M"),IF(ISNUMBER(AB510),ROUND(AB510,2),0),IF(ISNUMBER(AA510),ROUND(AA510,2),0))</f>
        <v>0</v>
      </c>
      <c r="AT510">
        <f>IF(AS510&gt;=X510,1,0)</f>
        <v>0</v>
      </c>
      <c r="AU510">
        <f>IF(AS510&gt;=Y510,1,0)</f>
        <v>0</v>
      </c>
      <c r="AV510">
        <f>IF(AS510&lt;(X510-0.10),1,0)</f>
        <v>0</v>
      </c>
      <c r="AW510">
        <f>1-AM510/100</f>
        <v>0</v>
      </c>
      <c r="AX510">
        <f>IF(AQ510=1,AW510,1)</f>
        <v>0</v>
      </c>
      <c r="AY510">
        <f>IF(AP510=1,AW510,1)</f>
        <v>0</v>
      </c>
      <c r="AZ510">
        <f>IF(AND(AT510=1,ISNUMBER(AW510)),$AW510,1)</f>
        <v>0</v>
      </c>
      <c r="BA510">
        <f>IF(AND(AU510=1,ISNUMBER(AW510)),$AW510,1)</f>
        <v>0</v>
      </c>
      <c r="BB510">
        <f>IF(ISNUMBER(AB510),INDEX(AllCollegeMoney, MATCH(N510,AllCollegeNCES,0)),0)</f>
        <v>0</v>
      </c>
      <c r="BC510">
        <f>IF(AND(AT510=1,ISNUMBER(AW510),BB510=1),$AW510,1)</f>
        <v>0</v>
      </c>
      <c r="BD510">
        <f>IF(AND(AU510=1,ISNUMBER(AW510),BB510=1),$AW510,1)</f>
        <v>0</v>
      </c>
      <c r="BE510">
        <f>IF(ISNUMBER(AB510),INDEX(AllCollegeILPub, MATCH(N510,AllCollegeNCES,0)),0)</f>
        <v>0</v>
      </c>
      <c r="BF510">
        <f>IF(AN510=ReachLabel,AS510,0)</f>
        <v>0</v>
      </c>
      <c r="BG510">
        <f>IF(AN510=MatchLabel,AS510,0)</f>
        <v>0</v>
      </c>
      <c r="BH510">
        <f>IF(AN510=SafetyLabel,AS510,0)</f>
        <v>0</v>
      </c>
      <c r="BI510">
        <f>IF(AN510=SecureLabel,AS510,0)</f>
        <v>0</v>
      </c>
      <c r="BJ510">
        <f>IF(AN510=SureThingLabel,AS510,0)</f>
        <v>0</v>
      </c>
      <c r="BK510">
        <f>MAX(BF510:BJ510)</f>
        <v>0</v>
      </c>
      <c r="BL510">
        <f>MAX(BG510:BJ510)</f>
        <v>0</v>
      </c>
      <c r="BM510">
        <f>MAX(BH510:BJ510)</f>
        <v>0</v>
      </c>
      <c r="BN510">
        <f>IF(AND(AN510=ReachLabel,BB510=1),AS510,0)</f>
        <v>0</v>
      </c>
      <c r="BO510">
        <f>IF(AND(AN510=MatchLabel,BB510=1),AS510,0)</f>
        <v>0</v>
      </c>
      <c r="BP510">
        <f>IF(AND(AN510=SafetyLabel,BB510=1),AS510,0)</f>
        <v>0</v>
      </c>
      <c r="BQ510">
        <f>IF(AND(AN510=SecureLabel,BB510=1),AS510,0)</f>
        <v>0</v>
      </c>
      <c r="BR510">
        <f>IF(AND(AN510=SureThingLabel,BB510=1),AS510,0)</f>
        <v>0</v>
      </c>
      <c r="BS510">
        <f>MAX(BN510:BR510)</f>
        <v>0</v>
      </c>
      <c r="BT510">
        <f>MAX(BO510:BR510)</f>
        <v>0</v>
      </c>
      <c r="BU510">
        <f>MAX(BP510:BR510)</f>
        <v>0</v>
      </c>
      <c r="BV510">
        <f>IF(ISNUMBER(AB510),INDEX(AllCollegeChicago, MATCH(N510,AllCollegeNCES,0))*BB510,0)</f>
        <v>0</v>
      </c>
      <c r="BW510">
        <f>IF(ISNUMBER(AB510),INDEX(AllCollegeMoneyCode, MATCH(N510,AllCollegeNCES,0)),"?")</f>
        <v>0</v>
      </c>
      <c r="BX510">
        <f>IF(OR(BW510="---",BW510="--",BW510="+/--",BW510="+/---"),1,0)</f>
        <v>0</v>
      </c>
      <c r="BY510">
        <f>BB510*AR510*AT510</f>
        <v>0</v>
      </c>
    </row>
    <row r="511" spans="1:77">
      <c r="A511" t="s">
        <v>96</v>
      </c>
      <c r="B511">
        <v>23476024</v>
      </c>
      <c r="C511" t="s">
        <v>243</v>
      </c>
      <c r="D511" t="s">
        <v>244</v>
      </c>
      <c r="E511" t="s">
        <v>446</v>
      </c>
      <c r="F511" t="s">
        <v>483</v>
      </c>
      <c r="G511" t="s">
        <v>448</v>
      </c>
      <c r="H511" t="s">
        <v>449</v>
      </c>
      <c r="I511" t="s">
        <v>450</v>
      </c>
      <c r="J511" t="s">
        <v>450</v>
      </c>
      <c r="K511">
        <v>0</v>
      </c>
      <c r="L511" t="s">
        <v>446</v>
      </c>
      <c r="M511" t="s">
        <v>446</v>
      </c>
      <c r="N511">
        <v>212577</v>
      </c>
      <c r="O511">
        <f>INDEX(Counselor,MATCH(B511,KidIDs,0))</f>
        <v>0</v>
      </c>
      <c r="P511">
        <f>INDEX(Advisors,MATCH(B511,KidIDs,0))</f>
        <v>0</v>
      </c>
      <c r="Q511">
        <f>INDEX(Cohort,MATCH(B511,KidIDs,0))</f>
        <v>0</v>
      </c>
      <c r="R511">
        <f>INDEX(AllCollegeBarrons,MATCH(N511,AllCollegeNCES,0))</f>
        <v>0</v>
      </c>
      <c r="S511">
        <f>INDEX(KidGPAs,MATCH(B511,KidIDs,0))</f>
        <v>0</v>
      </c>
      <c r="T511">
        <f>INDEX(KidSATs,MATCH(B511,KidIDs,0))</f>
        <v>0</v>
      </c>
      <c r="U511">
        <f>INDEX(Strats,MATCH(B511,KidIDs,0))</f>
        <v>0</v>
      </c>
      <c r="V511">
        <f>INDEX(KidRace,MATCH(B511,KidIDs,0))</f>
        <v>0</v>
      </c>
      <c r="W511">
        <f>IF(OR(V511="M",V511="I"),"H",IF(V511="P","A",V511))</f>
        <v>0</v>
      </c>
      <c r="X511">
        <f>INDEX(StudentTargets,MATCH(B511,KidIDs,0))</f>
        <v>0</v>
      </c>
      <c r="Y511">
        <f>INDEX(ReachStudentTargets,MATCH(B511,KidIDs,0))</f>
        <v>0</v>
      </c>
      <c r="Z511">
        <f>IF(OR(M511="Posse"),1,0)</f>
        <v>0</v>
      </c>
      <c r="AA511">
        <f>IF(ISNUMBER(INDEX(AllCollegeGR, MATCH(N511,AllCollegeNCES,0))),ROUND(INDEX(AllCollegeGR, MATCH(N511,AllCollegeNCES,0))+Z511*IF(INDEX(AllCollegeGR, MATCH(N511,AllCollegeNCES,0))&gt;0.7,(1-INDEX(AllCollegeGR, MATCH(N511,AllCollegeNCES,0)))/2,0.15),2),INDEX(AllCollegeGR, MATCH(N511,AllCollegeNCES,0)))</f>
        <v>0</v>
      </c>
      <c r="AB511">
        <f>IF(ISNUMBER(INDEX(AllCollegeAAHGR, MATCH(N511,AllCollegeNCES,0))),ROUND(INDEX(AllCollegeAAHGR, MATCH(N511,AllCollegeNCES,0))+Z511*IF(INDEX(AllCollegeAAHGR, MATCH(N511,AllCollegeNCES,0))&gt;0.7,(1-INDEX(AllCollegeAAHGR, MATCH(N511,AllCollegeNCES,0)))/2,0.15),2),INDEX(AllCollegeAAHGR, MATCH(N511,AllCollegeNCES,0)))</f>
        <v>0</v>
      </c>
      <c r="AC511">
        <f>IF(OR(W511="H",W511="B"),INDEX(AllCollegeSAT25, MATCH(N511,AllCollegeNCES,0)),INDEX(AllCollegeSAT50, MATCH(N511,AllCollegeNCES,0)))</f>
        <v>0</v>
      </c>
      <c r="AD511">
        <f>INDEX(CustomWeightsGPA,MATCH(W511&amp;":"&amp;N511,CustomWeightsIndex,0))</f>
        <v>0</v>
      </c>
      <c r="AE511">
        <f>INDEX(CustomWeightsSAT,MATCH(W511&amp;":"&amp;N511,CustomWeightsIndex,0))</f>
        <v>0</v>
      </c>
      <c r="AF511">
        <f>INDEX(CustomWeightsIntercept,MATCH(W511&amp;":"&amp;N511,CustomWeightsIndex,0))</f>
        <v>0</v>
      </c>
      <c r="AG511">
        <f>AD511*S511+AE511*T511+AF511</f>
        <v>0</v>
      </c>
      <c r="AH511">
        <f>INDEX(CoefficientsGPA,MATCH(W511&amp;":"&amp;R511,CoefficientsIndex,0))</f>
        <v>0</v>
      </c>
      <c r="AI511">
        <f>INDEX(CoefficientsSAT,MATCH(W511&amp;":"&amp;R511,CoefficientsIndex,0))</f>
        <v>0</v>
      </c>
      <c r="AJ511">
        <f>INDEX(CoefficientsIntercept,MATCH(W511&amp;":"&amp;R511,CoefficientsIndex,0))</f>
        <v>0</v>
      </c>
      <c r="AK511">
        <f>AH511*S511+(T511-AC511)*AI511+AJ511</f>
        <v>0</v>
      </c>
      <c r="AL511">
        <f>IF(ISNUMBER(AG511),AG511,AK511)</f>
        <v>0</v>
      </c>
      <c r="AM511">
        <f>IF(ISNUMBER(AL511),IF(ISNUMBER(AH511),IF(AND(AH511=1,AI511=1,AJ511=1),100,MIN(99,ROUND(100*EXP(AL511)/(1+EXP(AL511)),2))),MIN(99,ROUND(100*EXP(AL511)/(1+EXP(AL511)),2))),IF(ISTEXT(R511),IF(LEFT(R511,1)="2",100,"N/A"),"N/A"))</f>
        <v>0</v>
      </c>
      <c r="AN511">
        <f>IF(ISNUMBER(AM511),IF(AM511&gt;=99,IF(OR(U511=10,U511=11),MatchLabel,SureThingLabel),IF(AM511&gt;=95,SecureLabel,IF(AM511&gt;=80,SafetyLabel,IF(AM511&gt;=50,MatchLabel,IF(AM511&gt;=20,ReachLabel,IF(AM511&gt;=10,LongshotLabel,HailMaryLabel)))))),"Other")</f>
        <v>0</v>
      </c>
      <c r="AO511">
        <f>IF(OR(I511="accepted",I511="cond. accept",I511="summer admit"),IF(J511="yes","CHOICE!","Accepted!"),IF(I511="guar. transfer","Guar. Xfer",IF(I511="denied","Denied",IF(K511=1,"Waitlist",IF(L511=1,"Deferred",IF(G511="pending","Pending",IF(OR(G511="initial materials submitted",G511="mid-year submitted",G511="final submitted"),"Submitted",IF(H511="interest","Interest","?"))))))))</f>
        <v>0</v>
      </c>
      <c r="AP511">
        <f>IF(OR(AN511=ReachLabel,AN511=LongshotLabel,AN511=HailMaryLabel),1,0)</f>
        <v>0</v>
      </c>
      <c r="AQ511">
        <f>IF(OR(AP511=1,AN511=MatchLabel),1,0)</f>
        <v>0</v>
      </c>
      <c r="AR511">
        <f>IF(OR(AN511=MatchLabel,AN511=SafetyLabel,AN511=SecureLabel,AN511=SureThingLabel),1,0)</f>
        <v>0</v>
      </c>
      <c r="AS511">
        <f>IF(OR(W511="H",W511="B",W511="I",W511="M"),IF(ISNUMBER(AB511),ROUND(AB511,2),0),IF(ISNUMBER(AA511),ROUND(AA511,2),0))</f>
        <v>0</v>
      </c>
      <c r="AT511">
        <f>IF(AS511&gt;=X511,1,0)</f>
        <v>0</v>
      </c>
      <c r="AU511">
        <f>IF(AS511&gt;=Y511,1,0)</f>
        <v>0</v>
      </c>
      <c r="AV511">
        <f>IF(AS511&lt;(X511-0.10),1,0)</f>
        <v>0</v>
      </c>
      <c r="AW511">
        <f>1-AM511/100</f>
        <v>0</v>
      </c>
      <c r="AX511">
        <f>IF(AQ511=1,AW511,1)</f>
        <v>0</v>
      </c>
      <c r="AY511">
        <f>IF(AP511=1,AW511,1)</f>
        <v>0</v>
      </c>
      <c r="AZ511">
        <f>IF(AND(AT511=1,ISNUMBER(AW511)),$AW511,1)</f>
        <v>0</v>
      </c>
      <c r="BA511">
        <f>IF(AND(AU511=1,ISNUMBER(AW511)),$AW511,1)</f>
        <v>0</v>
      </c>
      <c r="BB511">
        <f>IF(ISNUMBER(AB511),INDEX(AllCollegeMoney, MATCH(N511,AllCollegeNCES,0)),0)</f>
        <v>0</v>
      </c>
      <c r="BC511">
        <f>IF(AND(AT511=1,ISNUMBER(AW511),BB511=1),$AW511,1)</f>
        <v>0</v>
      </c>
      <c r="BD511">
        <f>IF(AND(AU511=1,ISNUMBER(AW511),BB511=1),$AW511,1)</f>
        <v>0</v>
      </c>
      <c r="BE511">
        <f>IF(ISNUMBER(AB511),INDEX(AllCollegeILPub, MATCH(N511,AllCollegeNCES,0)),0)</f>
        <v>0</v>
      </c>
      <c r="BF511">
        <f>IF(AN511=ReachLabel,AS511,0)</f>
        <v>0</v>
      </c>
      <c r="BG511">
        <f>IF(AN511=MatchLabel,AS511,0)</f>
        <v>0</v>
      </c>
      <c r="BH511">
        <f>IF(AN511=SafetyLabel,AS511,0)</f>
        <v>0</v>
      </c>
      <c r="BI511">
        <f>IF(AN511=SecureLabel,AS511,0)</f>
        <v>0</v>
      </c>
      <c r="BJ511">
        <f>IF(AN511=SureThingLabel,AS511,0)</f>
        <v>0</v>
      </c>
      <c r="BK511">
        <f>MAX(BF511:BJ511)</f>
        <v>0</v>
      </c>
      <c r="BL511">
        <f>MAX(BG511:BJ511)</f>
        <v>0</v>
      </c>
      <c r="BM511">
        <f>MAX(BH511:BJ511)</f>
        <v>0</v>
      </c>
      <c r="BN511">
        <f>IF(AND(AN511=ReachLabel,BB511=1),AS511,0)</f>
        <v>0</v>
      </c>
      <c r="BO511">
        <f>IF(AND(AN511=MatchLabel,BB511=1),AS511,0)</f>
        <v>0</v>
      </c>
      <c r="BP511">
        <f>IF(AND(AN511=SafetyLabel,BB511=1),AS511,0)</f>
        <v>0</v>
      </c>
      <c r="BQ511">
        <f>IF(AND(AN511=SecureLabel,BB511=1),AS511,0)</f>
        <v>0</v>
      </c>
      <c r="BR511">
        <f>IF(AND(AN511=SureThingLabel,BB511=1),AS511,0)</f>
        <v>0</v>
      </c>
      <c r="BS511">
        <f>MAX(BN511:BR511)</f>
        <v>0</v>
      </c>
      <c r="BT511">
        <f>MAX(BO511:BR511)</f>
        <v>0</v>
      </c>
      <c r="BU511">
        <f>MAX(BP511:BR511)</f>
        <v>0</v>
      </c>
      <c r="BV511">
        <f>IF(ISNUMBER(AB511),INDEX(AllCollegeChicago, MATCH(N511,AllCollegeNCES,0))*BB511,0)</f>
        <v>0</v>
      </c>
      <c r="BW511">
        <f>IF(ISNUMBER(AB511),INDEX(AllCollegeMoneyCode, MATCH(N511,AllCollegeNCES,0)),"?")</f>
        <v>0</v>
      </c>
      <c r="BX511">
        <f>IF(OR(BW511="---",BW511="--",BW511="+/--",BW511="+/---"),1,0)</f>
        <v>0</v>
      </c>
      <c r="BY511">
        <f>BB511*AR511*AT511</f>
        <v>0</v>
      </c>
    </row>
    <row r="512" spans="1:77">
      <c r="A512" t="s">
        <v>96</v>
      </c>
      <c r="B512">
        <v>23476024</v>
      </c>
      <c r="C512" t="s">
        <v>243</v>
      </c>
      <c r="D512" t="s">
        <v>244</v>
      </c>
      <c r="E512" t="s">
        <v>446</v>
      </c>
      <c r="F512" t="s">
        <v>487</v>
      </c>
      <c r="G512" t="s">
        <v>448</v>
      </c>
      <c r="H512" t="s">
        <v>449</v>
      </c>
      <c r="I512" t="s">
        <v>450</v>
      </c>
      <c r="J512" t="s">
        <v>450</v>
      </c>
      <c r="K512">
        <v>0</v>
      </c>
      <c r="L512" t="s">
        <v>446</v>
      </c>
      <c r="M512" t="s">
        <v>446</v>
      </c>
      <c r="N512">
        <v>174844</v>
      </c>
      <c r="O512">
        <f>INDEX(Counselor,MATCH(B512,KidIDs,0))</f>
        <v>0</v>
      </c>
      <c r="P512">
        <f>INDEX(Advisors,MATCH(B512,KidIDs,0))</f>
        <v>0</v>
      </c>
      <c r="Q512">
        <f>INDEX(Cohort,MATCH(B512,KidIDs,0))</f>
        <v>0</v>
      </c>
      <c r="R512">
        <f>INDEX(AllCollegeBarrons,MATCH(N512,AllCollegeNCES,0))</f>
        <v>0</v>
      </c>
      <c r="S512">
        <f>INDEX(KidGPAs,MATCH(B512,KidIDs,0))</f>
        <v>0</v>
      </c>
      <c r="T512">
        <f>INDEX(KidSATs,MATCH(B512,KidIDs,0))</f>
        <v>0</v>
      </c>
      <c r="U512">
        <f>INDEX(Strats,MATCH(B512,KidIDs,0))</f>
        <v>0</v>
      </c>
      <c r="V512">
        <f>INDEX(KidRace,MATCH(B512,KidIDs,0))</f>
        <v>0</v>
      </c>
      <c r="W512">
        <f>IF(OR(V512="M",V512="I"),"H",IF(V512="P","A",V512))</f>
        <v>0</v>
      </c>
      <c r="X512">
        <f>INDEX(StudentTargets,MATCH(B512,KidIDs,0))</f>
        <v>0</v>
      </c>
      <c r="Y512">
        <f>INDEX(ReachStudentTargets,MATCH(B512,KidIDs,0))</f>
        <v>0</v>
      </c>
      <c r="Z512">
        <f>IF(OR(M512="Posse"),1,0)</f>
        <v>0</v>
      </c>
      <c r="AA512">
        <f>IF(ISNUMBER(INDEX(AllCollegeGR, MATCH(N512,AllCollegeNCES,0))),ROUND(INDEX(AllCollegeGR, MATCH(N512,AllCollegeNCES,0))+Z512*IF(INDEX(AllCollegeGR, MATCH(N512,AllCollegeNCES,0))&gt;0.7,(1-INDEX(AllCollegeGR, MATCH(N512,AllCollegeNCES,0)))/2,0.15),2),INDEX(AllCollegeGR, MATCH(N512,AllCollegeNCES,0)))</f>
        <v>0</v>
      </c>
      <c r="AB512">
        <f>IF(ISNUMBER(INDEX(AllCollegeAAHGR, MATCH(N512,AllCollegeNCES,0))),ROUND(INDEX(AllCollegeAAHGR, MATCH(N512,AllCollegeNCES,0))+Z512*IF(INDEX(AllCollegeAAHGR, MATCH(N512,AllCollegeNCES,0))&gt;0.7,(1-INDEX(AllCollegeAAHGR, MATCH(N512,AllCollegeNCES,0)))/2,0.15),2),INDEX(AllCollegeAAHGR, MATCH(N512,AllCollegeNCES,0)))</f>
        <v>0</v>
      </c>
      <c r="AC512">
        <f>IF(OR(W512="H",W512="B"),INDEX(AllCollegeSAT25, MATCH(N512,AllCollegeNCES,0)),INDEX(AllCollegeSAT50, MATCH(N512,AllCollegeNCES,0)))</f>
        <v>0</v>
      </c>
      <c r="AD512">
        <f>INDEX(CustomWeightsGPA,MATCH(W512&amp;":"&amp;N512,CustomWeightsIndex,0))</f>
        <v>0</v>
      </c>
      <c r="AE512">
        <f>INDEX(CustomWeightsSAT,MATCH(W512&amp;":"&amp;N512,CustomWeightsIndex,0))</f>
        <v>0</v>
      </c>
      <c r="AF512">
        <f>INDEX(CustomWeightsIntercept,MATCH(W512&amp;":"&amp;N512,CustomWeightsIndex,0))</f>
        <v>0</v>
      </c>
      <c r="AG512">
        <f>AD512*S512+AE512*T512+AF512</f>
        <v>0</v>
      </c>
      <c r="AH512">
        <f>INDEX(CoefficientsGPA,MATCH(W512&amp;":"&amp;R512,CoefficientsIndex,0))</f>
        <v>0</v>
      </c>
      <c r="AI512">
        <f>INDEX(CoefficientsSAT,MATCH(W512&amp;":"&amp;R512,CoefficientsIndex,0))</f>
        <v>0</v>
      </c>
      <c r="AJ512">
        <f>INDEX(CoefficientsIntercept,MATCH(W512&amp;":"&amp;R512,CoefficientsIndex,0))</f>
        <v>0</v>
      </c>
      <c r="AK512">
        <f>AH512*S512+(T512-AC512)*AI512+AJ512</f>
        <v>0</v>
      </c>
      <c r="AL512">
        <f>IF(ISNUMBER(AG512),AG512,AK512)</f>
        <v>0</v>
      </c>
      <c r="AM512">
        <f>IF(ISNUMBER(AL512),IF(ISNUMBER(AH512),IF(AND(AH512=1,AI512=1,AJ512=1),100,MIN(99,ROUND(100*EXP(AL512)/(1+EXP(AL512)),2))),MIN(99,ROUND(100*EXP(AL512)/(1+EXP(AL512)),2))),IF(ISTEXT(R512),IF(LEFT(R512,1)="2",100,"N/A"),"N/A"))</f>
        <v>0</v>
      </c>
      <c r="AN512">
        <f>IF(ISNUMBER(AM512),IF(AM512&gt;=99,IF(OR(U512=10,U512=11),MatchLabel,SureThingLabel),IF(AM512&gt;=95,SecureLabel,IF(AM512&gt;=80,SafetyLabel,IF(AM512&gt;=50,MatchLabel,IF(AM512&gt;=20,ReachLabel,IF(AM512&gt;=10,LongshotLabel,HailMaryLabel)))))),"Other")</f>
        <v>0</v>
      </c>
      <c r="AO512">
        <f>IF(OR(I512="accepted",I512="cond. accept",I512="summer admit"),IF(J512="yes","CHOICE!","Accepted!"),IF(I512="guar. transfer","Guar. Xfer",IF(I512="denied","Denied",IF(K512=1,"Waitlist",IF(L512=1,"Deferred",IF(G512="pending","Pending",IF(OR(G512="initial materials submitted",G512="mid-year submitted",G512="final submitted"),"Submitted",IF(H512="interest","Interest","?"))))))))</f>
        <v>0</v>
      </c>
      <c r="AP512">
        <f>IF(OR(AN512=ReachLabel,AN512=LongshotLabel,AN512=HailMaryLabel),1,0)</f>
        <v>0</v>
      </c>
      <c r="AQ512">
        <f>IF(OR(AP512=1,AN512=MatchLabel),1,0)</f>
        <v>0</v>
      </c>
      <c r="AR512">
        <f>IF(OR(AN512=MatchLabel,AN512=SafetyLabel,AN512=SecureLabel,AN512=SureThingLabel),1,0)</f>
        <v>0</v>
      </c>
      <c r="AS512">
        <f>IF(OR(W512="H",W512="B",W512="I",W512="M"),IF(ISNUMBER(AB512),ROUND(AB512,2),0),IF(ISNUMBER(AA512),ROUND(AA512,2),0))</f>
        <v>0</v>
      </c>
      <c r="AT512">
        <f>IF(AS512&gt;=X512,1,0)</f>
        <v>0</v>
      </c>
      <c r="AU512">
        <f>IF(AS512&gt;=Y512,1,0)</f>
        <v>0</v>
      </c>
      <c r="AV512">
        <f>IF(AS512&lt;(X512-0.10),1,0)</f>
        <v>0</v>
      </c>
      <c r="AW512">
        <f>1-AM512/100</f>
        <v>0</v>
      </c>
      <c r="AX512">
        <f>IF(AQ512=1,AW512,1)</f>
        <v>0</v>
      </c>
      <c r="AY512">
        <f>IF(AP512=1,AW512,1)</f>
        <v>0</v>
      </c>
      <c r="AZ512">
        <f>IF(AND(AT512=1,ISNUMBER(AW512)),$AW512,1)</f>
        <v>0</v>
      </c>
      <c r="BA512">
        <f>IF(AND(AU512=1,ISNUMBER(AW512)),$AW512,1)</f>
        <v>0</v>
      </c>
      <c r="BB512">
        <f>IF(ISNUMBER(AB512),INDEX(AllCollegeMoney, MATCH(N512,AllCollegeNCES,0)),0)</f>
        <v>0</v>
      </c>
      <c r="BC512">
        <f>IF(AND(AT512=1,ISNUMBER(AW512),BB512=1),$AW512,1)</f>
        <v>0</v>
      </c>
      <c r="BD512">
        <f>IF(AND(AU512=1,ISNUMBER(AW512),BB512=1),$AW512,1)</f>
        <v>0</v>
      </c>
      <c r="BE512">
        <f>IF(ISNUMBER(AB512),INDEX(AllCollegeILPub, MATCH(N512,AllCollegeNCES,0)),0)</f>
        <v>0</v>
      </c>
      <c r="BF512">
        <f>IF(AN512=ReachLabel,AS512,0)</f>
        <v>0</v>
      </c>
      <c r="BG512">
        <f>IF(AN512=MatchLabel,AS512,0)</f>
        <v>0</v>
      </c>
      <c r="BH512">
        <f>IF(AN512=SafetyLabel,AS512,0)</f>
        <v>0</v>
      </c>
      <c r="BI512">
        <f>IF(AN512=SecureLabel,AS512,0)</f>
        <v>0</v>
      </c>
      <c r="BJ512">
        <f>IF(AN512=SureThingLabel,AS512,0)</f>
        <v>0</v>
      </c>
      <c r="BK512">
        <f>MAX(BF512:BJ512)</f>
        <v>0</v>
      </c>
      <c r="BL512">
        <f>MAX(BG512:BJ512)</f>
        <v>0</v>
      </c>
      <c r="BM512">
        <f>MAX(BH512:BJ512)</f>
        <v>0</v>
      </c>
      <c r="BN512">
        <f>IF(AND(AN512=ReachLabel,BB512=1),AS512,0)</f>
        <v>0</v>
      </c>
      <c r="BO512">
        <f>IF(AND(AN512=MatchLabel,BB512=1),AS512,0)</f>
        <v>0</v>
      </c>
      <c r="BP512">
        <f>IF(AND(AN512=SafetyLabel,BB512=1),AS512,0)</f>
        <v>0</v>
      </c>
      <c r="BQ512">
        <f>IF(AND(AN512=SecureLabel,BB512=1),AS512,0)</f>
        <v>0</v>
      </c>
      <c r="BR512">
        <f>IF(AND(AN512=SureThingLabel,BB512=1),AS512,0)</f>
        <v>0</v>
      </c>
      <c r="BS512">
        <f>MAX(BN512:BR512)</f>
        <v>0</v>
      </c>
      <c r="BT512">
        <f>MAX(BO512:BR512)</f>
        <v>0</v>
      </c>
      <c r="BU512">
        <f>MAX(BP512:BR512)</f>
        <v>0</v>
      </c>
      <c r="BV512">
        <f>IF(ISNUMBER(AB512),INDEX(AllCollegeChicago, MATCH(N512,AllCollegeNCES,0))*BB512,0)</f>
        <v>0</v>
      </c>
      <c r="BW512">
        <f>IF(ISNUMBER(AB512),INDEX(AllCollegeMoneyCode, MATCH(N512,AllCollegeNCES,0)),"?")</f>
        <v>0</v>
      </c>
      <c r="BX512">
        <f>IF(OR(BW512="---",BW512="--",BW512="+/--",BW512="+/---"),1,0)</f>
        <v>0</v>
      </c>
      <c r="BY512">
        <f>BB512*AR512*AT512</f>
        <v>0</v>
      </c>
    </row>
    <row r="513" spans="1:77">
      <c r="A513" t="s">
        <v>96</v>
      </c>
      <c r="B513">
        <v>23476024</v>
      </c>
      <c r="C513" t="s">
        <v>243</v>
      </c>
      <c r="D513" t="s">
        <v>244</v>
      </c>
      <c r="E513" t="s">
        <v>446</v>
      </c>
      <c r="F513" t="s">
        <v>475</v>
      </c>
      <c r="G513" t="s">
        <v>448</v>
      </c>
      <c r="H513" t="s">
        <v>449</v>
      </c>
      <c r="I513" t="s">
        <v>450</v>
      </c>
      <c r="J513" t="s">
        <v>450</v>
      </c>
      <c r="K513">
        <v>0</v>
      </c>
      <c r="L513" t="s">
        <v>446</v>
      </c>
      <c r="M513" t="s">
        <v>446</v>
      </c>
      <c r="N513">
        <v>145637</v>
      </c>
      <c r="O513">
        <f>INDEX(Counselor,MATCH(B513,KidIDs,0))</f>
        <v>0</v>
      </c>
      <c r="P513">
        <f>INDEX(Advisors,MATCH(B513,KidIDs,0))</f>
        <v>0</v>
      </c>
      <c r="Q513">
        <f>INDEX(Cohort,MATCH(B513,KidIDs,0))</f>
        <v>0</v>
      </c>
      <c r="R513">
        <f>INDEX(AllCollegeBarrons,MATCH(N513,AllCollegeNCES,0))</f>
        <v>0</v>
      </c>
      <c r="S513">
        <f>INDEX(KidGPAs,MATCH(B513,KidIDs,0))</f>
        <v>0</v>
      </c>
      <c r="T513">
        <f>INDEX(KidSATs,MATCH(B513,KidIDs,0))</f>
        <v>0</v>
      </c>
      <c r="U513">
        <f>INDEX(Strats,MATCH(B513,KidIDs,0))</f>
        <v>0</v>
      </c>
      <c r="V513">
        <f>INDEX(KidRace,MATCH(B513,KidIDs,0))</f>
        <v>0</v>
      </c>
      <c r="W513">
        <f>IF(OR(V513="M",V513="I"),"H",IF(V513="P","A",V513))</f>
        <v>0</v>
      </c>
      <c r="X513">
        <f>INDEX(StudentTargets,MATCH(B513,KidIDs,0))</f>
        <v>0</v>
      </c>
      <c r="Y513">
        <f>INDEX(ReachStudentTargets,MATCH(B513,KidIDs,0))</f>
        <v>0</v>
      </c>
      <c r="Z513">
        <f>IF(OR(M513="Posse"),1,0)</f>
        <v>0</v>
      </c>
      <c r="AA513">
        <f>IF(ISNUMBER(INDEX(AllCollegeGR, MATCH(N513,AllCollegeNCES,0))),ROUND(INDEX(AllCollegeGR, MATCH(N513,AllCollegeNCES,0))+Z513*IF(INDEX(AllCollegeGR, MATCH(N513,AllCollegeNCES,0))&gt;0.7,(1-INDEX(AllCollegeGR, MATCH(N513,AllCollegeNCES,0)))/2,0.15),2),INDEX(AllCollegeGR, MATCH(N513,AllCollegeNCES,0)))</f>
        <v>0</v>
      </c>
      <c r="AB513">
        <f>IF(ISNUMBER(INDEX(AllCollegeAAHGR, MATCH(N513,AllCollegeNCES,0))),ROUND(INDEX(AllCollegeAAHGR, MATCH(N513,AllCollegeNCES,0))+Z513*IF(INDEX(AllCollegeAAHGR, MATCH(N513,AllCollegeNCES,0))&gt;0.7,(1-INDEX(AllCollegeAAHGR, MATCH(N513,AllCollegeNCES,0)))/2,0.15),2),INDEX(AllCollegeAAHGR, MATCH(N513,AllCollegeNCES,0)))</f>
        <v>0</v>
      </c>
      <c r="AC513">
        <f>IF(OR(W513="H",W513="B"),INDEX(AllCollegeSAT25, MATCH(N513,AllCollegeNCES,0)),INDEX(AllCollegeSAT50, MATCH(N513,AllCollegeNCES,0)))</f>
        <v>0</v>
      </c>
      <c r="AD513">
        <f>INDEX(CustomWeightsGPA,MATCH(W513&amp;":"&amp;N513,CustomWeightsIndex,0))</f>
        <v>0</v>
      </c>
      <c r="AE513">
        <f>INDEX(CustomWeightsSAT,MATCH(W513&amp;":"&amp;N513,CustomWeightsIndex,0))</f>
        <v>0</v>
      </c>
      <c r="AF513">
        <f>INDEX(CustomWeightsIntercept,MATCH(W513&amp;":"&amp;N513,CustomWeightsIndex,0))</f>
        <v>0</v>
      </c>
      <c r="AG513">
        <f>AD513*S513+AE513*T513+AF513</f>
        <v>0</v>
      </c>
      <c r="AH513">
        <f>INDEX(CoefficientsGPA,MATCH(W513&amp;":"&amp;R513,CoefficientsIndex,0))</f>
        <v>0</v>
      </c>
      <c r="AI513">
        <f>INDEX(CoefficientsSAT,MATCH(W513&amp;":"&amp;R513,CoefficientsIndex,0))</f>
        <v>0</v>
      </c>
      <c r="AJ513">
        <f>INDEX(CoefficientsIntercept,MATCH(W513&amp;":"&amp;R513,CoefficientsIndex,0))</f>
        <v>0</v>
      </c>
      <c r="AK513">
        <f>AH513*S513+(T513-AC513)*AI513+AJ513</f>
        <v>0</v>
      </c>
      <c r="AL513">
        <f>IF(ISNUMBER(AG513),AG513,AK513)</f>
        <v>0</v>
      </c>
      <c r="AM513">
        <f>IF(ISNUMBER(AL513),IF(ISNUMBER(AH513),IF(AND(AH513=1,AI513=1,AJ513=1),100,MIN(99,ROUND(100*EXP(AL513)/(1+EXP(AL513)),2))),MIN(99,ROUND(100*EXP(AL513)/(1+EXP(AL513)),2))),IF(ISTEXT(R513),IF(LEFT(R513,1)="2",100,"N/A"),"N/A"))</f>
        <v>0</v>
      </c>
      <c r="AN513">
        <f>IF(ISNUMBER(AM513),IF(AM513&gt;=99,IF(OR(U513=10,U513=11),MatchLabel,SureThingLabel),IF(AM513&gt;=95,SecureLabel,IF(AM513&gt;=80,SafetyLabel,IF(AM513&gt;=50,MatchLabel,IF(AM513&gt;=20,ReachLabel,IF(AM513&gt;=10,LongshotLabel,HailMaryLabel)))))),"Other")</f>
        <v>0</v>
      </c>
      <c r="AO513">
        <f>IF(OR(I513="accepted",I513="cond. accept",I513="summer admit"),IF(J513="yes","CHOICE!","Accepted!"),IF(I513="guar. transfer","Guar. Xfer",IF(I513="denied","Denied",IF(K513=1,"Waitlist",IF(L513=1,"Deferred",IF(G513="pending","Pending",IF(OR(G513="initial materials submitted",G513="mid-year submitted",G513="final submitted"),"Submitted",IF(H513="interest","Interest","?"))))))))</f>
        <v>0</v>
      </c>
      <c r="AP513">
        <f>IF(OR(AN513=ReachLabel,AN513=LongshotLabel,AN513=HailMaryLabel),1,0)</f>
        <v>0</v>
      </c>
      <c r="AQ513">
        <f>IF(OR(AP513=1,AN513=MatchLabel),1,0)</f>
        <v>0</v>
      </c>
      <c r="AR513">
        <f>IF(OR(AN513=MatchLabel,AN513=SafetyLabel,AN513=SecureLabel,AN513=SureThingLabel),1,0)</f>
        <v>0</v>
      </c>
      <c r="AS513">
        <f>IF(OR(W513="H",W513="B",W513="I",W513="M"),IF(ISNUMBER(AB513),ROUND(AB513,2),0),IF(ISNUMBER(AA513),ROUND(AA513,2),0))</f>
        <v>0</v>
      </c>
      <c r="AT513">
        <f>IF(AS513&gt;=X513,1,0)</f>
        <v>0</v>
      </c>
      <c r="AU513">
        <f>IF(AS513&gt;=Y513,1,0)</f>
        <v>0</v>
      </c>
      <c r="AV513">
        <f>IF(AS513&lt;(X513-0.10),1,0)</f>
        <v>0</v>
      </c>
      <c r="AW513">
        <f>1-AM513/100</f>
        <v>0</v>
      </c>
      <c r="AX513">
        <f>IF(AQ513=1,AW513,1)</f>
        <v>0</v>
      </c>
      <c r="AY513">
        <f>IF(AP513=1,AW513,1)</f>
        <v>0</v>
      </c>
      <c r="AZ513">
        <f>IF(AND(AT513=1,ISNUMBER(AW513)),$AW513,1)</f>
        <v>0</v>
      </c>
      <c r="BA513">
        <f>IF(AND(AU513=1,ISNUMBER(AW513)),$AW513,1)</f>
        <v>0</v>
      </c>
      <c r="BB513">
        <f>IF(ISNUMBER(AB513),INDEX(AllCollegeMoney, MATCH(N513,AllCollegeNCES,0)),0)</f>
        <v>0</v>
      </c>
      <c r="BC513">
        <f>IF(AND(AT513=1,ISNUMBER(AW513),BB513=1),$AW513,1)</f>
        <v>0</v>
      </c>
      <c r="BD513">
        <f>IF(AND(AU513=1,ISNUMBER(AW513),BB513=1),$AW513,1)</f>
        <v>0</v>
      </c>
      <c r="BE513">
        <f>IF(ISNUMBER(AB513),INDEX(AllCollegeILPub, MATCH(N513,AllCollegeNCES,0)),0)</f>
        <v>0</v>
      </c>
      <c r="BF513">
        <f>IF(AN513=ReachLabel,AS513,0)</f>
        <v>0</v>
      </c>
      <c r="BG513">
        <f>IF(AN513=MatchLabel,AS513,0)</f>
        <v>0</v>
      </c>
      <c r="BH513">
        <f>IF(AN513=SafetyLabel,AS513,0)</f>
        <v>0</v>
      </c>
      <c r="BI513">
        <f>IF(AN513=SecureLabel,AS513,0)</f>
        <v>0</v>
      </c>
      <c r="BJ513">
        <f>IF(AN513=SureThingLabel,AS513,0)</f>
        <v>0</v>
      </c>
      <c r="BK513">
        <f>MAX(BF513:BJ513)</f>
        <v>0</v>
      </c>
      <c r="BL513">
        <f>MAX(BG513:BJ513)</f>
        <v>0</v>
      </c>
      <c r="BM513">
        <f>MAX(BH513:BJ513)</f>
        <v>0</v>
      </c>
      <c r="BN513">
        <f>IF(AND(AN513=ReachLabel,BB513=1),AS513,0)</f>
        <v>0</v>
      </c>
      <c r="BO513">
        <f>IF(AND(AN513=MatchLabel,BB513=1),AS513,0)</f>
        <v>0</v>
      </c>
      <c r="BP513">
        <f>IF(AND(AN513=SafetyLabel,BB513=1),AS513,0)</f>
        <v>0</v>
      </c>
      <c r="BQ513">
        <f>IF(AND(AN513=SecureLabel,BB513=1),AS513,0)</f>
        <v>0</v>
      </c>
      <c r="BR513">
        <f>IF(AND(AN513=SureThingLabel,BB513=1),AS513,0)</f>
        <v>0</v>
      </c>
      <c r="BS513">
        <f>MAX(BN513:BR513)</f>
        <v>0</v>
      </c>
      <c r="BT513">
        <f>MAX(BO513:BR513)</f>
        <v>0</v>
      </c>
      <c r="BU513">
        <f>MAX(BP513:BR513)</f>
        <v>0</v>
      </c>
      <c r="BV513">
        <f>IF(ISNUMBER(AB513),INDEX(AllCollegeChicago, MATCH(N513,AllCollegeNCES,0))*BB513,0)</f>
        <v>0</v>
      </c>
      <c r="BW513">
        <f>IF(ISNUMBER(AB513),INDEX(AllCollegeMoneyCode, MATCH(N513,AllCollegeNCES,0)),"?")</f>
        <v>0</v>
      </c>
      <c r="BX513">
        <f>IF(OR(BW513="---",BW513="--",BW513="+/--",BW513="+/---"),1,0)</f>
        <v>0</v>
      </c>
      <c r="BY513">
        <f>BB513*AR513*AT513</f>
        <v>0</v>
      </c>
    </row>
    <row r="514" spans="1:77">
      <c r="A514" t="s">
        <v>96</v>
      </c>
      <c r="B514">
        <v>23476024</v>
      </c>
      <c r="C514" t="s">
        <v>243</v>
      </c>
      <c r="D514" t="s">
        <v>244</v>
      </c>
      <c r="E514" t="s">
        <v>446</v>
      </c>
      <c r="F514" t="s">
        <v>447</v>
      </c>
      <c r="G514" t="s">
        <v>479</v>
      </c>
      <c r="H514" t="s">
        <v>449</v>
      </c>
      <c r="I514" t="s">
        <v>450</v>
      </c>
      <c r="J514" t="s">
        <v>450</v>
      </c>
      <c r="K514">
        <v>0</v>
      </c>
      <c r="L514" t="s">
        <v>446</v>
      </c>
      <c r="M514" t="s">
        <v>446</v>
      </c>
      <c r="N514">
        <v>148496</v>
      </c>
      <c r="O514">
        <f>INDEX(Counselor,MATCH(B514,KidIDs,0))</f>
        <v>0</v>
      </c>
      <c r="P514">
        <f>INDEX(Advisors,MATCH(B514,KidIDs,0))</f>
        <v>0</v>
      </c>
      <c r="Q514">
        <f>INDEX(Cohort,MATCH(B514,KidIDs,0))</f>
        <v>0</v>
      </c>
      <c r="R514">
        <f>INDEX(AllCollegeBarrons,MATCH(N514,AllCollegeNCES,0))</f>
        <v>0</v>
      </c>
      <c r="S514">
        <f>INDEX(KidGPAs,MATCH(B514,KidIDs,0))</f>
        <v>0</v>
      </c>
      <c r="T514">
        <f>INDEX(KidSATs,MATCH(B514,KidIDs,0))</f>
        <v>0</v>
      </c>
      <c r="U514">
        <f>INDEX(Strats,MATCH(B514,KidIDs,0))</f>
        <v>0</v>
      </c>
      <c r="V514">
        <f>INDEX(KidRace,MATCH(B514,KidIDs,0))</f>
        <v>0</v>
      </c>
      <c r="W514">
        <f>IF(OR(V514="M",V514="I"),"H",IF(V514="P","A",V514))</f>
        <v>0</v>
      </c>
      <c r="X514">
        <f>INDEX(StudentTargets,MATCH(B514,KidIDs,0))</f>
        <v>0</v>
      </c>
      <c r="Y514">
        <f>INDEX(ReachStudentTargets,MATCH(B514,KidIDs,0))</f>
        <v>0</v>
      </c>
      <c r="Z514">
        <f>IF(OR(M514="Posse"),1,0)</f>
        <v>0</v>
      </c>
      <c r="AA514">
        <f>IF(ISNUMBER(INDEX(AllCollegeGR, MATCH(N514,AllCollegeNCES,0))),ROUND(INDEX(AllCollegeGR, MATCH(N514,AllCollegeNCES,0))+Z514*IF(INDEX(AllCollegeGR, MATCH(N514,AllCollegeNCES,0))&gt;0.7,(1-INDEX(AllCollegeGR, MATCH(N514,AllCollegeNCES,0)))/2,0.15),2),INDEX(AllCollegeGR, MATCH(N514,AllCollegeNCES,0)))</f>
        <v>0</v>
      </c>
      <c r="AB514">
        <f>IF(ISNUMBER(INDEX(AllCollegeAAHGR, MATCH(N514,AllCollegeNCES,0))),ROUND(INDEX(AllCollegeAAHGR, MATCH(N514,AllCollegeNCES,0))+Z514*IF(INDEX(AllCollegeAAHGR, MATCH(N514,AllCollegeNCES,0))&gt;0.7,(1-INDEX(AllCollegeAAHGR, MATCH(N514,AllCollegeNCES,0)))/2,0.15),2),INDEX(AllCollegeAAHGR, MATCH(N514,AllCollegeNCES,0)))</f>
        <v>0</v>
      </c>
      <c r="AC514">
        <f>IF(OR(W514="H",W514="B"),INDEX(AllCollegeSAT25, MATCH(N514,AllCollegeNCES,0)),INDEX(AllCollegeSAT50, MATCH(N514,AllCollegeNCES,0)))</f>
        <v>0</v>
      </c>
      <c r="AD514">
        <f>INDEX(CustomWeightsGPA,MATCH(W514&amp;":"&amp;N514,CustomWeightsIndex,0))</f>
        <v>0</v>
      </c>
      <c r="AE514">
        <f>INDEX(CustomWeightsSAT,MATCH(W514&amp;":"&amp;N514,CustomWeightsIndex,0))</f>
        <v>0</v>
      </c>
      <c r="AF514">
        <f>INDEX(CustomWeightsIntercept,MATCH(W514&amp;":"&amp;N514,CustomWeightsIndex,0))</f>
        <v>0</v>
      </c>
      <c r="AG514">
        <f>AD514*S514+AE514*T514+AF514</f>
        <v>0</v>
      </c>
      <c r="AH514">
        <f>INDEX(CoefficientsGPA,MATCH(W514&amp;":"&amp;R514,CoefficientsIndex,0))</f>
        <v>0</v>
      </c>
      <c r="AI514">
        <f>INDEX(CoefficientsSAT,MATCH(W514&amp;":"&amp;R514,CoefficientsIndex,0))</f>
        <v>0</v>
      </c>
      <c r="AJ514">
        <f>INDEX(CoefficientsIntercept,MATCH(W514&amp;":"&amp;R514,CoefficientsIndex,0))</f>
        <v>0</v>
      </c>
      <c r="AK514">
        <f>AH514*S514+(T514-AC514)*AI514+AJ514</f>
        <v>0</v>
      </c>
      <c r="AL514">
        <f>IF(ISNUMBER(AG514),AG514,AK514)</f>
        <v>0</v>
      </c>
      <c r="AM514">
        <f>IF(ISNUMBER(AL514),IF(ISNUMBER(AH514),IF(AND(AH514=1,AI514=1,AJ514=1),100,MIN(99,ROUND(100*EXP(AL514)/(1+EXP(AL514)),2))),MIN(99,ROUND(100*EXP(AL514)/(1+EXP(AL514)),2))),IF(ISTEXT(R514),IF(LEFT(R514,1)="2",100,"N/A"),"N/A"))</f>
        <v>0</v>
      </c>
      <c r="AN514">
        <f>IF(ISNUMBER(AM514),IF(AM514&gt;=99,IF(OR(U514=10,U514=11),MatchLabel,SureThingLabel),IF(AM514&gt;=95,SecureLabel,IF(AM514&gt;=80,SafetyLabel,IF(AM514&gt;=50,MatchLabel,IF(AM514&gt;=20,ReachLabel,IF(AM514&gt;=10,LongshotLabel,HailMaryLabel)))))),"Other")</f>
        <v>0</v>
      </c>
      <c r="AO514">
        <f>IF(OR(I514="accepted",I514="cond. accept",I514="summer admit"),IF(J514="yes","CHOICE!","Accepted!"),IF(I514="guar. transfer","Guar. Xfer",IF(I514="denied","Denied",IF(K514=1,"Waitlist",IF(L514=1,"Deferred",IF(G514="pending","Pending",IF(OR(G514="initial materials submitted",G514="mid-year submitted",G514="final submitted"),"Submitted",IF(H514="interest","Interest","?"))))))))</f>
        <v>0</v>
      </c>
      <c r="AP514">
        <f>IF(OR(AN514=ReachLabel,AN514=LongshotLabel,AN514=HailMaryLabel),1,0)</f>
        <v>0</v>
      </c>
      <c r="AQ514">
        <f>IF(OR(AP514=1,AN514=MatchLabel),1,0)</f>
        <v>0</v>
      </c>
      <c r="AR514">
        <f>IF(OR(AN514=MatchLabel,AN514=SafetyLabel,AN514=SecureLabel,AN514=SureThingLabel),1,0)</f>
        <v>0</v>
      </c>
      <c r="AS514">
        <f>IF(OR(W514="H",W514="B",W514="I",W514="M"),IF(ISNUMBER(AB514),ROUND(AB514,2),0),IF(ISNUMBER(AA514),ROUND(AA514,2),0))</f>
        <v>0</v>
      </c>
      <c r="AT514">
        <f>IF(AS514&gt;=X514,1,0)</f>
        <v>0</v>
      </c>
      <c r="AU514">
        <f>IF(AS514&gt;=Y514,1,0)</f>
        <v>0</v>
      </c>
      <c r="AV514">
        <f>IF(AS514&lt;(X514-0.10),1,0)</f>
        <v>0</v>
      </c>
      <c r="AW514">
        <f>1-AM514/100</f>
        <v>0</v>
      </c>
      <c r="AX514">
        <f>IF(AQ514=1,AW514,1)</f>
        <v>0</v>
      </c>
      <c r="AY514">
        <f>IF(AP514=1,AW514,1)</f>
        <v>0</v>
      </c>
      <c r="AZ514">
        <f>IF(AND(AT514=1,ISNUMBER(AW514)),$AW514,1)</f>
        <v>0</v>
      </c>
      <c r="BA514">
        <f>IF(AND(AU514=1,ISNUMBER(AW514)),$AW514,1)</f>
        <v>0</v>
      </c>
      <c r="BB514">
        <f>IF(ISNUMBER(AB514),INDEX(AllCollegeMoney, MATCH(N514,AllCollegeNCES,0)),0)</f>
        <v>0</v>
      </c>
      <c r="BC514">
        <f>IF(AND(AT514=1,ISNUMBER(AW514),BB514=1),$AW514,1)</f>
        <v>0</v>
      </c>
      <c r="BD514">
        <f>IF(AND(AU514=1,ISNUMBER(AW514),BB514=1),$AW514,1)</f>
        <v>0</v>
      </c>
      <c r="BE514">
        <f>IF(ISNUMBER(AB514),INDEX(AllCollegeILPub, MATCH(N514,AllCollegeNCES,0)),0)</f>
        <v>0</v>
      </c>
      <c r="BF514">
        <f>IF(AN514=ReachLabel,AS514,0)</f>
        <v>0</v>
      </c>
      <c r="BG514">
        <f>IF(AN514=MatchLabel,AS514,0)</f>
        <v>0</v>
      </c>
      <c r="BH514">
        <f>IF(AN514=SafetyLabel,AS514,0)</f>
        <v>0</v>
      </c>
      <c r="BI514">
        <f>IF(AN514=SecureLabel,AS514,0)</f>
        <v>0</v>
      </c>
      <c r="BJ514">
        <f>IF(AN514=SureThingLabel,AS514,0)</f>
        <v>0</v>
      </c>
      <c r="BK514">
        <f>MAX(BF514:BJ514)</f>
        <v>0</v>
      </c>
      <c r="BL514">
        <f>MAX(BG514:BJ514)</f>
        <v>0</v>
      </c>
      <c r="BM514">
        <f>MAX(BH514:BJ514)</f>
        <v>0</v>
      </c>
      <c r="BN514">
        <f>IF(AND(AN514=ReachLabel,BB514=1),AS514,0)</f>
        <v>0</v>
      </c>
      <c r="BO514">
        <f>IF(AND(AN514=MatchLabel,BB514=1),AS514,0)</f>
        <v>0</v>
      </c>
      <c r="BP514">
        <f>IF(AND(AN514=SafetyLabel,BB514=1),AS514,0)</f>
        <v>0</v>
      </c>
      <c r="BQ514">
        <f>IF(AND(AN514=SecureLabel,BB514=1),AS514,0)</f>
        <v>0</v>
      </c>
      <c r="BR514">
        <f>IF(AND(AN514=SureThingLabel,BB514=1),AS514,0)</f>
        <v>0</v>
      </c>
      <c r="BS514">
        <f>MAX(BN514:BR514)</f>
        <v>0</v>
      </c>
      <c r="BT514">
        <f>MAX(BO514:BR514)</f>
        <v>0</v>
      </c>
      <c r="BU514">
        <f>MAX(BP514:BR514)</f>
        <v>0</v>
      </c>
      <c r="BV514">
        <f>IF(ISNUMBER(AB514),INDEX(AllCollegeChicago, MATCH(N514,AllCollegeNCES,0))*BB514,0)</f>
        <v>0</v>
      </c>
      <c r="BW514">
        <f>IF(ISNUMBER(AB514),INDEX(AllCollegeMoneyCode, MATCH(N514,AllCollegeNCES,0)),"?")</f>
        <v>0</v>
      </c>
      <c r="BX514">
        <f>IF(OR(BW514="---",BW514="--",BW514="+/--",BW514="+/---"),1,0)</f>
        <v>0</v>
      </c>
      <c r="BY514">
        <f>BB514*AR514*AT514</f>
        <v>0</v>
      </c>
    </row>
    <row r="515" spans="1:77">
      <c r="A515" t="s">
        <v>96</v>
      </c>
      <c r="B515">
        <v>23476024</v>
      </c>
      <c r="C515" t="s">
        <v>243</v>
      </c>
      <c r="D515" t="s">
        <v>244</v>
      </c>
      <c r="E515" t="s">
        <v>446</v>
      </c>
      <c r="F515" t="s">
        <v>476</v>
      </c>
      <c r="G515" t="s">
        <v>448</v>
      </c>
      <c r="H515" t="s">
        <v>449</v>
      </c>
      <c r="I515" t="s">
        <v>450</v>
      </c>
      <c r="J515" t="s">
        <v>450</v>
      </c>
      <c r="K515">
        <v>0</v>
      </c>
      <c r="L515" t="s">
        <v>446</v>
      </c>
      <c r="M515" t="s">
        <v>446</v>
      </c>
      <c r="N515">
        <v>213668</v>
      </c>
      <c r="O515">
        <f>INDEX(Counselor,MATCH(B515,KidIDs,0))</f>
        <v>0</v>
      </c>
      <c r="P515">
        <f>INDEX(Advisors,MATCH(B515,KidIDs,0))</f>
        <v>0</v>
      </c>
      <c r="Q515">
        <f>INDEX(Cohort,MATCH(B515,KidIDs,0))</f>
        <v>0</v>
      </c>
      <c r="R515">
        <f>INDEX(AllCollegeBarrons,MATCH(N515,AllCollegeNCES,0))</f>
        <v>0</v>
      </c>
      <c r="S515">
        <f>INDEX(KidGPAs,MATCH(B515,KidIDs,0))</f>
        <v>0</v>
      </c>
      <c r="T515">
        <f>INDEX(KidSATs,MATCH(B515,KidIDs,0))</f>
        <v>0</v>
      </c>
      <c r="U515">
        <f>INDEX(Strats,MATCH(B515,KidIDs,0))</f>
        <v>0</v>
      </c>
      <c r="V515">
        <f>INDEX(KidRace,MATCH(B515,KidIDs,0))</f>
        <v>0</v>
      </c>
      <c r="W515">
        <f>IF(OR(V515="M",V515="I"),"H",IF(V515="P","A",V515))</f>
        <v>0</v>
      </c>
      <c r="X515">
        <f>INDEX(StudentTargets,MATCH(B515,KidIDs,0))</f>
        <v>0</v>
      </c>
      <c r="Y515">
        <f>INDEX(ReachStudentTargets,MATCH(B515,KidIDs,0))</f>
        <v>0</v>
      </c>
      <c r="Z515">
        <f>IF(OR(M515="Posse"),1,0)</f>
        <v>0</v>
      </c>
      <c r="AA515">
        <f>IF(ISNUMBER(INDEX(AllCollegeGR, MATCH(N515,AllCollegeNCES,0))),ROUND(INDEX(AllCollegeGR, MATCH(N515,AllCollegeNCES,0))+Z515*IF(INDEX(AllCollegeGR, MATCH(N515,AllCollegeNCES,0))&gt;0.7,(1-INDEX(AllCollegeGR, MATCH(N515,AllCollegeNCES,0)))/2,0.15),2),INDEX(AllCollegeGR, MATCH(N515,AllCollegeNCES,0)))</f>
        <v>0</v>
      </c>
      <c r="AB515">
        <f>IF(ISNUMBER(INDEX(AllCollegeAAHGR, MATCH(N515,AllCollegeNCES,0))),ROUND(INDEX(AllCollegeAAHGR, MATCH(N515,AllCollegeNCES,0))+Z515*IF(INDEX(AllCollegeAAHGR, MATCH(N515,AllCollegeNCES,0))&gt;0.7,(1-INDEX(AllCollegeAAHGR, MATCH(N515,AllCollegeNCES,0)))/2,0.15),2),INDEX(AllCollegeAAHGR, MATCH(N515,AllCollegeNCES,0)))</f>
        <v>0</v>
      </c>
      <c r="AC515">
        <f>IF(OR(W515="H",W515="B"),INDEX(AllCollegeSAT25, MATCH(N515,AllCollegeNCES,0)),INDEX(AllCollegeSAT50, MATCH(N515,AllCollegeNCES,0)))</f>
        <v>0</v>
      </c>
      <c r="AD515">
        <f>INDEX(CustomWeightsGPA,MATCH(W515&amp;":"&amp;N515,CustomWeightsIndex,0))</f>
        <v>0</v>
      </c>
      <c r="AE515">
        <f>INDEX(CustomWeightsSAT,MATCH(W515&amp;":"&amp;N515,CustomWeightsIndex,0))</f>
        <v>0</v>
      </c>
      <c r="AF515">
        <f>INDEX(CustomWeightsIntercept,MATCH(W515&amp;":"&amp;N515,CustomWeightsIndex,0))</f>
        <v>0</v>
      </c>
      <c r="AG515">
        <f>AD515*S515+AE515*T515+AF515</f>
        <v>0</v>
      </c>
      <c r="AH515">
        <f>INDEX(CoefficientsGPA,MATCH(W515&amp;":"&amp;R515,CoefficientsIndex,0))</f>
        <v>0</v>
      </c>
      <c r="AI515">
        <f>INDEX(CoefficientsSAT,MATCH(W515&amp;":"&amp;R515,CoefficientsIndex,0))</f>
        <v>0</v>
      </c>
      <c r="AJ515">
        <f>INDEX(CoefficientsIntercept,MATCH(W515&amp;":"&amp;R515,CoefficientsIndex,0))</f>
        <v>0</v>
      </c>
      <c r="AK515">
        <f>AH515*S515+(T515-AC515)*AI515+AJ515</f>
        <v>0</v>
      </c>
      <c r="AL515">
        <f>IF(ISNUMBER(AG515),AG515,AK515)</f>
        <v>0</v>
      </c>
      <c r="AM515">
        <f>IF(ISNUMBER(AL515),IF(ISNUMBER(AH515),IF(AND(AH515=1,AI515=1,AJ515=1),100,MIN(99,ROUND(100*EXP(AL515)/(1+EXP(AL515)),2))),MIN(99,ROUND(100*EXP(AL515)/(1+EXP(AL515)),2))),IF(ISTEXT(R515),IF(LEFT(R515,1)="2",100,"N/A"),"N/A"))</f>
        <v>0</v>
      </c>
      <c r="AN515">
        <f>IF(ISNUMBER(AM515),IF(AM515&gt;=99,IF(OR(U515=10,U515=11),MatchLabel,SureThingLabel),IF(AM515&gt;=95,SecureLabel,IF(AM515&gt;=80,SafetyLabel,IF(AM515&gt;=50,MatchLabel,IF(AM515&gt;=20,ReachLabel,IF(AM515&gt;=10,LongshotLabel,HailMaryLabel)))))),"Other")</f>
        <v>0</v>
      </c>
      <c r="AO515">
        <f>IF(OR(I515="accepted",I515="cond. accept",I515="summer admit"),IF(J515="yes","CHOICE!","Accepted!"),IF(I515="guar. transfer","Guar. Xfer",IF(I515="denied","Denied",IF(K515=1,"Waitlist",IF(L515=1,"Deferred",IF(G515="pending","Pending",IF(OR(G515="initial materials submitted",G515="mid-year submitted",G515="final submitted"),"Submitted",IF(H515="interest","Interest","?"))))))))</f>
        <v>0</v>
      </c>
      <c r="AP515">
        <f>IF(OR(AN515=ReachLabel,AN515=LongshotLabel,AN515=HailMaryLabel),1,0)</f>
        <v>0</v>
      </c>
      <c r="AQ515">
        <f>IF(OR(AP515=1,AN515=MatchLabel),1,0)</f>
        <v>0</v>
      </c>
      <c r="AR515">
        <f>IF(OR(AN515=MatchLabel,AN515=SafetyLabel,AN515=SecureLabel,AN515=SureThingLabel),1,0)</f>
        <v>0</v>
      </c>
      <c r="AS515">
        <f>IF(OR(W515="H",W515="B",W515="I",W515="M"),IF(ISNUMBER(AB515),ROUND(AB515,2),0),IF(ISNUMBER(AA515),ROUND(AA515,2),0))</f>
        <v>0</v>
      </c>
      <c r="AT515">
        <f>IF(AS515&gt;=X515,1,0)</f>
        <v>0</v>
      </c>
      <c r="AU515">
        <f>IF(AS515&gt;=Y515,1,0)</f>
        <v>0</v>
      </c>
      <c r="AV515">
        <f>IF(AS515&lt;(X515-0.10),1,0)</f>
        <v>0</v>
      </c>
      <c r="AW515">
        <f>1-AM515/100</f>
        <v>0</v>
      </c>
      <c r="AX515">
        <f>IF(AQ515=1,AW515,1)</f>
        <v>0</v>
      </c>
      <c r="AY515">
        <f>IF(AP515=1,AW515,1)</f>
        <v>0</v>
      </c>
      <c r="AZ515">
        <f>IF(AND(AT515=1,ISNUMBER(AW515)),$AW515,1)</f>
        <v>0</v>
      </c>
      <c r="BA515">
        <f>IF(AND(AU515=1,ISNUMBER(AW515)),$AW515,1)</f>
        <v>0</v>
      </c>
      <c r="BB515">
        <f>IF(ISNUMBER(AB515),INDEX(AllCollegeMoney, MATCH(N515,AllCollegeNCES,0)),0)</f>
        <v>0</v>
      </c>
      <c r="BC515">
        <f>IF(AND(AT515=1,ISNUMBER(AW515),BB515=1),$AW515,1)</f>
        <v>0</v>
      </c>
      <c r="BD515">
        <f>IF(AND(AU515=1,ISNUMBER(AW515),BB515=1),$AW515,1)</f>
        <v>0</v>
      </c>
      <c r="BE515">
        <f>IF(ISNUMBER(AB515),INDEX(AllCollegeILPub, MATCH(N515,AllCollegeNCES,0)),0)</f>
        <v>0</v>
      </c>
      <c r="BF515">
        <f>IF(AN515=ReachLabel,AS515,0)</f>
        <v>0</v>
      </c>
      <c r="BG515">
        <f>IF(AN515=MatchLabel,AS515,0)</f>
        <v>0</v>
      </c>
      <c r="BH515">
        <f>IF(AN515=SafetyLabel,AS515,0)</f>
        <v>0</v>
      </c>
      <c r="BI515">
        <f>IF(AN515=SecureLabel,AS515,0)</f>
        <v>0</v>
      </c>
      <c r="BJ515">
        <f>IF(AN515=SureThingLabel,AS515,0)</f>
        <v>0</v>
      </c>
      <c r="BK515">
        <f>MAX(BF515:BJ515)</f>
        <v>0</v>
      </c>
      <c r="BL515">
        <f>MAX(BG515:BJ515)</f>
        <v>0</v>
      </c>
      <c r="BM515">
        <f>MAX(BH515:BJ515)</f>
        <v>0</v>
      </c>
      <c r="BN515">
        <f>IF(AND(AN515=ReachLabel,BB515=1),AS515,0)</f>
        <v>0</v>
      </c>
      <c r="BO515">
        <f>IF(AND(AN515=MatchLabel,BB515=1),AS515,0)</f>
        <v>0</v>
      </c>
      <c r="BP515">
        <f>IF(AND(AN515=SafetyLabel,BB515=1),AS515,0)</f>
        <v>0</v>
      </c>
      <c r="BQ515">
        <f>IF(AND(AN515=SecureLabel,BB515=1),AS515,0)</f>
        <v>0</v>
      </c>
      <c r="BR515">
        <f>IF(AND(AN515=SureThingLabel,BB515=1),AS515,0)</f>
        <v>0</v>
      </c>
      <c r="BS515">
        <f>MAX(BN515:BR515)</f>
        <v>0</v>
      </c>
      <c r="BT515">
        <f>MAX(BO515:BR515)</f>
        <v>0</v>
      </c>
      <c r="BU515">
        <f>MAX(BP515:BR515)</f>
        <v>0</v>
      </c>
      <c r="BV515">
        <f>IF(ISNUMBER(AB515),INDEX(AllCollegeChicago, MATCH(N515,AllCollegeNCES,0))*BB515,0)</f>
        <v>0</v>
      </c>
      <c r="BW515">
        <f>IF(ISNUMBER(AB515),INDEX(AllCollegeMoneyCode, MATCH(N515,AllCollegeNCES,0)),"?")</f>
        <v>0</v>
      </c>
      <c r="BX515">
        <f>IF(OR(BW515="---",BW515="--",BW515="+/--",BW515="+/---"),1,0)</f>
        <v>0</v>
      </c>
      <c r="BY515">
        <f>BB515*AR515*AT515</f>
        <v>0</v>
      </c>
    </row>
    <row r="516" spans="1:77">
      <c r="A516" t="s">
        <v>96</v>
      </c>
      <c r="B516">
        <v>23476024</v>
      </c>
      <c r="C516" t="s">
        <v>243</v>
      </c>
      <c r="D516" t="s">
        <v>244</v>
      </c>
      <c r="E516" t="s">
        <v>446</v>
      </c>
      <c r="F516" t="s">
        <v>578</v>
      </c>
      <c r="G516" t="s">
        <v>448</v>
      </c>
      <c r="H516" t="s">
        <v>449</v>
      </c>
      <c r="I516" t="s">
        <v>450</v>
      </c>
      <c r="J516" t="s">
        <v>450</v>
      </c>
      <c r="K516">
        <v>0</v>
      </c>
      <c r="L516" t="s">
        <v>446</v>
      </c>
      <c r="M516" t="s">
        <v>446</v>
      </c>
      <c r="N516">
        <v>153658</v>
      </c>
      <c r="O516">
        <f>INDEX(Counselor,MATCH(B516,KidIDs,0))</f>
        <v>0</v>
      </c>
      <c r="P516">
        <f>INDEX(Advisors,MATCH(B516,KidIDs,0))</f>
        <v>0</v>
      </c>
      <c r="Q516">
        <f>INDEX(Cohort,MATCH(B516,KidIDs,0))</f>
        <v>0</v>
      </c>
      <c r="R516">
        <f>INDEX(AllCollegeBarrons,MATCH(N516,AllCollegeNCES,0))</f>
        <v>0</v>
      </c>
      <c r="S516">
        <f>INDEX(KidGPAs,MATCH(B516,KidIDs,0))</f>
        <v>0</v>
      </c>
      <c r="T516">
        <f>INDEX(KidSATs,MATCH(B516,KidIDs,0))</f>
        <v>0</v>
      </c>
      <c r="U516">
        <f>INDEX(Strats,MATCH(B516,KidIDs,0))</f>
        <v>0</v>
      </c>
      <c r="V516">
        <f>INDEX(KidRace,MATCH(B516,KidIDs,0))</f>
        <v>0</v>
      </c>
      <c r="W516">
        <f>IF(OR(V516="M",V516="I"),"H",IF(V516="P","A",V516))</f>
        <v>0</v>
      </c>
      <c r="X516">
        <f>INDEX(StudentTargets,MATCH(B516,KidIDs,0))</f>
        <v>0</v>
      </c>
      <c r="Y516">
        <f>INDEX(ReachStudentTargets,MATCH(B516,KidIDs,0))</f>
        <v>0</v>
      </c>
      <c r="Z516">
        <f>IF(OR(M516="Posse"),1,0)</f>
        <v>0</v>
      </c>
      <c r="AA516">
        <f>IF(ISNUMBER(INDEX(AllCollegeGR, MATCH(N516,AllCollegeNCES,0))),ROUND(INDEX(AllCollegeGR, MATCH(N516,AllCollegeNCES,0))+Z516*IF(INDEX(AllCollegeGR, MATCH(N516,AllCollegeNCES,0))&gt;0.7,(1-INDEX(AllCollegeGR, MATCH(N516,AllCollegeNCES,0)))/2,0.15),2),INDEX(AllCollegeGR, MATCH(N516,AllCollegeNCES,0)))</f>
        <v>0</v>
      </c>
      <c r="AB516">
        <f>IF(ISNUMBER(INDEX(AllCollegeAAHGR, MATCH(N516,AllCollegeNCES,0))),ROUND(INDEX(AllCollegeAAHGR, MATCH(N516,AllCollegeNCES,0))+Z516*IF(INDEX(AllCollegeAAHGR, MATCH(N516,AllCollegeNCES,0))&gt;0.7,(1-INDEX(AllCollegeAAHGR, MATCH(N516,AllCollegeNCES,0)))/2,0.15),2),INDEX(AllCollegeAAHGR, MATCH(N516,AllCollegeNCES,0)))</f>
        <v>0</v>
      </c>
      <c r="AC516">
        <f>IF(OR(W516="H",W516="B"),INDEX(AllCollegeSAT25, MATCH(N516,AllCollegeNCES,0)),INDEX(AllCollegeSAT50, MATCH(N516,AllCollegeNCES,0)))</f>
        <v>0</v>
      </c>
      <c r="AD516">
        <f>INDEX(CustomWeightsGPA,MATCH(W516&amp;":"&amp;N516,CustomWeightsIndex,0))</f>
        <v>0</v>
      </c>
      <c r="AE516">
        <f>INDEX(CustomWeightsSAT,MATCH(W516&amp;":"&amp;N516,CustomWeightsIndex,0))</f>
        <v>0</v>
      </c>
      <c r="AF516">
        <f>INDEX(CustomWeightsIntercept,MATCH(W516&amp;":"&amp;N516,CustomWeightsIndex,0))</f>
        <v>0</v>
      </c>
      <c r="AG516">
        <f>AD516*S516+AE516*T516+AF516</f>
        <v>0</v>
      </c>
      <c r="AH516">
        <f>INDEX(CoefficientsGPA,MATCH(W516&amp;":"&amp;R516,CoefficientsIndex,0))</f>
        <v>0</v>
      </c>
      <c r="AI516">
        <f>INDEX(CoefficientsSAT,MATCH(W516&amp;":"&amp;R516,CoefficientsIndex,0))</f>
        <v>0</v>
      </c>
      <c r="AJ516">
        <f>INDEX(CoefficientsIntercept,MATCH(W516&amp;":"&amp;R516,CoefficientsIndex,0))</f>
        <v>0</v>
      </c>
      <c r="AK516">
        <f>AH516*S516+(T516-AC516)*AI516+AJ516</f>
        <v>0</v>
      </c>
      <c r="AL516">
        <f>IF(ISNUMBER(AG516),AG516,AK516)</f>
        <v>0</v>
      </c>
      <c r="AM516">
        <f>IF(ISNUMBER(AL516),IF(ISNUMBER(AH516),IF(AND(AH516=1,AI516=1,AJ516=1),100,MIN(99,ROUND(100*EXP(AL516)/(1+EXP(AL516)),2))),MIN(99,ROUND(100*EXP(AL516)/(1+EXP(AL516)),2))),IF(ISTEXT(R516),IF(LEFT(R516,1)="2",100,"N/A"),"N/A"))</f>
        <v>0</v>
      </c>
      <c r="AN516">
        <f>IF(ISNUMBER(AM516),IF(AM516&gt;=99,IF(OR(U516=10,U516=11),MatchLabel,SureThingLabel),IF(AM516&gt;=95,SecureLabel,IF(AM516&gt;=80,SafetyLabel,IF(AM516&gt;=50,MatchLabel,IF(AM516&gt;=20,ReachLabel,IF(AM516&gt;=10,LongshotLabel,HailMaryLabel)))))),"Other")</f>
        <v>0</v>
      </c>
      <c r="AO516">
        <f>IF(OR(I516="accepted",I516="cond. accept",I516="summer admit"),IF(J516="yes","CHOICE!","Accepted!"),IF(I516="guar. transfer","Guar. Xfer",IF(I516="denied","Denied",IF(K516=1,"Waitlist",IF(L516=1,"Deferred",IF(G516="pending","Pending",IF(OR(G516="initial materials submitted",G516="mid-year submitted",G516="final submitted"),"Submitted",IF(H516="interest","Interest","?"))))))))</f>
        <v>0</v>
      </c>
      <c r="AP516">
        <f>IF(OR(AN516=ReachLabel,AN516=LongshotLabel,AN516=HailMaryLabel),1,0)</f>
        <v>0</v>
      </c>
      <c r="AQ516">
        <f>IF(OR(AP516=1,AN516=MatchLabel),1,0)</f>
        <v>0</v>
      </c>
      <c r="AR516">
        <f>IF(OR(AN516=MatchLabel,AN516=SafetyLabel,AN516=SecureLabel,AN516=SureThingLabel),1,0)</f>
        <v>0</v>
      </c>
      <c r="AS516">
        <f>IF(OR(W516="H",W516="B",W516="I",W516="M"),IF(ISNUMBER(AB516),ROUND(AB516,2),0),IF(ISNUMBER(AA516),ROUND(AA516,2),0))</f>
        <v>0</v>
      </c>
      <c r="AT516">
        <f>IF(AS516&gt;=X516,1,0)</f>
        <v>0</v>
      </c>
      <c r="AU516">
        <f>IF(AS516&gt;=Y516,1,0)</f>
        <v>0</v>
      </c>
      <c r="AV516">
        <f>IF(AS516&lt;(X516-0.10),1,0)</f>
        <v>0</v>
      </c>
      <c r="AW516">
        <f>1-AM516/100</f>
        <v>0</v>
      </c>
      <c r="AX516">
        <f>IF(AQ516=1,AW516,1)</f>
        <v>0</v>
      </c>
      <c r="AY516">
        <f>IF(AP516=1,AW516,1)</f>
        <v>0</v>
      </c>
      <c r="AZ516">
        <f>IF(AND(AT516=1,ISNUMBER(AW516)),$AW516,1)</f>
        <v>0</v>
      </c>
      <c r="BA516">
        <f>IF(AND(AU516=1,ISNUMBER(AW516)),$AW516,1)</f>
        <v>0</v>
      </c>
      <c r="BB516">
        <f>IF(ISNUMBER(AB516),INDEX(AllCollegeMoney, MATCH(N516,AllCollegeNCES,0)),0)</f>
        <v>0</v>
      </c>
      <c r="BC516">
        <f>IF(AND(AT516=1,ISNUMBER(AW516),BB516=1),$AW516,1)</f>
        <v>0</v>
      </c>
      <c r="BD516">
        <f>IF(AND(AU516=1,ISNUMBER(AW516),BB516=1),$AW516,1)</f>
        <v>0</v>
      </c>
      <c r="BE516">
        <f>IF(ISNUMBER(AB516),INDEX(AllCollegeILPub, MATCH(N516,AllCollegeNCES,0)),0)</f>
        <v>0</v>
      </c>
      <c r="BF516">
        <f>IF(AN516=ReachLabel,AS516,0)</f>
        <v>0</v>
      </c>
      <c r="BG516">
        <f>IF(AN516=MatchLabel,AS516,0)</f>
        <v>0</v>
      </c>
      <c r="BH516">
        <f>IF(AN516=SafetyLabel,AS516,0)</f>
        <v>0</v>
      </c>
      <c r="BI516">
        <f>IF(AN516=SecureLabel,AS516,0)</f>
        <v>0</v>
      </c>
      <c r="BJ516">
        <f>IF(AN516=SureThingLabel,AS516,0)</f>
        <v>0</v>
      </c>
      <c r="BK516">
        <f>MAX(BF516:BJ516)</f>
        <v>0</v>
      </c>
      <c r="BL516">
        <f>MAX(BG516:BJ516)</f>
        <v>0</v>
      </c>
      <c r="BM516">
        <f>MAX(BH516:BJ516)</f>
        <v>0</v>
      </c>
      <c r="BN516">
        <f>IF(AND(AN516=ReachLabel,BB516=1),AS516,0)</f>
        <v>0</v>
      </c>
      <c r="BO516">
        <f>IF(AND(AN516=MatchLabel,BB516=1),AS516,0)</f>
        <v>0</v>
      </c>
      <c r="BP516">
        <f>IF(AND(AN516=SafetyLabel,BB516=1),AS516,0)</f>
        <v>0</v>
      </c>
      <c r="BQ516">
        <f>IF(AND(AN516=SecureLabel,BB516=1),AS516,0)</f>
        <v>0</v>
      </c>
      <c r="BR516">
        <f>IF(AND(AN516=SureThingLabel,BB516=1),AS516,0)</f>
        <v>0</v>
      </c>
      <c r="BS516">
        <f>MAX(BN516:BR516)</f>
        <v>0</v>
      </c>
      <c r="BT516">
        <f>MAX(BO516:BR516)</f>
        <v>0</v>
      </c>
      <c r="BU516">
        <f>MAX(BP516:BR516)</f>
        <v>0</v>
      </c>
      <c r="BV516">
        <f>IF(ISNUMBER(AB516),INDEX(AllCollegeChicago, MATCH(N516,AllCollegeNCES,0))*BB516,0)</f>
        <v>0</v>
      </c>
      <c r="BW516">
        <f>IF(ISNUMBER(AB516),INDEX(AllCollegeMoneyCode, MATCH(N516,AllCollegeNCES,0)),"?")</f>
        <v>0</v>
      </c>
      <c r="BX516">
        <f>IF(OR(BW516="---",BW516="--",BW516="+/--",BW516="+/---"),1,0)</f>
        <v>0</v>
      </c>
      <c r="BY516">
        <f>BB516*AR516*AT516</f>
        <v>0</v>
      </c>
    </row>
    <row r="517" spans="1:77">
      <c r="A517" t="s">
        <v>96</v>
      </c>
      <c r="B517">
        <v>23476024</v>
      </c>
      <c r="C517" t="s">
        <v>243</v>
      </c>
      <c r="D517" t="s">
        <v>244</v>
      </c>
      <c r="E517" t="s">
        <v>446</v>
      </c>
      <c r="F517" t="s">
        <v>478</v>
      </c>
      <c r="G517" t="s">
        <v>479</v>
      </c>
      <c r="H517" t="s">
        <v>449</v>
      </c>
      <c r="I517" t="s">
        <v>450</v>
      </c>
      <c r="J517" t="s">
        <v>450</v>
      </c>
      <c r="K517">
        <v>0</v>
      </c>
      <c r="L517" t="s">
        <v>446</v>
      </c>
      <c r="M517" t="s">
        <v>446</v>
      </c>
      <c r="N517">
        <v>168546</v>
      </c>
      <c r="O517">
        <f>INDEX(Counselor,MATCH(B517,KidIDs,0))</f>
        <v>0</v>
      </c>
      <c r="P517">
        <f>INDEX(Advisors,MATCH(B517,KidIDs,0))</f>
        <v>0</v>
      </c>
      <c r="Q517">
        <f>INDEX(Cohort,MATCH(B517,KidIDs,0))</f>
        <v>0</v>
      </c>
      <c r="R517">
        <f>INDEX(AllCollegeBarrons,MATCH(N517,AllCollegeNCES,0))</f>
        <v>0</v>
      </c>
      <c r="S517">
        <f>INDEX(KidGPAs,MATCH(B517,KidIDs,0))</f>
        <v>0</v>
      </c>
      <c r="T517">
        <f>INDEX(KidSATs,MATCH(B517,KidIDs,0))</f>
        <v>0</v>
      </c>
      <c r="U517">
        <f>INDEX(Strats,MATCH(B517,KidIDs,0))</f>
        <v>0</v>
      </c>
      <c r="V517">
        <f>INDEX(KidRace,MATCH(B517,KidIDs,0))</f>
        <v>0</v>
      </c>
      <c r="W517">
        <f>IF(OR(V517="M",V517="I"),"H",IF(V517="P","A",V517))</f>
        <v>0</v>
      </c>
      <c r="X517">
        <f>INDEX(StudentTargets,MATCH(B517,KidIDs,0))</f>
        <v>0</v>
      </c>
      <c r="Y517">
        <f>INDEX(ReachStudentTargets,MATCH(B517,KidIDs,0))</f>
        <v>0</v>
      </c>
      <c r="Z517">
        <f>IF(OR(M517="Posse"),1,0)</f>
        <v>0</v>
      </c>
      <c r="AA517">
        <f>IF(ISNUMBER(INDEX(AllCollegeGR, MATCH(N517,AllCollegeNCES,0))),ROUND(INDEX(AllCollegeGR, MATCH(N517,AllCollegeNCES,0))+Z517*IF(INDEX(AllCollegeGR, MATCH(N517,AllCollegeNCES,0))&gt;0.7,(1-INDEX(AllCollegeGR, MATCH(N517,AllCollegeNCES,0)))/2,0.15),2),INDEX(AllCollegeGR, MATCH(N517,AllCollegeNCES,0)))</f>
        <v>0</v>
      </c>
      <c r="AB517">
        <f>IF(ISNUMBER(INDEX(AllCollegeAAHGR, MATCH(N517,AllCollegeNCES,0))),ROUND(INDEX(AllCollegeAAHGR, MATCH(N517,AllCollegeNCES,0))+Z517*IF(INDEX(AllCollegeAAHGR, MATCH(N517,AllCollegeNCES,0))&gt;0.7,(1-INDEX(AllCollegeAAHGR, MATCH(N517,AllCollegeNCES,0)))/2,0.15),2),INDEX(AllCollegeAAHGR, MATCH(N517,AllCollegeNCES,0)))</f>
        <v>0</v>
      </c>
      <c r="AC517">
        <f>IF(OR(W517="H",W517="B"),INDEX(AllCollegeSAT25, MATCH(N517,AllCollegeNCES,0)),INDEX(AllCollegeSAT50, MATCH(N517,AllCollegeNCES,0)))</f>
        <v>0</v>
      </c>
      <c r="AD517">
        <f>INDEX(CustomWeightsGPA,MATCH(W517&amp;":"&amp;N517,CustomWeightsIndex,0))</f>
        <v>0</v>
      </c>
      <c r="AE517">
        <f>INDEX(CustomWeightsSAT,MATCH(W517&amp;":"&amp;N517,CustomWeightsIndex,0))</f>
        <v>0</v>
      </c>
      <c r="AF517">
        <f>INDEX(CustomWeightsIntercept,MATCH(W517&amp;":"&amp;N517,CustomWeightsIndex,0))</f>
        <v>0</v>
      </c>
      <c r="AG517">
        <f>AD517*S517+AE517*T517+AF517</f>
        <v>0</v>
      </c>
      <c r="AH517">
        <f>INDEX(CoefficientsGPA,MATCH(W517&amp;":"&amp;R517,CoefficientsIndex,0))</f>
        <v>0</v>
      </c>
      <c r="AI517">
        <f>INDEX(CoefficientsSAT,MATCH(W517&amp;":"&amp;R517,CoefficientsIndex,0))</f>
        <v>0</v>
      </c>
      <c r="AJ517">
        <f>INDEX(CoefficientsIntercept,MATCH(W517&amp;":"&amp;R517,CoefficientsIndex,0))</f>
        <v>0</v>
      </c>
      <c r="AK517">
        <f>AH517*S517+(T517-AC517)*AI517+AJ517</f>
        <v>0</v>
      </c>
      <c r="AL517">
        <f>IF(ISNUMBER(AG517),AG517,AK517)</f>
        <v>0</v>
      </c>
      <c r="AM517">
        <f>IF(ISNUMBER(AL517),IF(ISNUMBER(AH517),IF(AND(AH517=1,AI517=1,AJ517=1),100,MIN(99,ROUND(100*EXP(AL517)/(1+EXP(AL517)),2))),MIN(99,ROUND(100*EXP(AL517)/(1+EXP(AL517)),2))),IF(ISTEXT(R517),IF(LEFT(R517,1)="2",100,"N/A"),"N/A"))</f>
        <v>0</v>
      </c>
      <c r="AN517">
        <f>IF(ISNUMBER(AM517),IF(AM517&gt;=99,IF(OR(U517=10,U517=11),MatchLabel,SureThingLabel),IF(AM517&gt;=95,SecureLabel,IF(AM517&gt;=80,SafetyLabel,IF(AM517&gt;=50,MatchLabel,IF(AM517&gt;=20,ReachLabel,IF(AM517&gt;=10,LongshotLabel,HailMaryLabel)))))),"Other")</f>
        <v>0</v>
      </c>
      <c r="AO517">
        <f>IF(OR(I517="accepted",I517="cond. accept",I517="summer admit"),IF(J517="yes","CHOICE!","Accepted!"),IF(I517="guar. transfer","Guar. Xfer",IF(I517="denied","Denied",IF(K517=1,"Waitlist",IF(L517=1,"Deferred",IF(G517="pending","Pending",IF(OR(G517="initial materials submitted",G517="mid-year submitted",G517="final submitted"),"Submitted",IF(H517="interest","Interest","?"))))))))</f>
        <v>0</v>
      </c>
      <c r="AP517">
        <f>IF(OR(AN517=ReachLabel,AN517=LongshotLabel,AN517=HailMaryLabel),1,0)</f>
        <v>0</v>
      </c>
      <c r="AQ517">
        <f>IF(OR(AP517=1,AN517=MatchLabel),1,0)</f>
        <v>0</v>
      </c>
      <c r="AR517">
        <f>IF(OR(AN517=MatchLabel,AN517=SafetyLabel,AN517=SecureLabel,AN517=SureThingLabel),1,0)</f>
        <v>0</v>
      </c>
      <c r="AS517">
        <f>IF(OR(W517="H",W517="B",W517="I",W517="M"),IF(ISNUMBER(AB517),ROUND(AB517,2),0),IF(ISNUMBER(AA517),ROUND(AA517,2),0))</f>
        <v>0</v>
      </c>
      <c r="AT517">
        <f>IF(AS517&gt;=X517,1,0)</f>
        <v>0</v>
      </c>
      <c r="AU517">
        <f>IF(AS517&gt;=Y517,1,0)</f>
        <v>0</v>
      </c>
      <c r="AV517">
        <f>IF(AS517&lt;(X517-0.10),1,0)</f>
        <v>0</v>
      </c>
      <c r="AW517">
        <f>1-AM517/100</f>
        <v>0</v>
      </c>
      <c r="AX517">
        <f>IF(AQ517=1,AW517,1)</f>
        <v>0</v>
      </c>
      <c r="AY517">
        <f>IF(AP517=1,AW517,1)</f>
        <v>0</v>
      </c>
      <c r="AZ517">
        <f>IF(AND(AT517=1,ISNUMBER(AW517)),$AW517,1)</f>
        <v>0</v>
      </c>
      <c r="BA517">
        <f>IF(AND(AU517=1,ISNUMBER(AW517)),$AW517,1)</f>
        <v>0</v>
      </c>
      <c r="BB517">
        <f>IF(ISNUMBER(AB517),INDEX(AllCollegeMoney, MATCH(N517,AllCollegeNCES,0)),0)</f>
        <v>0</v>
      </c>
      <c r="BC517">
        <f>IF(AND(AT517=1,ISNUMBER(AW517),BB517=1),$AW517,1)</f>
        <v>0</v>
      </c>
      <c r="BD517">
        <f>IF(AND(AU517=1,ISNUMBER(AW517),BB517=1),$AW517,1)</f>
        <v>0</v>
      </c>
      <c r="BE517">
        <f>IF(ISNUMBER(AB517),INDEX(AllCollegeILPub, MATCH(N517,AllCollegeNCES,0)),0)</f>
        <v>0</v>
      </c>
      <c r="BF517">
        <f>IF(AN517=ReachLabel,AS517,0)</f>
        <v>0</v>
      </c>
      <c r="BG517">
        <f>IF(AN517=MatchLabel,AS517,0)</f>
        <v>0</v>
      </c>
      <c r="BH517">
        <f>IF(AN517=SafetyLabel,AS517,0)</f>
        <v>0</v>
      </c>
      <c r="BI517">
        <f>IF(AN517=SecureLabel,AS517,0)</f>
        <v>0</v>
      </c>
      <c r="BJ517">
        <f>IF(AN517=SureThingLabel,AS517,0)</f>
        <v>0</v>
      </c>
      <c r="BK517">
        <f>MAX(BF517:BJ517)</f>
        <v>0</v>
      </c>
      <c r="BL517">
        <f>MAX(BG517:BJ517)</f>
        <v>0</v>
      </c>
      <c r="BM517">
        <f>MAX(BH517:BJ517)</f>
        <v>0</v>
      </c>
      <c r="BN517">
        <f>IF(AND(AN517=ReachLabel,BB517=1),AS517,0)</f>
        <v>0</v>
      </c>
      <c r="BO517">
        <f>IF(AND(AN517=MatchLabel,BB517=1),AS517,0)</f>
        <v>0</v>
      </c>
      <c r="BP517">
        <f>IF(AND(AN517=SafetyLabel,BB517=1),AS517,0)</f>
        <v>0</v>
      </c>
      <c r="BQ517">
        <f>IF(AND(AN517=SecureLabel,BB517=1),AS517,0)</f>
        <v>0</v>
      </c>
      <c r="BR517">
        <f>IF(AND(AN517=SureThingLabel,BB517=1),AS517,0)</f>
        <v>0</v>
      </c>
      <c r="BS517">
        <f>MAX(BN517:BR517)</f>
        <v>0</v>
      </c>
      <c r="BT517">
        <f>MAX(BO517:BR517)</f>
        <v>0</v>
      </c>
      <c r="BU517">
        <f>MAX(BP517:BR517)</f>
        <v>0</v>
      </c>
      <c r="BV517">
        <f>IF(ISNUMBER(AB517),INDEX(AllCollegeChicago, MATCH(N517,AllCollegeNCES,0))*BB517,0)</f>
        <v>0</v>
      </c>
      <c r="BW517">
        <f>IF(ISNUMBER(AB517),INDEX(AllCollegeMoneyCode, MATCH(N517,AllCollegeNCES,0)),"?")</f>
        <v>0</v>
      </c>
      <c r="BX517">
        <f>IF(OR(BW517="---",BW517="--",BW517="+/--",BW517="+/---"),1,0)</f>
        <v>0</v>
      </c>
      <c r="BY517">
        <f>BB517*AR517*AT517</f>
        <v>0</v>
      </c>
    </row>
    <row r="518" spans="1:77">
      <c r="A518" t="s">
        <v>96</v>
      </c>
      <c r="B518">
        <v>23476024</v>
      </c>
      <c r="C518" t="s">
        <v>243</v>
      </c>
      <c r="D518" t="s">
        <v>244</v>
      </c>
      <c r="E518" t="s">
        <v>446</v>
      </c>
      <c r="F518" t="s">
        <v>502</v>
      </c>
      <c r="G518" t="s">
        <v>448</v>
      </c>
      <c r="H518" t="s">
        <v>449</v>
      </c>
      <c r="I518" t="s">
        <v>450</v>
      </c>
      <c r="J518" t="s">
        <v>450</v>
      </c>
      <c r="K518">
        <v>0</v>
      </c>
      <c r="L518" t="s">
        <v>446</v>
      </c>
      <c r="M518" t="s">
        <v>446</v>
      </c>
      <c r="N518">
        <v>170082</v>
      </c>
      <c r="O518">
        <f>INDEX(Counselor,MATCH(B518,KidIDs,0))</f>
        <v>0</v>
      </c>
      <c r="P518">
        <f>INDEX(Advisors,MATCH(B518,KidIDs,0))</f>
        <v>0</v>
      </c>
      <c r="Q518">
        <f>INDEX(Cohort,MATCH(B518,KidIDs,0))</f>
        <v>0</v>
      </c>
      <c r="R518">
        <f>INDEX(AllCollegeBarrons,MATCH(N518,AllCollegeNCES,0))</f>
        <v>0</v>
      </c>
      <c r="S518">
        <f>INDEX(KidGPAs,MATCH(B518,KidIDs,0))</f>
        <v>0</v>
      </c>
      <c r="T518">
        <f>INDEX(KidSATs,MATCH(B518,KidIDs,0))</f>
        <v>0</v>
      </c>
      <c r="U518">
        <f>INDEX(Strats,MATCH(B518,KidIDs,0))</f>
        <v>0</v>
      </c>
      <c r="V518">
        <f>INDEX(KidRace,MATCH(B518,KidIDs,0))</f>
        <v>0</v>
      </c>
      <c r="W518">
        <f>IF(OR(V518="M",V518="I"),"H",IF(V518="P","A",V518))</f>
        <v>0</v>
      </c>
      <c r="X518">
        <f>INDEX(StudentTargets,MATCH(B518,KidIDs,0))</f>
        <v>0</v>
      </c>
      <c r="Y518">
        <f>INDEX(ReachStudentTargets,MATCH(B518,KidIDs,0))</f>
        <v>0</v>
      </c>
      <c r="Z518">
        <f>IF(OR(M518="Posse"),1,0)</f>
        <v>0</v>
      </c>
      <c r="AA518">
        <f>IF(ISNUMBER(INDEX(AllCollegeGR, MATCH(N518,AllCollegeNCES,0))),ROUND(INDEX(AllCollegeGR, MATCH(N518,AllCollegeNCES,0))+Z518*IF(INDEX(AllCollegeGR, MATCH(N518,AllCollegeNCES,0))&gt;0.7,(1-INDEX(AllCollegeGR, MATCH(N518,AllCollegeNCES,0)))/2,0.15),2),INDEX(AllCollegeGR, MATCH(N518,AllCollegeNCES,0)))</f>
        <v>0</v>
      </c>
      <c r="AB518">
        <f>IF(ISNUMBER(INDEX(AllCollegeAAHGR, MATCH(N518,AllCollegeNCES,0))),ROUND(INDEX(AllCollegeAAHGR, MATCH(N518,AllCollegeNCES,0))+Z518*IF(INDEX(AllCollegeAAHGR, MATCH(N518,AllCollegeNCES,0))&gt;0.7,(1-INDEX(AllCollegeAAHGR, MATCH(N518,AllCollegeNCES,0)))/2,0.15),2),INDEX(AllCollegeAAHGR, MATCH(N518,AllCollegeNCES,0)))</f>
        <v>0</v>
      </c>
      <c r="AC518">
        <f>IF(OR(W518="H",W518="B"),INDEX(AllCollegeSAT25, MATCH(N518,AllCollegeNCES,0)),INDEX(AllCollegeSAT50, MATCH(N518,AllCollegeNCES,0)))</f>
        <v>0</v>
      </c>
      <c r="AD518">
        <f>INDEX(CustomWeightsGPA,MATCH(W518&amp;":"&amp;N518,CustomWeightsIndex,0))</f>
        <v>0</v>
      </c>
      <c r="AE518">
        <f>INDEX(CustomWeightsSAT,MATCH(W518&amp;":"&amp;N518,CustomWeightsIndex,0))</f>
        <v>0</v>
      </c>
      <c r="AF518">
        <f>INDEX(CustomWeightsIntercept,MATCH(W518&amp;":"&amp;N518,CustomWeightsIndex,0))</f>
        <v>0</v>
      </c>
      <c r="AG518">
        <f>AD518*S518+AE518*T518+AF518</f>
        <v>0</v>
      </c>
      <c r="AH518">
        <f>INDEX(CoefficientsGPA,MATCH(W518&amp;":"&amp;R518,CoefficientsIndex,0))</f>
        <v>0</v>
      </c>
      <c r="AI518">
        <f>INDEX(CoefficientsSAT,MATCH(W518&amp;":"&amp;R518,CoefficientsIndex,0))</f>
        <v>0</v>
      </c>
      <c r="AJ518">
        <f>INDEX(CoefficientsIntercept,MATCH(W518&amp;":"&amp;R518,CoefficientsIndex,0))</f>
        <v>0</v>
      </c>
      <c r="AK518">
        <f>AH518*S518+(T518-AC518)*AI518+AJ518</f>
        <v>0</v>
      </c>
      <c r="AL518">
        <f>IF(ISNUMBER(AG518),AG518,AK518)</f>
        <v>0</v>
      </c>
      <c r="AM518">
        <f>IF(ISNUMBER(AL518),IF(ISNUMBER(AH518),IF(AND(AH518=1,AI518=1,AJ518=1),100,MIN(99,ROUND(100*EXP(AL518)/(1+EXP(AL518)),2))),MIN(99,ROUND(100*EXP(AL518)/(1+EXP(AL518)),2))),IF(ISTEXT(R518),IF(LEFT(R518,1)="2",100,"N/A"),"N/A"))</f>
        <v>0</v>
      </c>
      <c r="AN518">
        <f>IF(ISNUMBER(AM518),IF(AM518&gt;=99,IF(OR(U518=10,U518=11),MatchLabel,SureThingLabel),IF(AM518&gt;=95,SecureLabel,IF(AM518&gt;=80,SafetyLabel,IF(AM518&gt;=50,MatchLabel,IF(AM518&gt;=20,ReachLabel,IF(AM518&gt;=10,LongshotLabel,HailMaryLabel)))))),"Other")</f>
        <v>0</v>
      </c>
      <c r="AO518">
        <f>IF(OR(I518="accepted",I518="cond. accept",I518="summer admit"),IF(J518="yes","CHOICE!","Accepted!"),IF(I518="guar. transfer","Guar. Xfer",IF(I518="denied","Denied",IF(K518=1,"Waitlist",IF(L518=1,"Deferred",IF(G518="pending","Pending",IF(OR(G518="initial materials submitted",G518="mid-year submitted",G518="final submitted"),"Submitted",IF(H518="interest","Interest","?"))))))))</f>
        <v>0</v>
      </c>
      <c r="AP518">
        <f>IF(OR(AN518=ReachLabel,AN518=LongshotLabel,AN518=HailMaryLabel),1,0)</f>
        <v>0</v>
      </c>
      <c r="AQ518">
        <f>IF(OR(AP518=1,AN518=MatchLabel),1,0)</f>
        <v>0</v>
      </c>
      <c r="AR518">
        <f>IF(OR(AN518=MatchLabel,AN518=SafetyLabel,AN518=SecureLabel,AN518=SureThingLabel),1,0)</f>
        <v>0</v>
      </c>
      <c r="AS518">
        <f>IF(OR(W518="H",W518="B",W518="I",W518="M"),IF(ISNUMBER(AB518),ROUND(AB518,2),0),IF(ISNUMBER(AA518),ROUND(AA518,2),0))</f>
        <v>0</v>
      </c>
      <c r="AT518">
        <f>IF(AS518&gt;=X518,1,0)</f>
        <v>0</v>
      </c>
      <c r="AU518">
        <f>IF(AS518&gt;=Y518,1,0)</f>
        <v>0</v>
      </c>
      <c r="AV518">
        <f>IF(AS518&lt;(X518-0.10),1,0)</f>
        <v>0</v>
      </c>
      <c r="AW518">
        <f>1-AM518/100</f>
        <v>0</v>
      </c>
      <c r="AX518">
        <f>IF(AQ518=1,AW518,1)</f>
        <v>0</v>
      </c>
      <c r="AY518">
        <f>IF(AP518=1,AW518,1)</f>
        <v>0</v>
      </c>
      <c r="AZ518">
        <f>IF(AND(AT518=1,ISNUMBER(AW518)),$AW518,1)</f>
        <v>0</v>
      </c>
      <c r="BA518">
        <f>IF(AND(AU518=1,ISNUMBER(AW518)),$AW518,1)</f>
        <v>0</v>
      </c>
      <c r="BB518">
        <f>IF(ISNUMBER(AB518),INDEX(AllCollegeMoney, MATCH(N518,AllCollegeNCES,0)),0)</f>
        <v>0</v>
      </c>
      <c r="BC518">
        <f>IF(AND(AT518=1,ISNUMBER(AW518),BB518=1),$AW518,1)</f>
        <v>0</v>
      </c>
      <c r="BD518">
        <f>IF(AND(AU518=1,ISNUMBER(AW518),BB518=1),$AW518,1)</f>
        <v>0</v>
      </c>
      <c r="BE518">
        <f>IF(ISNUMBER(AB518),INDEX(AllCollegeILPub, MATCH(N518,AllCollegeNCES,0)),0)</f>
        <v>0</v>
      </c>
      <c r="BF518">
        <f>IF(AN518=ReachLabel,AS518,0)</f>
        <v>0</v>
      </c>
      <c r="BG518">
        <f>IF(AN518=MatchLabel,AS518,0)</f>
        <v>0</v>
      </c>
      <c r="BH518">
        <f>IF(AN518=SafetyLabel,AS518,0)</f>
        <v>0</v>
      </c>
      <c r="BI518">
        <f>IF(AN518=SecureLabel,AS518,0)</f>
        <v>0</v>
      </c>
      <c r="BJ518">
        <f>IF(AN518=SureThingLabel,AS518,0)</f>
        <v>0</v>
      </c>
      <c r="BK518">
        <f>MAX(BF518:BJ518)</f>
        <v>0</v>
      </c>
      <c r="BL518">
        <f>MAX(BG518:BJ518)</f>
        <v>0</v>
      </c>
      <c r="BM518">
        <f>MAX(BH518:BJ518)</f>
        <v>0</v>
      </c>
      <c r="BN518">
        <f>IF(AND(AN518=ReachLabel,BB518=1),AS518,0)</f>
        <v>0</v>
      </c>
      <c r="BO518">
        <f>IF(AND(AN518=MatchLabel,BB518=1),AS518,0)</f>
        <v>0</v>
      </c>
      <c r="BP518">
        <f>IF(AND(AN518=SafetyLabel,BB518=1),AS518,0)</f>
        <v>0</v>
      </c>
      <c r="BQ518">
        <f>IF(AND(AN518=SecureLabel,BB518=1),AS518,0)</f>
        <v>0</v>
      </c>
      <c r="BR518">
        <f>IF(AND(AN518=SureThingLabel,BB518=1),AS518,0)</f>
        <v>0</v>
      </c>
      <c r="BS518">
        <f>MAX(BN518:BR518)</f>
        <v>0</v>
      </c>
      <c r="BT518">
        <f>MAX(BO518:BR518)</f>
        <v>0</v>
      </c>
      <c r="BU518">
        <f>MAX(BP518:BR518)</f>
        <v>0</v>
      </c>
      <c r="BV518">
        <f>IF(ISNUMBER(AB518),INDEX(AllCollegeChicago, MATCH(N518,AllCollegeNCES,0))*BB518,0)</f>
        <v>0</v>
      </c>
      <c r="BW518">
        <f>IF(ISNUMBER(AB518),INDEX(AllCollegeMoneyCode, MATCH(N518,AllCollegeNCES,0)),"?")</f>
        <v>0</v>
      </c>
      <c r="BX518">
        <f>IF(OR(BW518="---",BW518="--",BW518="+/--",BW518="+/---"),1,0)</f>
        <v>0</v>
      </c>
      <c r="BY518">
        <f>BB518*AR518*AT518</f>
        <v>0</v>
      </c>
    </row>
    <row r="519" spans="1:77">
      <c r="A519" t="s">
        <v>96</v>
      </c>
      <c r="B519">
        <v>23476024</v>
      </c>
      <c r="C519" t="s">
        <v>243</v>
      </c>
      <c r="D519" t="s">
        <v>244</v>
      </c>
      <c r="E519" t="s">
        <v>446</v>
      </c>
      <c r="F519" t="s">
        <v>465</v>
      </c>
      <c r="G519" t="s">
        <v>448</v>
      </c>
      <c r="H519" t="s">
        <v>449</v>
      </c>
      <c r="I519" t="s">
        <v>450</v>
      </c>
      <c r="J519" t="s">
        <v>450</v>
      </c>
      <c r="K519">
        <v>0</v>
      </c>
      <c r="L519" t="s">
        <v>446</v>
      </c>
      <c r="M519" t="s">
        <v>446</v>
      </c>
      <c r="N519">
        <v>145600</v>
      </c>
      <c r="O519">
        <f>INDEX(Counselor,MATCH(B519,KidIDs,0))</f>
        <v>0</v>
      </c>
      <c r="P519">
        <f>INDEX(Advisors,MATCH(B519,KidIDs,0))</f>
        <v>0</v>
      </c>
      <c r="Q519">
        <f>INDEX(Cohort,MATCH(B519,KidIDs,0))</f>
        <v>0</v>
      </c>
      <c r="R519">
        <f>INDEX(AllCollegeBarrons,MATCH(N519,AllCollegeNCES,0))</f>
        <v>0</v>
      </c>
      <c r="S519">
        <f>INDEX(KidGPAs,MATCH(B519,KidIDs,0))</f>
        <v>0</v>
      </c>
      <c r="T519">
        <f>INDEX(KidSATs,MATCH(B519,KidIDs,0))</f>
        <v>0</v>
      </c>
      <c r="U519">
        <f>INDEX(Strats,MATCH(B519,KidIDs,0))</f>
        <v>0</v>
      </c>
      <c r="V519">
        <f>INDEX(KidRace,MATCH(B519,KidIDs,0))</f>
        <v>0</v>
      </c>
      <c r="W519">
        <f>IF(OR(V519="M",V519="I"),"H",IF(V519="P","A",V519))</f>
        <v>0</v>
      </c>
      <c r="X519">
        <f>INDEX(StudentTargets,MATCH(B519,KidIDs,0))</f>
        <v>0</v>
      </c>
      <c r="Y519">
        <f>INDEX(ReachStudentTargets,MATCH(B519,KidIDs,0))</f>
        <v>0</v>
      </c>
      <c r="Z519">
        <f>IF(OR(M519="Posse"),1,0)</f>
        <v>0</v>
      </c>
      <c r="AA519">
        <f>IF(ISNUMBER(INDEX(AllCollegeGR, MATCH(N519,AllCollegeNCES,0))),ROUND(INDEX(AllCollegeGR, MATCH(N519,AllCollegeNCES,0))+Z519*IF(INDEX(AllCollegeGR, MATCH(N519,AllCollegeNCES,0))&gt;0.7,(1-INDEX(AllCollegeGR, MATCH(N519,AllCollegeNCES,0)))/2,0.15),2),INDEX(AllCollegeGR, MATCH(N519,AllCollegeNCES,0)))</f>
        <v>0</v>
      </c>
      <c r="AB519">
        <f>IF(ISNUMBER(INDEX(AllCollegeAAHGR, MATCH(N519,AllCollegeNCES,0))),ROUND(INDEX(AllCollegeAAHGR, MATCH(N519,AllCollegeNCES,0))+Z519*IF(INDEX(AllCollegeAAHGR, MATCH(N519,AllCollegeNCES,0))&gt;0.7,(1-INDEX(AllCollegeAAHGR, MATCH(N519,AllCollegeNCES,0)))/2,0.15),2),INDEX(AllCollegeAAHGR, MATCH(N519,AllCollegeNCES,0)))</f>
        <v>0</v>
      </c>
      <c r="AC519">
        <f>IF(OR(W519="H",W519="B"),INDEX(AllCollegeSAT25, MATCH(N519,AllCollegeNCES,0)),INDEX(AllCollegeSAT50, MATCH(N519,AllCollegeNCES,0)))</f>
        <v>0</v>
      </c>
      <c r="AD519">
        <f>INDEX(CustomWeightsGPA,MATCH(W519&amp;":"&amp;N519,CustomWeightsIndex,0))</f>
        <v>0</v>
      </c>
      <c r="AE519">
        <f>INDEX(CustomWeightsSAT,MATCH(W519&amp;":"&amp;N519,CustomWeightsIndex,0))</f>
        <v>0</v>
      </c>
      <c r="AF519">
        <f>INDEX(CustomWeightsIntercept,MATCH(W519&amp;":"&amp;N519,CustomWeightsIndex,0))</f>
        <v>0</v>
      </c>
      <c r="AG519">
        <f>AD519*S519+AE519*T519+AF519</f>
        <v>0</v>
      </c>
      <c r="AH519">
        <f>INDEX(CoefficientsGPA,MATCH(W519&amp;":"&amp;R519,CoefficientsIndex,0))</f>
        <v>0</v>
      </c>
      <c r="AI519">
        <f>INDEX(CoefficientsSAT,MATCH(W519&amp;":"&amp;R519,CoefficientsIndex,0))</f>
        <v>0</v>
      </c>
      <c r="AJ519">
        <f>INDEX(CoefficientsIntercept,MATCH(W519&amp;":"&amp;R519,CoefficientsIndex,0))</f>
        <v>0</v>
      </c>
      <c r="AK519">
        <f>AH519*S519+(T519-AC519)*AI519+AJ519</f>
        <v>0</v>
      </c>
      <c r="AL519">
        <f>IF(ISNUMBER(AG519),AG519,AK519)</f>
        <v>0</v>
      </c>
      <c r="AM519">
        <f>IF(ISNUMBER(AL519),IF(ISNUMBER(AH519),IF(AND(AH519=1,AI519=1,AJ519=1),100,MIN(99,ROUND(100*EXP(AL519)/(1+EXP(AL519)),2))),MIN(99,ROUND(100*EXP(AL519)/(1+EXP(AL519)),2))),IF(ISTEXT(R519),IF(LEFT(R519,1)="2",100,"N/A"),"N/A"))</f>
        <v>0</v>
      </c>
      <c r="AN519">
        <f>IF(ISNUMBER(AM519),IF(AM519&gt;=99,IF(OR(U519=10,U519=11),MatchLabel,SureThingLabel),IF(AM519&gt;=95,SecureLabel,IF(AM519&gt;=80,SafetyLabel,IF(AM519&gt;=50,MatchLabel,IF(AM519&gt;=20,ReachLabel,IF(AM519&gt;=10,LongshotLabel,HailMaryLabel)))))),"Other")</f>
        <v>0</v>
      </c>
      <c r="AO519">
        <f>IF(OR(I519="accepted",I519="cond. accept",I519="summer admit"),IF(J519="yes","CHOICE!","Accepted!"),IF(I519="guar. transfer","Guar. Xfer",IF(I519="denied","Denied",IF(K519=1,"Waitlist",IF(L519=1,"Deferred",IF(G519="pending","Pending",IF(OR(G519="initial materials submitted",G519="mid-year submitted",G519="final submitted"),"Submitted",IF(H519="interest","Interest","?"))))))))</f>
        <v>0</v>
      </c>
      <c r="AP519">
        <f>IF(OR(AN519=ReachLabel,AN519=LongshotLabel,AN519=HailMaryLabel),1,0)</f>
        <v>0</v>
      </c>
      <c r="AQ519">
        <f>IF(OR(AP519=1,AN519=MatchLabel),1,0)</f>
        <v>0</v>
      </c>
      <c r="AR519">
        <f>IF(OR(AN519=MatchLabel,AN519=SafetyLabel,AN519=SecureLabel,AN519=SureThingLabel),1,0)</f>
        <v>0</v>
      </c>
      <c r="AS519">
        <f>IF(OR(W519="H",W519="B",W519="I",W519="M"),IF(ISNUMBER(AB519),ROUND(AB519,2),0),IF(ISNUMBER(AA519),ROUND(AA519,2),0))</f>
        <v>0</v>
      </c>
      <c r="AT519">
        <f>IF(AS519&gt;=X519,1,0)</f>
        <v>0</v>
      </c>
      <c r="AU519">
        <f>IF(AS519&gt;=Y519,1,0)</f>
        <v>0</v>
      </c>
      <c r="AV519">
        <f>IF(AS519&lt;(X519-0.10),1,0)</f>
        <v>0</v>
      </c>
      <c r="AW519">
        <f>1-AM519/100</f>
        <v>0</v>
      </c>
      <c r="AX519">
        <f>IF(AQ519=1,AW519,1)</f>
        <v>0</v>
      </c>
      <c r="AY519">
        <f>IF(AP519=1,AW519,1)</f>
        <v>0</v>
      </c>
      <c r="AZ519">
        <f>IF(AND(AT519=1,ISNUMBER(AW519)),$AW519,1)</f>
        <v>0</v>
      </c>
      <c r="BA519">
        <f>IF(AND(AU519=1,ISNUMBER(AW519)),$AW519,1)</f>
        <v>0</v>
      </c>
      <c r="BB519">
        <f>IF(ISNUMBER(AB519),INDEX(AllCollegeMoney, MATCH(N519,AllCollegeNCES,0)),0)</f>
        <v>0</v>
      </c>
      <c r="BC519">
        <f>IF(AND(AT519=1,ISNUMBER(AW519),BB519=1),$AW519,1)</f>
        <v>0</v>
      </c>
      <c r="BD519">
        <f>IF(AND(AU519=1,ISNUMBER(AW519),BB519=1),$AW519,1)</f>
        <v>0</v>
      </c>
      <c r="BE519">
        <f>IF(ISNUMBER(AB519),INDEX(AllCollegeILPub, MATCH(N519,AllCollegeNCES,0)),0)</f>
        <v>0</v>
      </c>
      <c r="BF519">
        <f>IF(AN519=ReachLabel,AS519,0)</f>
        <v>0</v>
      </c>
      <c r="BG519">
        <f>IF(AN519=MatchLabel,AS519,0)</f>
        <v>0</v>
      </c>
      <c r="BH519">
        <f>IF(AN519=SafetyLabel,AS519,0)</f>
        <v>0</v>
      </c>
      <c r="BI519">
        <f>IF(AN519=SecureLabel,AS519,0)</f>
        <v>0</v>
      </c>
      <c r="BJ519">
        <f>IF(AN519=SureThingLabel,AS519,0)</f>
        <v>0</v>
      </c>
      <c r="BK519">
        <f>MAX(BF519:BJ519)</f>
        <v>0</v>
      </c>
      <c r="BL519">
        <f>MAX(BG519:BJ519)</f>
        <v>0</v>
      </c>
      <c r="BM519">
        <f>MAX(BH519:BJ519)</f>
        <v>0</v>
      </c>
      <c r="BN519">
        <f>IF(AND(AN519=ReachLabel,BB519=1),AS519,0)</f>
        <v>0</v>
      </c>
      <c r="BO519">
        <f>IF(AND(AN519=MatchLabel,BB519=1),AS519,0)</f>
        <v>0</v>
      </c>
      <c r="BP519">
        <f>IF(AND(AN519=SafetyLabel,BB519=1),AS519,0)</f>
        <v>0</v>
      </c>
      <c r="BQ519">
        <f>IF(AND(AN519=SecureLabel,BB519=1),AS519,0)</f>
        <v>0</v>
      </c>
      <c r="BR519">
        <f>IF(AND(AN519=SureThingLabel,BB519=1),AS519,0)</f>
        <v>0</v>
      </c>
      <c r="BS519">
        <f>MAX(BN519:BR519)</f>
        <v>0</v>
      </c>
      <c r="BT519">
        <f>MAX(BO519:BR519)</f>
        <v>0</v>
      </c>
      <c r="BU519">
        <f>MAX(BP519:BR519)</f>
        <v>0</v>
      </c>
      <c r="BV519">
        <f>IF(ISNUMBER(AB519),INDEX(AllCollegeChicago, MATCH(N519,AllCollegeNCES,0))*BB519,0)</f>
        <v>0</v>
      </c>
      <c r="BW519">
        <f>IF(ISNUMBER(AB519),INDEX(AllCollegeMoneyCode, MATCH(N519,AllCollegeNCES,0)),"?")</f>
        <v>0</v>
      </c>
      <c r="BX519">
        <f>IF(OR(BW519="---",BW519="--",BW519="+/--",BW519="+/---"),1,0)</f>
        <v>0</v>
      </c>
      <c r="BY519">
        <f>BB519*AR519*AT519</f>
        <v>0</v>
      </c>
    </row>
    <row r="520" spans="1:77">
      <c r="A520" t="s">
        <v>96</v>
      </c>
      <c r="B520">
        <v>23476024</v>
      </c>
      <c r="C520" t="s">
        <v>243</v>
      </c>
      <c r="D520" t="s">
        <v>244</v>
      </c>
      <c r="E520" t="s">
        <v>446</v>
      </c>
      <c r="F520" t="s">
        <v>519</v>
      </c>
      <c r="G520" t="s">
        <v>448</v>
      </c>
      <c r="H520" t="s">
        <v>449</v>
      </c>
      <c r="I520" t="s">
        <v>450</v>
      </c>
      <c r="J520" t="s">
        <v>450</v>
      </c>
      <c r="K520">
        <v>0</v>
      </c>
      <c r="L520" t="s">
        <v>446</v>
      </c>
      <c r="M520" t="s">
        <v>446</v>
      </c>
      <c r="N520">
        <v>145813</v>
      </c>
      <c r="O520">
        <f>INDEX(Counselor,MATCH(B520,KidIDs,0))</f>
        <v>0</v>
      </c>
      <c r="P520">
        <f>INDEX(Advisors,MATCH(B520,KidIDs,0))</f>
        <v>0</v>
      </c>
      <c r="Q520">
        <f>INDEX(Cohort,MATCH(B520,KidIDs,0))</f>
        <v>0</v>
      </c>
      <c r="R520">
        <f>INDEX(AllCollegeBarrons,MATCH(N520,AllCollegeNCES,0))</f>
        <v>0</v>
      </c>
      <c r="S520">
        <f>INDEX(KidGPAs,MATCH(B520,KidIDs,0))</f>
        <v>0</v>
      </c>
      <c r="T520">
        <f>INDEX(KidSATs,MATCH(B520,KidIDs,0))</f>
        <v>0</v>
      </c>
      <c r="U520">
        <f>INDEX(Strats,MATCH(B520,KidIDs,0))</f>
        <v>0</v>
      </c>
      <c r="V520">
        <f>INDEX(KidRace,MATCH(B520,KidIDs,0))</f>
        <v>0</v>
      </c>
      <c r="W520">
        <f>IF(OR(V520="M",V520="I"),"H",IF(V520="P","A",V520))</f>
        <v>0</v>
      </c>
      <c r="X520">
        <f>INDEX(StudentTargets,MATCH(B520,KidIDs,0))</f>
        <v>0</v>
      </c>
      <c r="Y520">
        <f>INDEX(ReachStudentTargets,MATCH(B520,KidIDs,0))</f>
        <v>0</v>
      </c>
      <c r="Z520">
        <f>IF(OR(M520="Posse"),1,0)</f>
        <v>0</v>
      </c>
      <c r="AA520">
        <f>IF(ISNUMBER(INDEX(AllCollegeGR, MATCH(N520,AllCollegeNCES,0))),ROUND(INDEX(AllCollegeGR, MATCH(N520,AllCollegeNCES,0))+Z520*IF(INDEX(AllCollegeGR, MATCH(N520,AllCollegeNCES,0))&gt;0.7,(1-INDEX(AllCollegeGR, MATCH(N520,AllCollegeNCES,0)))/2,0.15),2),INDEX(AllCollegeGR, MATCH(N520,AllCollegeNCES,0)))</f>
        <v>0</v>
      </c>
      <c r="AB520">
        <f>IF(ISNUMBER(INDEX(AllCollegeAAHGR, MATCH(N520,AllCollegeNCES,0))),ROUND(INDEX(AllCollegeAAHGR, MATCH(N520,AllCollegeNCES,0))+Z520*IF(INDEX(AllCollegeAAHGR, MATCH(N520,AllCollegeNCES,0))&gt;0.7,(1-INDEX(AllCollegeAAHGR, MATCH(N520,AllCollegeNCES,0)))/2,0.15),2),INDEX(AllCollegeAAHGR, MATCH(N520,AllCollegeNCES,0)))</f>
        <v>0</v>
      </c>
      <c r="AC520">
        <f>IF(OR(W520="H",W520="B"),INDEX(AllCollegeSAT25, MATCH(N520,AllCollegeNCES,0)),INDEX(AllCollegeSAT50, MATCH(N520,AllCollegeNCES,0)))</f>
        <v>0</v>
      </c>
      <c r="AD520">
        <f>INDEX(CustomWeightsGPA,MATCH(W520&amp;":"&amp;N520,CustomWeightsIndex,0))</f>
        <v>0</v>
      </c>
      <c r="AE520">
        <f>INDEX(CustomWeightsSAT,MATCH(W520&amp;":"&amp;N520,CustomWeightsIndex,0))</f>
        <v>0</v>
      </c>
      <c r="AF520">
        <f>INDEX(CustomWeightsIntercept,MATCH(W520&amp;":"&amp;N520,CustomWeightsIndex,0))</f>
        <v>0</v>
      </c>
      <c r="AG520">
        <f>AD520*S520+AE520*T520+AF520</f>
        <v>0</v>
      </c>
      <c r="AH520">
        <f>INDEX(CoefficientsGPA,MATCH(W520&amp;":"&amp;R520,CoefficientsIndex,0))</f>
        <v>0</v>
      </c>
      <c r="AI520">
        <f>INDEX(CoefficientsSAT,MATCH(W520&amp;":"&amp;R520,CoefficientsIndex,0))</f>
        <v>0</v>
      </c>
      <c r="AJ520">
        <f>INDEX(CoefficientsIntercept,MATCH(W520&amp;":"&amp;R520,CoefficientsIndex,0))</f>
        <v>0</v>
      </c>
      <c r="AK520">
        <f>AH520*S520+(T520-AC520)*AI520+AJ520</f>
        <v>0</v>
      </c>
      <c r="AL520">
        <f>IF(ISNUMBER(AG520),AG520,AK520)</f>
        <v>0</v>
      </c>
      <c r="AM520">
        <f>IF(ISNUMBER(AL520),IF(ISNUMBER(AH520),IF(AND(AH520=1,AI520=1,AJ520=1),100,MIN(99,ROUND(100*EXP(AL520)/(1+EXP(AL520)),2))),MIN(99,ROUND(100*EXP(AL520)/(1+EXP(AL520)),2))),IF(ISTEXT(R520),IF(LEFT(R520,1)="2",100,"N/A"),"N/A"))</f>
        <v>0</v>
      </c>
      <c r="AN520">
        <f>IF(ISNUMBER(AM520),IF(AM520&gt;=99,IF(OR(U520=10,U520=11),MatchLabel,SureThingLabel),IF(AM520&gt;=95,SecureLabel,IF(AM520&gt;=80,SafetyLabel,IF(AM520&gt;=50,MatchLabel,IF(AM520&gt;=20,ReachLabel,IF(AM520&gt;=10,LongshotLabel,HailMaryLabel)))))),"Other")</f>
        <v>0</v>
      </c>
      <c r="AO520">
        <f>IF(OR(I520="accepted",I520="cond. accept",I520="summer admit"),IF(J520="yes","CHOICE!","Accepted!"),IF(I520="guar. transfer","Guar. Xfer",IF(I520="denied","Denied",IF(K520=1,"Waitlist",IF(L520=1,"Deferred",IF(G520="pending","Pending",IF(OR(G520="initial materials submitted",G520="mid-year submitted",G520="final submitted"),"Submitted",IF(H520="interest","Interest","?"))))))))</f>
        <v>0</v>
      </c>
      <c r="AP520">
        <f>IF(OR(AN520=ReachLabel,AN520=LongshotLabel,AN520=HailMaryLabel),1,0)</f>
        <v>0</v>
      </c>
      <c r="AQ520">
        <f>IF(OR(AP520=1,AN520=MatchLabel),1,0)</f>
        <v>0</v>
      </c>
      <c r="AR520">
        <f>IF(OR(AN520=MatchLabel,AN520=SafetyLabel,AN520=SecureLabel,AN520=SureThingLabel),1,0)</f>
        <v>0</v>
      </c>
      <c r="AS520">
        <f>IF(OR(W520="H",W520="B",W520="I",W520="M"),IF(ISNUMBER(AB520),ROUND(AB520,2),0),IF(ISNUMBER(AA520),ROUND(AA520,2),0))</f>
        <v>0</v>
      </c>
      <c r="AT520">
        <f>IF(AS520&gt;=X520,1,0)</f>
        <v>0</v>
      </c>
      <c r="AU520">
        <f>IF(AS520&gt;=Y520,1,0)</f>
        <v>0</v>
      </c>
      <c r="AV520">
        <f>IF(AS520&lt;(X520-0.10),1,0)</f>
        <v>0</v>
      </c>
      <c r="AW520">
        <f>1-AM520/100</f>
        <v>0</v>
      </c>
      <c r="AX520">
        <f>IF(AQ520=1,AW520,1)</f>
        <v>0</v>
      </c>
      <c r="AY520">
        <f>IF(AP520=1,AW520,1)</f>
        <v>0</v>
      </c>
      <c r="AZ520">
        <f>IF(AND(AT520=1,ISNUMBER(AW520)),$AW520,1)</f>
        <v>0</v>
      </c>
      <c r="BA520">
        <f>IF(AND(AU520=1,ISNUMBER(AW520)),$AW520,1)</f>
        <v>0</v>
      </c>
      <c r="BB520">
        <f>IF(ISNUMBER(AB520),INDEX(AllCollegeMoney, MATCH(N520,AllCollegeNCES,0)),0)</f>
        <v>0</v>
      </c>
      <c r="BC520">
        <f>IF(AND(AT520=1,ISNUMBER(AW520),BB520=1),$AW520,1)</f>
        <v>0</v>
      </c>
      <c r="BD520">
        <f>IF(AND(AU520=1,ISNUMBER(AW520),BB520=1),$AW520,1)</f>
        <v>0</v>
      </c>
      <c r="BE520">
        <f>IF(ISNUMBER(AB520),INDEX(AllCollegeILPub, MATCH(N520,AllCollegeNCES,0)),0)</f>
        <v>0</v>
      </c>
      <c r="BF520">
        <f>IF(AN520=ReachLabel,AS520,0)</f>
        <v>0</v>
      </c>
      <c r="BG520">
        <f>IF(AN520=MatchLabel,AS520,0)</f>
        <v>0</v>
      </c>
      <c r="BH520">
        <f>IF(AN520=SafetyLabel,AS520,0)</f>
        <v>0</v>
      </c>
      <c r="BI520">
        <f>IF(AN520=SecureLabel,AS520,0)</f>
        <v>0</v>
      </c>
      <c r="BJ520">
        <f>IF(AN520=SureThingLabel,AS520,0)</f>
        <v>0</v>
      </c>
      <c r="BK520">
        <f>MAX(BF520:BJ520)</f>
        <v>0</v>
      </c>
      <c r="BL520">
        <f>MAX(BG520:BJ520)</f>
        <v>0</v>
      </c>
      <c r="BM520">
        <f>MAX(BH520:BJ520)</f>
        <v>0</v>
      </c>
      <c r="BN520">
        <f>IF(AND(AN520=ReachLabel,BB520=1),AS520,0)</f>
        <v>0</v>
      </c>
      <c r="BO520">
        <f>IF(AND(AN520=MatchLabel,BB520=1),AS520,0)</f>
        <v>0</v>
      </c>
      <c r="BP520">
        <f>IF(AND(AN520=SafetyLabel,BB520=1),AS520,0)</f>
        <v>0</v>
      </c>
      <c r="BQ520">
        <f>IF(AND(AN520=SecureLabel,BB520=1),AS520,0)</f>
        <v>0</v>
      </c>
      <c r="BR520">
        <f>IF(AND(AN520=SureThingLabel,BB520=1),AS520,0)</f>
        <v>0</v>
      </c>
      <c r="BS520">
        <f>MAX(BN520:BR520)</f>
        <v>0</v>
      </c>
      <c r="BT520">
        <f>MAX(BO520:BR520)</f>
        <v>0</v>
      </c>
      <c r="BU520">
        <f>MAX(BP520:BR520)</f>
        <v>0</v>
      </c>
      <c r="BV520">
        <f>IF(ISNUMBER(AB520),INDEX(AllCollegeChicago, MATCH(N520,AllCollegeNCES,0))*BB520,0)</f>
        <v>0</v>
      </c>
      <c r="BW520">
        <f>IF(ISNUMBER(AB520),INDEX(AllCollegeMoneyCode, MATCH(N520,AllCollegeNCES,0)),"?")</f>
        <v>0</v>
      </c>
      <c r="BX520">
        <f>IF(OR(BW520="---",BW520="--",BW520="+/--",BW520="+/---"),1,0)</f>
        <v>0</v>
      </c>
      <c r="BY520">
        <f>BB520*AR520*AT520</f>
        <v>0</v>
      </c>
    </row>
    <row r="521" spans="1:77">
      <c r="A521" t="s">
        <v>96</v>
      </c>
      <c r="B521">
        <v>23476024</v>
      </c>
      <c r="C521" t="s">
        <v>243</v>
      </c>
      <c r="D521" t="s">
        <v>244</v>
      </c>
      <c r="E521" t="s">
        <v>446</v>
      </c>
      <c r="F521" t="s">
        <v>453</v>
      </c>
      <c r="G521" t="s">
        <v>448</v>
      </c>
      <c r="H521" t="s">
        <v>449</v>
      </c>
      <c r="I521" t="s">
        <v>450</v>
      </c>
      <c r="J521" t="s">
        <v>450</v>
      </c>
      <c r="K521">
        <v>0</v>
      </c>
      <c r="L521" t="s">
        <v>446</v>
      </c>
      <c r="M521" t="s">
        <v>454</v>
      </c>
      <c r="N521">
        <v>150774</v>
      </c>
      <c r="O521">
        <f>INDEX(Counselor,MATCH(B521,KidIDs,0))</f>
        <v>0</v>
      </c>
      <c r="P521">
        <f>INDEX(Advisors,MATCH(B521,KidIDs,0))</f>
        <v>0</v>
      </c>
      <c r="Q521">
        <f>INDEX(Cohort,MATCH(B521,KidIDs,0))</f>
        <v>0</v>
      </c>
      <c r="R521">
        <f>INDEX(AllCollegeBarrons,MATCH(N521,AllCollegeNCES,0))</f>
        <v>0</v>
      </c>
      <c r="S521">
        <f>INDEX(KidGPAs,MATCH(B521,KidIDs,0))</f>
        <v>0</v>
      </c>
      <c r="T521">
        <f>INDEX(KidSATs,MATCH(B521,KidIDs,0))</f>
        <v>0</v>
      </c>
      <c r="U521">
        <f>INDEX(Strats,MATCH(B521,KidIDs,0))</f>
        <v>0</v>
      </c>
      <c r="V521">
        <f>INDEX(KidRace,MATCH(B521,KidIDs,0))</f>
        <v>0</v>
      </c>
      <c r="W521">
        <f>IF(OR(V521="M",V521="I"),"H",IF(V521="P","A",V521))</f>
        <v>0</v>
      </c>
      <c r="X521">
        <f>INDEX(StudentTargets,MATCH(B521,KidIDs,0))</f>
        <v>0</v>
      </c>
      <c r="Y521">
        <f>INDEX(ReachStudentTargets,MATCH(B521,KidIDs,0))</f>
        <v>0</v>
      </c>
      <c r="Z521">
        <f>IF(OR(M521="Posse"),1,0)</f>
        <v>0</v>
      </c>
      <c r="AA521">
        <f>IF(ISNUMBER(INDEX(AllCollegeGR, MATCH(N521,AllCollegeNCES,0))),ROUND(INDEX(AllCollegeGR, MATCH(N521,AllCollegeNCES,0))+Z521*IF(INDEX(AllCollegeGR, MATCH(N521,AllCollegeNCES,0))&gt;0.7,(1-INDEX(AllCollegeGR, MATCH(N521,AllCollegeNCES,0)))/2,0.15),2),INDEX(AllCollegeGR, MATCH(N521,AllCollegeNCES,0)))</f>
        <v>0</v>
      </c>
      <c r="AB521">
        <f>IF(ISNUMBER(INDEX(AllCollegeAAHGR, MATCH(N521,AllCollegeNCES,0))),ROUND(INDEX(AllCollegeAAHGR, MATCH(N521,AllCollegeNCES,0))+Z521*IF(INDEX(AllCollegeAAHGR, MATCH(N521,AllCollegeNCES,0))&gt;0.7,(1-INDEX(AllCollegeAAHGR, MATCH(N521,AllCollegeNCES,0)))/2,0.15),2),INDEX(AllCollegeAAHGR, MATCH(N521,AllCollegeNCES,0)))</f>
        <v>0</v>
      </c>
      <c r="AC521">
        <f>IF(OR(W521="H",W521="B"),INDEX(AllCollegeSAT25, MATCH(N521,AllCollegeNCES,0)),INDEX(AllCollegeSAT50, MATCH(N521,AllCollegeNCES,0)))</f>
        <v>0</v>
      </c>
      <c r="AD521">
        <f>INDEX(CustomWeightsGPA,MATCH(W521&amp;":"&amp;N521,CustomWeightsIndex,0))</f>
        <v>0</v>
      </c>
      <c r="AE521">
        <f>INDEX(CustomWeightsSAT,MATCH(W521&amp;":"&amp;N521,CustomWeightsIndex,0))</f>
        <v>0</v>
      </c>
      <c r="AF521">
        <f>INDEX(CustomWeightsIntercept,MATCH(W521&amp;":"&amp;N521,CustomWeightsIndex,0))</f>
        <v>0</v>
      </c>
      <c r="AG521">
        <f>AD521*S521+AE521*T521+AF521</f>
        <v>0</v>
      </c>
      <c r="AH521">
        <f>INDEX(CoefficientsGPA,MATCH(W521&amp;":"&amp;R521,CoefficientsIndex,0))</f>
        <v>0</v>
      </c>
      <c r="AI521">
        <f>INDEX(CoefficientsSAT,MATCH(W521&amp;":"&amp;R521,CoefficientsIndex,0))</f>
        <v>0</v>
      </c>
      <c r="AJ521">
        <f>INDEX(CoefficientsIntercept,MATCH(W521&amp;":"&amp;R521,CoefficientsIndex,0))</f>
        <v>0</v>
      </c>
      <c r="AK521">
        <f>AH521*S521+(T521-AC521)*AI521+AJ521</f>
        <v>0</v>
      </c>
      <c r="AL521">
        <f>IF(ISNUMBER(AG521),AG521,AK521)</f>
        <v>0</v>
      </c>
      <c r="AM521">
        <f>IF(ISNUMBER(AL521),IF(ISNUMBER(AH521),IF(AND(AH521=1,AI521=1,AJ521=1),100,MIN(99,ROUND(100*EXP(AL521)/(1+EXP(AL521)),2))),MIN(99,ROUND(100*EXP(AL521)/(1+EXP(AL521)),2))),IF(ISTEXT(R521),IF(LEFT(R521,1)="2",100,"N/A"),"N/A"))</f>
        <v>0</v>
      </c>
      <c r="AN521">
        <f>IF(ISNUMBER(AM521),IF(AM521&gt;=99,IF(OR(U521=10,U521=11),MatchLabel,SureThingLabel),IF(AM521&gt;=95,SecureLabel,IF(AM521&gt;=80,SafetyLabel,IF(AM521&gt;=50,MatchLabel,IF(AM521&gt;=20,ReachLabel,IF(AM521&gt;=10,LongshotLabel,HailMaryLabel)))))),"Other")</f>
        <v>0</v>
      </c>
      <c r="AO521">
        <f>IF(OR(I521="accepted",I521="cond. accept",I521="summer admit"),IF(J521="yes","CHOICE!","Accepted!"),IF(I521="guar. transfer","Guar. Xfer",IF(I521="denied","Denied",IF(K521=1,"Waitlist",IF(L521=1,"Deferred",IF(G521="pending","Pending",IF(OR(G521="initial materials submitted",G521="mid-year submitted",G521="final submitted"),"Submitted",IF(H521="interest","Interest","?"))))))))</f>
        <v>0</v>
      </c>
      <c r="AP521">
        <f>IF(OR(AN521=ReachLabel,AN521=LongshotLabel,AN521=HailMaryLabel),1,0)</f>
        <v>0</v>
      </c>
      <c r="AQ521">
        <f>IF(OR(AP521=1,AN521=MatchLabel),1,0)</f>
        <v>0</v>
      </c>
      <c r="AR521">
        <f>IF(OR(AN521=MatchLabel,AN521=SafetyLabel,AN521=SecureLabel,AN521=SureThingLabel),1,0)</f>
        <v>0</v>
      </c>
      <c r="AS521">
        <f>IF(OR(W521="H",W521="B",W521="I",W521="M"),IF(ISNUMBER(AB521),ROUND(AB521,2),0),IF(ISNUMBER(AA521),ROUND(AA521,2),0))</f>
        <v>0</v>
      </c>
      <c r="AT521">
        <f>IF(AS521&gt;=X521,1,0)</f>
        <v>0</v>
      </c>
      <c r="AU521">
        <f>IF(AS521&gt;=Y521,1,0)</f>
        <v>0</v>
      </c>
      <c r="AV521">
        <f>IF(AS521&lt;(X521-0.10),1,0)</f>
        <v>0</v>
      </c>
      <c r="AW521">
        <f>1-AM521/100</f>
        <v>0</v>
      </c>
      <c r="AX521">
        <f>IF(AQ521=1,AW521,1)</f>
        <v>0</v>
      </c>
      <c r="AY521">
        <f>IF(AP521=1,AW521,1)</f>
        <v>0</v>
      </c>
      <c r="AZ521">
        <f>IF(AND(AT521=1,ISNUMBER(AW521)),$AW521,1)</f>
        <v>0</v>
      </c>
      <c r="BA521">
        <f>IF(AND(AU521=1,ISNUMBER(AW521)),$AW521,1)</f>
        <v>0</v>
      </c>
      <c r="BB521">
        <f>IF(ISNUMBER(AB521),INDEX(AllCollegeMoney, MATCH(N521,AllCollegeNCES,0)),0)</f>
        <v>0</v>
      </c>
      <c r="BC521">
        <f>IF(AND(AT521=1,ISNUMBER(AW521),BB521=1),$AW521,1)</f>
        <v>0</v>
      </c>
      <c r="BD521">
        <f>IF(AND(AU521=1,ISNUMBER(AW521),BB521=1),$AW521,1)</f>
        <v>0</v>
      </c>
      <c r="BE521">
        <f>IF(ISNUMBER(AB521),INDEX(AllCollegeILPub, MATCH(N521,AllCollegeNCES,0)),0)</f>
        <v>0</v>
      </c>
      <c r="BF521">
        <f>IF(AN521=ReachLabel,AS521,0)</f>
        <v>0</v>
      </c>
      <c r="BG521">
        <f>IF(AN521=MatchLabel,AS521,0)</f>
        <v>0</v>
      </c>
      <c r="BH521">
        <f>IF(AN521=SafetyLabel,AS521,0)</f>
        <v>0</v>
      </c>
      <c r="BI521">
        <f>IF(AN521=SecureLabel,AS521,0)</f>
        <v>0</v>
      </c>
      <c r="BJ521">
        <f>IF(AN521=SureThingLabel,AS521,0)</f>
        <v>0</v>
      </c>
      <c r="BK521">
        <f>MAX(BF521:BJ521)</f>
        <v>0</v>
      </c>
      <c r="BL521">
        <f>MAX(BG521:BJ521)</f>
        <v>0</v>
      </c>
      <c r="BM521">
        <f>MAX(BH521:BJ521)</f>
        <v>0</v>
      </c>
      <c r="BN521">
        <f>IF(AND(AN521=ReachLabel,BB521=1),AS521,0)</f>
        <v>0</v>
      </c>
      <c r="BO521">
        <f>IF(AND(AN521=MatchLabel,BB521=1),AS521,0)</f>
        <v>0</v>
      </c>
      <c r="BP521">
        <f>IF(AND(AN521=SafetyLabel,BB521=1),AS521,0)</f>
        <v>0</v>
      </c>
      <c r="BQ521">
        <f>IF(AND(AN521=SecureLabel,BB521=1),AS521,0)</f>
        <v>0</v>
      </c>
      <c r="BR521">
        <f>IF(AND(AN521=SureThingLabel,BB521=1),AS521,0)</f>
        <v>0</v>
      </c>
      <c r="BS521">
        <f>MAX(BN521:BR521)</f>
        <v>0</v>
      </c>
      <c r="BT521">
        <f>MAX(BO521:BR521)</f>
        <v>0</v>
      </c>
      <c r="BU521">
        <f>MAX(BP521:BR521)</f>
        <v>0</v>
      </c>
      <c r="BV521">
        <f>IF(ISNUMBER(AB521),INDEX(AllCollegeChicago, MATCH(N521,AllCollegeNCES,0))*BB521,0)</f>
        <v>0</v>
      </c>
      <c r="BW521">
        <f>IF(ISNUMBER(AB521),INDEX(AllCollegeMoneyCode, MATCH(N521,AllCollegeNCES,0)),"?")</f>
        <v>0</v>
      </c>
      <c r="BX521">
        <f>IF(OR(BW521="---",BW521="--",BW521="+/--",BW521="+/---"),1,0)</f>
        <v>0</v>
      </c>
      <c r="BY521">
        <f>BB521*AR521*AT521</f>
        <v>0</v>
      </c>
    </row>
    <row r="522" spans="1:77">
      <c r="A522" t="s">
        <v>96</v>
      </c>
      <c r="B522">
        <v>23477628</v>
      </c>
      <c r="C522" t="s">
        <v>318</v>
      </c>
      <c r="D522" t="s">
        <v>319</v>
      </c>
      <c r="E522" t="s">
        <v>446</v>
      </c>
      <c r="F522" t="s">
        <v>447</v>
      </c>
      <c r="G522" t="s">
        <v>448</v>
      </c>
      <c r="H522" t="s">
        <v>449</v>
      </c>
      <c r="I522" t="s">
        <v>450</v>
      </c>
      <c r="J522" t="s">
        <v>450</v>
      </c>
      <c r="K522">
        <v>0</v>
      </c>
      <c r="L522" t="s">
        <v>446</v>
      </c>
      <c r="M522" t="s">
        <v>446</v>
      </c>
      <c r="N522">
        <v>148496</v>
      </c>
      <c r="O522">
        <f>INDEX(Counselor,MATCH(B522,KidIDs,0))</f>
        <v>0</v>
      </c>
      <c r="P522">
        <f>INDEX(Advisors,MATCH(B522,KidIDs,0))</f>
        <v>0</v>
      </c>
      <c r="Q522">
        <f>INDEX(Cohort,MATCH(B522,KidIDs,0))</f>
        <v>0</v>
      </c>
      <c r="R522">
        <f>INDEX(AllCollegeBarrons,MATCH(N522,AllCollegeNCES,0))</f>
        <v>0</v>
      </c>
      <c r="S522">
        <f>INDEX(KidGPAs,MATCH(B522,KidIDs,0))</f>
        <v>0</v>
      </c>
      <c r="T522">
        <f>INDEX(KidSATs,MATCH(B522,KidIDs,0))</f>
        <v>0</v>
      </c>
      <c r="U522">
        <f>INDEX(Strats,MATCH(B522,KidIDs,0))</f>
        <v>0</v>
      </c>
      <c r="V522">
        <f>INDEX(KidRace,MATCH(B522,KidIDs,0))</f>
        <v>0</v>
      </c>
      <c r="W522">
        <f>IF(OR(V522="M",V522="I"),"H",IF(V522="P","A",V522))</f>
        <v>0</v>
      </c>
      <c r="X522">
        <f>INDEX(StudentTargets,MATCH(B522,KidIDs,0))</f>
        <v>0</v>
      </c>
      <c r="Y522">
        <f>INDEX(ReachStudentTargets,MATCH(B522,KidIDs,0))</f>
        <v>0</v>
      </c>
      <c r="Z522">
        <f>IF(OR(M522="Posse"),1,0)</f>
        <v>0</v>
      </c>
      <c r="AA522">
        <f>IF(ISNUMBER(INDEX(AllCollegeGR, MATCH(N522,AllCollegeNCES,0))),ROUND(INDEX(AllCollegeGR, MATCH(N522,AllCollegeNCES,0))+Z522*IF(INDEX(AllCollegeGR, MATCH(N522,AllCollegeNCES,0))&gt;0.7,(1-INDEX(AllCollegeGR, MATCH(N522,AllCollegeNCES,0)))/2,0.15),2),INDEX(AllCollegeGR, MATCH(N522,AllCollegeNCES,0)))</f>
        <v>0</v>
      </c>
      <c r="AB522">
        <f>IF(ISNUMBER(INDEX(AllCollegeAAHGR, MATCH(N522,AllCollegeNCES,0))),ROUND(INDEX(AllCollegeAAHGR, MATCH(N522,AllCollegeNCES,0))+Z522*IF(INDEX(AllCollegeAAHGR, MATCH(N522,AllCollegeNCES,0))&gt;0.7,(1-INDEX(AllCollegeAAHGR, MATCH(N522,AllCollegeNCES,0)))/2,0.15),2),INDEX(AllCollegeAAHGR, MATCH(N522,AllCollegeNCES,0)))</f>
        <v>0</v>
      </c>
      <c r="AC522">
        <f>IF(OR(W522="H",W522="B"),INDEX(AllCollegeSAT25, MATCH(N522,AllCollegeNCES,0)),INDEX(AllCollegeSAT50, MATCH(N522,AllCollegeNCES,0)))</f>
        <v>0</v>
      </c>
      <c r="AD522">
        <f>INDEX(CustomWeightsGPA,MATCH(W522&amp;":"&amp;N522,CustomWeightsIndex,0))</f>
        <v>0</v>
      </c>
      <c r="AE522">
        <f>INDEX(CustomWeightsSAT,MATCH(W522&amp;":"&amp;N522,CustomWeightsIndex,0))</f>
        <v>0</v>
      </c>
      <c r="AF522">
        <f>INDEX(CustomWeightsIntercept,MATCH(W522&amp;":"&amp;N522,CustomWeightsIndex,0))</f>
        <v>0</v>
      </c>
      <c r="AG522">
        <f>AD522*S522+AE522*T522+AF522</f>
        <v>0</v>
      </c>
      <c r="AH522">
        <f>INDEX(CoefficientsGPA,MATCH(W522&amp;":"&amp;R522,CoefficientsIndex,0))</f>
        <v>0</v>
      </c>
      <c r="AI522">
        <f>INDEX(CoefficientsSAT,MATCH(W522&amp;":"&amp;R522,CoefficientsIndex,0))</f>
        <v>0</v>
      </c>
      <c r="AJ522">
        <f>INDEX(CoefficientsIntercept,MATCH(W522&amp;":"&amp;R522,CoefficientsIndex,0))</f>
        <v>0</v>
      </c>
      <c r="AK522">
        <f>AH522*S522+(T522-AC522)*AI522+AJ522</f>
        <v>0</v>
      </c>
      <c r="AL522">
        <f>IF(ISNUMBER(AG522),AG522,AK522)</f>
        <v>0</v>
      </c>
      <c r="AM522">
        <f>IF(ISNUMBER(AL522),IF(ISNUMBER(AH522),IF(AND(AH522=1,AI522=1,AJ522=1),100,MIN(99,ROUND(100*EXP(AL522)/(1+EXP(AL522)),2))),MIN(99,ROUND(100*EXP(AL522)/(1+EXP(AL522)),2))),IF(ISTEXT(R522),IF(LEFT(R522,1)="2",100,"N/A"),"N/A"))</f>
        <v>0</v>
      </c>
      <c r="AN522">
        <f>IF(ISNUMBER(AM522),IF(AM522&gt;=99,IF(OR(U522=10,U522=11),MatchLabel,SureThingLabel),IF(AM522&gt;=95,SecureLabel,IF(AM522&gt;=80,SafetyLabel,IF(AM522&gt;=50,MatchLabel,IF(AM522&gt;=20,ReachLabel,IF(AM522&gt;=10,LongshotLabel,HailMaryLabel)))))),"Other")</f>
        <v>0</v>
      </c>
      <c r="AO522">
        <f>IF(OR(I522="accepted",I522="cond. accept",I522="summer admit"),IF(J522="yes","CHOICE!","Accepted!"),IF(I522="guar. transfer","Guar. Xfer",IF(I522="denied","Denied",IF(K522=1,"Waitlist",IF(L522=1,"Deferred",IF(G522="pending","Pending",IF(OR(G522="initial materials submitted",G522="mid-year submitted",G522="final submitted"),"Submitted",IF(H522="interest","Interest","?"))))))))</f>
        <v>0</v>
      </c>
      <c r="AP522">
        <f>IF(OR(AN522=ReachLabel,AN522=LongshotLabel,AN522=HailMaryLabel),1,0)</f>
        <v>0</v>
      </c>
      <c r="AQ522">
        <f>IF(OR(AP522=1,AN522=MatchLabel),1,0)</f>
        <v>0</v>
      </c>
      <c r="AR522">
        <f>IF(OR(AN522=MatchLabel,AN522=SafetyLabel,AN522=SecureLabel,AN522=SureThingLabel),1,0)</f>
        <v>0</v>
      </c>
      <c r="AS522">
        <f>IF(OR(W522="H",W522="B",W522="I",W522="M"),IF(ISNUMBER(AB522),ROUND(AB522,2),0),IF(ISNUMBER(AA522),ROUND(AA522,2),0))</f>
        <v>0</v>
      </c>
      <c r="AT522">
        <f>IF(AS522&gt;=X522,1,0)</f>
        <v>0</v>
      </c>
      <c r="AU522">
        <f>IF(AS522&gt;=Y522,1,0)</f>
        <v>0</v>
      </c>
      <c r="AV522">
        <f>IF(AS522&lt;(X522-0.10),1,0)</f>
        <v>0</v>
      </c>
      <c r="AW522">
        <f>1-AM522/100</f>
        <v>0</v>
      </c>
      <c r="AX522">
        <f>IF(AQ522=1,AW522,1)</f>
        <v>0</v>
      </c>
      <c r="AY522">
        <f>IF(AP522=1,AW522,1)</f>
        <v>0</v>
      </c>
      <c r="AZ522">
        <f>IF(AND(AT522=1,ISNUMBER(AW522)),$AW522,1)</f>
        <v>0</v>
      </c>
      <c r="BA522">
        <f>IF(AND(AU522=1,ISNUMBER(AW522)),$AW522,1)</f>
        <v>0</v>
      </c>
      <c r="BB522">
        <f>IF(ISNUMBER(AB522),INDEX(AllCollegeMoney, MATCH(N522,AllCollegeNCES,0)),0)</f>
        <v>0</v>
      </c>
      <c r="BC522">
        <f>IF(AND(AT522=1,ISNUMBER(AW522),BB522=1),$AW522,1)</f>
        <v>0</v>
      </c>
      <c r="BD522">
        <f>IF(AND(AU522=1,ISNUMBER(AW522),BB522=1),$AW522,1)</f>
        <v>0</v>
      </c>
      <c r="BE522">
        <f>IF(ISNUMBER(AB522),INDEX(AllCollegeILPub, MATCH(N522,AllCollegeNCES,0)),0)</f>
        <v>0</v>
      </c>
      <c r="BF522">
        <f>IF(AN522=ReachLabel,AS522,0)</f>
        <v>0</v>
      </c>
      <c r="BG522">
        <f>IF(AN522=MatchLabel,AS522,0)</f>
        <v>0</v>
      </c>
      <c r="BH522">
        <f>IF(AN522=SafetyLabel,AS522,0)</f>
        <v>0</v>
      </c>
      <c r="BI522">
        <f>IF(AN522=SecureLabel,AS522,0)</f>
        <v>0</v>
      </c>
      <c r="BJ522">
        <f>IF(AN522=SureThingLabel,AS522,0)</f>
        <v>0</v>
      </c>
      <c r="BK522">
        <f>MAX(BF522:BJ522)</f>
        <v>0</v>
      </c>
      <c r="BL522">
        <f>MAX(BG522:BJ522)</f>
        <v>0</v>
      </c>
      <c r="BM522">
        <f>MAX(BH522:BJ522)</f>
        <v>0</v>
      </c>
      <c r="BN522">
        <f>IF(AND(AN522=ReachLabel,BB522=1),AS522,0)</f>
        <v>0</v>
      </c>
      <c r="BO522">
        <f>IF(AND(AN522=MatchLabel,BB522=1),AS522,0)</f>
        <v>0</v>
      </c>
      <c r="BP522">
        <f>IF(AND(AN522=SafetyLabel,BB522=1),AS522,0)</f>
        <v>0</v>
      </c>
      <c r="BQ522">
        <f>IF(AND(AN522=SecureLabel,BB522=1),AS522,0)</f>
        <v>0</v>
      </c>
      <c r="BR522">
        <f>IF(AND(AN522=SureThingLabel,BB522=1),AS522,0)</f>
        <v>0</v>
      </c>
      <c r="BS522">
        <f>MAX(BN522:BR522)</f>
        <v>0</v>
      </c>
      <c r="BT522">
        <f>MAX(BO522:BR522)</f>
        <v>0</v>
      </c>
      <c r="BU522">
        <f>MAX(BP522:BR522)</f>
        <v>0</v>
      </c>
      <c r="BV522">
        <f>IF(ISNUMBER(AB522),INDEX(AllCollegeChicago, MATCH(N522,AllCollegeNCES,0))*BB522,0)</f>
        <v>0</v>
      </c>
      <c r="BW522">
        <f>IF(ISNUMBER(AB522),INDEX(AllCollegeMoneyCode, MATCH(N522,AllCollegeNCES,0)),"?")</f>
        <v>0</v>
      </c>
      <c r="BX522">
        <f>IF(OR(BW522="---",BW522="--",BW522="+/--",BW522="+/---"),1,0)</f>
        <v>0</v>
      </c>
      <c r="BY522">
        <f>BB522*AR522*AT522</f>
        <v>0</v>
      </c>
    </row>
    <row r="523" spans="1:77">
      <c r="A523" t="s">
        <v>96</v>
      </c>
      <c r="B523">
        <v>23477628</v>
      </c>
      <c r="C523" t="s">
        <v>318</v>
      </c>
      <c r="D523" t="s">
        <v>319</v>
      </c>
      <c r="E523" t="s">
        <v>446</v>
      </c>
      <c r="F523" t="s">
        <v>503</v>
      </c>
      <c r="G523" t="s">
        <v>448</v>
      </c>
      <c r="H523" t="s">
        <v>449</v>
      </c>
      <c r="I523" t="s">
        <v>450</v>
      </c>
      <c r="J523" t="s">
        <v>450</v>
      </c>
      <c r="K523">
        <v>0</v>
      </c>
      <c r="L523" t="s">
        <v>446</v>
      </c>
      <c r="M523" t="s">
        <v>446</v>
      </c>
      <c r="N523">
        <v>238333</v>
      </c>
      <c r="O523">
        <f>INDEX(Counselor,MATCH(B523,KidIDs,0))</f>
        <v>0</v>
      </c>
      <c r="P523">
        <f>INDEX(Advisors,MATCH(B523,KidIDs,0))</f>
        <v>0</v>
      </c>
      <c r="Q523">
        <f>INDEX(Cohort,MATCH(B523,KidIDs,0))</f>
        <v>0</v>
      </c>
      <c r="R523">
        <f>INDEX(AllCollegeBarrons,MATCH(N523,AllCollegeNCES,0))</f>
        <v>0</v>
      </c>
      <c r="S523">
        <f>INDEX(KidGPAs,MATCH(B523,KidIDs,0))</f>
        <v>0</v>
      </c>
      <c r="T523">
        <f>INDEX(KidSATs,MATCH(B523,KidIDs,0))</f>
        <v>0</v>
      </c>
      <c r="U523">
        <f>INDEX(Strats,MATCH(B523,KidIDs,0))</f>
        <v>0</v>
      </c>
      <c r="V523">
        <f>INDEX(KidRace,MATCH(B523,KidIDs,0))</f>
        <v>0</v>
      </c>
      <c r="W523">
        <f>IF(OR(V523="M",V523="I"),"H",IF(V523="P","A",V523))</f>
        <v>0</v>
      </c>
      <c r="X523">
        <f>INDEX(StudentTargets,MATCH(B523,KidIDs,0))</f>
        <v>0</v>
      </c>
      <c r="Y523">
        <f>INDEX(ReachStudentTargets,MATCH(B523,KidIDs,0))</f>
        <v>0</v>
      </c>
      <c r="Z523">
        <f>IF(OR(M523="Posse"),1,0)</f>
        <v>0</v>
      </c>
      <c r="AA523">
        <f>IF(ISNUMBER(INDEX(AllCollegeGR, MATCH(N523,AllCollegeNCES,0))),ROUND(INDEX(AllCollegeGR, MATCH(N523,AllCollegeNCES,0))+Z523*IF(INDEX(AllCollegeGR, MATCH(N523,AllCollegeNCES,0))&gt;0.7,(1-INDEX(AllCollegeGR, MATCH(N523,AllCollegeNCES,0)))/2,0.15),2),INDEX(AllCollegeGR, MATCH(N523,AllCollegeNCES,0)))</f>
        <v>0</v>
      </c>
      <c r="AB523">
        <f>IF(ISNUMBER(INDEX(AllCollegeAAHGR, MATCH(N523,AllCollegeNCES,0))),ROUND(INDEX(AllCollegeAAHGR, MATCH(N523,AllCollegeNCES,0))+Z523*IF(INDEX(AllCollegeAAHGR, MATCH(N523,AllCollegeNCES,0))&gt;0.7,(1-INDEX(AllCollegeAAHGR, MATCH(N523,AllCollegeNCES,0)))/2,0.15),2),INDEX(AllCollegeAAHGR, MATCH(N523,AllCollegeNCES,0)))</f>
        <v>0</v>
      </c>
      <c r="AC523">
        <f>IF(OR(W523="H",W523="B"),INDEX(AllCollegeSAT25, MATCH(N523,AllCollegeNCES,0)),INDEX(AllCollegeSAT50, MATCH(N523,AllCollegeNCES,0)))</f>
        <v>0</v>
      </c>
      <c r="AD523">
        <f>INDEX(CustomWeightsGPA,MATCH(W523&amp;":"&amp;N523,CustomWeightsIndex,0))</f>
        <v>0</v>
      </c>
      <c r="AE523">
        <f>INDEX(CustomWeightsSAT,MATCH(W523&amp;":"&amp;N523,CustomWeightsIndex,0))</f>
        <v>0</v>
      </c>
      <c r="AF523">
        <f>INDEX(CustomWeightsIntercept,MATCH(W523&amp;":"&amp;N523,CustomWeightsIndex,0))</f>
        <v>0</v>
      </c>
      <c r="AG523">
        <f>AD523*S523+AE523*T523+AF523</f>
        <v>0</v>
      </c>
      <c r="AH523">
        <f>INDEX(CoefficientsGPA,MATCH(W523&amp;":"&amp;R523,CoefficientsIndex,0))</f>
        <v>0</v>
      </c>
      <c r="AI523">
        <f>INDEX(CoefficientsSAT,MATCH(W523&amp;":"&amp;R523,CoefficientsIndex,0))</f>
        <v>0</v>
      </c>
      <c r="AJ523">
        <f>INDEX(CoefficientsIntercept,MATCH(W523&amp;":"&amp;R523,CoefficientsIndex,0))</f>
        <v>0</v>
      </c>
      <c r="AK523">
        <f>AH523*S523+(T523-AC523)*AI523+AJ523</f>
        <v>0</v>
      </c>
      <c r="AL523">
        <f>IF(ISNUMBER(AG523),AG523,AK523)</f>
        <v>0</v>
      </c>
      <c r="AM523">
        <f>IF(ISNUMBER(AL523),IF(ISNUMBER(AH523),IF(AND(AH523=1,AI523=1,AJ523=1),100,MIN(99,ROUND(100*EXP(AL523)/(1+EXP(AL523)),2))),MIN(99,ROUND(100*EXP(AL523)/(1+EXP(AL523)),2))),IF(ISTEXT(R523),IF(LEFT(R523,1)="2",100,"N/A"),"N/A"))</f>
        <v>0</v>
      </c>
      <c r="AN523">
        <f>IF(ISNUMBER(AM523),IF(AM523&gt;=99,IF(OR(U523=10,U523=11),MatchLabel,SureThingLabel),IF(AM523&gt;=95,SecureLabel,IF(AM523&gt;=80,SafetyLabel,IF(AM523&gt;=50,MatchLabel,IF(AM523&gt;=20,ReachLabel,IF(AM523&gt;=10,LongshotLabel,HailMaryLabel)))))),"Other")</f>
        <v>0</v>
      </c>
      <c r="AO523">
        <f>IF(OR(I523="accepted",I523="cond. accept",I523="summer admit"),IF(J523="yes","CHOICE!","Accepted!"),IF(I523="guar. transfer","Guar. Xfer",IF(I523="denied","Denied",IF(K523=1,"Waitlist",IF(L523=1,"Deferred",IF(G523="pending","Pending",IF(OR(G523="initial materials submitted",G523="mid-year submitted",G523="final submitted"),"Submitted",IF(H523="interest","Interest","?"))))))))</f>
        <v>0</v>
      </c>
      <c r="AP523">
        <f>IF(OR(AN523=ReachLabel,AN523=LongshotLabel,AN523=HailMaryLabel),1,0)</f>
        <v>0</v>
      </c>
      <c r="AQ523">
        <f>IF(OR(AP523=1,AN523=MatchLabel),1,0)</f>
        <v>0</v>
      </c>
      <c r="AR523">
        <f>IF(OR(AN523=MatchLabel,AN523=SafetyLabel,AN523=SecureLabel,AN523=SureThingLabel),1,0)</f>
        <v>0</v>
      </c>
      <c r="AS523">
        <f>IF(OR(W523="H",W523="B",W523="I",W523="M"),IF(ISNUMBER(AB523),ROUND(AB523,2),0),IF(ISNUMBER(AA523),ROUND(AA523,2),0))</f>
        <v>0</v>
      </c>
      <c r="AT523">
        <f>IF(AS523&gt;=X523,1,0)</f>
        <v>0</v>
      </c>
      <c r="AU523">
        <f>IF(AS523&gt;=Y523,1,0)</f>
        <v>0</v>
      </c>
      <c r="AV523">
        <f>IF(AS523&lt;(X523-0.10),1,0)</f>
        <v>0</v>
      </c>
      <c r="AW523">
        <f>1-AM523/100</f>
        <v>0</v>
      </c>
      <c r="AX523">
        <f>IF(AQ523=1,AW523,1)</f>
        <v>0</v>
      </c>
      <c r="AY523">
        <f>IF(AP523=1,AW523,1)</f>
        <v>0</v>
      </c>
      <c r="AZ523">
        <f>IF(AND(AT523=1,ISNUMBER(AW523)),$AW523,1)</f>
        <v>0</v>
      </c>
      <c r="BA523">
        <f>IF(AND(AU523=1,ISNUMBER(AW523)),$AW523,1)</f>
        <v>0</v>
      </c>
      <c r="BB523">
        <f>IF(ISNUMBER(AB523),INDEX(AllCollegeMoney, MATCH(N523,AllCollegeNCES,0)),0)</f>
        <v>0</v>
      </c>
      <c r="BC523">
        <f>IF(AND(AT523=1,ISNUMBER(AW523),BB523=1),$AW523,1)</f>
        <v>0</v>
      </c>
      <c r="BD523">
        <f>IF(AND(AU523=1,ISNUMBER(AW523),BB523=1),$AW523,1)</f>
        <v>0</v>
      </c>
      <c r="BE523">
        <f>IF(ISNUMBER(AB523),INDEX(AllCollegeILPub, MATCH(N523,AllCollegeNCES,0)),0)</f>
        <v>0</v>
      </c>
      <c r="BF523">
        <f>IF(AN523=ReachLabel,AS523,0)</f>
        <v>0</v>
      </c>
      <c r="BG523">
        <f>IF(AN523=MatchLabel,AS523,0)</f>
        <v>0</v>
      </c>
      <c r="BH523">
        <f>IF(AN523=SafetyLabel,AS523,0)</f>
        <v>0</v>
      </c>
      <c r="BI523">
        <f>IF(AN523=SecureLabel,AS523,0)</f>
        <v>0</v>
      </c>
      <c r="BJ523">
        <f>IF(AN523=SureThingLabel,AS523,0)</f>
        <v>0</v>
      </c>
      <c r="BK523">
        <f>MAX(BF523:BJ523)</f>
        <v>0</v>
      </c>
      <c r="BL523">
        <f>MAX(BG523:BJ523)</f>
        <v>0</v>
      </c>
      <c r="BM523">
        <f>MAX(BH523:BJ523)</f>
        <v>0</v>
      </c>
      <c r="BN523">
        <f>IF(AND(AN523=ReachLabel,BB523=1),AS523,0)</f>
        <v>0</v>
      </c>
      <c r="BO523">
        <f>IF(AND(AN523=MatchLabel,BB523=1),AS523,0)</f>
        <v>0</v>
      </c>
      <c r="BP523">
        <f>IF(AND(AN523=SafetyLabel,BB523=1),AS523,0)</f>
        <v>0</v>
      </c>
      <c r="BQ523">
        <f>IF(AND(AN523=SecureLabel,BB523=1),AS523,0)</f>
        <v>0</v>
      </c>
      <c r="BR523">
        <f>IF(AND(AN523=SureThingLabel,BB523=1),AS523,0)</f>
        <v>0</v>
      </c>
      <c r="BS523">
        <f>MAX(BN523:BR523)</f>
        <v>0</v>
      </c>
      <c r="BT523">
        <f>MAX(BO523:BR523)</f>
        <v>0</v>
      </c>
      <c r="BU523">
        <f>MAX(BP523:BR523)</f>
        <v>0</v>
      </c>
      <c r="BV523">
        <f>IF(ISNUMBER(AB523),INDEX(AllCollegeChicago, MATCH(N523,AllCollegeNCES,0))*BB523,0)</f>
        <v>0</v>
      </c>
      <c r="BW523">
        <f>IF(ISNUMBER(AB523),INDEX(AllCollegeMoneyCode, MATCH(N523,AllCollegeNCES,0)),"?")</f>
        <v>0</v>
      </c>
      <c r="BX523">
        <f>IF(OR(BW523="---",BW523="--",BW523="+/--",BW523="+/---"),1,0)</f>
        <v>0</v>
      </c>
      <c r="BY523">
        <f>BB523*AR523*AT523</f>
        <v>0</v>
      </c>
    </row>
    <row r="524" spans="1:77">
      <c r="A524" t="s">
        <v>96</v>
      </c>
      <c r="B524">
        <v>23477628</v>
      </c>
      <c r="C524" t="s">
        <v>318</v>
      </c>
      <c r="D524" t="s">
        <v>319</v>
      </c>
      <c r="E524" t="s">
        <v>446</v>
      </c>
      <c r="F524" t="s">
        <v>579</v>
      </c>
      <c r="G524" t="s">
        <v>448</v>
      </c>
      <c r="H524" t="s">
        <v>449</v>
      </c>
      <c r="I524" t="s">
        <v>450</v>
      </c>
      <c r="J524" t="s">
        <v>450</v>
      </c>
      <c r="K524">
        <v>0</v>
      </c>
      <c r="L524" t="s">
        <v>446</v>
      </c>
      <c r="M524" t="s">
        <v>446</v>
      </c>
      <c r="N524">
        <v>142887</v>
      </c>
      <c r="O524">
        <f>INDEX(Counselor,MATCH(B524,KidIDs,0))</f>
        <v>0</v>
      </c>
      <c r="P524">
        <f>INDEX(Advisors,MATCH(B524,KidIDs,0))</f>
        <v>0</v>
      </c>
      <c r="Q524">
        <f>INDEX(Cohort,MATCH(B524,KidIDs,0))</f>
        <v>0</v>
      </c>
      <c r="R524">
        <f>INDEX(AllCollegeBarrons,MATCH(N524,AllCollegeNCES,0))</f>
        <v>0</v>
      </c>
      <c r="S524">
        <f>INDEX(KidGPAs,MATCH(B524,KidIDs,0))</f>
        <v>0</v>
      </c>
      <c r="T524">
        <f>INDEX(KidSATs,MATCH(B524,KidIDs,0))</f>
        <v>0</v>
      </c>
      <c r="U524">
        <f>INDEX(Strats,MATCH(B524,KidIDs,0))</f>
        <v>0</v>
      </c>
      <c r="V524">
        <f>INDEX(KidRace,MATCH(B524,KidIDs,0))</f>
        <v>0</v>
      </c>
      <c r="W524">
        <f>IF(OR(V524="M",V524="I"),"H",IF(V524="P","A",V524))</f>
        <v>0</v>
      </c>
      <c r="X524">
        <f>INDEX(StudentTargets,MATCH(B524,KidIDs,0))</f>
        <v>0</v>
      </c>
      <c r="Y524">
        <f>INDEX(ReachStudentTargets,MATCH(B524,KidIDs,0))</f>
        <v>0</v>
      </c>
      <c r="Z524">
        <f>IF(OR(M524="Posse"),1,0)</f>
        <v>0</v>
      </c>
      <c r="AA524">
        <f>IF(ISNUMBER(INDEX(AllCollegeGR, MATCH(N524,AllCollegeNCES,0))),ROUND(INDEX(AllCollegeGR, MATCH(N524,AllCollegeNCES,0))+Z524*IF(INDEX(AllCollegeGR, MATCH(N524,AllCollegeNCES,0))&gt;0.7,(1-INDEX(AllCollegeGR, MATCH(N524,AllCollegeNCES,0)))/2,0.15),2),INDEX(AllCollegeGR, MATCH(N524,AllCollegeNCES,0)))</f>
        <v>0</v>
      </c>
      <c r="AB524">
        <f>IF(ISNUMBER(INDEX(AllCollegeAAHGR, MATCH(N524,AllCollegeNCES,0))),ROUND(INDEX(AllCollegeAAHGR, MATCH(N524,AllCollegeNCES,0))+Z524*IF(INDEX(AllCollegeAAHGR, MATCH(N524,AllCollegeNCES,0))&gt;0.7,(1-INDEX(AllCollegeAAHGR, MATCH(N524,AllCollegeNCES,0)))/2,0.15),2),INDEX(AllCollegeAAHGR, MATCH(N524,AllCollegeNCES,0)))</f>
        <v>0</v>
      </c>
      <c r="AC524">
        <f>IF(OR(W524="H",W524="B"),INDEX(AllCollegeSAT25, MATCH(N524,AllCollegeNCES,0)),INDEX(AllCollegeSAT50, MATCH(N524,AllCollegeNCES,0)))</f>
        <v>0</v>
      </c>
      <c r="AD524">
        <f>INDEX(CustomWeightsGPA,MATCH(W524&amp;":"&amp;N524,CustomWeightsIndex,0))</f>
        <v>0</v>
      </c>
      <c r="AE524">
        <f>INDEX(CustomWeightsSAT,MATCH(W524&amp;":"&amp;N524,CustomWeightsIndex,0))</f>
        <v>0</v>
      </c>
      <c r="AF524">
        <f>INDEX(CustomWeightsIntercept,MATCH(W524&amp;":"&amp;N524,CustomWeightsIndex,0))</f>
        <v>0</v>
      </c>
      <c r="AG524">
        <f>AD524*S524+AE524*T524+AF524</f>
        <v>0</v>
      </c>
      <c r="AH524">
        <f>INDEX(CoefficientsGPA,MATCH(W524&amp;":"&amp;R524,CoefficientsIndex,0))</f>
        <v>0</v>
      </c>
      <c r="AI524">
        <f>INDEX(CoefficientsSAT,MATCH(W524&amp;":"&amp;R524,CoefficientsIndex,0))</f>
        <v>0</v>
      </c>
      <c r="AJ524">
        <f>INDEX(CoefficientsIntercept,MATCH(W524&amp;":"&amp;R524,CoefficientsIndex,0))</f>
        <v>0</v>
      </c>
      <c r="AK524">
        <f>AH524*S524+(T524-AC524)*AI524+AJ524</f>
        <v>0</v>
      </c>
      <c r="AL524">
        <f>IF(ISNUMBER(AG524),AG524,AK524)</f>
        <v>0</v>
      </c>
      <c r="AM524">
        <f>IF(ISNUMBER(AL524),IF(ISNUMBER(AH524),IF(AND(AH524=1,AI524=1,AJ524=1),100,MIN(99,ROUND(100*EXP(AL524)/(1+EXP(AL524)),2))),MIN(99,ROUND(100*EXP(AL524)/(1+EXP(AL524)),2))),IF(ISTEXT(R524),IF(LEFT(R524,1)="2",100,"N/A"),"N/A"))</f>
        <v>0</v>
      </c>
      <c r="AN524">
        <f>IF(ISNUMBER(AM524),IF(AM524&gt;=99,IF(OR(U524=10,U524=11),MatchLabel,SureThingLabel),IF(AM524&gt;=95,SecureLabel,IF(AM524&gt;=80,SafetyLabel,IF(AM524&gt;=50,MatchLabel,IF(AM524&gt;=20,ReachLabel,IF(AM524&gt;=10,LongshotLabel,HailMaryLabel)))))),"Other")</f>
        <v>0</v>
      </c>
      <c r="AO524">
        <f>IF(OR(I524="accepted",I524="cond. accept",I524="summer admit"),IF(J524="yes","CHOICE!","Accepted!"),IF(I524="guar. transfer","Guar. Xfer",IF(I524="denied","Denied",IF(K524=1,"Waitlist",IF(L524=1,"Deferred",IF(G524="pending","Pending",IF(OR(G524="initial materials submitted",G524="mid-year submitted",G524="final submitted"),"Submitted",IF(H524="interest","Interest","?"))))))))</f>
        <v>0</v>
      </c>
      <c r="AP524">
        <f>IF(OR(AN524=ReachLabel,AN524=LongshotLabel,AN524=HailMaryLabel),1,0)</f>
        <v>0</v>
      </c>
      <c r="AQ524">
        <f>IF(OR(AP524=1,AN524=MatchLabel),1,0)</f>
        <v>0</v>
      </c>
      <c r="AR524">
        <f>IF(OR(AN524=MatchLabel,AN524=SafetyLabel,AN524=SecureLabel,AN524=SureThingLabel),1,0)</f>
        <v>0</v>
      </c>
      <c r="AS524">
        <f>IF(OR(W524="H",W524="B",W524="I",W524="M"),IF(ISNUMBER(AB524),ROUND(AB524,2),0),IF(ISNUMBER(AA524),ROUND(AA524,2),0))</f>
        <v>0</v>
      </c>
      <c r="AT524">
        <f>IF(AS524&gt;=X524,1,0)</f>
        <v>0</v>
      </c>
      <c r="AU524">
        <f>IF(AS524&gt;=Y524,1,0)</f>
        <v>0</v>
      </c>
      <c r="AV524">
        <f>IF(AS524&lt;(X524-0.10),1,0)</f>
        <v>0</v>
      </c>
      <c r="AW524">
        <f>1-AM524/100</f>
        <v>0</v>
      </c>
      <c r="AX524">
        <f>IF(AQ524=1,AW524,1)</f>
        <v>0</v>
      </c>
      <c r="AY524">
        <f>IF(AP524=1,AW524,1)</f>
        <v>0</v>
      </c>
      <c r="AZ524">
        <f>IF(AND(AT524=1,ISNUMBER(AW524)),$AW524,1)</f>
        <v>0</v>
      </c>
      <c r="BA524">
        <f>IF(AND(AU524=1,ISNUMBER(AW524)),$AW524,1)</f>
        <v>0</v>
      </c>
      <c r="BB524">
        <f>IF(ISNUMBER(AB524),INDEX(AllCollegeMoney, MATCH(N524,AllCollegeNCES,0)),0)</f>
        <v>0</v>
      </c>
      <c r="BC524">
        <f>IF(AND(AT524=1,ISNUMBER(AW524),BB524=1),$AW524,1)</f>
        <v>0</v>
      </c>
      <c r="BD524">
        <f>IF(AND(AU524=1,ISNUMBER(AW524),BB524=1),$AW524,1)</f>
        <v>0</v>
      </c>
      <c r="BE524">
        <f>IF(ISNUMBER(AB524),INDEX(AllCollegeILPub, MATCH(N524,AllCollegeNCES,0)),0)</f>
        <v>0</v>
      </c>
      <c r="BF524">
        <f>IF(AN524=ReachLabel,AS524,0)</f>
        <v>0</v>
      </c>
      <c r="BG524">
        <f>IF(AN524=MatchLabel,AS524,0)</f>
        <v>0</v>
      </c>
      <c r="BH524">
        <f>IF(AN524=SafetyLabel,AS524,0)</f>
        <v>0</v>
      </c>
      <c r="BI524">
        <f>IF(AN524=SecureLabel,AS524,0)</f>
        <v>0</v>
      </c>
      <c r="BJ524">
        <f>IF(AN524=SureThingLabel,AS524,0)</f>
        <v>0</v>
      </c>
      <c r="BK524">
        <f>MAX(BF524:BJ524)</f>
        <v>0</v>
      </c>
      <c r="BL524">
        <f>MAX(BG524:BJ524)</f>
        <v>0</v>
      </c>
      <c r="BM524">
        <f>MAX(BH524:BJ524)</f>
        <v>0</v>
      </c>
      <c r="BN524">
        <f>IF(AND(AN524=ReachLabel,BB524=1),AS524,0)</f>
        <v>0</v>
      </c>
      <c r="BO524">
        <f>IF(AND(AN524=MatchLabel,BB524=1),AS524,0)</f>
        <v>0</v>
      </c>
      <c r="BP524">
        <f>IF(AND(AN524=SafetyLabel,BB524=1),AS524,0)</f>
        <v>0</v>
      </c>
      <c r="BQ524">
        <f>IF(AND(AN524=SecureLabel,BB524=1),AS524,0)</f>
        <v>0</v>
      </c>
      <c r="BR524">
        <f>IF(AND(AN524=SureThingLabel,BB524=1),AS524,0)</f>
        <v>0</v>
      </c>
      <c r="BS524">
        <f>MAX(BN524:BR524)</f>
        <v>0</v>
      </c>
      <c r="BT524">
        <f>MAX(BO524:BR524)</f>
        <v>0</v>
      </c>
      <c r="BU524">
        <f>MAX(BP524:BR524)</f>
        <v>0</v>
      </c>
      <c r="BV524">
        <f>IF(ISNUMBER(AB524),INDEX(AllCollegeChicago, MATCH(N524,AllCollegeNCES,0))*BB524,0)</f>
        <v>0</v>
      </c>
      <c r="BW524">
        <f>IF(ISNUMBER(AB524),INDEX(AllCollegeMoneyCode, MATCH(N524,AllCollegeNCES,0)),"?")</f>
        <v>0</v>
      </c>
      <c r="BX524">
        <f>IF(OR(BW524="---",BW524="--",BW524="+/--",BW524="+/---"),1,0)</f>
        <v>0</v>
      </c>
      <c r="BY524">
        <f>BB524*AR524*AT524</f>
        <v>0</v>
      </c>
    </row>
    <row r="525" spans="1:77">
      <c r="A525" t="s">
        <v>96</v>
      </c>
      <c r="B525">
        <v>23477628</v>
      </c>
      <c r="C525" t="s">
        <v>318</v>
      </c>
      <c r="D525" t="s">
        <v>319</v>
      </c>
      <c r="E525" t="s">
        <v>446</v>
      </c>
      <c r="F525" t="s">
        <v>478</v>
      </c>
      <c r="G525" t="s">
        <v>448</v>
      </c>
      <c r="H525" t="s">
        <v>449</v>
      </c>
      <c r="I525" t="s">
        <v>450</v>
      </c>
      <c r="J525" t="s">
        <v>450</v>
      </c>
      <c r="K525">
        <v>0</v>
      </c>
      <c r="L525" t="s">
        <v>446</v>
      </c>
      <c r="M525" t="s">
        <v>446</v>
      </c>
      <c r="N525">
        <v>168546</v>
      </c>
      <c r="O525">
        <f>INDEX(Counselor,MATCH(B525,KidIDs,0))</f>
        <v>0</v>
      </c>
      <c r="P525">
        <f>INDEX(Advisors,MATCH(B525,KidIDs,0))</f>
        <v>0</v>
      </c>
      <c r="Q525">
        <f>INDEX(Cohort,MATCH(B525,KidIDs,0))</f>
        <v>0</v>
      </c>
      <c r="R525">
        <f>INDEX(AllCollegeBarrons,MATCH(N525,AllCollegeNCES,0))</f>
        <v>0</v>
      </c>
      <c r="S525">
        <f>INDEX(KidGPAs,MATCH(B525,KidIDs,0))</f>
        <v>0</v>
      </c>
      <c r="T525">
        <f>INDEX(KidSATs,MATCH(B525,KidIDs,0))</f>
        <v>0</v>
      </c>
      <c r="U525">
        <f>INDEX(Strats,MATCH(B525,KidIDs,0))</f>
        <v>0</v>
      </c>
      <c r="V525">
        <f>INDEX(KidRace,MATCH(B525,KidIDs,0))</f>
        <v>0</v>
      </c>
      <c r="W525">
        <f>IF(OR(V525="M",V525="I"),"H",IF(V525="P","A",V525))</f>
        <v>0</v>
      </c>
      <c r="X525">
        <f>INDEX(StudentTargets,MATCH(B525,KidIDs,0))</f>
        <v>0</v>
      </c>
      <c r="Y525">
        <f>INDEX(ReachStudentTargets,MATCH(B525,KidIDs,0))</f>
        <v>0</v>
      </c>
      <c r="Z525">
        <f>IF(OR(M525="Posse"),1,0)</f>
        <v>0</v>
      </c>
      <c r="AA525">
        <f>IF(ISNUMBER(INDEX(AllCollegeGR, MATCH(N525,AllCollegeNCES,0))),ROUND(INDEX(AllCollegeGR, MATCH(N525,AllCollegeNCES,0))+Z525*IF(INDEX(AllCollegeGR, MATCH(N525,AllCollegeNCES,0))&gt;0.7,(1-INDEX(AllCollegeGR, MATCH(N525,AllCollegeNCES,0)))/2,0.15),2),INDEX(AllCollegeGR, MATCH(N525,AllCollegeNCES,0)))</f>
        <v>0</v>
      </c>
      <c r="AB525">
        <f>IF(ISNUMBER(INDEX(AllCollegeAAHGR, MATCH(N525,AllCollegeNCES,0))),ROUND(INDEX(AllCollegeAAHGR, MATCH(N525,AllCollegeNCES,0))+Z525*IF(INDEX(AllCollegeAAHGR, MATCH(N525,AllCollegeNCES,0))&gt;0.7,(1-INDEX(AllCollegeAAHGR, MATCH(N525,AllCollegeNCES,0)))/2,0.15),2),INDEX(AllCollegeAAHGR, MATCH(N525,AllCollegeNCES,0)))</f>
        <v>0</v>
      </c>
      <c r="AC525">
        <f>IF(OR(W525="H",W525="B"),INDEX(AllCollegeSAT25, MATCH(N525,AllCollegeNCES,0)),INDEX(AllCollegeSAT50, MATCH(N525,AllCollegeNCES,0)))</f>
        <v>0</v>
      </c>
      <c r="AD525">
        <f>INDEX(CustomWeightsGPA,MATCH(W525&amp;":"&amp;N525,CustomWeightsIndex,0))</f>
        <v>0</v>
      </c>
      <c r="AE525">
        <f>INDEX(CustomWeightsSAT,MATCH(W525&amp;":"&amp;N525,CustomWeightsIndex,0))</f>
        <v>0</v>
      </c>
      <c r="AF525">
        <f>INDEX(CustomWeightsIntercept,MATCH(W525&amp;":"&amp;N525,CustomWeightsIndex,0))</f>
        <v>0</v>
      </c>
      <c r="AG525">
        <f>AD525*S525+AE525*T525+AF525</f>
        <v>0</v>
      </c>
      <c r="AH525">
        <f>INDEX(CoefficientsGPA,MATCH(W525&amp;":"&amp;R525,CoefficientsIndex,0))</f>
        <v>0</v>
      </c>
      <c r="AI525">
        <f>INDEX(CoefficientsSAT,MATCH(W525&amp;":"&amp;R525,CoefficientsIndex,0))</f>
        <v>0</v>
      </c>
      <c r="AJ525">
        <f>INDEX(CoefficientsIntercept,MATCH(W525&amp;":"&amp;R525,CoefficientsIndex,0))</f>
        <v>0</v>
      </c>
      <c r="AK525">
        <f>AH525*S525+(T525-AC525)*AI525+AJ525</f>
        <v>0</v>
      </c>
      <c r="AL525">
        <f>IF(ISNUMBER(AG525),AG525,AK525)</f>
        <v>0</v>
      </c>
      <c r="AM525">
        <f>IF(ISNUMBER(AL525),IF(ISNUMBER(AH525),IF(AND(AH525=1,AI525=1,AJ525=1),100,MIN(99,ROUND(100*EXP(AL525)/(1+EXP(AL525)),2))),MIN(99,ROUND(100*EXP(AL525)/(1+EXP(AL525)),2))),IF(ISTEXT(R525),IF(LEFT(R525,1)="2",100,"N/A"),"N/A"))</f>
        <v>0</v>
      </c>
      <c r="AN525">
        <f>IF(ISNUMBER(AM525),IF(AM525&gt;=99,IF(OR(U525=10,U525=11),MatchLabel,SureThingLabel),IF(AM525&gt;=95,SecureLabel,IF(AM525&gt;=80,SafetyLabel,IF(AM525&gt;=50,MatchLabel,IF(AM525&gt;=20,ReachLabel,IF(AM525&gt;=10,LongshotLabel,HailMaryLabel)))))),"Other")</f>
        <v>0</v>
      </c>
      <c r="AO525">
        <f>IF(OR(I525="accepted",I525="cond. accept",I525="summer admit"),IF(J525="yes","CHOICE!","Accepted!"),IF(I525="guar. transfer","Guar. Xfer",IF(I525="denied","Denied",IF(K525=1,"Waitlist",IF(L525=1,"Deferred",IF(G525="pending","Pending",IF(OR(G525="initial materials submitted",G525="mid-year submitted",G525="final submitted"),"Submitted",IF(H525="interest","Interest","?"))))))))</f>
        <v>0</v>
      </c>
      <c r="AP525">
        <f>IF(OR(AN525=ReachLabel,AN525=LongshotLabel,AN525=HailMaryLabel),1,0)</f>
        <v>0</v>
      </c>
      <c r="AQ525">
        <f>IF(OR(AP525=1,AN525=MatchLabel),1,0)</f>
        <v>0</v>
      </c>
      <c r="AR525">
        <f>IF(OR(AN525=MatchLabel,AN525=SafetyLabel,AN525=SecureLabel,AN525=SureThingLabel),1,0)</f>
        <v>0</v>
      </c>
      <c r="AS525">
        <f>IF(OR(W525="H",W525="B",W525="I",W525="M"),IF(ISNUMBER(AB525),ROUND(AB525,2),0),IF(ISNUMBER(AA525),ROUND(AA525,2),0))</f>
        <v>0</v>
      </c>
      <c r="AT525">
        <f>IF(AS525&gt;=X525,1,0)</f>
        <v>0</v>
      </c>
      <c r="AU525">
        <f>IF(AS525&gt;=Y525,1,0)</f>
        <v>0</v>
      </c>
      <c r="AV525">
        <f>IF(AS525&lt;(X525-0.10),1,0)</f>
        <v>0</v>
      </c>
      <c r="AW525">
        <f>1-AM525/100</f>
        <v>0</v>
      </c>
      <c r="AX525">
        <f>IF(AQ525=1,AW525,1)</f>
        <v>0</v>
      </c>
      <c r="AY525">
        <f>IF(AP525=1,AW525,1)</f>
        <v>0</v>
      </c>
      <c r="AZ525">
        <f>IF(AND(AT525=1,ISNUMBER(AW525)),$AW525,1)</f>
        <v>0</v>
      </c>
      <c r="BA525">
        <f>IF(AND(AU525=1,ISNUMBER(AW525)),$AW525,1)</f>
        <v>0</v>
      </c>
      <c r="BB525">
        <f>IF(ISNUMBER(AB525),INDEX(AllCollegeMoney, MATCH(N525,AllCollegeNCES,0)),0)</f>
        <v>0</v>
      </c>
      <c r="BC525">
        <f>IF(AND(AT525=1,ISNUMBER(AW525),BB525=1),$AW525,1)</f>
        <v>0</v>
      </c>
      <c r="BD525">
        <f>IF(AND(AU525=1,ISNUMBER(AW525),BB525=1),$AW525,1)</f>
        <v>0</v>
      </c>
      <c r="BE525">
        <f>IF(ISNUMBER(AB525),INDEX(AllCollegeILPub, MATCH(N525,AllCollegeNCES,0)),0)</f>
        <v>0</v>
      </c>
      <c r="BF525">
        <f>IF(AN525=ReachLabel,AS525,0)</f>
        <v>0</v>
      </c>
      <c r="BG525">
        <f>IF(AN525=MatchLabel,AS525,0)</f>
        <v>0</v>
      </c>
      <c r="BH525">
        <f>IF(AN525=SafetyLabel,AS525,0)</f>
        <v>0</v>
      </c>
      <c r="BI525">
        <f>IF(AN525=SecureLabel,AS525,0)</f>
        <v>0</v>
      </c>
      <c r="BJ525">
        <f>IF(AN525=SureThingLabel,AS525,0)</f>
        <v>0</v>
      </c>
      <c r="BK525">
        <f>MAX(BF525:BJ525)</f>
        <v>0</v>
      </c>
      <c r="BL525">
        <f>MAX(BG525:BJ525)</f>
        <v>0</v>
      </c>
      <c r="BM525">
        <f>MAX(BH525:BJ525)</f>
        <v>0</v>
      </c>
      <c r="BN525">
        <f>IF(AND(AN525=ReachLabel,BB525=1),AS525,0)</f>
        <v>0</v>
      </c>
      <c r="BO525">
        <f>IF(AND(AN525=MatchLabel,BB525=1),AS525,0)</f>
        <v>0</v>
      </c>
      <c r="BP525">
        <f>IF(AND(AN525=SafetyLabel,BB525=1),AS525,0)</f>
        <v>0</v>
      </c>
      <c r="BQ525">
        <f>IF(AND(AN525=SecureLabel,BB525=1),AS525,0)</f>
        <v>0</v>
      </c>
      <c r="BR525">
        <f>IF(AND(AN525=SureThingLabel,BB525=1),AS525,0)</f>
        <v>0</v>
      </c>
      <c r="BS525">
        <f>MAX(BN525:BR525)</f>
        <v>0</v>
      </c>
      <c r="BT525">
        <f>MAX(BO525:BR525)</f>
        <v>0</v>
      </c>
      <c r="BU525">
        <f>MAX(BP525:BR525)</f>
        <v>0</v>
      </c>
      <c r="BV525">
        <f>IF(ISNUMBER(AB525),INDEX(AllCollegeChicago, MATCH(N525,AllCollegeNCES,0))*BB525,0)</f>
        <v>0</v>
      </c>
      <c r="BW525">
        <f>IF(ISNUMBER(AB525),INDEX(AllCollegeMoneyCode, MATCH(N525,AllCollegeNCES,0)),"?")</f>
        <v>0</v>
      </c>
      <c r="BX525">
        <f>IF(OR(BW525="---",BW525="--",BW525="+/--",BW525="+/---"),1,0)</f>
        <v>0</v>
      </c>
      <c r="BY525">
        <f>BB525*AR525*AT525</f>
        <v>0</v>
      </c>
    </row>
    <row r="526" spans="1:77">
      <c r="A526" t="s">
        <v>96</v>
      </c>
      <c r="B526">
        <v>23477628</v>
      </c>
      <c r="C526" t="s">
        <v>318</v>
      </c>
      <c r="D526" t="s">
        <v>319</v>
      </c>
      <c r="E526" t="s">
        <v>446</v>
      </c>
      <c r="F526" t="s">
        <v>517</v>
      </c>
      <c r="G526" t="s">
        <v>448</v>
      </c>
      <c r="H526" t="s">
        <v>449</v>
      </c>
      <c r="I526" t="s">
        <v>450</v>
      </c>
      <c r="J526" t="s">
        <v>450</v>
      </c>
      <c r="K526">
        <v>0</v>
      </c>
      <c r="L526" t="s">
        <v>446</v>
      </c>
      <c r="M526" t="s">
        <v>446</v>
      </c>
      <c r="N526">
        <v>143048</v>
      </c>
      <c r="O526">
        <f>INDEX(Counselor,MATCH(B526,KidIDs,0))</f>
        <v>0</v>
      </c>
      <c r="P526">
        <f>INDEX(Advisors,MATCH(B526,KidIDs,0))</f>
        <v>0</v>
      </c>
      <c r="Q526">
        <f>INDEX(Cohort,MATCH(B526,KidIDs,0))</f>
        <v>0</v>
      </c>
      <c r="R526">
        <f>INDEX(AllCollegeBarrons,MATCH(N526,AllCollegeNCES,0))</f>
        <v>0</v>
      </c>
      <c r="S526">
        <f>INDEX(KidGPAs,MATCH(B526,KidIDs,0))</f>
        <v>0</v>
      </c>
      <c r="T526">
        <f>INDEX(KidSATs,MATCH(B526,KidIDs,0))</f>
        <v>0</v>
      </c>
      <c r="U526">
        <f>INDEX(Strats,MATCH(B526,KidIDs,0))</f>
        <v>0</v>
      </c>
      <c r="V526">
        <f>INDEX(KidRace,MATCH(B526,KidIDs,0))</f>
        <v>0</v>
      </c>
      <c r="W526">
        <f>IF(OR(V526="M",V526="I"),"H",IF(V526="P","A",V526))</f>
        <v>0</v>
      </c>
      <c r="X526">
        <f>INDEX(StudentTargets,MATCH(B526,KidIDs,0))</f>
        <v>0</v>
      </c>
      <c r="Y526">
        <f>INDEX(ReachStudentTargets,MATCH(B526,KidIDs,0))</f>
        <v>0</v>
      </c>
      <c r="Z526">
        <f>IF(OR(M526="Posse"),1,0)</f>
        <v>0</v>
      </c>
      <c r="AA526">
        <f>IF(ISNUMBER(INDEX(AllCollegeGR, MATCH(N526,AllCollegeNCES,0))),ROUND(INDEX(AllCollegeGR, MATCH(N526,AllCollegeNCES,0))+Z526*IF(INDEX(AllCollegeGR, MATCH(N526,AllCollegeNCES,0))&gt;0.7,(1-INDEX(AllCollegeGR, MATCH(N526,AllCollegeNCES,0)))/2,0.15),2),INDEX(AllCollegeGR, MATCH(N526,AllCollegeNCES,0)))</f>
        <v>0</v>
      </c>
      <c r="AB526">
        <f>IF(ISNUMBER(INDEX(AllCollegeAAHGR, MATCH(N526,AllCollegeNCES,0))),ROUND(INDEX(AllCollegeAAHGR, MATCH(N526,AllCollegeNCES,0))+Z526*IF(INDEX(AllCollegeAAHGR, MATCH(N526,AllCollegeNCES,0))&gt;0.7,(1-INDEX(AllCollegeAAHGR, MATCH(N526,AllCollegeNCES,0)))/2,0.15),2),INDEX(AllCollegeAAHGR, MATCH(N526,AllCollegeNCES,0)))</f>
        <v>0</v>
      </c>
      <c r="AC526">
        <f>IF(OR(W526="H",W526="B"),INDEX(AllCollegeSAT25, MATCH(N526,AllCollegeNCES,0)),INDEX(AllCollegeSAT50, MATCH(N526,AllCollegeNCES,0)))</f>
        <v>0</v>
      </c>
      <c r="AD526">
        <f>INDEX(CustomWeightsGPA,MATCH(W526&amp;":"&amp;N526,CustomWeightsIndex,0))</f>
        <v>0</v>
      </c>
      <c r="AE526">
        <f>INDEX(CustomWeightsSAT,MATCH(W526&amp;":"&amp;N526,CustomWeightsIndex,0))</f>
        <v>0</v>
      </c>
      <c r="AF526">
        <f>INDEX(CustomWeightsIntercept,MATCH(W526&amp;":"&amp;N526,CustomWeightsIndex,0))</f>
        <v>0</v>
      </c>
      <c r="AG526">
        <f>AD526*S526+AE526*T526+AF526</f>
        <v>0</v>
      </c>
      <c r="AH526">
        <f>INDEX(CoefficientsGPA,MATCH(W526&amp;":"&amp;R526,CoefficientsIndex,0))</f>
        <v>0</v>
      </c>
      <c r="AI526">
        <f>INDEX(CoefficientsSAT,MATCH(W526&amp;":"&amp;R526,CoefficientsIndex,0))</f>
        <v>0</v>
      </c>
      <c r="AJ526">
        <f>INDEX(CoefficientsIntercept,MATCH(W526&amp;":"&amp;R526,CoefficientsIndex,0))</f>
        <v>0</v>
      </c>
      <c r="AK526">
        <f>AH526*S526+(T526-AC526)*AI526+AJ526</f>
        <v>0</v>
      </c>
      <c r="AL526">
        <f>IF(ISNUMBER(AG526),AG526,AK526)</f>
        <v>0</v>
      </c>
      <c r="AM526">
        <f>IF(ISNUMBER(AL526),IF(ISNUMBER(AH526),IF(AND(AH526=1,AI526=1,AJ526=1),100,MIN(99,ROUND(100*EXP(AL526)/(1+EXP(AL526)),2))),MIN(99,ROUND(100*EXP(AL526)/(1+EXP(AL526)),2))),IF(ISTEXT(R526),IF(LEFT(R526,1)="2",100,"N/A"),"N/A"))</f>
        <v>0</v>
      </c>
      <c r="AN526">
        <f>IF(ISNUMBER(AM526),IF(AM526&gt;=99,IF(OR(U526=10,U526=11),MatchLabel,SureThingLabel),IF(AM526&gt;=95,SecureLabel,IF(AM526&gt;=80,SafetyLabel,IF(AM526&gt;=50,MatchLabel,IF(AM526&gt;=20,ReachLabel,IF(AM526&gt;=10,LongshotLabel,HailMaryLabel)))))),"Other")</f>
        <v>0</v>
      </c>
      <c r="AO526">
        <f>IF(OR(I526="accepted",I526="cond. accept",I526="summer admit"),IF(J526="yes","CHOICE!","Accepted!"),IF(I526="guar. transfer","Guar. Xfer",IF(I526="denied","Denied",IF(K526=1,"Waitlist",IF(L526=1,"Deferred",IF(G526="pending","Pending",IF(OR(G526="initial materials submitted",G526="mid-year submitted",G526="final submitted"),"Submitted",IF(H526="interest","Interest","?"))))))))</f>
        <v>0</v>
      </c>
      <c r="AP526">
        <f>IF(OR(AN526=ReachLabel,AN526=LongshotLabel,AN526=HailMaryLabel),1,0)</f>
        <v>0</v>
      </c>
      <c r="AQ526">
        <f>IF(OR(AP526=1,AN526=MatchLabel),1,0)</f>
        <v>0</v>
      </c>
      <c r="AR526">
        <f>IF(OR(AN526=MatchLabel,AN526=SafetyLabel,AN526=SecureLabel,AN526=SureThingLabel),1,0)</f>
        <v>0</v>
      </c>
      <c r="AS526">
        <f>IF(OR(W526="H",W526="B",W526="I",W526="M"),IF(ISNUMBER(AB526),ROUND(AB526,2),0),IF(ISNUMBER(AA526),ROUND(AA526,2),0))</f>
        <v>0</v>
      </c>
      <c r="AT526">
        <f>IF(AS526&gt;=X526,1,0)</f>
        <v>0</v>
      </c>
      <c r="AU526">
        <f>IF(AS526&gt;=Y526,1,0)</f>
        <v>0</v>
      </c>
      <c r="AV526">
        <f>IF(AS526&lt;(X526-0.10),1,0)</f>
        <v>0</v>
      </c>
      <c r="AW526">
        <f>1-AM526/100</f>
        <v>0</v>
      </c>
      <c r="AX526">
        <f>IF(AQ526=1,AW526,1)</f>
        <v>0</v>
      </c>
      <c r="AY526">
        <f>IF(AP526=1,AW526,1)</f>
        <v>0</v>
      </c>
      <c r="AZ526">
        <f>IF(AND(AT526=1,ISNUMBER(AW526)),$AW526,1)</f>
        <v>0</v>
      </c>
      <c r="BA526">
        <f>IF(AND(AU526=1,ISNUMBER(AW526)),$AW526,1)</f>
        <v>0</v>
      </c>
      <c r="BB526">
        <f>IF(ISNUMBER(AB526),INDEX(AllCollegeMoney, MATCH(N526,AllCollegeNCES,0)),0)</f>
        <v>0</v>
      </c>
      <c r="BC526">
        <f>IF(AND(AT526=1,ISNUMBER(AW526),BB526=1),$AW526,1)</f>
        <v>0</v>
      </c>
      <c r="BD526">
        <f>IF(AND(AU526=1,ISNUMBER(AW526),BB526=1),$AW526,1)</f>
        <v>0</v>
      </c>
      <c r="BE526">
        <f>IF(ISNUMBER(AB526),INDEX(AllCollegeILPub, MATCH(N526,AllCollegeNCES,0)),0)</f>
        <v>0</v>
      </c>
      <c r="BF526">
        <f>IF(AN526=ReachLabel,AS526,0)</f>
        <v>0</v>
      </c>
      <c r="BG526">
        <f>IF(AN526=MatchLabel,AS526,0)</f>
        <v>0</v>
      </c>
      <c r="BH526">
        <f>IF(AN526=SafetyLabel,AS526,0)</f>
        <v>0</v>
      </c>
      <c r="BI526">
        <f>IF(AN526=SecureLabel,AS526,0)</f>
        <v>0</v>
      </c>
      <c r="BJ526">
        <f>IF(AN526=SureThingLabel,AS526,0)</f>
        <v>0</v>
      </c>
      <c r="BK526">
        <f>MAX(BF526:BJ526)</f>
        <v>0</v>
      </c>
      <c r="BL526">
        <f>MAX(BG526:BJ526)</f>
        <v>0</v>
      </c>
      <c r="BM526">
        <f>MAX(BH526:BJ526)</f>
        <v>0</v>
      </c>
      <c r="BN526">
        <f>IF(AND(AN526=ReachLabel,BB526=1),AS526,0)</f>
        <v>0</v>
      </c>
      <c r="BO526">
        <f>IF(AND(AN526=MatchLabel,BB526=1),AS526,0)</f>
        <v>0</v>
      </c>
      <c r="BP526">
        <f>IF(AND(AN526=SafetyLabel,BB526=1),AS526,0)</f>
        <v>0</v>
      </c>
      <c r="BQ526">
        <f>IF(AND(AN526=SecureLabel,BB526=1),AS526,0)</f>
        <v>0</v>
      </c>
      <c r="BR526">
        <f>IF(AND(AN526=SureThingLabel,BB526=1),AS526,0)</f>
        <v>0</v>
      </c>
      <c r="BS526">
        <f>MAX(BN526:BR526)</f>
        <v>0</v>
      </c>
      <c r="BT526">
        <f>MAX(BO526:BR526)</f>
        <v>0</v>
      </c>
      <c r="BU526">
        <f>MAX(BP526:BR526)</f>
        <v>0</v>
      </c>
      <c r="BV526">
        <f>IF(ISNUMBER(AB526),INDEX(AllCollegeChicago, MATCH(N526,AllCollegeNCES,0))*BB526,0)</f>
        <v>0</v>
      </c>
      <c r="BW526">
        <f>IF(ISNUMBER(AB526),INDEX(AllCollegeMoneyCode, MATCH(N526,AllCollegeNCES,0)),"?")</f>
        <v>0</v>
      </c>
      <c r="BX526">
        <f>IF(OR(BW526="---",BW526="--",BW526="+/--",BW526="+/---"),1,0)</f>
        <v>0</v>
      </c>
      <c r="BY526">
        <f>BB526*AR526*AT526</f>
        <v>0</v>
      </c>
    </row>
    <row r="527" spans="1:77">
      <c r="A527" t="s">
        <v>96</v>
      </c>
      <c r="B527">
        <v>23477628</v>
      </c>
      <c r="C527" t="s">
        <v>318</v>
      </c>
      <c r="D527" t="s">
        <v>319</v>
      </c>
      <c r="E527" t="s">
        <v>446</v>
      </c>
      <c r="F527" t="s">
        <v>465</v>
      </c>
      <c r="G527" t="s">
        <v>448</v>
      </c>
      <c r="H527" t="s">
        <v>449</v>
      </c>
      <c r="I527" t="s">
        <v>450</v>
      </c>
      <c r="J527" t="s">
        <v>450</v>
      </c>
      <c r="K527">
        <v>0</v>
      </c>
      <c r="L527" t="s">
        <v>446</v>
      </c>
      <c r="M527" t="s">
        <v>446</v>
      </c>
      <c r="N527">
        <v>145600</v>
      </c>
      <c r="O527">
        <f>INDEX(Counselor,MATCH(B527,KidIDs,0))</f>
        <v>0</v>
      </c>
      <c r="P527">
        <f>INDEX(Advisors,MATCH(B527,KidIDs,0))</f>
        <v>0</v>
      </c>
      <c r="Q527">
        <f>INDEX(Cohort,MATCH(B527,KidIDs,0))</f>
        <v>0</v>
      </c>
      <c r="R527">
        <f>INDEX(AllCollegeBarrons,MATCH(N527,AllCollegeNCES,0))</f>
        <v>0</v>
      </c>
      <c r="S527">
        <f>INDEX(KidGPAs,MATCH(B527,KidIDs,0))</f>
        <v>0</v>
      </c>
      <c r="T527">
        <f>INDEX(KidSATs,MATCH(B527,KidIDs,0))</f>
        <v>0</v>
      </c>
      <c r="U527">
        <f>INDEX(Strats,MATCH(B527,KidIDs,0))</f>
        <v>0</v>
      </c>
      <c r="V527">
        <f>INDEX(KidRace,MATCH(B527,KidIDs,0))</f>
        <v>0</v>
      </c>
      <c r="W527">
        <f>IF(OR(V527="M",V527="I"),"H",IF(V527="P","A",V527))</f>
        <v>0</v>
      </c>
      <c r="X527">
        <f>INDEX(StudentTargets,MATCH(B527,KidIDs,0))</f>
        <v>0</v>
      </c>
      <c r="Y527">
        <f>INDEX(ReachStudentTargets,MATCH(B527,KidIDs,0))</f>
        <v>0</v>
      </c>
      <c r="Z527">
        <f>IF(OR(M527="Posse"),1,0)</f>
        <v>0</v>
      </c>
      <c r="AA527">
        <f>IF(ISNUMBER(INDEX(AllCollegeGR, MATCH(N527,AllCollegeNCES,0))),ROUND(INDEX(AllCollegeGR, MATCH(N527,AllCollegeNCES,0))+Z527*IF(INDEX(AllCollegeGR, MATCH(N527,AllCollegeNCES,0))&gt;0.7,(1-INDEX(AllCollegeGR, MATCH(N527,AllCollegeNCES,0)))/2,0.15),2),INDEX(AllCollegeGR, MATCH(N527,AllCollegeNCES,0)))</f>
        <v>0</v>
      </c>
      <c r="AB527">
        <f>IF(ISNUMBER(INDEX(AllCollegeAAHGR, MATCH(N527,AllCollegeNCES,0))),ROUND(INDEX(AllCollegeAAHGR, MATCH(N527,AllCollegeNCES,0))+Z527*IF(INDEX(AllCollegeAAHGR, MATCH(N527,AllCollegeNCES,0))&gt;0.7,(1-INDEX(AllCollegeAAHGR, MATCH(N527,AllCollegeNCES,0)))/2,0.15),2),INDEX(AllCollegeAAHGR, MATCH(N527,AllCollegeNCES,0)))</f>
        <v>0</v>
      </c>
      <c r="AC527">
        <f>IF(OR(W527="H",W527="B"),INDEX(AllCollegeSAT25, MATCH(N527,AllCollegeNCES,0)),INDEX(AllCollegeSAT50, MATCH(N527,AllCollegeNCES,0)))</f>
        <v>0</v>
      </c>
      <c r="AD527">
        <f>INDEX(CustomWeightsGPA,MATCH(W527&amp;":"&amp;N527,CustomWeightsIndex,0))</f>
        <v>0</v>
      </c>
      <c r="AE527">
        <f>INDEX(CustomWeightsSAT,MATCH(W527&amp;":"&amp;N527,CustomWeightsIndex,0))</f>
        <v>0</v>
      </c>
      <c r="AF527">
        <f>INDEX(CustomWeightsIntercept,MATCH(W527&amp;":"&amp;N527,CustomWeightsIndex,0))</f>
        <v>0</v>
      </c>
      <c r="AG527">
        <f>AD527*S527+AE527*T527+AF527</f>
        <v>0</v>
      </c>
      <c r="AH527">
        <f>INDEX(CoefficientsGPA,MATCH(W527&amp;":"&amp;R527,CoefficientsIndex,0))</f>
        <v>0</v>
      </c>
      <c r="AI527">
        <f>INDEX(CoefficientsSAT,MATCH(W527&amp;":"&amp;R527,CoefficientsIndex,0))</f>
        <v>0</v>
      </c>
      <c r="AJ527">
        <f>INDEX(CoefficientsIntercept,MATCH(W527&amp;":"&amp;R527,CoefficientsIndex,0))</f>
        <v>0</v>
      </c>
      <c r="AK527">
        <f>AH527*S527+(T527-AC527)*AI527+AJ527</f>
        <v>0</v>
      </c>
      <c r="AL527">
        <f>IF(ISNUMBER(AG527),AG527,AK527)</f>
        <v>0</v>
      </c>
      <c r="AM527">
        <f>IF(ISNUMBER(AL527),IF(ISNUMBER(AH527),IF(AND(AH527=1,AI527=1,AJ527=1),100,MIN(99,ROUND(100*EXP(AL527)/(1+EXP(AL527)),2))),MIN(99,ROUND(100*EXP(AL527)/(1+EXP(AL527)),2))),IF(ISTEXT(R527),IF(LEFT(R527,1)="2",100,"N/A"),"N/A"))</f>
        <v>0</v>
      </c>
      <c r="AN527">
        <f>IF(ISNUMBER(AM527),IF(AM527&gt;=99,IF(OR(U527=10,U527=11),MatchLabel,SureThingLabel),IF(AM527&gt;=95,SecureLabel,IF(AM527&gt;=80,SafetyLabel,IF(AM527&gt;=50,MatchLabel,IF(AM527&gt;=20,ReachLabel,IF(AM527&gt;=10,LongshotLabel,HailMaryLabel)))))),"Other")</f>
        <v>0</v>
      </c>
      <c r="AO527">
        <f>IF(OR(I527="accepted",I527="cond. accept",I527="summer admit"),IF(J527="yes","CHOICE!","Accepted!"),IF(I527="guar. transfer","Guar. Xfer",IF(I527="denied","Denied",IF(K527=1,"Waitlist",IF(L527=1,"Deferred",IF(G527="pending","Pending",IF(OR(G527="initial materials submitted",G527="mid-year submitted",G527="final submitted"),"Submitted",IF(H527="interest","Interest","?"))))))))</f>
        <v>0</v>
      </c>
      <c r="AP527">
        <f>IF(OR(AN527=ReachLabel,AN527=LongshotLabel,AN527=HailMaryLabel),1,0)</f>
        <v>0</v>
      </c>
      <c r="AQ527">
        <f>IF(OR(AP527=1,AN527=MatchLabel),1,0)</f>
        <v>0</v>
      </c>
      <c r="AR527">
        <f>IF(OR(AN527=MatchLabel,AN527=SafetyLabel,AN527=SecureLabel,AN527=SureThingLabel),1,0)</f>
        <v>0</v>
      </c>
      <c r="AS527">
        <f>IF(OR(W527="H",W527="B",W527="I",W527="M"),IF(ISNUMBER(AB527),ROUND(AB527,2),0),IF(ISNUMBER(AA527),ROUND(AA527,2),0))</f>
        <v>0</v>
      </c>
      <c r="AT527">
        <f>IF(AS527&gt;=X527,1,0)</f>
        <v>0</v>
      </c>
      <c r="AU527">
        <f>IF(AS527&gt;=Y527,1,0)</f>
        <v>0</v>
      </c>
      <c r="AV527">
        <f>IF(AS527&lt;(X527-0.10),1,0)</f>
        <v>0</v>
      </c>
      <c r="AW527">
        <f>1-AM527/100</f>
        <v>0</v>
      </c>
      <c r="AX527">
        <f>IF(AQ527=1,AW527,1)</f>
        <v>0</v>
      </c>
      <c r="AY527">
        <f>IF(AP527=1,AW527,1)</f>
        <v>0</v>
      </c>
      <c r="AZ527">
        <f>IF(AND(AT527=1,ISNUMBER(AW527)),$AW527,1)</f>
        <v>0</v>
      </c>
      <c r="BA527">
        <f>IF(AND(AU527=1,ISNUMBER(AW527)),$AW527,1)</f>
        <v>0</v>
      </c>
      <c r="BB527">
        <f>IF(ISNUMBER(AB527),INDEX(AllCollegeMoney, MATCH(N527,AllCollegeNCES,0)),0)</f>
        <v>0</v>
      </c>
      <c r="BC527">
        <f>IF(AND(AT527=1,ISNUMBER(AW527),BB527=1),$AW527,1)</f>
        <v>0</v>
      </c>
      <c r="BD527">
        <f>IF(AND(AU527=1,ISNUMBER(AW527),BB527=1),$AW527,1)</f>
        <v>0</v>
      </c>
      <c r="BE527">
        <f>IF(ISNUMBER(AB527),INDEX(AllCollegeILPub, MATCH(N527,AllCollegeNCES,0)),0)</f>
        <v>0</v>
      </c>
      <c r="BF527">
        <f>IF(AN527=ReachLabel,AS527,0)</f>
        <v>0</v>
      </c>
      <c r="BG527">
        <f>IF(AN527=MatchLabel,AS527,0)</f>
        <v>0</v>
      </c>
      <c r="BH527">
        <f>IF(AN527=SafetyLabel,AS527,0)</f>
        <v>0</v>
      </c>
      <c r="BI527">
        <f>IF(AN527=SecureLabel,AS527,0)</f>
        <v>0</v>
      </c>
      <c r="BJ527">
        <f>IF(AN527=SureThingLabel,AS527,0)</f>
        <v>0</v>
      </c>
      <c r="BK527">
        <f>MAX(BF527:BJ527)</f>
        <v>0</v>
      </c>
      <c r="BL527">
        <f>MAX(BG527:BJ527)</f>
        <v>0</v>
      </c>
      <c r="BM527">
        <f>MAX(BH527:BJ527)</f>
        <v>0</v>
      </c>
      <c r="BN527">
        <f>IF(AND(AN527=ReachLabel,BB527=1),AS527,0)</f>
        <v>0</v>
      </c>
      <c r="BO527">
        <f>IF(AND(AN527=MatchLabel,BB527=1),AS527,0)</f>
        <v>0</v>
      </c>
      <c r="BP527">
        <f>IF(AND(AN527=SafetyLabel,BB527=1),AS527,0)</f>
        <v>0</v>
      </c>
      <c r="BQ527">
        <f>IF(AND(AN527=SecureLabel,BB527=1),AS527,0)</f>
        <v>0</v>
      </c>
      <c r="BR527">
        <f>IF(AND(AN527=SureThingLabel,BB527=1),AS527,0)</f>
        <v>0</v>
      </c>
      <c r="BS527">
        <f>MAX(BN527:BR527)</f>
        <v>0</v>
      </c>
      <c r="BT527">
        <f>MAX(BO527:BR527)</f>
        <v>0</v>
      </c>
      <c r="BU527">
        <f>MAX(BP527:BR527)</f>
        <v>0</v>
      </c>
      <c r="BV527">
        <f>IF(ISNUMBER(AB527),INDEX(AllCollegeChicago, MATCH(N527,AllCollegeNCES,0))*BB527,0)</f>
        <v>0</v>
      </c>
      <c r="BW527">
        <f>IF(ISNUMBER(AB527),INDEX(AllCollegeMoneyCode, MATCH(N527,AllCollegeNCES,0)),"?")</f>
        <v>0</v>
      </c>
      <c r="BX527">
        <f>IF(OR(BW527="---",BW527="--",BW527="+/--",BW527="+/---"),1,0)</f>
        <v>0</v>
      </c>
      <c r="BY527">
        <f>BB527*AR527*AT527</f>
        <v>0</v>
      </c>
    </row>
    <row r="528" spans="1:77">
      <c r="A528" t="s">
        <v>96</v>
      </c>
      <c r="B528">
        <v>23477628</v>
      </c>
      <c r="C528" t="s">
        <v>318</v>
      </c>
      <c r="D528" t="s">
        <v>319</v>
      </c>
      <c r="E528" t="s">
        <v>446</v>
      </c>
      <c r="F528" t="s">
        <v>481</v>
      </c>
      <c r="G528" t="s">
        <v>448</v>
      </c>
      <c r="H528" t="s">
        <v>449</v>
      </c>
      <c r="I528" t="s">
        <v>450</v>
      </c>
      <c r="J528" t="s">
        <v>450</v>
      </c>
      <c r="K528">
        <v>0</v>
      </c>
      <c r="L528" t="s">
        <v>446</v>
      </c>
      <c r="M528" t="s">
        <v>446</v>
      </c>
      <c r="N528">
        <v>153834</v>
      </c>
      <c r="O528">
        <f>INDEX(Counselor,MATCH(B528,KidIDs,0))</f>
        <v>0</v>
      </c>
      <c r="P528">
        <f>INDEX(Advisors,MATCH(B528,KidIDs,0))</f>
        <v>0</v>
      </c>
      <c r="Q528">
        <f>INDEX(Cohort,MATCH(B528,KidIDs,0))</f>
        <v>0</v>
      </c>
      <c r="R528">
        <f>INDEX(AllCollegeBarrons,MATCH(N528,AllCollegeNCES,0))</f>
        <v>0</v>
      </c>
      <c r="S528">
        <f>INDEX(KidGPAs,MATCH(B528,KidIDs,0))</f>
        <v>0</v>
      </c>
      <c r="T528">
        <f>INDEX(KidSATs,MATCH(B528,KidIDs,0))</f>
        <v>0</v>
      </c>
      <c r="U528">
        <f>INDEX(Strats,MATCH(B528,KidIDs,0))</f>
        <v>0</v>
      </c>
      <c r="V528">
        <f>INDEX(KidRace,MATCH(B528,KidIDs,0))</f>
        <v>0</v>
      </c>
      <c r="W528">
        <f>IF(OR(V528="M",V528="I"),"H",IF(V528="P","A",V528))</f>
        <v>0</v>
      </c>
      <c r="X528">
        <f>INDEX(StudentTargets,MATCH(B528,KidIDs,0))</f>
        <v>0</v>
      </c>
      <c r="Y528">
        <f>INDEX(ReachStudentTargets,MATCH(B528,KidIDs,0))</f>
        <v>0</v>
      </c>
      <c r="Z528">
        <f>IF(OR(M528="Posse"),1,0)</f>
        <v>0</v>
      </c>
      <c r="AA528">
        <f>IF(ISNUMBER(INDEX(AllCollegeGR, MATCH(N528,AllCollegeNCES,0))),ROUND(INDEX(AllCollegeGR, MATCH(N528,AllCollegeNCES,0))+Z528*IF(INDEX(AllCollegeGR, MATCH(N528,AllCollegeNCES,0))&gt;0.7,(1-INDEX(AllCollegeGR, MATCH(N528,AllCollegeNCES,0)))/2,0.15),2),INDEX(AllCollegeGR, MATCH(N528,AllCollegeNCES,0)))</f>
        <v>0</v>
      </c>
      <c r="AB528">
        <f>IF(ISNUMBER(INDEX(AllCollegeAAHGR, MATCH(N528,AllCollegeNCES,0))),ROUND(INDEX(AllCollegeAAHGR, MATCH(N528,AllCollegeNCES,0))+Z528*IF(INDEX(AllCollegeAAHGR, MATCH(N528,AllCollegeNCES,0))&gt;0.7,(1-INDEX(AllCollegeAAHGR, MATCH(N528,AllCollegeNCES,0)))/2,0.15),2),INDEX(AllCollegeAAHGR, MATCH(N528,AllCollegeNCES,0)))</f>
        <v>0</v>
      </c>
      <c r="AC528">
        <f>IF(OR(W528="H",W528="B"),INDEX(AllCollegeSAT25, MATCH(N528,AllCollegeNCES,0)),INDEX(AllCollegeSAT50, MATCH(N528,AllCollegeNCES,0)))</f>
        <v>0</v>
      </c>
      <c r="AD528">
        <f>INDEX(CustomWeightsGPA,MATCH(W528&amp;":"&amp;N528,CustomWeightsIndex,0))</f>
        <v>0</v>
      </c>
      <c r="AE528">
        <f>INDEX(CustomWeightsSAT,MATCH(W528&amp;":"&amp;N528,CustomWeightsIndex,0))</f>
        <v>0</v>
      </c>
      <c r="AF528">
        <f>INDEX(CustomWeightsIntercept,MATCH(W528&amp;":"&amp;N528,CustomWeightsIndex,0))</f>
        <v>0</v>
      </c>
      <c r="AG528">
        <f>AD528*S528+AE528*T528+AF528</f>
        <v>0</v>
      </c>
      <c r="AH528">
        <f>INDEX(CoefficientsGPA,MATCH(W528&amp;":"&amp;R528,CoefficientsIndex,0))</f>
        <v>0</v>
      </c>
      <c r="AI528">
        <f>INDEX(CoefficientsSAT,MATCH(W528&amp;":"&amp;R528,CoefficientsIndex,0))</f>
        <v>0</v>
      </c>
      <c r="AJ528">
        <f>INDEX(CoefficientsIntercept,MATCH(W528&amp;":"&amp;R528,CoefficientsIndex,0))</f>
        <v>0</v>
      </c>
      <c r="AK528">
        <f>AH528*S528+(T528-AC528)*AI528+AJ528</f>
        <v>0</v>
      </c>
      <c r="AL528">
        <f>IF(ISNUMBER(AG528),AG528,AK528)</f>
        <v>0</v>
      </c>
      <c r="AM528">
        <f>IF(ISNUMBER(AL528),IF(ISNUMBER(AH528),IF(AND(AH528=1,AI528=1,AJ528=1),100,MIN(99,ROUND(100*EXP(AL528)/(1+EXP(AL528)),2))),MIN(99,ROUND(100*EXP(AL528)/(1+EXP(AL528)),2))),IF(ISTEXT(R528),IF(LEFT(R528,1)="2",100,"N/A"),"N/A"))</f>
        <v>0</v>
      </c>
      <c r="AN528">
        <f>IF(ISNUMBER(AM528),IF(AM528&gt;=99,IF(OR(U528=10,U528=11),MatchLabel,SureThingLabel),IF(AM528&gt;=95,SecureLabel,IF(AM528&gt;=80,SafetyLabel,IF(AM528&gt;=50,MatchLabel,IF(AM528&gt;=20,ReachLabel,IF(AM528&gt;=10,LongshotLabel,HailMaryLabel)))))),"Other")</f>
        <v>0</v>
      </c>
      <c r="AO528">
        <f>IF(OR(I528="accepted",I528="cond. accept",I528="summer admit"),IF(J528="yes","CHOICE!","Accepted!"),IF(I528="guar. transfer","Guar. Xfer",IF(I528="denied","Denied",IF(K528=1,"Waitlist",IF(L528=1,"Deferred",IF(G528="pending","Pending",IF(OR(G528="initial materials submitted",G528="mid-year submitted",G528="final submitted"),"Submitted",IF(H528="interest","Interest","?"))))))))</f>
        <v>0</v>
      </c>
      <c r="AP528">
        <f>IF(OR(AN528=ReachLabel,AN528=LongshotLabel,AN528=HailMaryLabel),1,0)</f>
        <v>0</v>
      </c>
      <c r="AQ528">
        <f>IF(OR(AP528=1,AN528=MatchLabel),1,0)</f>
        <v>0</v>
      </c>
      <c r="AR528">
        <f>IF(OR(AN528=MatchLabel,AN528=SafetyLabel,AN528=SecureLabel,AN528=SureThingLabel),1,0)</f>
        <v>0</v>
      </c>
      <c r="AS528">
        <f>IF(OR(W528="H",W528="B",W528="I",W528="M"),IF(ISNUMBER(AB528),ROUND(AB528,2),0),IF(ISNUMBER(AA528),ROUND(AA528,2),0))</f>
        <v>0</v>
      </c>
      <c r="AT528">
        <f>IF(AS528&gt;=X528,1,0)</f>
        <v>0</v>
      </c>
      <c r="AU528">
        <f>IF(AS528&gt;=Y528,1,0)</f>
        <v>0</v>
      </c>
      <c r="AV528">
        <f>IF(AS528&lt;(X528-0.10),1,0)</f>
        <v>0</v>
      </c>
      <c r="AW528">
        <f>1-AM528/100</f>
        <v>0</v>
      </c>
      <c r="AX528">
        <f>IF(AQ528=1,AW528,1)</f>
        <v>0</v>
      </c>
      <c r="AY528">
        <f>IF(AP528=1,AW528,1)</f>
        <v>0</v>
      </c>
      <c r="AZ528">
        <f>IF(AND(AT528=1,ISNUMBER(AW528)),$AW528,1)</f>
        <v>0</v>
      </c>
      <c r="BA528">
        <f>IF(AND(AU528=1,ISNUMBER(AW528)),$AW528,1)</f>
        <v>0</v>
      </c>
      <c r="BB528">
        <f>IF(ISNUMBER(AB528),INDEX(AllCollegeMoney, MATCH(N528,AllCollegeNCES,0)),0)</f>
        <v>0</v>
      </c>
      <c r="BC528">
        <f>IF(AND(AT528=1,ISNUMBER(AW528),BB528=1),$AW528,1)</f>
        <v>0</v>
      </c>
      <c r="BD528">
        <f>IF(AND(AU528=1,ISNUMBER(AW528),BB528=1),$AW528,1)</f>
        <v>0</v>
      </c>
      <c r="BE528">
        <f>IF(ISNUMBER(AB528),INDEX(AllCollegeILPub, MATCH(N528,AllCollegeNCES,0)),0)</f>
        <v>0</v>
      </c>
      <c r="BF528">
        <f>IF(AN528=ReachLabel,AS528,0)</f>
        <v>0</v>
      </c>
      <c r="BG528">
        <f>IF(AN528=MatchLabel,AS528,0)</f>
        <v>0</v>
      </c>
      <c r="BH528">
        <f>IF(AN528=SafetyLabel,AS528,0)</f>
        <v>0</v>
      </c>
      <c r="BI528">
        <f>IF(AN528=SecureLabel,AS528,0)</f>
        <v>0</v>
      </c>
      <c r="BJ528">
        <f>IF(AN528=SureThingLabel,AS528,0)</f>
        <v>0</v>
      </c>
      <c r="BK528">
        <f>MAX(BF528:BJ528)</f>
        <v>0</v>
      </c>
      <c r="BL528">
        <f>MAX(BG528:BJ528)</f>
        <v>0</v>
      </c>
      <c r="BM528">
        <f>MAX(BH528:BJ528)</f>
        <v>0</v>
      </c>
      <c r="BN528">
        <f>IF(AND(AN528=ReachLabel,BB528=1),AS528,0)</f>
        <v>0</v>
      </c>
      <c r="BO528">
        <f>IF(AND(AN528=MatchLabel,BB528=1),AS528,0)</f>
        <v>0</v>
      </c>
      <c r="BP528">
        <f>IF(AND(AN528=SafetyLabel,BB528=1),AS528,0)</f>
        <v>0</v>
      </c>
      <c r="BQ528">
        <f>IF(AND(AN528=SecureLabel,BB528=1),AS528,0)</f>
        <v>0</v>
      </c>
      <c r="BR528">
        <f>IF(AND(AN528=SureThingLabel,BB528=1),AS528,0)</f>
        <v>0</v>
      </c>
      <c r="BS528">
        <f>MAX(BN528:BR528)</f>
        <v>0</v>
      </c>
      <c r="BT528">
        <f>MAX(BO528:BR528)</f>
        <v>0</v>
      </c>
      <c r="BU528">
        <f>MAX(BP528:BR528)</f>
        <v>0</v>
      </c>
      <c r="BV528">
        <f>IF(ISNUMBER(AB528),INDEX(AllCollegeChicago, MATCH(N528,AllCollegeNCES,0))*BB528,0)</f>
        <v>0</v>
      </c>
      <c r="BW528">
        <f>IF(ISNUMBER(AB528),INDEX(AllCollegeMoneyCode, MATCH(N528,AllCollegeNCES,0)),"?")</f>
        <v>0</v>
      </c>
      <c r="BX528">
        <f>IF(OR(BW528="---",BW528="--",BW528="+/--",BW528="+/---"),1,0)</f>
        <v>0</v>
      </c>
      <c r="BY528">
        <f>BB528*AR528*AT528</f>
        <v>0</v>
      </c>
    </row>
    <row r="529" spans="1:77">
      <c r="A529" t="s">
        <v>96</v>
      </c>
      <c r="B529">
        <v>23477628</v>
      </c>
      <c r="C529" t="s">
        <v>318</v>
      </c>
      <c r="D529" t="s">
        <v>319</v>
      </c>
      <c r="E529" t="s">
        <v>446</v>
      </c>
      <c r="F529" t="s">
        <v>506</v>
      </c>
      <c r="G529" t="s">
        <v>448</v>
      </c>
      <c r="H529" t="s">
        <v>449</v>
      </c>
      <c r="I529" t="s">
        <v>450</v>
      </c>
      <c r="J529" t="s">
        <v>450</v>
      </c>
      <c r="K529">
        <v>0</v>
      </c>
      <c r="L529" t="s">
        <v>446</v>
      </c>
      <c r="M529" t="s">
        <v>446</v>
      </c>
      <c r="N529">
        <v>147679</v>
      </c>
      <c r="O529">
        <f>INDEX(Counselor,MATCH(B529,KidIDs,0))</f>
        <v>0</v>
      </c>
      <c r="P529">
        <f>INDEX(Advisors,MATCH(B529,KidIDs,0))</f>
        <v>0</v>
      </c>
      <c r="Q529">
        <f>INDEX(Cohort,MATCH(B529,KidIDs,0))</f>
        <v>0</v>
      </c>
      <c r="R529">
        <f>INDEX(AllCollegeBarrons,MATCH(N529,AllCollegeNCES,0))</f>
        <v>0</v>
      </c>
      <c r="S529">
        <f>INDEX(KidGPAs,MATCH(B529,KidIDs,0))</f>
        <v>0</v>
      </c>
      <c r="T529">
        <f>INDEX(KidSATs,MATCH(B529,KidIDs,0))</f>
        <v>0</v>
      </c>
      <c r="U529">
        <f>INDEX(Strats,MATCH(B529,KidIDs,0))</f>
        <v>0</v>
      </c>
      <c r="V529">
        <f>INDEX(KidRace,MATCH(B529,KidIDs,0))</f>
        <v>0</v>
      </c>
      <c r="W529">
        <f>IF(OR(V529="M",V529="I"),"H",IF(V529="P","A",V529))</f>
        <v>0</v>
      </c>
      <c r="X529">
        <f>INDEX(StudentTargets,MATCH(B529,KidIDs,0))</f>
        <v>0</v>
      </c>
      <c r="Y529">
        <f>INDEX(ReachStudentTargets,MATCH(B529,KidIDs,0))</f>
        <v>0</v>
      </c>
      <c r="Z529">
        <f>IF(OR(M529="Posse"),1,0)</f>
        <v>0</v>
      </c>
      <c r="AA529">
        <f>IF(ISNUMBER(INDEX(AllCollegeGR, MATCH(N529,AllCollegeNCES,0))),ROUND(INDEX(AllCollegeGR, MATCH(N529,AllCollegeNCES,0))+Z529*IF(INDEX(AllCollegeGR, MATCH(N529,AllCollegeNCES,0))&gt;0.7,(1-INDEX(AllCollegeGR, MATCH(N529,AllCollegeNCES,0)))/2,0.15),2),INDEX(AllCollegeGR, MATCH(N529,AllCollegeNCES,0)))</f>
        <v>0</v>
      </c>
      <c r="AB529">
        <f>IF(ISNUMBER(INDEX(AllCollegeAAHGR, MATCH(N529,AllCollegeNCES,0))),ROUND(INDEX(AllCollegeAAHGR, MATCH(N529,AllCollegeNCES,0))+Z529*IF(INDEX(AllCollegeAAHGR, MATCH(N529,AllCollegeNCES,0))&gt;0.7,(1-INDEX(AllCollegeAAHGR, MATCH(N529,AllCollegeNCES,0)))/2,0.15),2),INDEX(AllCollegeAAHGR, MATCH(N529,AllCollegeNCES,0)))</f>
        <v>0</v>
      </c>
      <c r="AC529">
        <f>IF(OR(W529="H",W529="B"),INDEX(AllCollegeSAT25, MATCH(N529,AllCollegeNCES,0)),INDEX(AllCollegeSAT50, MATCH(N529,AllCollegeNCES,0)))</f>
        <v>0</v>
      </c>
      <c r="AD529">
        <f>INDEX(CustomWeightsGPA,MATCH(W529&amp;":"&amp;N529,CustomWeightsIndex,0))</f>
        <v>0</v>
      </c>
      <c r="AE529">
        <f>INDEX(CustomWeightsSAT,MATCH(W529&amp;":"&amp;N529,CustomWeightsIndex,0))</f>
        <v>0</v>
      </c>
      <c r="AF529">
        <f>INDEX(CustomWeightsIntercept,MATCH(W529&amp;":"&amp;N529,CustomWeightsIndex,0))</f>
        <v>0</v>
      </c>
      <c r="AG529">
        <f>AD529*S529+AE529*T529+AF529</f>
        <v>0</v>
      </c>
      <c r="AH529">
        <f>INDEX(CoefficientsGPA,MATCH(W529&amp;":"&amp;R529,CoefficientsIndex,0))</f>
        <v>0</v>
      </c>
      <c r="AI529">
        <f>INDEX(CoefficientsSAT,MATCH(W529&amp;":"&amp;R529,CoefficientsIndex,0))</f>
        <v>0</v>
      </c>
      <c r="AJ529">
        <f>INDEX(CoefficientsIntercept,MATCH(W529&amp;":"&amp;R529,CoefficientsIndex,0))</f>
        <v>0</v>
      </c>
      <c r="AK529">
        <f>AH529*S529+(T529-AC529)*AI529+AJ529</f>
        <v>0</v>
      </c>
      <c r="AL529">
        <f>IF(ISNUMBER(AG529),AG529,AK529)</f>
        <v>0</v>
      </c>
      <c r="AM529">
        <f>IF(ISNUMBER(AL529),IF(ISNUMBER(AH529),IF(AND(AH529=1,AI529=1,AJ529=1),100,MIN(99,ROUND(100*EXP(AL529)/(1+EXP(AL529)),2))),MIN(99,ROUND(100*EXP(AL529)/(1+EXP(AL529)),2))),IF(ISTEXT(R529),IF(LEFT(R529,1)="2",100,"N/A"),"N/A"))</f>
        <v>0</v>
      </c>
      <c r="AN529">
        <f>IF(ISNUMBER(AM529),IF(AM529&gt;=99,IF(OR(U529=10,U529=11),MatchLabel,SureThingLabel),IF(AM529&gt;=95,SecureLabel,IF(AM529&gt;=80,SafetyLabel,IF(AM529&gt;=50,MatchLabel,IF(AM529&gt;=20,ReachLabel,IF(AM529&gt;=10,LongshotLabel,HailMaryLabel)))))),"Other")</f>
        <v>0</v>
      </c>
      <c r="AO529">
        <f>IF(OR(I529="accepted",I529="cond. accept",I529="summer admit"),IF(J529="yes","CHOICE!","Accepted!"),IF(I529="guar. transfer","Guar. Xfer",IF(I529="denied","Denied",IF(K529=1,"Waitlist",IF(L529=1,"Deferred",IF(G529="pending","Pending",IF(OR(G529="initial materials submitted",G529="mid-year submitted",G529="final submitted"),"Submitted",IF(H529="interest","Interest","?"))))))))</f>
        <v>0</v>
      </c>
      <c r="AP529">
        <f>IF(OR(AN529=ReachLabel,AN529=LongshotLabel,AN529=HailMaryLabel),1,0)</f>
        <v>0</v>
      </c>
      <c r="AQ529">
        <f>IF(OR(AP529=1,AN529=MatchLabel),1,0)</f>
        <v>0</v>
      </c>
      <c r="AR529">
        <f>IF(OR(AN529=MatchLabel,AN529=SafetyLabel,AN529=SecureLabel,AN529=SureThingLabel),1,0)</f>
        <v>0</v>
      </c>
      <c r="AS529">
        <f>IF(OR(W529="H",W529="B",W529="I",W529="M"),IF(ISNUMBER(AB529),ROUND(AB529,2),0),IF(ISNUMBER(AA529),ROUND(AA529,2),0))</f>
        <v>0</v>
      </c>
      <c r="AT529">
        <f>IF(AS529&gt;=X529,1,0)</f>
        <v>0</v>
      </c>
      <c r="AU529">
        <f>IF(AS529&gt;=Y529,1,0)</f>
        <v>0</v>
      </c>
      <c r="AV529">
        <f>IF(AS529&lt;(X529-0.10),1,0)</f>
        <v>0</v>
      </c>
      <c r="AW529">
        <f>1-AM529/100</f>
        <v>0</v>
      </c>
      <c r="AX529">
        <f>IF(AQ529=1,AW529,1)</f>
        <v>0</v>
      </c>
      <c r="AY529">
        <f>IF(AP529=1,AW529,1)</f>
        <v>0</v>
      </c>
      <c r="AZ529">
        <f>IF(AND(AT529=1,ISNUMBER(AW529)),$AW529,1)</f>
        <v>0</v>
      </c>
      <c r="BA529">
        <f>IF(AND(AU529=1,ISNUMBER(AW529)),$AW529,1)</f>
        <v>0</v>
      </c>
      <c r="BB529">
        <f>IF(ISNUMBER(AB529),INDEX(AllCollegeMoney, MATCH(N529,AllCollegeNCES,0)),0)</f>
        <v>0</v>
      </c>
      <c r="BC529">
        <f>IF(AND(AT529=1,ISNUMBER(AW529),BB529=1),$AW529,1)</f>
        <v>0</v>
      </c>
      <c r="BD529">
        <f>IF(AND(AU529=1,ISNUMBER(AW529),BB529=1),$AW529,1)</f>
        <v>0</v>
      </c>
      <c r="BE529">
        <f>IF(ISNUMBER(AB529),INDEX(AllCollegeILPub, MATCH(N529,AllCollegeNCES,0)),0)</f>
        <v>0</v>
      </c>
      <c r="BF529">
        <f>IF(AN529=ReachLabel,AS529,0)</f>
        <v>0</v>
      </c>
      <c r="BG529">
        <f>IF(AN529=MatchLabel,AS529,0)</f>
        <v>0</v>
      </c>
      <c r="BH529">
        <f>IF(AN529=SafetyLabel,AS529,0)</f>
        <v>0</v>
      </c>
      <c r="BI529">
        <f>IF(AN529=SecureLabel,AS529,0)</f>
        <v>0</v>
      </c>
      <c r="BJ529">
        <f>IF(AN529=SureThingLabel,AS529,0)</f>
        <v>0</v>
      </c>
      <c r="BK529">
        <f>MAX(BF529:BJ529)</f>
        <v>0</v>
      </c>
      <c r="BL529">
        <f>MAX(BG529:BJ529)</f>
        <v>0</v>
      </c>
      <c r="BM529">
        <f>MAX(BH529:BJ529)</f>
        <v>0</v>
      </c>
      <c r="BN529">
        <f>IF(AND(AN529=ReachLabel,BB529=1),AS529,0)</f>
        <v>0</v>
      </c>
      <c r="BO529">
        <f>IF(AND(AN529=MatchLabel,BB529=1),AS529,0)</f>
        <v>0</v>
      </c>
      <c r="BP529">
        <f>IF(AND(AN529=SafetyLabel,BB529=1),AS529,0)</f>
        <v>0</v>
      </c>
      <c r="BQ529">
        <f>IF(AND(AN529=SecureLabel,BB529=1),AS529,0)</f>
        <v>0</v>
      </c>
      <c r="BR529">
        <f>IF(AND(AN529=SureThingLabel,BB529=1),AS529,0)</f>
        <v>0</v>
      </c>
      <c r="BS529">
        <f>MAX(BN529:BR529)</f>
        <v>0</v>
      </c>
      <c r="BT529">
        <f>MAX(BO529:BR529)</f>
        <v>0</v>
      </c>
      <c r="BU529">
        <f>MAX(BP529:BR529)</f>
        <v>0</v>
      </c>
      <c r="BV529">
        <f>IF(ISNUMBER(AB529),INDEX(AllCollegeChicago, MATCH(N529,AllCollegeNCES,0))*BB529,0)</f>
        <v>0</v>
      </c>
      <c r="BW529">
        <f>IF(ISNUMBER(AB529),INDEX(AllCollegeMoneyCode, MATCH(N529,AllCollegeNCES,0)),"?")</f>
        <v>0</v>
      </c>
      <c r="BX529">
        <f>IF(OR(BW529="---",BW529="--",BW529="+/--",BW529="+/---"),1,0)</f>
        <v>0</v>
      </c>
      <c r="BY529">
        <f>BB529*AR529*AT529</f>
        <v>0</v>
      </c>
    </row>
    <row r="530" spans="1:77">
      <c r="A530" t="s">
        <v>96</v>
      </c>
      <c r="B530">
        <v>23477628</v>
      </c>
      <c r="C530" t="s">
        <v>318</v>
      </c>
      <c r="D530" t="s">
        <v>319</v>
      </c>
      <c r="E530" t="s">
        <v>446</v>
      </c>
      <c r="F530" t="s">
        <v>456</v>
      </c>
      <c r="G530" t="s">
        <v>448</v>
      </c>
      <c r="H530" t="s">
        <v>449</v>
      </c>
      <c r="I530" t="s">
        <v>450</v>
      </c>
      <c r="J530" t="s">
        <v>450</v>
      </c>
      <c r="K530">
        <v>0</v>
      </c>
      <c r="L530" t="s">
        <v>446</v>
      </c>
      <c r="M530" t="s">
        <v>446</v>
      </c>
      <c r="N530">
        <v>149772</v>
      </c>
      <c r="O530">
        <f>INDEX(Counselor,MATCH(B530,KidIDs,0))</f>
        <v>0</v>
      </c>
      <c r="P530">
        <f>INDEX(Advisors,MATCH(B530,KidIDs,0))</f>
        <v>0</v>
      </c>
      <c r="Q530">
        <f>INDEX(Cohort,MATCH(B530,KidIDs,0))</f>
        <v>0</v>
      </c>
      <c r="R530">
        <f>INDEX(AllCollegeBarrons,MATCH(N530,AllCollegeNCES,0))</f>
        <v>0</v>
      </c>
      <c r="S530">
        <f>INDEX(KidGPAs,MATCH(B530,KidIDs,0))</f>
        <v>0</v>
      </c>
      <c r="T530">
        <f>INDEX(KidSATs,MATCH(B530,KidIDs,0))</f>
        <v>0</v>
      </c>
      <c r="U530">
        <f>INDEX(Strats,MATCH(B530,KidIDs,0))</f>
        <v>0</v>
      </c>
      <c r="V530">
        <f>INDEX(KidRace,MATCH(B530,KidIDs,0))</f>
        <v>0</v>
      </c>
      <c r="W530">
        <f>IF(OR(V530="M",V530="I"),"H",IF(V530="P","A",V530))</f>
        <v>0</v>
      </c>
      <c r="X530">
        <f>INDEX(StudentTargets,MATCH(B530,KidIDs,0))</f>
        <v>0</v>
      </c>
      <c r="Y530">
        <f>INDEX(ReachStudentTargets,MATCH(B530,KidIDs,0))</f>
        <v>0</v>
      </c>
      <c r="Z530">
        <f>IF(OR(M530="Posse"),1,0)</f>
        <v>0</v>
      </c>
      <c r="AA530">
        <f>IF(ISNUMBER(INDEX(AllCollegeGR, MATCH(N530,AllCollegeNCES,0))),ROUND(INDEX(AllCollegeGR, MATCH(N530,AllCollegeNCES,0))+Z530*IF(INDEX(AllCollegeGR, MATCH(N530,AllCollegeNCES,0))&gt;0.7,(1-INDEX(AllCollegeGR, MATCH(N530,AllCollegeNCES,0)))/2,0.15),2),INDEX(AllCollegeGR, MATCH(N530,AllCollegeNCES,0)))</f>
        <v>0</v>
      </c>
      <c r="AB530">
        <f>IF(ISNUMBER(INDEX(AllCollegeAAHGR, MATCH(N530,AllCollegeNCES,0))),ROUND(INDEX(AllCollegeAAHGR, MATCH(N530,AllCollegeNCES,0))+Z530*IF(INDEX(AllCollegeAAHGR, MATCH(N530,AllCollegeNCES,0))&gt;0.7,(1-INDEX(AllCollegeAAHGR, MATCH(N530,AllCollegeNCES,0)))/2,0.15),2),INDEX(AllCollegeAAHGR, MATCH(N530,AllCollegeNCES,0)))</f>
        <v>0</v>
      </c>
      <c r="AC530">
        <f>IF(OR(W530="H",W530="B"),INDEX(AllCollegeSAT25, MATCH(N530,AllCollegeNCES,0)),INDEX(AllCollegeSAT50, MATCH(N530,AllCollegeNCES,0)))</f>
        <v>0</v>
      </c>
      <c r="AD530">
        <f>INDEX(CustomWeightsGPA,MATCH(W530&amp;":"&amp;N530,CustomWeightsIndex,0))</f>
        <v>0</v>
      </c>
      <c r="AE530">
        <f>INDEX(CustomWeightsSAT,MATCH(W530&amp;":"&amp;N530,CustomWeightsIndex,0))</f>
        <v>0</v>
      </c>
      <c r="AF530">
        <f>INDEX(CustomWeightsIntercept,MATCH(W530&amp;":"&amp;N530,CustomWeightsIndex,0))</f>
        <v>0</v>
      </c>
      <c r="AG530">
        <f>AD530*S530+AE530*T530+AF530</f>
        <v>0</v>
      </c>
      <c r="AH530">
        <f>INDEX(CoefficientsGPA,MATCH(W530&amp;":"&amp;R530,CoefficientsIndex,0))</f>
        <v>0</v>
      </c>
      <c r="AI530">
        <f>INDEX(CoefficientsSAT,MATCH(W530&amp;":"&amp;R530,CoefficientsIndex,0))</f>
        <v>0</v>
      </c>
      <c r="AJ530">
        <f>INDEX(CoefficientsIntercept,MATCH(W530&amp;":"&amp;R530,CoefficientsIndex,0))</f>
        <v>0</v>
      </c>
      <c r="AK530">
        <f>AH530*S530+(T530-AC530)*AI530+AJ530</f>
        <v>0</v>
      </c>
      <c r="AL530">
        <f>IF(ISNUMBER(AG530),AG530,AK530)</f>
        <v>0</v>
      </c>
      <c r="AM530">
        <f>IF(ISNUMBER(AL530),IF(ISNUMBER(AH530),IF(AND(AH530=1,AI530=1,AJ530=1),100,MIN(99,ROUND(100*EXP(AL530)/(1+EXP(AL530)),2))),MIN(99,ROUND(100*EXP(AL530)/(1+EXP(AL530)),2))),IF(ISTEXT(R530),IF(LEFT(R530,1)="2",100,"N/A"),"N/A"))</f>
        <v>0</v>
      </c>
      <c r="AN530">
        <f>IF(ISNUMBER(AM530),IF(AM530&gt;=99,IF(OR(U530=10,U530=11),MatchLabel,SureThingLabel),IF(AM530&gt;=95,SecureLabel,IF(AM530&gt;=80,SafetyLabel,IF(AM530&gt;=50,MatchLabel,IF(AM530&gt;=20,ReachLabel,IF(AM530&gt;=10,LongshotLabel,HailMaryLabel)))))),"Other")</f>
        <v>0</v>
      </c>
      <c r="AO530">
        <f>IF(OR(I530="accepted",I530="cond. accept",I530="summer admit"),IF(J530="yes","CHOICE!","Accepted!"),IF(I530="guar. transfer","Guar. Xfer",IF(I530="denied","Denied",IF(K530=1,"Waitlist",IF(L530=1,"Deferred",IF(G530="pending","Pending",IF(OR(G530="initial materials submitted",G530="mid-year submitted",G530="final submitted"),"Submitted",IF(H530="interest","Interest","?"))))))))</f>
        <v>0</v>
      </c>
      <c r="AP530">
        <f>IF(OR(AN530=ReachLabel,AN530=LongshotLabel,AN530=HailMaryLabel),1,0)</f>
        <v>0</v>
      </c>
      <c r="AQ530">
        <f>IF(OR(AP530=1,AN530=MatchLabel),1,0)</f>
        <v>0</v>
      </c>
      <c r="AR530">
        <f>IF(OR(AN530=MatchLabel,AN530=SafetyLabel,AN530=SecureLabel,AN530=SureThingLabel),1,0)</f>
        <v>0</v>
      </c>
      <c r="AS530">
        <f>IF(OR(W530="H",W530="B",W530="I",W530="M"),IF(ISNUMBER(AB530),ROUND(AB530,2),0),IF(ISNUMBER(AA530),ROUND(AA530,2),0))</f>
        <v>0</v>
      </c>
      <c r="AT530">
        <f>IF(AS530&gt;=X530,1,0)</f>
        <v>0</v>
      </c>
      <c r="AU530">
        <f>IF(AS530&gt;=Y530,1,0)</f>
        <v>0</v>
      </c>
      <c r="AV530">
        <f>IF(AS530&lt;(X530-0.10),1,0)</f>
        <v>0</v>
      </c>
      <c r="AW530">
        <f>1-AM530/100</f>
        <v>0</v>
      </c>
      <c r="AX530">
        <f>IF(AQ530=1,AW530,1)</f>
        <v>0</v>
      </c>
      <c r="AY530">
        <f>IF(AP530=1,AW530,1)</f>
        <v>0</v>
      </c>
      <c r="AZ530">
        <f>IF(AND(AT530=1,ISNUMBER(AW530)),$AW530,1)</f>
        <v>0</v>
      </c>
      <c r="BA530">
        <f>IF(AND(AU530=1,ISNUMBER(AW530)),$AW530,1)</f>
        <v>0</v>
      </c>
      <c r="BB530">
        <f>IF(ISNUMBER(AB530),INDEX(AllCollegeMoney, MATCH(N530,AllCollegeNCES,0)),0)</f>
        <v>0</v>
      </c>
      <c r="BC530">
        <f>IF(AND(AT530=1,ISNUMBER(AW530),BB530=1),$AW530,1)</f>
        <v>0</v>
      </c>
      <c r="BD530">
        <f>IF(AND(AU530=1,ISNUMBER(AW530),BB530=1),$AW530,1)</f>
        <v>0</v>
      </c>
      <c r="BE530">
        <f>IF(ISNUMBER(AB530),INDEX(AllCollegeILPub, MATCH(N530,AllCollegeNCES,0)),0)</f>
        <v>0</v>
      </c>
      <c r="BF530">
        <f>IF(AN530=ReachLabel,AS530,0)</f>
        <v>0</v>
      </c>
      <c r="BG530">
        <f>IF(AN530=MatchLabel,AS530,0)</f>
        <v>0</v>
      </c>
      <c r="BH530">
        <f>IF(AN530=SafetyLabel,AS530,0)</f>
        <v>0</v>
      </c>
      <c r="BI530">
        <f>IF(AN530=SecureLabel,AS530,0)</f>
        <v>0</v>
      </c>
      <c r="BJ530">
        <f>IF(AN530=SureThingLabel,AS530,0)</f>
        <v>0</v>
      </c>
      <c r="BK530">
        <f>MAX(BF530:BJ530)</f>
        <v>0</v>
      </c>
      <c r="BL530">
        <f>MAX(BG530:BJ530)</f>
        <v>0</v>
      </c>
      <c r="BM530">
        <f>MAX(BH530:BJ530)</f>
        <v>0</v>
      </c>
      <c r="BN530">
        <f>IF(AND(AN530=ReachLabel,BB530=1),AS530,0)</f>
        <v>0</v>
      </c>
      <c r="BO530">
        <f>IF(AND(AN530=MatchLabel,BB530=1),AS530,0)</f>
        <v>0</v>
      </c>
      <c r="BP530">
        <f>IF(AND(AN530=SafetyLabel,BB530=1),AS530,0)</f>
        <v>0</v>
      </c>
      <c r="BQ530">
        <f>IF(AND(AN530=SecureLabel,BB530=1),AS530,0)</f>
        <v>0</v>
      </c>
      <c r="BR530">
        <f>IF(AND(AN530=SureThingLabel,BB530=1),AS530,0)</f>
        <v>0</v>
      </c>
      <c r="BS530">
        <f>MAX(BN530:BR530)</f>
        <v>0</v>
      </c>
      <c r="BT530">
        <f>MAX(BO530:BR530)</f>
        <v>0</v>
      </c>
      <c r="BU530">
        <f>MAX(BP530:BR530)</f>
        <v>0</v>
      </c>
      <c r="BV530">
        <f>IF(ISNUMBER(AB530),INDEX(AllCollegeChicago, MATCH(N530,AllCollegeNCES,0))*BB530,0)</f>
        <v>0</v>
      </c>
      <c r="BW530">
        <f>IF(ISNUMBER(AB530),INDEX(AllCollegeMoneyCode, MATCH(N530,AllCollegeNCES,0)),"?")</f>
        <v>0</v>
      </c>
      <c r="BX530">
        <f>IF(OR(BW530="---",BW530="--",BW530="+/--",BW530="+/---"),1,0)</f>
        <v>0</v>
      </c>
      <c r="BY530">
        <f>BB530*AR530*AT530</f>
        <v>0</v>
      </c>
    </row>
    <row r="531" spans="1:77">
      <c r="A531" t="s">
        <v>96</v>
      </c>
      <c r="B531">
        <v>23477628</v>
      </c>
      <c r="C531" t="s">
        <v>318</v>
      </c>
      <c r="D531" t="s">
        <v>319</v>
      </c>
      <c r="E531" t="s">
        <v>446</v>
      </c>
      <c r="F531" t="s">
        <v>562</v>
      </c>
      <c r="G531" t="s">
        <v>448</v>
      </c>
      <c r="H531" t="s">
        <v>449</v>
      </c>
      <c r="I531" t="s">
        <v>450</v>
      </c>
      <c r="J531" t="s">
        <v>450</v>
      </c>
      <c r="K531">
        <v>0</v>
      </c>
      <c r="L531" t="s">
        <v>446</v>
      </c>
      <c r="M531" t="s">
        <v>446</v>
      </c>
      <c r="N531">
        <v>144281</v>
      </c>
      <c r="O531">
        <f>INDEX(Counselor,MATCH(B531,KidIDs,0))</f>
        <v>0</v>
      </c>
      <c r="P531">
        <f>INDEX(Advisors,MATCH(B531,KidIDs,0))</f>
        <v>0</v>
      </c>
      <c r="Q531">
        <f>INDEX(Cohort,MATCH(B531,KidIDs,0))</f>
        <v>0</v>
      </c>
      <c r="R531">
        <f>INDEX(AllCollegeBarrons,MATCH(N531,AllCollegeNCES,0))</f>
        <v>0</v>
      </c>
      <c r="S531">
        <f>INDEX(KidGPAs,MATCH(B531,KidIDs,0))</f>
        <v>0</v>
      </c>
      <c r="T531">
        <f>INDEX(KidSATs,MATCH(B531,KidIDs,0))</f>
        <v>0</v>
      </c>
      <c r="U531">
        <f>INDEX(Strats,MATCH(B531,KidIDs,0))</f>
        <v>0</v>
      </c>
      <c r="V531">
        <f>INDEX(KidRace,MATCH(B531,KidIDs,0))</f>
        <v>0</v>
      </c>
      <c r="W531">
        <f>IF(OR(V531="M",V531="I"),"H",IF(V531="P","A",V531))</f>
        <v>0</v>
      </c>
      <c r="X531">
        <f>INDEX(StudentTargets,MATCH(B531,KidIDs,0))</f>
        <v>0</v>
      </c>
      <c r="Y531">
        <f>INDEX(ReachStudentTargets,MATCH(B531,KidIDs,0))</f>
        <v>0</v>
      </c>
      <c r="Z531">
        <f>IF(OR(M531="Posse"),1,0)</f>
        <v>0</v>
      </c>
      <c r="AA531">
        <f>IF(ISNUMBER(INDEX(AllCollegeGR, MATCH(N531,AllCollegeNCES,0))),ROUND(INDEX(AllCollegeGR, MATCH(N531,AllCollegeNCES,0))+Z531*IF(INDEX(AllCollegeGR, MATCH(N531,AllCollegeNCES,0))&gt;0.7,(1-INDEX(AllCollegeGR, MATCH(N531,AllCollegeNCES,0)))/2,0.15),2),INDEX(AllCollegeGR, MATCH(N531,AllCollegeNCES,0)))</f>
        <v>0</v>
      </c>
      <c r="AB531">
        <f>IF(ISNUMBER(INDEX(AllCollegeAAHGR, MATCH(N531,AllCollegeNCES,0))),ROUND(INDEX(AllCollegeAAHGR, MATCH(N531,AllCollegeNCES,0))+Z531*IF(INDEX(AllCollegeAAHGR, MATCH(N531,AllCollegeNCES,0))&gt;0.7,(1-INDEX(AllCollegeAAHGR, MATCH(N531,AllCollegeNCES,0)))/2,0.15),2),INDEX(AllCollegeAAHGR, MATCH(N531,AllCollegeNCES,0)))</f>
        <v>0</v>
      </c>
      <c r="AC531">
        <f>IF(OR(W531="H",W531="B"),INDEX(AllCollegeSAT25, MATCH(N531,AllCollegeNCES,0)),INDEX(AllCollegeSAT50, MATCH(N531,AllCollegeNCES,0)))</f>
        <v>0</v>
      </c>
      <c r="AD531">
        <f>INDEX(CustomWeightsGPA,MATCH(W531&amp;":"&amp;N531,CustomWeightsIndex,0))</f>
        <v>0</v>
      </c>
      <c r="AE531">
        <f>INDEX(CustomWeightsSAT,MATCH(W531&amp;":"&amp;N531,CustomWeightsIndex,0))</f>
        <v>0</v>
      </c>
      <c r="AF531">
        <f>INDEX(CustomWeightsIntercept,MATCH(W531&amp;":"&amp;N531,CustomWeightsIndex,0))</f>
        <v>0</v>
      </c>
      <c r="AG531">
        <f>AD531*S531+AE531*T531+AF531</f>
        <v>0</v>
      </c>
      <c r="AH531">
        <f>INDEX(CoefficientsGPA,MATCH(W531&amp;":"&amp;R531,CoefficientsIndex,0))</f>
        <v>0</v>
      </c>
      <c r="AI531">
        <f>INDEX(CoefficientsSAT,MATCH(W531&amp;":"&amp;R531,CoefficientsIndex,0))</f>
        <v>0</v>
      </c>
      <c r="AJ531">
        <f>INDEX(CoefficientsIntercept,MATCH(W531&amp;":"&amp;R531,CoefficientsIndex,0))</f>
        <v>0</v>
      </c>
      <c r="AK531">
        <f>AH531*S531+(T531-AC531)*AI531+AJ531</f>
        <v>0</v>
      </c>
      <c r="AL531">
        <f>IF(ISNUMBER(AG531),AG531,AK531)</f>
        <v>0</v>
      </c>
      <c r="AM531">
        <f>IF(ISNUMBER(AL531),IF(ISNUMBER(AH531),IF(AND(AH531=1,AI531=1,AJ531=1),100,MIN(99,ROUND(100*EXP(AL531)/(1+EXP(AL531)),2))),MIN(99,ROUND(100*EXP(AL531)/(1+EXP(AL531)),2))),IF(ISTEXT(R531),IF(LEFT(R531,1)="2",100,"N/A"),"N/A"))</f>
        <v>0</v>
      </c>
      <c r="AN531">
        <f>IF(ISNUMBER(AM531),IF(AM531&gt;=99,IF(OR(U531=10,U531=11),MatchLabel,SureThingLabel),IF(AM531&gt;=95,SecureLabel,IF(AM531&gt;=80,SafetyLabel,IF(AM531&gt;=50,MatchLabel,IF(AM531&gt;=20,ReachLabel,IF(AM531&gt;=10,LongshotLabel,HailMaryLabel)))))),"Other")</f>
        <v>0</v>
      </c>
      <c r="AO531">
        <f>IF(OR(I531="accepted",I531="cond. accept",I531="summer admit"),IF(J531="yes","CHOICE!","Accepted!"),IF(I531="guar. transfer","Guar. Xfer",IF(I531="denied","Denied",IF(K531=1,"Waitlist",IF(L531=1,"Deferred",IF(G531="pending","Pending",IF(OR(G531="initial materials submitted",G531="mid-year submitted",G531="final submitted"),"Submitted",IF(H531="interest","Interest","?"))))))))</f>
        <v>0</v>
      </c>
      <c r="AP531">
        <f>IF(OR(AN531=ReachLabel,AN531=LongshotLabel,AN531=HailMaryLabel),1,0)</f>
        <v>0</v>
      </c>
      <c r="AQ531">
        <f>IF(OR(AP531=1,AN531=MatchLabel),1,0)</f>
        <v>0</v>
      </c>
      <c r="AR531">
        <f>IF(OR(AN531=MatchLabel,AN531=SafetyLabel,AN531=SecureLabel,AN531=SureThingLabel),1,0)</f>
        <v>0</v>
      </c>
      <c r="AS531">
        <f>IF(OR(W531="H",W531="B",W531="I",W531="M"),IF(ISNUMBER(AB531),ROUND(AB531,2),0),IF(ISNUMBER(AA531),ROUND(AA531,2),0))</f>
        <v>0</v>
      </c>
      <c r="AT531">
        <f>IF(AS531&gt;=X531,1,0)</f>
        <v>0</v>
      </c>
      <c r="AU531">
        <f>IF(AS531&gt;=Y531,1,0)</f>
        <v>0</v>
      </c>
      <c r="AV531">
        <f>IF(AS531&lt;(X531-0.10),1,0)</f>
        <v>0</v>
      </c>
      <c r="AW531">
        <f>1-AM531/100</f>
        <v>0</v>
      </c>
      <c r="AX531">
        <f>IF(AQ531=1,AW531,1)</f>
        <v>0</v>
      </c>
      <c r="AY531">
        <f>IF(AP531=1,AW531,1)</f>
        <v>0</v>
      </c>
      <c r="AZ531">
        <f>IF(AND(AT531=1,ISNUMBER(AW531)),$AW531,1)</f>
        <v>0</v>
      </c>
      <c r="BA531">
        <f>IF(AND(AU531=1,ISNUMBER(AW531)),$AW531,1)</f>
        <v>0</v>
      </c>
      <c r="BB531">
        <f>IF(ISNUMBER(AB531),INDEX(AllCollegeMoney, MATCH(N531,AllCollegeNCES,0)),0)</f>
        <v>0</v>
      </c>
      <c r="BC531">
        <f>IF(AND(AT531=1,ISNUMBER(AW531),BB531=1),$AW531,1)</f>
        <v>0</v>
      </c>
      <c r="BD531">
        <f>IF(AND(AU531=1,ISNUMBER(AW531),BB531=1),$AW531,1)</f>
        <v>0</v>
      </c>
      <c r="BE531">
        <f>IF(ISNUMBER(AB531),INDEX(AllCollegeILPub, MATCH(N531,AllCollegeNCES,0)),0)</f>
        <v>0</v>
      </c>
      <c r="BF531">
        <f>IF(AN531=ReachLabel,AS531,0)</f>
        <v>0</v>
      </c>
      <c r="BG531">
        <f>IF(AN531=MatchLabel,AS531,0)</f>
        <v>0</v>
      </c>
      <c r="BH531">
        <f>IF(AN531=SafetyLabel,AS531,0)</f>
        <v>0</v>
      </c>
      <c r="BI531">
        <f>IF(AN531=SecureLabel,AS531,0)</f>
        <v>0</v>
      </c>
      <c r="BJ531">
        <f>IF(AN531=SureThingLabel,AS531,0)</f>
        <v>0</v>
      </c>
      <c r="BK531">
        <f>MAX(BF531:BJ531)</f>
        <v>0</v>
      </c>
      <c r="BL531">
        <f>MAX(BG531:BJ531)</f>
        <v>0</v>
      </c>
      <c r="BM531">
        <f>MAX(BH531:BJ531)</f>
        <v>0</v>
      </c>
      <c r="BN531">
        <f>IF(AND(AN531=ReachLabel,BB531=1),AS531,0)</f>
        <v>0</v>
      </c>
      <c r="BO531">
        <f>IF(AND(AN531=MatchLabel,BB531=1),AS531,0)</f>
        <v>0</v>
      </c>
      <c r="BP531">
        <f>IF(AND(AN531=SafetyLabel,BB531=1),AS531,0)</f>
        <v>0</v>
      </c>
      <c r="BQ531">
        <f>IF(AND(AN531=SecureLabel,BB531=1),AS531,0)</f>
        <v>0</v>
      </c>
      <c r="BR531">
        <f>IF(AND(AN531=SureThingLabel,BB531=1),AS531,0)</f>
        <v>0</v>
      </c>
      <c r="BS531">
        <f>MAX(BN531:BR531)</f>
        <v>0</v>
      </c>
      <c r="BT531">
        <f>MAX(BO531:BR531)</f>
        <v>0</v>
      </c>
      <c r="BU531">
        <f>MAX(BP531:BR531)</f>
        <v>0</v>
      </c>
      <c r="BV531">
        <f>IF(ISNUMBER(AB531),INDEX(AllCollegeChicago, MATCH(N531,AllCollegeNCES,0))*BB531,0)</f>
        <v>0</v>
      </c>
      <c r="BW531">
        <f>IF(ISNUMBER(AB531),INDEX(AllCollegeMoneyCode, MATCH(N531,AllCollegeNCES,0)),"?")</f>
        <v>0</v>
      </c>
      <c r="BX531">
        <f>IF(OR(BW531="---",BW531="--",BW531="+/--",BW531="+/---"),1,0)</f>
        <v>0</v>
      </c>
      <c r="BY531">
        <f>BB531*AR531*AT531</f>
        <v>0</v>
      </c>
    </row>
    <row r="532" spans="1:77">
      <c r="A532" t="s">
        <v>96</v>
      </c>
      <c r="B532">
        <v>23477628</v>
      </c>
      <c r="C532" t="s">
        <v>318</v>
      </c>
      <c r="D532" t="s">
        <v>319</v>
      </c>
      <c r="E532" t="s">
        <v>446</v>
      </c>
      <c r="F532" t="s">
        <v>458</v>
      </c>
      <c r="G532" t="s">
        <v>448</v>
      </c>
      <c r="H532" t="s">
        <v>449</v>
      </c>
      <c r="I532" t="s">
        <v>450</v>
      </c>
      <c r="J532" t="s">
        <v>450</v>
      </c>
      <c r="K532">
        <v>0</v>
      </c>
      <c r="L532" t="s">
        <v>446</v>
      </c>
      <c r="M532" t="s">
        <v>446</v>
      </c>
      <c r="N532">
        <v>144892</v>
      </c>
      <c r="O532">
        <f>INDEX(Counselor,MATCH(B532,KidIDs,0))</f>
        <v>0</v>
      </c>
      <c r="P532">
        <f>INDEX(Advisors,MATCH(B532,KidIDs,0))</f>
        <v>0</v>
      </c>
      <c r="Q532">
        <f>INDEX(Cohort,MATCH(B532,KidIDs,0))</f>
        <v>0</v>
      </c>
      <c r="R532">
        <f>INDEX(AllCollegeBarrons,MATCH(N532,AllCollegeNCES,0))</f>
        <v>0</v>
      </c>
      <c r="S532">
        <f>INDEX(KidGPAs,MATCH(B532,KidIDs,0))</f>
        <v>0</v>
      </c>
      <c r="T532">
        <f>INDEX(KidSATs,MATCH(B532,KidIDs,0))</f>
        <v>0</v>
      </c>
      <c r="U532">
        <f>INDEX(Strats,MATCH(B532,KidIDs,0))</f>
        <v>0</v>
      </c>
      <c r="V532">
        <f>INDEX(KidRace,MATCH(B532,KidIDs,0))</f>
        <v>0</v>
      </c>
      <c r="W532">
        <f>IF(OR(V532="M",V532="I"),"H",IF(V532="P","A",V532))</f>
        <v>0</v>
      </c>
      <c r="X532">
        <f>INDEX(StudentTargets,MATCH(B532,KidIDs,0))</f>
        <v>0</v>
      </c>
      <c r="Y532">
        <f>INDEX(ReachStudentTargets,MATCH(B532,KidIDs,0))</f>
        <v>0</v>
      </c>
      <c r="Z532">
        <f>IF(OR(M532="Posse"),1,0)</f>
        <v>0</v>
      </c>
      <c r="AA532">
        <f>IF(ISNUMBER(INDEX(AllCollegeGR, MATCH(N532,AllCollegeNCES,0))),ROUND(INDEX(AllCollegeGR, MATCH(N532,AllCollegeNCES,0))+Z532*IF(INDEX(AllCollegeGR, MATCH(N532,AllCollegeNCES,0))&gt;0.7,(1-INDEX(AllCollegeGR, MATCH(N532,AllCollegeNCES,0)))/2,0.15),2),INDEX(AllCollegeGR, MATCH(N532,AllCollegeNCES,0)))</f>
        <v>0</v>
      </c>
      <c r="AB532">
        <f>IF(ISNUMBER(INDEX(AllCollegeAAHGR, MATCH(N532,AllCollegeNCES,0))),ROUND(INDEX(AllCollegeAAHGR, MATCH(N532,AllCollegeNCES,0))+Z532*IF(INDEX(AllCollegeAAHGR, MATCH(N532,AllCollegeNCES,0))&gt;0.7,(1-INDEX(AllCollegeAAHGR, MATCH(N532,AllCollegeNCES,0)))/2,0.15),2),INDEX(AllCollegeAAHGR, MATCH(N532,AllCollegeNCES,0)))</f>
        <v>0</v>
      </c>
      <c r="AC532">
        <f>IF(OR(W532="H",W532="B"),INDEX(AllCollegeSAT25, MATCH(N532,AllCollegeNCES,0)),INDEX(AllCollegeSAT50, MATCH(N532,AllCollegeNCES,0)))</f>
        <v>0</v>
      </c>
      <c r="AD532">
        <f>INDEX(CustomWeightsGPA,MATCH(W532&amp;":"&amp;N532,CustomWeightsIndex,0))</f>
        <v>0</v>
      </c>
      <c r="AE532">
        <f>INDEX(CustomWeightsSAT,MATCH(W532&amp;":"&amp;N532,CustomWeightsIndex,0))</f>
        <v>0</v>
      </c>
      <c r="AF532">
        <f>INDEX(CustomWeightsIntercept,MATCH(W532&amp;":"&amp;N532,CustomWeightsIndex,0))</f>
        <v>0</v>
      </c>
      <c r="AG532">
        <f>AD532*S532+AE532*T532+AF532</f>
        <v>0</v>
      </c>
      <c r="AH532">
        <f>INDEX(CoefficientsGPA,MATCH(W532&amp;":"&amp;R532,CoefficientsIndex,0))</f>
        <v>0</v>
      </c>
      <c r="AI532">
        <f>INDEX(CoefficientsSAT,MATCH(W532&amp;":"&amp;R532,CoefficientsIndex,0))</f>
        <v>0</v>
      </c>
      <c r="AJ532">
        <f>INDEX(CoefficientsIntercept,MATCH(W532&amp;":"&amp;R532,CoefficientsIndex,0))</f>
        <v>0</v>
      </c>
      <c r="AK532">
        <f>AH532*S532+(T532-AC532)*AI532+AJ532</f>
        <v>0</v>
      </c>
      <c r="AL532">
        <f>IF(ISNUMBER(AG532),AG532,AK532)</f>
        <v>0</v>
      </c>
      <c r="AM532">
        <f>IF(ISNUMBER(AL532),IF(ISNUMBER(AH532),IF(AND(AH532=1,AI532=1,AJ532=1),100,MIN(99,ROUND(100*EXP(AL532)/(1+EXP(AL532)),2))),MIN(99,ROUND(100*EXP(AL532)/(1+EXP(AL532)),2))),IF(ISTEXT(R532),IF(LEFT(R532,1)="2",100,"N/A"),"N/A"))</f>
        <v>0</v>
      </c>
      <c r="AN532">
        <f>IF(ISNUMBER(AM532),IF(AM532&gt;=99,IF(OR(U532=10,U532=11),MatchLabel,SureThingLabel),IF(AM532&gt;=95,SecureLabel,IF(AM532&gt;=80,SafetyLabel,IF(AM532&gt;=50,MatchLabel,IF(AM532&gt;=20,ReachLabel,IF(AM532&gt;=10,LongshotLabel,HailMaryLabel)))))),"Other")</f>
        <v>0</v>
      </c>
      <c r="AO532">
        <f>IF(OR(I532="accepted",I532="cond. accept",I532="summer admit"),IF(J532="yes","CHOICE!","Accepted!"),IF(I532="guar. transfer","Guar. Xfer",IF(I532="denied","Denied",IF(K532=1,"Waitlist",IF(L532=1,"Deferred",IF(G532="pending","Pending",IF(OR(G532="initial materials submitted",G532="mid-year submitted",G532="final submitted"),"Submitted",IF(H532="interest","Interest","?"))))))))</f>
        <v>0</v>
      </c>
      <c r="AP532">
        <f>IF(OR(AN532=ReachLabel,AN532=LongshotLabel,AN532=HailMaryLabel),1,0)</f>
        <v>0</v>
      </c>
      <c r="AQ532">
        <f>IF(OR(AP532=1,AN532=MatchLabel),1,0)</f>
        <v>0</v>
      </c>
      <c r="AR532">
        <f>IF(OR(AN532=MatchLabel,AN532=SafetyLabel,AN532=SecureLabel,AN532=SureThingLabel),1,0)</f>
        <v>0</v>
      </c>
      <c r="AS532">
        <f>IF(OR(W532="H",W532="B",W532="I",W532="M"),IF(ISNUMBER(AB532),ROUND(AB532,2),0),IF(ISNUMBER(AA532),ROUND(AA532,2),0))</f>
        <v>0</v>
      </c>
      <c r="AT532">
        <f>IF(AS532&gt;=X532,1,0)</f>
        <v>0</v>
      </c>
      <c r="AU532">
        <f>IF(AS532&gt;=Y532,1,0)</f>
        <v>0</v>
      </c>
      <c r="AV532">
        <f>IF(AS532&lt;(X532-0.10),1,0)</f>
        <v>0</v>
      </c>
      <c r="AW532">
        <f>1-AM532/100</f>
        <v>0</v>
      </c>
      <c r="AX532">
        <f>IF(AQ532=1,AW532,1)</f>
        <v>0</v>
      </c>
      <c r="AY532">
        <f>IF(AP532=1,AW532,1)</f>
        <v>0</v>
      </c>
      <c r="AZ532">
        <f>IF(AND(AT532=1,ISNUMBER(AW532)),$AW532,1)</f>
        <v>0</v>
      </c>
      <c r="BA532">
        <f>IF(AND(AU532=1,ISNUMBER(AW532)),$AW532,1)</f>
        <v>0</v>
      </c>
      <c r="BB532">
        <f>IF(ISNUMBER(AB532),INDEX(AllCollegeMoney, MATCH(N532,AllCollegeNCES,0)),0)</f>
        <v>0</v>
      </c>
      <c r="BC532">
        <f>IF(AND(AT532=1,ISNUMBER(AW532),BB532=1),$AW532,1)</f>
        <v>0</v>
      </c>
      <c r="BD532">
        <f>IF(AND(AU532=1,ISNUMBER(AW532),BB532=1),$AW532,1)</f>
        <v>0</v>
      </c>
      <c r="BE532">
        <f>IF(ISNUMBER(AB532),INDEX(AllCollegeILPub, MATCH(N532,AllCollegeNCES,0)),0)</f>
        <v>0</v>
      </c>
      <c r="BF532">
        <f>IF(AN532=ReachLabel,AS532,0)</f>
        <v>0</v>
      </c>
      <c r="BG532">
        <f>IF(AN532=MatchLabel,AS532,0)</f>
        <v>0</v>
      </c>
      <c r="BH532">
        <f>IF(AN532=SafetyLabel,AS532,0)</f>
        <v>0</v>
      </c>
      <c r="BI532">
        <f>IF(AN532=SecureLabel,AS532,0)</f>
        <v>0</v>
      </c>
      <c r="BJ532">
        <f>IF(AN532=SureThingLabel,AS532,0)</f>
        <v>0</v>
      </c>
      <c r="BK532">
        <f>MAX(BF532:BJ532)</f>
        <v>0</v>
      </c>
      <c r="BL532">
        <f>MAX(BG532:BJ532)</f>
        <v>0</v>
      </c>
      <c r="BM532">
        <f>MAX(BH532:BJ532)</f>
        <v>0</v>
      </c>
      <c r="BN532">
        <f>IF(AND(AN532=ReachLabel,BB532=1),AS532,0)</f>
        <v>0</v>
      </c>
      <c r="BO532">
        <f>IF(AND(AN532=MatchLabel,BB532=1),AS532,0)</f>
        <v>0</v>
      </c>
      <c r="BP532">
        <f>IF(AND(AN532=SafetyLabel,BB532=1),AS532,0)</f>
        <v>0</v>
      </c>
      <c r="BQ532">
        <f>IF(AND(AN532=SecureLabel,BB532=1),AS532,0)</f>
        <v>0</v>
      </c>
      <c r="BR532">
        <f>IF(AND(AN532=SureThingLabel,BB532=1),AS532,0)</f>
        <v>0</v>
      </c>
      <c r="BS532">
        <f>MAX(BN532:BR532)</f>
        <v>0</v>
      </c>
      <c r="BT532">
        <f>MAX(BO532:BR532)</f>
        <v>0</v>
      </c>
      <c r="BU532">
        <f>MAX(BP532:BR532)</f>
        <v>0</v>
      </c>
      <c r="BV532">
        <f>IF(ISNUMBER(AB532),INDEX(AllCollegeChicago, MATCH(N532,AllCollegeNCES,0))*BB532,0)</f>
        <v>0</v>
      </c>
      <c r="BW532">
        <f>IF(ISNUMBER(AB532),INDEX(AllCollegeMoneyCode, MATCH(N532,AllCollegeNCES,0)),"?")</f>
        <v>0</v>
      </c>
      <c r="BX532">
        <f>IF(OR(BW532="---",BW532="--",BW532="+/--",BW532="+/---"),1,0)</f>
        <v>0</v>
      </c>
      <c r="BY532">
        <f>BB532*AR532*AT532</f>
        <v>0</v>
      </c>
    </row>
    <row r="533" spans="1:77">
      <c r="A533" t="s">
        <v>96</v>
      </c>
      <c r="B533">
        <v>23477954</v>
      </c>
      <c r="C533" t="s">
        <v>252</v>
      </c>
      <c r="D533" t="s">
        <v>253</v>
      </c>
      <c r="E533" t="s">
        <v>446</v>
      </c>
      <c r="F533" t="s">
        <v>447</v>
      </c>
      <c r="G533" t="s">
        <v>448</v>
      </c>
      <c r="H533" t="s">
        <v>449</v>
      </c>
      <c r="I533" t="s">
        <v>450</v>
      </c>
      <c r="J533" t="s">
        <v>450</v>
      </c>
      <c r="K533">
        <v>0</v>
      </c>
      <c r="L533" t="s">
        <v>446</v>
      </c>
      <c r="M533" t="s">
        <v>446</v>
      </c>
      <c r="N533">
        <v>148496</v>
      </c>
      <c r="O533">
        <f>INDEX(Counselor,MATCH(B533,KidIDs,0))</f>
        <v>0</v>
      </c>
      <c r="P533">
        <f>INDEX(Advisors,MATCH(B533,KidIDs,0))</f>
        <v>0</v>
      </c>
      <c r="Q533">
        <f>INDEX(Cohort,MATCH(B533,KidIDs,0))</f>
        <v>0</v>
      </c>
      <c r="R533">
        <f>INDEX(AllCollegeBarrons,MATCH(N533,AllCollegeNCES,0))</f>
        <v>0</v>
      </c>
      <c r="S533">
        <f>INDEX(KidGPAs,MATCH(B533,KidIDs,0))</f>
        <v>0</v>
      </c>
      <c r="T533">
        <f>INDEX(KidSATs,MATCH(B533,KidIDs,0))</f>
        <v>0</v>
      </c>
      <c r="U533">
        <f>INDEX(Strats,MATCH(B533,KidIDs,0))</f>
        <v>0</v>
      </c>
      <c r="V533">
        <f>INDEX(KidRace,MATCH(B533,KidIDs,0))</f>
        <v>0</v>
      </c>
      <c r="W533">
        <f>IF(OR(V533="M",V533="I"),"H",IF(V533="P","A",V533))</f>
        <v>0</v>
      </c>
      <c r="X533">
        <f>INDEX(StudentTargets,MATCH(B533,KidIDs,0))</f>
        <v>0</v>
      </c>
      <c r="Y533">
        <f>INDEX(ReachStudentTargets,MATCH(B533,KidIDs,0))</f>
        <v>0</v>
      </c>
      <c r="Z533">
        <f>IF(OR(M533="Posse"),1,0)</f>
        <v>0</v>
      </c>
      <c r="AA533">
        <f>IF(ISNUMBER(INDEX(AllCollegeGR, MATCH(N533,AllCollegeNCES,0))),ROUND(INDEX(AllCollegeGR, MATCH(N533,AllCollegeNCES,0))+Z533*IF(INDEX(AllCollegeGR, MATCH(N533,AllCollegeNCES,0))&gt;0.7,(1-INDEX(AllCollegeGR, MATCH(N533,AllCollegeNCES,0)))/2,0.15),2),INDEX(AllCollegeGR, MATCH(N533,AllCollegeNCES,0)))</f>
        <v>0</v>
      </c>
      <c r="AB533">
        <f>IF(ISNUMBER(INDEX(AllCollegeAAHGR, MATCH(N533,AllCollegeNCES,0))),ROUND(INDEX(AllCollegeAAHGR, MATCH(N533,AllCollegeNCES,0))+Z533*IF(INDEX(AllCollegeAAHGR, MATCH(N533,AllCollegeNCES,0))&gt;0.7,(1-INDEX(AllCollegeAAHGR, MATCH(N533,AllCollegeNCES,0)))/2,0.15),2),INDEX(AllCollegeAAHGR, MATCH(N533,AllCollegeNCES,0)))</f>
        <v>0</v>
      </c>
      <c r="AC533">
        <f>IF(OR(W533="H",W533="B"),INDEX(AllCollegeSAT25, MATCH(N533,AllCollegeNCES,0)),INDEX(AllCollegeSAT50, MATCH(N533,AllCollegeNCES,0)))</f>
        <v>0</v>
      </c>
      <c r="AD533">
        <f>INDEX(CustomWeightsGPA,MATCH(W533&amp;":"&amp;N533,CustomWeightsIndex,0))</f>
        <v>0</v>
      </c>
      <c r="AE533">
        <f>INDEX(CustomWeightsSAT,MATCH(W533&amp;":"&amp;N533,CustomWeightsIndex,0))</f>
        <v>0</v>
      </c>
      <c r="AF533">
        <f>INDEX(CustomWeightsIntercept,MATCH(W533&amp;":"&amp;N533,CustomWeightsIndex,0))</f>
        <v>0</v>
      </c>
      <c r="AG533">
        <f>AD533*S533+AE533*T533+AF533</f>
        <v>0</v>
      </c>
      <c r="AH533">
        <f>INDEX(CoefficientsGPA,MATCH(W533&amp;":"&amp;R533,CoefficientsIndex,0))</f>
        <v>0</v>
      </c>
      <c r="AI533">
        <f>INDEX(CoefficientsSAT,MATCH(W533&amp;":"&amp;R533,CoefficientsIndex,0))</f>
        <v>0</v>
      </c>
      <c r="AJ533">
        <f>INDEX(CoefficientsIntercept,MATCH(W533&amp;":"&amp;R533,CoefficientsIndex,0))</f>
        <v>0</v>
      </c>
      <c r="AK533">
        <f>AH533*S533+(T533-AC533)*AI533+AJ533</f>
        <v>0</v>
      </c>
      <c r="AL533">
        <f>IF(ISNUMBER(AG533),AG533,AK533)</f>
        <v>0</v>
      </c>
      <c r="AM533">
        <f>IF(ISNUMBER(AL533),IF(ISNUMBER(AH533),IF(AND(AH533=1,AI533=1,AJ533=1),100,MIN(99,ROUND(100*EXP(AL533)/(1+EXP(AL533)),2))),MIN(99,ROUND(100*EXP(AL533)/(1+EXP(AL533)),2))),IF(ISTEXT(R533),IF(LEFT(R533,1)="2",100,"N/A"),"N/A"))</f>
        <v>0</v>
      </c>
      <c r="AN533">
        <f>IF(ISNUMBER(AM533),IF(AM533&gt;=99,IF(OR(U533=10,U533=11),MatchLabel,SureThingLabel),IF(AM533&gt;=95,SecureLabel,IF(AM533&gt;=80,SafetyLabel,IF(AM533&gt;=50,MatchLabel,IF(AM533&gt;=20,ReachLabel,IF(AM533&gt;=10,LongshotLabel,HailMaryLabel)))))),"Other")</f>
        <v>0</v>
      </c>
      <c r="AO533">
        <f>IF(OR(I533="accepted",I533="cond. accept",I533="summer admit"),IF(J533="yes","CHOICE!","Accepted!"),IF(I533="guar. transfer","Guar. Xfer",IF(I533="denied","Denied",IF(K533=1,"Waitlist",IF(L533=1,"Deferred",IF(G533="pending","Pending",IF(OR(G533="initial materials submitted",G533="mid-year submitted",G533="final submitted"),"Submitted",IF(H533="interest","Interest","?"))))))))</f>
        <v>0</v>
      </c>
      <c r="AP533">
        <f>IF(OR(AN533=ReachLabel,AN533=LongshotLabel,AN533=HailMaryLabel),1,0)</f>
        <v>0</v>
      </c>
      <c r="AQ533">
        <f>IF(OR(AP533=1,AN533=MatchLabel),1,0)</f>
        <v>0</v>
      </c>
      <c r="AR533">
        <f>IF(OR(AN533=MatchLabel,AN533=SafetyLabel,AN533=SecureLabel,AN533=SureThingLabel),1,0)</f>
        <v>0</v>
      </c>
      <c r="AS533">
        <f>IF(OR(W533="H",W533="B",W533="I",W533="M"),IF(ISNUMBER(AB533),ROUND(AB533,2),0),IF(ISNUMBER(AA533),ROUND(AA533,2),0))</f>
        <v>0</v>
      </c>
      <c r="AT533">
        <f>IF(AS533&gt;=X533,1,0)</f>
        <v>0</v>
      </c>
      <c r="AU533">
        <f>IF(AS533&gt;=Y533,1,0)</f>
        <v>0</v>
      </c>
      <c r="AV533">
        <f>IF(AS533&lt;(X533-0.10),1,0)</f>
        <v>0</v>
      </c>
      <c r="AW533">
        <f>1-AM533/100</f>
        <v>0</v>
      </c>
      <c r="AX533">
        <f>IF(AQ533=1,AW533,1)</f>
        <v>0</v>
      </c>
      <c r="AY533">
        <f>IF(AP533=1,AW533,1)</f>
        <v>0</v>
      </c>
      <c r="AZ533">
        <f>IF(AND(AT533=1,ISNUMBER(AW533)),$AW533,1)</f>
        <v>0</v>
      </c>
      <c r="BA533">
        <f>IF(AND(AU533=1,ISNUMBER(AW533)),$AW533,1)</f>
        <v>0</v>
      </c>
      <c r="BB533">
        <f>IF(ISNUMBER(AB533),INDEX(AllCollegeMoney, MATCH(N533,AllCollegeNCES,0)),0)</f>
        <v>0</v>
      </c>
      <c r="BC533">
        <f>IF(AND(AT533=1,ISNUMBER(AW533),BB533=1),$AW533,1)</f>
        <v>0</v>
      </c>
      <c r="BD533">
        <f>IF(AND(AU533=1,ISNUMBER(AW533),BB533=1),$AW533,1)</f>
        <v>0</v>
      </c>
      <c r="BE533">
        <f>IF(ISNUMBER(AB533),INDEX(AllCollegeILPub, MATCH(N533,AllCollegeNCES,0)),0)</f>
        <v>0</v>
      </c>
      <c r="BF533">
        <f>IF(AN533=ReachLabel,AS533,0)</f>
        <v>0</v>
      </c>
      <c r="BG533">
        <f>IF(AN533=MatchLabel,AS533,0)</f>
        <v>0</v>
      </c>
      <c r="BH533">
        <f>IF(AN533=SafetyLabel,AS533,0)</f>
        <v>0</v>
      </c>
      <c r="BI533">
        <f>IF(AN533=SecureLabel,AS533,0)</f>
        <v>0</v>
      </c>
      <c r="BJ533">
        <f>IF(AN533=SureThingLabel,AS533,0)</f>
        <v>0</v>
      </c>
      <c r="BK533">
        <f>MAX(BF533:BJ533)</f>
        <v>0</v>
      </c>
      <c r="BL533">
        <f>MAX(BG533:BJ533)</f>
        <v>0</v>
      </c>
      <c r="BM533">
        <f>MAX(BH533:BJ533)</f>
        <v>0</v>
      </c>
      <c r="BN533">
        <f>IF(AND(AN533=ReachLabel,BB533=1),AS533,0)</f>
        <v>0</v>
      </c>
      <c r="BO533">
        <f>IF(AND(AN533=MatchLabel,BB533=1),AS533,0)</f>
        <v>0</v>
      </c>
      <c r="BP533">
        <f>IF(AND(AN533=SafetyLabel,BB533=1),AS533,0)</f>
        <v>0</v>
      </c>
      <c r="BQ533">
        <f>IF(AND(AN533=SecureLabel,BB533=1),AS533,0)</f>
        <v>0</v>
      </c>
      <c r="BR533">
        <f>IF(AND(AN533=SureThingLabel,BB533=1),AS533,0)</f>
        <v>0</v>
      </c>
      <c r="BS533">
        <f>MAX(BN533:BR533)</f>
        <v>0</v>
      </c>
      <c r="BT533">
        <f>MAX(BO533:BR533)</f>
        <v>0</v>
      </c>
      <c r="BU533">
        <f>MAX(BP533:BR533)</f>
        <v>0</v>
      </c>
      <c r="BV533">
        <f>IF(ISNUMBER(AB533),INDEX(AllCollegeChicago, MATCH(N533,AllCollegeNCES,0))*BB533,0)</f>
        <v>0</v>
      </c>
      <c r="BW533">
        <f>IF(ISNUMBER(AB533),INDEX(AllCollegeMoneyCode, MATCH(N533,AllCollegeNCES,0)),"?")</f>
        <v>0</v>
      </c>
      <c r="BX533">
        <f>IF(OR(BW533="---",BW533="--",BW533="+/--",BW533="+/---"),1,0)</f>
        <v>0</v>
      </c>
      <c r="BY533">
        <f>BB533*AR533*AT533</f>
        <v>0</v>
      </c>
    </row>
    <row r="534" spans="1:77">
      <c r="A534" t="s">
        <v>96</v>
      </c>
      <c r="B534">
        <v>23477954</v>
      </c>
      <c r="C534" t="s">
        <v>252</v>
      </c>
      <c r="D534" t="s">
        <v>253</v>
      </c>
      <c r="E534" t="s">
        <v>446</v>
      </c>
      <c r="F534" t="s">
        <v>580</v>
      </c>
      <c r="G534" t="s">
        <v>448</v>
      </c>
      <c r="H534" t="s">
        <v>449</v>
      </c>
      <c r="I534" t="s">
        <v>450</v>
      </c>
      <c r="J534" t="s">
        <v>450</v>
      </c>
      <c r="K534">
        <v>0</v>
      </c>
      <c r="L534" t="s">
        <v>446</v>
      </c>
      <c r="M534" t="s">
        <v>446</v>
      </c>
      <c r="N534">
        <v>175856</v>
      </c>
      <c r="O534">
        <f>INDEX(Counselor,MATCH(B534,KidIDs,0))</f>
        <v>0</v>
      </c>
      <c r="P534">
        <f>INDEX(Advisors,MATCH(B534,KidIDs,0))</f>
        <v>0</v>
      </c>
      <c r="Q534">
        <f>INDEX(Cohort,MATCH(B534,KidIDs,0))</f>
        <v>0</v>
      </c>
      <c r="R534">
        <f>INDEX(AllCollegeBarrons,MATCH(N534,AllCollegeNCES,0))</f>
        <v>0</v>
      </c>
      <c r="S534">
        <f>INDEX(KidGPAs,MATCH(B534,KidIDs,0))</f>
        <v>0</v>
      </c>
      <c r="T534">
        <f>INDEX(KidSATs,MATCH(B534,KidIDs,0))</f>
        <v>0</v>
      </c>
      <c r="U534">
        <f>INDEX(Strats,MATCH(B534,KidIDs,0))</f>
        <v>0</v>
      </c>
      <c r="V534">
        <f>INDEX(KidRace,MATCH(B534,KidIDs,0))</f>
        <v>0</v>
      </c>
      <c r="W534">
        <f>IF(OR(V534="M",V534="I"),"H",IF(V534="P","A",V534))</f>
        <v>0</v>
      </c>
      <c r="X534">
        <f>INDEX(StudentTargets,MATCH(B534,KidIDs,0))</f>
        <v>0</v>
      </c>
      <c r="Y534">
        <f>INDEX(ReachStudentTargets,MATCH(B534,KidIDs,0))</f>
        <v>0</v>
      </c>
      <c r="Z534">
        <f>IF(OR(M534="Posse"),1,0)</f>
        <v>0</v>
      </c>
      <c r="AA534">
        <f>IF(ISNUMBER(INDEX(AllCollegeGR, MATCH(N534,AllCollegeNCES,0))),ROUND(INDEX(AllCollegeGR, MATCH(N534,AllCollegeNCES,0))+Z534*IF(INDEX(AllCollegeGR, MATCH(N534,AllCollegeNCES,0))&gt;0.7,(1-INDEX(AllCollegeGR, MATCH(N534,AllCollegeNCES,0)))/2,0.15),2),INDEX(AllCollegeGR, MATCH(N534,AllCollegeNCES,0)))</f>
        <v>0</v>
      </c>
      <c r="AB534">
        <f>IF(ISNUMBER(INDEX(AllCollegeAAHGR, MATCH(N534,AllCollegeNCES,0))),ROUND(INDEX(AllCollegeAAHGR, MATCH(N534,AllCollegeNCES,0))+Z534*IF(INDEX(AllCollegeAAHGR, MATCH(N534,AllCollegeNCES,0))&gt;0.7,(1-INDEX(AllCollegeAAHGR, MATCH(N534,AllCollegeNCES,0)))/2,0.15),2),INDEX(AllCollegeAAHGR, MATCH(N534,AllCollegeNCES,0)))</f>
        <v>0</v>
      </c>
      <c r="AC534">
        <f>IF(OR(W534="H",W534="B"),INDEX(AllCollegeSAT25, MATCH(N534,AllCollegeNCES,0)),INDEX(AllCollegeSAT50, MATCH(N534,AllCollegeNCES,0)))</f>
        <v>0</v>
      </c>
      <c r="AD534">
        <f>INDEX(CustomWeightsGPA,MATCH(W534&amp;":"&amp;N534,CustomWeightsIndex,0))</f>
        <v>0</v>
      </c>
      <c r="AE534">
        <f>INDEX(CustomWeightsSAT,MATCH(W534&amp;":"&amp;N534,CustomWeightsIndex,0))</f>
        <v>0</v>
      </c>
      <c r="AF534">
        <f>INDEX(CustomWeightsIntercept,MATCH(W534&amp;":"&amp;N534,CustomWeightsIndex,0))</f>
        <v>0</v>
      </c>
      <c r="AG534">
        <f>AD534*S534+AE534*T534+AF534</f>
        <v>0</v>
      </c>
      <c r="AH534">
        <f>INDEX(CoefficientsGPA,MATCH(W534&amp;":"&amp;R534,CoefficientsIndex,0))</f>
        <v>0</v>
      </c>
      <c r="AI534">
        <f>INDEX(CoefficientsSAT,MATCH(W534&amp;":"&amp;R534,CoefficientsIndex,0))</f>
        <v>0</v>
      </c>
      <c r="AJ534">
        <f>INDEX(CoefficientsIntercept,MATCH(W534&amp;":"&amp;R534,CoefficientsIndex,0))</f>
        <v>0</v>
      </c>
      <c r="AK534">
        <f>AH534*S534+(T534-AC534)*AI534+AJ534</f>
        <v>0</v>
      </c>
      <c r="AL534">
        <f>IF(ISNUMBER(AG534),AG534,AK534)</f>
        <v>0</v>
      </c>
      <c r="AM534">
        <f>IF(ISNUMBER(AL534),IF(ISNUMBER(AH534),IF(AND(AH534=1,AI534=1,AJ534=1),100,MIN(99,ROUND(100*EXP(AL534)/(1+EXP(AL534)),2))),MIN(99,ROUND(100*EXP(AL534)/(1+EXP(AL534)),2))),IF(ISTEXT(R534),IF(LEFT(R534,1)="2",100,"N/A"),"N/A"))</f>
        <v>0</v>
      </c>
      <c r="AN534">
        <f>IF(ISNUMBER(AM534),IF(AM534&gt;=99,IF(OR(U534=10,U534=11),MatchLabel,SureThingLabel),IF(AM534&gt;=95,SecureLabel,IF(AM534&gt;=80,SafetyLabel,IF(AM534&gt;=50,MatchLabel,IF(AM534&gt;=20,ReachLabel,IF(AM534&gt;=10,LongshotLabel,HailMaryLabel)))))),"Other")</f>
        <v>0</v>
      </c>
      <c r="AO534">
        <f>IF(OR(I534="accepted",I534="cond. accept",I534="summer admit"),IF(J534="yes","CHOICE!","Accepted!"),IF(I534="guar. transfer","Guar. Xfer",IF(I534="denied","Denied",IF(K534=1,"Waitlist",IF(L534=1,"Deferred",IF(G534="pending","Pending",IF(OR(G534="initial materials submitted",G534="mid-year submitted",G534="final submitted"),"Submitted",IF(H534="interest","Interest","?"))))))))</f>
        <v>0</v>
      </c>
      <c r="AP534">
        <f>IF(OR(AN534=ReachLabel,AN534=LongshotLabel,AN534=HailMaryLabel),1,0)</f>
        <v>0</v>
      </c>
      <c r="AQ534">
        <f>IF(OR(AP534=1,AN534=MatchLabel),1,0)</f>
        <v>0</v>
      </c>
      <c r="AR534">
        <f>IF(OR(AN534=MatchLabel,AN534=SafetyLabel,AN534=SecureLabel,AN534=SureThingLabel),1,0)</f>
        <v>0</v>
      </c>
      <c r="AS534">
        <f>IF(OR(W534="H",W534="B",W534="I",W534="M"),IF(ISNUMBER(AB534),ROUND(AB534,2),0),IF(ISNUMBER(AA534),ROUND(AA534,2),0))</f>
        <v>0</v>
      </c>
      <c r="AT534">
        <f>IF(AS534&gt;=X534,1,0)</f>
        <v>0</v>
      </c>
      <c r="AU534">
        <f>IF(AS534&gt;=Y534,1,0)</f>
        <v>0</v>
      </c>
      <c r="AV534">
        <f>IF(AS534&lt;(X534-0.10),1,0)</f>
        <v>0</v>
      </c>
      <c r="AW534">
        <f>1-AM534/100</f>
        <v>0</v>
      </c>
      <c r="AX534">
        <f>IF(AQ534=1,AW534,1)</f>
        <v>0</v>
      </c>
      <c r="AY534">
        <f>IF(AP534=1,AW534,1)</f>
        <v>0</v>
      </c>
      <c r="AZ534">
        <f>IF(AND(AT534=1,ISNUMBER(AW534)),$AW534,1)</f>
        <v>0</v>
      </c>
      <c r="BA534">
        <f>IF(AND(AU534=1,ISNUMBER(AW534)),$AW534,1)</f>
        <v>0</v>
      </c>
      <c r="BB534">
        <f>IF(ISNUMBER(AB534),INDEX(AllCollegeMoney, MATCH(N534,AllCollegeNCES,0)),0)</f>
        <v>0</v>
      </c>
      <c r="BC534">
        <f>IF(AND(AT534=1,ISNUMBER(AW534),BB534=1),$AW534,1)</f>
        <v>0</v>
      </c>
      <c r="BD534">
        <f>IF(AND(AU534=1,ISNUMBER(AW534),BB534=1),$AW534,1)</f>
        <v>0</v>
      </c>
      <c r="BE534">
        <f>IF(ISNUMBER(AB534),INDEX(AllCollegeILPub, MATCH(N534,AllCollegeNCES,0)),0)</f>
        <v>0</v>
      </c>
      <c r="BF534">
        <f>IF(AN534=ReachLabel,AS534,0)</f>
        <v>0</v>
      </c>
      <c r="BG534">
        <f>IF(AN534=MatchLabel,AS534,0)</f>
        <v>0</v>
      </c>
      <c r="BH534">
        <f>IF(AN534=SafetyLabel,AS534,0)</f>
        <v>0</v>
      </c>
      <c r="BI534">
        <f>IF(AN534=SecureLabel,AS534,0)</f>
        <v>0</v>
      </c>
      <c r="BJ534">
        <f>IF(AN534=SureThingLabel,AS534,0)</f>
        <v>0</v>
      </c>
      <c r="BK534">
        <f>MAX(BF534:BJ534)</f>
        <v>0</v>
      </c>
      <c r="BL534">
        <f>MAX(BG534:BJ534)</f>
        <v>0</v>
      </c>
      <c r="BM534">
        <f>MAX(BH534:BJ534)</f>
        <v>0</v>
      </c>
      <c r="BN534">
        <f>IF(AND(AN534=ReachLabel,BB534=1),AS534,0)</f>
        <v>0</v>
      </c>
      <c r="BO534">
        <f>IF(AND(AN534=MatchLabel,BB534=1),AS534,0)</f>
        <v>0</v>
      </c>
      <c r="BP534">
        <f>IF(AND(AN534=SafetyLabel,BB534=1),AS534,0)</f>
        <v>0</v>
      </c>
      <c r="BQ534">
        <f>IF(AND(AN534=SecureLabel,BB534=1),AS534,0)</f>
        <v>0</v>
      </c>
      <c r="BR534">
        <f>IF(AND(AN534=SureThingLabel,BB534=1),AS534,0)</f>
        <v>0</v>
      </c>
      <c r="BS534">
        <f>MAX(BN534:BR534)</f>
        <v>0</v>
      </c>
      <c r="BT534">
        <f>MAX(BO534:BR534)</f>
        <v>0</v>
      </c>
      <c r="BU534">
        <f>MAX(BP534:BR534)</f>
        <v>0</v>
      </c>
      <c r="BV534">
        <f>IF(ISNUMBER(AB534),INDEX(AllCollegeChicago, MATCH(N534,AllCollegeNCES,0))*BB534,0)</f>
        <v>0</v>
      </c>
      <c r="BW534">
        <f>IF(ISNUMBER(AB534),INDEX(AllCollegeMoneyCode, MATCH(N534,AllCollegeNCES,0)),"?")</f>
        <v>0</v>
      </c>
      <c r="BX534">
        <f>IF(OR(BW534="---",BW534="--",BW534="+/--",BW534="+/---"),1,0)</f>
        <v>0</v>
      </c>
      <c r="BY534">
        <f>BB534*AR534*AT534</f>
        <v>0</v>
      </c>
    </row>
    <row r="535" spans="1:77">
      <c r="A535" t="s">
        <v>96</v>
      </c>
      <c r="B535">
        <v>23477954</v>
      </c>
      <c r="C535" t="s">
        <v>252</v>
      </c>
      <c r="D535" t="s">
        <v>253</v>
      </c>
      <c r="E535" t="s">
        <v>446</v>
      </c>
      <c r="F535" t="s">
        <v>465</v>
      </c>
      <c r="G535" t="s">
        <v>448</v>
      </c>
      <c r="H535" t="s">
        <v>449</v>
      </c>
      <c r="I535" t="s">
        <v>450</v>
      </c>
      <c r="J535" t="s">
        <v>450</v>
      </c>
      <c r="K535">
        <v>0</v>
      </c>
      <c r="L535" t="s">
        <v>446</v>
      </c>
      <c r="M535" t="s">
        <v>446</v>
      </c>
      <c r="N535">
        <v>145600</v>
      </c>
      <c r="O535">
        <f>INDEX(Counselor,MATCH(B535,KidIDs,0))</f>
        <v>0</v>
      </c>
      <c r="P535">
        <f>INDEX(Advisors,MATCH(B535,KidIDs,0))</f>
        <v>0</v>
      </c>
      <c r="Q535">
        <f>INDEX(Cohort,MATCH(B535,KidIDs,0))</f>
        <v>0</v>
      </c>
      <c r="R535">
        <f>INDEX(AllCollegeBarrons,MATCH(N535,AllCollegeNCES,0))</f>
        <v>0</v>
      </c>
      <c r="S535">
        <f>INDEX(KidGPAs,MATCH(B535,KidIDs,0))</f>
        <v>0</v>
      </c>
      <c r="T535">
        <f>INDEX(KidSATs,MATCH(B535,KidIDs,0))</f>
        <v>0</v>
      </c>
      <c r="U535">
        <f>INDEX(Strats,MATCH(B535,KidIDs,0))</f>
        <v>0</v>
      </c>
      <c r="V535">
        <f>INDEX(KidRace,MATCH(B535,KidIDs,0))</f>
        <v>0</v>
      </c>
      <c r="W535">
        <f>IF(OR(V535="M",V535="I"),"H",IF(V535="P","A",V535))</f>
        <v>0</v>
      </c>
      <c r="X535">
        <f>INDEX(StudentTargets,MATCH(B535,KidIDs,0))</f>
        <v>0</v>
      </c>
      <c r="Y535">
        <f>INDEX(ReachStudentTargets,MATCH(B535,KidIDs,0))</f>
        <v>0</v>
      </c>
      <c r="Z535">
        <f>IF(OR(M535="Posse"),1,0)</f>
        <v>0</v>
      </c>
      <c r="AA535">
        <f>IF(ISNUMBER(INDEX(AllCollegeGR, MATCH(N535,AllCollegeNCES,0))),ROUND(INDEX(AllCollegeGR, MATCH(N535,AllCollegeNCES,0))+Z535*IF(INDEX(AllCollegeGR, MATCH(N535,AllCollegeNCES,0))&gt;0.7,(1-INDEX(AllCollegeGR, MATCH(N535,AllCollegeNCES,0)))/2,0.15),2),INDEX(AllCollegeGR, MATCH(N535,AllCollegeNCES,0)))</f>
        <v>0</v>
      </c>
      <c r="AB535">
        <f>IF(ISNUMBER(INDEX(AllCollegeAAHGR, MATCH(N535,AllCollegeNCES,0))),ROUND(INDEX(AllCollegeAAHGR, MATCH(N535,AllCollegeNCES,0))+Z535*IF(INDEX(AllCollegeAAHGR, MATCH(N535,AllCollegeNCES,0))&gt;0.7,(1-INDEX(AllCollegeAAHGR, MATCH(N535,AllCollegeNCES,0)))/2,0.15),2),INDEX(AllCollegeAAHGR, MATCH(N535,AllCollegeNCES,0)))</f>
        <v>0</v>
      </c>
      <c r="AC535">
        <f>IF(OR(W535="H",W535="B"),INDEX(AllCollegeSAT25, MATCH(N535,AllCollegeNCES,0)),INDEX(AllCollegeSAT50, MATCH(N535,AllCollegeNCES,0)))</f>
        <v>0</v>
      </c>
      <c r="AD535">
        <f>INDEX(CustomWeightsGPA,MATCH(W535&amp;":"&amp;N535,CustomWeightsIndex,0))</f>
        <v>0</v>
      </c>
      <c r="AE535">
        <f>INDEX(CustomWeightsSAT,MATCH(W535&amp;":"&amp;N535,CustomWeightsIndex,0))</f>
        <v>0</v>
      </c>
      <c r="AF535">
        <f>INDEX(CustomWeightsIntercept,MATCH(W535&amp;":"&amp;N535,CustomWeightsIndex,0))</f>
        <v>0</v>
      </c>
      <c r="AG535">
        <f>AD535*S535+AE535*T535+AF535</f>
        <v>0</v>
      </c>
      <c r="AH535">
        <f>INDEX(CoefficientsGPA,MATCH(W535&amp;":"&amp;R535,CoefficientsIndex,0))</f>
        <v>0</v>
      </c>
      <c r="AI535">
        <f>INDEX(CoefficientsSAT,MATCH(W535&amp;":"&amp;R535,CoefficientsIndex,0))</f>
        <v>0</v>
      </c>
      <c r="AJ535">
        <f>INDEX(CoefficientsIntercept,MATCH(W535&amp;":"&amp;R535,CoefficientsIndex,0))</f>
        <v>0</v>
      </c>
      <c r="AK535">
        <f>AH535*S535+(T535-AC535)*AI535+AJ535</f>
        <v>0</v>
      </c>
      <c r="AL535">
        <f>IF(ISNUMBER(AG535),AG535,AK535)</f>
        <v>0</v>
      </c>
      <c r="AM535">
        <f>IF(ISNUMBER(AL535),IF(ISNUMBER(AH535),IF(AND(AH535=1,AI535=1,AJ535=1),100,MIN(99,ROUND(100*EXP(AL535)/(1+EXP(AL535)),2))),MIN(99,ROUND(100*EXP(AL535)/(1+EXP(AL535)),2))),IF(ISTEXT(R535),IF(LEFT(R535,1)="2",100,"N/A"),"N/A"))</f>
        <v>0</v>
      </c>
      <c r="AN535">
        <f>IF(ISNUMBER(AM535),IF(AM535&gt;=99,IF(OR(U535=10,U535=11),MatchLabel,SureThingLabel),IF(AM535&gt;=95,SecureLabel,IF(AM535&gt;=80,SafetyLabel,IF(AM535&gt;=50,MatchLabel,IF(AM535&gt;=20,ReachLabel,IF(AM535&gt;=10,LongshotLabel,HailMaryLabel)))))),"Other")</f>
        <v>0</v>
      </c>
      <c r="AO535">
        <f>IF(OR(I535="accepted",I535="cond. accept",I535="summer admit"),IF(J535="yes","CHOICE!","Accepted!"),IF(I535="guar. transfer","Guar. Xfer",IF(I535="denied","Denied",IF(K535=1,"Waitlist",IF(L535=1,"Deferred",IF(G535="pending","Pending",IF(OR(G535="initial materials submitted",G535="mid-year submitted",G535="final submitted"),"Submitted",IF(H535="interest","Interest","?"))))))))</f>
        <v>0</v>
      </c>
      <c r="AP535">
        <f>IF(OR(AN535=ReachLabel,AN535=LongshotLabel,AN535=HailMaryLabel),1,0)</f>
        <v>0</v>
      </c>
      <c r="AQ535">
        <f>IF(OR(AP535=1,AN535=MatchLabel),1,0)</f>
        <v>0</v>
      </c>
      <c r="AR535">
        <f>IF(OR(AN535=MatchLabel,AN535=SafetyLabel,AN535=SecureLabel,AN535=SureThingLabel),1,0)</f>
        <v>0</v>
      </c>
      <c r="AS535">
        <f>IF(OR(W535="H",W535="B",W535="I",W535="M"),IF(ISNUMBER(AB535),ROUND(AB535,2),0),IF(ISNUMBER(AA535),ROUND(AA535,2),0))</f>
        <v>0</v>
      </c>
      <c r="AT535">
        <f>IF(AS535&gt;=X535,1,0)</f>
        <v>0</v>
      </c>
      <c r="AU535">
        <f>IF(AS535&gt;=Y535,1,0)</f>
        <v>0</v>
      </c>
      <c r="AV535">
        <f>IF(AS535&lt;(X535-0.10),1,0)</f>
        <v>0</v>
      </c>
      <c r="AW535">
        <f>1-AM535/100</f>
        <v>0</v>
      </c>
      <c r="AX535">
        <f>IF(AQ535=1,AW535,1)</f>
        <v>0</v>
      </c>
      <c r="AY535">
        <f>IF(AP535=1,AW535,1)</f>
        <v>0</v>
      </c>
      <c r="AZ535">
        <f>IF(AND(AT535=1,ISNUMBER(AW535)),$AW535,1)</f>
        <v>0</v>
      </c>
      <c r="BA535">
        <f>IF(AND(AU535=1,ISNUMBER(AW535)),$AW535,1)</f>
        <v>0</v>
      </c>
      <c r="BB535">
        <f>IF(ISNUMBER(AB535),INDEX(AllCollegeMoney, MATCH(N535,AllCollegeNCES,0)),0)</f>
        <v>0</v>
      </c>
      <c r="BC535">
        <f>IF(AND(AT535=1,ISNUMBER(AW535),BB535=1),$AW535,1)</f>
        <v>0</v>
      </c>
      <c r="BD535">
        <f>IF(AND(AU535=1,ISNUMBER(AW535),BB535=1),$AW535,1)</f>
        <v>0</v>
      </c>
      <c r="BE535">
        <f>IF(ISNUMBER(AB535),INDEX(AllCollegeILPub, MATCH(N535,AllCollegeNCES,0)),0)</f>
        <v>0</v>
      </c>
      <c r="BF535">
        <f>IF(AN535=ReachLabel,AS535,0)</f>
        <v>0</v>
      </c>
      <c r="BG535">
        <f>IF(AN535=MatchLabel,AS535,0)</f>
        <v>0</v>
      </c>
      <c r="BH535">
        <f>IF(AN535=SafetyLabel,AS535,0)</f>
        <v>0</v>
      </c>
      <c r="BI535">
        <f>IF(AN535=SecureLabel,AS535,0)</f>
        <v>0</v>
      </c>
      <c r="BJ535">
        <f>IF(AN535=SureThingLabel,AS535,0)</f>
        <v>0</v>
      </c>
      <c r="BK535">
        <f>MAX(BF535:BJ535)</f>
        <v>0</v>
      </c>
      <c r="BL535">
        <f>MAX(BG535:BJ535)</f>
        <v>0</v>
      </c>
      <c r="BM535">
        <f>MAX(BH535:BJ535)</f>
        <v>0</v>
      </c>
      <c r="BN535">
        <f>IF(AND(AN535=ReachLabel,BB535=1),AS535,0)</f>
        <v>0</v>
      </c>
      <c r="BO535">
        <f>IF(AND(AN535=MatchLabel,BB535=1),AS535,0)</f>
        <v>0</v>
      </c>
      <c r="BP535">
        <f>IF(AND(AN535=SafetyLabel,BB535=1),AS535,0)</f>
        <v>0</v>
      </c>
      <c r="BQ535">
        <f>IF(AND(AN535=SecureLabel,BB535=1),AS535,0)</f>
        <v>0</v>
      </c>
      <c r="BR535">
        <f>IF(AND(AN535=SureThingLabel,BB535=1),AS535,0)</f>
        <v>0</v>
      </c>
      <c r="BS535">
        <f>MAX(BN535:BR535)</f>
        <v>0</v>
      </c>
      <c r="BT535">
        <f>MAX(BO535:BR535)</f>
        <v>0</v>
      </c>
      <c r="BU535">
        <f>MAX(BP535:BR535)</f>
        <v>0</v>
      </c>
      <c r="BV535">
        <f>IF(ISNUMBER(AB535),INDEX(AllCollegeChicago, MATCH(N535,AllCollegeNCES,0))*BB535,0)</f>
        <v>0</v>
      </c>
      <c r="BW535">
        <f>IF(ISNUMBER(AB535),INDEX(AllCollegeMoneyCode, MATCH(N535,AllCollegeNCES,0)),"?")</f>
        <v>0</v>
      </c>
      <c r="BX535">
        <f>IF(OR(BW535="---",BW535="--",BW535="+/--",BW535="+/---"),1,0)</f>
        <v>0</v>
      </c>
      <c r="BY535">
        <f>BB535*AR535*AT535</f>
        <v>0</v>
      </c>
    </row>
    <row r="536" spans="1:77">
      <c r="A536" t="s">
        <v>96</v>
      </c>
      <c r="B536">
        <v>23477954</v>
      </c>
      <c r="C536" t="s">
        <v>252</v>
      </c>
      <c r="D536" t="s">
        <v>253</v>
      </c>
      <c r="E536" t="s">
        <v>446</v>
      </c>
      <c r="F536" t="s">
        <v>519</v>
      </c>
      <c r="G536" t="s">
        <v>448</v>
      </c>
      <c r="H536" t="s">
        <v>449</v>
      </c>
      <c r="I536" t="s">
        <v>450</v>
      </c>
      <c r="J536" t="s">
        <v>450</v>
      </c>
      <c r="K536">
        <v>0</v>
      </c>
      <c r="L536" t="s">
        <v>446</v>
      </c>
      <c r="M536" t="s">
        <v>446</v>
      </c>
      <c r="N536">
        <v>145813</v>
      </c>
      <c r="O536">
        <f>INDEX(Counselor,MATCH(B536,KidIDs,0))</f>
        <v>0</v>
      </c>
      <c r="P536">
        <f>INDEX(Advisors,MATCH(B536,KidIDs,0))</f>
        <v>0</v>
      </c>
      <c r="Q536">
        <f>INDEX(Cohort,MATCH(B536,KidIDs,0))</f>
        <v>0</v>
      </c>
      <c r="R536">
        <f>INDEX(AllCollegeBarrons,MATCH(N536,AllCollegeNCES,0))</f>
        <v>0</v>
      </c>
      <c r="S536">
        <f>INDEX(KidGPAs,MATCH(B536,KidIDs,0))</f>
        <v>0</v>
      </c>
      <c r="T536">
        <f>INDEX(KidSATs,MATCH(B536,KidIDs,0))</f>
        <v>0</v>
      </c>
      <c r="U536">
        <f>INDEX(Strats,MATCH(B536,KidIDs,0))</f>
        <v>0</v>
      </c>
      <c r="V536">
        <f>INDEX(KidRace,MATCH(B536,KidIDs,0))</f>
        <v>0</v>
      </c>
      <c r="W536">
        <f>IF(OR(V536="M",V536="I"),"H",IF(V536="P","A",V536))</f>
        <v>0</v>
      </c>
      <c r="X536">
        <f>INDEX(StudentTargets,MATCH(B536,KidIDs,0))</f>
        <v>0</v>
      </c>
      <c r="Y536">
        <f>INDEX(ReachStudentTargets,MATCH(B536,KidIDs,0))</f>
        <v>0</v>
      </c>
      <c r="Z536">
        <f>IF(OR(M536="Posse"),1,0)</f>
        <v>0</v>
      </c>
      <c r="AA536">
        <f>IF(ISNUMBER(INDEX(AllCollegeGR, MATCH(N536,AllCollegeNCES,0))),ROUND(INDEX(AllCollegeGR, MATCH(N536,AllCollegeNCES,0))+Z536*IF(INDEX(AllCollegeGR, MATCH(N536,AllCollegeNCES,0))&gt;0.7,(1-INDEX(AllCollegeGR, MATCH(N536,AllCollegeNCES,0)))/2,0.15),2),INDEX(AllCollegeGR, MATCH(N536,AllCollegeNCES,0)))</f>
        <v>0</v>
      </c>
      <c r="AB536">
        <f>IF(ISNUMBER(INDEX(AllCollegeAAHGR, MATCH(N536,AllCollegeNCES,0))),ROUND(INDEX(AllCollegeAAHGR, MATCH(N536,AllCollegeNCES,0))+Z536*IF(INDEX(AllCollegeAAHGR, MATCH(N536,AllCollegeNCES,0))&gt;0.7,(1-INDEX(AllCollegeAAHGR, MATCH(N536,AllCollegeNCES,0)))/2,0.15),2),INDEX(AllCollegeAAHGR, MATCH(N536,AllCollegeNCES,0)))</f>
        <v>0</v>
      </c>
      <c r="AC536">
        <f>IF(OR(W536="H",W536="B"),INDEX(AllCollegeSAT25, MATCH(N536,AllCollegeNCES,0)),INDEX(AllCollegeSAT50, MATCH(N536,AllCollegeNCES,0)))</f>
        <v>0</v>
      </c>
      <c r="AD536">
        <f>INDEX(CustomWeightsGPA,MATCH(W536&amp;":"&amp;N536,CustomWeightsIndex,0))</f>
        <v>0</v>
      </c>
      <c r="AE536">
        <f>INDEX(CustomWeightsSAT,MATCH(W536&amp;":"&amp;N536,CustomWeightsIndex,0))</f>
        <v>0</v>
      </c>
      <c r="AF536">
        <f>INDEX(CustomWeightsIntercept,MATCH(W536&amp;":"&amp;N536,CustomWeightsIndex,0))</f>
        <v>0</v>
      </c>
      <c r="AG536">
        <f>AD536*S536+AE536*T536+AF536</f>
        <v>0</v>
      </c>
      <c r="AH536">
        <f>INDEX(CoefficientsGPA,MATCH(W536&amp;":"&amp;R536,CoefficientsIndex,0))</f>
        <v>0</v>
      </c>
      <c r="AI536">
        <f>INDEX(CoefficientsSAT,MATCH(W536&amp;":"&amp;R536,CoefficientsIndex,0))</f>
        <v>0</v>
      </c>
      <c r="AJ536">
        <f>INDEX(CoefficientsIntercept,MATCH(W536&amp;":"&amp;R536,CoefficientsIndex,0))</f>
        <v>0</v>
      </c>
      <c r="AK536">
        <f>AH536*S536+(T536-AC536)*AI536+AJ536</f>
        <v>0</v>
      </c>
      <c r="AL536">
        <f>IF(ISNUMBER(AG536),AG536,AK536)</f>
        <v>0</v>
      </c>
      <c r="AM536">
        <f>IF(ISNUMBER(AL536),IF(ISNUMBER(AH536),IF(AND(AH536=1,AI536=1,AJ536=1),100,MIN(99,ROUND(100*EXP(AL536)/(1+EXP(AL536)),2))),MIN(99,ROUND(100*EXP(AL536)/(1+EXP(AL536)),2))),IF(ISTEXT(R536),IF(LEFT(R536,1)="2",100,"N/A"),"N/A"))</f>
        <v>0</v>
      </c>
      <c r="AN536">
        <f>IF(ISNUMBER(AM536),IF(AM536&gt;=99,IF(OR(U536=10,U536=11),MatchLabel,SureThingLabel),IF(AM536&gt;=95,SecureLabel,IF(AM536&gt;=80,SafetyLabel,IF(AM536&gt;=50,MatchLabel,IF(AM536&gt;=20,ReachLabel,IF(AM536&gt;=10,LongshotLabel,HailMaryLabel)))))),"Other")</f>
        <v>0</v>
      </c>
      <c r="AO536">
        <f>IF(OR(I536="accepted",I536="cond. accept",I536="summer admit"),IF(J536="yes","CHOICE!","Accepted!"),IF(I536="guar. transfer","Guar. Xfer",IF(I536="denied","Denied",IF(K536=1,"Waitlist",IF(L536=1,"Deferred",IF(G536="pending","Pending",IF(OR(G536="initial materials submitted",G536="mid-year submitted",G536="final submitted"),"Submitted",IF(H536="interest","Interest","?"))))))))</f>
        <v>0</v>
      </c>
      <c r="AP536">
        <f>IF(OR(AN536=ReachLabel,AN536=LongshotLabel,AN536=HailMaryLabel),1,0)</f>
        <v>0</v>
      </c>
      <c r="AQ536">
        <f>IF(OR(AP536=1,AN536=MatchLabel),1,0)</f>
        <v>0</v>
      </c>
      <c r="AR536">
        <f>IF(OR(AN536=MatchLabel,AN536=SafetyLabel,AN536=SecureLabel,AN536=SureThingLabel),1,0)</f>
        <v>0</v>
      </c>
      <c r="AS536">
        <f>IF(OR(W536="H",W536="B",W536="I",W536="M"),IF(ISNUMBER(AB536),ROUND(AB536,2),0),IF(ISNUMBER(AA536),ROUND(AA536,2),0))</f>
        <v>0</v>
      </c>
      <c r="AT536">
        <f>IF(AS536&gt;=X536,1,0)</f>
        <v>0</v>
      </c>
      <c r="AU536">
        <f>IF(AS536&gt;=Y536,1,0)</f>
        <v>0</v>
      </c>
      <c r="AV536">
        <f>IF(AS536&lt;(X536-0.10),1,0)</f>
        <v>0</v>
      </c>
      <c r="AW536">
        <f>1-AM536/100</f>
        <v>0</v>
      </c>
      <c r="AX536">
        <f>IF(AQ536=1,AW536,1)</f>
        <v>0</v>
      </c>
      <c r="AY536">
        <f>IF(AP536=1,AW536,1)</f>
        <v>0</v>
      </c>
      <c r="AZ536">
        <f>IF(AND(AT536=1,ISNUMBER(AW536)),$AW536,1)</f>
        <v>0</v>
      </c>
      <c r="BA536">
        <f>IF(AND(AU536=1,ISNUMBER(AW536)),$AW536,1)</f>
        <v>0</v>
      </c>
      <c r="BB536">
        <f>IF(ISNUMBER(AB536),INDEX(AllCollegeMoney, MATCH(N536,AllCollegeNCES,0)),0)</f>
        <v>0</v>
      </c>
      <c r="BC536">
        <f>IF(AND(AT536=1,ISNUMBER(AW536),BB536=1),$AW536,1)</f>
        <v>0</v>
      </c>
      <c r="BD536">
        <f>IF(AND(AU536=1,ISNUMBER(AW536),BB536=1),$AW536,1)</f>
        <v>0</v>
      </c>
      <c r="BE536">
        <f>IF(ISNUMBER(AB536),INDEX(AllCollegeILPub, MATCH(N536,AllCollegeNCES,0)),0)</f>
        <v>0</v>
      </c>
      <c r="BF536">
        <f>IF(AN536=ReachLabel,AS536,0)</f>
        <v>0</v>
      </c>
      <c r="BG536">
        <f>IF(AN536=MatchLabel,AS536,0)</f>
        <v>0</v>
      </c>
      <c r="BH536">
        <f>IF(AN536=SafetyLabel,AS536,0)</f>
        <v>0</v>
      </c>
      <c r="BI536">
        <f>IF(AN536=SecureLabel,AS536,0)</f>
        <v>0</v>
      </c>
      <c r="BJ536">
        <f>IF(AN536=SureThingLabel,AS536,0)</f>
        <v>0</v>
      </c>
      <c r="BK536">
        <f>MAX(BF536:BJ536)</f>
        <v>0</v>
      </c>
      <c r="BL536">
        <f>MAX(BG536:BJ536)</f>
        <v>0</v>
      </c>
      <c r="BM536">
        <f>MAX(BH536:BJ536)</f>
        <v>0</v>
      </c>
      <c r="BN536">
        <f>IF(AND(AN536=ReachLabel,BB536=1),AS536,0)</f>
        <v>0</v>
      </c>
      <c r="BO536">
        <f>IF(AND(AN536=MatchLabel,BB536=1),AS536,0)</f>
        <v>0</v>
      </c>
      <c r="BP536">
        <f>IF(AND(AN536=SafetyLabel,BB536=1),AS536,0)</f>
        <v>0</v>
      </c>
      <c r="BQ536">
        <f>IF(AND(AN536=SecureLabel,BB536=1),AS536,0)</f>
        <v>0</v>
      </c>
      <c r="BR536">
        <f>IF(AND(AN536=SureThingLabel,BB536=1),AS536,0)</f>
        <v>0</v>
      </c>
      <c r="BS536">
        <f>MAX(BN536:BR536)</f>
        <v>0</v>
      </c>
      <c r="BT536">
        <f>MAX(BO536:BR536)</f>
        <v>0</v>
      </c>
      <c r="BU536">
        <f>MAX(BP536:BR536)</f>
        <v>0</v>
      </c>
      <c r="BV536">
        <f>IF(ISNUMBER(AB536),INDEX(AllCollegeChicago, MATCH(N536,AllCollegeNCES,0))*BB536,0)</f>
        <v>0</v>
      </c>
      <c r="BW536">
        <f>IF(ISNUMBER(AB536),INDEX(AllCollegeMoneyCode, MATCH(N536,AllCollegeNCES,0)),"?")</f>
        <v>0</v>
      </c>
      <c r="BX536">
        <f>IF(OR(BW536="---",BW536="--",BW536="+/--",BW536="+/---"),1,0)</f>
        <v>0</v>
      </c>
      <c r="BY536">
        <f>BB536*AR536*AT536</f>
        <v>0</v>
      </c>
    </row>
    <row r="537" spans="1:77">
      <c r="A537" t="s">
        <v>96</v>
      </c>
      <c r="B537">
        <v>23477954</v>
      </c>
      <c r="C537" t="s">
        <v>252</v>
      </c>
      <c r="D537" t="s">
        <v>253</v>
      </c>
      <c r="E537" t="s">
        <v>446</v>
      </c>
      <c r="F537" t="s">
        <v>529</v>
      </c>
      <c r="G537" t="s">
        <v>448</v>
      </c>
      <c r="H537" t="s">
        <v>449</v>
      </c>
      <c r="I537" t="s">
        <v>450</v>
      </c>
      <c r="J537" t="s">
        <v>450</v>
      </c>
      <c r="K537">
        <v>0</v>
      </c>
      <c r="L537" t="s">
        <v>446</v>
      </c>
      <c r="M537" t="s">
        <v>446</v>
      </c>
      <c r="N537">
        <v>145691</v>
      </c>
      <c r="O537">
        <f>INDEX(Counselor,MATCH(B537,KidIDs,0))</f>
        <v>0</v>
      </c>
      <c r="P537">
        <f>INDEX(Advisors,MATCH(B537,KidIDs,0))</f>
        <v>0</v>
      </c>
      <c r="Q537">
        <f>INDEX(Cohort,MATCH(B537,KidIDs,0))</f>
        <v>0</v>
      </c>
      <c r="R537">
        <f>INDEX(AllCollegeBarrons,MATCH(N537,AllCollegeNCES,0))</f>
        <v>0</v>
      </c>
      <c r="S537">
        <f>INDEX(KidGPAs,MATCH(B537,KidIDs,0))</f>
        <v>0</v>
      </c>
      <c r="T537">
        <f>INDEX(KidSATs,MATCH(B537,KidIDs,0))</f>
        <v>0</v>
      </c>
      <c r="U537">
        <f>INDEX(Strats,MATCH(B537,KidIDs,0))</f>
        <v>0</v>
      </c>
      <c r="V537">
        <f>INDEX(KidRace,MATCH(B537,KidIDs,0))</f>
        <v>0</v>
      </c>
      <c r="W537">
        <f>IF(OR(V537="M",V537="I"),"H",IF(V537="P","A",V537))</f>
        <v>0</v>
      </c>
      <c r="X537">
        <f>INDEX(StudentTargets,MATCH(B537,KidIDs,0))</f>
        <v>0</v>
      </c>
      <c r="Y537">
        <f>INDEX(ReachStudentTargets,MATCH(B537,KidIDs,0))</f>
        <v>0</v>
      </c>
      <c r="Z537">
        <f>IF(OR(M537="Posse"),1,0)</f>
        <v>0</v>
      </c>
      <c r="AA537">
        <f>IF(ISNUMBER(INDEX(AllCollegeGR, MATCH(N537,AllCollegeNCES,0))),ROUND(INDEX(AllCollegeGR, MATCH(N537,AllCollegeNCES,0))+Z537*IF(INDEX(AllCollegeGR, MATCH(N537,AllCollegeNCES,0))&gt;0.7,(1-INDEX(AllCollegeGR, MATCH(N537,AllCollegeNCES,0)))/2,0.15),2),INDEX(AllCollegeGR, MATCH(N537,AllCollegeNCES,0)))</f>
        <v>0</v>
      </c>
      <c r="AB537">
        <f>IF(ISNUMBER(INDEX(AllCollegeAAHGR, MATCH(N537,AllCollegeNCES,0))),ROUND(INDEX(AllCollegeAAHGR, MATCH(N537,AllCollegeNCES,0))+Z537*IF(INDEX(AllCollegeAAHGR, MATCH(N537,AllCollegeNCES,0))&gt;0.7,(1-INDEX(AllCollegeAAHGR, MATCH(N537,AllCollegeNCES,0)))/2,0.15),2),INDEX(AllCollegeAAHGR, MATCH(N537,AllCollegeNCES,0)))</f>
        <v>0</v>
      </c>
      <c r="AC537">
        <f>IF(OR(W537="H",W537="B"),INDEX(AllCollegeSAT25, MATCH(N537,AllCollegeNCES,0)),INDEX(AllCollegeSAT50, MATCH(N537,AllCollegeNCES,0)))</f>
        <v>0</v>
      </c>
      <c r="AD537">
        <f>INDEX(CustomWeightsGPA,MATCH(W537&amp;":"&amp;N537,CustomWeightsIndex,0))</f>
        <v>0</v>
      </c>
      <c r="AE537">
        <f>INDEX(CustomWeightsSAT,MATCH(W537&amp;":"&amp;N537,CustomWeightsIndex,0))</f>
        <v>0</v>
      </c>
      <c r="AF537">
        <f>INDEX(CustomWeightsIntercept,MATCH(W537&amp;":"&amp;N537,CustomWeightsIndex,0))</f>
        <v>0</v>
      </c>
      <c r="AG537">
        <f>AD537*S537+AE537*T537+AF537</f>
        <v>0</v>
      </c>
      <c r="AH537">
        <f>INDEX(CoefficientsGPA,MATCH(W537&amp;":"&amp;R537,CoefficientsIndex,0))</f>
        <v>0</v>
      </c>
      <c r="AI537">
        <f>INDEX(CoefficientsSAT,MATCH(W537&amp;":"&amp;R537,CoefficientsIndex,0))</f>
        <v>0</v>
      </c>
      <c r="AJ537">
        <f>INDEX(CoefficientsIntercept,MATCH(W537&amp;":"&amp;R537,CoefficientsIndex,0))</f>
        <v>0</v>
      </c>
      <c r="AK537">
        <f>AH537*S537+(T537-AC537)*AI537+AJ537</f>
        <v>0</v>
      </c>
      <c r="AL537">
        <f>IF(ISNUMBER(AG537),AG537,AK537)</f>
        <v>0</v>
      </c>
      <c r="AM537">
        <f>IF(ISNUMBER(AL537),IF(ISNUMBER(AH537),IF(AND(AH537=1,AI537=1,AJ537=1),100,MIN(99,ROUND(100*EXP(AL537)/(1+EXP(AL537)),2))),MIN(99,ROUND(100*EXP(AL537)/(1+EXP(AL537)),2))),IF(ISTEXT(R537),IF(LEFT(R537,1)="2",100,"N/A"),"N/A"))</f>
        <v>0</v>
      </c>
      <c r="AN537">
        <f>IF(ISNUMBER(AM537),IF(AM537&gt;=99,IF(OR(U537=10,U537=11),MatchLabel,SureThingLabel),IF(AM537&gt;=95,SecureLabel,IF(AM537&gt;=80,SafetyLabel,IF(AM537&gt;=50,MatchLabel,IF(AM537&gt;=20,ReachLabel,IF(AM537&gt;=10,LongshotLabel,HailMaryLabel)))))),"Other")</f>
        <v>0</v>
      </c>
      <c r="AO537">
        <f>IF(OR(I537="accepted",I537="cond. accept",I537="summer admit"),IF(J537="yes","CHOICE!","Accepted!"),IF(I537="guar. transfer","Guar. Xfer",IF(I537="denied","Denied",IF(K537=1,"Waitlist",IF(L537=1,"Deferred",IF(G537="pending","Pending",IF(OR(G537="initial materials submitted",G537="mid-year submitted",G537="final submitted"),"Submitted",IF(H537="interest","Interest","?"))))))))</f>
        <v>0</v>
      </c>
      <c r="AP537">
        <f>IF(OR(AN537=ReachLabel,AN537=LongshotLabel,AN537=HailMaryLabel),1,0)</f>
        <v>0</v>
      </c>
      <c r="AQ537">
        <f>IF(OR(AP537=1,AN537=MatchLabel),1,0)</f>
        <v>0</v>
      </c>
      <c r="AR537">
        <f>IF(OR(AN537=MatchLabel,AN537=SafetyLabel,AN537=SecureLabel,AN537=SureThingLabel),1,0)</f>
        <v>0</v>
      </c>
      <c r="AS537">
        <f>IF(OR(W537="H",W537="B",W537="I",W537="M"),IF(ISNUMBER(AB537),ROUND(AB537,2),0),IF(ISNUMBER(AA537),ROUND(AA537,2),0))</f>
        <v>0</v>
      </c>
      <c r="AT537">
        <f>IF(AS537&gt;=X537,1,0)</f>
        <v>0</v>
      </c>
      <c r="AU537">
        <f>IF(AS537&gt;=Y537,1,0)</f>
        <v>0</v>
      </c>
      <c r="AV537">
        <f>IF(AS537&lt;(X537-0.10),1,0)</f>
        <v>0</v>
      </c>
      <c r="AW537">
        <f>1-AM537/100</f>
        <v>0</v>
      </c>
      <c r="AX537">
        <f>IF(AQ537=1,AW537,1)</f>
        <v>0</v>
      </c>
      <c r="AY537">
        <f>IF(AP537=1,AW537,1)</f>
        <v>0</v>
      </c>
      <c r="AZ537">
        <f>IF(AND(AT537=1,ISNUMBER(AW537)),$AW537,1)</f>
        <v>0</v>
      </c>
      <c r="BA537">
        <f>IF(AND(AU537=1,ISNUMBER(AW537)),$AW537,1)</f>
        <v>0</v>
      </c>
      <c r="BB537">
        <f>IF(ISNUMBER(AB537),INDEX(AllCollegeMoney, MATCH(N537,AllCollegeNCES,0)),0)</f>
        <v>0</v>
      </c>
      <c r="BC537">
        <f>IF(AND(AT537=1,ISNUMBER(AW537),BB537=1),$AW537,1)</f>
        <v>0</v>
      </c>
      <c r="BD537">
        <f>IF(AND(AU537=1,ISNUMBER(AW537),BB537=1),$AW537,1)</f>
        <v>0</v>
      </c>
      <c r="BE537">
        <f>IF(ISNUMBER(AB537),INDEX(AllCollegeILPub, MATCH(N537,AllCollegeNCES,0)),0)</f>
        <v>0</v>
      </c>
      <c r="BF537">
        <f>IF(AN537=ReachLabel,AS537,0)</f>
        <v>0</v>
      </c>
      <c r="BG537">
        <f>IF(AN537=MatchLabel,AS537,0)</f>
        <v>0</v>
      </c>
      <c r="BH537">
        <f>IF(AN537=SafetyLabel,AS537,0)</f>
        <v>0</v>
      </c>
      <c r="BI537">
        <f>IF(AN537=SecureLabel,AS537,0)</f>
        <v>0</v>
      </c>
      <c r="BJ537">
        <f>IF(AN537=SureThingLabel,AS537,0)</f>
        <v>0</v>
      </c>
      <c r="BK537">
        <f>MAX(BF537:BJ537)</f>
        <v>0</v>
      </c>
      <c r="BL537">
        <f>MAX(BG537:BJ537)</f>
        <v>0</v>
      </c>
      <c r="BM537">
        <f>MAX(BH537:BJ537)</f>
        <v>0</v>
      </c>
      <c r="BN537">
        <f>IF(AND(AN537=ReachLabel,BB537=1),AS537,0)</f>
        <v>0</v>
      </c>
      <c r="BO537">
        <f>IF(AND(AN537=MatchLabel,BB537=1),AS537,0)</f>
        <v>0</v>
      </c>
      <c r="BP537">
        <f>IF(AND(AN537=SafetyLabel,BB537=1),AS537,0)</f>
        <v>0</v>
      </c>
      <c r="BQ537">
        <f>IF(AND(AN537=SecureLabel,BB537=1),AS537,0)</f>
        <v>0</v>
      </c>
      <c r="BR537">
        <f>IF(AND(AN537=SureThingLabel,BB537=1),AS537,0)</f>
        <v>0</v>
      </c>
      <c r="BS537">
        <f>MAX(BN537:BR537)</f>
        <v>0</v>
      </c>
      <c r="BT537">
        <f>MAX(BO537:BR537)</f>
        <v>0</v>
      </c>
      <c r="BU537">
        <f>MAX(BP537:BR537)</f>
        <v>0</v>
      </c>
      <c r="BV537">
        <f>IF(ISNUMBER(AB537),INDEX(AllCollegeChicago, MATCH(N537,AllCollegeNCES,0))*BB537,0)</f>
        <v>0</v>
      </c>
      <c r="BW537">
        <f>IF(ISNUMBER(AB537),INDEX(AllCollegeMoneyCode, MATCH(N537,AllCollegeNCES,0)),"?")</f>
        <v>0</v>
      </c>
      <c r="BX537">
        <f>IF(OR(BW537="---",BW537="--",BW537="+/--",BW537="+/---"),1,0)</f>
        <v>0</v>
      </c>
      <c r="BY537">
        <f>BB537*AR537*AT537</f>
        <v>0</v>
      </c>
    </row>
    <row r="538" spans="1:77">
      <c r="A538" t="s">
        <v>96</v>
      </c>
      <c r="B538">
        <v>23477954</v>
      </c>
      <c r="C538" t="s">
        <v>252</v>
      </c>
      <c r="D538" t="s">
        <v>253</v>
      </c>
      <c r="E538" t="s">
        <v>446</v>
      </c>
      <c r="F538" t="s">
        <v>453</v>
      </c>
      <c r="G538" t="s">
        <v>448</v>
      </c>
      <c r="H538" t="s">
        <v>449</v>
      </c>
      <c r="I538" t="s">
        <v>450</v>
      </c>
      <c r="J538" t="s">
        <v>450</v>
      </c>
      <c r="K538">
        <v>0</v>
      </c>
      <c r="L538" t="s">
        <v>446</v>
      </c>
      <c r="M538" t="s">
        <v>454</v>
      </c>
      <c r="N538">
        <v>150774</v>
      </c>
      <c r="O538">
        <f>INDEX(Counselor,MATCH(B538,KidIDs,0))</f>
        <v>0</v>
      </c>
      <c r="P538">
        <f>INDEX(Advisors,MATCH(B538,KidIDs,0))</f>
        <v>0</v>
      </c>
      <c r="Q538">
        <f>INDEX(Cohort,MATCH(B538,KidIDs,0))</f>
        <v>0</v>
      </c>
      <c r="R538">
        <f>INDEX(AllCollegeBarrons,MATCH(N538,AllCollegeNCES,0))</f>
        <v>0</v>
      </c>
      <c r="S538">
        <f>INDEX(KidGPAs,MATCH(B538,KidIDs,0))</f>
        <v>0</v>
      </c>
      <c r="T538">
        <f>INDEX(KidSATs,MATCH(B538,KidIDs,0))</f>
        <v>0</v>
      </c>
      <c r="U538">
        <f>INDEX(Strats,MATCH(B538,KidIDs,0))</f>
        <v>0</v>
      </c>
      <c r="V538">
        <f>INDEX(KidRace,MATCH(B538,KidIDs,0))</f>
        <v>0</v>
      </c>
      <c r="W538">
        <f>IF(OR(V538="M",V538="I"),"H",IF(V538="P","A",V538))</f>
        <v>0</v>
      </c>
      <c r="X538">
        <f>INDEX(StudentTargets,MATCH(B538,KidIDs,0))</f>
        <v>0</v>
      </c>
      <c r="Y538">
        <f>INDEX(ReachStudentTargets,MATCH(B538,KidIDs,0))</f>
        <v>0</v>
      </c>
      <c r="Z538">
        <f>IF(OR(M538="Posse"),1,0)</f>
        <v>0</v>
      </c>
      <c r="AA538">
        <f>IF(ISNUMBER(INDEX(AllCollegeGR, MATCH(N538,AllCollegeNCES,0))),ROUND(INDEX(AllCollegeGR, MATCH(N538,AllCollegeNCES,0))+Z538*IF(INDEX(AllCollegeGR, MATCH(N538,AllCollegeNCES,0))&gt;0.7,(1-INDEX(AllCollegeGR, MATCH(N538,AllCollegeNCES,0)))/2,0.15),2),INDEX(AllCollegeGR, MATCH(N538,AllCollegeNCES,0)))</f>
        <v>0</v>
      </c>
      <c r="AB538">
        <f>IF(ISNUMBER(INDEX(AllCollegeAAHGR, MATCH(N538,AllCollegeNCES,0))),ROUND(INDEX(AllCollegeAAHGR, MATCH(N538,AllCollegeNCES,0))+Z538*IF(INDEX(AllCollegeAAHGR, MATCH(N538,AllCollegeNCES,0))&gt;0.7,(1-INDEX(AllCollegeAAHGR, MATCH(N538,AllCollegeNCES,0)))/2,0.15),2),INDEX(AllCollegeAAHGR, MATCH(N538,AllCollegeNCES,0)))</f>
        <v>0</v>
      </c>
      <c r="AC538">
        <f>IF(OR(W538="H",W538="B"),INDEX(AllCollegeSAT25, MATCH(N538,AllCollegeNCES,0)),INDEX(AllCollegeSAT50, MATCH(N538,AllCollegeNCES,0)))</f>
        <v>0</v>
      </c>
      <c r="AD538">
        <f>INDEX(CustomWeightsGPA,MATCH(W538&amp;":"&amp;N538,CustomWeightsIndex,0))</f>
        <v>0</v>
      </c>
      <c r="AE538">
        <f>INDEX(CustomWeightsSAT,MATCH(W538&amp;":"&amp;N538,CustomWeightsIndex,0))</f>
        <v>0</v>
      </c>
      <c r="AF538">
        <f>INDEX(CustomWeightsIntercept,MATCH(W538&amp;":"&amp;N538,CustomWeightsIndex,0))</f>
        <v>0</v>
      </c>
      <c r="AG538">
        <f>AD538*S538+AE538*T538+AF538</f>
        <v>0</v>
      </c>
      <c r="AH538">
        <f>INDEX(CoefficientsGPA,MATCH(W538&amp;":"&amp;R538,CoefficientsIndex,0))</f>
        <v>0</v>
      </c>
      <c r="AI538">
        <f>INDEX(CoefficientsSAT,MATCH(W538&amp;":"&amp;R538,CoefficientsIndex,0))</f>
        <v>0</v>
      </c>
      <c r="AJ538">
        <f>INDEX(CoefficientsIntercept,MATCH(W538&amp;":"&amp;R538,CoefficientsIndex,0))</f>
        <v>0</v>
      </c>
      <c r="AK538">
        <f>AH538*S538+(T538-AC538)*AI538+AJ538</f>
        <v>0</v>
      </c>
      <c r="AL538">
        <f>IF(ISNUMBER(AG538),AG538,AK538)</f>
        <v>0</v>
      </c>
      <c r="AM538">
        <f>IF(ISNUMBER(AL538),IF(ISNUMBER(AH538),IF(AND(AH538=1,AI538=1,AJ538=1),100,MIN(99,ROUND(100*EXP(AL538)/(1+EXP(AL538)),2))),MIN(99,ROUND(100*EXP(AL538)/(1+EXP(AL538)),2))),IF(ISTEXT(R538),IF(LEFT(R538,1)="2",100,"N/A"),"N/A"))</f>
        <v>0</v>
      </c>
      <c r="AN538">
        <f>IF(ISNUMBER(AM538),IF(AM538&gt;=99,IF(OR(U538=10,U538=11),MatchLabel,SureThingLabel),IF(AM538&gt;=95,SecureLabel,IF(AM538&gt;=80,SafetyLabel,IF(AM538&gt;=50,MatchLabel,IF(AM538&gt;=20,ReachLabel,IF(AM538&gt;=10,LongshotLabel,HailMaryLabel)))))),"Other")</f>
        <v>0</v>
      </c>
      <c r="AO538">
        <f>IF(OR(I538="accepted",I538="cond. accept",I538="summer admit"),IF(J538="yes","CHOICE!","Accepted!"),IF(I538="guar. transfer","Guar. Xfer",IF(I538="denied","Denied",IF(K538=1,"Waitlist",IF(L538=1,"Deferred",IF(G538="pending","Pending",IF(OR(G538="initial materials submitted",G538="mid-year submitted",G538="final submitted"),"Submitted",IF(H538="interest","Interest","?"))))))))</f>
        <v>0</v>
      </c>
      <c r="AP538">
        <f>IF(OR(AN538=ReachLabel,AN538=LongshotLabel,AN538=HailMaryLabel),1,0)</f>
        <v>0</v>
      </c>
      <c r="AQ538">
        <f>IF(OR(AP538=1,AN538=MatchLabel),1,0)</f>
        <v>0</v>
      </c>
      <c r="AR538">
        <f>IF(OR(AN538=MatchLabel,AN538=SafetyLabel,AN538=SecureLabel,AN538=SureThingLabel),1,0)</f>
        <v>0</v>
      </c>
      <c r="AS538">
        <f>IF(OR(W538="H",W538="B",W538="I",W538="M"),IF(ISNUMBER(AB538),ROUND(AB538,2),0),IF(ISNUMBER(AA538),ROUND(AA538,2),0))</f>
        <v>0</v>
      </c>
      <c r="AT538">
        <f>IF(AS538&gt;=X538,1,0)</f>
        <v>0</v>
      </c>
      <c r="AU538">
        <f>IF(AS538&gt;=Y538,1,0)</f>
        <v>0</v>
      </c>
      <c r="AV538">
        <f>IF(AS538&lt;(X538-0.10),1,0)</f>
        <v>0</v>
      </c>
      <c r="AW538">
        <f>1-AM538/100</f>
        <v>0</v>
      </c>
      <c r="AX538">
        <f>IF(AQ538=1,AW538,1)</f>
        <v>0</v>
      </c>
      <c r="AY538">
        <f>IF(AP538=1,AW538,1)</f>
        <v>0</v>
      </c>
      <c r="AZ538">
        <f>IF(AND(AT538=1,ISNUMBER(AW538)),$AW538,1)</f>
        <v>0</v>
      </c>
      <c r="BA538">
        <f>IF(AND(AU538=1,ISNUMBER(AW538)),$AW538,1)</f>
        <v>0</v>
      </c>
      <c r="BB538">
        <f>IF(ISNUMBER(AB538),INDEX(AllCollegeMoney, MATCH(N538,AllCollegeNCES,0)),0)</f>
        <v>0</v>
      </c>
      <c r="BC538">
        <f>IF(AND(AT538=1,ISNUMBER(AW538),BB538=1),$AW538,1)</f>
        <v>0</v>
      </c>
      <c r="BD538">
        <f>IF(AND(AU538=1,ISNUMBER(AW538),BB538=1),$AW538,1)</f>
        <v>0</v>
      </c>
      <c r="BE538">
        <f>IF(ISNUMBER(AB538),INDEX(AllCollegeILPub, MATCH(N538,AllCollegeNCES,0)),0)</f>
        <v>0</v>
      </c>
      <c r="BF538">
        <f>IF(AN538=ReachLabel,AS538,0)</f>
        <v>0</v>
      </c>
      <c r="BG538">
        <f>IF(AN538=MatchLabel,AS538,0)</f>
        <v>0</v>
      </c>
      <c r="BH538">
        <f>IF(AN538=SafetyLabel,AS538,0)</f>
        <v>0</v>
      </c>
      <c r="BI538">
        <f>IF(AN538=SecureLabel,AS538,0)</f>
        <v>0</v>
      </c>
      <c r="BJ538">
        <f>IF(AN538=SureThingLabel,AS538,0)</f>
        <v>0</v>
      </c>
      <c r="BK538">
        <f>MAX(BF538:BJ538)</f>
        <v>0</v>
      </c>
      <c r="BL538">
        <f>MAX(BG538:BJ538)</f>
        <v>0</v>
      </c>
      <c r="BM538">
        <f>MAX(BH538:BJ538)</f>
        <v>0</v>
      </c>
      <c r="BN538">
        <f>IF(AND(AN538=ReachLabel,BB538=1),AS538,0)</f>
        <v>0</v>
      </c>
      <c r="BO538">
        <f>IF(AND(AN538=MatchLabel,BB538=1),AS538,0)</f>
        <v>0</v>
      </c>
      <c r="BP538">
        <f>IF(AND(AN538=SafetyLabel,BB538=1),AS538,0)</f>
        <v>0</v>
      </c>
      <c r="BQ538">
        <f>IF(AND(AN538=SecureLabel,BB538=1),AS538,0)</f>
        <v>0</v>
      </c>
      <c r="BR538">
        <f>IF(AND(AN538=SureThingLabel,BB538=1),AS538,0)</f>
        <v>0</v>
      </c>
      <c r="BS538">
        <f>MAX(BN538:BR538)</f>
        <v>0</v>
      </c>
      <c r="BT538">
        <f>MAX(BO538:BR538)</f>
        <v>0</v>
      </c>
      <c r="BU538">
        <f>MAX(BP538:BR538)</f>
        <v>0</v>
      </c>
      <c r="BV538">
        <f>IF(ISNUMBER(AB538),INDEX(AllCollegeChicago, MATCH(N538,AllCollegeNCES,0))*BB538,0)</f>
        <v>0</v>
      </c>
      <c r="BW538">
        <f>IF(ISNUMBER(AB538),INDEX(AllCollegeMoneyCode, MATCH(N538,AllCollegeNCES,0)),"?")</f>
        <v>0</v>
      </c>
      <c r="BX538">
        <f>IF(OR(BW538="---",BW538="--",BW538="+/--",BW538="+/---"),1,0)</f>
        <v>0</v>
      </c>
      <c r="BY538">
        <f>BB538*AR538*AT538</f>
        <v>0</v>
      </c>
    </row>
    <row r="539" spans="1:77">
      <c r="A539" t="s">
        <v>96</v>
      </c>
      <c r="B539">
        <v>23477954</v>
      </c>
      <c r="C539" t="s">
        <v>252</v>
      </c>
      <c r="D539" t="s">
        <v>253</v>
      </c>
      <c r="E539" t="s">
        <v>446</v>
      </c>
      <c r="F539" t="s">
        <v>456</v>
      </c>
      <c r="G539" t="s">
        <v>448</v>
      </c>
      <c r="H539" t="s">
        <v>449</v>
      </c>
      <c r="I539" t="s">
        <v>450</v>
      </c>
      <c r="J539" t="s">
        <v>450</v>
      </c>
      <c r="K539">
        <v>0</v>
      </c>
      <c r="L539" t="s">
        <v>446</v>
      </c>
      <c r="M539" t="s">
        <v>446</v>
      </c>
      <c r="N539">
        <v>149772</v>
      </c>
      <c r="O539">
        <f>INDEX(Counselor,MATCH(B539,KidIDs,0))</f>
        <v>0</v>
      </c>
      <c r="P539">
        <f>INDEX(Advisors,MATCH(B539,KidIDs,0))</f>
        <v>0</v>
      </c>
      <c r="Q539">
        <f>INDEX(Cohort,MATCH(B539,KidIDs,0))</f>
        <v>0</v>
      </c>
      <c r="R539">
        <f>INDEX(AllCollegeBarrons,MATCH(N539,AllCollegeNCES,0))</f>
        <v>0</v>
      </c>
      <c r="S539">
        <f>INDEX(KidGPAs,MATCH(B539,KidIDs,0))</f>
        <v>0</v>
      </c>
      <c r="T539">
        <f>INDEX(KidSATs,MATCH(B539,KidIDs,0))</f>
        <v>0</v>
      </c>
      <c r="U539">
        <f>INDEX(Strats,MATCH(B539,KidIDs,0))</f>
        <v>0</v>
      </c>
      <c r="V539">
        <f>INDEX(KidRace,MATCH(B539,KidIDs,0))</f>
        <v>0</v>
      </c>
      <c r="W539">
        <f>IF(OR(V539="M",V539="I"),"H",IF(V539="P","A",V539))</f>
        <v>0</v>
      </c>
      <c r="X539">
        <f>INDEX(StudentTargets,MATCH(B539,KidIDs,0))</f>
        <v>0</v>
      </c>
      <c r="Y539">
        <f>INDEX(ReachStudentTargets,MATCH(B539,KidIDs,0))</f>
        <v>0</v>
      </c>
      <c r="Z539">
        <f>IF(OR(M539="Posse"),1,0)</f>
        <v>0</v>
      </c>
      <c r="AA539">
        <f>IF(ISNUMBER(INDEX(AllCollegeGR, MATCH(N539,AllCollegeNCES,0))),ROUND(INDEX(AllCollegeGR, MATCH(N539,AllCollegeNCES,0))+Z539*IF(INDEX(AllCollegeGR, MATCH(N539,AllCollegeNCES,0))&gt;0.7,(1-INDEX(AllCollegeGR, MATCH(N539,AllCollegeNCES,0)))/2,0.15),2),INDEX(AllCollegeGR, MATCH(N539,AllCollegeNCES,0)))</f>
        <v>0</v>
      </c>
      <c r="AB539">
        <f>IF(ISNUMBER(INDEX(AllCollegeAAHGR, MATCH(N539,AllCollegeNCES,0))),ROUND(INDEX(AllCollegeAAHGR, MATCH(N539,AllCollegeNCES,0))+Z539*IF(INDEX(AllCollegeAAHGR, MATCH(N539,AllCollegeNCES,0))&gt;0.7,(1-INDEX(AllCollegeAAHGR, MATCH(N539,AllCollegeNCES,0)))/2,0.15),2),INDEX(AllCollegeAAHGR, MATCH(N539,AllCollegeNCES,0)))</f>
        <v>0</v>
      </c>
      <c r="AC539">
        <f>IF(OR(W539="H",W539="B"),INDEX(AllCollegeSAT25, MATCH(N539,AllCollegeNCES,0)),INDEX(AllCollegeSAT50, MATCH(N539,AllCollegeNCES,0)))</f>
        <v>0</v>
      </c>
      <c r="AD539">
        <f>INDEX(CustomWeightsGPA,MATCH(W539&amp;":"&amp;N539,CustomWeightsIndex,0))</f>
        <v>0</v>
      </c>
      <c r="AE539">
        <f>INDEX(CustomWeightsSAT,MATCH(W539&amp;":"&amp;N539,CustomWeightsIndex,0))</f>
        <v>0</v>
      </c>
      <c r="AF539">
        <f>INDEX(CustomWeightsIntercept,MATCH(W539&amp;":"&amp;N539,CustomWeightsIndex,0))</f>
        <v>0</v>
      </c>
      <c r="AG539">
        <f>AD539*S539+AE539*T539+AF539</f>
        <v>0</v>
      </c>
      <c r="AH539">
        <f>INDEX(CoefficientsGPA,MATCH(W539&amp;":"&amp;R539,CoefficientsIndex,0))</f>
        <v>0</v>
      </c>
      <c r="AI539">
        <f>INDEX(CoefficientsSAT,MATCH(W539&amp;":"&amp;R539,CoefficientsIndex,0))</f>
        <v>0</v>
      </c>
      <c r="AJ539">
        <f>INDEX(CoefficientsIntercept,MATCH(W539&amp;":"&amp;R539,CoefficientsIndex,0))</f>
        <v>0</v>
      </c>
      <c r="AK539">
        <f>AH539*S539+(T539-AC539)*AI539+AJ539</f>
        <v>0</v>
      </c>
      <c r="AL539">
        <f>IF(ISNUMBER(AG539),AG539,AK539)</f>
        <v>0</v>
      </c>
      <c r="AM539">
        <f>IF(ISNUMBER(AL539),IF(ISNUMBER(AH539),IF(AND(AH539=1,AI539=1,AJ539=1),100,MIN(99,ROUND(100*EXP(AL539)/(1+EXP(AL539)),2))),MIN(99,ROUND(100*EXP(AL539)/(1+EXP(AL539)),2))),IF(ISTEXT(R539),IF(LEFT(R539,1)="2",100,"N/A"),"N/A"))</f>
        <v>0</v>
      </c>
      <c r="AN539">
        <f>IF(ISNUMBER(AM539),IF(AM539&gt;=99,IF(OR(U539=10,U539=11),MatchLabel,SureThingLabel),IF(AM539&gt;=95,SecureLabel,IF(AM539&gt;=80,SafetyLabel,IF(AM539&gt;=50,MatchLabel,IF(AM539&gt;=20,ReachLabel,IF(AM539&gt;=10,LongshotLabel,HailMaryLabel)))))),"Other")</f>
        <v>0</v>
      </c>
      <c r="AO539">
        <f>IF(OR(I539="accepted",I539="cond. accept",I539="summer admit"),IF(J539="yes","CHOICE!","Accepted!"),IF(I539="guar. transfer","Guar. Xfer",IF(I539="denied","Denied",IF(K539=1,"Waitlist",IF(L539=1,"Deferred",IF(G539="pending","Pending",IF(OR(G539="initial materials submitted",G539="mid-year submitted",G539="final submitted"),"Submitted",IF(H539="interest","Interest","?"))))))))</f>
        <v>0</v>
      </c>
      <c r="AP539">
        <f>IF(OR(AN539=ReachLabel,AN539=LongshotLabel,AN539=HailMaryLabel),1,0)</f>
        <v>0</v>
      </c>
      <c r="AQ539">
        <f>IF(OR(AP539=1,AN539=MatchLabel),1,0)</f>
        <v>0</v>
      </c>
      <c r="AR539">
        <f>IF(OR(AN539=MatchLabel,AN539=SafetyLabel,AN539=SecureLabel,AN539=SureThingLabel),1,0)</f>
        <v>0</v>
      </c>
      <c r="AS539">
        <f>IF(OR(W539="H",W539="B",W539="I",W539="M"),IF(ISNUMBER(AB539),ROUND(AB539,2),0),IF(ISNUMBER(AA539),ROUND(AA539,2),0))</f>
        <v>0</v>
      </c>
      <c r="AT539">
        <f>IF(AS539&gt;=X539,1,0)</f>
        <v>0</v>
      </c>
      <c r="AU539">
        <f>IF(AS539&gt;=Y539,1,0)</f>
        <v>0</v>
      </c>
      <c r="AV539">
        <f>IF(AS539&lt;(X539-0.10),1,0)</f>
        <v>0</v>
      </c>
      <c r="AW539">
        <f>1-AM539/100</f>
        <v>0</v>
      </c>
      <c r="AX539">
        <f>IF(AQ539=1,AW539,1)</f>
        <v>0</v>
      </c>
      <c r="AY539">
        <f>IF(AP539=1,AW539,1)</f>
        <v>0</v>
      </c>
      <c r="AZ539">
        <f>IF(AND(AT539=1,ISNUMBER(AW539)),$AW539,1)</f>
        <v>0</v>
      </c>
      <c r="BA539">
        <f>IF(AND(AU539=1,ISNUMBER(AW539)),$AW539,1)</f>
        <v>0</v>
      </c>
      <c r="BB539">
        <f>IF(ISNUMBER(AB539),INDEX(AllCollegeMoney, MATCH(N539,AllCollegeNCES,0)),0)</f>
        <v>0</v>
      </c>
      <c r="BC539">
        <f>IF(AND(AT539=1,ISNUMBER(AW539),BB539=1),$AW539,1)</f>
        <v>0</v>
      </c>
      <c r="BD539">
        <f>IF(AND(AU539=1,ISNUMBER(AW539),BB539=1),$AW539,1)</f>
        <v>0</v>
      </c>
      <c r="BE539">
        <f>IF(ISNUMBER(AB539),INDEX(AllCollegeILPub, MATCH(N539,AllCollegeNCES,0)),0)</f>
        <v>0</v>
      </c>
      <c r="BF539">
        <f>IF(AN539=ReachLabel,AS539,0)</f>
        <v>0</v>
      </c>
      <c r="BG539">
        <f>IF(AN539=MatchLabel,AS539,0)</f>
        <v>0</v>
      </c>
      <c r="BH539">
        <f>IF(AN539=SafetyLabel,AS539,0)</f>
        <v>0</v>
      </c>
      <c r="BI539">
        <f>IF(AN539=SecureLabel,AS539,0)</f>
        <v>0</v>
      </c>
      <c r="BJ539">
        <f>IF(AN539=SureThingLabel,AS539,0)</f>
        <v>0</v>
      </c>
      <c r="BK539">
        <f>MAX(BF539:BJ539)</f>
        <v>0</v>
      </c>
      <c r="BL539">
        <f>MAX(BG539:BJ539)</f>
        <v>0</v>
      </c>
      <c r="BM539">
        <f>MAX(BH539:BJ539)</f>
        <v>0</v>
      </c>
      <c r="BN539">
        <f>IF(AND(AN539=ReachLabel,BB539=1),AS539,0)</f>
        <v>0</v>
      </c>
      <c r="BO539">
        <f>IF(AND(AN539=MatchLabel,BB539=1),AS539,0)</f>
        <v>0</v>
      </c>
      <c r="BP539">
        <f>IF(AND(AN539=SafetyLabel,BB539=1),AS539,0)</f>
        <v>0</v>
      </c>
      <c r="BQ539">
        <f>IF(AND(AN539=SecureLabel,BB539=1),AS539,0)</f>
        <v>0</v>
      </c>
      <c r="BR539">
        <f>IF(AND(AN539=SureThingLabel,BB539=1),AS539,0)</f>
        <v>0</v>
      </c>
      <c r="BS539">
        <f>MAX(BN539:BR539)</f>
        <v>0</v>
      </c>
      <c r="BT539">
        <f>MAX(BO539:BR539)</f>
        <v>0</v>
      </c>
      <c r="BU539">
        <f>MAX(BP539:BR539)</f>
        <v>0</v>
      </c>
      <c r="BV539">
        <f>IF(ISNUMBER(AB539),INDEX(AllCollegeChicago, MATCH(N539,AllCollegeNCES,0))*BB539,0)</f>
        <v>0</v>
      </c>
      <c r="BW539">
        <f>IF(ISNUMBER(AB539),INDEX(AllCollegeMoneyCode, MATCH(N539,AllCollegeNCES,0)),"?")</f>
        <v>0</v>
      </c>
      <c r="BX539">
        <f>IF(OR(BW539="---",BW539="--",BW539="+/--",BW539="+/---"),1,0)</f>
        <v>0</v>
      </c>
      <c r="BY539">
        <f>BB539*AR539*AT539</f>
        <v>0</v>
      </c>
    </row>
    <row r="540" spans="1:77">
      <c r="A540" t="s">
        <v>96</v>
      </c>
      <c r="B540">
        <v>23477954</v>
      </c>
      <c r="C540" t="s">
        <v>252</v>
      </c>
      <c r="D540" t="s">
        <v>253</v>
      </c>
      <c r="E540" t="s">
        <v>446</v>
      </c>
      <c r="F540" t="s">
        <v>457</v>
      </c>
      <c r="G540" t="s">
        <v>448</v>
      </c>
      <c r="H540" t="s">
        <v>449</v>
      </c>
      <c r="I540" t="s">
        <v>450</v>
      </c>
      <c r="J540" t="s">
        <v>450</v>
      </c>
      <c r="K540">
        <v>0</v>
      </c>
      <c r="L540" t="s">
        <v>446</v>
      </c>
      <c r="M540" t="s">
        <v>446</v>
      </c>
      <c r="N540">
        <v>147703</v>
      </c>
      <c r="O540">
        <f>INDEX(Counselor,MATCH(B540,KidIDs,0))</f>
        <v>0</v>
      </c>
      <c r="P540">
        <f>INDEX(Advisors,MATCH(B540,KidIDs,0))</f>
        <v>0</v>
      </c>
      <c r="Q540">
        <f>INDEX(Cohort,MATCH(B540,KidIDs,0))</f>
        <v>0</v>
      </c>
      <c r="R540">
        <f>INDEX(AllCollegeBarrons,MATCH(N540,AllCollegeNCES,0))</f>
        <v>0</v>
      </c>
      <c r="S540">
        <f>INDEX(KidGPAs,MATCH(B540,KidIDs,0))</f>
        <v>0</v>
      </c>
      <c r="T540">
        <f>INDEX(KidSATs,MATCH(B540,KidIDs,0))</f>
        <v>0</v>
      </c>
      <c r="U540">
        <f>INDEX(Strats,MATCH(B540,KidIDs,0))</f>
        <v>0</v>
      </c>
      <c r="V540">
        <f>INDEX(KidRace,MATCH(B540,KidIDs,0))</f>
        <v>0</v>
      </c>
      <c r="W540">
        <f>IF(OR(V540="M",V540="I"),"H",IF(V540="P","A",V540))</f>
        <v>0</v>
      </c>
      <c r="X540">
        <f>INDEX(StudentTargets,MATCH(B540,KidIDs,0))</f>
        <v>0</v>
      </c>
      <c r="Y540">
        <f>INDEX(ReachStudentTargets,MATCH(B540,KidIDs,0))</f>
        <v>0</v>
      </c>
      <c r="Z540">
        <f>IF(OR(M540="Posse"),1,0)</f>
        <v>0</v>
      </c>
      <c r="AA540">
        <f>IF(ISNUMBER(INDEX(AllCollegeGR, MATCH(N540,AllCollegeNCES,0))),ROUND(INDEX(AllCollegeGR, MATCH(N540,AllCollegeNCES,0))+Z540*IF(INDEX(AllCollegeGR, MATCH(N540,AllCollegeNCES,0))&gt;0.7,(1-INDEX(AllCollegeGR, MATCH(N540,AllCollegeNCES,0)))/2,0.15),2),INDEX(AllCollegeGR, MATCH(N540,AllCollegeNCES,0)))</f>
        <v>0</v>
      </c>
      <c r="AB540">
        <f>IF(ISNUMBER(INDEX(AllCollegeAAHGR, MATCH(N540,AllCollegeNCES,0))),ROUND(INDEX(AllCollegeAAHGR, MATCH(N540,AllCollegeNCES,0))+Z540*IF(INDEX(AllCollegeAAHGR, MATCH(N540,AllCollegeNCES,0))&gt;0.7,(1-INDEX(AllCollegeAAHGR, MATCH(N540,AllCollegeNCES,0)))/2,0.15),2),INDEX(AllCollegeAAHGR, MATCH(N540,AllCollegeNCES,0)))</f>
        <v>0</v>
      </c>
      <c r="AC540">
        <f>IF(OR(W540="H",W540="B"),INDEX(AllCollegeSAT25, MATCH(N540,AllCollegeNCES,0)),INDEX(AllCollegeSAT50, MATCH(N540,AllCollegeNCES,0)))</f>
        <v>0</v>
      </c>
      <c r="AD540">
        <f>INDEX(CustomWeightsGPA,MATCH(W540&amp;":"&amp;N540,CustomWeightsIndex,0))</f>
        <v>0</v>
      </c>
      <c r="AE540">
        <f>INDEX(CustomWeightsSAT,MATCH(W540&amp;":"&amp;N540,CustomWeightsIndex,0))</f>
        <v>0</v>
      </c>
      <c r="AF540">
        <f>INDEX(CustomWeightsIntercept,MATCH(W540&amp;":"&amp;N540,CustomWeightsIndex,0))</f>
        <v>0</v>
      </c>
      <c r="AG540">
        <f>AD540*S540+AE540*T540+AF540</f>
        <v>0</v>
      </c>
      <c r="AH540">
        <f>INDEX(CoefficientsGPA,MATCH(W540&amp;":"&amp;R540,CoefficientsIndex,0))</f>
        <v>0</v>
      </c>
      <c r="AI540">
        <f>INDEX(CoefficientsSAT,MATCH(W540&amp;":"&amp;R540,CoefficientsIndex,0))</f>
        <v>0</v>
      </c>
      <c r="AJ540">
        <f>INDEX(CoefficientsIntercept,MATCH(W540&amp;":"&amp;R540,CoefficientsIndex,0))</f>
        <v>0</v>
      </c>
      <c r="AK540">
        <f>AH540*S540+(T540-AC540)*AI540+AJ540</f>
        <v>0</v>
      </c>
      <c r="AL540">
        <f>IF(ISNUMBER(AG540),AG540,AK540)</f>
        <v>0</v>
      </c>
      <c r="AM540">
        <f>IF(ISNUMBER(AL540),IF(ISNUMBER(AH540),IF(AND(AH540=1,AI540=1,AJ540=1),100,MIN(99,ROUND(100*EXP(AL540)/(1+EXP(AL540)),2))),MIN(99,ROUND(100*EXP(AL540)/(1+EXP(AL540)),2))),IF(ISTEXT(R540),IF(LEFT(R540,1)="2",100,"N/A"),"N/A"))</f>
        <v>0</v>
      </c>
      <c r="AN540">
        <f>IF(ISNUMBER(AM540),IF(AM540&gt;=99,IF(OR(U540=10,U540=11),MatchLabel,SureThingLabel),IF(AM540&gt;=95,SecureLabel,IF(AM540&gt;=80,SafetyLabel,IF(AM540&gt;=50,MatchLabel,IF(AM540&gt;=20,ReachLabel,IF(AM540&gt;=10,LongshotLabel,HailMaryLabel)))))),"Other")</f>
        <v>0</v>
      </c>
      <c r="AO540">
        <f>IF(OR(I540="accepted",I540="cond. accept",I540="summer admit"),IF(J540="yes","CHOICE!","Accepted!"),IF(I540="guar. transfer","Guar. Xfer",IF(I540="denied","Denied",IF(K540=1,"Waitlist",IF(L540=1,"Deferred",IF(G540="pending","Pending",IF(OR(G540="initial materials submitted",G540="mid-year submitted",G540="final submitted"),"Submitted",IF(H540="interest","Interest","?"))))))))</f>
        <v>0</v>
      </c>
      <c r="AP540">
        <f>IF(OR(AN540=ReachLabel,AN540=LongshotLabel,AN540=HailMaryLabel),1,0)</f>
        <v>0</v>
      </c>
      <c r="AQ540">
        <f>IF(OR(AP540=1,AN540=MatchLabel),1,0)</f>
        <v>0</v>
      </c>
      <c r="AR540">
        <f>IF(OR(AN540=MatchLabel,AN540=SafetyLabel,AN540=SecureLabel,AN540=SureThingLabel),1,0)</f>
        <v>0</v>
      </c>
      <c r="AS540">
        <f>IF(OR(W540="H",W540="B",W540="I",W540="M"),IF(ISNUMBER(AB540),ROUND(AB540,2),0),IF(ISNUMBER(AA540),ROUND(AA540,2),0))</f>
        <v>0</v>
      </c>
      <c r="AT540">
        <f>IF(AS540&gt;=X540,1,0)</f>
        <v>0</v>
      </c>
      <c r="AU540">
        <f>IF(AS540&gt;=Y540,1,0)</f>
        <v>0</v>
      </c>
      <c r="AV540">
        <f>IF(AS540&lt;(X540-0.10),1,0)</f>
        <v>0</v>
      </c>
      <c r="AW540">
        <f>1-AM540/100</f>
        <v>0</v>
      </c>
      <c r="AX540">
        <f>IF(AQ540=1,AW540,1)</f>
        <v>0</v>
      </c>
      <c r="AY540">
        <f>IF(AP540=1,AW540,1)</f>
        <v>0</v>
      </c>
      <c r="AZ540">
        <f>IF(AND(AT540=1,ISNUMBER(AW540)),$AW540,1)</f>
        <v>0</v>
      </c>
      <c r="BA540">
        <f>IF(AND(AU540=1,ISNUMBER(AW540)),$AW540,1)</f>
        <v>0</v>
      </c>
      <c r="BB540">
        <f>IF(ISNUMBER(AB540),INDEX(AllCollegeMoney, MATCH(N540,AllCollegeNCES,0)),0)</f>
        <v>0</v>
      </c>
      <c r="BC540">
        <f>IF(AND(AT540=1,ISNUMBER(AW540),BB540=1),$AW540,1)</f>
        <v>0</v>
      </c>
      <c r="BD540">
        <f>IF(AND(AU540=1,ISNUMBER(AW540),BB540=1),$AW540,1)</f>
        <v>0</v>
      </c>
      <c r="BE540">
        <f>IF(ISNUMBER(AB540),INDEX(AllCollegeILPub, MATCH(N540,AllCollegeNCES,0)),0)</f>
        <v>0</v>
      </c>
      <c r="BF540">
        <f>IF(AN540=ReachLabel,AS540,0)</f>
        <v>0</v>
      </c>
      <c r="BG540">
        <f>IF(AN540=MatchLabel,AS540,0)</f>
        <v>0</v>
      </c>
      <c r="BH540">
        <f>IF(AN540=SafetyLabel,AS540,0)</f>
        <v>0</v>
      </c>
      <c r="BI540">
        <f>IF(AN540=SecureLabel,AS540,0)</f>
        <v>0</v>
      </c>
      <c r="BJ540">
        <f>IF(AN540=SureThingLabel,AS540,0)</f>
        <v>0</v>
      </c>
      <c r="BK540">
        <f>MAX(BF540:BJ540)</f>
        <v>0</v>
      </c>
      <c r="BL540">
        <f>MAX(BG540:BJ540)</f>
        <v>0</v>
      </c>
      <c r="BM540">
        <f>MAX(BH540:BJ540)</f>
        <v>0</v>
      </c>
      <c r="BN540">
        <f>IF(AND(AN540=ReachLabel,BB540=1),AS540,0)</f>
        <v>0</v>
      </c>
      <c r="BO540">
        <f>IF(AND(AN540=MatchLabel,BB540=1),AS540,0)</f>
        <v>0</v>
      </c>
      <c r="BP540">
        <f>IF(AND(AN540=SafetyLabel,BB540=1),AS540,0)</f>
        <v>0</v>
      </c>
      <c r="BQ540">
        <f>IF(AND(AN540=SecureLabel,BB540=1),AS540,0)</f>
        <v>0</v>
      </c>
      <c r="BR540">
        <f>IF(AND(AN540=SureThingLabel,BB540=1),AS540,0)</f>
        <v>0</v>
      </c>
      <c r="BS540">
        <f>MAX(BN540:BR540)</f>
        <v>0</v>
      </c>
      <c r="BT540">
        <f>MAX(BO540:BR540)</f>
        <v>0</v>
      </c>
      <c r="BU540">
        <f>MAX(BP540:BR540)</f>
        <v>0</v>
      </c>
      <c r="BV540">
        <f>IF(ISNUMBER(AB540),INDEX(AllCollegeChicago, MATCH(N540,AllCollegeNCES,0))*BB540,0)</f>
        <v>0</v>
      </c>
      <c r="BW540">
        <f>IF(ISNUMBER(AB540),INDEX(AllCollegeMoneyCode, MATCH(N540,AllCollegeNCES,0)),"?")</f>
        <v>0</v>
      </c>
      <c r="BX540">
        <f>IF(OR(BW540="---",BW540="--",BW540="+/--",BW540="+/---"),1,0)</f>
        <v>0</v>
      </c>
      <c r="BY540">
        <f>BB540*AR540*AT540</f>
        <v>0</v>
      </c>
    </row>
    <row r="541" spans="1:77">
      <c r="A541" t="s">
        <v>96</v>
      </c>
      <c r="B541">
        <v>23477954</v>
      </c>
      <c r="C541" t="s">
        <v>252</v>
      </c>
      <c r="D541" t="s">
        <v>253</v>
      </c>
      <c r="E541" t="s">
        <v>446</v>
      </c>
      <c r="F541" t="s">
        <v>458</v>
      </c>
      <c r="G541" t="s">
        <v>448</v>
      </c>
      <c r="H541" t="s">
        <v>449</v>
      </c>
      <c r="I541" t="s">
        <v>450</v>
      </c>
      <c r="J541" t="s">
        <v>450</v>
      </c>
      <c r="K541">
        <v>0</v>
      </c>
      <c r="L541" t="s">
        <v>446</v>
      </c>
      <c r="M541" t="s">
        <v>446</v>
      </c>
      <c r="N541">
        <v>144892</v>
      </c>
      <c r="O541">
        <f>INDEX(Counselor,MATCH(B541,KidIDs,0))</f>
        <v>0</v>
      </c>
      <c r="P541">
        <f>INDEX(Advisors,MATCH(B541,KidIDs,0))</f>
        <v>0</v>
      </c>
      <c r="Q541">
        <f>INDEX(Cohort,MATCH(B541,KidIDs,0))</f>
        <v>0</v>
      </c>
      <c r="R541">
        <f>INDEX(AllCollegeBarrons,MATCH(N541,AllCollegeNCES,0))</f>
        <v>0</v>
      </c>
      <c r="S541">
        <f>INDEX(KidGPAs,MATCH(B541,KidIDs,0))</f>
        <v>0</v>
      </c>
      <c r="T541">
        <f>INDEX(KidSATs,MATCH(B541,KidIDs,0))</f>
        <v>0</v>
      </c>
      <c r="U541">
        <f>INDEX(Strats,MATCH(B541,KidIDs,0))</f>
        <v>0</v>
      </c>
      <c r="V541">
        <f>INDEX(KidRace,MATCH(B541,KidIDs,0))</f>
        <v>0</v>
      </c>
      <c r="W541">
        <f>IF(OR(V541="M",V541="I"),"H",IF(V541="P","A",V541))</f>
        <v>0</v>
      </c>
      <c r="X541">
        <f>INDEX(StudentTargets,MATCH(B541,KidIDs,0))</f>
        <v>0</v>
      </c>
      <c r="Y541">
        <f>INDEX(ReachStudentTargets,MATCH(B541,KidIDs,0))</f>
        <v>0</v>
      </c>
      <c r="Z541">
        <f>IF(OR(M541="Posse"),1,0)</f>
        <v>0</v>
      </c>
      <c r="AA541">
        <f>IF(ISNUMBER(INDEX(AllCollegeGR, MATCH(N541,AllCollegeNCES,0))),ROUND(INDEX(AllCollegeGR, MATCH(N541,AllCollegeNCES,0))+Z541*IF(INDEX(AllCollegeGR, MATCH(N541,AllCollegeNCES,0))&gt;0.7,(1-INDEX(AllCollegeGR, MATCH(N541,AllCollegeNCES,0)))/2,0.15),2),INDEX(AllCollegeGR, MATCH(N541,AllCollegeNCES,0)))</f>
        <v>0</v>
      </c>
      <c r="AB541">
        <f>IF(ISNUMBER(INDEX(AllCollegeAAHGR, MATCH(N541,AllCollegeNCES,0))),ROUND(INDEX(AllCollegeAAHGR, MATCH(N541,AllCollegeNCES,0))+Z541*IF(INDEX(AllCollegeAAHGR, MATCH(N541,AllCollegeNCES,0))&gt;0.7,(1-INDEX(AllCollegeAAHGR, MATCH(N541,AllCollegeNCES,0)))/2,0.15),2),INDEX(AllCollegeAAHGR, MATCH(N541,AllCollegeNCES,0)))</f>
        <v>0</v>
      </c>
      <c r="AC541">
        <f>IF(OR(W541="H",W541="B"),INDEX(AllCollegeSAT25, MATCH(N541,AllCollegeNCES,0)),INDEX(AllCollegeSAT50, MATCH(N541,AllCollegeNCES,0)))</f>
        <v>0</v>
      </c>
      <c r="AD541">
        <f>INDEX(CustomWeightsGPA,MATCH(W541&amp;":"&amp;N541,CustomWeightsIndex,0))</f>
        <v>0</v>
      </c>
      <c r="AE541">
        <f>INDEX(CustomWeightsSAT,MATCH(W541&amp;":"&amp;N541,CustomWeightsIndex,0))</f>
        <v>0</v>
      </c>
      <c r="AF541">
        <f>INDEX(CustomWeightsIntercept,MATCH(W541&amp;":"&amp;N541,CustomWeightsIndex,0))</f>
        <v>0</v>
      </c>
      <c r="AG541">
        <f>AD541*S541+AE541*T541+AF541</f>
        <v>0</v>
      </c>
      <c r="AH541">
        <f>INDEX(CoefficientsGPA,MATCH(W541&amp;":"&amp;R541,CoefficientsIndex,0))</f>
        <v>0</v>
      </c>
      <c r="AI541">
        <f>INDEX(CoefficientsSAT,MATCH(W541&amp;":"&amp;R541,CoefficientsIndex,0))</f>
        <v>0</v>
      </c>
      <c r="AJ541">
        <f>INDEX(CoefficientsIntercept,MATCH(W541&amp;":"&amp;R541,CoefficientsIndex,0))</f>
        <v>0</v>
      </c>
      <c r="AK541">
        <f>AH541*S541+(T541-AC541)*AI541+AJ541</f>
        <v>0</v>
      </c>
      <c r="AL541">
        <f>IF(ISNUMBER(AG541),AG541,AK541)</f>
        <v>0</v>
      </c>
      <c r="AM541">
        <f>IF(ISNUMBER(AL541),IF(ISNUMBER(AH541),IF(AND(AH541=1,AI541=1,AJ541=1),100,MIN(99,ROUND(100*EXP(AL541)/(1+EXP(AL541)),2))),MIN(99,ROUND(100*EXP(AL541)/(1+EXP(AL541)),2))),IF(ISTEXT(R541),IF(LEFT(R541,1)="2",100,"N/A"),"N/A"))</f>
        <v>0</v>
      </c>
      <c r="AN541">
        <f>IF(ISNUMBER(AM541),IF(AM541&gt;=99,IF(OR(U541=10,U541=11),MatchLabel,SureThingLabel),IF(AM541&gt;=95,SecureLabel,IF(AM541&gt;=80,SafetyLabel,IF(AM541&gt;=50,MatchLabel,IF(AM541&gt;=20,ReachLabel,IF(AM541&gt;=10,LongshotLabel,HailMaryLabel)))))),"Other")</f>
        <v>0</v>
      </c>
      <c r="AO541">
        <f>IF(OR(I541="accepted",I541="cond. accept",I541="summer admit"),IF(J541="yes","CHOICE!","Accepted!"),IF(I541="guar. transfer","Guar. Xfer",IF(I541="denied","Denied",IF(K541=1,"Waitlist",IF(L541=1,"Deferred",IF(G541="pending","Pending",IF(OR(G541="initial materials submitted",G541="mid-year submitted",G541="final submitted"),"Submitted",IF(H541="interest","Interest","?"))))))))</f>
        <v>0</v>
      </c>
      <c r="AP541">
        <f>IF(OR(AN541=ReachLabel,AN541=LongshotLabel,AN541=HailMaryLabel),1,0)</f>
        <v>0</v>
      </c>
      <c r="AQ541">
        <f>IF(OR(AP541=1,AN541=MatchLabel),1,0)</f>
        <v>0</v>
      </c>
      <c r="AR541">
        <f>IF(OR(AN541=MatchLabel,AN541=SafetyLabel,AN541=SecureLabel,AN541=SureThingLabel),1,0)</f>
        <v>0</v>
      </c>
      <c r="AS541">
        <f>IF(OR(W541="H",W541="B",W541="I",W541="M"),IF(ISNUMBER(AB541),ROUND(AB541,2),0),IF(ISNUMBER(AA541),ROUND(AA541,2),0))</f>
        <v>0</v>
      </c>
      <c r="AT541">
        <f>IF(AS541&gt;=X541,1,0)</f>
        <v>0</v>
      </c>
      <c r="AU541">
        <f>IF(AS541&gt;=Y541,1,0)</f>
        <v>0</v>
      </c>
      <c r="AV541">
        <f>IF(AS541&lt;(X541-0.10),1,0)</f>
        <v>0</v>
      </c>
      <c r="AW541">
        <f>1-AM541/100</f>
        <v>0</v>
      </c>
      <c r="AX541">
        <f>IF(AQ541=1,AW541,1)</f>
        <v>0</v>
      </c>
      <c r="AY541">
        <f>IF(AP541=1,AW541,1)</f>
        <v>0</v>
      </c>
      <c r="AZ541">
        <f>IF(AND(AT541=1,ISNUMBER(AW541)),$AW541,1)</f>
        <v>0</v>
      </c>
      <c r="BA541">
        <f>IF(AND(AU541=1,ISNUMBER(AW541)),$AW541,1)</f>
        <v>0</v>
      </c>
      <c r="BB541">
        <f>IF(ISNUMBER(AB541),INDEX(AllCollegeMoney, MATCH(N541,AllCollegeNCES,0)),0)</f>
        <v>0</v>
      </c>
      <c r="BC541">
        <f>IF(AND(AT541=1,ISNUMBER(AW541),BB541=1),$AW541,1)</f>
        <v>0</v>
      </c>
      <c r="BD541">
        <f>IF(AND(AU541=1,ISNUMBER(AW541),BB541=1),$AW541,1)</f>
        <v>0</v>
      </c>
      <c r="BE541">
        <f>IF(ISNUMBER(AB541),INDEX(AllCollegeILPub, MATCH(N541,AllCollegeNCES,0)),0)</f>
        <v>0</v>
      </c>
      <c r="BF541">
        <f>IF(AN541=ReachLabel,AS541,0)</f>
        <v>0</v>
      </c>
      <c r="BG541">
        <f>IF(AN541=MatchLabel,AS541,0)</f>
        <v>0</v>
      </c>
      <c r="BH541">
        <f>IF(AN541=SafetyLabel,AS541,0)</f>
        <v>0</v>
      </c>
      <c r="BI541">
        <f>IF(AN541=SecureLabel,AS541,0)</f>
        <v>0</v>
      </c>
      <c r="BJ541">
        <f>IF(AN541=SureThingLabel,AS541,0)</f>
        <v>0</v>
      </c>
      <c r="BK541">
        <f>MAX(BF541:BJ541)</f>
        <v>0</v>
      </c>
      <c r="BL541">
        <f>MAX(BG541:BJ541)</f>
        <v>0</v>
      </c>
      <c r="BM541">
        <f>MAX(BH541:BJ541)</f>
        <v>0</v>
      </c>
      <c r="BN541">
        <f>IF(AND(AN541=ReachLabel,BB541=1),AS541,0)</f>
        <v>0</v>
      </c>
      <c r="BO541">
        <f>IF(AND(AN541=MatchLabel,BB541=1),AS541,0)</f>
        <v>0</v>
      </c>
      <c r="BP541">
        <f>IF(AND(AN541=SafetyLabel,BB541=1),AS541,0)</f>
        <v>0</v>
      </c>
      <c r="BQ541">
        <f>IF(AND(AN541=SecureLabel,BB541=1),AS541,0)</f>
        <v>0</v>
      </c>
      <c r="BR541">
        <f>IF(AND(AN541=SureThingLabel,BB541=1),AS541,0)</f>
        <v>0</v>
      </c>
      <c r="BS541">
        <f>MAX(BN541:BR541)</f>
        <v>0</v>
      </c>
      <c r="BT541">
        <f>MAX(BO541:BR541)</f>
        <v>0</v>
      </c>
      <c r="BU541">
        <f>MAX(BP541:BR541)</f>
        <v>0</v>
      </c>
      <c r="BV541">
        <f>IF(ISNUMBER(AB541),INDEX(AllCollegeChicago, MATCH(N541,AllCollegeNCES,0))*BB541,0)</f>
        <v>0</v>
      </c>
      <c r="BW541">
        <f>IF(ISNUMBER(AB541),INDEX(AllCollegeMoneyCode, MATCH(N541,AllCollegeNCES,0)),"?")</f>
        <v>0</v>
      </c>
      <c r="BX541">
        <f>IF(OR(BW541="---",BW541="--",BW541="+/--",BW541="+/---"),1,0)</f>
        <v>0</v>
      </c>
      <c r="BY541">
        <f>BB541*AR541*AT541</f>
        <v>0</v>
      </c>
    </row>
    <row r="542" spans="1:77">
      <c r="A542" t="s">
        <v>96</v>
      </c>
      <c r="B542">
        <v>23477954</v>
      </c>
      <c r="C542" t="s">
        <v>252</v>
      </c>
      <c r="D542" t="s">
        <v>253</v>
      </c>
      <c r="E542" t="s">
        <v>446</v>
      </c>
      <c r="F542" t="s">
        <v>505</v>
      </c>
      <c r="G542" t="s">
        <v>448</v>
      </c>
      <c r="H542" t="s">
        <v>449</v>
      </c>
      <c r="I542" t="s">
        <v>450</v>
      </c>
      <c r="J542" t="s">
        <v>450</v>
      </c>
      <c r="K542">
        <v>0</v>
      </c>
      <c r="L542" t="s">
        <v>446</v>
      </c>
      <c r="M542" t="s">
        <v>446</v>
      </c>
      <c r="N542">
        <v>149231</v>
      </c>
      <c r="O542">
        <f>INDEX(Counselor,MATCH(B542,KidIDs,0))</f>
        <v>0</v>
      </c>
      <c r="P542">
        <f>INDEX(Advisors,MATCH(B542,KidIDs,0))</f>
        <v>0</v>
      </c>
      <c r="Q542">
        <f>INDEX(Cohort,MATCH(B542,KidIDs,0))</f>
        <v>0</v>
      </c>
      <c r="R542">
        <f>INDEX(AllCollegeBarrons,MATCH(N542,AllCollegeNCES,0))</f>
        <v>0</v>
      </c>
      <c r="S542">
        <f>INDEX(KidGPAs,MATCH(B542,KidIDs,0))</f>
        <v>0</v>
      </c>
      <c r="T542">
        <f>INDEX(KidSATs,MATCH(B542,KidIDs,0))</f>
        <v>0</v>
      </c>
      <c r="U542">
        <f>INDEX(Strats,MATCH(B542,KidIDs,0))</f>
        <v>0</v>
      </c>
      <c r="V542">
        <f>INDEX(KidRace,MATCH(B542,KidIDs,0))</f>
        <v>0</v>
      </c>
      <c r="W542">
        <f>IF(OR(V542="M",V542="I"),"H",IF(V542="P","A",V542))</f>
        <v>0</v>
      </c>
      <c r="X542">
        <f>INDEX(StudentTargets,MATCH(B542,KidIDs,0))</f>
        <v>0</v>
      </c>
      <c r="Y542">
        <f>INDEX(ReachStudentTargets,MATCH(B542,KidIDs,0))</f>
        <v>0</v>
      </c>
      <c r="Z542">
        <f>IF(OR(M542="Posse"),1,0)</f>
        <v>0</v>
      </c>
      <c r="AA542">
        <f>IF(ISNUMBER(INDEX(AllCollegeGR, MATCH(N542,AllCollegeNCES,0))),ROUND(INDEX(AllCollegeGR, MATCH(N542,AllCollegeNCES,0))+Z542*IF(INDEX(AllCollegeGR, MATCH(N542,AllCollegeNCES,0))&gt;0.7,(1-INDEX(AllCollegeGR, MATCH(N542,AllCollegeNCES,0)))/2,0.15),2),INDEX(AllCollegeGR, MATCH(N542,AllCollegeNCES,0)))</f>
        <v>0</v>
      </c>
      <c r="AB542">
        <f>IF(ISNUMBER(INDEX(AllCollegeAAHGR, MATCH(N542,AllCollegeNCES,0))),ROUND(INDEX(AllCollegeAAHGR, MATCH(N542,AllCollegeNCES,0))+Z542*IF(INDEX(AllCollegeAAHGR, MATCH(N542,AllCollegeNCES,0))&gt;0.7,(1-INDEX(AllCollegeAAHGR, MATCH(N542,AllCollegeNCES,0)))/2,0.15),2),INDEX(AllCollegeAAHGR, MATCH(N542,AllCollegeNCES,0)))</f>
        <v>0</v>
      </c>
      <c r="AC542">
        <f>IF(OR(W542="H",W542="B"),INDEX(AllCollegeSAT25, MATCH(N542,AllCollegeNCES,0)),INDEX(AllCollegeSAT50, MATCH(N542,AllCollegeNCES,0)))</f>
        <v>0</v>
      </c>
      <c r="AD542">
        <f>INDEX(CustomWeightsGPA,MATCH(W542&amp;":"&amp;N542,CustomWeightsIndex,0))</f>
        <v>0</v>
      </c>
      <c r="AE542">
        <f>INDEX(CustomWeightsSAT,MATCH(W542&amp;":"&amp;N542,CustomWeightsIndex,0))</f>
        <v>0</v>
      </c>
      <c r="AF542">
        <f>INDEX(CustomWeightsIntercept,MATCH(W542&amp;":"&amp;N542,CustomWeightsIndex,0))</f>
        <v>0</v>
      </c>
      <c r="AG542">
        <f>AD542*S542+AE542*T542+AF542</f>
        <v>0</v>
      </c>
      <c r="AH542">
        <f>INDEX(CoefficientsGPA,MATCH(W542&amp;":"&amp;R542,CoefficientsIndex,0))</f>
        <v>0</v>
      </c>
      <c r="AI542">
        <f>INDEX(CoefficientsSAT,MATCH(W542&amp;":"&amp;R542,CoefficientsIndex,0))</f>
        <v>0</v>
      </c>
      <c r="AJ542">
        <f>INDEX(CoefficientsIntercept,MATCH(W542&amp;":"&amp;R542,CoefficientsIndex,0))</f>
        <v>0</v>
      </c>
      <c r="AK542">
        <f>AH542*S542+(T542-AC542)*AI542+AJ542</f>
        <v>0</v>
      </c>
      <c r="AL542">
        <f>IF(ISNUMBER(AG542),AG542,AK542)</f>
        <v>0</v>
      </c>
      <c r="AM542">
        <f>IF(ISNUMBER(AL542),IF(ISNUMBER(AH542),IF(AND(AH542=1,AI542=1,AJ542=1),100,MIN(99,ROUND(100*EXP(AL542)/(1+EXP(AL542)),2))),MIN(99,ROUND(100*EXP(AL542)/(1+EXP(AL542)),2))),IF(ISTEXT(R542),IF(LEFT(R542,1)="2",100,"N/A"),"N/A"))</f>
        <v>0</v>
      </c>
      <c r="AN542">
        <f>IF(ISNUMBER(AM542),IF(AM542&gt;=99,IF(OR(U542=10,U542=11),MatchLabel,SureThingLabel),IF(AM542&gt;=95,SecureLabel,IF(AM542&gt;=80,SafetyLabel,IF(AM542&gt;=50,MatchLabel,IF(AM542&gt;=20,ReachLabel,IF(AM542&gt;=10,LongshotLabel,HailMaryLabel)))))),"Other")</f>
        <v>0</v>
      </c>
      <c r="AO542">
        <f>IF(OR(I542="accepted",I542="cond. accept",I542="summer admit"),IF(J542="yes","CHOICE!","Accepted!"),IF(I542="guar. transfer","Guar. Xfer",IF(I542="denied","Denied",IF(K542=1,"Waitlist",IF(L542=1,"Deferred",IF(G542="pending","Pending",IF(OR(G542="initial materials submitted",G542="mid-year submitted",G542="final submitted"),"Submitted",IF(H542="interest","Interest","?"))))))))</f>
        <v>0</v>
      </c>
      <c r="AP542">
        <f>IF(OR(AN542=ReachLabel,AN542=LongshotLabel,AN542=HailMaryLabel),1,0)</f>
        <v>0</v>
      </c>
      <c r="AQ542">
        <f>IF(OR(AP542=1,AN542=MatchLabel),1,0)</f>
        <v>0</v>
      </c>
      <c r="AR542">
        <f>IF(OR(AN542=MatchLabel,AN542=SafetyLabel,AN542=SecureLabel,AN542=SureThingLabel),1,0)</f>
        <v>0</v>
      </c>
      <c r="AS542">
        <f>IF(OR(W542="H",W542="B",W542="I",W542="M"),IF(ISNUMBER(AB542),ROUND(AB542,2),0),IF(ISNUMBER(AA542),ROUND(AA542,2),0))</f>
        <v>0</v>
      </c>
      <c r="AT542">
        <f>IF(AS542&gt;=X542,1,0)</f>
        <v>0</v>
      </c>
      <c r="AU542">
        <f>IF(AS542&gt;=Y542,1,0)</f>
        <v>0</v>
      </c>
      <c r="AV542">
        <f>IF(AS542&lt;(X542-0.10),1,0)</f>
        <v>0</v>
      </c>
      <c r="AW542">
        <f>1-AM542/100</f>
        <v>0</v>
      </c>
      <c r="AX542">
        <f>IF(AQ542=1,AW542,1)</f>
        <v>0</v>
      </c>
      <c r="AY542">
        <f>IF(AP542=1,AW542,1)</f>
        <v>0</v>
      </c>
      <c r="AZ542">
        <f>IF(AND(AT542=1,ISNUMBER(AW542)),$AW542,1)</f>
        <v>0</v>
      </c>
      <c r="BA542">
        <f>IF(AND(AU542=1,ISNUMBER(AW542)),$AW542,1)</f>
        <v>0</v>
      </c>
      <c r="BB542">
        <f>IF(ISNUMBER(AB542),INDEX(AllCollegeMoney, MATCH(N542,AllCollegeNCES,0)),0)</f>
        <v>0</v>
      </c>
      <c r="BC542">
        <f>IF(AND(AT542=1,ISNUMBER(AW542),BB542=1),$AW542,1)</f>
        <v>0</v>
      </c>
      <c r="BD542">
        <f>IF(AND(AU542=1,ISNUMBER(AW542),BB542=1),$AW542,1)</f>
        <v>0</v>
      </c>
      <c r="BE542">
        <f>IF(ISNUMBER(AB542),INDEX(AllCollegeILPub, MATCH(N542,AllCollegeNCES,0)),0)</f>
        <v>0</v>
      </c>
      <c r="BF542">
        <f>IF(AN542=ReachLabel,AS542,0)</f>
        <v>0</v>
      </c>
      <c r="BG542">
        <f>IF(AN542=MatchLabel,AS542,0)</f>
        <v>0</v>
      </c>
      <c r="BH542">
        <f>IF(AN542=SafetyLabel,AS542,0)</f>
        <v>0</v>
      </c>
      <c r="BI542">
        <f>IF(AN542=SecureLabel,AS542,0)</f>
        <v>0</v>
      </c>
      <c r="BJ542">
        <f>IF(AN542=SureThingLabel,AS542,0)</f>
        <v>0</v>
      </c>
      <c r="BK542">
        <f>MAX(BF542:BJ542)</f>
        <v>0</v>
      </c>
      <c r="BL542">
        <f>MAX(BG542:BJ542)</f>
        <v>0</v>
      </c>
      <c r="BM542">
        <f>MAX(BH542:BJ542)</f>
        <v>0</v>
      </c>
      <c r="BN542">
        <f>IF(AND(AN542=ReachLabel,BB542=1),AS542,0)</f>
        <v>0</v>
      </c>
      <c r="BO542">
        <f>IF(AND(AN542=MatchLabel,BB542=1),AS542,0)</f>
        <v>0</v>
      </c>
      <c r="BP542">
        <f>IF(AND(AN542=SafetyLabel,BB542=1),AS542,0)</f>
        <v>0</v>
      </c>
      <c r="BQ542">
        <f>IF(AND(AN542=SecureLabel,BB542=1),AS542,0)</f>
        <v>0</v>
      </c>
      <c r="BR542">
        <f>IF(AND(AN542=SureThingLabel,BB542=1),AS542,0)</f>
        <v>0</v>
      </c>
      <c r="BS542">
        <f>MAX(BN542:BR542)</f>
        <v>0</v>
      </c>
      <c r="BT542">
        <f>MAX(BO542:BR542)</f>
        <v>0</v>
      </c>
      <c r="BU542">
        <f>MAX(BP542:BR542)</f>
        <v>0</v>
      </c>
      <c r="BV542">
        <f>IF(ISNUMBER(AB542),INDEX(AllCollegeChicago, MATCH(N542,AllCollegeNCES,0))*BB542,0)</f>
        <v>0</v>
      </c>
      <c r="BW542">
        <f>IF(ISNUMBER(AB542),INDEX(AllCollegeMoneyCode, MATCH(N542,AllCollegeNCES,0)),"?")</f>
        <v>0</v>
      </c>
      <c r="BX542">
        <f>IF(OR(BW542="---",BW542="--",BW542="+/--",BW542="+/---"),1,0)</f>
        <v>0</v>
      </c>
      <c r="BY542">
        <f>BB542*AR542*AT542</f>
        <v>0</v>
      </c>
    </row>
    <row r="543" spans="1:77">
      <c r="A543" t="s">
        <v>96</v>
      </c>
      <c r="B543">
        <v>23478035</v>
      </c>
      <c r="C543" t="s">
        <v>249</v>
      </c>
      <c r="D543" t="s">
        <v>250</v>
      </c>
      <c r="E543" t="s">
        <v>446</v>
      </c>
      <c r="F543" t="s">
        <v>447</v>
      </c>
      <c r="G543" t="s">
        <v>448</v>
      </c>
      <c r="H543" t="s">
        <v>449</v>
      </c>
      <c r="I543" t="s">
        <v>450</v>
      </c>
      <c r="J543" t="s">
        <v>450</v>
      </c>
      <c r="K543">
        <v>0</v>
      </c>
      <c r="L543" t="s">
        <v>446</v>
      </c>
      <c r="M543" t="s">
        <v>446</v>
      </c>
      <c r="N543">
        <v>148496</v>
      </c>
      <c r="O543">
        <f>INDEX(Counselor,MATCH(B543,KidIDs,0))</f>
        <v>0</v>
      </c>
      <c r="P543">
        <f>INDEX(Advisors,MATCH(B543,KidIDs,0))</f>
        <v>0</v>
      </c>
      <c r="Q543">
        <f>INDEX(Cohort,MATCH(B543,KidIDs,0))</f>
        <v>0</v>
      </c>
      <c r="R543">
        <f>INDEX(AllCollegeBarrons,MATCH(N543,AllCollegeNCES,0))</f>
        <v>0</v>
      </c>
      <c r="S543">
        <f>INDEX(KidGPAs,MATCH(B543,KidIDs,0))</f>
        <v>0</v>
      </c>
      <c r="T543">
        <f>INDEX(KidSATs,MATCH(B543,KidIDs,0))</f>
        <v>0</v>
      </c>
      <c r="U543">
        <f>INDEX(Strats,MATCH(B543,KidIDs,0))</f>
        <v>0</v>
      </c>
      <c r="V543">
        <f>INDEX(KidRace,MATCH(B543,KidIDs,0))</f>
        <v>0</v>
      </c>
      <c r="W543">
        <f>IF(OR(V543="M",V543="I"),"H",IF(V543="P","A",V543))</f>
        <v>0</v>
      </c>
      <c r="X543">
        <f>INDEX(StudentTargets,MATCH(B543,KidIDs,0))</f>
        <v>0</v>
      </c>
      <c r="Y543">
        <f>INDEX(ReachStudentTargets,MATCH(B543,KidIDs,0))</f>
        <v>0</v>
      </c>
      <c r="Z543">
        <f>IF(OR(M543="Posse"),1,0)</f>
        <v>0</v>
      </c>
      <c r="AA543">
        <f>IF(ISNUMBER(INDEX(AllCollegeGR, MATCH(N543,AllCollegeNCES,0))),ROUND(INDEX(AllCollegeGR, MATCH(N543,AllCollegeNCES,0))+Z543*IF(INDEX(AllCollegeGR, MATCH(N543,AllCollegeNCES,0))&gt;0.7,(1-INDEX(AllCollegeGR, MATCH(N543,AllCollegeNCES,0)))/2,0.15),2),INDEX(AllCollegeGR, MATCH(N543,AllCollegeNCES,0)))</f>
        <v>0</v>
      </c>
      <c r="AB543">
        <f>IF(ISNUMBER(INDEX(AllCollegeAAHGR, MATCH(N543,AllCollegeNCES,0))),ROUND(INDEX(AllCollegeAAHGR, MATCH(N543,AllCollegeNCES,0))+Z543*IF(INDEX(AllCollegeAAHGR, MATCH(N543,AllCollegeNCES,0))&gt;0.7,(1-INDEX(AllCollegeAAHGR, MATCH(N543,AllCollegeNCES,0)))/2,0.15),2),INDEX(AllCollegeAAHGR, MATCH(N543,AllCollegeNCES,0)))</f>
        <v>0</v>
      </c>
      <c r="AC543">
        <f>IF(OR(W543="H",W543="B"),INDEX(AllCollegeSAT25, MATCH(N543,AllCollegeNCES,0)),INDEX(AllCollegeSAT50, MATCH(N543,AllCollegeNCES,0)))</f>
        <v>0</v>
      </c>
      <c r="AD543">
        <f>INDEX(CustomWeightsGPA,MATCH(W543&amp;":"&amp;N543,CustomWeightsIndex,0))</f>
        <v>0</v>
      </c>
      <c r="AE543">
        <f>INDEX(CustomWeightsSAT,MATCH(W543&amp;":"&amp;N543,CustomWeightsIndex,0))</f>
        <v>0</v>
      </c>
      <c r="AF543">
        <f>INDEX(CustomWeightsIntercept,MATCH(W543&amp;":"&amp;N543,CustomWeightsIndex,0))</f>
        <v>0</v>
      </c>
      <c r="AG543">
        <f>AD543*S543+AE543*T543+AF543</f>
        <v>0</v>
      </c>
      <c r="AH543">
        <f>INDEX(CoefficientsGPA,MATCH(W543&amp;":"&amp;R543,CoefficientsIndex,0))</f>
        <v>0</v>
      </c>
      <c r="AI543">
        <f>INDEX(CoefficientsSAT,MATCH(W543&amp;":"&amp;R543,CoefficientsIndex,0))</f>
        <v>0</v>
      </c>
      <c r="AJ543">
        <f>INDEX(CoefficientsIntercept,MATCH(W543&amp;":"&amp;R543,CoefficientsIndex,0))</f>
        <v>0</v>
      </c>
      <c r="AK543">
        <f>AH543*S543+(T543-AC543)*AI543+AJ543</f>
        <v>0</v>
      </c>
      <c r="AL543">
        <f>IF(ISNUMBER(AG543),AG543,AK543)</f>
        <v>0</v>
      </c>
      <c r="AM543">
        <f>IF(ISNUMBER(AL543),IF(ISNUMBER(AH543),IF(AND(AH543=1,AI543=1,AJ543=1),100,MIN(99,ROUND(100*EXP(AL543)/(1+EXP(AL543)),2))),MIN(99,ROUND(100*EXP(AL543)/(1+EXP(AL543)),2))),IF(ISTEXT(R543),IF(LEFT(R543,1)="2",100,"N/A"),"N/A"))</f>
        <v>0</v>
      </c>
      <c r="AN543">
        <f>IF(ISNUMBER(AM543),IF(AM543&gt;=99,IF(OR(U543=10,U543=11),MatchLabel,SureThingLabel),IF(AM543&gt;=95,SecureLabel,IF(AM543&gt;=80,SafetyLabel,IF(AM543&gt;=50,MatchLabel,IF(AM543&gt;=20,ReachLabel,IF(AM543&gt;=10,LongshotLabel,HailMaryLabel)))))),"Other")</f>
        <v>0</v>
      </c>
      <c r="AO543">
        <f>IF(OR(I543="accepted",I543="cond. accept",I543="summer admit"),IF(J543="yes","CHOICE!","Accepted!"),IF(I543="guar. transfer","Guar. Xfer",IF(I543="denied","Denied",IF(K543=1,"Waitlist",IF(L543=1,"Deferred",IF(G543="pending","Pending",IF(OR(G543="initial materials submitted",G543="mid-year submitted",G543="final submitted"),"Submitted",IF(H543="interest","Interest","?"))))))))</f>
        <v>0</v>
      </c>
      <c r="AP543">
        <f>IF(OR(AN543=ReachLabel,AN543=LongshotLabel,AN543=HailMaryLabel),1,0)</f>
        <v>0</v>
      </c>
      <c r="AQ543">
        <f>IF(OR(AP543=1,AN543=MatchLabel),1,0)</f>
        <v>0</v>
      </c>
      <c r="AR543">
        <f>IF(OR(AN543=MatchLabel,AN543=SafetyLabel,AN543=SecureLabel,AN543=SureThingLabel),1,0)</f>
        <v>0</v>
      </c>
      <c r="AS543">
        <f>IF(OR(W543="H",W543="B",W543="I",W543="M"),IF(ISNUMBER(AB543),ROUND(AB543,2),0),IF(ISNUMBER(AA543),ROUND(AA543,2),0))</f>
        <v>0</v>
      </c>
      <c r="AT543">
        <f>IF(AS543&gt;=X543,1,0)</f>
        <v>0</v>
      </c>
      <c r="AU543">
        <f>IF(AS543&gt;=Y543,1,0)</f>
        <v>0</v>
      </c>
      <c r="AV543">
        <f>IF(AS543&lt;(X543-0.10),1,0)</f>
        <v>0</v>
      </c>
      <c r="AW543">
        <f>1-AM543/100</f>
        <v>0</v>
      </c>
      <c r="AX543">
        <f>IF(AQ543=1,AW543,1)</f>
        <v>0</v>
      </c>
      <c r="AY543">
        <f>IF(AP543=1,AW543,1)</f>
        <v>0</v>
      </c>
      <c r="AZ543">
        <f>IF(AND(AT543=1,ISNUMBER(AW543)),$AW543,1)</f>
        <v>0</v>
      </c>
      <c r="BA543">
        <f>IF(AND(AU543=1,ISNUMBER(AW543)),$AW543,1)</f>
        <v>0</v>
      </c>
      <c r="BB543">
        <f>IF(ISNUMBER(AB543),INDEX(AllCollegeMoney, MATCH(N543,AllCollegeNCES,0)),0)</f>
        <v>0</v>
      </c>
      <c r="BC543">
        <f>IF(AND(AT543=1,ISNUMBER(AW543),BB543=1),$AW543,1)</f>
        <v>0</v>
      </c>
      <c r="BD543">
        <f>IF(AND(AU543=1,ISNUMBER(AW543),BB543=1),$AW543,1)</f>
        <v>0</v>
      </c>
      <c r="BE543">
        <f>IF(ISNUMBER(AB543),INDEX(AllCollegeILPub, MATCH(N543,AllCollegeNCES,0)),0)</f>
        <v>0</v>
      </c>
      <c r="BF543">
        <f>IF(AN543=ReachLabel,AS543,0)</f>
        <v>0</v>
      </c>
      <c r="BG543">
        <f>IF(AN543=MatchLabel,AS543,0)</f>
        <v>0</v>
      </c>
      <c r="BH543">
        <f>IF(AN543=SafetyLabel,AS543,0)</f>
        <v>0</v>
      </c>
      <c r="BI543">
        <f>IF(AN543=SecureLabel,AS543,0)</f>
        <v>0</v>
      </c>
      <c r="BJ543">
        <f>IF(AN543=SureThingLabel,AS543,0)</f>
        <v>0</v>
      </c>
      <c r="BK543">
        <f>MAX(BF543:BJ543)</f>
        <v>0</v>
      </c>
      <c r="BL543">
        <f>MAX(BG543:BJ543)</f>
        <v>0</v>
      </c>
      <c r="BM543">
        <f>MAX(BH543:BJ543)</f>
        <v>0</v>
      </c>
      <c r="BN543">
        <f>IF(AND(AN543=ReachLabel,BB543=1),AS543,0)</f>
        <v>0</v>
      </c>
      <c r="BO543">
        <f>IF(AND(AN543=MatchLabel,BB543=1),AS543,0)</f>
        <v>0</v>
      </c>
      <c r="BP543">
        <f>IF(AND(AN543=SafetyLabel,BB543=1),AS543,0)</f>
        <v>0</v>
      </c>
      <c r="BQ543">
        <f>IF(AND(AN543=SecureLabel,BB543=1),AS543,0)</f>
        <v>0</v>
      </c>
      <c r="BR543">
        <f>IF(AND(AN543=SureThingLabel,BB543=1),AS543,0)</f>
        <v>0</v>
      </c>
      <c r="BS543">
        <f>MAX(BN543:BR543)</f>
        <v>0</v>
      </c>
      <c r="BT543">
        <f>MAX(BO543:BR543)</f>
        <v>0</v>
      </c>
      <c r="BU543">
        <f>MAX(BP543:BR543)</f>
        <v>0</v>
      </c>
      <c r="BV543">
        <f>IF(ISNUMBER(AB543),INDEX(AllCollegeChicago, MATCH(N543,AllCollegeNCES,0))*BB543,0)</f>
        <v>0</v>
      </c>
      <c r="BW543">
        <f>IF(ISNUMBER(AB543),INDEX(AllCollegeMoneyCode, MATCH(N543,AllCollegeNCES,0)),"?")</f>
        <v>0</v>
      </c>
      <c r="BX543">
        <f>IF(OR(BW543="---",BW543="--",BW543="+/--",BW543="+/---"),1,0)</f>
        <v>0</v>
      </c>
      <c r="BY543">
        <f>BB543*AR543*AT543</f>
        <v>0</v>
      </c>
    </row>
    <row r="544" spans="1:77">
      <c r="A544" t="s">
        <v>96</v>
      </c>
      <c r="B544">
        <v>23478035</v>
      </c>
      <c r="C544" t="s">
        <v>249</v>
      </c>
      <c r="D544" t="s">
        <v>250</v>
      </c>
      <c r="E544" t="s">
        <v>446</v>
      </c>
      <c r="F544" t="s">
        <v>581</v>
      </c>
      <c r="G544" t="s">
        <v>448</v>
      </c>
      <c r="H544" t="s">
        <v>449</v>
      </c>
      <c r="I544" t="s">
        <v>450</v>
      </c>
      <c r="J544" t="s">
        <v>450</v>
      </c>
      <c r="K544">
        <v>0</v>
      </c>
      <c r="L544" t="s">
        <v>446</v>
      </c>
      <c r="M544" t="s">
        <v>446</v>
      </c>
      <c r="N544">
        <v>113698</v>
      </c>
      <c r="O544">
        <f>INDEX(Counselor,MATCH(B544,KidIDs,0))</f>
        <v>0</v>
      </c>
      <c r="P544">
        <f>INDEX(Advisors,MATCH(B544,KidIDs,0))</f>
        <v>0</v>
      </c>
      <c r="Q544">
        <f>INDEX(Cohort,MATCH(B544,KidIDs,0))</f>
        <v>0</v>
      </c>
      <c r="R544">
        <f>INDEX(AllCollegeBarrons,MATCH(N544,AllCollegeNCES,0))</f>
        <v>0</v>
      </c>
      <c r="S544">
        <f>INDEX(KidGPAs,MATCH(B544,KidIDs,0))</f>
        <v>0</v>
      </c>
      <c r="T544">
        <f>INDEX(KidSATs,MATCH(B544,KidIDs,0))</f>
        <v>0</v>
      </c>
      <c r="U544">
        <f>INDEX(Strats,MATCH(B544,KidIDs,0))</f>
        <v>0</v>
      </c>
      <c r="V544">
        <f>INDEX(KidRace,MATCH(B544,KidIDs,0))</f>
        <v>0</v>
      </c>
      <c r="W544">
        <f>IF(OR(V544="M",V544="I"),"H",IF(V544="P","A",V544))</f>
        <v>0</v>
      </c>
      <c r="X544">
        <f>INDEX(StudentTargets,MATCH(B544,KidIDs,0))</f>
        <v>0</v>
      </c>
      <c r="Y544">
        <f>INDEX(ReachStudentTargets,MATCH(B544,KidIDs,0))</f>
        <v>0</v>
      </c>
      <c r="Z544">
        <f>IF(OR(M544="Posse"),1,0)</f>
        <v>0</v>
      </c>
      <c r="AA544">
        <f>IF(ISNUMBER(INDEX(AllCollegeGR, MATCH(N544,AllCollegeNCES,0))),ROUND(INDEX(AllCollegeGR, MATCH(N544,AllCollegeNCES,0))+Z544*IF(INDEX(AllCollegeGR, MATCH(N544,AllCollegeNCES,0))&gt;0.7,(1-INDEX(AllCollegeGR, MATCH(N544,AllCollegeNCES,0)))/2,0.15),2),INDEX(AllCollegeGR, MATCH(N544,AllCollegeNCES,0)))</f>
        <v>0</v>
      </c>
      <c r="AB544">
        <f>IF(ISNUMBER(INDEX(AllCollegeAAHGR, MATCH(N544,AllCollegeNCES,0))),ROUND(INDEX(AllCollegeAAHGR, MATCH(N544,AllCollegeNCES,0))+Z544*IF(INDEX(AllCollegeAAHGR, MATCH(N544,AllCollegeNCES,0))&gt;0.7,(1-INDEX(AllCollegeAAHGR, MATCH(N544,AllCollegeNCES,0)))/2,0.15),2),INDEX(AllCollegeAAHGR, MATCH(N544,AllCollegeNCES,0)))</f>
        <v>0</v>
      </c>
      <c r="AC544">
        <f>IF(OR(W544="H",W544="B"),INDEX(AllCollegeSAT25, MATCH(N544,AllCollegeNCES,0)),INDEX(AllCollegeSAT50, MATCH(N544,AllCollegeNCES,0)))</f>
        <v>0</v>
      </c>
      <c r="AD544">
        <f>INDEX(CustomWeightsGPA,MATCH(W544&amp;":"&amp;N544,CustomWeightsIndex,0))</f>
        <v>0</v>
      </c>
      <c r="AE544">
        <f>INDEX(CustomWeightsSAT,MATCH(W544&amp;":"&amp;N544,CustomWeightsIndex,0))</f>
        <v>0</v>
      </c>
      <c r="AF544">
        <f>INDEX(CustomWeightsIntercept,MATCH(W544&amp;":"&amp;N544,CustomWeightsIndex,0))</f>
        <v>0</v>
      </c>
      <c r="AG544">
        <f>AD544*S544+AE544*T544+AF544</f>
        <v>0</v>
      </c>
      <c r="AH544">
        <f>INDEX(CoefficientsGPA,MATCH(W544&amp;":"&amp;R544,CoefficientsIndex,0))</f>
        <v>0</v>
      </c>
      <c r="AI544">
        <f>INDEX(CoefficientsSAT,MATCH(W544&amp;":"&amp;R544,CoefficientsIndex,0))</f>
        <v>0</v>
      </c>
      <c r="AJ544">
        <f>INDEX(CoefficientsIntercept,MATCH(W544&amp;":"&amp;R544,CoefficientsIndex,0))</f>
        <v>0</v>
      </c>
      <c r="AK544">
        <f>AH544*S544+(T544-AC544)*AI544+AJ544</f>
        <v>0</v>
      </c>
      <c r="AL544">
        <f>IF(ISNUMBER(AG544),AG544,AK544)</f>
        <v>0</v>
      </c>
      <c r="AM544">
        <f>IF(ISNUMBER(AL544),IF(ISNUMBER(AH544),IF(AND(AH544=1,AI544=1,AJ544=1),100,MIN(99,ROUND(100*EXP(AL544)/(1+EXP(AL544)),2))),MIN(99,ROUND(100*EXP(AL544)/(1+EXP(AL544)),2))),IF(ISTEXT(R544),IF(LEFT(R544,1)="2",100,"N/A"),"N/A"))</f>
        <v>0</v>
      </c>
      <c r="AN544">
        <f>IF(ISNUMBER(AM544),IF(AM544&gt;=99,IF(OR(U544=10,U544=11),MatchLabel,SureThingLabel),IF(AM544&gt;=95,SecureLabel,IF(AM544&gt;=80,SafetyLabel,IF(AM544&gt;=50,MatchLabel,IF(AM544&gt;=20,ReachLabel,IF(AM544&gt;=10,LongshotLabel,HailMaryLabel)))))),"Other")</f>
        <v>0</v>
      </c>
      <c r="AO544">
        <f>IF(OR(I544="accepted",I544="cond. accept",I544="summer admit"),IF(J544="yes","CHOICE!","Accepted!"),IF(I544="guar. transfer","Guar. Xfer",IF(I544="denied","Denied",IF(K544=1,"Waitlist",IF(L544=1,"Deferred",IF(G544="pending","Pending",IF(OR(G544="initial materials submitted",G544="mid-year submitted",G544="final submitted"),"Submitted",IF(H544="interest","Interest","?"))))))))</f>
        <v>0</v>
      </c>
      <c r="AP544">
        <f>IF(OR(AN544=ReachLabel,AN544=LongshotLabel,AN544=HailMaryLabel),1,0)</f>
        <v>0</v>
      </c>
      <c r="AQ544">
        <f>IF(OR(AP544=1,AN544=MatchLabel),1,0)</f>
        <v>0</v>
      </c>
      <c r="AR544">
        <f>IF(OR(AN544=MatchLabel,AN544=SafetyLabel,AN544=SecureLabel,AN544=SureThingLabel),1,0)</f>
        <v>0</v>
      </c>
      <c r="AS544">
        <f>IF(OR(W544="H",W544="B",W544="I",W544="M"),IF(ISNUMBER(AB544),ROUND(AB544,2),0),IF(ISNUMBER(AA544),ROUND(AA544,2),0))</f>
        <v>0</v>
      </c>
      <c r="AT544">
        <f>IF(AS544&gt;=X544,1,0)</f>
        <v>0</v>
      </c>
      <c r="AU544">
        <f>IF(AS544&gt;=Y544,1,0)</f>
        <v>0</v>
      </c>
      <c r="AV544">
        <f>IF(AS544&lt;(X544-0.10),1,0)</f>
        <v>0</v>
      </c>
      <c r="AW544">
        <f>1-AM544/100</f>
        <v>0</v>
      </c>
      <c r="AX544">
        <f>IF(AQ544=1,AW544,1)</f>
        <v>0</v>
      </c>
      <c r="AY544">
        <f>IF(AP544=1,AW544,1)</f>
        <v>0</v>
      </c>
      <c r="AZ544">
        <f>IF(AND(AT544=1,ISNUMBER(AW544)),$AW544,1)</f>
        <v>0</v>
      </c>
      <c r="BA544">
        <f>IF(AND(AU544=1,ISNUMBER(AW544)),$AW544,1)</f>
        <v>0</v>
      </c>
      <c r="BB544">
        <f>IF(ISNUMBER(AB544),INDEX(AllCollegeMoney, MATCH(N544,AllCollegeNCES,0)),0)</f>
        <v>0</v>
      </c>
      <c r="BC544">
        <f>IF(AND(AT544=1,ISNUMBER(AW544),BB544=1),$AW544,1)</f>
        <v>0</v>
      </c>
      <c r="BD544">
        <f>IF(AND(AU544=1,ISNUMBER(AW544),BB544=1),$AW544,1)</f>
        <v>0</v>
      </c>
      <c r="BE544">
        <f>IF(ISNUMBER(AB544),INDEX(AllCollegeILPub, MATCH(N544,AllCollegeNCES,0)),0)</f>
        <v>0</v>
      </c>
      <c r="BF544">
        <f>IF(AN544=ReachLabel,AS544,0)</f>
        <v>0</v>
      </c>
      <c r="BG544">
        <f>IF(AN544=MatchLabel,AS544,0)</f>
        <v>0</v>
      </c>
      <c r="BH544">
        <f>IF(AN544=SafetyLabel,AS544,0)</f>
        <v>0</v>
      </c>
      <c r="BI544">
        <f>IF(AN544=SecureLabel,AS544,0)</f>
        <v>0</v>
      </c>
      <c r="BJ544">
        <f>IF(AN544=SureThingLabel,AS544,0)</f>
        <v>0</v>
      </c>
      <c r="BK544">
        <f>MAX(BF544:BJ544)</f>
        <v>0</v>
      </c>
      <c r="BL544">
        <f>MAX(BG544:BJ544)</f>
        <v>0</v>
      </c>
      <c r="BM544">
        <f>MAX(BH544:BJ544)</f>
        <v>0</v>
      </c>
      <c r="BN544">
        <f>IF(AND(AN544=ReachLabel,BB544=1),AS544,0)</f>
        <v>0</v>
      </c>
      <c r="BO544">
        <f>IF(AND(AN544=MatchLabel,BB544=1),AS544,0)</f>
        <v>0</v>
      </c>
      <c r="BP544">
        <f>IF(AND(AN544=SafetyLabel,BB544=1),AS544,0)</f>
        <v>0</v>
      </c>
      <c r="BQ544">
        <f>IF(AND(AN544=SecureLabel,BB544=1),AS544,0)</f>
        <v>0</v>
      </c>
      <c r="BR544">
        <f>IF(AND(AN544=SureThingLabel,BB544=1),AS544,0)</f>
        <v>0</v>
      </c>
      <c r="BS544">
        <f>MAX(BN544:BR544)</f>
        <v>0</v>
      </c>
      <c r="BT544">
        <f>MAX(BO544:BR544)</f>
        <v>0</v>
      </c>
      <c r="BU544">
        <f>MAX(BP544:BR544)</f>
        <v>0</v>
      </c>
      <c r="BV544">
        <f>IF(ISNUMBER(AB544),INDEX(AllCollegeChicago, MATCH(N544,AllCollegeNCES,0))*BB544,0)</f>
        <v>0</v>
      </c>
      <c r="BW544">
        <f>IF(ISNUMBER(AB544),INDEX(AllCollegeMoneyCode, MATCH(N544,AllCollegeNCES,0)),"?")</f>
        <v>0</v>
      </c>
      <c r="BX544">
        <f>IF(OR(BW544="---",BW544="--",BW544="+/--",BW544="+/---"),1,0)</f>
        <v>0</v>
      </c>
      <c r="BY544">
        <f>BB544*AR544*AT544</f>
        <v>0</v>
      </c>
    </row>
    <row r="545" spans="1:77">
      <c r="A545" t="s">
        <v>96</v>
      </c>
      <c r="B545">
        <v>23478035</v>
      </c>
      <c r="C545" t="s">
        <v>249</v>
      </c>
      <c r="D545" t="s">
        <v>250</v>
      </c>
      <c r="E545" t="s">
        <v>446</v>
      </c>
      <c r="F545" t="s">
        <v>580</v>
      </c>
      <c r="G545" t="s">
        <v>448</v>
      </c>
      <c r="H545" t="s">
        <v>449</v>
      </c>
      <c r="I545" t="s">
        <v>450</v>
      </c>
      <c r="J545" t="s">
        <v>450</v>
      </c>
      <c r="K545">
        <v>0</v>
      </c>
      <c r="L545" t="s">
        <v>446</v>
      </c>
      <c r="M545" t="s">
        <v>446</v>
      </c>
      <c r="N545">
        <v>175856</v>
      </c>
      <c r="O545">
        <f>INDEX(Counselor,MATCH(B545,KidIDs,0))</f>
        <v>0</v>
      </c>
      <c r="P545">
        <f>INDEX(Advisors,MATCH(B545,KidIDs,0))</f>
        <v>0</v>
      </c>
      <c r="Q545">
        <f>INDEX(Cohort,MATCH(B545,KidIDs,0))</f>
        <v>0</v>
      </c>
      <c r="R545">
        <f>INDEX(AllCollegeBarrons,MATCH(N545,AllCollegeNCES,0))</f>
        <v>0</v>
      </c>
      <c r="S545">
        <f>INDEX(KidGPAs,MATCH(B545,KidIDs,0))</f>
        <v>0</v>
      </c>
      <c r="T545">
        <f>INDEX(KidSATs,MATCH(B545,KidIDs,0))</f>
        <v>0</v>
      </c>
      <c r="U545">
        <f>INDEX(Strats,MATCH(B545,KidIDs,0))</f>
        <v>0</v>
      </c>
      <c r="V545">
        <f>INDEX(KidRace,MATCH(B545,KidIDs,0))</f>
        <v>0</v>
      </c>
      <c r="W545">
        <f>IF(OR(V545="M",V545="I"),"H",IF(V545="P","A",V545))</f>
        <v>0</v>
      </c>
      <c r="X545">
        <f>INDEX(StudentTargets,MATCH(B545,KidIDs,0))</f>
        <v>0</v>
      </c>
      <c r="Y545">
        <f>INDEX(ReachStudentTargets,MATCH(B545,KidIDs,0))</f>
        <v>0</v>
      </c>
      <c r="Z545">
        <f>IF(OR(M545="Posse"),1,0)</f>
        <v>0</v>
      </c>
      <c r="AA545">
        <f>IF(ISNUMBER(INDEX(AllCollegeGR, MATCH(N545,AllCollegeNCES,0))),ROUND(INDEX(AllCollegeGR, MATCH(N545,AllCollegeNCES,0))+Z545*IF(INDEX(AllCollegeGR, MATCH(N545,AllCollegeNCES,0))&gt;0.7,(1-INDEX(AllCollegeGR, MATCH(N545,AllCollegeNCES,0)))/2,0.15),2),INDEX(AllCollegeGR, MATCH(N545,AllCollegeNCES,0)))</f>
        <v>0</v>
      </c>
      <c r="AB545">
        <f>IF(ISNUMBER(INDEX(AllCollegeAAHGR, MATCH(N545,AllCollegeNCES,0))),ROUND(INDEX(AllCollegeAAHGR, MATCH(N545,AllCollegeNCES,0))+Z545*IF(INDEX(AllCollegeAAHGR, MATCH(N545,AllCollegeNCES,0))&gt;0.7,(1-INDEX(AllCollegeAAHGR, MATCH(N545,AllCollegeNCES,0)))/2,0.15),2),INDEX(AllCollegeAAHGR, MATCH(N545,AllCollegeNCES,0)))</f>
        <v>0</v>
      </c>
      <c r="AC545">
        <f>IF(OR(W545="H",W545="B"),INDEX(AllCollegeSAT25, MATCH(N545,AllCollegeNCES,0)),INDEX(AllCollegeSAT50, MATCH(N545,AllCollegeNCES,0)))</f>
        <v>0</v>
      </c>
      <c r="AD545">
        <f>INDEX(CustomWeightsGPA,MATCH(W545&amp;":"&amp;N545,CustomWeightsIndex,0))</f>
        <v>0</v>
      </c>
      <c r="AE545">
        <f>INDEX(CustomWeightsSAT,MATCH(W545&amp;":"&amp;N545,CustomWeightsIndex,0))</f>
        <v>0</v>
      </c>
      <c r="AF545">
        <f>INDEX(CustomWeightsIntercept,MATCH(W545&amp;":"&amp;N545,CustomWeightsIndex,0))</f>
        <v>0</v>
      </c>
      <c r="AG545">
        <f>AD545*S545+AE545*T545+AF545</f>
        <v>0</v>
      </c>
      <c r="AH545">
        <f>INDEX(CoefficientsGPA,MATCH(W545&amp;":"&amp;R545,CoefficientsIndex,0))</f>
        <v>0</v>
      </c>
      <c r="AI545">
        <f>INDEX(CoefficientsSAT,MATCH(W545&amp;":"&amp;R545,CoefficientsIndex,0))</f>
        <v>0</v>
      </c>
      <c r="AJ545">
        <f>INDEX(CoefficientsIntercept,MATCH(W545&amp;":"&amp;R545,CoefficientsIndex,0))</f>
        <v>0</v>
      </c>
      <c r="AK545">
        <f>AH545*S545+(T545-AC545)*AI545+AJ545</f>
        <v>0</v>
      </c>
      <c r="AL545">
        <f>IF(ISNUMBER(AG545),AG545,AK545)</f>
        <v>0</v>
      </c>
      <c r="AM545">
        <f>IF(ISNUMBER(AL545),IF(ISNUMBER(AH545),IF(AND(AH545=1,AI545=1,AJ545=1),100,MIN(99,ROUND(100*EXP(AL545)/(1+EXP(AL545)),2))),MIN(99,ROUND(100*EXP(AL545)/(1+EXP(AL545)),2))),IF(ISTEXT(R545),IF(LEFT(R545,1)="2",100,"N/A"),"N/A"))</f>
        <v>0</v>
      </c>
      <c r="AN545">
        <f>IF(ISNUMBER(AM545),IF(AM545&gt;=99,IF(OR(U545=10,U545=11),MatchLabel,SureThingLabel),IF(AM545&gt;=95,SecureLabel,IF(AM545&gt;=80,SafetyLabel,IF(AM545&gt;=50,MatchLabel,IF(AM545&gt;=20,ReachLabel,IF(AM545&gt;=10,LongshotLabel,HailMaryLabel)))))),"Other")</f>
        <v>0</v>
      </c>
      <c r="AO545">
        <f>IF(OR(I545="accepted",I545="cond. accept",I545="summer admit"),IF(J545="yes","CHOICE!","Accepted!"),IF(I545="guar. transfer","Guar. Xfer",IF(I545="denied","Denied",IF(K545=1,"Waitlist",IF(L545=1,"Deferred",IF(G545="pending","Pending",IF(OR(G545="initial materials submitted",G545="mid-year submitted",G545="final submitted"),"Submitted",IF(H545="interest","Interest","?"))))))))</f>
        <v>0</v>
      </c>
      <c r="AP545">
        <f>IF(OR(AN545=ReachLabel,AN545=LongshotLabel,AN545=HailMaryLabel),1,0)</f>
        <v>0</v>
      </c>
      <c r="AQ545">
        <f>IF(OR(AP545=1,AN545=MatchLabel),1,0)</f>
        <v>0</v>
      </c>
      <c r="AR545">
        <f>IF(OR(AN545=MatchLabel,AN545=SafetyLabel,AN545=SecureLabel,AN545=SureThingLabel),1,0)</f>
        <v>0</v>
      </c>
      <c r="AS545">
        <f>IF(OR(W545="H",W545="B",W545="I",W545="M"),IF(ISNUMBER(AB545),ROUND(AB545,2),0),IF(ISNUMBER(AA545),ROUND(AA545,2),0))</f>
        <v>0</v>
      </c>
      <c r="AT545">
        <f>IF(AS545&gt;=X545,1,0)</f>
        <v>0</v>
      </c>
      <c r="AU545">
        <f>IF(AS545&gt;=Y545,1,0)</f>
        <v>0</v>
      </c>
      <c r="AV545">
        <f>IF(AS545&lt;(X545-0.10),1,0)</f>
        <v>0</v>
      </c>
      <c r="AW545">
        <f>1-AM545/100</f>
        <v>0</v>
      </c>
      <c r="AX545">
        <f>IF(AQ545=1,AW545,1)</f>
        <v>0</v>
      </c>
      <c r="AY545">
        <f>IF(AP545=1,AW545,1)</f>
        <v>0</v>
      </c>
      <c r="AZ545">
        <f>IF(AND(AT545=1,ISNUMBER(AW545)),$AW545,1)</f>
        <v>0</v>
      </c>
      <c r="BA545">
        <f>IF(AND(AU545=1,ISNUMBER(AW545)),$AW545,1)</f>
        <v>0</v>
      </c>
      <c r="BB545">
        <f>IF(ISNUMBER(AB545),INDEX(AllCollegeMoney, MATCH(N545,AllCollegeNCES,0)),0)</f>
        <v>0</v>
      </c>
      <c r="BC545">
        <f>IF(AND(AT545=1,ISNUMBER(AW545),BB545=1),$AW545,1)</f>
        <v>0</v>
      </c>
      <c r="BD545">
        <f>IF(AND(AU545=1,ISNUMBER(AW545),BB545=1),$AW545,1)</f>
        <v>0</v>
      </c>
      <c r="BE545">
        <f>IF(ISNUMBER(AB545),INDEX(AllCollegeILPub, MATCH(N545,AllCollegeNCES,0)),0)</f>
        <v>0</v>
      </c>
      <c r="BF545">
        <f>IF(AN545=ReachLabel,AS545,0)</f>
        <v>0</v>
      </c>
      <c r="BG545">
        <f>IF(AN545=MatchLabel,AS545,0)</f>
        <v>0</v>
      </c>
      <c r="BH545">
        <f>IF(AN545=SafetyLabel,AS545,0)</f>
        <v>0</v>
      </c>
      <c r="BI545">
        <f>IF(AN545=SecureLabel,AS545,0)</f>
        <v>0</v>
      </c>
      <c r="BJ545">
        <f>IF(AN545=SureThingLabel,AS545,0)</f>
        <v>0</v>
      </c>
      <c r="BK545">
        <f>MAX(BF545:BJ545)</f>
        <v>0</v>
      </c>
      <c r="BL545">
        <f>MAX(BG545:BJ545)</f>
        <v>0</v>
      </c>
      <c r="BM545">
        <f>MAX(BH545:BJ545)</f>
        <v>0</v>
      </c>
      <c r="BN545">
        <f>IF(AND(AN545=ReachLabel,BB545=1),AS545,0)</f>
        <v>0</v>
      </c>
      <c r="BO545">
        <f>IF(AND(AN545=MatchLabel,BB545=1),AS545,0)</f>
        <v>0</v>
      </c>
      <c r="BP545">
        <f>IF(AND(AN545=SafetyLabel,BB545=1),AS545,0)</f>
        <v>0</v>
      </c>
      <c r="BQ545">
        <f>IF(AND(AN545=SecureLabel,BB545=1),AS545,0)</f>
        <v>0</v>
      </c>
      <c r="BR545">
        <f>IF(AND(AN545=SureThingLabel,BB545=1),AS545,0)</f>
        <v>0</v>
      </c>
      <c r="BS545">
        <f>MAX(BN545:BR545)</f>
        <v>0</v>
      </c>
      <c r="BT545">
        <f>MAX(BO545:BR545)</f>
        <v>0</v>
      </c>
      <c r="BU545">
        <f>MAX(BP545:BR545)</f>
        <v>0</v>
      </c>
      <c r="BV545">
        <f>IF(ISNUMBER(AB545),INDEX(AllCollegeChicago, MATCH(N545,AllCollegeNCES,0))*BB545,0)</f>
        <v>0</v>
      </c>
      <c r="BW545">
        <f>IF(ISNUMBER(AB545),INDEX(AllCollegeMoneyCode, MATCH(N545,AllCollegeNCES,0)),"?")</f>
        <v>0</v>
      </c>
      <c r="BX545">
        <f>IF(OR(BW545="---",BW545="--",BW545="+/--",BW545="+/---"),1,0)</f>
        <v>0</v>
      </c>
      <c r="BY545">
        <f>BB545*AR545*AT545</f>
        <v>0</v>
      </c>
    </row>
    <row r="546" spans="1:77">
      <c r="A546" t="s">
        <v>96</v>
      </c>
      <c r="B546">
        <v>23478035</v>
      </c>
      <c r="C546" t="s">
        <v>249</v>
      </c>
      <c r="D546" t="s">
        <v>250</v>
      </c>
      <c r="E546" t="s">
        <v>446</v>
      </c>
      <c r="F546" t="s">
        <v>465</v>
      </c>
      <c r="G546" t="s">
        <v>448</v>
      </c>
      <c r="H546" t="s">
        <v>449</v>
      </c>
      <c r="I546" t="s">
        <v>450</v>
      </c>
      <c r="J546" t="s">
        <v>450</v>
      </c>
      <c r="K546">
        <v>0</v>
      </c>
      <c r="L546" t="s">
        <v>446</v>
      </c>
      <c r="M546" t="s">
        <v>446</v>
      </c>
      <c r="N546">
        <v>145600</v>
      </c>
      <c r="O546">
        <f>INDEX(Counselor,MATCH(B546,KidIDs,0))</f>
        <v>0</v>
      </c>
      <c r="P546">
        <f>INDEX(Advisors,MATCH(B546,KidIDs,0))</f>
        <v>0</v>
      </c>
      <c r="Q546">
        <f>INDEX(Cohort,MATCH(B546,KidIDs,0))</f>
        <v>0</v>
      </c>
      <c r="R546">
        <f>INDEX(AllCollegeBarrons,MATCH(N546,AllCollegeNCES,0))</f>
        <v>0</v>
      </c>
      <c r="S546">
        <f>INDEX(KidGPAs,MATCH(B546,KidIDs,0))</f>
        <v>0</v>
      </c>
      <c r="T546">
        <f>INDEX(KidSATs,MATCH(B546,KidIDs,0))</f>
        <v>0</v>
      </c>
      <c r="U546">
        <f>INDEX(Strats,MATCH(B546,KidIDs,0))</f>
        <v>0</v>
      </c>
      <c r="V546">
        <f>INDEX(KidRace,MATCH(B546,KidIDs,0))</f>
        <v>0</v>
      </c>
      <c r="W546">
        <f>IF(OR(V546="M",V546="I"),"H",IF(V546="P","A",V546))</f>
        <v>0</v>
      </c>
      <c r="X546">
        <f>INDEX(StudentTargets,MATCH(B546,KidIDs,0))</f>
        <v>0</v>
      </c>
      <c r="Y546">
        <f>INDEX(ReachStudentTargets,MATCH(B546,KidIDs,0))</f>
        <v>0</v>
      </c>
      <c r="Z546">
        <f>IF(OR(M546="Posse"),1,0)</f>
        <v>0</v>
      </c>
      <c r="AA546">
        <f>IF(ISNUMBER(INDEX(AllCollegeGR, MATCH(N546,AllCollegeNCES,0))),ROUND(INDEX(AllCollegeGR, MATCH(N546,AllCollegeNCES,0))+Z546*IF(INDEX(AllCollegeGR, MATCH(N546,AllCollegeNCES,0))&gt;0.7,(1-INDEX(AllCollegeGR, MATCH(N546,AllCollegeNCES,0)))/2,0.15),2),INDEX(AllCollegeGR, MATCH(N546,AllCollegeNCES,0)))</f>
        <v>0</v>
      </c>
      <c r="AB546">
        <f>IF(ISNUMBER(INDEX(AllCollegeAAHGR, MATCH(N546,AllCollegeNCES,0))),ROUND(INDEX(AllCollegeAAHGR, MATCH(N546,AllCollegeNCES,0))+Z546*IF(INDEX(AllCollegeAAHGR, MATCH(N546,AllCollegeNCES,0))&gt;0.7,(1-INDEX(AllCollegeAAHGR, MATCH(N546,AllCollegeNCES,0)))/2,0.15),2),INDEX(AllCollegeAAHGR, MATCH(N546,AllCollegeNCES,0)))</f>
        <v>0</v>
      </c>
      <c r="AC546">
        <f>IF(OR(W546="H",W546="B"),INDEX(AllCollegeSAT25, MATCH(N546,AllCollegeNCES,0)),INDEX(AllCollegeSAT50, MATCH(N546,AllCollegeNCES,0)))</f>
        <v>0</v>
      </c>
      <c r="AD546">
        <f>INDEX(CustomWeightsGPA,MATCH(W546&amp;":"&amp;N546,CustomWeightsIndex,0))</f>
        <v>0</v>
      </c>
      <c r="AE546">
        <f>INDEX(CustomWeightsSAT,MATCH(W546&amp;":"&amp;N546,CustomWeightsIndex,0))</f>
        <v>0</v>
      </c>
      <c r="AF546">
        <f>INDEX(CustomWeightsIntercept,MATCH(W546&amp;":"&amp;N546,CustomWeightsIndex,0))</f>
        <v>0</v>
      </c>
      <c r="AG546">
        <f>AD546*S546+AE546*T546+AF546</f>
        <v>0</v>
      </c>
      <c r="AH546">
        <f>INDEX(CoefficientsGPA,MATCH(W546&amp;":"&amp;R546,CoefficientsIndex,0))</f>
        <v>0</v>
      </c>
      <c r="AI546">
        <f>INDEX(CoefficientsSAT,MATCH(W546&amp;":"&amp;R546,CoefficientsIndex,0))</f>
        <v>0</v>
      </c>
      <c r="AJ546">
        <f>INDEX(CoefficientsIntercept,MATCH(W546&amp;":"&amp;R546,CoefficientsIndex,0))</f>
        <v>0</v>
      </c>
      <c r="AK546">
        <f>AH546*S546+(T546-AC546)*AI546+AJ546</f>
        <v>0</v>
      </c>
      <c r="AL546">
        <f>IF(ISNUMBER(AG546),AG546,AK546)</f>
        <v>0</v>
      </c>
      <c r="AM546">
        <f>IF(ISNUMBER(AL546),IF(ISNUMBER(AH546),IF(AND(AH546=1,AI546=1,AJ546=1),100,MIN(99,ROUND(100*EXP(AL546)/(1+EXP(AL546)),2))),MIN(99,ROUND(100*EXP(AL546)/(1+EXP(AL546)),2))),IF(ISTEXT(R546),IF(LEFT(R546,1)="2",100,"N/A"),"N/A"))</f>
        <v>0</v>
      </c>
      <c r="AN546">
        <f>IF(ISNUMBER(AM546),IF(AM546&gt;=99,IF(OR(U546=10,U546=11),MatchLabel,SureThingLabel),IF(AM546&gt;=95,SecureLabel,IF(AM546&gt;=80,SafetyLabel,IF(AM546&gt;=50,MatchLabel,IF(AM546&gt;=20,ReachLabel,IF(AM546&gt;=10,LongshotLabel,HailMaryLabel)))))),"Other")</f>
        <v>0</v>
      </c>
      <c r="AO546">
        <f>IF(OR(I546="accepted",I546="cond. accept",I546="summer admit"),IF(J546="yes","CHOICE!","Accepted!"),IF(I546="guar. transfer","Guar. Xfer",IF(I546="denied","Denied",IF(K546=1,"Waitlist",IF(L546=1,"Deferred",IF(G546="pending","Pending",IF(OR(G546="initial materials submitted",G546="mid-year submitted",G546="final submitted"),"Submitted",IF(H546="interest","Interest","?"))))))))</f>
        <v>0</v>
      </c>
      <c r="AP546">
        <f>IF(OR(AN546=ReachLabel,AN546=LongshotLabel,AN546=HailMaryLabel),1,0)</f>
        <v>0</v>
      </c>
      <c r="AQ546">
        <f>IF(OR(AP546=1,AN546=MatchLabel),1,0)</f>
        <v>0</v>
      </c>
      <c r="AR546">
        <f>IF(OR(AN546=MatchLabel,AN546=SafetyLabel,AN546=SecureLabel,AN546=SureThingLabel),1,0)</f>
        <v>0</v>
      </c>
      <c r="AS546">
        <f>IF(OR(W546="H",W546="B",W546="I",W546="M"),IF(ISNUMBER(AB546),ROUND(AB546,2),0),IF(ISNUMBER(AA546),ROUND(AA546,2),0))</f>
        <v>0</v>
      </c>
      <c r="AT546">
        <f>IF(AS546&gt;=X546,1,0)</f>
        <v>0</v>
      </c>
      <c r="AU546">
        <f>IF(AS546&gt;=Y546,1,0)</f>
        <v>0</v>
      </c>
      <c r="AV546">
        <f>IF(AS546&lt;(X546-0.10),1,0)</f>
        <v>0</v>
      </c>
      <c r="AW546">
        <f>1-AM546/100</f>
        <v>0</v>
      </c>
      <c r="AX546">
        <f>IF(AQ546=1,AW546,1)</f>
        <v>0</v>
      </c>
      <c r="AY546">
        <f>IF(AP546=1,AW546,1)</f>
        <v>0</v>
      </c>
      <c r="AZ546">
        <f>IF(AND(AT546=1,ISNUMBER(AW546)),$AW546,1)</f>
        <v>0</v>
      </c>
      <c r="BA546">
        <f>IF(AND(AU546=1,ISNUMBER(AW546)),$AW546,1)</f>
        <v>0</v>
      </c>
      <c r="BB546">
        <f>IF(ISNUMBER(AB546),INDEX(AllCollegeMoney, MATCH(N546,AllCollegeNCES,0)),0)</f>
        <v>0</v>
      </c>
      <c r="BC546">
        <f>IF(AND(AT546=1,ISNUMBER(AW546),BB546=1),$AW546,1)</f>
        <v>0</v>
      </c>
      <c r="BD546">
        <f>IF(AND(AU546=1,ISNUMBER(AW546),BB546=1),$AW546,1)</f>
        <v>0</v>
      </c>
      <c r="BE546">
        <f>IF(ISNUMBER(AB546),INDEX(AllCollegeILPub, MATCH(N546,AllCollegeNCES,0)),0)</f>
        <v>0</v>
      </c>
      <c r="BF546">
        <f>IF(AN546=ReachLabel,AS546,0)</f>
        <v>0</v>
      </c>
      <c r="BG546">
        <f>IF(AN546=MatchLabel,AS546,0)</f>
        <v>0</v>
      </c>
      <c r="BH546">
        <f>IF(AN546=SafetyLabel,AS546,0)</f>
        <v>0</v>
      </c>
      <c r="BI546">
        <f>IF(AN546=SecureLabel,AS546,0)</f>
        <v>0</v>
      </c>
      <c r="BJ546">
        <f>IF(AN546=SureThingLabel,AS546,0)</f>
        <v>0</v>
      </c>
      <c r="BK546">
        <f>MAX(BF546:BJ546)</f>
        <v>0</v>
      </c>
      <c r="BL546">
        <f>MAX(BG546:BJ546)</f>
        <v>0</v>
      </c>
      <c r="BM546">
        <f>MAX(BH546:BJ546)</f>
        <v>0</v>
      </c>
      <c r="BN546">
        <f>IF(AND(AN546=ReachLabel,BB546=1),AS546,0)</f>
        <v>0</v>
      </c>
      <c r="BO546">
        <f>IF(AND(AN546=MatchLabel,BB546=1),AS546,0)</f>
        <v>0</v>
      </c>
      <c r="BP546">
        <f>IF(AND(AN546=SafetyLabel,BB546=1),AS546,0)</f>
        <v>0</v>
      </c>
      <c r="BQ546">
        <f>IF(AND(AN546=SecureLabel,BB546=1),AS546,0)</f>
        <v>0</v>
      </c>
      <c r="BR546">
        <f>IF(AND(AN546=SureThingLabel,BB546=1),AS546,0)</f>
        <v>0</v>
      </c>
      <c r="BS546">
        <f>MAX(BN546:BR546)</f>
        <v>0</v>
      </c>
      <c r="BT546">
        <f>MAX(BO546:BR546)</f>
        <v>0</v>
      </c>
      <c r="BU546">
        <f>MAX(BP546:BR546)</f>
        <v>0</v>
      </c>
      <c r="BV546">
        <f>IF(ISNUMBER(AB546),INDEX(AllCollegeChicago, MATCH(N546,AllCollegeNCES,0))*BB546,0)</f>
        <v>0</v>
      </c>
      <c r="BW546">
        <f>IF(ISNUMBER(AB546),INDEX(AllCollegeMoneyCode, MATCH(N546,AllCollegeNCES,0)),"?")</f>
        <v>0</v>
      </c>
      <c r="BX546">
        <f>IF(OR(BW546="---",BW546="--",BW546="+/--",BW546="+/---"),1,0)</f>
        <v>0</v>
      </c>
      <c r="BY546">
        <f>BB546*AR546*AT546</f>
        <v>0</v>
      </c>
    </row>
    <row r="547" spans="1:77">
      <c r="A547" t="s">
        <v>96</v>
      </c>
      <c r="B547">
        <v>23478035</v>
      </c>
      <c r="C547" t="s">
        <v>249</v>
      </c>
      <c r="D547" t="s">
        <v>250</v>
      </c>
      <c r="E547" t="s">
        <v>446</v>
      </c>
      <c r="F547" t="s">
        <v>519</v>
      </c>
      <c r="G547" t="s">
        <v>448</v>
      </c>
      <c r="H547" t="s">
        <v>449</v>
      </c>
      <c r="I547" t="s">
        <v>450</v>
      </c>
      <c r="J547" t="s">
        <v>450</v>
      </c>
      <c r="K547">
        <v>0</v>
      </c>
      <c r="L547" t="s">
        <v>446</v>
      </c>
      <c r="M547" t="s">
        <v>446</v>
      </c>
      <c r="N547">
        <v>145813</v>
      </c>
      <c r="O547">
        <f>INDEX(Counselor,MATCH(B547,KidIDs,0))</f>
        <v>0</v>
      </c>
      <c r="P547">
        <f>INDEX(Advisors,MATCH(B547,KidIDs,0))</f>
        <v>0</v>
      </c>
      <c r="Q547">
        <f>INDEX(Cohort,MATCH(B547,KidIDs,0))</f>
        <v>0</v>
      </c>
      <c r="R547">
        <f>INDEX(AllCollegeBarrons,MATCH(N547,AllCollegeNCES,0))</f>
        <v>0</v>
      </c>
      <c r="S547">
        <f>INDEX(KidGPAs,MATCH(B547,KidIDs,0))</f>
        <v>0</v>
      </c>
      <c r="T547">
        <f>INDEX(KidSATs,MATCH(B547,KidIDs,0))</f>
        <v>0</v>
      </c>
      <c r="U547">
        <f>INDEX(Strats,MATCH(B547,KidIDs,0))</f>
        <v>0</v>
      </c>
      <c r="V547">
        <f>INDEX(KidRace,MATCH(B547,KidIDs,0))</f>
        <v>0</v>
      </c>
      <c r="W547">
        <f>IF(OR(V547="M",V547="I"),"H",IF(V547="P","A",V547))</f>
        <v>0</v>
      </c>
      <c r="X547">
        <f>INDEX(StudentTargets,MATCH(B547,KidIDs,0))</f>
        <v>0</v>
      </c>
      <c r="Y547">
        <f>INDEX(ReachStudentTargets,MATCH(B547,KidIDs,0))</f>
        <v>0</v>
      </c>
      <c r="Z547">
        <f>IF(OR(M547="Posse"),1,0)</f>
        <v>0</v>
      </c>
      <c r="AA547">
        <f>IF(ISNUMBER(INDEX(AllCollegeGR, MATCH(N547,AllCollegeNCES,0))),ROUND(INDEX(AllCollegeGR, MATCH(N547,AllCollegeNCES,0))+Z547*IF(INDEX(AllCollegeGR, MATCH(N547,AllCollegeNCES,0))&gt;0.7,(1-INDEX(AllCollegeGR, MATCH(N547,AllCollegeNCES,0)))/2,0.15),2),INDEX(AllCollegeGR, MATCH(N547,AllCollegeNCES,0)))</f>
        <v>0</v>
      </c>
      <c r="AB547">
        <f>IF(ISNUMBER(INDEX(AllCollegeAAHGR, MATCH(N547,AllCollegeNCES,0))),ROUND(INDEX(AllCollegeAAHGR, MATCH(N547,AllCollegeNCES,0))+Z547*IF(INDEX(AllCollegeAAHGR, MATCH(N547,AllCollegeNCES,0))&gt;0.7,(1-INDEX(AllCollegeAAHGR, MATCH(N547,AllCollegeNCES,0)))/2,0.15),2),INDEX(AllCollegeAAHGR, MATCH(N547,AllCollegeNCES,0)))</f>
        <v>0</v>
      </c>
      <c r="AC547">
        <f>IF(OR(W547="H",W547="B"),INDEX(AllCollegeSAT25, MATCH(N547,AllCollegeNCES,0)),INDEX(AllCollegeSAT50, MATCH(N547,AllCollegeNCES,0)))</f>
        <v>0</v>
      </c>
      <c r="AD547">
        <f>INDEX(CustomWeightsGPA,MATCH(W547&amp;":"&amp;N547,CustomWeightsIndex,0))</f>
        <v>0</v>
      </c>
      <c r="AE547">
        <f>INDEX(CustomWeightsSAT,MATCH(W547&amp;":"&amp;N547,CustomWeightsIndex,0))</f>
        <v>0</v>
      </c>
      <c r="AF547">
        <f>INDEX(CustomWeightsIntercept,MATCH(W547&amp;":"&amp;N547,CustomWeightsIndex,0))</f>
        <v>0</v>
      </c>
      <c r="AG547">
        <f>AD547*S547+AE547*T547+AF547</f>
        <v>0</v>
      </c>
      <c r="AH547">
        <f>INDEX(CoefficientsGPA,MATCH(W547&amp;":"&amp;R547,CoefficientsIndex,0))</f>
        <v>0</v>
      </c>
      <c r="AI547">
        <f>INDEX(CoefficientsSAT,MATCH(W547&amp;":"&amp;R547,CoefficientsIndex,0))</f>
        <v>0</v>
      </c>
      <c r="AJ547">
        <f>INDEX(CoefficientsIntercept,MATCH(W547&amp;":"&amp;R547,CoefficientsIndex,0))</f>
        <v>0</v>
      </c>
      <c r="AK547">
        <f>AH547*S547+(T547-AC547)*AI547+AJ547</f>
        <v>0</v>
      </c>
      <c r="AL547">
        <f>IF(ISNUMBER(AG547),AG547,AK547)</f>
        <v>0</v>
      </c>
      <c r="AM547">
        <f>IF(ISNUMBER(AL547),IF(ISNUMBER(AH547),IF(AND(AH547=1,AI547=1,AJ547=1),100,MIN(99,ROUND(100*EXP(AL547)/(1+EXP(AL547)),2))),MIN(99,ROUND(100*EXP(AL547)/(1+EXP(AL547)),2))),IF(ISTEXT(R547),IF(LEFT(R547,1)="2",100,"N/A"),"N/A"))</f>
        <v>0</v>
      </c>
      <c r="AN547">
        <f>IF(ISNUMBER(AM547),IF(AM547&gt;=99,IF(OR(U547=10,U547=11),MatchLabel,SureThingLabel),IF(AM547&gt;=95,SecureLabel,IF(AM547&gt;=80,SafetyLabel,IF(AM547&gt;=50,MatchLabel,IF(AM547&gt;=20,ReachLabel,IF(AM547&gt;=10,LongshotLabel,HailMaryLabel)))))),"Other")</f>
        <v>0</v>
      </c>
      <c r="AO547">
        <f>IF(OR(I547="accepted",I547="cond. accept",I547="summer admit"),IF(J547="yes","CHOICE!","Accepted!"),IF(I547="guar. transfer","Guar. Xfer",IF(I547="denied","Denied",IF(K547=1,"Waitlist",IF(L547=1,"Deferred",IF(G547="pending","Pending",IF(OR(G547="initial materials submitted",G547="mid-year submitted",G547="final submitted"),"Submitted",IF(H547="interest","Interest","?"))))))))</f>
        <v>0</v>
      </c>
      <c r="AP547">
        <f>IF(OR(AN547=ReachLabel,AN547=LongshotLabel,AN547=HailMaryLabel),1,0)</f>
        <v>0</v>
      </c>
      <c r="AQ547">
        <f>IF(OR(AP547=1,AN547=MatchLabel),1,0)</f>
        <v>0</v>
      </c>
      <c r="AR547">
        <f>IF(OR(AN547=MatchLabel,AN547=SafetyLabel,AN547=SecureLabel,AN547=SureThingLabel),1,0)</f>
        <v>0</v>
      </c>
      <c r="AS547">
        <f>IF(OR(W547="H",W547="B",W547="I",W547="M"),IF(ISNUMBER(AB547),ROUND(AB547,2),0),IF(ISNUMBER(AA547),ROUND(AA547,2),0))</f>
        <v>0</v>
      </c>
      <c r="AT547">
        <f>IF(AS547&gt;=X547,1,0)</f>
        <v>0</v>
      </c>
      <c r="AU547">
        <f>IF(AS547&gt;=Y547,1,0)</f>
        <v>0</v>
      </c>
      <c r="AV547">
        <f>IF(AS547&lt;(X547-0.10),1,0)</f>
        <v>0</v>
      </c>
      <c r="AW547">
        <f>1-AM547/100</f>
        <v>0</v>
      </c>
      <c r="AX547">
        <f>IF(AQ547=1,AW547,1)</f>
        <v>0</v>
      </c>
      <c r="AY547">
        <f>IF(AP547=1,AW547,1)</f>
        <v>0</v>
      </c>
      <c r="AZ547">
        <f>IF(AND(AT547=1,ISNUMBER(AW547)),$AW547,1)</f>
        <v>0</v>
      </c>
      <c r="BA547">
        <f>IF(AND(AU547=1,ISNUMBER(AW547)),$AW547,1)</f>
        <v>0</v>
      </c>
      <c r="BB547">
        <f>IF(ISNUMBER(AB547),INDEX(AllCollegeMoney, MATCH(N547,AllCollegeNCES,0)),0)</f>
        <v>0</v>
      </c>
      <c r="BC547">
        <f>IF(AND(AT547=1,ISNUMBER(AW547),BB547=1),$AW547,1)</f>
        <v>0</v>
      </c>
      <c r="BD547">
        <f>IF(AND(AU547=1,ISNUMBER(AW547),BB547=1),$AW547,1)</f>
        <v>0</v>
      </c>
      <c r="BE547">
        <f>IF(ISNUMBER(AB547),INDEX(AllCollegeILPub, MATCH(N547,AllCollegeNCES,0)),0)</f>
        <v>0</v>
      </c>
      <c r="BF547">
        <f>IF(AN547=ReachLabel,AS547,0)</f>
        <v>0</v>
      </c>
      <c r="BG547">
        <f>IF(AN547=MatchLabel,AS547,0)</f>
        <v>0</v>
      </c>
      <c r="BH547">
        <f>IF(AN547=SafetyLabel,AS547,0)</f>
        <v>0</v>
      </c>
      <c r="BI547">
        <f>IF(AN547=SecureLabel,AS547,0)</f>
        <v>0</v>
      </c>
      <c r="BJ547">
        <f>IF(AN547=SureThingLabel,AS547,0)</f>
        <v>0</v>
      </c>
      <c r="BK547">
        <f>MAX(BF547:BJ547)</f>
        <v>0</v>
      </c>
      <c r="BL547">
        <f>MAX(BG547:BJ547)</f>
        <v>0</v>
      </c>
      <c r="BM547">
        <f>MAX(BH547:BJ547)</f>
        <v>0</v>
      </c>
      <c r="BN547">
        <f>IF(AND(AN547=ReachLabel,BB547=1),AS547,0)</f>
        <v>0</v>
      </c>
      <c r="BO547">
        <f>IF(AND(AN547=MatchLabel,BB547=1),AS547,0)</f>
        <v>0</v>
      </c>
      <c r="BP547">
        <f>IF(AND(AN547=SafetyLabel,BB547=1),AS547,0)</f>
        <v>0</v>
      </c>
      <c r="BQ547">
        <f>IF(AND(AN547=SecureLabel,BB547=1),AS547,0)</f>
        <v>0</v>
      </c>
      <c r="BR547">
        <f>IF(AND(AN547=SureThingLabel,BB547=1),AS547,0)</f>
        <v>0</v>
      </c>
      <c r="BS547">
        <f>MAX(BN547:BR547)</f>
        <v>0</v>
      </c>
      <c r="BT547">
        <f>MAX(BO547:BR547)</f>
        <v>0</v>
      </c>
      <c r="BU547">
        <f>MAX(BP547:BR547)</f>
        <v>0</v>
      </c>
      <c r="BV547">
        <f>IF(ISNUMBER(AB547),INDEX(AllCollegeChicago, MATCH(N547,AllCollegeNCES,0))*BB547,0)</f>
        <v>0</v>
      </c>
      <c r="BW547">
        <f>IF(ISNUMBER(AB547),INDEX(AllCollegeMoneyCode, MATCH(N547,AllCollegeNCES,0)),"?")</f>
        <v>0</v>
      </c>
      <c r="BX547">
        <f>IF(OR(BW547="---",BW547="--",BW547="+/--",BW547="+/---"),1,0)</f>
        <v>0</v>
      </c>
      <c r="BY547">
        <f>BB547*AR547*AT547</f>
        <v>0</v>
      </c>
    </row>
    <row r="548" spans="1:77">
      <c r="A548" t="s">
        <v>96</v>
      </c>
      <c r="B548">
        <v>23478035</v>
      </c>
      <c r="C548" t="s">
        <v>249</v>
      </c>
      <c r="D548" t="s">
        <v>250</v>
      </c>
      <c r="E548" t="s">
        <v>446</v>
      </c>
      <c r="F548" t="s">
        <v>529</v>
      </c>
      <c r="G548" t="s">
        <v>448</v>
      </c>
      <c r="H548" t="s">
        <v>449</v>
      </c>
      <c r="I548" t="s">
        <v>450</v>
      </c>
      <c r="J548" t="s">
        <v>450</v>
      </c>
      <c r="K548">
        <v>0</v>
      </c>
      <c r="L548" t="s">
        <v>446</v>
      </c>
      <c r="M548" t="s">
        <v>446</v>
      </c>
      <c r="N548">
        <v>145691</v>
      </c>
      <c r="O548">
        <f>INDEX(Counselor,MATCH(B548,KidIDs,0))</f>
        <v>0</v>
      </c>
      <c r="P548">
        <f>INDEX(Advisors,MATCH(B548,KidIDs,0))</f>
        <v>0</v>
      </c>
      <c r="Q548">
        <f>INDEX(Cohort,MATCH(B548,KidIDs,0))</f>
        <v>0</v>
      </c>
      <c r="R548">
        <f>INDEX(AllCollegeBarrons,MATCH(N548,AllCollegeNCES,0))</f>
        <v>0</v>
      </c>
      <c r="S548">
        <f>INDEX(KidGPAs,MATCH(B548,KidIDs,0))</f>
        <v>0</v>
      </c>
      <c r="T548">
        <f>INDEX(KidSATs,MATCH(B548,KidIDs,0))</f>
        <v>0</v>
      </c>
      <c r="U548">
        <f>INDEX(Strats,MATCH(B548,KidIDs,0))</f>
        <v>0</v>
      </c>
      <c r="V548">
        <f>INDEX(KidRace,MATCH(B548,KidIDs,0))</f>
        <v>0</v>
      </c>
      <c r="W548">
        <f>IF(OR(V548="M",V548="I"),"H",IF(V548="P","A",V548))</f>
        <v>0</v>
      </c>
      <c r="X548">
        <f>INDEX(StudentTargets,MATCH(B548,KidIDs,0))</f>
        <v>0</v>
      </c>
      <c r="Y548">
        <f>INDEX(ReachStudentTargets,MATCH(B548,KidIDs,0))</f>
        <v>0</v>
      </c>
      <c r="Z548">
        <f>IF(OR(M548="Posse"),1,0)</f>
        <v>0</v>
      </c>
      <c r="AA548">
        <f>IF(ISNUMBER(INDEX(AllCollegeGR, MATCH(N548,AllCollegeNCES,0))),ROUND(INDEX(AllCollegeGR, MATCH(N548,AllCollegeNCES,0))+Z548*IF(INDEX(AllCollegeGR, MATCH(N548,AllCollegeNCES,0))&gt;0.7,(1-INDEX(AllCollegeGR, MATCH(N548,AllCollegeNCES,0)))/2,0.15),2),INDEX(AllCollegeGR, MATCH(N548,AllCollegeNCES,0)))</f>
        <v>0</v>
      </c>
      <c r="AB548">
        <f>IF(ISNUMBER(INDEX(AllCollegeAAHGR, MATCH(N548,AllCollegeNCES,0))),ROUND(INDEX(AllCollegeAAHGR, MATCH(N548,AllCollegeNCES,0))+Z548*IF(INDEX(AllCollegeAAHGR, MATCH(N548,AllCollegeNCES,0))&gt;0.7,(1-INDEX(AllCollegeAAHGR, MATCH(N548,AllCollegeNCES,0)))/2,0.15),2),INDEX(AllCollegeAAHGR, MATCH(N548,AllCollegeNCES,0)))</f>
        <v>0</v>
      </c>
      <c r="AC548">
        <f>IF(OR(W548="H",W548="B"),INDEX(AllCollegeSAT25, MATCH(N548,AllCollegeNCES,0)),INDEX(AllCollegeSAT50, MATCH(N548,AllCollegeNCES,0)))</f>
        <v>0</v>
      </c>
      <c r="AD548">
        <f>INDEX(CustomWeightsGPA,MATCH(W548&amp;":"&amp;N548,CustomWeightsIndex,0))</f>
        <v>0</v>
      </c>
      <c r="AE548">
        <f>INDEX(CustomWeightsSAT,MATCH(W548&amp;":"&amp;N548,CustomWeightsIndex,0))</f>
        <v>0</v>
      </c>
      <c r="AF548">
        <f>INDEX(CustomWeightsIntercept,MATCH(W548&amp;":"&amp;N548,CustomWeightsIndex,0))</f>
        <v>0</v>
      </c>
      <c r="AG548">
        <f>AD548*S548+AE548*T548+AF548</f>
        <v>0</v>
      </c>
      <c r="AH548">
        <f>INDEX(CoefficientsGPA,MATCH(W548&amp;":"&amp;R548,CoefficientsIndex,0))</f>
        <v>0</v>
      </c>
      <c r="AI548">
        <f>INDEX(CoefficientsSAT,MATCH(W548&amp;":"&amp;R548,CoefficientsIndex,0))</f>
        <v>0</v>
      </c>
      <c r="AJ548">
        <f>INDEX(CoefficientsIntercept,MATCH(W548&amp;":"&amp;R548,CoefficientsIndex,0))</f>
        <v>0</v>
      </c>
      <c r="AK548">
        <f>AH548*S548+(T548-AC548)*AI548+AJ548</f>
        <v>0</v>
      </c>
      <c r="AL548">
        <f>IF(ISNUMBER(AG548),AG548,AK548)</f>
        <v>0</v>
      </c>
      <c r="AM548">
        <f>IF(ISNUMBER(AL548),IF(ISNUMBER(AH548),IF(AND(AH548=1,AI548=1,AJ548=1),100,MIN(99,ROUND(100*EXP(AL548)/(1+EXP(AL548)),2))),MIN(99,ROUND(100*EXP(AL548)/(1+EXP(AL548)),2))),IF(ISTEXT(R548),IF(LEFT(R548,1)="2",100,"N/A"),"N/A"))</f>
        <v>0</v>
      </c>
      <c r="AN548">
        <f>IF(ISNUMBER(AM548),IF(AM548&gt;=99,IF(OR(U548=10,U548=11),MatchLabel,SureThingLabel),IF(AM548&gt;=95,SecureLabel,IF(AM548&gt;=80,SafetyLabel,IF(AM548&gt;=50,MatchLabel,IF(AM548&gt;=20,ReachLabel,IF(AM548&gt;=10,LongshotLabel,HailMaryLabel)))))),"Other")</f>
        <v>0</v>
      </c>
      <c r="AO548">
        <f>IF(OR(I548="accepted",I548="cond. accept",I548="summer admit"),IF(J548="yes","CHOICE!","Accepted!"),IF(I548="guar. transfer","Guar. Xfer",IF(I548="denied","Denied",IF(K548=1,"Waitlist",IF(L548=1,"Deferred",IF(G548="pending","Pending",IF(OR(G548="initial materials submitted",G548="mid-year submitted",G548="final submitted"),"Submitted",IF(H548="interest","Interest","?"))))))))</f>
        <v>0</v>
      </c>
      <c r="AP548">
        <f>IF(OR(AN548=ReachLabel,AN548=LongshotLabel,AN548=HailMaryLabel),1,0)</f>
        <v>0</v>
      </c>
      <c r="AQ548">
        <f>IF(OR(AP548=1,AN548=MatchLabel),1,0)</f>
        <v>0</v>
      </c>
      <c r="AR548">
        <f>IF(OR(AN548=MatchLabel,AN548=SafetyLabel,AN548=SecureLabel,AN548=SureThingLabel),1,0)</f>
        <v>0</v>
      </c>
      <c r="AS548">
        <f>IF(OR(W548="H",W548="B",W548="I",W548="M"),IF(ISNUMBER(AB548),ROUND(AB548,2),0),IF(ISNUMBER(AA548),ROUND(AA548,2),0))</f>
        <v>0</v>
      </c>
      <c r="AT548">
        <f>IF(AS548&gt;=X548,1,0)</f>
        <v>0</v>
      </c>
      <c r="AU548">
        <f>IF(AS548&gt;=Y548,1,0)</f>
        <v>0</v>
      </c>
      <c r="AV548">
        <f>IF(AS548&lt;(X548-0.10),1,0)</f>
        <v>0</v>
      </c>
      <c r="AW548">
        <f>1-AM548/100</f>
        <v>0</v>
      </c>
      <c r="AX548">
        <f>IF(AQ548=1,AW548,1)</f>
        <v>0</v>
      </c>
      <c r="AY548">
        <f>IF(AP548=1,AW548,1)</f>
        <v>0</v>
      </c>
      <c r="AZ548">
        <f>IF(AND(AT548=1,ISNUMBER(AW548)),$AW548,1)</f>
        <v>0</v>
      </c>
      <c r="BA548">
        <f>IF(AND(AU548=1,ISNUMBER(AW548)),$AW548,1)</f>
        <v>0</v>
      </c>
      <c r="BB548">
        <f>IF(ISNUMBER(AB548),INDEX(AllCollegeMoney, MATCH(N548,AllCollegeNCES,0)),0)</f>
        <v>0</v>
      </c>
      <c r="BC548">
        <f>IF(AND(AT548=1,ISNUMBER(AW548),BB548=1),$AW548,1)</f>
        <v>0</v>
      </c>
      <c r="BD548">
        <f>IF(AND(AU548=1,ISNUMBER(AW548),BB548=1),$AW548,1)</f>
        <v>0</v>
      </c>
      <c r="BE548">
        <f>IF(ISNUMBER(AB548),INDEX(AllCollegeILPub, MATCH(N548,AllCollegeNCES,0)),0)</f>
        <v>0</v>
      </c>
      <c r="BF548">
        <f>IF(AN548=ReachLabel,AS548,0)</f>
        <v>0</v>
      </c>
      <c r="BG548">
        <f>IF(AN548=MatchLabel,AS548,0)</f>
        <v>0</v>
      </c>
      <c r="BH548">
        <f>IF(AN548=SafetyLabel,AS548,0)</f>
        <v>0</v>
      </c>
      <c r="BI548">
        <f>IF(AN548=SecureLabel,AS548,0)</f>
        <v>0</v>
      </c>
      <c r="BJ548">
        <f>IF(AN548=SureThingLabel,AS548,0)</f>
        <v>0</v>
      </c>
      <c r="BK548">
        <f>MAX(BF548:BJ548)</f>
        <v>0</v>
      </c>
      <c r="BL548">
        <f>MAX(BG548:BJ548)</f>
        <v>0</v>
      </c>
      <c r="BM548">
        <f>MAX(BH548:BJ548)</f>
        <v>0</v>
      </c>
      <c r="BN548">
        <f>IF(AND(AN548=ReachLabel,BB548=1),AS548,0)</f>
        <v>0</v>
      </c>
      <c r="BO548">
        <f>IF(AND(AN548=MatchLabel,BB548=1),AS548,0)</f>
        <v>0</v>
      </c>
      <c r="BP548">
        <f>IF(AND(AN548=SafetyLabel,BB548=1),AS548,0)</f>
        <v>0</v>
      </c>
      <c r="BQ548">
        <f>IF(AND(AN548=SecureLabel,BB548=1),AS548,0)</f>
        <v>0</v>
      </c>
      <c r="BR548">
        <f>IF(AND(AN548=SureThingLabel,BB548=1),AS548,0)</f>
        <v>0</v>
      </c>
      <c r="BS548">
        <f>MAX(BN548:BR548)</f>
        <v>0</v>
      </c>
      <c r="BT548">
        <f>MAX(BO548:BR548)</f>
        <v>0</v>
      </c>
      <c r="BU548">
        <f>MAX(BP548:BR548)</f>
        <v>0</v>
      </c>
      <c r="BV548">
        <f>IF(ISNUMBER(AB548),INDEX(AllCollegeChicago, MATCH(N548,AllCollegeNCES,0))*BB548,0)</f>
        <v>0</v>
      </c>
      <c r="BW548">
        <f>IF(ISNUMBER(AB548),INDEX(AllCollegeMoneyCode, MATCH(N548,AllCollegeNCES,0)),"?")</f>
        <v>0</v>
      </c>
      <c r="BX548">
        <f>IF(OR(BW548="---",BW548="--",BW548="+/--",BW548="+/---"),1,0)</f>
        <v>0</v>
      </c>
      <c r="BY548">
        <f>BB548*AR548*AT548</f>
        <v>0</v>
      </c>
    </row>
    <row r="549" spans="1:77">
      <c r="A549" t="s">
        <v>96</v>
      </c>
      <c r="B549">
        <v>23478035</v>
      </c>
      <c r="C549" t="s">
        <v>249</v>
      </c>
      <c r="D549" t="s">
        <v>250</v>
      </c>
      <c r="E549" t="s">
        <v>446</v>
      </c>
      <c r="F549" t="s">
        <v>453</v>
      </c>
      <c r="G549" t="s">
        <v>448</v>
      </c>
      <c r="H549" t="s">
        <v>449</v>
      </c>
      <c r="I549" t="s">
        <v>450</v>
      </c>
      <c r="J549" t="s">
        <v>450</v>
      </c>
      <c r="K549">
        <v>0</v>
      </c>
      <c r="L549" t="s">
        <v>446</v>
      </c>
      <c r="M549" t="s">
        <v>454</v>
      </c>
      <c r="N549">
        <v>150774</v>
      </c>
      <c r="O549">
        <f>INDEX(Counselor,MATCH(B549,KidIDs,0))</f>
        <v>0</v>
      </c>
      <c r="P549">
        <f>INDEX(Advisors,MATCH(B549,KidIDs,0))</f>
        <v>0</v>
      </c>
      <c r="Q549">
        <f>INDEX(Cohort,MATCH(B549,KidIDs,0))</f>
        <v>0</v>
      </c>
      <c r="R549">
        <f>INDEX(AllCollegeBarrons,MATCH(N549,AllCollegeNCES,0))</f>
        <v>0</v>
      </c>
      <c r="S549">
        <f>INDEX(KidGPAs,MATCH(B549,KidIDs,0))</f>
        <v>0</v>
      </c>
      <c r="T549">
        <f>INDEX(KidSATs,MATCH(B549,KidIDs,0))</f>
        <v>0</v>
      </c>
      <c r="U549">
        <f>INDEX(Strats,MATCH(B549,KidIDs,0))</f>
        <v>0</v>
      </c>
      <c r="V549">
        <f>INDEX(KidRace,MATCH(B549,KidIDs,0))</f>
        <v>0</v>
      </c>
      <c r="W549">
        <f>IF(OR(V549="M",V549="I"),"H",IF(V549="P","A",V549))</f>
        <v>0</v>
      </c>
      <c r="X549">
        <f>INDEX(StudentTargets,MATCH(B549,KidIDs,0))</f>
        <v>0</v>
      </c>
      <c r="Y549">
        <f>INDEX(ReachStudentTargets,MATCH(B549,KidIDs,0))</f>
        <v>0</v>
      </c>
      <c r="Z549">
        <f>IF(OR(M549="Posse"),1,0)</f>
        <v>0</v>
      </c>
      <c r="AA549">
        <f>IF(ISNUMBER(INDEX(AllCollegeGR, MATCH(N549,AllCollegeNCES,0))),ROUND(INDEX(AllCollegeGR, MATCH(N549,AllCollegeNCES,0))+Z549*IF(INDEX(AllCollegeGR, MATCH(N549,AllCollegeNCES,0))&gt;0.7,(1-INDEX(AllCollegeGR, MATCH(N549,AllCollegeNCES,0)))/2,0.15),2),INDEX(AllCollegeGR, MATCH(N549,AllCollegeNCES,0)))</f>
        <v>0</v>
      </c>
      <c r="AB549">
        <f>IF(ISNUMBER(INDEX(AllCollegeAAHGR, MATCH(N549,AllCollegeNCES,0))),ROUND(INDEX(AllCollegeAAHGR, MATCH(N549,AllCollegeNCES,0))+Z549*IF(INDEX(AllCollegeAAHGR, MATCH(N549,AllCollegeNCES,0))&gt;0.7,(1-INDEX(AllCollegeAAHGR, MATCH(N549,AllCollegeNCES,0)))/2,0.15),2),INDEX(AllCollegeAAHGR, MATCH(N549,AllCollegeNCES,0)))</f>
        <v>0</v>
      </c>
      <c r="AC549">
        <f>IF(OR(W549="H",W549="B"),INDEX(AllCollegeSAT25, MATCH(N549,AllCollegeNCES,0)),INDEX(AllCollegeSAT50, MATCH(N549,AllCollegeNCES,0)))</f>
        <v>0</v>
      </c>
      <c r="AD549">
        <f>INDEX(CustomWeightsGPA,MATCH(W549&amp;":"&amp;N549,CustomWeightsIndex,0))</f>
        <v>0</v>
      </c>
      <c r="AE549">
        <f>INDEX(CustomWeightsSAT,MATCH(W549&amp;":"&amp;N549,CustomWeightsIndex,0))</f>
        <v>0</v>
      </c>
      <c r="AF549">
        <f>INDEX(CustomWeightsIntercept,MATCH(W549&amp;":"&amp;N549,CustomWeightsIndex,0))</f>
        <v>0</v>
      </c>
      <c r="AG549">
        <f>AD549*S549+AE549*T549+AF549</f>
        <v>0</v>
      </c>
      <c r="AH549">
        <f>INDEX(CoefficientsGPA,MATCH(W549&amp;":"&amp;R549,CoefficientsIndex,0))</f>
        <v>0</v>
      </c>
      <c r="AI549">
        <f>INDEX(CoefficientsSAT,MATCH(W549&amp;":"&amp;R549,CoefficientsIndex,0))</f>
        <v>0</v>
      </c>
      <c r="AJ549">
        <f>INDEX(CoefficientsIntercept,MATCH(W549&amp;":"&amp;R549,CoefficientsIndex,0))</f>
        <v>0</v>
      </c>
      <c r="AK549">
        <f>AH549*S549+(T549-AC549)*AI549+AJ549</f>
        <v>0</v>
      </c>
      <c r="AL549">
        <f>IF(ISNUMBER(AG549),AG549,AK549)</f>
        <v>0</v>
      </c>
      <c r="AM549">
        <f>IF(ISNUMBER(AL549),IF(ISNUMBER(AH549),IF(AND(AH549=1,AI549=1,AJ549=1),100,MIN(99,ROUND(100*EXP(AL549)/(1+EXP(AL549)),2))),MIN(99,ROUND(100*EXP(AL549)/(1+EXP(AL549)),2))),IF(ISTEXT(R549),IF(LEFT(R549,1)="2",100,"N/A"),"N/A"))</f>
        <v>0</v>
      </c>
      <c r="AN549">
        <f>IF(ISNUMBER(AM549),IF(AM549&gt;=99,IF(OR(U549=10,U549=11),MatchLabel,SureThingLabel),IF(AM549&gt;=95,SecureLabel,IF(AM549&gt;=80,SafetyLabel,IF(AM549&gt;=50,MatchLabel,IF(AM549&gt;=20,ReachLabel,IF(AM549&gt;=10,LongshotLabel,HailMaryLabel)))))),"Other")</f>
        <v>0</v>
      </c>
      <c r="AO549">
        <f>IF(OR(I549="accepted",I549="cond. accept",I549="summer admit"),IF(J549="yes","CHOICE!","Accepted!"),IF(I549="guar. transfer","Guar. Xfer",IF(I549="denied","Denied",IF(K549=1,"Waitlist",IF(L549=1,"Deferred",IF(G549="pending","Pending",IF(OR(G549="initial materials submitted",G549="mid-year submitted",G549="final submitted"),"Submitted",IF(H549="interest","Interest","?"))))))))</f>
        <v>0</v>
      </c>
      <c r="AP549">
        <f>IF(OR(AN549=ReachLabel,AN549=LongshotLabel,AN549=HailMaryLabel),1,0)</f>
        <v>0</v>
      </c>
      <c r="AQ549">
        <f>IF(OR(AP549=1,AN549=MatchLabel),1,0)</f>
        <v>0</v>
      </c>
      <c r="AR549">
        <f>IF(OR(AN549=MatchLabel,AN549=SafetyLabel,AN549=SecureLabel,AN549=SureThingLabel),1,0)</f>
        <v>0</v>
      </c>
      <c r="AS549">
        <f>IF(OR(W549="H",W549="B",W549="I",W549="M"),IF(ISNUMBER(AB549),ROUND(AB549,2),0),IF(ISNUMBER(AA549),ROUND(AA549,2),0))</f>
        <v>0</v>
      </c>
      <c r="AT549">
        <f>IF(AS549&gt;=X549,1,0)</f>
        <v>0</v>
      </c>
      <c r="AU549">
        <f>IF(AS549&gt;=Y549,1,0)</f>
        <v>0</v>
      </c>
      <c r="AV549">
        <f>IF(AS549&lt;(X549-0.10),1,0)</f>
        <v>0</v>
      </c>
      <c r="AW549">
        <f>1-AM549/100</f>
        <v>0</v>
      </c>
      <c r="AX549">
        <f>IF(AQ549=1,AW549,1)</f>
        <v>0</v>
      </c>
      <c r="AY549">
        <f>IF(AP549=1,AW549,1)</f>
        <v>0</v>
      </c>
      <c r="AZ549">
        <f>IF(AND(AT549=1,ISNUMBER(AW549)),$AW549,1)</f>
        <v>0</v>
      </c>
      <c r="BA549">
        <f>IF(AND(AU549=1,ISNUMBER(AW549)),$AW549,1)</f>
        <v>0</v>
      </c>
      <c r="BB549">
        <f>IF(ISNUMBER(AB549),INDEX(AllCollegeMoney, MATCH(N549,AllCollegeNCES,0)),0)</f>
        <v>0</v>
      </c>
      <c r="BC549">
        <f>IF(AND(AT549=1,ISNUMBER(AW549),BB549=1),$AW549,1)</f>
        <v>0</v>
      </c>
      <c r="BD549">
        <f>IF(AND(AU549=1,ISNUMBER(AW549),BB549=1),$AW549,1)</f>
        <v>0</v>
      </c>
      <c r="BE549">
        <f>IF(ISNUMBER(AB549),INDEX(AllCollegeILPub, MATCH(N549,AllCollegeNCES,0)),0)</f>
        <v>0</v>
      </c>
      <c r="BF549">
        <f>IF(AN549=ReachLabel,AS549,0)</f>
        <v>0</v>
      </c>
      <c r="BG549">
        <f>IF(AN549=MatchLabel,AS549,0)</f>
        <v>0</v>
      </c>
      <c r="BH549">
        <f>IF(AN549=SafetyLabel,AS549,0)</f>
        <v>0</v>
      </c>
      <c r="BI549">
        <f>IF(AN549=SecureLabel,AS549,0)</f>
        <v>0</v>
      </c>
      <c r="BJ549">
        <f>IF(AN549=SureThingLabel,AS549,0)</f>
        <v>0</v>
      </c>
      <c r="BK549">
        <f>MAX(BF549:BJ549)</f>
        <v>0</v>
      </c>
      <c r="BL549">
        <f>MAX(BG549:BJ549)</f>
        <v>0</v>
      </c>
      <c r="BM549">
        <f>MAX(BH549:BJ549)</f>
        <v>0</v>
      </c>
      <c r="BN549">
        <f>IF(AND(AN549=ReachLabel,BB549=1),AS549,0)</f>
        <v>0</v>
      </c>
      <c r="BO549">
        <f>IF(AND(AN549=MatchLabel,BB549=1),AS549,0)</f>
        <v>0</v>
      </c>
      <c r="BP549">
        <f>IF(AND(AN549=SafetyLabel,BB549=1),AS549,0)</f>
        <v>0</v>
      </c>
      <c r="BQ549">
        <f>IF(AND(AN549=SecureLabel,BB549=1),AS549,0)</f>
        <v>0</v>
      </c>
      <c r="BR549">
        <f>IF(AND(AN549=SureThingLabel,BB549=1),AS549,0)</f>
        <v>0</v>
      </c>
      <c r="BS549">
        <f>MAX(BN549:BR549)</f>
        <v>0</v>
      </c>
      <c r="BT549">
        <f>MAX(BO549:BR549)</f>
        <v>0</v>
      </c>
      <c r="BU549">
        <f>MAX(BP549:BR549)</f>
        <v>0</v>
      </c>
      <c r="BV549">
        <f>IF(ISNUMBER(AB549),INDEX(AllCollegeChicago, MATCH(N549,AllCollegeNCES,0))*BB549,0)</f>
        <v>0</v>
      </c>
      <c r="BW549">
        <f>IF(ISNUMBER(AB549),INDEX(AllCollegeMoneyCode, MATCH(N549,AllCollegeNCES,0)),"?")</f>
        <v>0</v>
      </c>
      <c r="BX549">
        <f>IF(OR(BW549="---",BW549="--",BW549="+/--",BW549="+/---"),1,0)</f>
        <v>0</v>
      </c>
      <c r="BY549">
        <f>BB549*AR549*AT549</f>
        <v>0</v>
      </c>
    </row>
    <row r="550" spans="1:77">
      <c r="A550" t="s">
        <v>96</v>
      </c>
      <c r="B550">
        <v>23478035</v>
      </c>
      <c r="C550" t="s">
        <v>249</v>
      </c>
      <c r="D550" t="s">
        <v>250</v>
      </c>
      <c r="E550" t="s">
        <v>446</v>
      </c>
      <c r="F550" t="s">
        <v>456</v>
      </c>
      <c r="G550" t="s">
        <v>448</v>
      </c>
      <c r="H550" t="s">
        <v>449</v>
      </c>
      <c r="I550" t="s">
        <v>450</v>
      </c>
      <c r="J550" t="s">
        <v>450</v>
      </c>
      <c r="K550">
        <v>0</v>
      </c>
      <c r="L550" t="s">
        <v>446</v>
      </c>
      <c r="M550" t="s">
        <v>446</v>
      </c>
      <c r="N550">
        <v>149772</v>
      </c>
      <c r="O550">
        <f>INDEX(Counselor,MATCH(B550,KidIDs,0))</f>
        <v>0</v>
      </c>
      <c r="P550">
        <f>INDEX(Advisors,MATCH(B550,KidIDs,0))</f>
        <v>0</v>
      </c>
      <c r="Q550">
        <f>INDEX(Cohort,MATCH(B550,KidIDs,0))</f>
        <v>0</v>
      </c>
      <c r="R550">
        <f>INDEX(AllCollegeBarrons,MATCH(N550,AllCollegeNCES,0))</f>
        <v>0</v>
      </c>
      <c r="S550">
        <f>INDEX(KidGPAs,MATCH(B550,KidIDs,0))</f>
        <v>0</v>
      </c>
      <c r="T550">
        <f>INDEX(KidSATs,MATCH(B550,KidIDs,0))</f>
        <v>0</v>
      </c>
      <c r="U550">
        <f>INDEX(Strats,MATCH(B550,KidIDs,0))</f>
        <v>0</v>
      </c>
      <c r="V550">
        <f>INDEX(KidRace,MATCH(B550,KidIDs,0))</f>
        <v>0</v>
      </c>
      <c r="W550">
        <f>IF(OR(V550="M",V550="I"),"H",IF(V550="P","A",V550))</f>
        <v>0</v>
      </c>
      <c r="X550">
        <f>INDEX(StudentTargets,MATCH(B550,KidIDs,0))</f>
        <v>0</v>
      </c>
      <c r="Y550">
        <f>INDEX(ReachStudentTargets,MATCH(B550,KidIDs,0))</f>
        <v>0</v>
      </c>
      <c r="Z550">
        <f>IF(OR(M550="Posse"),1,0)</f>
        <v>0</v>
      </c>
      <c r="AA550">
        <f>IF(ISNUMBER(INDEX(AllCollegeGR, MATCH(N550,AllCollegeNCES,0))),ROUND(INDEX(AllCollegeGR, MATCH(N550,AllCollegeNCES,0))+Z550*IF(INDEX(AllCollegeGR, MATCH(N550,AllCollegeNCES,0))&gt;0.7,(1-INDEX(AllCollegeGR, MATCH(N550,AllCollegeNCES,0)))/2,0.15),2),INDEX(AllCollegeGR, MATCH(N550,AllCollegeNCES,0)))</f>
        <v>0</v>
      </c>
      <c r="AB550">
        <f>IF(ISNUMBER(INDEX(AllCollegeAAHGR, MATCH(N550,AllCollegeNCES,0))),ROUND(INDEX(AllCollegeAAHGR, MATCH(N550,AllCollegeNCES,0))+Z550*IF(INDEX(AllCollegeAAHGR, MATCH(N550,AllCollegeNCES,0))&gt;0.7,(1-INDEX(AllCollegeAAHGR, MATCH(N550,AllCollegeNCES,0)))/2,0.15),2),INDEX(AllCollegeAAHGR, MATCH(N550,AllCollegeNCES,0)))</f>
        <v>0</v>
      </c>
      <c r="AC550">
        <f>IF(OR(W550="H",W550="B"),INDEX(AllCollegeSAT25, MATCH(N550,AllCollegeNCES,0)),INDEX(AllCollegeSAT50, MATCH(N550,AllCollegeNCES,0)))</f>
        <v>0</v>
      </c>
      <c r="AD550">
        <f>INDEX(CustomWeightsGPA,MATCH(W550&amp;":"&amp;N550,CustomWeightsIndex,0))</f>
        <v>0</v>
      </c>
      <c r="AE550">
        <f>INDEX(CustomWeightsSAT,MATCH(W550&amp;":"&amp;N550,CustomWeightsIndex,0))</f>
        <v>0</v>
      </c>
      <c r="AF550">
        <f>INDEX(CustomWeightsIntercept,MATCH(W550&amp;":"&amp;N550,CustomWeightsIndex,0))</f>
        <v>0</v>
      </c>
      <c r="AG550">
        <f>AD550*S550+AE550*T550+AF550</f>
        <v>0</v>
      </c>
      <c r="AH550">
        <f>INDEX(CoefficientsGPA,MATCH(W550&amp;":"&amp;R550,CoefficientsIndex,0))</f>
        <v>0</v>
      </c>
      <c r="AI550">
        <f>INDEX(CoefficientsSAT,MATCH(W550&amp;":"&amp;R550,CoefficientsIndex,0))</f>
        <v>0</v>
      </c>
      <c r="AJ550">
        <f>INDEX(CoefficientsIntercept,MATCH(W550&amp;":"&amp;R550,CoefficientsIndex,0))</f>
        <v>0</v>
      </c>
      <c r="AK550">
        <f>AH550*S550+(T550-AC550)*AI550+AJ550</f>
        <v>0</v>
      </c>
      <c r="AL550">
        <f>IF(ISNUMBER(AG550),AG550,AK550)</f>
        <v>0</v>
      </c>
      <c r="AM550">
        <f>IF(ISNUMBER(AL550),IF(ISNUMBER(AH550),IF(AND(AH550=1,AI550=1,AJ550=1),100,MIN(99,ROUND(100*EXP(AL550)/(1+EXP(AL550)),2))),MIN(99,ROUND(100*EXP(AL550)/(1+EXP(AL550)),2))),IF(ISTEXT(R550),IF(LEFT(R550,1)="2",100,"N/A"),"N/A"))</f>
        <v>0</v>
      </c>
      <c r="AN550">
        <f>IF(ISNUMBER(AM550),IF(AM550&gt;=99,IF(OR(U550=10,U550=11),MatchLabel,SureThingLabel),IF(AM550&gt;=95,SecureLabel,IF(AM550&gt;=80,SafetyLabel,IF(AM550&gt;=50,MatchLabel,IF(AM550&gt;=20,ReachLabel,IF(AM550&gt;=10,LongshotLabel,HailMaryLabel)))))),"Other")</f>
        <v>0</v>
      </c>
      <c r="AO550">
        <f>IF(OR(I550="accepted",I550="cond. accept",I550="summer admit"),IF(J550="yes","CHOICE!","Accepted!"),IF(I550="guar. transfer","Guar. Xfer",IF(I550="denied","Denied",IF(K550=1,"Waitlist",IF(L550=1,"Deferred",IF(G550="pending","Pending",IF(OR(G550="initial materials submitted",G550="mid-year submitted",G550="final submitted"),"Submitted",IF(H550="interest","Interest","?"))))))))</f>
        <v>0</v>
      </c>
      <c r="AP550">
        <f>IF(OR(AN550=ReachLabel,AN550=LongshotLabel,AN550=HailMaryLabel),1,0)</f>
        <v>0</v>
      </c>
      <c r="AQ550">
        <f>IF(OR(AP550=1,AN550=MatchLabel),1,0)</f>
        <v>0</v>
      </c>
      <c r="AR550">
        <f>IF(OR(AN550=MatchLabel,AN550=SafetyLabel,AN550=SecureLabel,AN550=SureThingLabel),1,0)</f>
        <v>0</v>
      </c>
      <c r="AS550">
        <f>IF(OR(W550="H",W550="B",W550="I",W550="M"),IF(ISNUMBER(AB550),ROUND(AB550,2),0),IF(ISNUMBER(AA550),ROUND(AA550,2),0))</f>
        <v>0</v>
      </c>
      <c r="AT550">
        <f>IF(AS550&gt;=X550,1,0)</f>
        <v>0</v>
      </c>
      <c r="AU550">
        <f>IF(AS550&gt;=Y550,1,0)</f>
        <v>0</v>
      </c>
      <c r="AV550">
        <f>IF(AS550&lt;(X550-0.10),1,0)</f>
        <v>0</v>
      </c>
      <c r="AW550">
        <f>1-AM550/100</f>
        <v>0</v>
      </c>
      <c r="AX550">
        <f>IF(AQ550=1,AW550,1)</f>
        <v>0</v>
      </c>
      <c r="AY550">
        <f>IF(AP550=1,AW550,1)</f>
        <v>0</v>
      </c>
      <c r="AZ550">
        <f>IF(AND(AT550=1,ISNUMBER(AW550)),$AW550,1)</f>
        <v>0</v>
      </c>
      <c r="BA550">
        <f>IF(AND(AU550=1,ISNUMBER(AW550)),$AW550,1)</f>
        <v>0</v>
      </c>
      <c r="BB550">
        <f>IF(ISNUMBER(AB550),INDEX(AllCollegeMoney, MATCH(N550,AllCollegeNCES,0)),0)</f>
        <v>0</v>
      </c>
      <c r="BC550">
        <f>IF(AND(AT550=1,ISNUMBER(AW550),BB550=1),$AW550,1)</f>
        <v>0</v>
      </c>
      <c r="BD550">
        <f>IF(AND(AU550=1,ISNUMBER(AW550),BB550=1),$AW550,1)</f>
        <v>0</v>
      </c>
      <c r="BE550">
        <f>IF(ISNUMBER(AB550),INDEX(AllCollegeILPub, MATCH(N550,AllCollegeNCES,0)),0)</f>
        <v>0</v>
      </c>
      <c r="BF550">
        <f>IF(AN550=ReachLabel,AS550,0)</f>
        <v>0</v>
      </c>
      <c r="BG550">
        <f>IF(AN550=MatchLabel,AS550,0)</f>
        <v>0</v>
      </c>
      <c r="BH550">
        <f>IF(AN550=SafetyLabel,AS550,0)</f>
        <v>0</v>
      </c>
      <c r="BI550">
        <f>IF(AN550=SecureLabel,AS550,0)</f>
        <v>0</v>
      </c>
      <c r="BJ550">
        <f>IF(AN550=SureThingLabel,AS550,0)</f>
        <v>0</v>
      </c>
      <c r="BK550">
        <f>MAX(BF550:BJ550)</f>
        <v>0</v>
      </c>
      <c r="BL550">
        <f>MAX(BG550:BJ550)</f>
        <v>0</v>
      </c>
      <c r="BM550">
        <f>MAX(BH550:BJ550)</f>
        <v>0</v>
      </c>
      <c r="BN550">
        <f>IF(AND(AN550=ReachLabel,BB550=1),AS550,0)</f>
        <v>0</v>
      </c>
      <c r="BO550">
        <f>IF(AND(AN550=MatchLabel,BB550=1),AS550,0)</f>
        <v>0</v>
      </c>
      <c r="BP550">
        <f>IF(AND(AN550=SafetyLabel,BB550=1),AS550,0)</f>
        <v>0</v>
      </c>
      <c r="BQ550">
        <f>IF(AND(AN550=SecureLabel,BB550=1),AS550,0)</f>
        <v>0</v>
      </c>
      <c r="BR550">
        <f>IF(AND(AN550=SureThingLabel,BB550=1),AS550,0)</f>
        <v>0</v>
      </c>
      <c r="BS550">
        <f>MAX(BN550:BR550)</f>
        <v>0</v>
      </c>
      <c r="BT550">
        <f>MAX(BO550:BR550)</f>
        <v>0</v>
      </c>
      <c r="BU550">
        <f>MAX(BP550:BR550)</f>
        <v>0</v>
      </c>
      <c r="BV550">
        <f>IF(ISNUMBER(AB550),INDEX(AllCollegeChicago, MATCH(N550,AllCollegeNCES,0))*BB550,0)</f>
        <v>0</v>
      </c>
      <c r="BW550">
        <f>IF(ISNUMBER(AB550),INDEX(AllCollegeMoneyCode, MATCH(N550,AllCollegeNCES,0)),"?")</f>
        <v>0</v>
      </c>
      <c r="BX550">
        <f>IF(OR(BW550="---",BW550="--",BW550="+/--",BW550="+/---"),1,0)</f>
        <v>0</v>
      </c>
      <c r="BY550">
        <f>BB550*AR550*AT550</f>
        <v>0</v>
      </c>
    </row>
    <row r="551" spans="1:77">
      <c r="A551" t="s">
        <v>96</v>
      </c>
      <c r="B551">
        <v>23478035</v>
      </c>
      <c r="C551" t="s">
        <v>249</v>
      </c>
      <c r="D551" t="s">
        <v>250</v>
      </c>
      <c r="E551" t="s">
        <v>446</v>
      </c>
      <c r="F551" t="s">
        <v>457</v>
      </c>
      <c r="G551" t="s">
        <v>448</v>
      </c>
      <c r="H551" t="s">
        <v>449</v>
      </c>
      <c r="I551" t="s">
        <v>450</v>
      </c>
      <c r="J551" t="s">
        <v>450</v>
      </c>
      <c r="K551">
        <v>0</v>
      </c>
      <c r="L551" t="s">
        <v>446</v>
      </c>
      <c r="M551" t="s">
        <v>446</v>
      </c>
      <c r="N551">
        <v>147703</v>
      </c>
      <c r="O551">
        <f>INDEX(Counselor,MATCH(B551,KidIDs,0))</f>
        <v>0</v>
      </c>
      <c r="P551">
        <f>INDEX(Advisors,MATCH(B551,KidIDs,0))</f>
        <v>0</v>
      </c>
      <c r="Q551">
        <f>INDEX(Cohort,MATCH(B551,KidIDs,0))</f>
        <v>0</v>
      </c>
      <c r="R551">
        <f>INDEX(AllCollegeBarrons,MATCH(N551,AllCollegeNCES,0))</f>
        <v>0</v>
      </c>
      <c r="S551">
        <f>INDEX(KidGPAs,MATCH(B551,KidIDs,0))</f>
        <v>0</v>
      </c>
      <c r="T551">
        <f>INDEX(KidSATs,MATCH(B551,KidIDs,0))</f>
        <v>0</v>
      </c>
      <c r="U551">
        <f>INDEX(Strats,MATCH(B551,KidIDs,0))</f>
        <v>0</v>
      </c>
      <c r="V551">
        <f>INDEX(KidRace,MATCH(B551,KidIDs,0))</f>
        <v>0</v>
      </c>
      <c r="W551">
        <f>IF(OR(V551="M",V551="I"),"H",IF(V551="P","A",V551))</f>
        <v>0</v>
      </c>
      <c r="X551">
        <f>INDEX(StudentTargets,MATCH(B551,KidIDs,0))</f>
        <v>0</v>
      </c>
      <c r="Y551">
        <f>INDEX(ReachStudentTargets,MATCH(B551,KidIDs,0))</f>
        <v>0</v>
      </c>
      <c r="Z551">
        <f>IF(OR(M551="Posse"),1,0)</f>
        <v>0</v>
      </c>
      <c r="AA551">
        <f>IF(ISNUMBER(INDEX(AllCollegeGR, MATCH(N551,AllCollegeNCES,0))),ROUND(INDEX(AllCollegeGR, MATCH(N551,AllCollegeNCES,0))+Z551*IF(INDEX(AllCollegeGR, MATCH(N551,AllCollegeNCES,0))&gt;0.7,(1-INDEX(AllCollegeGR, MATCH(N551,AllCollegeNCES,0)))/2,0.15),2),INDEX(AllCollegeGR, MATCH(N551,AllCollegeNCES,0)))</f>
        <v>0</v>
      </c>
      <c r="AB551">
        <f>IF(ISNUMBER(INDEX(AllCollegeAAHGR, MATCH(N551,AllCollegeNCES,0))),ROUND(INDEX(AllCollegeAAHGR, MATCH(N551,AllCollegeNCES,0))+Z551*IF(INDEX(AllCollegeAAHGR, MATCH(N551,AllCollegeNCES,0))&gt;0.7,(1-INDEX(AllCollegeAAHGR, MATCH(N551,AllCollegeNCES,0)))/2,0.15),2),INDEX(AllCollegeAAHGR, MATCH(N551,AllCollegeNCES,0)))</f>
        <v>0</v>
      </c>
      <c r="AC551">
        <f>IF(OR(W551="H",W551="B"),INDEX(AllCollegeSAT25, MATCH(N551,AllCollegeNCES,0)),INDEX(AllCollegeSAT50, MATCH(N551,AllCollegeNCES,0)))</f>
        <v>0</v>
      </c>
      <c r="AD551">
        <f>INDEX(CustomWeightsGPA,MATCH(W551&amp;":"&amp;N551,CustomWeightsIndex,0))</f>
        <v>0</v>
      </c>
      <c r="AE551">
        <f>INDEX(CustomWeightsSAT,MATCH(W551&amp;":"&amp;N551,CustomWeightsIndex,0))</f>
        <v>0</v>
      </c>
      <c r="AF551">
        <f>INDEX(CustomWeightsIntercept,MATCH(W551&amp;":"&amp;N551,CustomWeightsIndex,0))</f>
        <v>0</v>
      </c>
      <c r="AG551">
        <f>AD551*S551+AE551*T551+AF551</f>
        <v>0</v>
      </c>
      <c r="AH551">
        <f>INDEX(CoefficientsGPA,MATCH(W551&amp;":"&amp;R551,CoefficientsIndex,0))</f>
        <v>0</v>
      </c>
      <c r="AI551">
        <f>INDEX(CoefficientsSAT,MATCH(W551&amp;":"&amp;R551,CoefficientsIndex,0))</f>
        <v>0</v>
      </c>
      <c r="AJ551">
        <f>INDEX(CoefficientsIntercept,MATCH(W551&amp;":"&amp;R551,CoefficientsIndex,0))</f>
        <v>0</v>
      </c>
      <c r="AK551">
        <f>AH551*S551+(T551-AC551)*AI551+AJ551</f>
        <v>0</v>
      </c>
      <c r="AL551">
        <f>IF(ISNUMBER(AG551),AG551,AK551)</f>
        <v>0</v>
      </c>
      <c r="AM551">
        <f>IF(ISNUMBER(AL551),IF(ISNUMBER(AH551),IF(AND(AH551=1,AI551=1,AJ551=1),100,MIN(99,ROUND(100*EXP(AL551)/(1+EXP(AL551)),2))),MIN(99,ROUND(100*EXP(AL551)/(1+EXP(AL551)),2))),IF(ISTEXT(R551),IF(LEFT(R551,1)="2",100,"N/A"),"N/A"))</f>
        <v>0</v>
      </c>
      <c r="AN551">
        <f>IF(ISNUMBER(AM551),IF(AM551&gt;=99,IF(OR(U551=10,U551=11),MatchLabel,SureThingLabel),IF(AM551&gt;=95,SecureLabel,IF(AM551&gt;=80,SafetyLabel,IF(AM551&gt;=50,MatchLabel,IF(AM551&gt;=20,ReachLabel,IF(AM551&gt;=10,LongshotLabel,HailMaryLabel)))))),"Other")</f>
        <v>0</v>
      </c>
      <c r="AO551">
        <f>IF(OR(I551="accepted",I551="cond. accept",I551="summer admit"),IF(J551="yes","CHOICE!","Accepted!"),IF(I551="guar. transfer","Guar. Xfer",IF(I551="denied","Denied",IF(K551=1,"Waitlist",IF(L551=1,"Deferred",IF(G551="pending","Pending",IF(OR(G551="initial materials submitted",G551="mid-year submitted",G551="final submitted"),"Submitted",IF(H551="interest","Interest","?"))))))))</f>
        <v>0</v>
      </c>
      <c r="AP551">
        <f>IF(OR(AN551=ReachLabel,AN551=LongshotLabel,AN551=HailMaryLabel),1,0)</f>
        <v>0</v>
      </c>
      <c r="AQ551">
        <f>IF(OR(AP551=1,AN551=MatchLabel),1,0)</f>
        <v>0</v>
      </c>
      <c r="AR551">
        <f>IF(OR(AN551=MatchLabel,AN551=SafetyLabel,AN551=SecureLabel,AN551=SureThingLabel),1,0)</f>
        <v>0</v>
      </c>
      <c r="AS551">
        <f>IF(OR(W551="H",W551="B",W551="I",W551="M"),IF(ISNUMBER(AB551),ROUND(AB551,2),0),IF(ISNUMBER(AA551),ROUND(AA551,2),0))</f>
        <v>0</v>
      </c>
      <c r="AT551">
        <f>IF(AS551&gt;=X551,1,0)</f>
        <v>0</v>
      </c>
      <c r="AU551">
        <f>IF(AS551&gt;=Y551,1,0)</f>
        <v>0</v>
      </c>
      <c r="AV551">
        <f>IF(AS551&lt;(X551-0.10),1,0)</f>
        <v>0</v>
      </c>
      <c r="AW551">
        <f>1-AM551/100</f>
        <v>0</v>
      </c>
      <c r="AX551">
        <f>IF(AQ551=1,AW551,1)</f>
        <v>0</v>
      </c>
      <c r="AY551">
        <f>IF(AP551=1,AW551,1)</f>
        <v>0</v>
      </c>
      <c r="AZ551">
        <f>IF(AND(AT551=1,ISNUMBER(AW551)),$AW551,1)</f>
        <v>0</v>
      </c>
      <c r="BA551">
        <f>IF(AND(AU551=1,ISNUMBER(AW551)),$AW551,1)</f>
        <v>0</v>
      </c>
      <c r="BB551">
        <f>IF(ISNUMBER(AB551),INDEX(AllCollegeMoney, MATCH(N551,AllCollegeNCES,0)),0)</f>
        <v>0</v>
      </c>
      <c r="BC551">
        <f>IF(AND(AT551=1,ISNUMBER(AW551),BB551=1),$AW551,1)</f>
        <v>0</v>
      </c>
      <c r="BD551">
        <f>IF(AND(AU551=1,ISNUMBER(AW551),BB551=1),$AW551,1)</f>
        <v>0</v>
      </c>
      <c r="BE551">
        <f>IF(ISNUMBER(AB551),INDEX(AllCollegeILPub, MATCH(N551,AllCollegeNCES,0)),0)</f>
        <v>0</v>
      </c>
      <c r="BF551">
        <f>IF(AN551=ReachLabel,AS551,0)</f>
        <v>0</v>
      </c>
      <c r="BG551">
        <f>IF(AN551=MatchLabel,AS551,0)</f>
        <v>0</v>
      </c>
      <c r="BH551">
        <f>IF(AN551=SafetyLabel,AS551,0)</f>
        <v>0</v>
      </c>
      <c r="BI551">
        <f>IF(AN551=SecureLabel,AS551,0)</f>
        <v>0</v>
      </c>
      <c r="BJ551">
        <f>IF(AN551=SureThingLabel,AS551,0)</f>
        <v>0</v>
      </c>
      <c r="BK551">
        <f>MAX(BF551:BJ551)</f>
        <v>0</v>
      </c>
      <c r="BL551">
        <f>MAX(BG551:BJ551)</f>
        <v>0</v>
      </c>
      <c r="BM551">
        <f>MAX(BH551:BJ551)</f>
        <v>0</v>
      </c>
      <c r="BN551">
        <f>IF(AND(AN551=ReachLabel,BB551=1),AS551,0)</f>
        <v>0</v>
      </c>
      <c r="BO551">
        <f>IF(AND(AN551=MatchLabel,BB551=1),AS551,0)</f>
        <v>0</v>
      </c>
      <c r="BP551">
        <f>IF(AND(AN551=SafetyLabel,BB551=1),AS551,0)</f>
        <v>0</v>
      </c>
      <c r="BQ551">
        <f>IF(AND(AN551=SecureLabel,BB551=1),AS551,0)</f>
        <v>0</v>
      </c>
      <c r="BR551">
        <f>IF(AND(AN551=SureThingLabel,BB551=1),AS551,0)</f>
        <v>0</v>
      </c>
      <c r="BS551">
        <f>MAX(BN551:BR551)</f>
        <v>0</v>
      </c>
      <c r="BT551">
        <f>MAX(BO551:BR551)</f>
        <v>0</v>
      </c>
      <c r="BU551">
        <f>MAX(BP551:BR551)</f>
        <v>0</v>
      </c>
      <c r="BV551">
        <f>IF(ISNUMBER(AB551),INDEX(AllCollegeChicago, MATCH(N551,AllCollegeNCES,0))*BB551,0)</f>
        <v>0</v>
      </c>
      <c r="BW551">
        <f>IF(ISNUMBER(AB551),INDEX(AllCollegeMoneyCode, MATCH(N551,AllCollegeNCES,0)),"?")</f>
        <v>0</v>
      </c>
      <c r="BX551">
        <f>IF(OR(BW551="---",BW551="--",BW551="+/--",BW551="+/---"),1,0)</f>
        <v>0</v>
      </c>
      <c r="BY551">
        <f>BB551*AR551*AT551</f>
        <v>0</v>
      </c>
    </row>
    <row r="552" spans="1:77">
      <c r="A552" t="s">
        <v>96</v>
      </c>
      <c r="B552">
        <v>23478035</v>
      </c>
      <c r="C552" t="s">
        <v>249</v>
      </c>
      <c r="D552" t="s">
        <v>250</v>
      </c>
      <c r="E552" t="s">
        <v>446</v>
      </c>
      <c r="F552" t="s">
        <v>505</v>
      </c>
      <c r="G552" t="s">
        <v>448</v>
      </c>
      <c r="H552" t="s">
        <v>449</v>
      </c>
      <c r="I552" t="s">
        <v>450</v>
      </c>
      <c r="J552" t="s">
        <v>450</v>
      </c>
      <c r="K552">
        <v>0</v>
      </c>
      <c r="L552" t="s">
        <v>446</v>
      </c>
      <c r="M552" t="s">
        <v>446</v>
      </c>
      <c r="N552">
        <v>149231</v>
      </c>
      <c r="O552">
        <f>INDEX(Counselor,MATCH(B552,KidIDs,0))</f>
        <v>0</v>
      </c>
      <c r="P552">
        <f>INDEX(Advisors,MATCH(B552,KidIDs,0))</f>
        <v>0</v>
      </c>
      <c r="Q552">
        <f>INDEX(Cohort,MATCH(B552,KidIDs,0))</f>
        <v>0</v>
      </c>
      <c r="R552">
        <f>INDEX(AllCollegeBarrons,MATCH(N552,AllCollegeNCES,0))</f>
        <v>0</v>
      </c>
      <c r="S552">
        <f>INDEX(KidGPAs,MATCH(B552,KidIDs,0))</f>
        <v>0</v>
      </c>
      <c r="T552">
        <f>INDEX(KidSATs,MATCH(B552,KidIDs,0))</f>
        <v>0</v>
      </c>
      <c r="U552">
        <f>INDEX(Strats,MATCH(B552,KidIDs,0))</f>
        <v>0</v>
      </c>
      <c r="V552">
        <f>INDEX(KidRace,MATCH(B552,KidIDs,0))</f>
        <v>0</v>
      </c>
      <c r="W552">
        <f>IF(OR(V552="M",V552="I"),"H",IF(V552="P","A",V552))</f>
        <v>0</v>
      </c>
      <c r="X552">
        <f>INDEX(StudentTargets,MATCH(B552,KidIDs,0))</f>
        <v>0</v>
      </c>
      <c r="Y552">
        <f>INDEX(ReachStudentTargets,MATCH(B552,KidIDs,0))</f>
        <v>0</v>
      </c>
      <c r="Z552">
        <f>IF(OR(M552="Posse"),1,0)</f>
        <v>0</v>
      </c>
      <c r="AA552">
        <f>IF(ISNUMBER(INDEX(AllCollegeGR, MATCH(N552,AllCollegeNCES,0))),ROUND(INDEX(AllCollegeGR, MATCH(N552,AllCollegeNCES,0))+Z552*IF(INDEX(AllCollegeGR, MATCH(N552,AllCollegeNCES,0))&gt;0.7,(1-INDEX(AllCollegeGR, MATCH(N552,AllCollegeNCES,0)))/2,0.15),2),INDEX(AllCollegeGR, MATCH(N552,AllCollegeNCES,0)))</f>
        <v>0</v>
      </c>
      <c r="AB552">
        <f>IF(ISNUMBER(INDEX(AllCollegeAAHGR, MATCH(N552,AllCollegeNCES,0))),ROUND(INDEX(AllCollegeAAHGR, MATCH(N552,AllCollegeNCES,0))+Z552*IF(INDEX(AllCollegeAAHGR, MATCH(N552,AllCollegeNCES,0))&gt;0.7,(1-INDEX(AllCollegeAAHGR, MATCH(N552,AllCollegeNCES,0)))/2,0.15),2),INDEX(AllCollegeAAHGR, MATCH(N552,AllCollegeNCES,0)))</f>
        <v>0</v>
      </c>
      <c r="AC552">
        <f>IF(OR(W552="H",W552="B"),INDEX(AllCollegeSAT25, MATCH(N552,AllCollegeNCES,0)),INDEX(AllCollegeSAT50, MATCH(N552,AllCollegeNCES,0)))</f>
        <v>0</v>
      </c>
      <c r="AD552">
        <f>INDEX(CustomWeightsGPA,MATCH(W552&amp;":"&amp;N552,CustomWeightsIndex,0))</f>
        <v>0</v>
      </c>
      <c r="AE552">
        <f>INDEX(CustomWeightsSAT,MATCH(W552&amp;":"&amp;N552,CustomWeightsIndex,0))</f>
        <v>0</v>
      </c>
      <c r="AF552">
        <f>INDEX(CustomWeightsIntercept,MATCH(W552&amp;":"&amp;N552,CustomWeightsIndex,0))</f>
        <v>0</v>
      </c>
      <c r="AG552">
        <f>AD552*S552+AE552*T552+AF552</f>
        <v>0</v>
      </c>
      <c r="AH552">
        <f>INDEX(CoefficientsGPA,MATCH(W552&amp;":"&amp;R552,CoefficientsIndex,0))</f>
        <v>0</v>
      </c>
      <c r="AI552">
        <f>INDEX(CoefficientsSAT,MATCH(W552&amp;":"&amp;R552,CoefficientsIndex,0))</f>
        <v>0</v>
      </c>
      <c r="AJ552">
        <f>INDEX(CoefficientsIntercept,MATCH(W552&amp;":"&amp;R552,CoefficientsIndex,0))</f>
        <v>0</v>
      </c>
      <c r="AK552">
        <f>AH552*S552+(T552-AC552)*AI552+AJ552</f>
        <v>0</v>
      </c>
      <c r="AL552">
        <f>IF(ISNUMBER(AG552),AG552,AK552)</f>
        <v>0</v>
      </c>
      <c r="AM552">
        <f>IF(ISNUMBER(AL552),IF(ISNUMBER(AH552),IF(AND(AH552=1,AI552=1,AJ552=1),100,MIN(99,ROUND(100*EXP(AL552)/(1+EXP(AL552)),2))),MIN(99,ROUND(100*EXP(AL552)/(1+EXP(AL552)),2))),IF(ISTEXT(R552),IF(LEFT(R552,1)="2",100,"N/A"),"N/A"))</f>
        <v>0</v>
      </c>
      <c r="AN552">
        <f>IF(ISNUMBER(AM552),IF(AM552&gt;=99,IF(OR(U552=10,U552=11),MatchLabel,SureThingLabel),IF(AM552&gt;=95,SecureLabel,IF(AM552&gt;=80,SafetyLabel,IF(AM552&gt;=50,MatchLabel,IF(AM552&gt;=20,ReachLabel,IF(AM552&gt;=10,LongshotLabel,HailMaryLabel)))))),"Other")</f>
        <v>0</v>
      </c>
      <c r="AO552">
        <f>IF(OR(I552="accepted",I552="cond. accept",I552="summer admit"),IF(J552="yes","CHOICE!","Accepted!"),IF(I552="guar. transfer","Guar. Xfer",IF(I552="denied","Denied",IF(K552=1,"Waitlist",IF(L552=1,"Deferred",IF(G552="pending","Pending",IF(OR(G552="initial materials submitted",G552="mid-year submitted",G552="final submitted"),"Submitted",IF(H552="interest","Interest","?"))))))))</f>
        <v>0</v>
      </c>
      <c r="AP552">
        <f>IF(OR(AN552=ReachLabel,AN552=LongshotLabel,AN552=HailMaryLabel),1,0)</f>
        <v>0</v>
      </c>
      <c r="AQ552">
        <f>IF(OR(AP552=1,AN552=MatchLabel),1,0)</f>
        <v>0</v>
      </c>
      <c r="AR552">
        <f>IF(OR(AN552=MatchLabel,AN552=SafetyLabel,AN552=SecureLabel,AN552=SureThingLabel),1,0)</f>
        <v>0</v>
      </c>
      <c r="AS552">
        <f>IF(OR(W552="H",W552="B",W552="I",W552="M"),IF(ISNUMBER(AB552),ROUND(AB552,2),0),IF(ISNUMBER(AA552),ROUND(AA552,2),0))</f>
        <v>0</v>
      </c>
      <c r="AT552">
        <f>IF(AS552&gt;=X552,1,0)</f>
        <v>0</v>
      </c>
      <c r="AU552">
        <f>IF(AS552&gt;=Y552,1,0)</f>
        <v>0</v>
      </c>
      <c r="AV552">
        <f>IF(AS552&lt;(X552-0.10),1,0)</f>
        <v>0</v>
      </c>
      <c r="AW552">
        <f>1-AM552/100</f>
        <v>0</v>
      </c>
      <c r="AX552">
        <f>IF(AQ552=1,AW552,1)</f>
        <v>0</v>
      </c>
      <c r="AY552">
        <f>IF(AP552=1,AW552,1)</f>
        <v>0</v>
      </c>
      <c r="AZ552">
        <f>IF(AND(AT552=1,ISNUMBER(AW552)),$AW552,1)</f>
        <v>0</v>
      </c>
      <c r="BA552">
        <f>IF(AND(AU552=1,ISNUMBER(AW552)),$AW552,1)</f>
        <v>0</v>
      </c>
      <c r="BB552">
        <f>IF(ISNUMBER(AB552),INDEX(AllCollegeMoney, MATCH(N552,AllCollegeNCES,0)),0)</f>
        <v>0</v>
      </c>
      <c r="BC552">
        <f>IF(AND(AT552=1,ISNUMBER(AW552),BB552=1),$AW552,1)</f>
        <v>0</v>
      </c>
      <c r="BD552">
        <f>IF(AND(AU552=1,ISNUMBER(AW552),BB552=1),$AW552,1)</f>
        <v>0</v>
      </c>
      <c r="BE552">
        <f>IF(ISNUMBER(AB552),INDEX(AllCollegeILPub, MATCH(N552,AllCollegeNCES,0)),0)</f>
        <v>0</v>
      </c>
      <c r="BF552">
        <f>IF(AN552=ReachLabel,AS552,0)</f>
        <v>0</v>
      </c>
      <c r="BG552">
        <f>IF(AN552=MatchLabel,AS552,0)</f>
        <v>0</v>
      </c>
      <c r="BH552">
        <f>IF(AN552=SafetyLabel,AS552,0)</f>
        <v>0</v>
      </c>
      <c r="BI552">
        <f>IF(AN552=SecureLabel,AS552,0)</f>
        <v>0</v>
      </c>
      <c r="BJ552">
        <f>IF(AN552=SureThingLabel,AS552,0)</f>
        <v>0</v>
      </c>
      <c r="BK552">
        <f>MAX(BF552:BJ552)</f>
        <v>0</v>
      </c>
      <c r="BL552">
        <f>MAX(BG552:BJ552)</f>
        <v>0</v>
      </c>
      <c r="BM552">
        <f>MAX(BH552:BJ552)</f>
        <v>0</v>
      </c>
      <c r="BN552">
        <f>IF(AND(AN552=ReachLabel,BB552=1),AS552,0)</f>
        <v>0</v>
      </c>
      <c r="BO552">
        <f>IF(AND(AN552=MatchLabel,BB552=1),AS552,0)</f>
        <v>0</v>
      </c>
      <c r="BP552">
        <f>IF(AND(AN552=SafetyLabel,BB552=1),AS552,0)</f>
        <v>0</v>
      </c>
      <c r="BQ552">
        <f>IF(AND(AN552=SecureLabel,BB552=1),AS552,0)</f>
        <v>0</v>
      </c>
      <c r="BR552">
        <f>IF(AND(AN552=SureThingLabel,BB552=1),AS552,0)</f>
        <v>0</v>
      </c>
      <c r="BS552">
        <f>MAX(BN552:BR552)</f>
        <v>0</v>
      </c>
      <c r="BT552">
        <f>MAX(BO552:BR552)</f>
        <v>0</v>
      </c>
      <c r="BU552">
        <f>MAX(BP552:BR552)</f>
        <v>0</v>
      </c>
      <c r="BV552">
        <f>IF(ISNUMBER(AB552),INDEX(AllCollegeChicago, MATCH(N552,AllCollegeNCES,0))*BB552,0)</f>
        <v>0</v>
      </c>
      <c r="BW552">
        <f>IF(ISNUMBER(AB552),INDEX(AllCollegeMoneyCode, MATCH(N552,AllCollegeNCES,0)),"?")</f>
        <v>0</v>
      </c>
      <c r="BX552">
        <f>IF(OR(BW552="---",BW552="--",BW552="+/--",BW552="+/---"),1,0)</f>
        <v>0</v>
      </c>
      <c r="BY552">
        <f>BB552*AR552*AT552</f>
        <v>0</v>
      </c>
    </row>
    <row r="553" spans="1:77">
      <c r="A553" t="s">
        <v>96</v>
      </c>
      <c r="B553">
        <v>23478500</v>
      </c>
      <c r="C553" t="s">
        <v>127</v>
      </c>
      <c r="D553" t="s">
        <v>128</v>
      </c>
      <c r="E553" t="s">
        <v>446</v>
      </c>
      <c r="F553" t="s">
        <v>520</v>
      </c>
      <c r="G553" t="s">
        <v>448</v>
      </c>
      <c r="H553" t="s">
        <v>449</v>
      </c>
      <c r="I553" t="s">
        <v>450</v>
      </c>
      <c r="J553" t="s">
        <v>450</v>
      </c>
      <c r="K553">
        <v>0</v>
      </c>
      <c r="L553" t="s">
        <v>446</v>
      </c>
      <c r="M553" t="s">
        <v>446</v>
      </c>
      <c r="N553">
        <v>121345</v>
      </c>
      <c r="O553">
        <f>INDEX(Counselor,MATCH(B553,KidIDs,0))</f>
        <v>0</v>
      </c>
      <c r="P553">
        <f>INDEX(Advisors,MATCH(B553,KidIDs,0))</f>
        <v>0</v>
      </c>
      <c r="Q553">
        <f>INDEX(Cohort,MATCH(B553,KidIDs,0))</f>
        <v>0</v>
      </c>
      <c r="R553">
        <f>INDEX(AllCollegeBarrons,MATCH(N553,AllCollegeNCES,0))</f>
        <v>0</v>
      </c>
      <c r="S553">
        <f>INDEX(KidGPAs,MATCH(B553,KidIDs,0))</f>
        <v>0</v>
      </c>
      <c r="T553">
        <f>INDEX(KidSATs,MATCH(B553,KidIDs,0))</f>
        <v>0</v>
      </c>
      <c r="U553">
        <f>INDEX(Strats,MATCH(B553,KidIDs,0))</f>
        <v>0</v>
      </c>
      <c r="V553">
        <f>INDEX(KidRace,MATCH(B553,KidIDs,0))</f>
        <v>0</v>
      </c>
      <c r="W553">
        <f>IF(OR(V553="M",V553="I"),"H",IF(V553="P","A",V553))</f>
        <v>0</v>
      </c>
      <c r="X553">
        <f>INDEX(StudentTargets,MATCH(B553,KidIDs,0))</f>
        <v>0</v>
      </c>
      <c r="Y553">
        <f>INDEX(ReachStudentTargets,MATCH(B553,KidIDs,0))</f>
        <v>0</v>
      </c>
      <c r="Z553">
        <f>IF(OR(M553="Posse"),1,0)</f>
        <v>0</v>
      </c>
      <c r="AA553">
        <f>IF(ISNUMBER(INDEX(AllCollegeGR, MATCH(N553,AllCollegeNCES,0))),ROUND(INDEX(AllCollegeGR, MATCH(N553,AllCollegeNCES,0))+Z553*IF(INDEX(AllCollegeGR, MATCH(N553,AllCollegeNCES,0))&gt;0.7,(1-INDEX(AllCollegeGR, MATCH(N553,AllCollegeNCES,0)))/2,0.15),2),INDEX(AllCollegeGR, MATCH(N553,AllCollegeNCES,0)))</f>
        <v>0</v>
      </c>
      <c r="AB553">
        <f>IF(ISNUMBER(INDEX(AllCollegeAAHGR, MATCH(N553,AllCollegeNCES,0))),ROUND(INDEX(AllCollegeAAHGR, MATCH(N553,AllCollegeNCES,0))+Z553*IF(INDEX(AllCollegeAAHGR, MATCH(N553,AllCollegeNCES,0))&gt;0.7,(1-INDEX(AllCollegeAAHGR, MATCH(N553,AllCollegeNCES,0)))/2,0.15),2),INDEX(AllCollegeAAHGR, MATCH(N553,AllCollegeNCES,0)))</f>
        <v>0</v>
      </c>
      <c r="AC553">
        <f>IF(OR(W553="H",W553="B"),INDEX(AllCollegeSAT25, MATCH(N553,AllCollegeNCES,0)),INDEX(AllCollegeSAT50, MATCH(N553,AllCollegeNCES,0)))</f>
        <v>0</v>
      </c>
      <c r="AD553">
        <f>INDEX(CustomWeightsGPA,MATCH(W553&amp;":"&amp;N553,CustomWeightsIndex,0))</f>
        <v>0</v>
      </c>
      <c r="AE553">
        <f>INDEX(CustomWeightsSAT,MATCH(W553&amp;":"&amp;N553,CustomWeightsIndex,0))</f>
        <v>0</v>
      </c>
      <c r="AF553">
        <f>INDEX(CustomWeightsIntercept,MATCH(W553&amp;":"&amp;N553,CustomWeightsIndex,0))</f>
        <v>0</v>
      </c>
      <c r="AG553">
        <f>AD553*S553+AE553*T553+AF553</f>
        <v>0</v>
      </c>
      <c r="AH553">
        <f>INDEX(CoefficientsGPA,MATCH(W553&amp;":"&amp;R553,CoefficientsIndex,0))</f>
        <v>0</v>
      </c>
      <c r="AI553">
        <f>INDEX(CoefficientsSAT,MATCH(W553&amp;":"&amp;R553,CoefficientsIndex,0))</f>
        <v>0</v>
      </c>
      <c r="AJ553">
        <f>INDEX(CoefficientsIntercept,MATCH(W553&amp;":"&amp;R553,CoefficientsIndex,0))</f>
        <v>0</v>
      </c>
      <c r="AK553">
        <f>AH553*S553+(T553-AC553)*AI553+AJ553</f>
        <v>0</v>
      </c>
      <c r="AL553">
        <f>IF(ISNUMBER(AG553),AG553,AK553)</f>
        <v>0</v>
      </c>
      <c r="AM553">
        <f>IF(ISNUMBER(AL553),IF(ISNUMBER(AH553),IF(AND(AH553=1,AI553=1,AJ553=1),100,MIN(99,ROUND(100*EXP(AL553)/(1+EXP(AL553)),2))),MIN(99,ROUND(100*EXP(AL553)/(1+EXP(AL553)),2))),IF(ISTEXT(R553),IF(LEFT(R553,1)="2",100,"N/A"),"N/A"))</f>
        <v>0</v>
      </c>
      <c r="AN553">
        <f>IF(ISNUMBER(AM553),IF(AM553&gt;=99,IF(OR(U553=10,U553=11),MatchLabel,SureThingLabel),IF(AM553&gt;=95,SecureLabel,IF(AM553&gt;=80,SafetyLabel,IF(AM553&gt;=50,MatchLabel,IF(AM553&gt;=20,ReachLabel,IF(AM553&gt;=10,LongshotLabel,HailMaryLabel)))))),"Other")</f>
        <v>0</v>
      </c>
      <c r="AO553">
        <f>IF(OR(I553="accepted",I553="cond. accept",I553="summer admit"),IF(J553="yes","CHOICE!","Accepted!"),IF(I553="guar. transfer","Guar. Xfer",IF(I553="denied","Denied",IF(K553=1,"Waitlist",IF(L553=1,"Deferred",IF(G553="pending","Pending",IF(OR(G553="initial materials submitted",G553="mid-year submitted",G553="final submitted"),"Submitted",IF(H553="interest","Interest","?"))))))))</f>
        <v>0</v>
      </c>
      <c r="AP553">
        <f>IF(OR(AN553=ReachLabel,AN553=LongshotLabel,AN553=HailMaryLabel),1,0)</f>
        <v>0</v>
      </c>
      <c r="AQ553">
        <f>IF(OR(AP553=1,AN553=MatchLabel),1,0)</f>
        <v>0</v>
      </c>
      <c r="AR553">
        <f>IF(OR(AN553=MatchLabel,AN553=SafetyLabel,AN553=SecureLabel,AN553=SureThingLabel),1,0)</f>
        <v>0</v>
      </c>
      <c r="AS553">
        <f>IF(OR(W553="H",W553="B",W553="I",W553="M"),IF(ISNUMBER(AB553),ROUND(AB553,2),0),IF(ISNUMBER(AA553),ROUND(AA553,2),0))</f>
        <v>0</v>
      </c>
      <c r="AT553">
        <f>IF(AS553&gt;=X553,1,0)</f>
        <v>0</v>
      </c>
      <c r="AU553">
        <f>IF(AS553&gt;=Y553,1,0)</f>
        <v>0</v>
      </c>
      <c r="AV553">
        <f>IF(AS553&lt;(X553-0.10),1,0)</f>
        <v>0</v>
      </c>
      <c r="AW553">
        <f>1-AM553/100</f>
        <v>0</v>
      </c>
      <c r="AX553">
        <f>IF(AQ553=1,AW553,1)</f>
        <v>0</v>
      </c>
      <c r="AY553">
        <f>IF(AP553=1,AW553,1)</f>
        <v>0</v>
      </c>
      <c r="AZ553">
        <f>IF(AND(AT553=1,ISNUMBER(AW553)),$AW553,1)</f>
        <v>0</v>
      </c>
      <c r="BA553">
        <f>IF(AND(AU553=1,ISNUMBER(AW553)),$AW553,1)</f>
        <v>0</v>
      </c>
      <c r="BB553">
        <f>IF(ISNUMBER(AB553),INDEX(AllCollegeMoney, MATCH(N553,AllCollegeNCES,0)),0)</f>
        <v>0</v>
      </c>
      <c r="BC553">
        <f>IF(AND(AT553=1,ISNUMBER(AW553),BB553=1),$AW553,1)</f>
        <v>0</v>
      </c>
      <c r="BD553">
        <f>IF(AND(AU553=1,ISNUMBER(AW553),BB553=1),$AW553,1)</f>
        <v>0</v>
      </c>
      <c r="BE553">
        <f>IF(ISNUMBER(AB553),INDEX(AllCollegeILPub, MATCH(N553,AllCollegeNCES,0)),0)</f>
        <v>0</v>
      </c>
      <c r="BF553">
        <f>IF(AN553=ReachLabel,AS553,0)</f>
        <v>0</v>
      </c>
      <c r="BG553">
        <f>IF(AN553=MatchLabel,AS553,0)</f>
        <v>0</v>
      </c>
      <c r="BH553">
        <f>IF(AN553=SafetyLabel,AS553,0)</f>
        <v>0</v>
      </c>
      <c r="BI553">
        <f>IF(AN553=SecureLabel,AS553,0)</f>
        <v>0</v>
      </c>
      <c r="BJ553">
        <f>IF(AN553=SureThingLabel,AS553,0)</f>
        <v>0</v>
      </c>
      <c r="BK553">
        <f>MAX(BF553:BJ553)</f>
        <v>0</v>
      </c>
      <c r="BL553">
        <f>MAX(BG553:BJ553)</f>
        <v>0</v>
      </c>
      <c r="BM553">
        <f>MAX(BH553:BJ553)</f>
        <v>0</v>
      </c>
      <c r="BN553">
        <f>IF(AND(AN553=ReachLabel,BB553=1),AS553,0)</f>
        <v>0</v>
      </c>
      <c r="BO553">
        <f>IF(AND(AN553=MatchLabel,BB553=1),AS553,0)</f>
        <v>0</v>
      </c>
      <c r="BP553">
        <f>IF(AND(AN553=SafetyLabel,BB553=1),AS553,0)</f>
        <v>0</v>
      </c>
      <c r="BQ553">
        <f>IF(AND(AN553=SecureLabel,BB553=1),AS553,0)</f>
        <v>0</v>
      </c>
      <c r="BR553">
        <f>IF(AND(AN553=SureThingLabel,BB553=1),AS553,0)</f>
        <v>0</v>
      </c>
      <c r="BS553">
        <f>MAX(BN553:BR553)</f>
        <v>0</v>
      </c>
      <c r="BT553">
        <f>MAX(BO553:BR553)</f>
        <v>0</v>
      </c>
      <c r="BU553">
        <f>MAX(BP553:BR553)</f>
        <v>0</v>
      </c>
      <c r="BV553">
        <f>IF(ISNUMBER(AB553),INDEX(AllCollegeChicago, MATCH(N553,AllCollegeNCES,0))*BB553,0)</f>
        <v>0</v>
      </c>
      <c r="BW553">
        <f>IF(ISNUMBER(AB553),INDEX(AllCollegeMoneyCode, MATCH(N553,AllCollegeNCES,0)),"?")</f>
        <v>0</v>
      </c>
      <c r="BX553">
        <f>IF(OR(BW553="---",BW553="--",BW553="+/--",BW553="+/---"),1,0)</f>
        <v>0</v>
      </c>
      <c r="BY553">
        <f>BB553*AR553*AT553</f>
        <v>0</v>
      </c>
    </row>
    <row r="554" spans="1:77">
      <c r="A554" t="s">
        <v>96</v>
      </c>
      <c r="B554">
        <v>23478500</v>
      </c>
      <c r="C554" t="s">
        <v>127</v>
      </c>
      <c r="D554" t="s">
        <v>128</v>
      </c>
      <c r="E554" t="s">
        <v>446</v>
      </c>
      <c r="F554" t="s">
        <v>482</v>
      </c>
      <c r="G554" t="s">
        <v>448</v>
      </c>
      <c r="H554" t="s">
        <v>449</v>
      </c>
      <c r="I554" t="s">
        <v>450</v>
      </c>
      <c r="J554" t="s">
        <v>450</v>
      </c>
      <c r="K554">
        <v>0</v>
      </c>
      <c r="L554" t="s">
        <v>446</v>
      </c>
      <c r="M554" t="s">
        <v>446</v>
      </c>
      <c r="N554">
        <v>170976</v>
      </c>
      <c r="O554">
        <f>INDEX(Counselor,MATCH(B554,KidIDs,0))</f>
        <v>0</v>
      </c>
      <c r="P554">
        <f>INDEX(Advisors,MATCH(B554,KidIDs,0))</f>
        <v>0</v>
      </c>
      <c r="Q554">
        <f>INDEX(Cohort,MATCH(B554,KidIDs,0))</f>
        <v>0</v>
      </c>
      <c r="R554">
        <f>INDEX(AllCollegeBarrons,MATCH(N554,AllCollegeNCES,0))</f>
        <v>0</v>
      </c>
      <c r="S554">
        <f>INDEX(KidGPAs,MATCH(B554,KidIDs,0))</f>
        <v>0</v>
      </c>
      <c r="T554">
        <f>INDEX(KidSATs,MATCH(B554,KidIDs,0))</f>
        <v>0</v>
      </c>
      <c r="U554">
        <f>INDEX(Strats,MATCH(B554,KidIDs,0))</f>
        <v>0</v>
      </c>
      <c r="V554">
        <f>INDEX(KidRace,MATCH(B554,KidIDs,0))</f>
        <v>0</v>
      </c>
      <c r="W554">
        <f>IF(OR(V554="M",V554="I"),"H",IF(V554="P","A",V554))</f>
        <v>0</v>
      </c>
      <c r="X554">
        <f>INDEX(StudentTargets,MATCH(B554,KidIDs,0))</f>
        <v>0</v>
      </c>
      <c r="Y554">
        <f>INDEX(ReachStudentTargets,MATCH(B554,KidIDs,0))</f>
        <v>0</v>
      </c>
      <c r="Z554">
        <f>IF(OR(M554="Posse"),1,0)</f>
        <v>0</v>
      </c>
      <c r="AA554">
        <f>IF(ISNUMBER(INDEX(AllCollegeGR, MATCH(N554,AllCollegeNCES,0))),ROUND(INDEX(AllCollegeGR, MATCH(N554,AllCollegeNCES,0))+Z554*IF(INDEX(AllCollegeGR, MATCH(N554,AllCollegeNCES,0))&gt;0.7,(1-INDEX(AllCollegeGR, MATCH(N554,AllCollegeNCES,0)))/2,0.15),2),INDEX(AllCollegeGR, MATCH(N554,AllCollegeNCES,0)))</f>
        <v>0</v>
      </c>
      <c r="AB554">
        <f>IF(ISNUMBER(INDEX(AllCollegeAAHGR, MATCH(N554,AllCollegeNCES,0))),ROUND(INDEX(AllCollegeAAHGR, MATCH(N554,AllCollegeNCES,0))+Z554*IF(INDEX(AllCollegeAAHGR, MATCH(N554,AllCollegeNCES,0))&gt;0.7,(1-INDEX(AllCollegeAAHGR, MATCH(N554,AllCollegeNCES,0)))/2,0.15),2),INDEX(AllCollegeAAHGR, MATCH(N554,AllCollegeNCES,0)))</f>
        <v>0</v>
      </c>
      <c r="AC554">
        <f>IF(OR(W554="H",W554="B"),INDEX(AllCollegeSAT25, MATCH(N554,AllCollegeNCES,0)),INDEX(AllCollegeSAT50, MATCH(N554,AllCollegeNCES,0)))</f>
        <v>0</v>
      </c>
      <c r="AD554">
        <f>INDEX(CustomWeightsGPA,MATCH(W554&amp;":"&amp;N554,CustomWeightsIndex,0))</f>
        <v>0</v>
      </c>
      <c r="AE554">
        <f>INDEX(CustomWeightsSAT,MATCH(W554&amp;":"&amp;N554,CustomWeightsIndex,0))</f>
        <v>0</v>
      </c>
      <c r="AF554">
        <f>INDEX(CustomWeightsIntercept,MATCH(W554&amp;":"&amp;N554,CustomWeightsIndex,0))</f>
        <v>0</v>
      </c>
      <c r="AG554">
        <f>AD554*S554+AE554*T554+AF554</f>
        <v>0</v>
      </c>
      <c r="AH554">
        <f>INDEX(CoefficientsGPA,MATCH(W554&amp;":"&amp;R554,CoefficientsIndex,0))</f>
        <v>0</v>
      </c>
      <c r="AI554">
        <f>INDEX(CoefficientsSAT,MATCH(W554&amp;":"&amp;R554,CoefficientsIndex,0))</f>
        <v>0</v>
      </c>
      <c r="AJ554">
        <f>INDEX(CoefficientsIntercept,MATCH(W554&amp;":"&amp;R554,CoefficientsIndex,0))</f>
        <v>0</v>
      </c>
      <c r="AK554">
        <f>AH554*S554+(T554-AC554)*AI554+AJ554</f>
        <v>0</v>
      </c>
      <c r="AL554">
        <f>IF(ISNUMBER(AG554),AG554,AK554)</f>
        <v>0</v>
      </c>
      <c r="AM554">
        <f>IF(ISNUMBER(AL554),IF(ISNUMBER(AH554),IF(AND(AH554=1,AI554=1,AJ554=1),100,MIN(99,ROUND(100*EXP(AL554)/(1+EXP(AL554)),2))),MIN(99,ROUND(100*EXP(AL554)/(1+EXP(AL554)),2))),IF(ISTEXT(R554),IF(LEFT(R554,1)="2",100,"N/A"),"N/A"))</f>
        <v>0</v>
      </c>
      <c r="AN554">
        <f>IF(ISNUMBER(AM554),IF(AM554&gt;=99,IF(OR(U554=10,U554=11),MatchLabel,SureThingLabel),IF(AM554&gt;=95,SecureLabel,IF(AM554&gt;=80,SafetyLabel,IF(AM554&gt;=50,MatchLabel,IF(AM554&gt;=20,ReachLabel,IF(AM554&gt;=10,LongshotLabel,HailMaryLabel)))))),"Other")</f>
        <v>0</v>
      </c>
      <c r="AO554">
        <f>IF(OR(I554="accepted",I554="cond. accept",I554="summer admit"),IF(J554="yes","CHOICE!","Accepted!"),IF(I554="guar. transfer","Guar. Xfer",IF(I554="denied","Denied",IF(K554=1,"Waitlist",IF(L554=1,"Deferred",IF(G554="pending","Pending",IF(OR(G554="initial materials submitted",G554="mid-year submitted",G554="final submitted"),"Submitted",IF(H554="interest","Interest","?"))))))))</f>
        <v>0</v>
      </c>
      <c r="AP554">
        <f>IF(OR(AN554=ReachLabel,AN554=LongshotLabel,AN554=HailMaryLabel),1,0)</f>
        <v>0</v>
      </c>
      <c r="AQ554">
        <f>IF(OR(AP554=1,AN554=MatchLabel),1,0)</f>
        <v>0</v>
      </c>
      <c r="AR554">
        <f>IF(OR(AN554=MatchLabel,AN554=SafetyLabel,AN554=SecureLabel,AN554=SureThingLabel),1,0)</f>
        <v>0</v>
      </c>
      <c r="AS554">
        <f>IF(OR(W554="H",W554="B",W554="I",W554="M"),IF(ISNUMBER(AB554),ROUND(AB554,2),0),IF(ISNUMBER(AA554),ROUND(AA554,2),0))</f>
        <v>0</v>
      </c>
      <c r="AT554">
        <f>IF(AS554&gt;=X554,1,0)</f>
        <v>0</v>
      </c>
      <c r="AU554">
        <f>IF(AS554&gt;=Y554,1,0)</f>
        <v>0</v>
      </c>
      <c r="AV554">
        <f>IF(AS554&lt;(X554-0.10),1,0)</f>
        <v>0</v>
      </c>
      <c r="AW554">
        <f>1-AM554/100</f>
        <v>0</v>
      </c>
      <c r="AX554">
        <f>IF(AQ554=1,AW554,1)</f>
        <v>0</v>
      </c>
      <c r="AY554">
        <f>IF(AP554=1,AW554,1)</f>
        <v>0</v>
      </c>
      <c r="AZ554">
        <f>IF(AND(AT554=1,ISNUMBER(AW554)),$AW554,1)</f>
        <v>0</v>
      </c>
      <c r="BA554">
        <f>IF(AND(AU554=1,ISNUMBER(AW554)),$AW554,1)</f>
        <v>0</v>
      </c>
      <c r="BB554">
        <f>IF(ISNUMBER(AB554),INDEX(AllCollegeMoney, MATCH(N554,AllCollegeNCES,0)),0)</f>
        <v>0</v>
      </c>
      <c r="BC554">
        <f>IF(AND(AT554=1,ISNUMBER(AW554),BB554=1),$AW554,1)</f>
        <v>0</v>
      </c>
      <c r="BD554">
        <f>IF(AND(AU554=1,ISNUMBER(AW554),BB554=1),$AW554,1)</f>
        <v>0</v>
      </c>
      <c r="BE554">
        <f>IF(ISNUMBER(AB554),INDEX(AllCollegeILPub, MATCH(N554,AllCollegeNCES,0)),0)</f>
        <v>0</v>
      </c>
      <c r="BF554">
        <f>IF(AN554=ReachLabel,AS554,0)</f>
        <v>0</v>
      </c>
      <c r="BG554">
        <f>IF(AN554=MatchLabel,AS554,0)</f>
        <v>0</v>
      </c>
      <c r="BH554">
        <f>IF(AN554=SafetyLabel,AS554,0)</f>
        <v>0</v>
      </c>
      <c r="BI554">
        <f>IF(AN554=SecureLabel,AS554,0)</f>
        <v>0</v>
      </c>
      <c r="BJ554">
        <f>IF(AN554=SureThingLabel,AS554,0)</f>
        <v>0</v>
      </c>
      <c r="BK554">
        <f>MAX(BF554:BJ554)</f>
        <v>0</v>
      </c>
      <c r="BL554">
        <f>MAX(BG554:BJ554)</f>
        <v>0</v>
      </c>
      <c r="BM554">
        <f>MAX(BH554:BJ554)</f>
        <v>0</v>
      </c>
      <c r="BN554">
        <f>IF(AND(AN554=ReachLabel,BB554=1),AS554,0)</f>
        <v>0</v>
      </c>
      <c r="BO554">
        <f>IF(AND(AN554=MatchLabel,BB554=1),AS554,0)</f>
        <v>0</v>
      </c>
      <c r="BP554">
        <f>IF(AND(AN554=SafetyLabel,BB554=1),AS554,0)</f>
        <v>0</v>
      </c>
      <c r="BQ554">
        <f>IF(AND(AN554=SecureLabel,BB554=1),AS554,0)</f>
        <v>0</v>
      </c>
      <c r="BR554">
        <f>IF(AND(AN554=SureThingLabel,BB554=1),AS554,0)</f>
        <v>0</v>
      </c>
      <c r="BS554">
        <f>MAX(BN554:BR554)</f>
        <v>0</v>
      </c>
      <c r="BT554">
        <f>MAX(BO554:BR554)</f>
        <v>0</v>
      </c>
      <c r="BU554">
        <f>MAX(BP554:BR554)</f>
        <v>0</v>
      </c>
      <c r="BV554">
        <f>IF(ISNUMBER(AB554),INDEX(AllCollegeChicago, MATCH(N554,AllCollegeNCES,0))*BB554,0)</f>
        <v>0</v>
      </c>
      <c r="BW554">
        <f>IF(ISNUMBER(AB554),INDEX(AllCollegeMoneyCode, MATCH(N554,AllCollegeNCES,0)),"?")</f>
        <v>0</v>
      </c>
      <c r="BX554">
        <f>IF(OR(BW554="---",BW554="--",BW554="+/--",BW554="+/---"),1,0)</f>
        <v>0</v>
      </c>
      <c r="BY554">
        <f>BB554*AR554*AT554</f>
        <v>0</v>
      </c>
    </row>
    <row r="555" spans="1:77">
      <c r="A555" t="s">
        <v>96</v>
      </c>
      <c r="B555">
        <v>23478500</v>
      </c>
      <c r="C555" t="s">
        <v>127</v>
      </c>
      <c r="D555" t="s">
        <v>128</v>
      </c>
      <c r="E555" t="s">
        <v>446</v>
      </c>
      <c r="F555" t="s">
        <v>582</v>
      </c>
      <c r="G555" t="s">
        <v>448</v>
      </c>
      <c r="H555" t="s">
        <v>449</v>
      </c>
      <c r="I555" t="s">
        <v>450</v>
      </c>
      <c r="J555" t="s">
        <v>450</v>
      </c>
      <c r="K555">
        <v>0</v>
      </c>
      <c r="L555" t="s">
        <v>446</v>
      </c>
      <c r="M555" t="s">
        <v>446</v>
      </c>
      <c r="N555">
        <v>167835</v>
      </c>
      <c r="O555">
        <f>INDEX(Counselor,MATCH(B555,KidIDs,0))</f>
        <v>0</v>
      </c>
      <c r="P555">
        <f>INDEX(Advisors,MATCH(B555,KidIDs,0))</f>
        <v>0</v>
      </c>
      <c r="Q555">
        <f>INDEX(Cohort,MATCH(B555,KidIDs,0))</f>
        <v>0</v>
      </c>
      <c r="R555">
        <f>INDEX(AllCollegeBarrons,MATCH(N555,AllCollegeNCES,0))</f>
        <v>0</v>
      </c>
      <c r="S555">
        <f>INDEX(KidGPAs,MATCH(B555,KidIDs,0))</f>
        <v>0</v>
      </c>
      <c r="T555">
        <f>INDEX(KidSATs,MATCH(B555,KidIDs,0))</f>
        <v>0</v>
      </c>
      <c r="U555">
        <f>INDEX(Strats,MATCH(B555,KidIDs,0))</f>
        <v>0</v>
      </c>
      <c r="V555">
        <f>INDEX(KidRace,MATCH(B555,KidIDs,0))</f>
        <v>0</v>
      </c>
      <c r="W555">
        <f>IF(OR(V555="M",V555="I"),"H",IF(V555="P","A",V555))</f>
        <v>0</v>
      </c>
      <c r="X555">
        <f>INDEX(StudentTargets,MATCH(B555,KidIDs,0))</f>
        <v>0</v>
      </c>
      <c r="Y555">
        <f>INDEX(ReachStudentTargets,MATCH(B555,KidIDs,0))</f>
        <v>0</v>
      </c>
      <c r="Z555">
        <f>IF(OR(M555="Posse"),1,0)</f>
        <v>0</v>
      </c>
      <c r="AA555">
        <f>IF(ISNUMBER(INDEX(AllCollegeGR, MATCH(N555,AllCollegeNCES,0))),ROUND(INDEX(AllCollegeGR, MATCH(N555,AllCollegeNCES,0))+Z555*IF(INDEX(AllCollegeGR, MATCH(N555,AllCollegeNCES,0))&gt;0.7,(1-INDEX(AllCollegeGR, MATCH(N555,AllCollegeNCES,0)))/2,0.15),2),INDEX(AllCollegeGR, MATCH(N555,AllCollegeNCES,0)))</f>
        <v>0</v>
      </c>
      <c r="AB555">
        <f>IF(ISNUMBER(INDEX(AllCollegeAAHGR, MATCH(N555,AllCollegeNCES,0))),ROUND(INDEX(AllCollegeAAHGR, MATCH(N555,AllCollegeNCES,0))+Z555*IF(INDEX(AllCollegeAAHGR, MATCH(N555,AllCollegeNCES,0))&gt;0.7,(1-INDEX(AllCollegeAAHGR, MATCH(N555,AllCollegeNCES,0)))/2,0.15),2),INDEX(AllCollegeAAHGR, MATCH(N555,AllCollegeNCES,0)))</f>
        <v>0</v>
      </c>
      <c r="AC555">
        <f>IF(OR(W555="H",W555="B"),INDEX(AllCollegeSAT25, MATCH(N555,AllCollegeNCES,0)),INDEX(AllCollegeSAT50, MATCH(N555,AllCollegeNCES,0)))</f>
        <v>0</v>
      </c>
      <c r="AD555">
        <f>INDEX(CustomWeightsGPA,MATCH(W555&amp;":"&amp;N555,CustomWeightsIndex,0))</f>
        <v>0</v>
      </c>
      <c r="AE555">
        <f>INDEX(CustomWeightsSAT,MATCH(W555&amp;":"&amp;N555,CustomWeightsIndex,0))</f>
        <v>0</v>
      </c>
      <c r="AF555">
        <f>INDEX(CustomWeightsIntercept,MATCH(W555&amp;":"&amp;N555,CustomWeightsIndex,0))</f>
        <v>0</v>
      </c>
      <c r="AG555">
        <f>AD555*S555+AE555*T555+AF555</f>
        <v>0</v>
      </c>
      <c r="AH555">
        <f>INDEX(CoefficientsGPA,MATCH(W555&amp;":"&amp;R555,CoefficientsIndex,0))</f>
        <v>0</v>
      </c>
      <c r="AI555">
        <f>INDEX(CoefficientsSAT,MATCH(W555&amp;":"&amp;R555,CoefficientsIndex,0))</f>
        <v>0</v>
      </c>
      <c r="AJ555">
        <f>INDEX(CoefficientsIntercept,MATCH(W555&amp;":"&amp;R555,CoefficientsIndex,0))</f>
        <v>0</v>
      </c>
      <c r="AK555">
        <f>AH555*S555+(T555-AC555)*AI555+AJ555</f>
        <v>0</v>
      </c>
      <c r="AL555">
        <f>IF(ISNUMBER(AG555),AG555,AK555)</f>
        <v>0</v>
      </c>
      <c r="AM555">
        <f>IF(ISNUMBER(AL555),IF(ISNUMBER(AH555),IF(AND(AH555=1,AI555=1,AJ555=1),100,MIN(99,ROUND(100*EXP(AL555)/(1+EXP(AL555)),2))),MIN(99,ROUND(100*EXP(AL555)/(1+EXP(AL555)),2))),IF(ISTEXT(R555),IF(LEFT(R555,1)="2",100,"N/A"),"N/A"))</f>
        <v>0</v>
      </c>
      <c r="AN555">
        <f>IF(ISNUMBER(AM555),IF(AM555&gt;=99,IF(OR(U555=10,U555=11),MatchLabel,SureThingLabel),IF(AM555&gt;=95,SecureLabel,IF(AM555&gt;=80,SafetyLabel,IF(AM555&gt;=50,MatchLabel,IF(AM555&gt;=20,ReachLabel,IF(AM555&gt;=10,LongshotLabel,HailMaryLabel)))))),"Other")</f>
        <v>0</v>
      </c>
      <c r="AO555">
        <f>IF(OR(I555="accepted",I555="cond. accept",I555="summer admit"),IF(J555="yes","CHOICE!","Accepted!"),IF(I555="guar. transfer","Guar. Xfer",IF(I555="denied","Denied",IF(K555=1,"Waitlist",IF(L555=1,"Deferred",IF(G555="pending","Pending",IF(OR(G555="initial materials submitted",G555="mid-year submitted",G555="final submitted"),"Submitted",IF(H555="interest","Interest","?"))))))))</f>
        <v>0</v>
      </c>
      <c r="AP555">
        <f>IF(OR(AN555=ReachLabel,AN555=LongshotLabel,AN555=HailMaryLabel),1,0)</f>
        <v>0</v>
      </c>
      <c r="AQ555">
        <f>IF(OR(AP555=1,AN555=MatchLabel),1,0)</f>
        <v>0</v>
      </c>
      <c r="AR555">
        <f>IF(OR(AN555=MatchLabel,AN555=SafetyLabel,AN555=SecureLabel,AN555=SureThingLabel),1,0)</f>
        <v>0</v>
      </c>
      <c r="AS555">
        <f>IF(OR(W555="H",W555="B",W555="I",W555="M"),IF(ISNUMBER(AB555),ROUND(AB555,2),0),IF(ISNUMBER(AA555),ROUND(AA555,2),0))</f>
        <v>0</v>
      </c>
      <c r="AT555">
        <f>IF(AS555&gt;=X555,1,0)</f>
        <v>0</v>
      </c>
      <c r="AU555">
        <f>IF(AS555&gt;=Y555,1,0)</f>
        <v>0</v>
      </c>
      <c r="AV555">
        <f>IF(AS555&lt;(X555-0.10),1,0)</f>
        <v>0</v>
      </c>
      <c r="AW555">
        <f>1-AM555/100</f>
        <v>0</v>
      </c>
      <c r="AX555">
        <f>IF(AQ555=1,AW555,1)</f>
        <v>0</v>
      </c>
      <c r="AY555">
        <f>IF(AP555=1,AW555,1)</f>
        <v>0</v>
      </c>
      <c r="AZ555">
        <f>IF(AND(AT555=1,ISNUMBER(AW555)),$AW555,1)</f>
        <v>0</v>
      </c>
      <c r="BA555">
        <f>IF(AND(AU555=1,ISNUMBER(AW555)),$AW555,1)</f>
        <v>0</v>
      </c>
      <c r="BB555">
        <f>IF(ISNUMBER(AB555),INDEX(AllCollegeMoney, MATCH(N555,AllCollegeNCES,0)),0)</f>
        <v>0</v>
      </c>
      <c r="BC555">
        <f>IF(AND(AT555=1,ISNUMBER(AW555),BB555=1),$AW555,1)</f>
        <v>0</v>
      </c>
      <c r="BD555">
        <f>IF(AND(AU555=1,ISNUMBER(AW555),BB555=1),$AW555,1)</f>
        <v>0</v>
      </c>
      <c r="BE555">
        <f>IF(ISNUMBER(AB555),INDEX(AllCollegeILPub, MATCH(N555,AllCollegeNCES,0)),0)</f>
        <v>0</v>
      </c>
      <c r="BF555">
        <f>IF(AN555=ReachLabel,AS555,0)</f>
        <v>0</v>
      </c>
      <c r="BG555">
        <f>IF(AN555=MatchLabel,AS555,0)</f>
        <v>0</v>
      </c>
      <c r="BH555">
        <f>IF(AN555=SafetyLabel,AS555,0)</f>
        <v>0</v>
      </c>
      <c r="BI555">
        <f>IF(AN555=SecureLabel,AS555,0)</f>
        <v>0</v>
      </c>
      <c r="BJ555">
        <f>IF(AN555=SureThingLabel,AS555,0)</f>
        <v>0</v>
      </c>
      <c r="BK555">
        <f>MAX(BF555:BJ555)</f>
        <v>0</v>
      </c>
      <c r="BL555">
        <f>MAX(BG555:BJ555)</f>
        <v>0</v>
      </c>
      <c r="BM555">
        <f>MAX(BH555:BJ555)</f>
        <v>0</v>
      </c>
      <c r="BN555">
        <f>IF(AND(AN555=ReachLabel,BB555=1),AS555,0)</f>
        <v>0</v>
      </c>
      <c r="BO555">
        <f>IF(AND(AN555=MatchLabel,BB555=1),AS555,0)</f>
        <v>0</v>
      </c>
      <c r="BP555">
        <f>IF(AND(AN555=SafetyLabel,BB555=1),AS555,0)</f>
        <v>0</v>
      </c>
      <c r="BQ555">
        <f>IF(AND(AN555=SecureLabel,BB555=1),AS555,0)</f>
        <v>0</v>
      </c>
      <c r="BR555">
        <f>IF(AND(AN555=SureThingLabel,BB555=1),AS555,0)</f>
        <v>0</v>
      </c>
      <c r="BS555">
        <f>MAX(BN555:BR555)</f>
        <v>0</v>
      </c>
      <c r="BT555">
        <f>MAX(BO555:BR555)</f>
        <v>0</v>
      </c>
      <c r="BU555">
        <f>MAX(BP555:BR555)</f>
        <v>0</v>
      </c>
      <c r="BV555">
        <f>IF(ISNUMBER(AB555),INDEX(AllCollegeChicago, MATCH(N555,AllCollegeNCES,0))*BB555,0)</f>
        <v>0</v>
      </c>
      <c r="BW555">
        <f>IF(ISNUMBER(AB555),INDEX(AllCollegeMoneyCode, MATCH(N555,AllCollegeNCES,0)),"?")</f>
        <v>0</v>
      </c>
      <c r="BX555">
        <f>IF(OR(BW555="---",BW555="--",BW555="+/--",BW555="+/---"),1,0)</f>
        <v>0</v>
      </c>
      <c r="BY555">
        <f>BB555*AR555*AT555</f>
        <v>0</v>
      </c>
    </row>
    <row r="556" spans="1:77">
      <c r="A556" t="s">
        <v>96</v>
      </c>
      <c r="B556">
        <v>23478500</v>
      </c>
      <c r="C556" t="s">
        <v>127</v>
      </c>
      <c r="D556" t="s">
        <v>128</v>
      </c>
      <c r="E556" t="s">
        <v>446</v>
      </c>
      <c r="F556" t="s">
        <v>511</v>
      </c>
      <c r="G556" t="s">
        <v>448</v>
      </c>
      <c r="H556" t="s">
        <v>449</v>
      </c>
      <c r="I556" t="s">
        <v>450</v>
      </c>
      <c r="J556" t="s">
        <v>450</v>
      </c>
      <c r="K556">
        <v>0</v>
      </c>
      <c r="L556" t="s">
        <v>446</v>
      </c>
      <c r="M556" t="s">
        <v>446</v>
      </c>
      <c r="N556">
        <v>216597</v>
      </c>
      <c r="O556">
        <f>INDEX(Counselor,MATCH(B556,KidIDs,0))</f>
        <v>0</v>
      </c>
      <c r="P556">
        <f>INDEX(Advisors,MATCH(B556,KidIDs,0))</f>
        <v>0</v>
      </c>
      <c r="Q556">
        <f>INDEX(Cohort,MATCH(B556,KidIDs,0))</f>
        <v>0</v>
      </c>
      <c r="R556">
        <f>INDEX(AllCollegeBarrons,MATCH(N556,AllCollegeNCES,0))</f>
        <v>0</v>
      </c>
      <c r="S556">
        <f>INDEX(KidGPAs,MATCH(B556,KidIDs,0))</f>
        <v>0</v>
      </c>
      <c r="T556">
        <f>INDEX(KidSATs,MATCH(B556,KidIDs,0))</f>
        <v>0</v>
      </c>
      <c r="U556">
        <f>INDEX(Strats,MATCH(B556,KidIDs,0))</f>
        <v>0</v>
      </c>
      <c r="V556">
        <f>INDEX(KidRace,MATCH(B556,KidIDs,0))</f>
        <v>0</v>
      </c>
      <c r="W556">
        <f>IF(OR(V556="M",V556="I"),"H",IF(V556="P","A",V556))</f>
        <v>0</v>
      </c>
      <c r="X556">
        <f>INDEX(StudentTargets,MATCH(B556,KidIDs,0))</f>
        <v>0</v>
      </c>
      <c r="Y556">
        <f>INDEX(ReachStudentTargets,MATCH(B556,KidIDs,0))</f>
        <v>0</v>
      </c>
      <c r="Z556">
        <f>IF(OR(M556="Posse"),1,0)</f>
        <v>0</v>
      </c>
      <c r="AA556">
        <f>IF(ISNUMBER(INDEX(AllCollegeGR, MATCH(N556,AllCollegeNCES,0))),ROUND(INDEX(AllCollegeGR, MATCH(N556,AllCollegeNCES,0))+Z556*IF(INDEX(AllCollegeGR, MATCH(N556,AllCollegeNCES,0))&gt;0.7,(1-INDEX(AllCollegeGR, MATCH(N556,AllCollegeNCES,0)))/2,0.15),2),INDEX(AllCollegeGR, MATCH(N556,AllCollegeNCES,0)))</f>
        <v>0</v>
      </c>
      <c r="AB556">
        <f>IF(ISNUMBER(INDEX(AllCollegeAAHGR, MATCH(N556,AllCollegeNCES,0))),ROUND(INDEX(AllCollegeAAHGR, MATCH(N556,AllCollegeNCES,0))+Z556*IF(INDEX(AllCollegeAAHGR, MATCH(N556,AllCollegeNCES,0))&gt;0.7,(1-INDEX(AllCollegeAAHGR, MATCH(N556,AllCollegeNCES,0)))/2,0.15),2),INDEX(AllCollegeAAHGR, MATCH(N556,AllCollegeNCES,0)))</f>
        <v>0</v>
      </c>
      <c r="AC556">
        <f>IF(OR(W556="H",W556="B"),INDEX(AllCollegeSAT25, MATCH(N556,AllCollegeNCES,0)),INDEX(AllCollegeSAT50, MATCH(N556,AllCollegeNCES,0)))</f>
        <v>0</v>
      </c>
      <c r="AD556">
        <f>INDEX(CustomWeightsGPA,MATCH(W556&amp;":"&amp;N556,CustomWeightsIndex,0))</f>
        <v>0</v>
      </c>
      <c r="AE556">
        <f>INDEX(CustomWeightsSAT,MATCH(W556&amp;":"&amp;N556,CustomWeightsIndex,0))</f>
        <v>0</v>
      </c>
      <c r="AF556">
        <f>INDEX(CustomWeightsIntercept,MATCH(W556&amp;":"&amp;N556,CustomWeightsIndex,0))</f>
        <v>0</v>
      </c>
      <c r="AG556">
        <f>AD556*S556+AE556*T556+AF556</f>
        <v>0</v>
      </c>
      <c r="AH556">
        <f>INDEX(CoefficientsGPA,MATCH(W556&amp;":"&amp;R556,CoefficientsIndex,0))</f>
        <v>0</v>
      </c>
      <c r="AI556">
        <f>INDEX(CoefficientsSAT,MATCH(W556&amp;":"&amp;R556,CoefficientsIndex,0))</f>
        <v>0</v>
      </c>
      <c r="AJ556">
        <f>INDEX(CoefficientsIntercept,MATCH(W556&amp;":"&amp;R556,CoefficientsIndex,0))</f>
        <v>0</v>
      </c>
      <c r="AK556">
        <f>AH556*S556+(T556-AC556)*AI556+AJ556</f>
        <v>0</v>
      </c>
      <c r="AL556">
        <f>IF(ISNUMBER(AG556),AG556,AK556)</f>
        <v>0</v>
      </c>
      <c r="AM556">
        <f>IF(ISNUMBER(AL556),IF(ISNUMBER(AH556),IF(AND(AH556=1,AI556=1,AJ556=1),100,MIN(99,ROUND(100*EXP(AL556)/(1+EXP(AL556)),2))),MIN(99,ROUND(100*EXP(AL556)/(1+EXP(AL556)),2))),IF(ISTEXT(R556),IF(LEFT(R556,1)="2",100,"N/A"),"N/A"))</f>
        <v>0</v>
      </c>
      <c r="AN556">
        <f>IF(ISNUMBER(AM556),IF(AM556&gt;=99,IF(OR(U556=10,U556=11),MatchLabel,SureThingLabel),IF(AM556&gt;=95,SecureLabel,IF(AM556&gt;=80,SafetyLabel,IF(AM556&gt;=50,MatchLabel,IF(AM556&gt;=20,ReachLabel,IF(AM556&gt;=10,LongshotLabel,HailMaryLabel)))))),"Other")</f>
        <v>0</v>
      </c>
      <c r="AO556">
        <f>IF(OR(I556="accepted",I556="cond. accept",I556="summer admit"),IF(J556="yes","CHOICE!","Accepted!"),IF(I556="guar. transfer","Guar. Xfer",IF(I556="denied","Denied",IF(K556=1,"Waitlist",IF(L556=1,"Deferred",IF(G556="pending","Pending",IF(OR(G556="initial materials submitted",G556="mid-year submitted",G556="final submitted"),"Submitted",IF(H556="interest","Interest","?"))))))))</f>
        <v>0</v>
      </c>
      <c r="AP556">
        <f>IF(OR(AN556=ReachLabel,AN556=LongshotLabel,AN556=HailMaryLabel),1,0)</f>
        <v>0</v>
      </c>
      <c r="AQ556">
        <f>IF(OR(AP556=1,AN556=MatchLabel),1,0)</f>
        <v>0</v>
      </c>
      <c r="AR556">
        <f>IF(OR(AN556=MatchLabel,AN556=SafetyLabel,AN556=SecureLabel,AN556=SureThingLabel),1,0)</f>
        <v>0</v>
      </c>
      <c r="AS556">
        <f>IF(OR(W556="H",W556="B",W556="I",W556="M"),IF(ISNUMBER(AB556),ROUND(AB556,2),0),IF(ISNUMBER(AA556),ROUND(AA556,2),0))</f>
        <v>0</v>
      </c>
      <c r="AT556">
        <f>IF(AS556&gt;=X556,1,0)</f>
        <v>0</v>
      </c>
      <c r="AU556">
        <f>IF(AS556&gt;=Y556,1,0)</f>
        <v>0</v>
      </c>
      <c r="AV556">
        <f>IF(AS556&lt;(X556-0.10),1,0)</f>
        <v>0</v>
      </c>
      <c r="AW556">
        <f>1-AM556/100</f>
        <v>0</v>
      </c>
      <c r="AX556">
        <f>IF(AQ556=1,AW556,1)</f>
        <v>0</v>
      </c>
      <c r="AY556">
        <f>IF(AP556=1,AW556,1)</f>
        <v>0</v>
      </c>
      <c r="AZ556">
        <f>IF(AND(AT556=1,ISNUMBER(AW556)),$AW556,1)</f>
        <v>0</v>
      </c>
      <c r="BA556">
        <f>IF(AND(AU556=1,ISNUMBER(AW556)),$AW556,1)</f>
        <v>0</v>
      </c>
      <c r="BB556">
        <f>IF(ISNUMBER(AB556),INDEX(AllCollegeMoney, MATCH(N556,AllCollegeNCES,0)),0)</f>
        <v>0</v>
      </c>
      <c r="BC556">
        <f>IF(AND(AT556=1,ISNUMBER(AW556),BB556=1),$AW556,1)</f>
        <v>0</v>
      </c>
      <c r="BD556">
        <f>IF(AND(AU556=1,ISNUMBER(AW556),BB556=1),$AW556,1)</f>
        <v>0</v>
      </c>
      <c r="BE556">
        <f>IF(ISNUMBER(AB556),INDEX(AllCollegeILPub, MATCH(N556,AllCollegeNCES,0)),0)</f>
        <v>0</v>
      </c>
      <c r="BF556">
        <f>IF(AN556=ReachLabel,AS556,0)</f>
        <v>0</v>
      </c>
      <c r="BG556">
        <f>IF(AN556=MatchLabel,AS556,0)</f>
        <v>0</v>
      </c>
      <c r="BH556">
        <f>IF(AN556=SafetyLabel,AS556,0)</f>
        <v>0</v>
      </c>
      <c r="BI556">
        <f>IF(AN556=SecureLabel,AS556,0)</f>
        <v>0</v>
      </c>
      <c r="BJ556">
        <f>IF(AN556=SureThingLabel,AS556,0)</f>
        <v>0</v>
      </c>
      <c r="BK556">
        <f>MAX(BF556:BJ556)</f>
        <v>0</v>
      </c>
      <c r="BL556">
        <f>MAX(BG556:BJ556)</f>
        <v>0</v>
      </c>
      <c r="BM556">
        <f>MAX(BH556:BJ556)</f>
        <v>0</v>
      </c>
      <c r="BN556">
        <f>IF(AND(AN556=ReachLabel,BB556=1),AS556,0)</f>
        <v>0</v>
      </c>
      <c r="BO556">
        <f>IF(AND(AN556=MatchLabel,BB556=1),AS556,0)</f>
        <v>0</v>
      </c>
      <c r="BP556">
        <f>IF(AND(AN556=SafetyLabel,BB556=1),AS556,0)</f>
        <v>0</v>
      </c>
      <c r="BQ556">
        <f>IF(AND(AN556=SecureLabel,BB556=1),AS556,0)</f>
        <v>0</v>
      </c>
      <c r="BR556">
        <f>IF(AND(AN556=SureThingLabel,BB556=1),AS556,0)</f>
        <v>0</v>
      </c>
      <c r="BS556">
        <f>MAX(BN556:BR556)</f>
        <v>0</v>
      </c>
      <c r="BT556">
        <f>MAX(BO556:BR556)</f>
        <v>0</v>
      </c>
      <c r="BU556">
        <f>MAX(BP556:BR556)</f>
        <v>0</v>
      </c>
      <c r="BV556">
        <f>IF(ISNUMBER(AB556),INDEX(AllCollegeChicago, MATCH(N556,AllCollegeNCES,0))*BB556,0)</f>
        <v>0</v>
      </c>
      <c r="BW556">
        <f>IF(ISNUMBER(AB556),INDEX(AllCollegeMoneyCode, MATCH(N556,AllCollegeNCES,0)),"?")</f>
        <v>0</v>
      </c>
      <c r="BX556">
        <f>IF(OR(BW556="---",BW556="--",BW556="+/--",BW556="+/---"),1,0)</f>
        <v>0</v>
      </c>
      <c r="BY556">
        <f>BB556*AR556*AT556</f>
        <v>0</v>
      </c>
    </row>
    <row r="557" spans="1:77">
      <c r="A557" t="s">
        <v>96</v>
      </c>
      <c r="B557">
        <v>23478500</v>
      </c>
      <c r="C557" t="s">
        <v>127</v>
      </c>
      <c r="D557" t="s">
        <v>128</v>
      </c>
      <c r="E557" t="s">
        <v>446</v>
      </c>
      <c r="F557" t="s">
        <v>583</v>
      </c>
      <c r="G557" t="s">
        <v>448</v>
      </c>
      <c r="H557" t="s">
        <v>449</v>
      </c>
      <c r="I557" t="s">
        <v>450</v>
      </c>
      <c r="J557" t="s">
        <v>450</v>
      </c>
      <c r="K557">
        <v>0</v>
      </c>
      <c r="L557" t="s">
        <v>446</v>
      </c>
      <c r="M557" t="s">
        <v>446</v>
      </c>
      <c r="N557">
        <v>141060</v>
      </c>
      <c r="O557">
        <f>INDEX(Counselor,MATCH(B557,KidIDs,0))</f>
        <v>0</v>
      </c>
      <c r="P557">
        <f>INDEX(Advisors,MATCH(B557,KidIDs,0))</f>
        <v>0</v>
      </c>
      <c r="Q557">
        <f>INDEX(Cohort,MATCH(B557,KidIDs,0))</f>
        <v>0</v>
      </c>
      <c r="R557">
        <f>INDEX(AllCollegeBarrons,MATCH(N557,AllCollegeNCES,0))</f>
        <v>0</v>
      </c>
      <c r="S557">
        <f>INDEX(KidGPAs,MATCH(B557,KidIDs,0))</f>
        <v>0</v>
      </c>
      <c r="T557">
        <f>INDEX(KidSATs,MATCH(B557,KidIDs,0))</f>
        <v>0</v>
      </c>
      <c r="U557">
        <f>INDEX(Strats,MATCH(B557,KidIDs,0))</f>
        <v>0</v>
      </c>
      <c r="V557">
        <f>INDEX(KidRace,MATCH(B557,KidIDs,0))</f>
        <v>0</v>
      </c>
      <c r="W557">
        <f>IF(OR(V557="M",V557="I"),"H",IF(V557="P","A",V557))</f>
        <v>0</v>
      </c>
      <c r="X557">
        <f>INDEX(StudentTargets,MATCH(B557,KidIDs,0))</f>
        <v>0</v>
      </c>
      <c r="Y557">
        <f>INDEX(ReachStudentTargets,MATCH(B557,KidIDs,0))</f>
        <v>0</v>
      </c>
      <c r="Z557">
        <f>IF(OR(M557="Posse"),1,0)</f>
        <v>0</v>
      </c>
      <c r="AA557">
        <f>IF(ISNUMBER(INDEX(AllCollegeGR, MATCH(N557,AllCollegeNCES,0))),ROUND(INDEX(AllCollegeGR, MATCH(N557,AllCollegeNCES,0))+Z557*IF(INDEX(AllCollegeGR, MATCH(N557,AllCollegeNCES,0))&gt;0.7,(1-INDEX(AllCollegeGR, MATCH(N557,AllCollegeNCES,0)))/2,0.15),2),INDEX(AllCollegeGR, MATCH(N557,AllCollegeNCES,0)))</f>
        <v>0</v>
      </c>
      <c r="AB557">
        <f>IF(ISNUMBER(INDEX(AllCollegeAAHGR, MATCH(N557,AllCollegeNCES,0))),ROUND(INDEX(AllCollegeAAHGR, MATCH(N557,AllCollegeNCES,0))+Z557*IF(INDEX(AllCollegeAAHGR, MATCH(N557,AllCollegeNCES,0))&gt;0.7,(1-INDEX(AllCollegeAAHGR, MATCH(N557,AllCollegeNCES,0)))/2,0.15),2),INDEX(AllCollegeAAHGR, MATCH(N557,AllCollegeNCES,0)))</f>
        <v>0</v>
      </c>
      <c r="AC557">
        <f>IF(OR(W557="H",W557="B"),INDEX(AllCollegeSAT25, MATCH(N557,AllCollegeNCES,0)),INDEX(AllCollegeSAT50, MATCH(N557,AllCollegeNCES,0)))</f>
        <v>0</v>
      </c>
      <c r="AD557">
        <f>INDEX(CustomWeightsGPA,MATCH(W557&amp;":"&amp;N557,CustomWeightsIndex,0))</f>
        <v>0</v>
      </c>
      <c r="AE557">
        <f>INDEX(CustomWeightsSAT,MATCH(W557&amp;":"&amp;N557,CustomWeightsIndex,0))</f>
        <v>0</v>
      </c>
      <c r="AF557">
        <f>INDEX(CustomWeightsIntercept,MATCH(W557&amp;":"&amp;N557,CustomWeightsIndex,0))</f>
        <v>0</v>
      </c>
      <c r="AG557">
        <f>AD557*S557+AE557*T557+AF557</f>
        <v>0</v>
      </c>
      <c r="AH557">
        <f>INDEX(CoefficientsGPA,MATCH(W557&amp;":"&amp;R557,CoefficientsIndex,0))</f>
        <v>0</v>
      </c>
      <c r="AI557">
        <f>INDEX(CoefficientsSAT,MATCH(W557&amp;":"&amp;R557,CoefficientsIndex,0))</f>
        <v>0</v>
      </c>
      <c r="AJ557">
        <f>INDEX(CoefficientsIntercept,MATCH(W557&amp;":"&amp;R557,CoefficientsIndex,0))</f>
        <v>0</v>
      </c>
      <c r="AK557">
        <f>AH557*S557+(T557-AC557)*AI557+AJ557</f>
        <v>0</v>
      </c>
      <c r="AL557">
        <f>IF(ISNUMBER(AG557),AG557,AK557)</f>
        <v>0</v>
      </c>
      <c r="AM557">
        <f>IF(ISNUMBER(AL557),IF(ISNUMBER(AH557),IF(AND(AH557=1,AI557=1,AJ557=1),100,MIN(99,ROUND(100*EXP(AL557)/(1+EXP(AL557)),2))),MIN(99,ROUND(100*EXP(AL557)/(1+EXP(AL557)),2))),IF(ISTEXT(R557),IF(LEFT(R557,1)="2",100,"N/A"),"N/A"))</f>
        <v>0</v>
      </c>
      <c r="AN557">
        <f>IF(ISNUMBER(AM557),IF(AM557&gt;=99,IF(OR(U557=10,U557=11),MatchLabel,SureThingLabel),IF(AM557&gt;=95,SecureLabel,IF(AM557&gt;=80,SafetyLabel,IF(AM557&gt;=50,MatchLabel,IF(AM557&gt;=20,ReachLabel,IF(AM557&gt;=10,LongshotLabel,HailMaryLabel)))))),"Other")</f>
        <v>0</v>
      </c>
      <c r="AO557">
        <f>IF(OR(I557="accepted",I557="cond. accept",I557="summer admit"),IF(J557="yes","CHOICE!","Accepted!"),IF(I557="guar. transfer","Guar. Xfer",IF(I557="denied","Denied",IF(K557=1,"Waitlist",IF(L557=1,"Deferred",IF(G557="pending","Pending",IF(OR(G557="initial materials submitted",G557="mid-year submitted",G557="final submitted"),"Submitted",IF(H557="interest","Interest","?"))))))))</f>
        <v>0</v>
      </c>
      <c r="AP557">
        <f>IF(OR(AN557=ReachLabel,AN557=LongshotLabel,AN557=HailMaryLabel),1,0)</f>
        <v>0</v>
      </c>
      <c r="AQ557">
        <f>IF(OR(AP557=1,AN557=MatchLabel),1,0)</f>
        <v>0</v>
      </c>
      <c r="AR557">
        <f>IF(OR(AN557=MatchLabel,AN557=SafetyLabel,AN557=SecureLabel,AN557=SureThingLabel),1,0)</f>
        <v>0</v>
      </c>
      <c r="AS557">
        <f>IF(OR(W557="H",W557="B",W557="I",W557="M"),IF(ISNUMBER(AB557),ROUND(AB557,2),0),IF(ISNUMBER(AA557),ROUND(AA557,2),0))</f>
        <v>0</v>
      </c>
      <c r="AT557">
        <f>IF(AS557&gt;=X557,1,0)</f>
        <v>0</v>
      </c>
      <c r="AU557">
        <f>IF(AS557&gt;=Y557,1,0)</f>
        <v>0</v>
      </c>
      <c r="AV557">
        <f>IF(AS557&lt;(X557-0.10),1,0)</f>
        <v>0</v>
      </c>
      <c r="AW557">
        <f>1-AM557/100</f>
        <v>0</v>
      </c>
      <c r="AX557">
        <f>IF(AQ557=1,AW557,1)</f>
        <v>0</v>
      </c>
      <c r="AY557">
        <f>IF(AP557=1,AW557,1)</f>
        <v>0</v>
      </c>
      <c r="AZ557">
        <f>IF(AND(AT557=1,ISNUMBER(AW557)),$AW557,1)</f>
        <v>0</v>
      </c>
      <c r="BA557">
        <f>IF(AND(AU557=1,ISNUMBER(AW557)),$AW557,1)</f>
        <v>0</v>
      </c>
      <c r="BB557">
        <f>IF(ISNUMBER(AB557),INDEX(AllCollegeMoney, MATCH(N557,AllCollegeNCES,0)),0)</f>
        <v>0</v>
      </c>
      <c r="BC557">
        <f>IF(AND(AT557=1,ISNUMBER(AW557),BB557=1),$AW557,1)</f>
        <v>0</v>
      </c>
      <c r="BD557">
        <f>IF(AND(AU557=1,ISNUMBER(AW557),BB557=1),$AW557,1)</f>
        <v>0</v>
      </c>
      <c r="BE557">
        <f>IF(ISNUMBER(AB557),INDEX(AllCollegeILPub, MATCH(N557,AllCollegeNCES,0)),0)</f>
        <v>0</v>
      </c>
      <c r="BF557">
        <f>IF(AN557=ReachLabel,AS557,0)</f>
        <v>0</v>
      </c>
      <c r="BG557">
        <f>IF(AN557=MatchLabel,AS557,0)</f>
        <v>0</v>
      </c>
      <c r="BH557">
        <f>IF(AN557=SafetyLabel,AS557,0)</f>
        <v>0</v>
      </c>
      <c r="BI557">
        <f>IF(AN557=SecureLabel,AS557,0)</f>
        <v>0</v>
      </c>
      <c r="BJ557">
        <f>IF(AN557=SureThingLabel,AS557,0)</f>
        <v>0</v>
      </c>
      <c r="BK557">
        <f>MAX(BF557:BJ557)</f>
        <v>0</v>
      </c>
      <c r="BL557">
        <f>MAX(BG557:BJ557)</f>
        <v>0</v>
      </c>
      <c r="BM557">
        <f>MAX(BH557:BJ557)</f>
        <v>0</v>
      </c>
      <c r="BN557">
        <f>IF(AND(AN557=ReachLabel,BB557=1),AS557,0)</f>
        <v>0</v>
      </c>
      <c r="BO557">
        <f>IF(AND(AN557=MatchLabel,BB557=1),AS557,0)</f>
        <v>0</v>
      </c>
      <c r="BP557">
        <f>IF(AND(AN557=SafetyLabel,BB557=1),AS557,0)</f>
        <v>0</v>
      </c>
      <c r="BQ557">
        <f>IF(AND(AN557=SecureLabel,BB557=1),AS557,0)</f>
        <v>0</v>
      </c>
      <c r="BR557">
        <f>IF(AND(AN557=SureThingLabel,BB557=1),AS557,0)</f>
        <v>0</v>
      </c>
      <c r="BS557">
        <f>MAX(BN557:BR557)</f>
        <v>0</v>
      </c>
      <c r="BT557">
        <f>MAX(BO557:BR557)</f>
        <v>0</v>
      </c>
      <c r="BU557">
        <f>MAX(BP557:BR557)</f>
        <v>0</v>
      </c>
      <c r="BV557">
        <f>IF(ISNUMBER(AB557),INDEX(AllCollegeChicago, MATCH(N557,AllCollegeNCES,0))*BB557,0)</f>
        <v>0</v>
      </c>
      <c r="BW557">
        <f>IF(ISNUMBER(AB557),INDEX(AllCollegeMoneyCode, MATCH(N557,AllCollegeNCES,0)),"?")</f>
        <v>0</v>
      </c>
      <c r="BX557">
        <f>IF(OR(BW557="---",BW557="--",BW557="+/--",BW557="+/---"),1,0)</f>
        <v>0</v>
      </c>
      <c r="BY557">
        <f>BB557*AR557*AT557</f>
        <v>0</v>
      </c>
    </row>
    <row r="558" spans="1:77">
      <c r="A558" t="s">
        <v>96</v>
      </c>
      <c r="B558">
        <v>23478500</v>
      </c>
      <c r="C558" t="s">
        <v>127</v>
      </c>
      <c r="D558" t="s">
        <v>128</v>
      </c>
      <c r="E558" t="s">
        <v>446</v>
      </c>
      <c r="F558" t="s">
        <v>470</v>
      </c>
      <c r="G558" t="s">
        <v>448</v>
      </c>
      <c r="H558" t="s">
        <v>449</v>
      </c>
      <c r="I558" t="s">
        <v>450</v>
      </c>
      <c r="J558" t="s">
        <v>450</v>
      </c>
      <c r="K558">
        <v>0</v>
      </c>
      <c r="L558" t="s">
        <v>446</v>
      </c>
      <c r="M558" t="s">
        <v>446</v>
      </c>
      <c r="N558">
        <v>240444</v>
      </c>
      <c r="O558">
        <f>INDEX(Counselor,MATCH(B558,KidIDs,0))</f>
        <v>0</v>
      </c>
      <c r="P558">
        <f>INDEX(Advisors,MATCH(B558,KidIDs,0))</f>
        <v>0</v>
      </c>
      <c r="Q558">
        <f>INDEX(Cohort,MATCH(B558,KidIDs,0))</f>
        <v>0</v>
      </c>
      <c r="R558">
        <f>INDEX(AllCollegeBarrons,MATCH(N558,AllCollegeNCES,0))</f>
        <v>0</v>
      </c>
      <c r="S558">
        <f>INDEX(KidGPAs,MATCH(B558,KidIDs,0))</f>
        <v>0</v>
      </c>
      <c r="T558">
        <f>INDEX(KidSATs,MATCH(B558,KidIDs,0))</f>
        <v>0</v>
      </c>
      <c r="U558">
        <f>INDEX(Strats,MATCH(B558,KidIDs,0))</f>
        <v>0</v>
      </c>
      <c r="V558">
        <f>INDEX(KidRace,MATCH(B558,KidIDs,0))</f>
        <v>0</v>
      </c>
      <c r="W558">
        <f>IF(OR(V558="M",V558="I"),"H",IF(V558="P","A",V558))</f>
        <v>0</v>
      </c>
      <c r="X558">
        <f>INDEX(StudentTargets,MATCH(B558,KidIDs,0))</f>
        <v>0</v>
      </c>
      <c r="Y558">
        <f>INDEX(ReachStudentTargets,MATCH(B558,KidIDs,0))</f>
        <v>0</v>
      </c>
      <c r="Z558">
        <f>IF(OR(M558="Posse"),1,0)</f>
        <v>0</v>
      </c>
      <c r="AA558">
        <f>IF(ISNUMBER(INDEX(AllCollegeGR, MATCH(N558,AllCollegeNCES,0))),ROUND(INDEX(AllCollegeGR, MATCH(N558,AllCollegeNCES,0))+Z558*IF(INDEX(AllCollegeGR, MATCH(N558,AllCollegeNCES,0))&gt;0.7,(1-INDEX(AllCollegeGR, MATCH(N558,AllCollegeNCES,0)))/2,0.15),2),INDEX(AllCollegeGR, MATCH(N558,AllCollegeNCES,0)))</f>
        <v>0</v>
      </c>
      <c r="AB558">
        <f>IF(ISNUMBER(INDEX(AllCollegeAAHGR, MATCH(N558,AllCollegeNCES,0))),ROUND(INDEX(AllCollegeAAHGR, MATCH(N558,AllCollegeNCES,0))+Z558*IF(INDEX(AllCollegeAAHGR, MATCH(N558,AllCollegeNCES,0))&gt;0.7,(1-INDEX(AllCollegeAAHGR, MATCH(N558,AllCollegeNCES,0)))/2,0.15),2),INDEX(AllCollegeAAHGR, MATCH(N558,AllCollegeNCES,0)))</f>
        <v>0</v>
      </c>
      <c r="AC558">
        <f>IF(OR(W558="H",W558="B"),INDEX(AllCollegeSAT25, MATCH(N558,AllCollegeNCES,0)),INDEX(AllCollegeSAT50, MATCH(N558,AllCollegeNCES,0)))</f>
        <v>0</v>
      </c>
      <c r="AD558">
        <f>INDEX(CustomWeightsGPA,MATCH(W558&amp;":"&amp;N558,CustomWeightsIndex,0))</f>
        <v>0</v>
      </c>
      <c r="AE558">
        <f>INDEX(CustomWeightsSAT,MATCH(W558&amp;":"&amp;N558,CustomWeightsIndex,0))</f>
        <v>0</v>
      </c>
      <c r="AF558">
        <f>INDEX(CustomWeightsIntercept,MATCH(W558&amp;":"&amp;N558,CustomWeightsIndex,0))</f>
        <v>0</v>
      </c>
      <c r="AG558">
        <f>AD558*S558+AE558*T558+AF558</f>
        <v>0</v>
      </c>
      <c r="AH558">
        <f>INDEX(CoefficientsGPA,MATCH(W558&amp;":"&amp;R558,CoefficientsIndex,0))</f>
        <v>0</v>
      </c>
      <c r="AI558">
        <f>INDEX(CoefficientsSAT,MATCH(W558&amp;":"&amp;R558,CoefficientsIndex,0))</f>
        <v>0</v>
      </c>
      <c r="AJ558">
        <f>INDEX(CoefficientsIntercept,MATCH(W558&amp;":"&amp;R558,CoefficientsIndex,0))</f>
        <v>0</v>
      </c>
      <c r="AK558">
        <f>AH558*S558+(T558-AC558)*AI558+AJ558</f>
        <v>0</v>
      </c>
      <c r="AL558">
        <f>IF(ISNUMBER(AG558),AG558,AK558)</f>
        <v>0</v>
      </c>
      <c r="AM558">
        <f>IF(ISNUMBER(AL558),IF(ISNUMBER(AH558),IF(AND(AH558=1,AI558=1,AJ558=1),100,MIN(99,ROUND(100*EXP(AL558)/(1+EXP(AL558)),2))),MIN(99,ROUND(100*EXP(AL558)/(1+EXP(AL558)),2))),IF(ISTEXT(R558),IF(LEFT(R558,1)="2",100,"N/A"),"N/A"))</f>
        <v>0</v>
      </c>
      <c r="AN558">
        <f>IF(ISNUMBER(AM558),IF(AM558&gt;=99,IF(OR(U558=10,U558=11),MatchLabel,SureThingLabel),IF(AM558&gt;=95,SecureLabel,IF(AM558&gt;=80,SafetyLabel,IF(AM558&gt;=50,MatchLabel,IF(AM558&gt;=20,ReachLabel,IF(AM558&gt;=10,LongshotLabel,HailMaryLabel)))))),"Other")</f>
        <v>0</v>
      </c>
      <c r="AO558">
        <f>IF(OR(I558="accepted",I558="cond. accept",I558="summer admit"),IF(J558="yes","CHOICE!","Accepted!"),IF(I558="guar. transfer","Guar. Xfer",IF(I558="denied","Denied",IF(K558=1,"Waitlist",IF(L558=1,"Deferred",IF(G558="pending","Pending",IF(OR(G558="initial materials submitted",G558="mid-year submitted",G558="final submitted"),"Submitted",IF(H558="interest","Interest","?"))))))))</f>
        <v>0</v>
      </c>
      <c r="AP558">
        <f>IF(OR(AN558=ReachLabel,AN558=LongshotLabel,AN558=HailMaryLabel),1,0)</f>
        <v>0</v>
      </c>
      <c r="AQ558">
        <f>IF(OR(AP558=1,AN558=MatchLabel),1,0)</f>
        <v>0</v>
      </c>
      <c r="AR558">
        <f>IF(OR(AN558=MatchLabel,AN558=SafetyLabel,AN558=SecureLabel,AN558=SureThingLabel),1,0)</f>
        <v>0</v>
      </c>
      <c r="AS558">
        <f>IF(OR(W558="H",W558="B",W558="I",W558="M"),IF(ISNUMBER(AB558),ROUND(AB558,2),0),IF(ISNUMBER(AA558),ROUND(AA558,2),0))</f>
        <v>0</v>
      </c>
      <c r="AT558">
        <f>IF(AS558&gt;=X558,1,0)</f>
        <v>0</v>
      </c>
      <c r="AU558">
        <f>IF(AS558&gt;=Y558,1,0)</f>
        <v>0</v>
      </c>
      <c r="AV558">
        <f>IF(AS558&lt;(X558-0.10),1,0)</f>
        <v>0</v>
      </c>
      <c r="AW558">
        <f>1-AM558/100</f>
        <v>0</v>
      </c>
      <c r="AX558">
        <f>IF(AQ558=1,AW558,1)</f>
        <v>0</v>
      </c>
      <c r="AY558">
        <f>IF(AP558=1,AW558,1)</f>
        <v>0</v>
      </c>
      <c r="AZ558">
        <f>IF(AND(AT558=1,ISNUMBER(AW558)),$AW558,1)</f>
        <v>0</v>
      </c>
      <c r="BA558">
        <f>IF(AND(AU558=1,ISNUMBER(AW558)),$AW558,1)</f>
        <v>0</v>
      </c>
      <c r="BB558">
        <f>IF(ISNUMBER(AB558),INDEX(AllCollegeMoney, MATCH(N558,AllCollegeNCES,0)),0)</f>
        <v>0</v>
      </c>
      <c r="BC558">
        <f>IF(AND(AT558=1,ISNUMBER(AW558),BB558=1),$AW558,1)</f>
        <v>0</v>
      </c>
      <c r="BD558">
        <f>IF(AND(AU558=1,ISNUMBER(AW558),BB558=1),$AW558,1)</f>
        <v>0</v>
      </c>
      <c r="BE558">
        <f>IF(ISNUMBER(AB558),INDEX(AllCollegeILPub, MATCH(N558,AllCollegeNCES,0)),0)</f>
        <v>0</v>
      </c>
      <c r="BF558">
        <f>IF(AN558=ReachLabel,AS558,0)</f>
        <v>0</v>
      </c>
      <c r="BG558">
        <f>IF(AN558=MatchLabel,AS558,0)</f>
        <v>0</v>
      </c>
      <c r="BH558">
        <f>IF(AN558=SafetyLabel,AS558,0)</f>
        <v>0</v>
      </c>
      <c r="BI558">
        <f>IF(AN558=SecureLabel,AS558,0)</f>
        <v>0</v>
      </c>
      <c r="BJ558">
        <f>IF(AN558=SureThingLabel,AS558,0)</f>
        <v>0</v>
      </c>
      <c r="BK558">
        <f>MAX(BF558:BJ558)</f>
        <v>0</v>
      </c>
      <c r="BL558">
        <f>MAX(BG558:BJ558)</f>
        <v>0</v>
      </c>
      <c r="BM558">
        <f>MAX(BH558:BJ558)</f>
        <v>0</v>
      </c>
      <c r="BN558">
        <f>IF(AND(AN558=ReachLabel,BB558=1),AS558,0)</f>
        <v>0</v>
      </c>
      <c r="BO558">
        <f>IF(AND(AN558=MatchLabel,BB558=1),AS558,0)</f>
        <v>0</v>
      </c>
      <c r="BP558">
        <f>IF(AND(AN558=SafetyLabel,BB558=1),AS558,0)</f>
        <v>0</v>
      </c>
      <c r="BQ558">
        <f>IF(AND(AN558=SecureLabel,BB558=1),AS558,0)</f>
        <v>0</v>
      </c>
      <c r="BR558">
        <f>IF(AND(AN558=SureThingLabel,BB558=1),AS558,0)</f>
        <v>0</v>
      </c>
      <c r="BS558">
        <f>MAX(BN558:BR558)</f>
        <v>0</v>
      </c>
      <c r="BT558">
        <f>MAX(BO558:BR558)</f>
        <v>0</v>
      </c>
      <c r="BU558">
        <f>MAX(BP558:BR558)</f>
        <v>0</v>
      </c>
      <c r="BV558">
        <f>IF(ISNUMBER(AB558),INDEX(AllCollegeChicago, MATCH(N558,AllCollegeNCES,0))*BB558,0)</f>
        <v>0</v>
      </c>
      <c r="BW558">
        <f>IF(ISNUMBER(AB558),INDEX(AllCollegeMoneyCode, MATCH(N558,AllCollegeNCES,0)),"?")</f>
        <v>0</v>
      </c>
      <c r="BX558">
        <f>IF(OR(BW558="---",BW558="--",BW558="+/--",BW558="+/---"),1,0)</f>
        <v>0</v>
      </c>
      <c r="BY558">
        <f>BB558*AR558*AT558</f>
        <v>0</v>
      </c>
    </row>
    <row r="559" spans="1:77">
      <c r="A559" t="s">
        <v>96</v>
      </c>
      <c r="B559">
        <v>23478500</v>
      </c>
      <c r="C559" t="s">
        <v>127</v>
      </c>
      <c r="D559" t="s">
        <v>128</v>
      </c>
      <c r="E559" t="s">
        <v>446</v>
      </c>
      <c r="F559" t="s">
        <v>483</v>
      </c>
      <c r="G559" t="s">
        <v>448</v>
      </c>
      <c r="H559" t="s">
        <v>449</v>
      </c>
      <c r="I559" t="s">
        <v>450</v>
      </c>
      <c r="J559" t="s">
        <v>450</v>
      </c>
      <c r="K559">
        <v>0</v>
      </c>
      <c r="L559" t="s">
        <v>446</v>
      </c>
      <c r="M559" t="s">
        <v>446</v>
      </c>
      <c r="N559">
        <v>212577</v>
      </c>
      <c r="O559">
        <f>INDEX(Counselor,MATCH(B559,KidIDs,0))</f>
        <v>0</v>
      </c>
      <c r="P559">
        <f>INDEX(Advisors,MATCH(B559,KidIDs,0))</f>
        <v>0</v>
      </c>
      <c r="Q559">
        <f>INDEX(Cohort,MATCH(B559,KidIDs,0))</f>
        <v>0</v>
      </c>
      <c r="R559">
        <f>INDEX(AllCollegeBarrons,MATCH(N559,AllCollegeNCES,0))</f>
        <v>0</v>
      </c>
      <c r="S559">
        <f>INDEX(KidGPAs,MATCH(B559,KidIDs,0))</f>
        <v>0</v>
      </c>
      <c r="T559">
        <f>INDEX(KidSATs,MATCH(B559,KidIDs,0))</f>
        <v>0</v>
      </c>
      <c r="U559">
        <f>INDEX(Strats,MATCH(B559,KidIDs,0))</f>
        <v>0</v>
      </c>
      <c r="V559">
        <f>INDEX(KidRace,MATCH(B559,KidIDs,0))</f>
        <v>0</v>
      </c>
      <c r="W559">
        <f>IF(OR(V559="M",V559="I"),"H",IF(V559="P","A",V559))</f>
        <v>0</v>
      </c>
      <c r="X559">
        <f>INDEX(StudentTargets,MATCH(B559,KidIDs,0))</f>
        <v>0</v>
      </c>
      <c r="Y559">
        <f>INDEX(ReachStudentTargets,MATCH(B559,KidIDs,0))</f>
        <v>0</v>
      </c>
      <c r="Z559">
        <f>IF(OR(M559="Posse"),1,0)</f>
        <v>0</v>
      </c>
      <c r="AA559">
        <f>IF(ISNUMBER(INDEX(AllCollegeGR, MATCH(N559,AllCollegeNCES,0))),ROUND(INDEX(AllCollegeGR, MATCH(N559,AllCollegeNCES,0))+Z559*IF(INDEX(AllCollegeGR, MATCH(N559,AllCollegeNCES,0))&gt;0.7,(1-INDEX(AllCollegeGR, MATCH(N559,AllCollegeNCES,0)))/2,0.15),2),INDEX(AllCollegeGR, MATCH(N559,AllCollegeNCES,0)))</f>
        <v>0</v>
      </c>
      <c r="AB559">
        <f>IF(ISNUMBER(INDEX(AllCollegeAAHGR, MATCH(N559,AllCollegeNCES,0))),ROUND(INDEX(AllCollegeAAHGR, MATCH(N559,AllCollegeNCES,0))+Z559*IF(INDEX(AllCollegeAAHGR, MATCH(N559,AllCollegeNCES,0))&gt;0.7,(1-INDEX(AllCollegeAAHGR, MATCH(N559,AllCollegeNCES,0)))/2,0.15),2),INDEX(AllCollegeAAHGR, MATCH(N559,AllCollegeNCES,0)))</f>
        <v>0</v>
      </c>
      <c r="AC559">
        <f>IF(OR(W559="H",W559="B"),INDEX(AllCollegeSAT25, MATCH(N559,AllCollegeNCES,0)),INDEX(AllCollegeSAT50, MATCH(N559,AllCollegeNCES,0)))</f>
        <v>0</v>
      </c>
      <c r="AD559">
        <f>INDEX(CustomWeightsGPA,MATCH(W559&amp;":"&amp;N559,CustomWeightsIndex,0))</f>
        <v>0</v>
      </c>
      <c r="AE559">
        <f>INDEX(CustomWeightsSAT,MATCH(W559&amp;":"&amp;N559,CustomWeightsIndex,0))</f>
        <v>0</v>
      </c>
      <c r="AF559">
        <f>INDEX(CustomWeightsIntercept,MATCH(W559&amp;":"&amp;N559,CustomWeightsIndex,0))</f>
        <v>0</v>
      </c>
      <c r="AG559">
        <f>AD559*S559+AE559*T559+AF559</f>
        <v>0</v>
      </c>
      <c r="AH559">
        <f>INDEX(CoefficientsGPA,MATCH(W559&amp;":"&amp;R559,CoefficientsIndex,0))</f>
        <v>0</v>
      </c>
      <c r="AI559">
        <f>INDEX(CoefficientsSAT,MATCH(W559&amp;":"&amp;R559,CoefficientsIndex,0))</f>
        <v>0</v>
      </c>
      <c r="AJ559">
        <f>INDEX(CoefficientsIntercept,MATCH(W559&amp;":"&amp;R559,CoefficientsIndex,0))</f>
        <v>0</v>
      </c>
      <c r="AK559">
        <f>AH559*S559+(T559-AC559)*AI559+AJ559</f>
        <v>0</v>
      </c>
      <c r="AL559">
        <f>IF(ISNUMBER(AG559),AG559,AK559)</f>
        <v>0</v>
      </c>
      <c r="AM559">
        <f>IF(ISNUMBER(AL559),IF(ISNUMBER(AH559),IF(AND(AH559=1,AI559=1,AJ559=1),100,MIN(99,ROUND(100*EXP(AL559)/(1+EXP(AL559)),2))),MIN(99,ROUND(100*EXP(AL559)/(1+EXP(AL559)),2))),IF(ISTEXT(R559),IF(LEFT(R559,1)="2",100,"N/A"),"N/A"))</f>
        <v>0</v>
      </c>
      <c r="AN559">
        <f>IF(ISNUMBER(AM559),IF(AM559&gt;=99,IF(OR(U559=10,U559=11),MatchLabel,SureThingLabel),IF(AM559&gt;=95,SecureLabel,IF(AM559&gt;=80,SafetyLabel,IF(AM559&gt;=50,MatchLabel,IF(AM559&gt;=20,ReachLabel,IF(AM559&gt;=10,LongshotLabel,HailMaryLabel)))))),"Other")</f>
        <v>0</v>
      </c>
      <c r="AO559">
        <f>IF(OR(I559="accepted",I559="cond. accept",I559="summer admit"),IF(J559="yes","CHOICE!","Accepted!"),IF(I559="guar. transfer","Guar. Xfer",IF(I559="denied","Denied",IF(K559=1,"Waitlist",IF(L559=1,"Deferred",IF(G559="pending","Pending",IF(OR(G559="initial materials submitted",G559="mid-year submitted",G559="final submitted"),"Submitted",IF(H559="interest","Interest","?"))))))))</f>
        <v>0</v>
      </c>
      <c r="AP559">
        <f>IF(OR(AN559=ReachLabel,AN559=LongshotLabel,AN559=HailMaryLabel),1,0)</f>
        <v>0</v>
      </c>
      <c r="AQ559">
        <f>IF(OR(AP559=1,AN559=MatchLabel),1,0)</f>
        <v>0</v>
      </c>
      <c r="AR559">
        <f>IF(OR(AN559=MatchLabel,AN559=SafetyLabel,AN559=SecureLabel,AN559=SureThingLabel),1,0)</f>
        <v>0</v>
      </c>
      <c r="AS559">
        <f>IF(OR(W559="H",W559="B",W559="I",W559="M"),IF(ISNUMBER(AB559),ROUND(AB559,2),0),IF(ISNUMBER(AA559),ROUND(AA559,2),0))</f>
        <v>0</v>
      </c>
      <c r="AT559">
        <f>IF(AS559&gt;=X559,1,0)</f>
        <v>0</v>
      </c>
      <c r="AU559">
        <f>IF(AS559&gt;=Y559,1,0)</f>
        <v>0</v>
      </c>
      <c r="AV559">
        <f>IF(AS559&lt;(X559-0.10),1,0)</f>
        <v>0</v>
      </c>
      <c r="AW559">
        <f>1-AM559/100</f>
        <v>0</v>
      </c>
      <c r="AX559">
        <f>IF(AQ559=1,AW559,1)</f>
        <v>0</v>
      </c>
      <c r="AY559">
        <f>IF(AP559=1,AW559,1)</f>
        <v>0</v>
      </c>
      <c r="AZ559">
        <f>IF(AND(AT559=1,ISNUMBER(AW559)),$AW559,1)</f>
        <v>0</v>
      </c>
      <c r="BA559">
        <f>IF(AND(AU559=1,ISNUMBER(AW559)),$AW559,1)</f>
        <v>0</v>
      </c>
      <c r="BB559">
        <f>IF(ISNUMBER(AB559),INDEX(AllCollegeMoney, MATCH(N559,AllCollegeNCES,0)),0)</f>
        <v>0</v>
      </c>
      <c r="BC559">
        <f>IF(AND(AT559=1,ISNUMBER(AW559),BB559=1),$AW559,1)</f>
        <v>0</v>
      </c>
      <c r="BD559">
        <f>IF(AND(AU559=1,ISNUMBER(AW559),BB559=1),$AW559,1)</f>
        <v>0</v>
      </c>
      <c r="BE559">
        <f>IF(ISNUMBER(AB559),INDEX(AllCollegeILPub, MATCH(N559,AllCollegeNCES,0)),0)</f>
        <v>0</v>
      </c>
      <c r="BF559">
        <f>IF(AN559=ReachLabel,AS559,0)</f>
        <v>0</v>
      </c>
      <c r="BG559">
        <f>IF(AN559=MatchLabel,AS559,0)</f>
        <v>0</v>
      </c>
      <c r="BH559">
        <f>IF(AN559=SafetyLabel,AS559,0)</f>
        <v>0</v>
      </c>
      <c r="BI559">
        <f>IF(AN559=SecureLabel,AS559,0)</f>
        <v>0</v>
      </c>
      <c r="BJ559">
        <f>IF(AN559=SureThingLabel,AS559,0)</f>
        <v>0</v>
      </c>
      <c r="BK559">
        <f>MAX(BF559:BJ559)</f>
        <v>0</v>
      </c>
      <c r="BL559">
        <f>MAX(BG559:BJ559)</f>
        <v>0</v>
      </c>
      <c r="BM559">
        <f>MAX(BH559:BJ559)</f>
        <v>0</v>
      </c>
      <c r="BN559">
        <f>IF(AND(AN559=ReachLabel,BB559=1),AS559,0)</f>
        <v>0</v>
      </c>
      <c r="BO559">
        <f>IF(AND(AN559=MatchLabel,BB559=1),AS559,0)</f>
        <v>0</v>
      </c>
      <c r="BP559">
        <f>IF(AND(AN559=SafetyLabel,BB559=1),AS559,0)</f>
        <v>0</v>
      </c>
      <c r="BQ559">
        <f>IF(AND(AN559=SecureLabel,BB559=1),AS559,0)</f>
        <v>0</v>
      </c>
      <c r="BR559">
        <f>IF(AND(AN559=SureThingLabel,BB559=1),AS559,0)</f>
        <v>0</v>
      </c>
      <c r="BS559">
        <f>MAX(BN559:BR559)</f>
        <v>0</v>
      </c>
      <c r="BT559">
        <f>MAX(BO559:BR559)</f>
        <v>0</v>
      </c>
      <c r="BU559">
        <f>MAX(BP559:BR559)</f>
        <v>0</v>
      </c>
      <c r="BV559">
        <f>IF(ISNUMBER(AB559),INDEX(AllCollegeChicago, MATCH(N559,AllCollegeNCES,0))*BB559,0)</f>
        <v>0</v>
      </c>
      <c r="BW559">
        <f>IF(ISNUMBER(AB559),INDEX(AllCollegeMoneyCode, MATCH(N559,AllCollegeNCES,0)),"?")</f>
        <v>0</v>
      </c>
      <c r="BX559">
        <f>IF(OR(BW559="---",BW559="--",BW559="+/--",BW559="+/---"),1,0)</f>
        <v>0</v>
      </c>
      <c r="BY559">
        <f>BB559*AR559*AT559</f>
        <v>0</v>
      </c>
    </row>
    <row r="560" spans="1:77">
      <c r="A560" t="s">
        <v>96</v>
      </c>
      <c r="B560">
        <v>23478500</v>
      </c>
      <c r="C560" t="s">
        <v>127</v>
      </c>
      <c r="D560" t="s">
        <v>128</v>
      </c>
      <c r="E560" t="s">
        <v>446</v>
      </c>
      <c r="F560" t="s">
        <v>512</v>
      </c>
      <c r="G560" t="s">
        <v>448</v>
      </c>
      <c r="H560" t="s">
        <v>449</v>
      </c>
      <c r="I560" t="s">
        <v>450</v>
      </c>
      <c r="J560" t="s">
        <v>450</v>
      </c>
      <c r="K560">
        <v>0</v>
      </c>
      <c r="L560" t="s">
        <v>446</v>
      </c>
      <c r="M560" t="s">
        <v>446</v>
      </c>
      <c r="N560">
        <v>150400</v>
      </c>
      <c r="O560">
        <f>INDEX(Counselor,MATCH(B560,KidIDs,0))</f>
        <v>0</v>
      </c>
      <c r="P560">
        <f>INDEX(Advisors,MATCH(B560,KidIDs,0))</f>
        <v>0</v>
      </c>
      <c r="Q560">
        <f>INDEX(Cohort,MATCH(B560,KidIDs,0))</f>
        <v>0</v>
      </c>
      <c r="R560">
        <f>INDEX(AllCollegeBarrons,MATCH(N560,AllCollegeNCES,0))</f>
        <v>0</v>
      </c>
      <c r="S560">
        <f>INDEX(KidGPAs,MATCH(B560,KidIDs,0))</f>
        <v>0</v>
      </c>
      <c r="T560">
        <f>INDEX(KidSATs,MATCH(B560,KidIDs,0))</f>
        <v>0</v>
      </c>
      <c r="U560">
        <f>INDEX(Strats,MATCH(B560,KidIDs,0))</f>
        <v>0</v>
      </c>
      <c r="V560">
        <f>INDEX(KidRace,MATCH(B560,KidIDs,0))</f>
        <v>0</v>
      </c>
      <c r="W560">
        <f>IF(OR(V560="M",V560="I"),"H",IF(V560="P","A",V560))</f>
        <v>0</v>
      </c>
      <c r="X560">
        <f>INDEX(StudentTargets,MATCH(B560,KidIDs,0))</f>
        <v>0</v>
      </c>
      <c r="Y560">
        <f>INDEX(ReachStudentTargets,MATCH(B560,KidIDs,0))</f>
        <v>0</v>
      </c>
      <c r="Z560">
        <f>IF(OR(M560="Posse"),1,0)</f>
        <v>0</v>
      </c>
      <c r="AA560">
        <f>IF(ISNUMBER(INDEX(AllCollegeGR, MATCH(N560,AllCollegeNCES,0))),ROUND(INDEX(AllCollegeGR, MATCH(N560,AllCollegeNCES,0))+Z560*IF(INDEX(AllCollegeGR, MATCH(N560,AllCollegeNCES,0))&gt;0.7,(1-INDEX(AllCollegeGR, MATCH(N560,AllCollegeNCES,0)))/2,0.15),2),INDEX(AllCollegeGR, MATCH(N560,AllCollegeNCES,0)))</f>
        <v>0</v>
      </c>
      <c r="AB560">
        <f>IF(ISNUMBER(INDEX(AllCollegeAAHGR, MATCH(N560,AllCollegeNCES,0))),ROUND(INDEX(AllCollegeAAHGR, MATCH(N560,AllCollegeNCES,0))+Z560*IF(INDEX(AllCollegeAAHGR, MATCH(N560,AllCollegeNCES,0))&gt;0.7,(1-INDEX(AllCollegeAAHGR, MATCH(N560,AllCollegeNCES,0)))/2,0.15),2),INDEX(AllCollegeAAHGR, MATCH(N560,AllCollegeNCES,0)))</f>
        <v>0</v>
      </c>
      <c r="AC560">
        <f>IF(OR(W560="H",W560="B"),INDEX(AllCollegeSAT25, MATCH(N560,AllCollegeNCES,0)),INDEX(AllCollegeSAT50, MATCH(N560,AllCollegeNCES,0)))</f>
        <v>0</v>
      </c>
      <c r="AD560">
        <f>INDEX(CustomWeightsGPA,MATCH(W560&amp;":"&amp;N560,CustomWeightsIndex,0))</f>
        <v>0</v>
      </c>
      <c r="AE560">
        <f>INDEX(CustomWeightsSAT,MATCH(W560&amp;":"&amp;N560,CustomWeightsIndex,0))</f>
        <v>0</v>
      </c>
      <c r="AF560">
        <f>INDEX(CustomWeightsIntercept,MATCH(W560&amp;":"&amp;N560,CustomWeightsIndex,0))</f>
        <v>0</v>
      </c>
      <c r="AG560">
        <f>AD560*S560+AE560*T560+AF560</f>
        <v>0</v>
      </c>
      <c r="AH560">
        <f>INDEX(CoefficientsGPA,MATCH(W560&amp;":"&amp;R560,CoefficientsIndex,0))</f>
        <v>0</v>
      </c>
      <c r="AI560">
        <f>INDEX(CoefficientsSAT,MATCH(W560&amp;":"&amp;R560,CoefficientsIndex,0))</f>
        <v>0</v>
      </c>
      <c r="AJ560">
        <f>INDEX(CoefficientsIntercept,MATCH(W560&amp;":"&amp;R560,CoefficientsIndex,0))</f>
        <v>0</v>
      </c>
      <c r="AK560">
        <f>AH560*S560+(T560-AC560)*AI560+AJ560</f>
        <v>0</v>
      </c>
      <c r="AL560">
        <f>IF(ISNUMBER(AG560),AG560,AK560)</f>
        <v>0</v>
      </c>
      <c r="AM560">
        <f>IF(ISNUMBER(AL560),IF(ISNUMBER(AH560),IF(AND(AH560=1,AI560=1,AJ560=1),100,MIN(99,ROUND(100*EXP(AL560)/(1+EXP(AL560)),2))),MIN(99,ROUND(100*EXP(AL560)/(1+EXP(AL560)),2))),IF(ISTEXT(R560),IF(LEFT(R560,1)="2",100,"N/A"),"N/A"))</f>
        <v>0</v>
      </c>
      <c r="AN560">
        <f>IF(ISNUMBER(AM560),IF(AM560&gt;=99,IF(OR(U560=10,U560=11),MatchLabel,SureThingLabel),IF(AM560&gt;=95,SecureLabel,IF(AM560&gt;=80,SafetyLabel,IF(AM560&gt;=50,MatchLabel,IF(AM560&gt;=20,ReachLabel,IF(AM560&gt;=10,LongshotLabel,HailMaryLabel)))))),"Other")</f>
        <v>0</v>
      </c>
      <c r="AO560">
        <f>IF(OR(I560="accepted",I560="cond. accept",I560="summer admit"),IF(J560="yes","CHOICE!","Accepted!"),IF(I560="guar. transfer","Guar. Xfer",IF(I560="denied","Denied",IF(K560=1,"Waitlist",IF(L560=1,"Deferred",IF(G560="pending","Pending",IF(OR(G560="initial materials submitted",G560="mid-year submitted",G560="final submitted"),"Submitted",IF(H560="interest","Interest","?"))))))))</f>
        <v>0</v>
      </c>
      <c r="AP560">
        <f>IF(OR(AN560=ReachLabel,AN560=LongshotLabel,AN560=HailMaryLabel),1,0)</f>
        <v>0</v>
      </c>
      <c r="AQ560">
        <f>IF(OR(AP560=1,AN560=MatchLabel),1,0)</f>
        <v>0</v>
      </c>
      <c r="AR560">
        <f>IF(OR(AN560=MatchLabel,AN560=SafetyLabel,AN560=SecureLabel,AN560=SureThingLabel),1,0)</f>
        <v>0</v>
      </c>
      <c r="AS560">
        <f>IF(OR(W560="H",W560="B",W560="I",W560="M"),IF(ISNUMBER(AB560),ROUND(AB560,2),0),IF(ISNUMBER(AA560),ROUND(AA560,2),0))</f>
        <v>0</v>
      </c>
      <c r="AT560">
        <f>IF(AS560&gt;=X560,1,0)</f>
        <v>0</v>
      </c>
      <c r="AU560">
        <f>IF(AS560&gt;=Y560,1,0)</f>
        <v>0</v>
      </c>
      <c r="AV560">
        <f>IF(AS560&lt;(X560-0.10),1,0)</f>
        <v>0</v>
      </c>
      <c r="AW560">
        <f>1-AM560/100</f>
        <v>0</v>
      </c>
      <c r="AX560">
        <f>IF(AQ560=1,AW560,1)</f>
        <v>0</v>
      </c>
      <c r="AY560">
        <f>IF(AP560=1,AW560,1)</f>
        <v>0</v>
      </c>
      <c r="AZ560">
        <f>IF(AND(AT560=1,ISNUMBER(AW560)),$AW560,1)</f>
        <v>0</v>
      </c>
      <c r="BA560">
        <f>IF(AND(AU560=1,ISNUMBER(AW560)),$AW560,1)</f>
        <v>0</v>
      </c>
      <c r="BB560">
        <f>IF(ISNUMBER(AB560),INDEX(AllCollegeMoney, MATCH(N560,AllCollegeNCES,0)),0)</f>
        <v>0</v>
      </c>
      <c r="BC560">
        <f>IF(AND(AT560=1,ISNUMBER(AW560),BB560=1),$AW560,1)</f>
        <v>0</v>
      </c>
      <c r="BD560">
        <f>IF(AND(AU560=1,ISNUMBER(AW560),BB560=1),$AW560,1)</f>
        <v>0</v>
      </c>
      <c r="BE560">
        <f>IF(ISNUMBER(AB560),INDEX(AllCollegeILPub, MATCH(N560,AllCollegeNCES,0)),0)</f>
        <v>0</v>
      </c>
      <c r="BF560">
        <f>IF(AN560=ReachLabel,AS560,0)</f>
        <v>0</v>
      </c>
      <c r="BG560">
        <f>IF(AN560=MatchLabel,AS560,0)</f>
        <v>0</v>
      </c>
      <c r="BH560">
        <f>IF(AN560=SafetyLabel,AS560,0)</f>
        <v>0</v>
      </c>
      <c r="BI560">
        <f>IF(AN560=SecureLabel,AS560,0)</f>
        <v>0</v>
      </c>
      <c r="BJ560">
        <f>IF(AN560=SureThingLabel,AS560,0)</f>
        <v>0</v>
      </c>
      <c r="BK560">
        <f>MAX(BF560:BJ560)</f>
        <v>0</v>
      </c>
      <c r="BL560">
        <f>MAX(BG560:BJ560)</f>
        <v>0</v>
      </c>
      <c r="BM560">
        <f>MAX(BH560:BJ560)</f>
        <v>0</v>
      </c>
      <c r="BN560">
        <f>IF(AND(AN560=ReachLabel,BB560=1),AS560,0)</f>
        <v>0</v>
      </c>
      <c r="BO560">
        <f>IF(AND(AN560=MatchLabel,BB560=1),AS560,0)</f>
        <v>0</v>
      </c>
      <c r="BP560">
        <f>IF(AND(AN560=SafetyLabel,BB560=1),AS560,0)</f>
        <v>0</v>
      </c>
      <c r="BQ560">
        <f>IF(AND(AN560=SecureLabel,BB560=1),AS560,0)</f>
        <v>0</v>
      </c>
      <c r="BR560">
        <f>IF(AND(AN560=SureThingLabel,BB560=1),AS560,0)</f>
        <v>0</v>
      </c>
      <c r="BS560">
        <f>MAX(BN560:BR560)</f>
        <v>0</v>
      </c>
      <c r="BT560">
        <f>MAX(BO560:BR560)</f>
        <v>0</v>
      </c>
      <c r="BU560">
        <f>MAX(BP560:BR560)</f>
        <v>0</v>
      </c>
      <c r="BV560">
        <f>IF(ISNUMBER(AB560),INDEX(AllCollegeChicago, MATCH(N560,AllCollegeNCES,0))*BB560,0)</f>
        <v>0</v>
      </c>
      <c r="BW560">
        <f>IF(ISNUMBER(AB560),INDEX(AllCollegeMoneyCode, MATCH(N560,AllCollegeNCES,0)),"?")</f>
        <v>0</v>
      </c>
      <c r="BX560">
        <f>IF(OR(BW560="---",BW560="--",BW560="+/--",BW560="+/---"),1,0)</f>
        <v>0</v>
      </c>
      <c r="BY560">
        <f>BB560*AR560*AT560</f>
        <v>0</v>
      </c>
    </row>
    <row r="561" spans="1:77">
      <c r="A561" t="s">
        <v>96</v>
      </c>
      <c r="B561">
        <v>23478500</v>
      </c>
      <c r="C561" t="s">
        <v>127</v>
      </c>
      <c r="D561" t="s">
        <v>128</v>
      </c>
      <c r="E561" t="s">
        <v>446</v>
      </c>
      <c r="F561" t="s">
        <v>584</v>
      </c>
      <c r="G561" t="s">
        <v>448</v>
      </c>
      <c r="H561" t="s">
        <v>449</v>
      </c>
      <c r="I561" t="s">
        <v>450</v>
      </c>
      <c r="J561" t="s">
        <v>450</v>
      </c>
      <c r="K561">
        <v>0</v>
      </c>
      <c r="L561" t="s">
        <v>446</v>
      </c>
      <c r="M561" t="s">
        <v>446</v>
      </c>
      <c r="N561">
        <v>128902</v>
      </c>
      <c r="O561">
        <f>INDEX(Counselor,MATCH(B561,KidIDs,0))</f>
        <v>0</v>
      </c>
      <c r="P561">
        <f>INDEX(Advisors,MATCH(B561,KidIDs,0))</f>
        <v>0</v>
      </c>
      <c r="Q561">
        <f>INDEX(Cohort,MATCH(B561,KidIDs,0))</f>
        <v>0</v>
      </c>
      <c r="R561">
        <f>INDEX(AllCollegeBarrons,MATCH(N561,AllCollegeNCES,0))</f>
        <v>0</v>
      </c>
      <c r="S561">
        <f>INDEX(KidGPAs,MATCH(B561,KidIDs,0))</f>
        <v>0</v>
      </c>
      <c r="T561">
        <f>INDEX(KidSATs,MATCH(B561,KidIDs,0))</f>
        <v>0</v>
      </c>
      <c r="U561">
        <f>INDEX(Strats,MATCH(B561,KidIDs,0))</f>
        <v>0</v>
      </c>
      <c r="V561">
        <f>INDEX(KidRace,MATCH(B561,KidIDs,0))</f>
        <v>0</v>
      </c>
      <c r="W561">
        <f>IF(OR(V561="M",V561="I"),"H",IF(V561="P","A",V561))</f>
        <v>0</v>
      </c>
      <c r="X561">
        <f>INDEX(StudentTargets,MATCH(B561,KidIDs,0))</f>
        <v>0</v>
      </c>
      <c r="Y561">
        <f>INDEX(ReachStudentTargets,MATCH(B561,KidIDs,0))</f>
        <v>0</v>
      </c>
      <c r="Z561">
        <f>IF(OR(M561="Posse"),1,0)</f>
        <v>0</v>
      </c>
      <c r="AA561">
        <f>IF(ISNUMBER(INDEX(AllCollegeGR, MATCH(N561,AllCollegeNCES,0))),ROUND(INDEX(AllCollegeGR, MATCH(N561,AllCollegeNCES,0))+Z561*IF(INDEX(AllCollegeGR, MATCH(N561,AllCollegeNCES,0))&gt;0.7,(1-INDEX(AllCollegeGR, MATCH(N561,AllCollegeNCES,0)))/2,0.15),2),INDEX(AllCollegeGR, MATCH(N561,AllCollegeNCES,0)))</f>
        <v>0</v>
      </c>
      <c r="AB561">
        <f>IF(ISNUMBER(INDEX(AllCollegeAAHGR, MATCH(N561,AllCollegeNCES,0))),ROUND(INDEX(AllCollegeAAHGR, MATCH(N561,AllCollegeNCES,0))+Z561*IF(INDEX(AllCollegeAAHGR, MATCH(N561,AllCollegeNCES,0))&gt;0.7,(1-INDEX(AllCollegeAAHGR, MATCH(N561,AllCollegeNCES,0)))/2,0.15),2),INDEX(AllCollegeAAHGR, MATCH(N561,AllCollegeNCES,0)))</f>
        <v>0</v>
      </c>
      <c r="AC561">
        <f>IF(OR(W561="H",W561="B"),INDEX(AllCollegeSAT25, MATCH(N561,AllCollegeNCES,0)),INDEX(AllCollegeSAT50, MATCH(N561,AllCollegeNCES,0)))</f>
        <v>0</v>
      </c>
      <c r="AD561">
        <f>INDEX(CustomWeightsGPA,MATCH(W561&amp;":"&amp;N561,CustomWeightsIndex,0))</f>
        <v>0</v>
      </c>
      <c r="AE561">
        <f>INDEX(CustomWeightsSAT,MATCH(W561&amp;":"&amp;N561,CustomWeightsIndex,0))</f>
        <v>0</v>
      </c>
      <c r="AF561">
        <f>INDEX(CustomWeightsIntercept,MATCH(W561&amp;":"&amp;N561,CustomWeightsIndex,0))</f>
        <v>0</v>
      </c>
      <c r="AG561">
        <f>AD561*S561+AE561*T561+AF561</f>
        <v>0</v>
      </c>
      <c r="AH561">
        <f>INDEX(CoefficientsGPA,MATCH(W561&amp;":"&amp;R561,CoefficientsIndex,0))</f>
        <v>0</v>
      </c>
      <c r="AI561">
        <f>INDEX(CoefficientsSAT,MATCH(W561&amp;":"&amp;R561,CoefficientsIndex,0))</f>
        <v>0</v>
      </c>
      <c r="AJ561">
        <f>INDEX(CoefficientsIntercept,MATCH(W561&amp;":"&amp;R561,CoefficientsIndex,0))</f>
        <v>0</v>
      </c>
      <c r="AK561">
        <f>AH561*S561+(T561-AC561)*AI561+AJ561</f>
        <v>0</v>
      </c>
      <c r="AL561">
        <f>IF(ISNUMBER(AG561),AG561,AK561)</f>
        <v>0</v>
      </c>
      <c r="AM561">
        <f>IF(ISNUMBER(AL561),IF(ISNUMBER(AH561),IF(AND(AH561=1,AI561=1,AJ561=1),100,MIN(99,ROUND(100*EXP(AL561)/(1+EXP(AL561)),2))),MIN(99,ROUND(100*EXP(AL561)/(1+EXP(AL561)),2))),IF(ISTEXT(R561),IF(LEFT(R561,1)="2",100,"N/A"),"N/A"))</f>
        <v>0</v>
      </c>
      <c r="AN561">
        <f>IF(ISNUMBER(AM561),IF(AM561&gt;=99,IF(OR(U561=10,U561=11),MatchLabel,SureThingLabel),IF(AM561&gt;=95,SecureLabel,IF(AM561&gt;=80,SafetyLabel,IF(AM561&gt;=50,MatchLabel,IF(AM561&gt;=20,ReachLabel,IF(AM561&gt;=10,LongshotLabel,HailMaryLabel)))))),"Other")</f>
        <v>0</v>
      </c>
      <c r="AO561">
        <f>IF(OR(I561="accepted",I561="cond. accept",I561="summer admit"),IF(J561="yes","CHOICE!","Accepted!"),IF(I561="guar. transfer","Guar. Xfer",IF(I561="denied","Denied",IF(K561=1,"Waitlist",IF(L561=1,"Deferred",IF(G561="pending","Pending",IF(OR(G561="initial materials submitted",G561="mid-year submitted",G561="final submitted"),"Submitted",IF(H561="interest","Interest","?"))))))))</f>
        <v>0</v>
      </c>
      <c r="AP561">
        <f>IF(OR(AN561=ReachLabel,AN561=LongshotLabel,AN561=HailMaryLabel),1,0)</f>
        <v>0</v>
      </c>
      <c r="AQ561">
        <f>IF(OR(AP561=1,AN561=MatchLabel),1,0)</f>
        <v>0</v>
      </c>
      <c r="AR561">
        <f>IF(OR(AN561=MatchLabel,AN561=SafetyLabel,AN561=SecureLabel,AN561=SureThingLabel),1,0)</f>
        <v>0</v>
      </c>
      <c r="AS561">
        <f>IF(OR(W561="H",W561="B",W561="I",W561="M"),IF(ISNUMBER(AB561),ROUND(AB561,2),0),IF(ISNUMBER(AA561),ROUND(AA561,2),0))</f>
        <v>0</v>
      </c>
      <c r="AT561">
        <f>IF(AS561&gt;=X561,1,0)</f>
        <v>0</v>
      </c>
      <c r="AU561">
        <f>IF(AS561&gt;=Y561,1,0)</f>
        <v>0</v>
      </c>
      <c r="AV561">
        <f>IF(AS561&lt;(X561-0.10),1,0)</f>
        <v>0</v>
      </c>
      <c r="AW561">
        <f>1-AM561/100</f>
        <v>0</v>
      </c>
      <c r="AX561">
        <f>IF(AQ561=1,AW561,1)</f>
        <v>0</v>
      </c>
      <c r="AY561">
        <f>IF(AP561=1,AW561,1)</f>
        <v>0</v>
      </c>
      <c r="AZ561">
        <f>IF(AND(AT561=1,ISNUMBER(AW561)),$AW561,1)</f>
        <v>0</v>
      </c>
      <c r="BA561">
        <f>IF(AND(AU561=1,ISNUMBER(AW561)),$AW561,1)</f>
        <v>0</v>
      </c>
      <c r="BB561">
        <f>IF(ISNUMBER(AB561),INDEX(AllCollegeMoney, MATCH(N561,AllCollegeNCES,0)),0)</f>
        <v>0</v>
      </c>
      <c r="BC561">
        <f>IF(AND(AT561=1,ISNUMBER(AW561),BB561=1),$AW561,1)</f>
        <v>0</v>
      </c>
      <c r="BD561">
        <f>IF(AND(AU561=1,ISNUMBER(AW561),BB561=1),$AW561,1)</f>
        <v>0</v>
      </c>
      <c r="BE561">
        <f>IF(ISNUMBER(AB561),INDEX(AllCollegeILPub, MATCH(N561,AllCollegeNCES,0)),0)</f>
        <v>0</v>
      </c>
      <c r="BF561">
        <f>IF(AN561=ReachLabel,AS561,0)</f>
        <v>0</v>
      </c>
      <c r="BG561">
        <f>IF(AN561=MatchLabel,AS561,0)</f>
        <v>0</v>
      </c>
      <c r="BH561">
        <f>IF(AN561=SafetyLabel,AS561,0)</f>
        <v>0</v>
      </c>
      <c r="BI561">
        <f>IF(AN561=SecureLabel,AS561,0)</f>
        <v>0</v>
      </c>
      <c r="BJ561">
        <f>IF(AN561=SureThingLabel,AS561,0)</f>
        <v>0</v>
      </c>
      <c r="BK561">
        <f>MAX(BF561:BJ561)</f>
        <v>0</v>
      </c>
      <c r="BL561">
        <f>MAX(BG561:BJ561)</f>
        <v>0</v>
      </c>
      <c r="BM561">
        <f>MAX(BH561:BJ561)</f>
        <v>0</v>
      </c>
      <c r="BN561">
        <f>IF(AND(AN561=ReachLabel,BB561=1),AS561,0)</f>
        <v>0</v>
      </c>
      <c r="BO561">
        <f>IF(AND(AN561=MatchLabel,BB561=1),AS561,0)</f>
        <v>0</v>
      </c>
      <c r="BP561">
        <f>IF(AND(AN561=SafetyLabel,BB561=1),AS561,0)</f>
        <v>0</v>
      </c>
      <c r="BQ561">
        <f>IF(AND(AN561=SecureLabel,BB561=1),AS561,0)</f>
        <v>0</v>
      </c>
      <c r="BR561">
        <f>IF(AND(AN561=SureThingLabel,BB561=1),AS561,0)</f>
        <v>0</v>
      </c>
      <c r="BS561">
        <f>MAX(BN561:BR561)</f>
        <v>0</v>
      </c>
      <c r="BT561">
        <f>MAX(BO561:BR561)</f>
        <v>0</v>
      </c>
      <c r="BU561">
        <f>MAX(BP561:BR561)</f>
        <v>0</v>
      </c>
      <c r="BV561">
        <f>IF(ISNUMBER(AB561),INDEX(AllCollegeChicago, MATCH(N561,AllCollegeNCES,0))*BB561,0)</f>
        <v>0</v>
      </c>
      <c r="BW561">
        <f>IF(ISNUMBER(AB561),INDEX(AllCollegeMoneyCode, MATCH(N561,AllCollegeNCES,0)),"?")</f>
        <v>0</v>
      </c>
      <c r="BX561">
        <f>IF(OR(BW561="---",BW561="--",BW561="+/--",BW561="+/---"),1,0)</f>
        <v>0</v>
      </c>
      <c r="BY561">
        <f>BB561*AR561*AT561</f>
        <v>0</v>
      </c>
    </row>
    <row r="562" spans="1:77">
      <c r="A562" t="s">
        <v>96</v>
      </c>
      <c r="B562">
        <v>23478500</v>
      </c>
      <c r="C562" t="s">
        <v>127</v>
      </c>
      <c r="D562" t="s">
        <v>128</v>
      </c>
      <c r="E562" t="s">
        <v>446</v>
      </c>
      <c r="F562" t="s">
        <v>585</v>
      </c>
      <c r="G562" t="s">
        <v>448</v>
      </c>
      <c r="H562" t="s">
        <v>449</v>
      </c>
      <c r="I562" t="s">
        <v>450</v>
      </c>
      <c r="J562" t="s">
        <v>450</v>
      </c>
      <c r="K562">
        <v>0</v>
      </c>
      <c r="L562" t="s">
        <v>446</v>
      </c>
      <c r="M562" t="s">
        <v>446</v>
      </c>
      <c r="N562">
        <v>130590</v>
      </c>
      <c r="O562">
        <f>INDEX(Counselor,MATCH(B562,KidIDs,0))</f>
        <v>0</v>
      </c>
      <c r="P562">
        <f>INDEX(Advisors,MATCH(B562,KidIDs,0))</f>
        <v>0</v>
      </c>
      <c r="Q562">
        <f>INDEX(Cohort,MATCH(B562,KidIDs,0))</f>
        <v>0</v>
      </c>
      <c r="R562">
        <f>INDEX(AllCollegeBarrons,MATCH(N562,AllCollegeNCES,0))</f>
        <v>0</v>
      </c>
      <c r="S562">
        <f>INDEX(KidGPAs,MATCH(B562,KidIDs,0))</f>
        <v>0</v>
      </c>
      <c r="T562">
        <f>INDEX(KidSATs,MATCH(B562,KidIDs,0))</f>
        <v>0</v>
      </c>
      <c r="U562">
        <f>INDEX(Strats,MATCH(B562,KidIDs,0))</f>
        <v>0</v>
      </c>
      <c r="V562">
        <f>INDEX(KidRace,MATCH(B562,KidIDs,0))</f>
        <v>0</v>
      </c>
      <c r="W562">
        <f>IF(OR(V562="M",V562="I"),"H",IF(V562="P","A",V562))</f>
        <v>0</v>
      </c>
      <c r="X562">
        <f>INDEX(StudentTargets,MATCH(B562,KidIDs,0))</f>
        <v>0</v>
      </c>
      <c r="Y562">
        <f>INDEX(ReachStudentTargets,MATCH(B562,KidIDs,0))</f>
        <v>0</v>
      </c>
      <c r="Z562">
        <f>IF(OR(M562="Posse"),1,0)</f>
        <v>0</v>
      </c>
      <c r="AA562">
        <f>IF(ISNUMBER(INDEX(AllCollegeGR, MATCH(N562,AllCollegeNCES,0))),ROUND(INDEX(AllCollegeGR, MATCH(N562,AllCollegeNCES,0))+Z562*IF(INDEX(AllCollegeGR, MATCH(N562,AllCollegeNCES,0))&gt;0.7,(1-INDEX(AllCollegeGR, MATCH(N562,AllCollegeNCES,0)))/2,0.15),2),INDEX(AllCollegeGR, MATCH(N562,AllCollegeNCES,0)))</f>
        <v>0</v>
      </c>
      <c r="AB562">
        <f>IF(ISNUMBER(INDEX(AllCollegeAAHGR, MATCH(N562,AllCollegeNCES,0))),ROUND(INDEX(AllCollegeAAHGR, MATCH(N562,AllCollegeNCES,0))+Z562*IF(INDEX(AllCollegeAAHGR, MATCH(N562,AllCollegeNCES,0))&gt;0.7,(1-INDEX(AllCollegeAAHGR, MATCH(N562,AllCollegeNCES,0)))/2,0.15),2),INDEX(AllCollegeAAHGR, MATCH(N562,AllCollegeNCES,0)))</f>
        <v>0</v>
      </c>
      <c r="AC562">
        <f>IF(OR(W562="H",W562="B"),INDEX(AllCollegeSAT25, MATCH(N562,AllCollegeNCES,0)),INDEX(AllCollegeSAT50, MATCH(N562,AllCollegeNCES,0)))</f>
        <v>0</v>
      </c>
      <c r="AD562">
        <f>INDEX(CustomWeightsGPA,MATCH(W562&amp;":"&amp;N562,CustomWeightsIndex,0))</f>
        <v>0</v>
      </c>
      <c r="AE562">
        <f>INDEX(CustomWeightsSAT,MATCH(W562&amp;":"&amp;N562,CustomWeightsIndex,0))</f>
        <v>0</v>
      </c>
      <c r="AF562">
        <f>INDEX(CustomWeightsIntercept,MATCH(W562&amp;":"&amp;N562,CustomWeightsIndex,0))</f>
        <v>0</v>
      </c>
      <c r="AG562">
        <f>AD562*S562+AE562*T562+AF562</f>
        <v>0</v>
      </c>
      <c r="AH562">
        <f>INDEX(CoefficientsGPA,MATCH(W562&amp;":"&amp;R562,CoefficientsIndex,0))</f>
        <v>0</v>
      </c>
      <c r="AI562">
        <f>INDEX(CoefficientsSAT,MATCH(W562&amp;":"&amp;R562,CoefficientsIndex,0))</f>
        <v>0</v>
      </c>
      <c r="AJ562">
        <f>INDEX(CoefficientsIntercept,MATCH(W562&amp;":"&amp;R562,CoefficientsIndex,0))</f>
        <v>0</v>
      </c>
      <c r="AK562">
        <f>AH562*S562+(T562-AC562)*AI562+AJ562</f>
        <v>0</v>
      </c>
      <c r="AL562">
        <f>IF(ISNUMBER(AG562),AG562,AK562)</f>
        <v>0</v>
      </c>
      <c r="AM562">
        <f>IF(ISNUMBER(AL562),IF(ISNUMBER(AH562),IF(AND(AH562=1,AI562=1,AJ562=1),100,MIN(99,ROUND(100*EXP(AL562)/(1+EXP(AL562)),2))),MIN(99,ROUND(100*EXP(AL562)/(1+EXP(AL562)),2))),IF(ISTEXT(R562),IF(LEFT(R562,1)="2",100,"N/A"),"N/A"))</f>
        <v>0</v>
      </c>
      <c r="AN562">
        <f>IF(ISNUMBER(AM562),IF(AM562&gt;=99,IF(OR(U562=10,U562=11),MatchLabel,SureThingLabel),IF(AM562&gt;=95,SecureLabel,IF(AM562&gt;=80,SafetyLabel,IF(AM562&gt;=50,MatchLabel,IF(AM562&gt;=20,ReachLabel,IF(AM562&gt;=10,LongshotLabel,HailMaryLabel)))))),"Other")</f>
        <v>0</v>
      </c>
      <c r="AO562">
        <f>IF(OR(I562="accepted",I562="cond. accept",I562="summer admit"),IF(J562="yes","CHOICE!","Accepted!"),IF(I562="guar. transfer","Guar. Xfer",IF(I562="denied","Denied",IF(K562=1,"Waitlist",IF(L562=1,"Deferred",IF(G562="pending","Pending",IF(OR(G562="initial materials submitted",G562="mid-year submitted",G562="final submitted"),"Submitted",IF(H562="interest","Interest","?"))))))))</f>
        <v>0</v>
      </c>
      <c r="AP562">
        <f>IF(OR(AN562=ReachLabel,AN562=LongshotLabel,AN562=HailMaryLabel),1,0)</f>
        <v>0</v>
      </c>
      <c r="AQ562">
        <f>IF(OR(AP562=1,AN562=MatchLabel),1,0)</f>
        <v>0</v>
      </c>
      <c r="AR562">
        <f>IF(OR(AN562=MatchLabel,AN562=SafetyLabel,AN562=SecureLabel,AN562=SureThingLabel),1,0)</f>
        <v>0</v>
      </c>
      <c r="AS562">
        <f>IF(OR(W562="H",W562="B",W562="I",W562="M"),IF(ISNUMBER(AB562),ROUND(AB562,2),0),IF(ISNUMBER(AA562),ROUND(AA562,2),0))</f>
        <v>0</v>
      </c>
      <c r="AT562">
        <f>IF(AS562&gt;=X562,1,0)</f>
        <v>0</v>
      </c>
      <c r="AU562">
        <f>IF(AS562&gt;=Y562,1,0)</f>
        <v>0</v>
      </c>
      <c r="AV562">
        <f>IF(AS562&lt;(X562-0.10),1,0)</f>
        <v>0</v>
      </c>
      <c r="AW562">
        <f>1-AM562/100</f>
        <v>0</v>
      </c>
      <c r="AX562">
        <f>IF(AQ562=1,AW562,1)</f>
        <v>0</v>
      </c>
      <c r="AY562">
        <f>IF(AP562=1,AW562,1)</f>
        <v>0</v>
      </c>
      <c r="AZ562">
        <f>IF(AND(AT562=1,ISNUMBER(AW562)),$AW562,1)</f>
        <v>0</v>
      </c>
      <c r="BA562">
        <f>IF(AND(AU562=1,ISNUMBER(AW562)),$AW562,1)</f>
        <v>0</v>
      </c>
      <c r="BB562">
        <f>IF(ISNUMBER(AB562),INDEX(AllCollegeMoney, MATCH(N562,AllCollegeNCES,0)),0)</f>
        <v>0</v>
      </c>
      <c r="BC562">
        <f>IF(AND(AT562=1,ISNUMBER(AW562),BB562=1),$AW562,1)</f>
        <v>0</v>
      </c>
      <c r="BD562">
        <f>IF(AND(AU562=1,ISNUMBER(AW562),BB562=1),$AW562,1)</f>
        <v>0</v>
      </c>
      <c r="BE562">
        <f>IF(ISNUMBER(AB562),INDEX(AllCollegeILPub, MATCH(N562,AllCollegeNCES,0)),0)</f>
        <v>0</v>
      </c>
      <c r="BF562">
        <f>IF(AN562=ReachLabel,AS562,0)</f>
        <v>0</v>
      </c>
      <c r="BG562">
        <f>IF(AN562=MatchLabel,AS562,0)</f>
        <v>0</v>
      </c>
      <c r="BH562">
        <f>IF(AN562=SafetyLabel,AS562,0)</f>
        <v>0</v>
      </c>
      <c r="BI562">
        <f>IF(AN562=SecureLabel,AS562,0)</f>
        <v>0</v>
      </c>
      <c r="BJ562">
        <f>IF(AN562=SureThingLabel,AS562,0)</f>
        <v>0</v>
      </c>
      <c r="BK562">
        <f>MAX(BF562:BJ562)</f>
        <v>0</v>
      </c>
      <c r="BL562">
        <f>MAX(BG562:BJ562)</f>
        <v>0</v>
      </c>
      <c r="BM562">
        <f>MAX(BH562:BJ562)</f>
        <v>0</v>
      </c>
      <c r="BN562">
        <f>IF(AND(AN562=ReachLabel,BB562=1),AS562,0)</f>
        <v>0</v>
      </c>
      <c r="BO562">
        <f>IF(AND(AN562=MatchLabel,BB562=1),AS562,0)</f>
        <v>0</v>
      </c>
      <c r="BP562">
        <f>IF(AND(AN562=SafetyLabel,BB562=1),AS562,0)</f>
        <v>0</v>
      </c>
      <c r="BQ562">
        <f>IF(AND(AN562=SecureLabel,BB562=1),AS562,0)</f>
        <v>0</v>
      </c>
      <c r="BR562">
        <f>IF(AND(AN562=SureThingLabel,BB562=1),AS562,0)</f>
        <v>0</v>
      </c>
      <c r="BS562">
        <f>MAX(BN562:BR562)</f>
        <v>0</v>
      </c>
      <c r="BT562">
        <f>MAX(BO562:BR562)</f>
        <v>0</v>
      </c>
      <c r="BU562">
        <f>MAX(BP562:BR562)</f>
        <v>0</v>
      </c>
      <c r="BV562">
        <f>IF(ISNUMBER(AB562),INDEX(AllCollegeChicago, MATCH(N562,AllCollegeNCES,0))*BB562,0)</f>
        <v>0</v>
      </c>
      <c r="BW562">
        <f>IF(ISNUMBER(AB562),INDEX(AllCollegeMoneyCode, MATCH(N562,AllCollegeNCES,0)),"?")</f>
        <v>0</v>
      </c>
      <c r="BX562">
        <f>IF(OR(BW562="---",BW562="--",BW562="+/--",BW562="+/---"),1,0)</f>
        <v>0</v>
      </c>
      <c r="BY562">
        <f>BB562*AR562*AT562</f>
        <v>0</v>
      </c>
    </row>
    <row r="563" spans="1:77">
      <c r="A563" t="s">
        <v>96</v>
      </c>
      <c r="B563">
        <v>23478500</v>
      </c>
      <c r="C563" t="s">
        <v>127</v>
      </c>
      <c r="D563" t="s">
        <v>128</v>
      </c>
      <c r="E563" t="s">
        <v>446</v>
      </c>
      <c r="F563" t="s">
        <v>471</v>
      </c>
      <c r="G563" t="s">
        <v>448</v>
      </c>
      <c r="H563" t="s">
        <v>449</v>
      </c>
      <c r="I563" t="s">
        <v>450</v>
      </c>
      <c r="J563" t="s">
        <v>450</v>
      </c>
      <c r="K563">
        <v>0</v>
      </c>
      <c r="L563" t="s">
        <v>446</v>
      </c>
      <c r="M563" t="s">
        <v>446</v>
      </c>
      <c r="N563">
        <v>202523</v>
      </c>
      <c r="O563">
        <f>INDEX(Counselor,MATCH(B563,KidIDs,0))</f>
        <v>0</v>
      </c>
      <c r="P563">
        <f>INDEX(Advisors,MATCH(B563,KidIDs,0))</f>
        <v>0</v>
      </c>
      <c r="Q563">
        <f>INDEX(Cohort,MATCH(B563,KidIDs,0))</f>
        <v>0</v>
      </c>
      <c r="R563">
        <f>INDEX(AllCollegeBarrons,MATCH(N563,AllCollegeNCES,0))</f>
        <v>0</v>
      </c>
      <c r="S563">
        <f>INDEX(KidGPAs,MATCH(B563,KidIDs,0))</f>
        <v>0</v>
      </c>
      <c r="T563">
        <f>INDEX(KidSATs,MATCH(B563,KidIDs,0))</f>
        <v>0</v>
      </c>
      <c r="U563">
        <f>INDEX(Strats,MATCH(B563,KidIDs,0))</f>
        <v>0</v>
      </c>
      <c r="V563">
        <f>INDEX(KidRace,MATCH(B563,KidIDs,0))</f>
        <v>0</v>
      </c>
      <c r="W563">
        <f>IF(OR(V563="M",V563="I"),"H",IF(V563="P","A",V563))</f>
        <v>0</v>
      </c>
      <c r="X563">
        <f>INDEX(StudentTargets,MATCH(B563,KidIDs,0))</f>
        <v>0</v>
      </c>
      <c r="Y563">
        <f>INDEX(ReachStudentTargets,MATCH(B563,KidIDs,0))</f>
        <v>0</v>
      </c>
      <c r="Z563">
        <f>IF(OR(M563="Posse"),1,0)</f>
        <v>0</v>
      </c>
      <c r="AA563">
        <f>IF(ISNUMBER(INDEX(AllCollegeGR, MATCH(N563,AllCollegeNCES,0))),ROUND(INDEX(AllCollegeGR, MATCH(N563,AllCollegeNCES,0))+Z563*IF(INDEX(AllCollegeGR, MATCH(N563,AllCollegeNCES,0))&gt;0.7,(1-INDEX(AllCollegeGR, MATCH(N563,AllCollegeNCES,0)))/2,0.15),2),INDEX(AllCollegeGR, MATCH(N563,AllCollegeNCES,0)))</f>
        <v>0</v>
      </c>
      <c r="AB563">
        <f>IF(ISNUMBER(INDEX(AllCollegeAAHGR, MATCH(N563,AllCollegeNCES,0))),ROUND(INDEX(AllCollegeAAHGR, MATCH(N563,AllCollegeNCES,0))+Z563*IF(INDEX(AllCollegeAAHGR, MATCH(N563,AllCollegeNCES,0))&gt;0.7,(1-INDEX(AllCollegeAAHGR, MATCH(N563,AllCollegeNCES,0)))/2,0.15),2),INDEX(AllCollegeAAHGR, MATCH(N563,AllCollegeNCES,0)))</f>
        <v>0</v>
      </c>
      <c r="AC563">
        <f>IF(OR(W563="H",W563="B"),INDEX(AllCollegeSAT25, MATCH(N563,AllCollegeNCES,0)),INDEX(AllCollegeSAT50, MATCH(N563,AllCollegeNCES,0)))</f>
        <v>0</v>
      </c>
      <c r="AD563">
        <f>INDEX(CustomWeightsGPA,MATCH(W563&amp;":"&amp;N563,CustomWeightsIndex,0))</f>
        <v>0</v>
      </c>
      <c r="AE563">
        <f>INDEX(CustomWeightsSAT,MATCH(W563&amp;":"&amp;N563,CustomWeightsIndex,0))</f>
        <v>0</v>
      </c>
      <c r="AF563">
        <f>INDEX(CustomWeightsIntercept,MATCH(W563&amp;":"&amp;N563,CustomWeightsIndex,0))</f>
        <v>0</v>
      </c>
      <c r="AG563">
        <f>AD563*S563+AE563*T563+AF563</f>
        <v>0</v>
      </c>
      <c r="AH563">
        <f>INDEX(CoefficientsGPA,MATCH(W563&amp;":"&amp;R563,CoefficientsIndex,0))</f>
        <v>0</v>
      </c>
      <c r="AI563">
        <f>INDEX(CoefficientsSAT,MATCH(W563&amp;":"&amp;R563,CoefficientsIndex,0))</f>
        <v>0</v>
      </c>
      <c r="AJ563">
        <f>INDEX(CoefficientsIntercept,MATCH(W563&amp;":"&amp;R563,CoefficientsIndex,0))</f>
        <v>0</v>
      </c>
      <c r="AK563">
        <f>AH563*S563+(T563-AC563)*AI563+AJ563</f>
        <v>0</v>
      </c>
      <c r="AL563">
        <f>IF(ISNUMBER(AG563),AG563,AK563)</f>
        <v>0</v>
      </c>
      <c r="AM563">
        <f>IF(ISNUMBER(AL563),IF(ISNUMBER(AH563),IF(AND(AH563=1,AI563=1,AJ563=1),100,MIN(99,ROUND(100*EXP(AL563)/(1+EXP(AL563)),2))),MIN(99,ROUND(100*EXP(AL563)/(1+EXP(AL563)),2))),IF(ISTEXT(R563),IF(LEFT(R563,1)="2",100,"N/A"),"N/A"))</f>
        <v>0</v>
      </c>
      <c r="AN563">
        <f>IF(ISNUMBER(AM563),IF(AM563&gt;=99,IF(OR(U563=10,U563=11),MatchLabel,SureThingLabel),IF(AM563&gt;=95,SecureLabel,IF(AM563&gt;=80,SafetyLabel,IF(AM563&gt;=50,MatchLabel,IF(AM563&gt;=20,ReachLabel,IF(AM563&gt;=10,LongshotLabel,HailMaryLabel)))))),"Other")</f>
        <v>0</v>
      </c>
      <c r="AO563">
        <f>IF(OR(I563="accepted",I563="cond. accept",I563="summer admit"),IF(J563="yes","CHOICE!","Accepted!"),IF(I563="guar. transfer","Guar. Xfer",IF(I563="denied","Denied",IF(K563=1,"Waitlist",IF(L563=1,"Deferred",IF(G563="pending","Pending",IF(OR(G563="initial materials submitted",G563="mid-year submitted",G563="final submitted"),"Submitted",IF(H563="interest","Interest","?"))))))))</f>
        <v>0</v>
      </c>
      <c r="AP563">
        <f>IF(OR(AN563=ReachLabel,AN563=LongshotLabel,AN563=HailMaryLabel),1,0)</f>
        <v>0</v>
      </c>
      <c r="AQ563">
        <f>IF(OR(AP563=1,AN563=MatchLabel),1,0)</f>
        <v>0</v>
      </c>
      <c r="AR563">
        <f>IF(OR(AN563=MatchLabel,AN563=SafetyLabel,AN563=SecureLabel,AN563=SureThingLabel),1,0)</f>
        <v>0</v>
      </c>
      <c r="AS563">
        <f>IF(OR(W563="H",W563="B",W563="I",W563="M"),IF(ISNUMBER(AB563),ROUND(AB563,2),0),IF(ISNUMBER(AA563),ROUND(AA563,2),0))</f>
        <v>0</v>
      </c>
      <c r="AT563">
        <f>IF(AS563&gt;=X563,1,0)</f>
        <v>0</v>
      </c>
      <c r="AU563">
        <f>IF(AS563&gt;=Y563,1,0)</f>
        <v>0</v>
      </c>
      <c r="AV563">
        <f>IF(AS563&lt;(X563-0.10),1,0)</f>
        <v>0</v>
      </c>
      <c r="AW563">
        <f>1-AM563/100</f>
        <v>0</v>
      </c>
      <c r="AX563">
        <f>IF(AQ563=1,AW563,1)</f>
        <v>0</v>
      </c>
      <c r="AY563">
        <f>IF(AP563=1,AW563,1)</f>
        <v>0</v>
      </c>
      <c r="AZ563">
        <f>IF(AND(AT563=1,ISNUMBER(AW563)),$AW563,1)</f>
        <v>0</v>
      </c>
      <c r="BA563">
        <f>IF(AND(AU563=1,ISNUMBER(AW563)),$AW563,1)</f>
        <v>0</v>
      </c>
      <c r="BB563">
        <f>IF(ISNUMBER(AB563),INDEX(AllCollegeMoney, MATCH(N563,AllCollegeNCES,0)),0)</f>
        <v>0</v>
      </c>
      <c r="BC563">
        <f>IF(AND(AT563=1,ISNUMBER(AW563),BB563=1),$AW563,1)</f>
        <v>0</v>
      </c>
      <c r="BD563">
        <f>IF(AND(AU563=1,ISNUMBER(AW563),BB563=1),$AW563,1)</f>
        <v>0</v>
      </c>
      <c r="BE563">
        <f>IF(ISNUMBER(AB563),INDEX(AllCollegeILPub, MATCH(N563,AllCollegeNCES,0)),0)</f>
        <v>0</v>
      </c>
      <c r="BF563">
        <f>IF(AN563=ReachLabel,AS563,0)</f>
        <v>0</v>
      </c>
      <c r="BG563">
        <f>IF(AN563=MatchLabel,AS563,0)</f>
        <v>0</v>
      </c>
      <c r="BH563">
        <f>IF(AN563=SafetyLabel,AS563,0)</f>
        <v>0</v>
      </c>
      <c r="BI563">
        <f>IF(AN563=SecureLabel,AS563,0)</f>
        <v>0</v>
      </c>
      <c r="BJ563">
        <f>IF(AN563=SureThingLabel,AS563,0)</f>
        <v>0</v>
      </c>
      <c r="BK563">
        <f>MAX(BF563:BJ563)</f>
        <v>0</v>
      </c>
      <c r="BL563">
        <f>MAX(BG563:BJ563)</f>
        <v>0</v>
      </c>
      <c r="BM563">
        <f>MAX(BH563:BJ563)</f>
        <v>0</v>
      </c>
      <c r="BN563">
        <f>IF(AND(AN563=ReachLabel,BB563=1),AS563,0)</f>
        <v>0</v>
      </c>
      <c r="BO563">
        <f>IF(AND(AN563=MatchLabel,BB563=1),AS563,0)</f>
        <v>0</v>
      </c>
      <c r="BP563">
        <f>IF(AND(AN563=SafetyLabel,BB563=1),AS563,0)</f>
        <v>0</v>
      </c>
      <c r="BQ563">
        <f>IF(AND(AN563=SecureLabel,BB563=1),AS563,0)</f>
        <v>0</v>
      </c>
      <c r="BR563">
        <f>IF(AND(AN563=SureThingLabel,BB563=1),AS563,0)</f>
        <v>0</v>
      </c>
      <c r="BS563">
        <f>MAX(BN563:BR563)</f>
        <v>0</v>
      </c>
      <c r="BT563">
        <f>MAX(BO563:BR563)</f>
        <v>0</v>
      </c>
      <c r="BU563">
        <f>MAX(BP563:BR563)</f>
        <v>0</v>
      </c>
      <c r="BV563">
        <f>IF(ISNUMBER(AB563),INDEX(AllCollegeChicago, MATCH(N563,AllCollegeNCES,0))*BB563,0)</f>
        <v>0</v>
      </c>
      <c r="BW563">
        <f>IF(ISNUMBER(AB563),INDEX(AllCollegeMoneyCode, MATCH(N563,AllCollegeNCES,0)),"?")</f>
        <v>0</v>
      </c>
      <c r="BX563">
        <f>IF(OR(BW563="---",BW563="--",BW563="+/--",BW563="+/---"),1,0)</f>
        <v>0</v>
      </c>
      <c r="BY563">
        <f>BB563*AR563*AT563</f>
        <v>0</v>
      </c>
    </row>
    <row r="564" spans="1:77">
      <c r="A564" t="s">
        <v>96</v>
      </c>
      <c r="B564">
        <v>23478500</v>
      </c>
      <c r="C564" t="s">
        <v>127</v>
      </c>
      <c r="D564" t="s">
        <v>128</v>
      </c>
      <c r="E564" t="s">
        <v>446</v>
      </c>
      <c r="F564" t="s">
        <v>472</v>
      </c>
      <c r="G564" t="s">
        <v>448</v>
      </c>
      <c r="H564" t="s">
        <v>449</v>
      </c>
      <c r="I564" t="s">
        <v>450</v>
      </c>
      <c r="J564" t="s">
        <v>450</v>
      </c>
      <c r="K564">
        <v>0</v>
      </c>
      <c r="L564" t="s">
        <v>446</v>
      </c>
      <c r="M564" t="s">
        <v>446</v>
      </c>
      <c r="N564">
        <v>212674</v>
      </c>
      <c r="O564">
        <f>INDEX(Counselor,MATCH(B564,KidIDs,0))</f>
        <v>0</v>
      </c>
      <c r="P564">
        <f>INDEX(Advisors,MATCH(B564,KidIDs,0))</f>
        <v>0</v>
      </c>
      <c r="Q564">
        <f>INDEX(Cohort,MATCH(B564,KidIDs,0))</f>
        <v>0</v>
      </c>
      <c r="R564">
        <f>INDEX(AllCollegeBarrons,MATCH(N564,AllCollegeNCES,0))</f>
        <v>0</v>
      </c>
      <c r="S564">
        <f>INDEX(KidGPAs,MATCH(B564,KidIDs,0))</f>
        <v>0</v>
      </c>
      <c r="T564">
        <f>INDEX(KidSATs,MATCH(B564,KidIDs,0))</f>
        <v>0</v>
      </c>
      <c r="U564">
        <f>INDEX(Strats,MATCH(B564,KidIDs,0))</f>
        <v>0</v>
      </c>
      <c r="V564">
        <f>INDEX(KidRace,MATCH(B564,KidIDs,0))</f>
        <v>0</v>
      </c>
      <c r="W564">
        <f>IF(OR(V564="M",V564="I"),"H",IF(V564="P","A",V564))</f>
        <v>0</v>
      </c>
      <c r="X564">
        <f>INDEX(StudentTargets,MATCH(B564,KidIDs,0))</f>
        <v>0</v>
      </c>
      <c r="Y564">
        <f>INDEX(ReachStudentTargets,MATCH(B564,KidIDs,0))</f>
        <v>0</v>
      </c>
      <c r="Z564">
        <f>IF(OR(M564="Posse"),1,0)</f>
        <v>0</v>
      </c>
      <c r="AA564">
        <f>IF(ISNUMBER(INDEX(AllCollegeGR, MATCH(N564,AllCollegeNCES,0))),ROUND(INDEX(AllCollegeGR, MATCH(N564,AllCollegeNCES,0))+Z564*IF(INDEX(AllCollegeGR, MATCH(N564,AllCollegeNCES,0))&gt;0.7,(1-INDEX(AllCollegeGR, MATCH(N564,AllCollegeNCES,0)))/2,0.15),2),INDEX(AllCollegeGR, MATCH(N564,AllCollegeNCES,0)))</f>
        <v>0</v>
      </c>
      <c r="AB564">
        <f>IF(ISNUMBER(INDEX(AllCollegeAAHGR, MATCH(N564,AllCollegeNCES,0))),ROUND(INDEX(AllCollegeAAHGR, MATCH(N564,AllCollegeNCES,0))+Z564*IF(INDEX(AllCollegeAAHGR, MATCH(N564,AllCollegeNCES,0))&gt;0.7,(1-INDEX(AllCollegeAAHGR, MATCH(N564,AllCollegeNCES,0)))/2,0.15),2),INDEX(AllCollegeAAHGR, MATCH(N564,AllCollegeNCES,0)))</f>
        <v>0</v>
      </c>
      <c r="AC564">
        <f>IF(OR(W564="H",W564="B"),INDEX(AllCollegeSAT25, MATCH(N564,AllCollegeNCES,0)),INDEX(AllCollegeSAT50, MATCH(N564,AllCollegeNCES,0)))</f>
        <v>0</v>
      </c>
      <c r="AD564">
        <f>INDEX(CustomWeightsGPA,MATCH(W564&amp;":"&amp;N564,CustomWeightsIndex,0))</f>
        <v>0</v>
      </c>
      <c r="AE564">
        <f>INDEX(CustomWeightsSAT,MATCH(W564&amp;":"&amp;N564,CustomWeightsIndex,0))</f>
        <v>0</v>
      </c>
      <c r="AF564">
        <f>INDEX(CustomWeightsIntercept,MATCH(W564&amp;":"&amp;N564,CustomWeightsIndex,0))</f>
        <v>0</v>
      </c>
      <c r="AG564">
        <f>AD564*S564+AE564*T564+AF564</f>
        <v>0</v>
      </c>
      <c r="AH564">
        <f>INDEX(CoefficientsGPA,MATCH(W564&amp;":"&amp;R564,CoefficientsIndex,0))</f>
        <v>0</v>
      </c>
      <c r="AI564">
        <f>INDEX(CoefficientsSAT,MATCH(W564&amp;":"&amp;R564,CoefficientsIndex,0))</f>
        <v>0</v>
      </c>
      <c r="AJ564">
        <f>INDEX(CoefficientsIntercept,MATCH(W564&amp;":"&amp;R564,CoefficientsIndex,0))</f>
        <v>0</v>
      </c>
      <c r="AK564">
        <f>AH564*S564+(T564-AC564)*AI564+AJ564</f>
        <v>0</v>
      </c>
      <c r="AL564">
        <f>IF(ISNUMBER(AG564),AG564,AK564)</f>
        <v>0</v>
      </c>
      <c r="AM564">
        <f>IF(ISNUMBER(AL564),IF(ISNUMBER(AH564),IF(AND(AH564=1,AI564=1,AJ564=1),100,MIN(99,ROUND(100*EXP(AL564)/(1+EXP(AL564)),2))),MIN(99,ROUND(100*EXP(AL564)/(1+EXP(AL564)),2))),IF(ISTEXT(R564),IF(LEFT(R564,1)="2",100,"N/A"),"N/A"))</f>
        <v>0</v>
      </c>
      <c r="AN564">
        <f>IF(ISNUMBER(AM564),IF(AM564&gt;=99,IF(OR(U564=10,U564=11),MatchLabel,SureThingLabel),IF(AM564&gt;=95,SecureLabel,IF(AM564&gt;=80,SafetyLabel,IF(AM564&gt;=50,MatchLabel,IF(AM564&gt;=20,ReachLabel,IF(AM564&gt;=10,LongshotLabel,HailMaryLabel)))))),"Other")</f>
        <v>0</v>
      </c>
      <c r="AO564">
        <f>IF(OR(I564="accepted",I564="cond. accept",I564="summer admit"),IF(J564="yes","CHOICE!","Accepted!"),IF(I564="guar. transfer","Guar. Xfer",IF(I564="denied","Denied",IF(K564=1,"Waitlist",IF(L564=1,"Deferred",IF(G564="pending","Pending",IF(OR(G564="initial materials submitted",G564="mid-year submitted",G564="final submitted"),"Submitted",IF(H564="interest","Interest","?"))))))))</f>
        <v>0</v>
      </c>
      <c r="AP564">
        <f>IF(OR(AN564=ReachLabel,AN564=LongshotLabel,AN564=HailMaryLabel),1,0)</f>
        <v>0</v>
      </c>
      <c r="AQ564">
        <f>IF(OR(AP564=1,AN564=MatchLabel),1,0)</f>
        <v>0</v>
      </c>
      <c r="AR564">
        <f>IF(OR(AN564=MatchLabel,AN564=SafetyLabel,AN564=SecureLabel,AN564=SureThingLabel),1,0)</f>
        <v>0</v>
      </c>
      <c r="AS564">
        <f>IF(OR(W564="H",W564="B",W564="I",W564="M"),IF(ISNUMBER(AB564),ROUND(AB564,2),0),IF(ISNUMBER(AA564),ROUND(AA564,2),0))</f>
        <v>0</v>
      </c>
      <c r="AT564">
        <f>IF(AS564&gt;=X564,1,0)</f>
        <v>0</v>
      </c>
      <c r="AU564">
        <f>IF(AS564&gt;=Y564,1,0)</f>
        <v>0</v>
      </c>
      <c r="AV564">
        <f>IF(AS564&lt;(X564-0.10),1,0)</f>
        <v>0</v>
      </c>
      <c r="AW564">
        <f>1-AM564/100</f>
        <v>0</v>
      </c>
      <c r="AX564">
        <f>IF(AQ564=1,AW564,1)</f>
        <v>0</v>
      </c>
      <c r="AY564">
        <f>IF(AP564=1,AW564,1)</f>
        <v>0</v>
      </c>
      <c r="AZ564">
        <f>IF(AND(AT564=1,ISNUMBER(AW564)),$AW564,1)</f>
        <v>0</v>
      </c>
      <c r="BA564">
        <f>IF(AND(AU564=1,ISNUMBER(AW564)),$AW564,1)</f>
        <v>0</v>
      </c>
      <c r="BB564">
        <f>IF(ISNUMBER(AB564),INDEX(AllCollegeMoney, MATCH(N564,AllCollegeNCES,0)),0)</f>
        <v>0</v>
      </c>
      <c r="BC564">
        <f>IF(AND(AT564=1,ISNUMBER(AW564),BB564=1),$AW564,1)</f>
        <v>0</v>
      </c>
      <c r="BD564">
        <f>IF(AND(AU564=1,ISNUMBER(AW564),BB564=1),$AW564,1)</f>
        <v>0</v>
      </c>
      <c r="BE564">
        <f>IF(ISNUMBER(AB564),INDEX(AllCollegeILPub, MATCH(N564,AllCollegeNCES,0)),0)</f>
        <v>0</v>
      </c>
      <c r="BF564">
        <f>IF(AN564=ReachLabel,AS564,0)</f>
        <v>0</v>
      </c>
      <c r="BG564">
        <f>IF(AN564=MatchLabel,AS564,0)</f>
        <v>0</v>
      </c>
      <c r="BH564">
        <f>IF(AN564=SafetyLabel,AS564,0)</f>
        <v>0</v>
      </c>
      <c r="BI564">
        <f>IF(AN564=SecureLabel,AS564,0)</f>
        <v>0</v>
      </c>
      <c r="BJ564">
        <f>IF(AN564=SureThingLabel,AS564,0)</f>
        <v>0</v>
      </c>
      <c r="BK564">
        <f>MAX(BF564:BJ564)</f>
        <v>0</v>
      </c>
      <c r="BL564">
        <f>MAX(BG564:BJ564)</f>
        <v>0</v>
      </c>
      <c r="BM564">
        <f>MAX(BH564:BJ564)</f>
        <v>0</v>
      </c>
      <c r="BN564">
        <f>IF(AND(AN564=ReachLabel,BB564=1),AS564,0)</f>
        <v>0</v>
      </c>
      <c r="BO564">
        <f>IF(AND(AN564=MatchLabel,BB564=1),AS564,0)</f>
        <v>0</v>
      </c>
      <c r="BP564">
        <f>IF(AND(AN564=SafetyLabel,BB564=1),AS564,0)</f>
        <v>0</v>
      </c>
      <c r="BQ564">
        <f>IF(AND(AN564=SecureLabel,BB564=1),AS564,0)</f>
        <v>0</v>
      </c>
      <c r="BR564">
        <f>IF(AND(AN564=SureThingLabel,BB564=1),AS564,0)</f>
        <v>0</v>
      </c>
      <c r="BS564">
        <f>MAX(BN564:BR564)</f>
        <v>0</v>
      </c>
      <c r="BT564">
        <f>MAX(BO564:BR564)</f>
        <v>0</v>
      </c>
      <c r="BU564">
        <f>MAX(BP564:BR564)</f>
        <v>0</v>
      </c>
      <c r="BV564">
        <f>IF(ISNUMBER(AB564),INDEX(AllCollegeChicago, MATCH(N564,AllCollegeNCES,0))*BB564,0)</f>
        <v>0</v>
      </c>
      <c r="BW564">
        <f>IF(ISNUMBER(AB564),INDEX(AllCollegeMoneyCode, MATCH(N564,AllCollegeNCES,0)),"?")</f>
        <v>0</v>
      </c>
      <c r="BX564">
        <f>IF(OR(BW564="---",BW564="--",BW564="+/--",BW564="+/---"),1,0)</f>
        <v>0</v>
      </c>
      <c r="BY564">
        <f>BB564*AR564*AT564</f>
        <v>0</v>
      </c>
    </row>
    <row r="565" spans="1:77">
      <c r="A565" t="s">
        <v>96</v>
      </c>
      <c r="B565">
        <v>23478500</v>
      </c>
      <c r="C565" t="s">
        <v>127</v>
      </c>
      <c r="D565" t="s">
        <v>128</v>
      </c>
      <c r="E565" t="s">
        <v>446</v>
      </c>
      <c r="F565" t="s">
        <v>485</v>
      </c>
      <c r="G565" t="s">
        <v>448</v>
      </c>
      <c r="H565" t="s">
        <v>449</v>
      </c>
      <c r="I565" t="s">
        <v>450</v>
      </c>
      <c r="J565" t="s">
        <v>450</v>
      </c>
      <c r="K565">
        <v>0</v>
      </c>
      <c r="L565" t="s">
        <v>446</v>
      </c>
      <c r="M565" t="s">
        <v>446</v>
      </c>
      <c r="N565">
        <v>212009</v>
      </c>
      <c r="O565">
        <f>INDEX(Counselor,MATCH(B565,KidIDs,0))</f>
        <v>0</v>
      </c>
      <c r="P565">
        <f>INDEX(Advisors,MATCH(B565,KidIDs,0))</f>
        <v>0</v>
      </c>
      <c r="Q565">
        <f>INDEX(Cohort,MATCH(B565,KidIDs,0))</f>
        <v>0</v>
      </c>
      <c r="R565">
        <f>INDEX(AllCollegeBarrons,MATCH(N565,AllCollegeNCES,0))</f>
        <v>0</v>
      </c>
      <c r="S565">
        <f>INDEX(KidGPAs,MATCH(B565,KidIDs,0))</f>
        <v>0</v>
      </c>
      <c r="T565">
        <f>INDEX(KidSATs,MATCH(B565,KidIDs,0))</f>
        <v>0</v>
      </c>
      <c r="U565">
        <f>INDEX(Strats,MATCH(B565,KidIDs,0))</f>
        <v>0</v>
      </c>
      <c r="V565">
        <f>INDEX(KidRace,MATCH(B565,KidIDs,0))</f>
        <v>0</v>
      </c>
      <c r="W565">
        <f>IF(OR(V565="M",V565="I"),"H",IF(V565="P","A",V565))</f>
        <v>0</v>
      </c>
      <c r="X565">
        <f>INDEX(StudentTargets,MATCH(B565,KidIDs,0))</f>
        <v>0</v>
      </c>
      <c r="Y565">
        <f>INDEX(ReachStudentTargets,MATCH(B565,KidIDs,0))</f>
        <v>0</v>
      </c>
      <c r="Z565">
        <f>IF(OR(M565="Posse"),1,0)</f>
        <v>0</v>
      </c>
      <c r="AA565">
        <f>IF(ISNUMBER(INDEX(AllCollegeGR, MATCH(N565,AllCollegeNCES,0))),ROUND(INDEX(AllCollegeGR, MATCH(N565,AllCollegeNCES,0))+Z565*IF(INDEX(AllCollegeGR, MATCH(N565,AllCollegeNCES,0))&gt;0.7,(1-INDEX(AllCollegeGR, MATCH(N565,AllCollegeNCES,0)))/2,0.15),2),INDEX(AllCollegeGR, MATCH(N565,AllCollegeNCES,0)))</f>
        <v>0</v>
      </c>
      <c r="AB565">
        <f>IF(ISNUMBER(INDEX(AllCollegeAAHGR, MATCH(N565,AllCollegeNCES,0))),ROUND(INDEX(AllCollegeAAHGR, MATCH(N565,AllCollegeNCES,0))+Z565*IF(INDEX(AllCollegeAAHGR, MATCH(N565,AllCollegeNCES,0))&gt;0.7,(1-INDEX(AllCollegeAAHGR, MATCH(N565,AllCollegeNCES,0)))/2,0.15),2),INDEX(AllCollegeAAHGR, MATCH(N565,AllCollegeNCES,0)))</f>
        <v>0</v>
      </c>
      <c r="AC565">
        <f>IF(OR(W565="H",W565="B"),INDEX(AllCollegeSAT25, MATCH(N565,AllCollegeNCES,0)),INDEX(AllCollegeSAT50, MATCH(N565,AllCollegeNCES,0)))</f>
        <v>0</v>
      </c>
      <c r="AD565">
        <f>INDEX(CustomWeightsGPA,MATCH(W565&amp;":"&amp;N565,CustomWeightsIndex,0))</f>
        <v>0</v>
      </c>
      <c r="AE565">
        <f>INDEX(CustomWeightsSAT,MATCH(W565&amp;":"&amp;N565,CustomWeightsIndex,0))</f>
        <v>0</v>
      </c>
      <c r="AF565">
        <f>INDEX(CustomWeightsIntercept,MATCH(W565&amp;":"&amp;N565,CustomWeightsIndex,0))</f>
        <v>0</v>
      </c>
      <c r="AG565">
        <f>AD565*S565+AE565*T565+AF565</f>
        <v>0</v>
      </c>
      <c r="AH565">
        <f>INDEX(CoefficientsGPA,MATCH(W565&amp;":"&amp;R565,CoefficientsIndex,0))</f>
        <v>0</v>
      </c>
      <c r="AI565">
        <f>INDEX(CoefficientsSAT,MATCH(W565&amp;":"&amp;R565,CoefficientsIndex,0))</f>
        <v>0</v>
      </c>
      <c r="AJ565">
        <f>INDEX(CoefficientsIntercept,MATCH(W565&amp;":"&amp;R565,CoefficientsIndex,0))</f>
        <v>0</v>
      </c>
      <c r="AK565">
        <f>AH565*S565+(T565-AC565)*AI565+AJ565</f>
        <v>0</v>
      </c>
      <c r="AL565">
        <f>IF(ISNUMBER(AG565),AG565,AK565)</f>
        <v>0</v>
      </c>
      <c r="AM565">
        <f>IF(ISNUMBER(AL565),IF(ISNUMBER(AH565),IF(AND(AH565=1,AI565=1,AJ565=1),100,MIN(99,ROUND(100*EXP(AL565)/(1+EXP(AL565)),2))),MIN(99,ROUND(100*EXP(AL565)/(1+EXP(AL565)),2))),IF(ISTEXT(R565),IF(LEFT(R565,1)="2",100,"N/A"),"N/A"))</f>
        <v>0</v>
      </c>
      <c r="AN565">
        <f>IF(ISNUMBER(AM565),IF(AM565&gt;=99,IF(OR(U565=10,U565=11),MatchLabel,SureThingLabel),IF(AM565&gt;=95,SecureLabel,IF(AM565&gt;=80,SafetyLabel,IF(AM565&gt;=50,MatchLabel,IF(AM565&gt;=20,ReachLabel,IF(AM565&gt;=10,LongshotLabel,HailMaryLabel)))))),"Other")</f>
        <v>0</v>
      </c>
      <c r="AO565">
        <f>IF(OR(I565="accepted",I565="cond. accept",I565="summer admit"),IF(J565="yes","CHOICE!","Accepted!"),IF(I565="guar. transfer","Guar. Xfer",IF(I565="denied","Denied",IF(K565=1,"Waitlist",IF(L565=1,"Deferred",IF(G565="pending","Pending",IF(OR(G565="initial materials submitted",G565="mid-year submitted",G565="final submitted"),"Submitted",IF(H565="interest","Interest","?"))))))))</f>
        <v>0</v>
      </c>
      <c r="AP565">
        <f>IF(OR(AN565=ReachLabel,AN565=LongshotLabel,AN565=HailMaryLabel),1,0)</f>
        <v>0</v>
      </c>
      <c r="AQ565">
        <f>IF(OR(AP565=1,AN565=MatchLabel),1,0)</f>
        <v>0</v>
      </c>
      <c r="AR565">
        <f>IF(OR(AN565=MatchLabel,AN565=SafetyLabel,AN565=SecureLabel,AN565=SureThingLabel),1,0)</f>
        <v>0</v>
      </c>
      <c r="AS565">
        <f>IF(OR(W565="H",W565="B",W565="I",W565="M"),IF(ISNUMBER(AB565),ROUND(AB565,2),0),IF(ISNUMBER(AA565),ROUND(AA565,2),0))</f>
        <v>0</v>
      </c>
      <c r="AT565">
        <f>IF(AS565&gt;=X565,1,0)</f>
        <v>0</v>
      </c>
      <c r="AU565">
        <f>IF(AS565&gt;=Y565,1,0)</f>
        <v>0</v>
      </c>
      <c r="AV565">
        <f>IF(AS565&lt;(X565-0.10),1,0)</f>
        <v>0</v>
      </c>
      <c r="AW565">
        <f>1-AM565/100</f>
        <v>0</v>
      </c>
      <c r="AX565">
        <f>IF(AQ565=1,AW565,1)</f>
        <v>0</v>
      </c>
      <c r="AY565">
        <f>IF(AP565=1,AW565,1)</f>
        <v>0</v>
      </c>
      <c r="AZ565">
        <f>IF(AND(AT565=1,ISNUMBER(AW565)),$AW565,1)</f>
        <v>0</v>
      </c>
      <c r="BA565">
        <f>IF(AND(AU565=1,ISNUMBER(AW565)),$AW565,1)</f>
        <v>0</v>
      </c>
      <c r="BB565">
        <f>IF(ISNUMBER(AB565),INDEX(AllCollegeMoney, MATCH(N565,AllCollegeNCES,0)),0)</f>
        <v>0</v>
      </c>
      <c r="BC565">
        <f>IF(AND(AT565=1,ISNUMBER(AW565),BB565=1),$AW565,1)</f>
        <v>0</v>
      </c>
      <c r="BD565">
        <f>IF(AND(AU565=1,ISNUMBER(AW565),BB565=1),$AW565,1)</f>
        <v>0</v>
      </c>
      <c r="BE565">
        <f>IF(ISNUMBER(AB565),INDEX(AllCollegeILPub, MATCH(N565,AllCollegeNCES,0)),0)</f>
        <v>0</v>
      </c>
      <c r="BF565">
        <f>IF(AN565=ReachLabel,AS565,0)</f>
        <v>0</v>
      </c>
      <c r="BG565">
        <f>IF(AN565=MatchLabel,AS565,0)</f>
        <v>0</v>
      </c>
      <c r="BH565">
        <f>IF(AN565=SafetyLabel,AS565,0)</f>
        <v>0</v>
      </c>
      <c r="BI565">
        <f>IF(AN565=SecureLabel,AS565,0)</f>
        <v>0</v>
      </c>
      <c r="BJ565">
        <f>IF(AN565=SureThingLabel,AS565,0)</f>
        <v>0</v>
      </c>
      <c r="BK565">
        <f>MAX(BF565:BJ565)</f>
        <v>0</v>
      </c>
      <c r="BL565">
        <f>MAX(BG565:BJ565)</f>
        <v>0</v>
      </c>
      <c r="BM565">
        <f>MAX(BH565:BJ565)</f>
        <v>0</v>
      </c>
      <c r="BN565">
        <f>IF(AND(AN565=ReachLabel,BB565=1),AS565,0)</f>
        <v>0</v>
      </c>
      <c r="BO565">
        <f>IF(AND(AN565=MatchLabel,BB565=1),AS565,0)</f>
        <v>0</v>
      </c>
      <c r="BP565">
        <f>IF(AND(AN565=SafetyLabel,BB565=1),AS565,0)</f>
        <v>0</v>
      </c>
      <c r="BQ565">
        <f>IF(AND(AN565=SecureLabel,BB565=1),AS565,0)</f>
        <v>0</v>
      </c>
      <c r="BR565">
        <f>IF(AND(AN565=SureThingLabel,BB565=1),AS565,0)</f>
        <v>0</v>
      </c>
      <c r="BS565">
        <f>MAX(BN565:BR565)</f>
        <v>0</v>
      </c>
      <c r="BT565">
        <f>MAX(BO565:BR565)</f>
        <v>0</v>
      </c>
      <c r="BU565">
        <f>MAX(BP565:BR565)</f>
        <v>0</v>
      </c>
      <c r="BV565">
        <f>IF(ISNUMBER(AB565),INDEX(AllCollegeChicago, MATCH(N565,AllCollegeNCES,0))*BB565,0)</f>
        <v>0</v>
      </c>
      <c r="BW565">
        <f>IF(ISNUMBER(AB565),INDEX(AllCollegeMoneyCode, MATCH(N565,AllCollegeNCES,0)),"?")</f>
        <v>0</v>
      </c>
      <c r="BX565">
        <f>IF(OR(BW565="---",BW565="--",BW565="+/--",BW565="+/---"),1,0)</f>
        <v>0</v>
      </c>
      <c r="BY565">
        <f>BB565*AR565*AT565</f>
        <v>0</v>
      </c>
    </row>
    <row r="566" spans="1:77">
      <c r="A566" t="s">
        <v>96</v>
      </c>
      <c r="B566">
        <v>23478500</v>
      </c>
      <c r="C566" t="s">
        <v>127</v>
      </c>
      <c r="D566" t="s">
        <v>128</v>
      </c>
      <c r="E566" t="s">
        <v>446</v>
      </c>
      <c r="F566" t="s">
        <v>487</v>
      </c>
      <c r="G566" t="s">
        <v>448</v>
      </c>
      <c r="H566" t="s">
        <v>449</v>
      </c>
      <c r="I566" t="s">
        <v>450</v>
      </c>
      <c r="J566" t="s">
        <v>450</v>
      </c>
      <c r="K566">
        <v>0</v>
      </c>
      <c r="L566" t="s">
        <v>446</v>
      </c>
      <c r="M566" t="s">
        <v>446</v>
      </c>
      <c r="N566">
        <v>174844</v>
      </c>
      <c r="O566">
        <f>INDEX(Counselor,MATCH(B566,KidIDs,0))</f>
        <v>0</v>
      </c>
      <c r="P566">
        <f>INDEX(Advisors,MATCH(B566,KidIDs,0))</f>
        <v>0</v>
      </c>
      <c r="Q566">
        <f>INDEX(Cohort,MATCH(B566,KidIDs,0))</f>
        <v>0</v>
      </c>
      <c r="R566">
        <f>INDEX(AllCollegeBarrons,MATCH(N566,AllCollegeNCES,0))</f>
        <v>0</v>
      </c>
      <c r="S566">
        <f>INDEX(KidGPAs,MATCH(B566,KidIDs,0))</f>
        <v>0</v>
      </c>
      <c r="T566">
        <f>INDEX(KidSATs,MATCH(B566,KidIDs,0))</f>
        <v>0</v>
      </c>
      <c r="U566">
        <f>INDEX(Strats,MATCH(B566,KidIDs,0))</f>
        <v>0</v>
      </c>
      <c r="V566">
        <f>INDEX(KidRace,MATCH(B566,KidIDs,0))</f>
        <v>0</v>
      </c>
      <c r="W566">
        <f>IF(OR(V566="M",V566="I"),"H",IF(V566="P","A",V566))</f>
        <v>0</v>
      </c>
      <c r="X566">
        <f>INDEX(StudentTargets,MATCH(B566,KidIDs,0))</f>
        <v>0</v>
      </c>
      <c r="Y566">
        <f>INDEX(ReachStudentTargets,MATCH(B566,KidIDs,0))</f>
        <v>0</v>
      </c>
      <c r="Z566">
        <f>IF(OR(M566="Posse"),1,0)</f>
        <v>0</v>
      </c>
      <c r="AA566">
        <f>IF(ISNUMBER(INDEX(AllCollegeGR, MATCH(N566,AllCollegeNCES,0))),ROUND(INDEX(AllCollegeGR, MATCH(N566,AllCollegeNCES,0))+Z566*IF(INDEX(AllCollegeGR, MATCH(N566,AllCollegeNCES,0))&gt;0.7,(1-INDEX(AllCollegeGR, MATCH(N566,AllCollegeNCES,0)))/2,0.15),2),INDEX(AllCollegeGR, MATCH(N566,AllCollegeNCES,0)))</f>
        <v>0</v>
      </c>
      <c r="AB566">
        <f>IF(ISNUMBER(INDEX(AllCollegeAAHGR, MATCH(N566,AllCollegeNCES,0))),ROUND(INDEX(AllCollegeAAHGR, MATCH(N566,AllCollegeNCES,0))+Z566*IF(INDEX(AllCollegeAAHGR, MATCH(N566,AllCollegeNCES,0))&gt;0.7,(1-INDEX(AllCollegeAAHGR, MATCH(N566,AllCollegeNCES,0)))/2,0.15),2),INDEX(AllCollegeAAHGR, MATCH(N566,AllCollegeNCES,0)))</f>
        <v>0</v>
      </c>
      <c r="AC566">
        <f>IF(OR(W566="H",W566="B"),INDEX(AllCollegeSAT25, MATCH(N566,AllCollegeNCES,0)),INDEX(AllCollegeSAT50, MATCH(N566,AllCollegeNCES,0)))</f>
        <v>0</v>
      </c>
      <c r="AD566">
        <f>INDEX(CustomWeightsGPA,MATCH(W566&amp;":"&amp;N566,CustomWeightsIndex,0))</f>
        <v>0</v>
      </c>
      <c r="AE566">
        <f>INDEX(CustomWeightsSAT,MATCH(W566&amp;":"&amp;N566,CustomWeightsIndex,0))</f>
        <v>0</v>
      </c>
      <c r="AF566">
        <f>INDEX(CustomWeightsIntercept,MATCH(W566&amp;":"&amp;N566,CustomWeightsIndex,0))</f>
        <v>0</v>
      </c>
      <c r="AG566">
        <f>AD566*S566+AE566*T566+AF566</f>
        <v>0</v>
      </c>
      <c r="AH566">
        <f>INDEX(CoefficientsGPA,MATCH(W566&amp;":"&amp;R566,CoefficientsIndex,0))</f>
        <v>0</v>
      </c>
      <c r="AI566">
        <f>INDEX(CoefficientsSAT,MATCH(W566&amp;":"&amp;R566,CoefficientsIndex,0))</f>
        <v>0</v>
      </c>
      <c r="AJ566">
        <f>INDEX(CoefficientsIntercept,MATCH(W566&amp;":"&amp;R566,CoefficientsIndex,0))</f>
        <v>0</v>
      </c>
      <c r="AK566">
        <f>AH566*S566+(T566-AC566)*AI566+AJ566</f>
        <v>0</v>
      </c>
      <c r="AL566">
        <f>IF(ISNUMBER(AG566),AG566,AK566)</f>
        <v>0</v>
      </c>
      <c r="AM566">
        <f>IF(ISNUMBER(AL566),IF(ISNUMBER(AH566),IF(AND(AH566=1,AI566=1,AJ566=1),100,MIN(99,ROUND(100*EXP(AL566)/(1+EXP(AL566)),2))),MIN(99,ROUND(100*EXP(AL566)/(1+EXP(AL566)),2))),IF(ISTEXT(R566),IF(LEFT(R566,1)="2",100,"N/A"),"N/A"))</f>
        <v>0</v>
      </c>
      <c r="AN566">
        <f>IF(ISNUMBER(AM566),IF(AM566&gt;=99,IF(OR(U566=10,U566=11),MatchLabel,SureThingLabel),IF(AM566&gt;=95,SecureLabel,IF(AM566&gt;=80,SafetyLabel,IF(AM566&gt;=50,MatchLabel,IF(AM566&gt;=20,ReachLabel,IF(AM566&gt;=10,LongshotLabel,HailMaryLabel)))))),"Other")</f>
        <v>0</v>
      </c>
      <c r="AO566">
        <f>IF(OR(I566="accepted",I566="cond. accept",I566="summer admit"),IF(J566="yes","CHOICE!","Accepted!"),IF(I566="guar. transfer","Guar. Xfer",IF(I566="denied","Denied",IF(K566=1,"Waitlist",IF(L566=1,"Deferred",IF(G566="pending","Pending",IF(OR(G566="initial materials submitted",G566="mid-year submitted",G566="final submitted"),"Submitted",IF(H566="interest","Interest","?"))))))))</f>
        <v>0</v>
      </c>
      <c r="AP566">
        <f>IF(OR(AN566=ReachLabel,AN566=LongshotLabel,AN566=HailMaryLabel),1,0)</f>
        <v>0</v>
      </c>
      <c r="AQ566">
        <f>IF(OR(AP566=1,AN566=MatchLabel),1,0)</f>
        <v>0</v>
      </c>
      <c r="AR566">
        <f>IF(OR(AN566=MatchLabel,AN566=SafetyLabel,AN566=SecureLabel,AN566=SureThingLabel),1,0)</f>
        <v>0</v>
      </c>
      <c r="AS566">
        <f>IF(OR(W566="H",W566="B",W566="I",W566="M"),IF(ISNUMBER(AB566),ROUND(AB566,2),0),IF(ISNUMBER(AA566),ROUND(AA566,2),0))</f>
        <v>0</v>
      </c>
      <c r="AT566">
        <f>IF(AS566&gt;=X566,1,0)</f>
        <v>0</v>
      </c>
      <c r="AU566">
        <f>IF(AS566&gt;=Y566,1,0)</f>
        <v>0</v>
      </c>
      <c r="AV566">
        <f>IF(AS566&lt;(X566-0.10),1,0)</f>
        <v>0</v>
      </c>
      <c r="AW566">
        <f>1-AM566/100</f>
        <v>0</v>
      </c>
      <c r="AX566">
        <f>IF(AQ566=1,AW566,1)</f>
        <v>0</v>
      </c>
      <c r="AY566">
        <f>IF(AP566=1,AW566,1)</f>
        <v>0</v>
      </c>
      <c r="AZ566">
        <f>IF(AND(AT566=1,ISNUMBER(AW566)),$AW566,1)</f>
        <v>0</v>
      </c>
      <c r="BA566">
        <f>IF(AND(AU566=1,ISNUMBER(AW566)),$AW566,1)</f>
        <v>0</v>
      </c>
      <c r="BB566">
        <f>IF(ISNUMBER(AB566),INDEX(AllCollegeMoney, MATCH(N566,AllCollegeNCES,0)),0)</f>
        <v>0</v>
      </c>
      <c r="BC566">
        <f>IF(AND(AT566=1,ISNUMBER(AW566),BB566=1),$AW566,1)</f>
        <v>0</v>
      </c>
      <c r="BD566">
        <f>IF(AND(AU566=1,ISNUMBER(AW566),BB566=1),$AW566,1)</f>
        <v>0</v>
      </c>
      <c r="BE566">
        <f>IF(ISNUMBER(AB566),INDEX(AllCollegeILPub, MATCH(N566,AllCollegeNCES,0)),0)</f>
        <v>0</v>
      </c>
      <c r="BF566">
        <f>IF(AN566=ReachLabel,AS566,0)</f>
        <v>0</v>
      </c>
      <c r="BG566">
        <f>IF(AN566=MatchLabel,AS566,0)</f>
        <v>0</v>
      </c>
      <c r="BH566">
        <f>IF(AN566=SafetyLabel,AS566,0)</f>
        <v>0</v>
      </c>
      <c r="BI566">
        <f>IF(AN566=SecureLabel,AS566,0)</f>
        <v>0</v>
      </c>
      <c r="BJ566">
        <f>IF(AN566=SureThingLabel,AS566,0)</f>
        <v>0</v>
      </c>
      <c r="BK566">
        <f>MAX(BF566:BJ566)</f>
        <v>0</v>
      </c>
      <c r="BL566">
        <f>MAX(BG566:BJ566)</f>
        <v>0</v>
      </c>
      <c r="BM566">
        <f>MAX(BH566:BJ566)</f>
        <v>0</v>
      </c>
      <c r="BN566">
        <f>IF(AND(AN566=ReachLabel,BB566=1),AS566,0)</f>
        <v>0</v>
      </c>
      <c r="BO566">
        <f>IF(AND(AN566=MatchLabel,BB566=1),AS566,0)</f>
        <v>0</v>
      </c>
      <c r="BP566">
        <f>IF(AND(AN566=SafetyLabel,BB566=1),AS566,0)</f>
        <v>0</v>
      </c>
      <c r="BQ566">
        <f>IF(AND(AN566=SecureLabel,BB566=1),AS566,0)</f>
        <v>0</v>
      </c>
      <c r="BR566">
        <f>IF(AND(AN566=SureThingLabel,BB566=1),AS566,0)</f>
        <v>0</v>
      </c>
      <c r="BS566">
        <f>MAX(BN566:BR566)</f>
        <v>0</v>
      </c>
      <c r="BT566">
        <f>MAX(BO566:BR566)</f>
        <v>0</v>
      </c>
      <c r="BU566">
        <f>MAX(BP566:BR566)</f>
        <v>0</v>
      </c>
      <c r="BV566">
        <f>IF(ISNUMBER(AB566),INDEX(AllCollegeChicago, MATCH(N566,AllCollegeNCES,0))*BB566,0)</f>
        <v>0</v>
      </c>
      <c r="BW566">
        <f>IF(ISNUMBER(AB566),INDEX(AllCollegeMoneyCode, MATCH(N566,AllCollegeNCES,0)),"?")</f>
        <v>0</v>
      </c>
      <c r="BX566">
        <f>IF(OR(BW566="---",BW566="--",BW566="+/--",BW566="+/---"),1,0)</f>
        <v>0</v>
      </c>
      <c r="BY566">
        <f>BB566*AR566*AT566</f>
        <v>0</v>
      </c>
    </row>
    <row r="567" spans="1:77">
      <c r="A567" t="s">
        <v>96</v>
      </c>
      <c r="B567">
        <v>23478500</v>
      </c>
      <c r="C567" t="s">
        <v>127</v>
      </c>
      <c r="D567" t="s">
        <v>128</v>
      </c>
      <c r="E567" t="s">
        <v>446</v>
      </c>
      <c r="F567" t="s">
        <v>475</v>
      </c>
      <c r="G567" t="s">
        <v>448</v>
      </c>
      <c r="H567" t="s">
        <v>449</v>
      </c>
      <c r="I567" t="s">
        <v>450</v>
      </c>
      <c r="J567" t="s">
        <v>450</v>
      </c>
      <c r="K567">
        <v>0</v>
      </c>
      <c r="L567" t="s">
        <v>446</v>
      </c>
      <c r="M567" t="s">
        <v>446</v>
      </c>
      <c r="N567">
        <v>145637</v>
      </c>
      <c r="O567">
        <f>INDEX(Counselor,MATCH(B567,KidIDs,0))</f>
        <v>0</v>
      </c>
      <c r="P567">
        <f>INDEX(Advisors,MATCH(B567,KidIDs,0))</f>
        <v>0</v>
      </c>
      <c r="Q567">
        <f>INDEX(Cohort,MATCH(B567,KidIDs,0))</f>
        <v>0</v>
      </c>
      <c r="R567">
        <f>INDEX(AllCollegeBarrons,MATCH(N567,AllCollegeNCES,0))</f>
        <v>0</v>
      </c>
      <c r="S567">
        <f>INDEX(KidGPAs,MATCH(B567,KidIDs,0))</f>
        <v>0</v>
      </c>
      <c r="T567">
        <f>INDEX(KidSATs,MATCH(B567,KidIDs,0))</f>
        <v>0</v>
      </c>
      <c r="U567">
        <f>INDEX(Strats,MATCH(B567,KidIDs,0))</f>
        <v>0</v>
      </c>
      <c r="V567">
        <f>INDEX(KidRace,MATCH(B567,KidIDs,0))</f>
        <v>0</v>
      </c>
      <c r="W567">
        <f>IF(OR(V567="M",V567="I"),"H",IF(V567="P","A",V567))</f>
        <v>0</v>
      </c>
      <c r="X567">
        <f>INDEX(StudentTargets,MATCH(B567,KidIDs,0))</f>
        <v>0</v>
      </c>
      <c r="Y567">
        <f>INDEX(ReachStudentTargets,MATCH(B567,KidIDs,0))</f>
        <v>0</v>
      </c>
      <c r="Z567">
        <f>IF(OR(M567="Posse"),1,0)</f>
        <v>0</v>
      </c>
      <c r="AA567">
        <f>IF(ISNUMBER(INDEX(AllCollegeGR, MATCH(N567,AllCollegeNCES,0))),ROUND(INDEX(AllCollegeGR, MATCH(N567,AllCollegeNCES,0))+Z567*IF(INDEX(AllCollegeGR, MATCH(N567,AllCollegeNCES,0))&gt;0.7,(1-INDEX(AllCollegeGR, MATCH(N567,AllCollegeNCES,0)))/2,0.15),2),INDEX(AllCollegeGR, MATCH(N567,AllCollegeNCES,0)))</f>
        <v>0</v>
      </c>
      <c r="AB567">
        <f>IF(ISNUMBER(INDEX(AllCollegeAAHGR, MATCH(N567,AllCollegeNCES,0))),ROUND(INDEX(AllCollegeAAHGR, MATCH(N567,AllCollegeNCES,0))+Z567*IF(INDEX(AllCollegeAAHGR, MATCH(N567,AllCollegeNCES,0))&gt;0.7,(1-INDEX(AllCollegeAAHGR, MATCH(N567,AllCollegeNCES,0)))/2,0.15),2),INDEX(AllCollegeAAHGR, MATCH(N567,AllCollegeNCES,0)))</f>
        <v>0</v>
      </c>
      <c r="AC567">
        <f>IF(OR(W567="H",W567="B"),INDEX(AllCollegeSAT25, MATCH(N567,AllCollegeNCES,0)),INDEX(AllCollegeSAT50, MATCH(N567,AllCollegeNCES,0)))</f>
        <v>0</v>
      </c>
      <c r="AD567">
        <f>INDEX(CustomWeightsGPA,MATCH(W567&amp;":"&amp;N567,CustomWeightsIndex,0))</f>
        <v>0</v>
      </c>
      <c r="AE567">
        <f>INDEX(CustomWeightsSAT,MATCH(W567&amp;":"&amp;N567,CustomWeightsIndex,0))</f>
        <v>0</v>
      </c>
      <c r="AF567">
        <f>INDEX(CustomWeightsIntercept,MATCH(W567&amp;":"&amp;N567,CustomWeightsIndex,0))</f>
        <v>0</v>
      </c>
      <c r="AG567">
        <f>AD567*S567+AE567*T567+AF567</f>
        <v>0</v>
      </c>
      <c r="AH567">
        <f>INDEX(CoefficientsGPA,MATCH(W567&amp;":"&amp;R567,CoefficientsIndex,0))</f>
        <v>0</v>
      </c>
      <c r="AI567">
        <f>INDEX(CoefficientsSAT,MATCH(W567&amp;":"&amp;R567,CoefficientsIndex,0))</f>
        <v>0</v>
      </c>
      <c r="AJ567">
        <f>INDEX(CoefficientsIntercept,MATCH(W567&amp;":"&amp;R567,CoefficientsIndex,0))</f>
        <v>0</v>
      </c>
      <c r="AK567">
        <f>AH567*S567+(T567-AC567)*AI567+AJ567</f>
        <v>0</v>
      </c>
      <c r="AL567">
        <f>IF(ISNUMBER(AG567),AG567,AK567)</f>
        <v>0</v>
      </c>
      <c r="AM567">
        <f>IF(ISNUMBER(AL567),IF(ISNUMBER(AH567),IF(AND(AH567=1,AI567=1,AJ567=1),100,MIN(99,ROUND(100*EXP(AL567)/(1+EXP(AL567)),2))),MIN(99,ROUND(100*EXP(AL567)/(1+EXP(AL567)),2))),IF(ISTEXT(R567),IF(LEFT(R567,1)="2",100,"N/A"),"N/A"))</f>
        <v>0</v>
      </c>
      <c r="AN567">
        <f>IF(ISNUMBER(AM567),IF(AM567&gt;=99,IF(OR(U567=10,U567=11),MatchLabel,SureThingLabel),IF(AM567&gt;=95,SecureLabel,IF(AM567&gt;=80,SafetyLabel,IF(AM567&gt;=50,MatchLabel,IF(AM567&gt;=20,ReachLabel,IF(AM567&gt;=10,LongshotLabel,HailMaryLabel)))))),"Other")</f>
        <v>0</v>
      </c>
      <c r="AO567">
        <f>IF(OR(I567="accepted",I567="cond. accept",I567="summer admit"),IF(J567="yes","CHOICE!","Accepted!"),IF(I567="guar. transfer","Guar. Xfer",IF(I567="denied","Denied",IF(K567=1,"Waitlist",IF(L567=1,"Deferred",IF(G567="pending","Pending",IF(OR(G567="initial materials submitted",G567="mid-year submitted",G567="final submitted"),"Submitted",IF(H567="interest","Interest","?"))))))))</f>
        <v>0</v>
      </c>
      <c r="AP567">
        <f>IF(OR(AN567=ReachLabel,AN567=LongshotLabel,AN567=HailMaryLabel),1,0)</f>
        <v>0</v>
      </c>
      <c r="AQ567">
        <f>IF(OR(AP567=1,AN567=MatchLabel),1,0)</f>
        <v>0</v>
      </c>
      <c r="AR567">
        <f>IF(OR(AN567=MatchLabel,AN567=SafetyLabel,AN567=SecureLabel,AN567=SureThingLabel),1,0)</f>
        <v>0</v>
      </c>
      <c r="AS567">
        <f>IF(OR(W567="H",W567="B",W567="I",W567="M"),IF(ISNUMBER(AB567),ROUND(AB567,2),0),IF(ISNUMBER(AA567),ROUND(AA567,2),0))</f>
        <v>0</v>
      </c>
      <c r="AT567">
        <f>IF(AS567&gt;=X567,1,0)</f>
        <v>0</v>
      </c>
      <c r="AU567">
        <f>IF(AS567&gt;=Y567,1,0)</f>
        <v>0</v>
      </c>
      <c r="AV567">
        <f>IF(AS567&lt;(X567-0.10),1,0)</f>
        <v>0</v>
      </c>
      <c r="AW567">
        <f>1-AM567/100</f>
        <v>0</v>
      </c>
      <c r="AX567">
        <f>IF(AQ567=1,AW567,1)</f>
        <v>0</v>
      </c>
      <c r="AY567">
        <f>IF(AP567=1,AW567,1)</f>
        <v>0</v>
      </c>
      <c r="AZ567">
        <f>IF(AND(AT567=1,ISNUMBER(AW567)),$AW567,1)</f>
        <v>0</v>
      </c>
      <c r="BA567">
        <f>IF(AND(AU567=1,ISNUMBER(AW567)),$AW567,1)</f>
        <v>0</v>
      </c>
      <c r="BB567">
        <f>IF(ISNUMBER(AB567),INDEX(AllCollegeMoney, MATCH(N567,AllCollegeNCES,0)),0)</f>
        <v>0</v>
      </c>
      <c r="BC567">
        <f>IF(AND(AT567=1,ISNUMBER(AW567),BB567=1),$AW567,1)</f>
        <v>0</v>
      </c>
      <c r="BD567">
        <f>IF(AND(AU567=1,ISNUMBER(AW567),BB567=1),$AW567,1)</f>
        <v>0</v>
      </c>
      <c r="BE567">
        <f>IF(ISNUMBER(AB567),INDEX(AllCollegeILPub, MATCH(N567,AllCollegeNCES,0)),0)</f>
        <v>0</v>
      </c>
      <c r="BF567">
        <f>IF(AN567=ReachLabel,AS567,0)</f>
        <v>0</v>
      </c>
      <c r="BG567">
        <f>IF(AN567=MatchLabel,AS567,0)</f>
        <v>0</v>
      </c>
      <c r="BH567">
        <f>IF(AN567=SafetyLabel,AS567,0)</f>
        <v>0</v>
      </c>
      <c r="BI567">
        <f>IF(AN567=SecureLabel,AS567,0)</f>
        <v>0</v>
      </c>
      <c r="BJ567">
        <f>IF(AN567=SureThingLabel,AS567,0)</f>
        <v>0</v>
      </c>
      <c r="BK567">
        <f>MAX(BF567:BJ567)</f>
        <v>0</v>
      </c>
      <c r="BL567">
        <f>MAX(BG567:BJ567)</f>
        <v>0</v>
      </c>
      <c r="BM567">
        <f>MAX(BH567:BJ567)</f>
        <v>0</v>
      </c>
      <c r="BN567">
        <f>IF(AND(AN567=ReachLabel,BB567=1),AS567,0)</f>
        <v>0</v>
      </c>
      <c r="BO567">
        <f>IF(AND(AN567=MatchLabel,BB567=1),AS567,0)</f>
        <v>0</v>
      </c>
      <c r="BP567">
        <f>IF(AND(AN567=SafetyLabel,BB567=1),AS567,0)</f>
        <v>0</v>
      </c>
      <c r="BQ567">
        <f>IF(AND(AN567=SecureLabel,BB567=1),AS567,0)</f>
        <v>0</v>
      </c>
      <c r="BR567">
        <f>IF(AND(AN567=SureThingLabel,BB567=1),AS567,0)</f>
        <v>0</v>
      </c>
      <c r="BS567">
        <f>MAX(BN567:BR567)</f>
        <v>0</v>
      </c>
      <c r="BT567">
        <f>MAX(BO567:BR567)</f>
        <v>0</v>
      </c>
      <c r="BU567">
        <f>MAX(BP567:BR567)</f>
        <v>0</v>
      </c>
      <c r="BV567">
        <f>IF(ISNUMBER(AB567),INDEX(AllCollegeChicago, MATCH(N567,AllCollegeNCES,0))*BB567,0)</f>
        <v>0</v>
      </c>
      <c r="BW567">
        <f>IF(ISNUMBER(AB567),INDEX(AllCollegeMoneyCode, MATCH(N567,AllCollegeNCES,0)),"?")</f>
        <v>0</v>
      </c>
      <c r="BX567">
        <f>IF(OR(BW567="---",BW567="--",BW567="+/--",BW567="+/---"),1,0)</f>
        <v>0</v>
      </c>
      <c r="BY567">
        <f>BB567*AR567*AT567</f>
        <v>0</v>
      </c>
    </row>
    <row r="568" spans="1:77">
      <c r="A568" t="s">
        <v>96</v>
      </c>
      <c r="B568">
        <v>23478500</v>
      </c>
      <c r="C568" t="s">
        <v>127</v>
      </c>
      <c r="D568" t="s">
        <v>128</v>
      </c>
      <c r="E568" t="s">
        <v>446</v>
      </c>
      <c r="F568" t="s">
        <v>477</v>
      </c>
      <c r="G568" t="s">
        <v>448</v>
      </c>
      <c r="H568" t="s">
        <v>449</v>
      </c>
      <c r="I568" t="s">
        <v>450</v>
      </c>
      <c r="J568" t="s">
        <v>450</v>
      </c>
      <c r="K568">
        <v>0</v>
      </c>
      <c r="L568" t="s">
        <v>446</v>
      </c>
      <c r="M568" t="s">
        <v>446</v>
      </c>
      <c r="N568">
        <v>146427</v>
      </c>
      <c r="O568">
        <f>INDEX(Counselor,MATCH(B568,KidIDs,0))</f>
        <v>0</v>
      </c>
      <c r="P568">
        <f>INDEX(Advisors,MATCH(B568,KidIDs,0))</f>
        <v>0</v>
      </c>
      <c r="Q568">
        <f>INDEX(Cohort,MATCH(B568,KidIDs,0))</f>
        <v>0</v>
      </c>
      <c r="R568">
        <f>INDEX(AllCollegeBarrons,MATCH(N568,AllCollegeNCES,0))</f>
        <v>0</v>
      </c>
      <c r="S568">
        <f>INDEX(KidGPAs,MATCH(B568,KidIDs,0))</f>
        <v>0</v>
      </c>
      <c r="T568">
        <f>INDEX(KidSATs,MATCH(B568,KidIDs,0))</f>
        <v>0</v>
      </c>
      <c r="U568">
        <f>INDEX(Strats,MATCH(B568,KidIDs,0))</f>
        <v>0</v>
      </c>
      <c r="V568">
        <f>INDEX(KidRace,MATCH(B568,KidIDs,0))</f>
        <v>0</v>
      </c>
      <c r="W568">
        <f>IF(OR(V568="M",V568="I"),"H",IF(V568="P","A",V568))</f>
        <v>0</v>
      </c>
      <c r="X568">
        <f>INDEX(StudentTargets,MATCH(B568,KidIDs,0))</f>
        <v>0</v>
      </c>
      <c r="Y568">
        <f>INDEX(ReachStudentTargets,MATCH(B568,KidIDs,0))</f>
        <v>0</v>
      </c>
      <c r="Z568">
        <f>IF(OR(M568="Posse"),1,0)</f>
        <v>0</v>
      </c>
      <c r="AA568">
        <f>IF(ISNUMBER(INDEX(AllCollegeGR, MATCH(N568,AllCollegeNCES,0))),ROUND(INDEX(AllCollegeGR, MATCH(N568,AllCollegeNCES,0))+Z568*IF(INDEX(AllCollegeGR, MATCH(N568,AllCollegeNCES,0))&gt;0.7,(1-INDEX(AllCollegeGR, MATCH(N568,AllCollegeNCES,0)))/2,0.15),2),INDEX(AllCollegeGR, MATCH(N568,AllCollegeNCES,0)))</f>
        <v>0</v>
      </c>
      <c r="AB568">
        <f>IF(ISNUMBER(INDEX(AllCollegeAAHGR, MATCH(N568,AllCollegeNCES,0))),ROUND(INDEX(AllCollegeAAHGR, MATCH(N568,AllCollegeNCES,0))+Z568*IF(INDEX(AllCollegeAAHGR, MATCH(N568,AllCollegeNCES,0))&gt;0.7,(1-INDEX(AllCollegeAAHGR, MATCH(N568,AllCollegeNCES,0)))/2,0.15),2),INDEX(AllCollegeAAHGR, MATCH(N568,AllCollegeNCES,0)))</f>
        <v>0</v>
      </c>
      <c r="AC568">
        <f>IF(OR(W568="H",W568="B"),INDEX(AllCollegeSAT25, MATCH(N568,AllCollegeNCES,0)),INDEX(AllCollegeSAT50, MATCH(N568,AllCollegeNCES,0)))</f>
        <v>0</v>
      </c>
      <c r="AD568">
        <f>INDEX(CustomWeightsGPA,MATCH(W568&amp;":"&amp;N568,CustomWeightsIndex,0))</f>
        <v>0</v>
      </c>
      <c r="AE568">
        <f>INDEX(CustomWeightsSAT,MATCH(W568&amp;":"&amp;N568,CustomWeightsIndex,0))</f>
        <v>0</v>
      </c>
      <c r="AF568">
        <f>INDEX(CustomWeightsIntercept,MATCH(W568&amp;":"&amp;N568,CustomWeightsIndex,0))</f>
        <v>0</v>
      </c>
      <c r="AG568">
        <f>AD568*S568+AE568*T568+AF568</f>
        <v>0</v>
      </c>
      <c r="AH568">
        <f>INDEX(CoefficientsGPA,MATCH(W568&amp;":"&amp;R568,CoefficientsIndex,0))</f>
        <v>0</v>
      </c>
      <c r="AI568">
        <f>INDEX(CoefficientsSAT,MATCH(W568&amp;":"&amp;R568,CoefficientsIndex,0))</f>
        <v>0</v>
      </c>
      <c r="AJ568">
        <f>INDEX(CoefficientsIntercept,MATCH(W568&amp;":"&amp;R568,CoefficientsIndex,0))</f>
        <v>0</v>
      </c>
      <c r="AK568">
        <f>AH568*S568+(T568-AC568)*AI568+AJ568</f>
        <v>0</v>
      </c>
      <c r="AL568">
        <f>IF(ISNUMBER(AG568),AG568,AK568)</f>
        <v>0</v>
      </c>
      <c r="AM568">
        <f>IF(ISNUMBER(AL568),IF(ISNUMBER(AH568),IF(AND(AH568=1,AI568=1,AJ568=1),100,MIN(99,ROUND(100*EXP(AL568)/(1+EXP(AL568)),2))),MIN(99,ROUND(100*EXP(AL568)/(1+EXP(AL568)),2))),IF(ISTEXT(R568),IF(LEFT(R568,1)="2",100,"N/A"),"N/A"))</f>
        <v>0</v>
      </c>
      <c r="AN568">
        <f>IF(ISNUMBER(AM568),IF(AM568&gt;=99,IF(OR(U568=10,U568=11),MatchLabel,SureThingLabel),IF(AM568&gt;=95,SecureLabel,IF(AM568&gt;=80,SafetyLabel,IF(AM568&gt;=50,MatchLabel,IF(AM568&gt;=20,ReachLabel,IF(AM568&gt;=10,LongshotLabel,HailMaryLabel)))))),"Other")</f>
        <v>0</v>
      </c>
      <c r="AO568">
        <f>IF(OR(I568="accepted",I568="cond. accept",I568="summer admit"),IF(J568="yes","CHOICE!","Accepted!"),IF(I568="guar. transfer","Guar. Xfer",IF(I568="denied","Denied",IF(K568=1,"Waitlist",IF(L568=1,"Deferred",IF(G568="pending","Pending",IF(OR(G568="initial materials submitted",G568="mid-year submitted",G568="final submitted"),"Submitted",IF(H568="interest","Interest","?"))))))))</f>
        <v>0</v>
      </c>
      <c r="AP568">
        <f>IF(OR(AN568=ReachLabel,AN568=LongshotLabel,AN568=HailMaryLabel),1,0)</f>
        <v>0</v>
      </c>
      <c r="AQ568">
        <f>IF(OR(AP568=1,AN568=MatchLabel),1,0)</f>
        <v>0</v>
      </c>
      <c r="AR568">
        <f>IF(OR(AN568=MatchLabel,AN568=SafetyLabel,AN568=SecureLabel,AN568=SureThingLabel),1,0)</f>
        <v>0</v>
      </c>
      <c r="AS568">
        <f>IF(OR(W568="H",W568="B",W568="I",W568="M"),IF(ISNUMBER(AB568),ROUND(AB568,2),0),IF(ISNUMBER(AA568),ROUND(AA568,2),0))</f>
        <v>0</v>
      </c>
      <c r="AT568">
        <f>IF(AS568&gt;=X568,1,0)</f>
        <v>0</v>
      </c>
      <c r="AU568">
        <f>IF(AS568&gt;=Y568,1,0)</f>
        <v>0</v>
      </c>
      <c r="AV568">
        <f>IF(AS568&lt;(X568-0.10),1,0)</f>
        <v>0</v>
      </c>
      <c r="AW568">
        <f>1-AM568/100</f>
        <v>0</v>
      </c>
      <c r="AX568">
        <f>IF(AQ568=1,AW568,1)</f>
        <v>0</v>
      </c>
      <c r="AY568">
        <f>IF(AP568=1,AW568,1)</f>
        <v>0</v>
      </c>
      <c r="AZ568">
        <f>IF(AND(AT568=1,ISNUMBER(AW568)),$AW568,1)</f>
        <v>0</v>
      </c>
      <c r="BA568">
        <f>IF(AND(AU568=1,ISNUMBER(AW568)),$AW568,1)</f>
        <v>0</v>
      </c>
      <c r="BB568">
        <f>IF(ISNUMBER(AB568),INDEX(AllCollegeMoney, MATCH(N568,AllCollegeNCES,0)),0)</f>
        <v>0</v>
      </c>
      <c r="BC568">
        <f>IF(AND(AT568=1,ISNUMBER(AW568),BB568=1),$AW568,1)</f>
        <v>0</v>
      </c>
      <c r="BD568">
        <f>IF(AND(AU568=1,ISNUMBER(AW568),BB568=1),$AW568,1)</f>
        <v>0</v>
      </c>
      <c r="BE568">
        <f>IF(ISNUMBER(AB568),INDEX(AllCollegeILPub, MATCH(N568,AllCollegeNCES,0)),0)</f>
        <v>0</v>
      </c>
      <c r="BF568">
        <f>IF(AN568=ReachLabel,AS568,0)</f>
        <v>0</v>
      </c>
      <c r="BG568">
        <f>IF(AN568=MatchLabel,AS568,0)</f>
        <v>0</v>
      </c>
      <c r="BH568">
        <f>IF(AN568=SafetyLabel,AS568,0)</f>
        <v>0</v>
      </c>
      <c r="BI568">
        <f>IF(AN568=SecureLabel,AS568,0)</f>
        <v>0</v>
      </c>
      <c r="BJ568">
        <f>IF(AN568=SureThingLabel,AS568,0)</f>
        <v>0</v>
      </c>
      <c r="BK568">
        <f>MAX(BF568:BJ568)</f>
        <v>0</v>
      </c>
      <c r="BL568">
        <f>MAX(BG568:BJ568)</f>
        <v>0</v>
      </c>
      <c r="BM568">
        <f>MAX(BH568:BJ568)</f>
        <v>0</v>
      </c>
      <c r="BN568">
        <f>IF(AND(AN568=ReachLabel,BB568=1),AS568,0)</f>
        <v>0</v>
      </c>
      <c r="BO568">
        <f>IF(AND(AN568=MatchLabel,BB568=1),AS568,0)</f>
        <v>0</v>
      </c>
      <c r="BP568">
        <f>IF(AND(AN568=SafetyLabel,BB568=1),AS568,0)</f>
        <v>0</v>
      </c>
      <c r="BQ568">
        <f>IF(AND(AN568=SecureLabel,BB568=1),AS568,0)</f>
        <v>0</v>
      </c>
      <c r="BR568">
        <f>IF(AND(AN568=SureThingLabel,BB568=1),AS568,0)</f>
        <v>0</v>
      </c>
      <c r="BS568">
        <f>MAX(BN568:BR568)</f>
        <v>0</v>
      </c>
      <c r="BT568">
        <f>MAX(BO568:BR568)</f>
        <v>0</v>
      </c>
      <c r="BU568">
        <f>MAX(BP568:BR568)</f>
        <v>0</v>
      </c>
      <c r="BV568">
        <f>IF(ISNUMBER(AB568),INDEX(AllCollegeChicago, MATCH(N568,AllCollegeNCES,0))*BB568,0)</f>
        <v>0</v>
      </c>
      <c r="BW568">
        <f>IF(ISNUMBER(AB568),INDEX(AllCollegeMoneyCode, MATCH(N568,AllCollegeNCES,0)),"?")</f>
        <v>0</v>
      </c>
      <c r="BX568">
        <f>IF(OR(BW568="---",BW568="--",BW568="+/--",BW568="+/---"),1,0)</f>
        <v>0</v>
      </c>
      <c r="BY568">
        <f>BB568*AR568*AT568</f>
        <v>0</v>
      </c>
    </row>
    <row r="569" spans="1:77">
      <c r="A569" t="s">
        <v>96</v>
      </c>
      <c r="B569">
        <v>23478500</v>
      </c>
      <c r="C569" t="s">
        <v>127</v>
      </c>
      <c r="D569" t="s">
        <v>128</v>
      </c>
      <c r="E569" t="s">
        <v>446</v>
      </c>
      <c r="F569" t="s">
        <v>489</v>
      </c>
      <c r="G569" t="s">
        <v>448</v>
      </c>
      <c r="H569" t="s">
        <v>449</v>
      </c>
      <c r="I569" t="s">
        <v>450</v>
      </c>
      <c r="J569" t="s">
        <v>450</v>
      </c>
      <c r="K569">
        <v>0</v>
      </c>
      <c r="L569" t="s">
        <v>446</v>
      </c>
      <c r="M569" t="s">
        <v>446</v>
      </c>
      <c r="N569">
        <v>170301</v>
      </c>
      <c r="O569">
        <f>INDEX(Counselor,MATCH(B569,KidIDs,0))</f>
        <v>0</v>
      </c>
      <c r="P569">
        <f>INDEX(Advisors,MATCH(B569,KidIDs,0))</f>
        <v>0</v>
      </c>
      <c r="Q569">
        <f>INDEX(Cohort,MATCH(B569,KidIDs,0))</f>
        <v>0</v>
      </c>
      <c r="R569">
        <f>INDEX(AllCollegeBarrons,MATCH(N569,AllCollegeNCES,0))</f>
        <v>0</v>
      </c>
      <c r="S569">
        <f>INDEX(KidGPAs,MATCH(B569,KidIDs,0))</f>
        <v>0</v>
      </c>
      <c r="T569">
        <f>INDEX(KidSATs,MATCH(B569,KidIDs,0))</f>
        <v>0</v>
      </c>
      <c r="U569">
        <f>INDEX(Strats,MATCH(B569,KidIDs,0))</f>
        <v>0</v>
      </c>
      <c r="V569">
        <f>INDEX(KidRace,MATCH(B569,KidIDs,0))</f>
        <v>0</v>
      </c>
      <c r="W569">
        <f>IF(OR(V569="M",V569="I"),"H",IF(V569="P","A",V569))</f>
        <v>0</v>
      </c>
      <c r="X569">
        <f>INDEX(StudentTargets,MATCH(B569,KidIDs,0))</f>
        <v>0</v>
      </c>
      <c r="Y569">
        <f>INDEX(ReachStudentTargets,MATCH(B569,KidIDs,0))</f>
        <v>0</v>
      </c>
      <c r="Z569">
        <f>IF(OR(M569="Posse"),1,0)</f>
        <v>0</v>
      </c>
      <c r="AA569">
        <f>IF(ISNUMBER(INDEX(AllCollegeGR, MATCH(N569,AllCollegeNCES,0))),ROUND(INDEX(AllCollegeGR, MATCH(N569,AllCollegeNCES,0))+Z569*IF(INDEX(AllCollegeGR, MATCH(N569,AllCollegeNCES,0))&gt;0.7,(1-INDEX(AllCollegeGR, MATCH(N569,AllCollegeNCES,0)))/2,0.15),2),INDEX(AllCollegeGR, MATCH(N569,AllCollegeNCES,0)))</f>
        <v>0</v>
      </c>
      <c r="AB569">
        <f>IF(ISNUMBER(INDEX(AllCollegeAAHGR, MATCH(N569,AllCollegeNCES,0))),ROUND(INDEX(AllCollegeAAHGR, MATCH(N569,AllCollegeNCES,0))+Z569*IF(INDEX(AllCollegeAAHGR, MATCH(N569,AllCollegeNCES,0))&gt;0.7,(1-INDEX(AllCollegeAAHGR, MATCH(N569,AllCollegeNCES,0)))/2,0.15),2),INDEX(AllCollegeAAHGR, MATCH(N569,AllCollegeNCES,0)))</f>
        <v>0</v>
      </c>
      <c r="AC569">
        <f>IF(OR(W569="H",W569="B"),INDEX(AllCollegeSAT25, MATCH(N569,AllCollegeNCES,0)),INDEX(AllCollegeSAT50, MATCH(N569,AllCollegeNCES,0)))</f>
        <v>0</v>
      </c>
      <c r="AD569">
        <f>INDEX(CustomWeightsGPA,MATCH(W569&amp;":"&amp;N569,CustomWeightsIndex,0))</f>
        <v>0</v>
      </c>
      <c r="AE569">
        <f>INDEX(CustomWeightsSAT,MATCH(W569&amp;":"&amp;N569,CustomWeightsIndex,0))</f>
        <v>0</v>
      </c>
      <c r="AF569">
        <f>INDEX(CustomWeightsIntercept,MATCH(W569&amp;":"&amp;N569,CustomWeightsIndex,0))</f>
        <v>0</v>
      </c>
      <c r="AG569">
        <f>AD569*S569+AE569*T569+AF569</f>
        <v>0</v>
      </c>
      <c r="AH569">
        <f>INDEX(CoefficientsGPA,MATCH(W569&amp;":"&amp;R569,CoefficientsIndex,0))</f>
        <v>0</v>
      </c>
      <c r="AI569">
        <f>INDEX(CoefficientsSAT,MATCH(W569&amp;":"&amp;R569,CoefficientsIndex,0))</f>
        <v>0</v>
      </c>
      <c r="AJ569">
        <f>INDEX(CoefficientsIntercept,MATCH(W569&amp;":"&amp;R569,CoefficientsIndex,0))</f>
        <v>0</v>
      </c>
      <c r="AK569">
        <f>AH569*S569+(T569-AC569)*AI569+AJ569</f>
        <v>0</v>
      </c>
      <c r="AL569">
        <f>IF(ISNUMBER(AG569),AG569,AK569)</f>
        <v>0</v>
      </c>
      <c r="AM569">
        <f>IF(ISNUMBER(AL569),IF(ISNUMBER(AH569),IF(AND(AH569=1,AI569=1,AJ569=1),100,MIN(99,ROUND(100*EXP(AL569)/(1+EXP(AL569)),2))),MIN(99,ROUND(100*EXP(AL569)/(1+EXP(AL569)),2))),IF(ISTEXT(R569),IF(LEFT(R569,1)="2",100,"N/A"),"N/A"))</f>
        <v>0</v>
      </c>
      <c r="AN569">
        <f>IF(ISNUMBER(AM569),IF(AM569&gt;=99,IF(OR(U569=10,U569=11),MatchLabel,SureThingLabel),IF(AM569&gt;=95,SecureLabel,IF(AM569&gt;=80,SafetyLabel,IF(AM569&gt;=50,MatchLabel,IF(AM569&gt;=20,ReachLabel,IF(AM569&gt;=10,LongshotLabel,HailMaryLabel)))))),"Other")</f>
        <v>0</v>
      </c>
      <c r="AO569">
        <f>IF(OR(I569="accepted",I569="cond. accept",I569="summer admit"),IF(J569="yes","CHOICE!","Accepted!"),IF(I569="guar. transfer","Guar. Xfer",IF(I569="denied","Denied",IF(K569=1,"Waitlist",IF(L569=1,"Deferred",IF(G569="pending","Pending",IF(OR(G569="initial materials submitted",G569="mid-year submitted",G569="final submitted"),"Submitted",IF(H569="interest","Interest","?"))))))))</f>
        <v>0</v>
      </c>
      <c r="AP569">
        <f>IF(OR(AN569=ReachLabel,AN569=LongshotLabel,AN569=HailMaryLabel),1,0)</f>
        <v>0</v>
      </c>
      <c r="AQ569">
        <f>IF(OR(AP569=1,AN569=MatchLabel),1,0)</f>
        <v>0</v>
      </c>
      <c r="AR569">
        <f>IF(OR(AN569=MatchLabel,AN569=SafetyLabel,AN569=SecureLabel,AN569=SureThingLabel),1,0)</f>
        <v>0</v>
      </c>
      <c r="AS569">
        <f>IF(OR(W569="H",W569="B",W569="I",W569="M"),IF(ISNUMBER(AB569),ROUND(AB569,2),0),IF(ISNUMBER(AA569),ROUND(AA569,2),0))</f>
        <v>0</v>
      </c>
      <c r="AT569">
        <f>IF(AS569&gt;=X569,1,0)</f>
        <v>0</v>
      </c>
      <c r="AU569">
        <f>IF(AS569&gt;=Y569,1,0)</f>
        <v>0</v>
      </c>
      <c r="AV569">
        <f>IF(AS569&lt;(X569-0.10),1,0)</f>
        <v>0</v>
      </c>
      <c r="AW569">
        <f>1-AM569/100</f>
        <v>0</v>
      </c>
      <c r="AX569">
        <f>IF(AQ569=1,AW569,1)</f>
        <v>0</v>
      </c>
      <c r="AY569">
        <f>IF(AP569=1,AW569,1)</f>
        <v>0</v>
      </c>
      <c r="AZ569">
        <f>IF(AND(AT569=1,ISNUMBER(AW569)),$AW569,1)</f>
        <v>0</v>
      </c>
      <c r="BA569">
        <f>IF(AND(AU569=1,ISNUMBER(AW569)),$AW569,1)</f>
        <v>0</v>
      </c>
      <c r="BB569">
        <f>IF(ISNUMBER(AB569),INDEX(AllCollegeMoney, MATCH(N569,AllCollegeNCES,0)),0)</f>
        <v>0</v>
      </c>
      <c r="BC569">
        <f>IF(AND(AT569=1,ISNUMBER(AW569),BB569=1),$AW569,1)</f>
        <v>0</v>
      </c>
      <c r="BD569">
        <f>IF(AND(AU569=1,ISNUMBER(AW569),BB569=1),$AW569,1)</f>
        <v>0</v>
      </c>
      <c r="BE569">
        <f>IF(ISNUMBER(AB569),INDEX(AllCollegeILPub, MATCH(N569,AllCollegeNCES,0)),0)</f>
        <v>0</v>
      </c>
      <c r="BF569">
        <f>IF(AN569=ReachLabel,AS569,0)</f>
        <v>0</v>
      </c>
      <c r="BG569">
        <f>IF(AN569=MatchLabel,AS569,0)</f>
        <v>0</v>
      </c>
      <c r="BH569">
        <f>IF(AN569=SafetyLabel,AS569,0)</f>
        <v>0</v>
      </c>
      <c r="BI569">
        <f>IF(AN569=SecureLabel,AS569,0)</f>
        <v>0</v>
      </c>
      <c r="BJ569">
        <f>IF(AN569=SureThingLabel,AS569,0)</f>
        <v>0</v>
      </c>
      <c r="BK569">
        <f>MAX(BF569:BJ569)</f>
        <v>0</v>
      </c>
      <c r="BL569">
        <f>MAX(BG569:BJ569)</f>
        <v>0</v>
      </c>
      <c r="BM569">
        <f>MAX(BH569:BJ569)</f>
        <v>0</v>
      </c>
      <c r="BN569">
        <f>IF(AND(AN569=ReachLabel,BB569=1),AS569,0)</f>
        <v>0</v>
      </c>
      <c r="BO569">
        <f>IF(AND(AN569=MatchLabel,BB569=1),AS569,0)</f>
        <v>0</v>
      </c>
      <c r="BP569">
        <f>IF(AND(AN569=SafetyLabel,BB569=1),AS569,0)</f>
        <v>0</v>
      </c>
      <c r="BQ569">
        <f>IF(AND(AN569=SecureLabel,BB569=1),AS569,0)</f>
        <v>0</v>
      </c>
      <c r="BR569">
        <f>IF(AND(AN569=SureThingLabel,BB569=1),AS569,0)</f>
        <v>0</v>
      </c>
      <c r="BS569">
        <f>MAX(BN569:BR569)</f>
        <v>0</v>
      </c>
      <c r="BT569">
        <f>MAX(BO569:BR569)</f>
        <v>0</v>
      </c>
      <c r="BU569">
        <f>MAX(BP569:BR569)</f>
        <v>0</v>
      </c>
      <c r="BV569">
        <f>IF(ISNUMBER(AB569),INDEX(AllCollegeChicago, MATCH(N569,AllCollegeNCES,0))*BB569,0)</f>
        <v>0</v>
      </c>
      <c r="BW569">
        <f>IF(ISNUMBER(AB569),INDEX(AllCollegeMoneyCode, MATCH(N569,AllCollegeNCES,0)),"?")</f>
        <v>0</v>
      </c>
      <c r="BX569">
        <f>IF(OR(BW569="---",BW569="--",BW569="+/--",BW569="+/---"),1,0)</f>
        <v>0</v>
      </c>
      <c r="BY569">
        <f>BB569*AR569*AT569</f>
        <v>0</v>
      </c>
    </row>
    <row r="570" spans="1:77">
      <c r="A570" t="s">
        <v>96</v>
      </c>
      <c r="B570">
        <v>23499435</v>
      </c>
      <c r="C570" t="s">
        <v>321</v>
      </c>
      <c r="D570" t="s">
        <v>322</v>
      </c>
      <c r="E570" t="s">
        <v>446</v>
      </c>
      <c r="F570" t="s">
        <v>470</v>
      </c>
      <c r="G570" t="s">
        <v>448</v>
      </c>
      <c r="H570" t="s">
        <v>449</v>
      </c>
      <c r="I570" t="s">
        <v>450</v>
      </c>
      <c r="J570" t="s">
        <v>450</v>
      </c>
      <c r="K570">
        <v>0</v>
      </c>
      <c r="L570" t="s">
        <v>446</v>
      </c>
      <c r="M570" t="s">
        <v>446</v>
      </c>
      <c r="N570">
        <v>240444</v>
      </c>
      <c r="O570">
        <f>INDEX(Counselor,MATCH(B570,KidIDs,0))</f>
        <v>0</v>
      </c>
      <c r="P570">
        <f>INDEX(Advisors,MATCH(B570,KidIDs,0))</f>
        <v>0</v>
      </c>
      <c r="Q570">
        <f>INDEX(Cohort,MATCH(B570,KidIDs,0))</f>
        <v>0</v>
      </c>
      <c r="R570">
        <f>INDEX(AllCollegeBarrons,MATCH(N570,AllCollegeNCES,0))</f>
        <v>0</v>
      </c>
      <c r="S570">
        <f>INDEX(KidGPAs,MATCH(B570,KidIDs,0))</f>
        <v>0</v>
      </c>
      <c r="T570">
        <f>INDEX(KidSATs,MATCH(B570,KidIDs,0))</f>
        <v>0</v>
      </c>
      <c r="U570">
        <f>INDEX(Strats,MATCH(B570,KidIDs,0))</f>
        <v>0</v>
      </c>
      <c r="V570">
        <f>INDEX(KidRace,MATCH(B570,KidIDs,0))</f>
        <v>0</v>
      </c>
      <c r="W570">
        <f>IF(OR(V570="M",V570="I"),"H",IF(V570="P","A",V570))</f>
        <v>0</v>
      </c>
      <c r="X570">
        <f>INDEX(StudentTargets,MATCH(B570,KidIDs,0))</f>
        <v>0</v>
      </c>
      <c r="Y570">
        <f>INDEX(ReachStudentTargets,MATCH(B570,KidIDs,0))</f>
        <v>0</v>
      </c>
      <c r="Z570">
        <f>IF(OR(M570="Posse"),1,0)</f>
        <v>0</v>
      </c>
      <c r="AA570">
        <f>IF(ISNUMBER(INDEX(AllCollegeGR, MATCH(N570,AllCollegeNCES,0))),ROUND(INDEX(AllCollegeGR, MATCH(N570,AllCollegeNCES,0))+Z570*IF(INDEX(AllCollegeGR, MATCH(N570,AllCollegeNCES,0))&gt;0.7,(1-INDEX(AllCollegeGR, MATCH(N570,AllCollegeNCES,0)))/2,0.15),2),INDEX(AllCollegeGR, MATCH(N570,AllCollegeNCES,0)))</f>
        <v>0</v>
      </c>
      <c r="AB570">
        <f>IF(ISNUMBER(INDEX(AllCollegeAAHGR, MATCH(N570,AllCollegeNCES,0))),ROUND(INDEX(AllCollegeAAHGR, MATCH(N570,AllCollegeNCES,0))+Z570*IF(INDEX(AllCollegeAAHGR, MATCH(N570,AllCollegeNCES,0))&gt;0.7,(1-INDEX(AllCollegeAAHGR, MATCH(N570,AllCollegeNCES,0)))/2,0.15),2),INDEX(AllCollegeAAHGR, MATCH(N570,AllCollegeNCES,0)))</f>
        <v>0</v>
      </c>
      <c r="AC570">
        <f>IF(OR(W570="H",W570="B"),INDEX(AllCollegeSAT25, MATCH(N570,AllCollegeNCES,0)),INDEX(AllCollegeSAT50, MATCH(N570,AllCollegeNCES,0)))</f>
        <v>0</v>
      </c>
      <c r="AD570">
        <f>INDEX(CustomWeightsGPA,MATCH(W570&amp;":"&amp;N570,CustomWeightsIndex,0))</f>
        <v>0</v>
      </c>
      <c r="AE570">
        <f>INDEX(CustomWeightsSAT,MATCH(W570&amp;":"&amp;N570,CustomWeightsIndex,0))</f>
        <v>0</v>
      </c>
      <c r="AF570">
        <f>INDEX(CustomWeightsIntercept,MATCH(W570&amp;":"&amp;N570,CustomWeightsIndex,0))</f>
        <v>0</v>
      </c>
      <c r="AG570">
        <f>AD570*S570+AE570*T570+AF570</f>
        <v>0</v>
      </c>
      <c r="AH570">
        <f>INDEX(CoefficientsGPA,MATCH(W570&amp;":"&amp;R570,CoefficientsIndex,0))</f>
        <v>0</v>
      </c>
      <c r="AI570">
        <f>INDEX(CoefficientsSAT,MATCH(W570&amp;":"&amp;R570,CoefficientsIndex,0))</f>
        <v>0</v>
      </c>
      <c r="AJ570">
        <f>INDEX(CoefficientsIntercept,MATCH(W570&amp;":"&amp;R570,CoefficientsIndex,0))</f>
        <v>0</v>
      </c>
      <c r="AK570">
        <f>AH570*S570+(T570-AC570)*AI570+AJ570</f>
        <v>0</v>
      </c>
      <c r="AL570">
        <f>IF(ISNUMBER(AG570),AG570,AK570)</f>
        <v>0</v>
      </c>
      <c r="AM570">
        <f>IF(ISNUMBER(AL570),IF(ISNUMBER(AH570),IF(AND(AH570=1,AI570=1,AJ570=1),100,MIN(99,ROUND(100*EXP(AL570)/(1+EXP(AL570)),2))),MIN(99,ROUND(100*EXP(AL570)/(1+EXP(AL570)),2))),IF(ISTEXT(R570),IF(LEFT(R570,1)="2",100,"N/A"),"N/A"))</f>
        <v>0</v>
      </c>
      <c r="AN570">
        <f>IF(ISNUMBER(AM570),IF(AM570&gt;=99,IF(OR(U570=10,U570=11),MatchLabel,SureThingLabel),IF(AM570&gt;=95,SecureLabel,IF(AM570&gt;=80,SafetyLabel,IF(AM570&gt;=50,MatchLabel,IF(AM570&gt;=20,ReachLabel,IF(AM570&gt;=10,LongshotLabel,HailMaryLabel)))))),"Other")</f>
        <v>0</v>
      </c>
      <c r="AO570">
        <f>IF(OR(I570="accepted",I570="cond. accept",I570="summer admit"),IF(J570="yes","CHOICE!","Accepted!"),IF(I570="guar. transfer","Guar. Xfer",IF(I570="denied","Denied",IF(K570=1,"Waitlist",IF(L570=1,"Deferred",IF(G570="pending","Pending",IF(OR(G570="initial materials submitted",G570="mid-year submitted",G570="final submitted"),"Submitted",IF(H570="interest","Interest","?"))))))))</f>
        <v>0</v>
      </c>
      <c r="AP570">
        <f>IF(OR(AN570=ReachLabel,AN570=LongshotLabel,AN570=HailMaryLabel),1,0)</f>
        <v>0</v>
      </c>
      <c r="AQ570">
        <f>IF(OR(AP570=1,AN570=MatchLabel),1,0)</f>
        <v>0</v>
      </c>
      <c r="AR570">
        <f>IF(OR(AN570=MatchLabel,AN570=SafetyLabel,AN570=SecureLabel,AN570=SureThingLabel),1,0)</f>
        <v>0</v>
      </c>
      <c r="AS570">
        <f>IF(OR(W570="H",W570="B",W570="I",W570="M"),IF(ISNUMBER(AB570),ROUND(AB570,2),0),IF(ISNUMBER(AA570),ROUND(AA570,2),0))</f>
        <v>0</v>
      </c>
      <c r="AT570">
        <f>IF(AS570&gt;=X570,1,0)</f>
        <v>0</v>
      </c>
      <c r="AU570">
        <f>IF(AS570&gt;=Y570,1,0)</f>
        <v>0</v>
      </c>
      <c r="AV570">
        <f>IF(AS570&lt;(X570-0.10),1,0)</f>
        <v>0</v>
      </c>
      <c r="AW570">
        <f>1-AM570/100</f>
        <v>0</v>
      </c>
      <c r="AX570">
        <f>IF(AQ570=1,AW570,1)</f>
        <v>0</v>
      </c>
      <c r="AY570">
        <f>IF(AP570=1,AW570,1)</f>
        <v>0</v>
      </c>
      <c r="AZ570">
        <f>IF(AND(AT570=1,ISNUMBER(AW570)),$AW570,1)</f>
        <v>0</v>
      </c>
      <c r="BA570">
        <f>IF(AND(AU570=1,ISNUMBER(AW570)),$AW570,1)</f>
        <v>0</v>
      </c>
      <c r="BB570">
        <f>IF(ISNUMBER(AB570),INDEX(AllCollegeMoney, MATCH(N570,AllCollegeNCES,0)),0)</f>
        <v>0</v>
      </c>
      <c r="BC570">
        <f>IF(AND(AT570=1,ISNUMBER(AW570),BB570=1),$AW570,1)</f>
        <v>0</v>
      </c>
      <c r="BD570">
        <f>IF(AND(AU570=1,ISNUMBER(AW570),BB570=1),$AW570,1)</f>
        <v>0</v>
      </c>
      <c r="BE570">
        <f>IF(ISNUMBER(AB570),INDEX(AllCollegeILPub, MATCH(N570,AllCollegeNCES,0)),0)</f>
        <v>0</v>
      </c>
      <c r="BF570">
        <f>IF(AN570=ReachLabel,AS570,0)</f>
        <v>0</v>
      </c>
      <c r="BG570">
        <f>IF(AN570=MatchLabel,AS570,0)</f>
        <v>0</v>
      </c>
      <c r="BH570">
        <f>IF(AN570=SafetyLabel,AS570,0)</f>
        <v>0</v>
      </c>
      <c r="BI570">
        <f>IF(AN570=SecureLabel,AS570,0)</f>
        <v>0</v>
      </c>
      <c r="BJ570">
        <f>IF(AN570=SureThingLabel,AS570,0)</f>
        <v>0</v>
      </c>
      <c r="BK570">
        <f>MAX(BF570:BJ570)</f>
        <v>0</v>
      </c>
      <c r="BL570">
        <f>MAX(BG570:BJ570)</f>
        <v>0</v>
      </c>
      <c r="BM570">
        <f>MAX(BH570:BJ570)</f>
        <v>0</v>
      </c>
      <c r="BN570">
        <f>IF(AND(AN570=ReachLabel,BB570=1),AS570,0)</f>
        <v>0</v>
      </c>
      <c r="BO570">
        <f>IF(AND(AN570=MatchLabel,BB570=1),AS570,0)</f>
        <v>0</v>
      </c>
      <c r="BP570">
        <f>IF(AND(AN570=SafetyLabel,BB570=1),AS570,0)</f>
        <v>0</v>
      </c>
      <c r="BQ570">
        <f>IF(AND(AN570=SecureLabel,BB570=1),AS570,0)</f>
        <v>0</v>
      </c>
      <c r="BR570">
        <f>IF(AND(AN570=SureThingLabel,BB570=1),AS570,0)</f>
        <v>0</v>
      </c>
      <c r="BS570">
        <f>MAX(BN570:BR570)</f>
        <v>0</v>
      </c>
      <c r="BT570">
        <f>MAX(BO570:BR570)</f>
        <v>0</v>
      </c>
      <c r="BU570">
        <f>MAX(BP570:BR570)</f>
        <v>0</v>
      </c>
      <c r="BV570">
        <f>IF(ISNUMBER(AB570),INDEX(AllCollegeChicago, MATCH(N570,AllCollegeNCES,0))*BB570,0)</f>
        <v>0</v>
      </c>
      <c r="BW570">
        <f>IF(ISNUMBER(AB570),INDEX(AllCollegeMoneyCode, MATCH(N570,AllCollegeNCES,0)),"?")</f>
        <v>0</v>
      </c>
      <c r="BX570">
        <f>IF(OR(BW570="---",BW570="--",BW570="+/--",BW570="+/---"),1,0)</f>
        <v>0</v>
      </c>
      <c r="BY570">
        <f>BB570*AR570*AT570</f>
        <v>0</v>
      </c>
    </row>
    <row r="571" spans="1:77">
      <c r="A571" t="s">
        <v>96</v>
      </c>
      <c r="B571">
        <v>23499435</v>
      </c>
      <c r="C571" t="s">
        <v>321</v>
      </c>
      <c r="D571" t="s">
        <v>322</v>
      </c>
      <c r="E571" t="s">
        <v>446</v>
      </c>
      <c r="F571" t="s">
        <v>472</v>
      </c>
      <c r="G571" t="s">
        <v>448</v>
      </c>
      <c r="H571" t="s">
        <v>449</v>
      </c>
      <c r="I571" t="s">
        <v>450</v>
      </c>
      <c r="J571" t="s">
        <v>450</v>
      </c>
      <c r="K571">
        <v>0</v>
      </c>
      <c r="L571" t="s">
        <v>446</v>
      </c>
      <c r="M571" t="s">
        <v>446</v>
      </c>
      <c r="N571">
        <v>212674</v>
      </c>
      <c r="O571">
        <f>INDEX(Counselor,MATCH(B571,KidIDs,0))</f>
        <v>0</v>
      </c>
      <c r="P571">
        <f>INDEX(Advisors,MATCH(B571,KidIDs,0))</f>
        <v>0</v>
      </c>
      <c r="Q571">
        <f>INDEX(Cohort,MATCH(B571,KidIDs,0))</f>
        <v>0</v>
      </c>
      <c r="R571">
        <f>INDEX(AllCollegeBarrons,MATCH(N571,AllCollegeNCES,0))</f>
        <v>0</v>
      </c>
      <c r="S571">
        <f>INDEX(KidGPAs,MATCH(B571,KidIDs,0))</f>
        <v>0</v>
      </c>
      <c r="T571">
        <f>INDEX(KidSATs,MATCH(B571,KidIDs,0))</f>
        <v>0</v>
      </c>
      <c r="U571">
        <f>INDEX(Strats,MATCH(B571,KidIDs,0))</f>
        <v>0</v>
      </c>
      <c r="V571">
        <f>INDEX(KidRace,MATCH(B571,KidIDs,0))</f>
        <v>0</v>
      </c>
      <c r="W571">
        <f>IF(OR(V571="M",V571="I"),"H",IF(V571="P","A",V571))</f>
        <v>0</v>
      </c>
      <c r="X571">
        <f>INDEX(StudentTargets,MATCH(B571,KidIDs,0))</f>
        <v>0</v>
      </c>
      <c r="Y571">
        <f>INDEX(ReachStudentTargets,MATCH(B571,KidIDs,0))</f>
        <v>0</v>
      </c>
      <c r="Z571">
        <f>IF(OR(M571="Posse"),1,0)</f>
        <v>0</v>
      </c>
      <c r="AA571">
        <f>IF(ISNUMBER(INDEX(AllCollegeGR, MATCH(N571,AllCollegeNCES,0))),ROUND(INDEX(AllCollegeGR, MATCH(N571,AllCollegeNCES,0))+Z571*IF(INDEX(AllCollegeGR, MATCH(N571,AllCollegeNCES,0))&gt;0.7,(1-INDEX(AllCollegeGR, MATCH(N571,AllCollegeNCES,0)))/2,0.15),2),INDEX(AllCollegeGR, MATCH(N571,AllCollegeNCES,0)))</f>
        <v>0</v>
      </c>
      <c r="AB571">
        <f>IF(ISNUMBER(INDEX(AllCollegeAAHGR, MATCH(N571,AllCollegeNCES,0))),ROUND(INDEX(AllCollegeAAHGR, MATCH(N571,AllCollegeNCES,0))+Z571*IF(INDEX(AllCollegeAAHGR, MATCH(N571,AllCollegeNCES,0))&gt;0.7,(1-INDEX(AllCollegeAAHGR, MATCH(N571,AllCollegeNCES,0)))/2,0.15),2),INDEX(AllCollegeAAHGR, MATCH(N571,AllCollegeNCES,0)))</f>
        <v>0</v>
      </c>
      <c r="AC571">
        <f>IF(OR(W571="H",W571="B"),INDEX(AllCollegeSAT25, MATCH(N571,AllCollegeNCES,0)),INDEX(AllCollegeSAT50, MATCH(N571,AllCollegeNCES,0)))</f>
        <v>0</v>
      </c>
      <c r="AD571">
        <f>INDEX(CustomWeightsGPA,MATCH(W571&amp;":"&amp;N571,CustomWeightsIndex,0))</f>
        <v>0</v>
      </c>
      <c r="AE571">
        <f>INDEX(CustomWeightsSAT,MATCH(W571&amp;":"&amp;N571,CustomWeightsIndex,0))</f>
        <v>0</v>
      </c>
      <c r="AF571">
        <f>INDEX(CustomWeightsIntercept,MATCH(W571&amp;":"&amp;N571,CustomWeightsIndex,0))</f>
        <v>0</v>
      </c>
      <c r="AG571">
        <f>AD571*S571+AE571*T571+AF571</f>
        <v>0</v>
      </c>
      <c r="AH571">
        <f>INDEX(CoefficientsGPA,MATCH(W571&amp;":"&amp;R571,CoefficientsIndex,0))</f>
        <v>0</v>
      </c>
      <c r="AI571">
        <f>INDEX(CoefficientsSAT,MATCH(W571&amp;":"&amp;R571,CoefficientsIndex,0))</f>
        <v>0</v>
      </c>
      <c r="AJ571">
        <f>INDEX(CoefficientsIntercept,MATCH(W571&amp;":"&amp;R571,CoefficientsIndex,0))</f>
        <v>0</v>
      </c>
      <c r="AK571">
        <f>AH571*S571+(T571-AC571)*AI571+AJ571</f>
        <v>0</v>
      </c>
      <c r="AL571">
        <f>IF(ISNUMBER(AG571),AG571,AK571)</f>
        <v>0</v>
      </c>
      <c r="AM571">
        <f>IF(ISNUMBER(AL571),IF(ISNUMBER(AH571),IF(AND(AH571=1,AI571=1,AJ571=1),100,MIN(99,ROUND(100*EXP(AL571)/(1+EXP(AL571)),2))),MIN(99,ROUND(100*EXP(AL571)/(1+EXP(AL571)),2))),IF(ISTEXT(R571),IF(LEFT(R571,1)="2",100,"N/A"),"N/A"))</f>
        <v>0</v>
      </c>
      <c r="AN571">
        <f>IF(ISNUMBER(AM571),IF(AM571&gt;=99,IF(OR(U571=10,U571=11),MatchLabel,SureThingLabel),IF(AM571&gt;=95,SecureLabel,IF(AM571&gt;=80,SafetyLabel,IF(AM571&gt;=50,MatchLabel,IF(AM571&gt;=20,ReachLabel,IF(AM571&gt;=10,LongshotLabel,HailMaryLabel)))))),"Other")</f>
        <v>0</v>
      </c>
      <c r="AO571">
        <f>IF(OR(I571="accepted",I571="cond. accept",I571="summer admit"),IF(J571="yes","CHOICE!","Accepted!"),IF(I571="guar. transfer","Guar. Xfer",IF(I571="denied","Denied",IF(K571=1,"Waitlist",IF(L571=1,"Deferred",IF(G571="pending","Pending",IF(OR(G571="initial materials submitted",G571="mid-year submitted",G571="final submitted"),"Submitted",IF(H571="interest","Interest","?"))))))))</f>
        <v>0</v>
      </c>
      <c r="AP571">
        <f>IF(OR(AN571=ReachLabel,AN571=LongshotLabel,AN571=HailMaryLabel),1,0)</f>
        <v>0</v>
      </c>
      <c r="AQ571">
        <f>IF(OR(AP571=1,AN571=MatchLabel),1,0)</f>
        <v>0</v>
      </c>
      <c r="AR571">
        <f>IF(OR(AN571=MatchLabel,AN571=SafetyLabel,AN571=SecureLabel,AN571=SureThingLabel),1,0)</f>
        <v>0</v>
      </c>
      <c r="AS571">
        <f>IF(OR(W571="H",W571="B",W571="I",W571="M"),IF(ISNUMBER(AB571),ROUND(AB571,2),0),IF(ISNUMBER(AA571),ROUND(AA571,2),0))</f>
        <v>0</v>
      </c>
      <c r="AT571">
        <f>IF(AS571&gt;=X571,1,0)</f>
        <v>0</v>
      </c>
      <c r="AU571">
        <f>IF(AS571&gt;=Y571,1,0)</f>
        <v>0</v>
      </c>
      <c r="AV571">
        <f>IF(AS571&lt;(X571-0.10),1,0)</f>
        <v>0</v>
      </c>
      <c r="AW571">
        <f>1-AM571/100</f>
        <v>0</v>
      </c>
      <c r="AX571">
        <f>IF(AQ571=1,AW571,1)</f>
        <v>0</v>
      </c>
      <c r="AY571">
        <f>IF(AP571=1,AW571,1)</f>
        <v>0</v>
      </c>
      <c r="AZ571">
        <f>IF(AND(AT571=1,ISNUMBER(AW571)),$AW571,1)</f>
        <v>0</v>
      </c>
      <c r="BA571">
        <f>IF(AND(AU571=1,ISNUMBER(AW571)),$AW571,1)</f>
        <v>0</v>
      </c>
      <c r="BB571">
        <f>IF(ISNUMBER(AB571),INDEX(AllCollegeMoney, MATCH(N571,AllCollegeNCES,0)),0)</f>
        <v>0</v>
      </c>
      <c r="BC571">
        <f>IF(AND(AT571=1,ISNUMBER(AW571),BB571=1),$AW571,1)</f>
        <v>0</v>
      </c>
      <c r="BD571">
        <f>IF(AND(AU571=1,ISNUMBER(AW571),BB571=1),$AW571,1)</f>
        <v>0</v>
      </c>
      <c r="BE571">
        <f>IF(ISNUMBER(AB571),INDEX(AllCollegeILPub, MATCH(N571,AllCollegeNCES,0)),0)</f>
        <v>0</v>
      </c>
      <c r="BF571">
        <f>IF(AN571=ReachLabel,AS571,0)</f>
        <v>0</v>
      </c>
      <c r="BG571">
        <f>IF(AN571=MatchLabel,AS571,0)</f>
        <v>0</v>
      </c>
      <c r="BH571">
        <f>IF(AN571=SafetyLabel,AS571,0)</f>
        <v>0</v>
      </c>
      <c r="BI571">
        <f>IF(AN571=SecureLabel,AS571,0)</f>
        <v>0</v>
      </c>
      <c r="BJ571">
        <f>IF(AN571=SureThingLabel,AS571,0)</f>
        <v>0</v>
      </c>
      <c r="BK571">
        <f>MAX(BF571:BJ571)</f>
        <v>0</v>
      </c>
      <c r="BL571">
        <f>MAX(BG571:BJ571)</f>
        <v>0</v>
      </c>
      <c r="BM571">
        <f>MAX(BH571:BJ571)</f>
        <v>0</v>
      </c>
      <c r="BN571">
        <f>IF(AND(AN571=ReachLabel,BB571=1),AS571,0)</f>
        <v>0</v>
      </c>
      <c r="BO571">
        <f>IF(AND(AN571=MatchLabel,BB571=1),AS571,0)</f>
        <v>0</v>
      </c>
      <c r="BP571">
        <f>IF(AND(AN571=SafetyLabel,BB571=1),AS571,0)</f>
        <v>0</v>
      </c>
      <c r="BQ571">
        <f>IF(AND(AN571=SecureLabel,BB571=1),AS571,0)</f>
        <v>0</v>
      </c>
      <c r="BR571">
        <f>IF(AND(AN571=SureThingLabel,BB571=1),AS571,0)</f>
        <v>0</v>
      </c>
      <c r="BS571">
        <f>MAX(BN571:BR571)</f>
        <v>0</v>
      </c>
      <c r="BT571">
        <f>MAX(BO571:BR571)</f>
        <v>0</v>
      </c>
      <c r="BU571">
        <f>MAX(BP571:BR571)</f>
        <v>0</v>
      </c>
      <c r="BV571">
        <f>IF(ISNUMBER(AB571),INDEX(AllCollegeChicago, MATCH(N571,AllCollegeNCES,0))*BB571,0)</f>
        <v>0</v>
      </c>
      <c r="BW571">
        <f>IF(ISNUMBER(AB571),INDEX(AllCollegeMoneyCode, MATCH(N571,AllCollegeNCES,0)),"?")</f>
        <v>0</v>
      </c>
      <c r="BX571">
        <f>IF(OR(BW571="---",BW571="--",BW571="+/--",BW571="+/---"),1,0)</f>
        <v>0</v>
      </c>
      <c r="BY571">
        <f>BB571*AR571*AT571</f>
        <v>0</v>
      </c>
    </row>
    <row r="572" spans="1:77">
      <c r="A572" t="s">
        <v>96</v>
      </c>
      <c r="B572">
        <v>23499435</v>
      </c>
      <c r="C572" t="s">
        <v>321</v>
      </c>
      <c r="D572" t="s">
        <v>322</v>
      </c>
      <c r="E572" t="s">
        <v>446</v>
      </c>
      <c r="F572" t="s">
        <v>516</v>
      </c>
      <c r="G572" t="s">
        <v>448</v>
      </c>
      <c r="H572" t="s">
        <v>449</v>
      </c>
      <c r="I572" t="s">
        <v>450</v>
      </c>
      <c r="J572" t="s">
        <v>450</v>
      </c>
      <c r="K572">
        <v>0</v>
      </c>
      <c r="L572" t="s">
        <v>446</v>
      </c>
      <c r="M572" t="s">
        <v>446</v>
      </c>
      <c r="N572">
        <v>117946</v>
      </c>
      <c r="O572">
        <f>INDEX(Counselor,MATCH(B572,KidIDs,0))</f>
        <v>0</v>
      </c>
      <c r="P572">
        <f>INDEX(Advisors,MATCH(B572,KidIDs,0))</f>
        <v>0</v>
      </c>
      <c r="Q572">
        <f>INDEX(Cohort,MATCH(B572,KidIDs,0))</f>
        <v>0</v>
      </c>
      <c r="R572">
        <f>INDEX(AllCollegeBarrons,MATCH(N572,AllCollegeNCES,0))</f>
        <v>0</v>
      </c>
      <c r="S572">
        <f>INDEX(KidGPAs,MATCH(B572,KidIDs,0))</f>
        <v>0</v>
      </c>
      <c r="T572">
        <f>INDEX(KidSATs,MATCH(B572,KidIDs,0))</f>
        <v>0</v>
      </c>
      <c r="U572">
        <f>INDEX(Strats,MATCH(B572,KidIDs,0))</f>
        <v>0</v>
      </c>
      <c r="V572">
        <f>INDEX(KidRace,MATCH(B572,KidIDs,0))</f>
        <v>0</v>
      </c>
      <c r="W572">
        <f>IF(OR(V572="M",V572="I"),"H",IF(V572="P","A",V572))</f>
        <v>0</v>
      </c>
      <c r="X572">
        <f>INDEX(StudentTargets,MATCH(B572,KidIDs,0))</f>
        <v>0</v>
      </c>
      <c r="Y572">
        <f>INDEX(ReachStudentTargets,MATCH(B572,KidIDs,0))</f>
        <v>0</v>
      </c>
      <c r="Z572">
        <f>IF(OR(M572="Posse"),1,0)</f>
        <v>0</v>
      </c>
      <c r="AA572">
        <f>IF(ISNUMBER(INDEX(AllCollegeGR, MATCH(N572,AllCollegeNCES,0))),ROUND(INDEX(AllCollegeGR, MATCH(N572,AllCollegeNCES,0))+Z572*IF(INDEX(AllCollegeGR, MATCH(N572,AllCollegeNCES,0))&gt;0.7,(1-INDEX(AllCollegeGR, MATCH(N572,AllCollegeNCES,0)))/2,0.15),2),INDEX(AllCollegeGR, MATCH(N572,AllCollegeNCES,0)))</f>
        <v>0</v>
      </c>
      <c r="AB572">
        <f>IF(ISNUMBER(INDEX(AllCollegeAAHGR, MATCH(N572,AllCollegeNCES,0))),ROUND(INDEX(AllCollegeAAHGR, MATCH(N572,AllCollegeNCES,0))+Z572*IF(INDEX(AllCollegeAAHGR, MATCH(N572,AllCollegeNCES,0))&gt;0.7,(1-INDEX(AllCollegeAAHGR, MATCH(N572,AllCollegeNCES,0)))/2,0.15),2),INDEX(AllCollegeAAHGR, MATCH(N572,AllCollegeNCES,0)))</f>
        <v>0</v>
      </c>
      <c r="AC572">
        <f>IF(OR(W572="H",W572="B"),INDEX(AllCollegeSAT25, MATCH(N572,AllCollegeNCES,0)),INDEX(AllCollegeSAT50, MATCH(N572,AllCollegeNCES,0)))</f>
        <v>0</v>
      </c>
      <c r="AD572">
        <f>INDEX(CustomWeightsGPA,MATCH(W572&amp;":"&amp;N572,CustomWeightsIndex,0))</f>
        <v>0</v>
      </c>
      <c r="AE572">
        <f>INDEX(CustomWeightsSAT,MATCH(W572&amp;":"&amp;N572,CustomWeightsIndex,0))</f>
        <v>0</v>
      </c>
      <c r="AF572">
        <f>INDEX(CustomWeightsIntercept,MATCH(W572&amp;":"&amp;N572,CustomWeightsIndex,0))</f>
        <v>0</v>
      </c>
      <c r="AG572">
        <f>AD572*S572+AE572*T572+AF572</f>
        <v>0</v>
      </c>
      <c r="AH572">
        <f>INDEX(CoefficientsGPA,MATCH(W572&amp;":"&amp;R572,CoefficientsIndex,0))</f>
        <v>0</v>
      </c>
      <c r="AI572">
        <f>INDEX(CoefficientsSAT,MATCH(W572&amp;":"&amp;R572,CoefficientsIndex,0))</f>
        <v>0</v>
      </c>
      <c r="AJ572">
        <f>INDEX(CoefficientsIntercept,MATCH(W572&amp;":"&amp;R572,CoefficientsIndex,0))</f>
        <v>0</v>
      </c>
      <c r="AK572">
        <f>AH572*S572+(T572-AC572)*AI572+AJ572</f>
        <v>0</v>
      </c>
      <c r="AL572">
        <f>IF(ISNUMBER(AG572),AG572,AK572)</f>
        <v>0</v>
      </c>
      <c r="AM572">
        <f>IF(ISNUMBER(AL572),IF(ISNUMBER(AH572),IF(AND(AH572=1,AI572=1,AJ572=1),100,MIN(99,ROUND(100*EXP(AL572)/(1+EXP(AL572)),2))),MIN(99,ROUND(100*EXP(AL572)/(1+EXP(AL572)),2))),IF(ISTEXT(R572),IF(LEFT(R572,1)="2",100,"N/A"),"N/A"))</f>
        <v>0</v>
      </c>
      <c r="AN572">
        <f>IF(ISNUMBER(AM572),IF(AM572&gt;=99,IF(OR(U572=10,U572=11),MatchLabel,SureThingLabel),IF(AM572&gt;=95,SecureLabel,IF(AM572&gt;=80,SafetyLabel,IF(AM572&gt;=50,MatchLabel,IF(AM572&gt;=20,ReachLabel,IF(AM572&gt;=10,LongshotLabel,HailMaryLabel)))))),"Other")</f>
        <v>0</v>
      </c>
      <c r="AO572">
        <f>IF(OR(I572="accepted",I572="cond. accept",I572="summer admit"),IF(J572="yes","CHOICE!","Accepted!"),IF(I572="guar. transfer","Guar. Xfer",IF(I572="denied","Denied",IF(K572=1,"Waitlist",IF(L572=1,"Deferred",IF(G572="pending","Pending",IF(OR(G572="initial materials submitted",G572="mid-year submitted",G572="final submitted"),"Submitted",IF(H572="interest","Interest","?"))))))))</f>
        <v>0</v>
      </c>
      <c r="AP572">
        <f>IF(OR(AN572=ReachLabel,AN572=LongshotLabel,AN572=HailMaryLabel),1,0)</f>
        <v>0</v>
      </c>
      <c r="AQ572">
        <f>IF(OR(AP572=1,AN572=MatchLabel),1,0)</f>
        <v>0</v>
      </c>
      <c r="AR572">
        <f>IF(OR(AN572=MatchLabel,AN572=SafetyLabel,AN572=SecureLabel,AN572=SureThingLabel),1,0)</f>
        <v>0</v>
      </c>
      <c r="AS572">
        <f>IF(OR(W572="H",W572="B",W572="I",W572="M"),IF(ISNUMBER(AB572),ROUND(AB572,2),0),IF(ISNUMBER(AA572),ROUND(AA572,2),0))</f>
        <v>0</v>
      </c>
      <c r="AT572">
        <f>IF(AS572&gt;=X572,1,0)</f>
        <v>0</v>
      </c>
      <c r="AU572">
        <f>IF(AS572&gt;=Y572,1,0)</f>
        <v>0</v>
      </c>
      <c r="AV572">
        <f>IF(AS572&lt;(X572-0.10),1,0)</f>
        <v>0</v>
      </c>
      <c r="AW572">
        <f>1-AM572/100</f>
        <v>0</v>
      </c>
      <c r="AX572">
        <f>IF(AQ572=1,AW572,1)</f>
        <v>0</v>
      </c>
      <c r="AY572">
        <f>IF(AP572=1,AW572,1)</f>
        <v>0</v>
      </c>
      <c r="AZ572">
        <f>IF(AND(AT572=1,ISNUMBER(AW572)),$AW572,1)</f>
        <v>0</v>
      </c>
      <c r="BA572">
        <f>IF(AND(AU572=1,ISNUMBER(AW572)),$AW572,1)</f>
        <v>0</v>
      </c>
      <c r="BB572">
        <f>IF(ISNUMBER(AB572),INDEX(AllCollegeMoney, MATCH(N572,AllCollegeNCES,0)),0)</f>
        <v>0</v>
      </c>
      <c r="BC572">
        <f>IF(AND(AT572=1,ISNUMBER(AW572),BB572=1),$AW572,1)</f>
        <v>0</v>
      </c>
      <c r="BD572">
        <f>IF(AND(AU572=1,ISNUMBER(AW572),BB572=1),$AW572,1)</f>
        <v>0</v>
      </c>
      <c r="BE572">
        <f>IF(ISNUMBER(AB572),INDEX(AllCollegeILPub, MATCH(N572,AllCollegeNCES,0)),0)</f>
        <v>0</v>
      </c>
      <c r="BF572">
        <f>IF(AN572=ReachLabel,AS572,0)</f>
        <v>0</v>
      </c>
      <c r="BG572">
        <f>IF(AN572=MatchLabel,AS572,0)</f>
        <v>0</v>
      </c>
      <c r="BH572">
        <f>IF(AN572=SafetyLabel,AS572,0)</f>
        <v>0</v>
      </c>
      <c r="BI572">
        <f>IF(AN572=SecureLabel,AS572,0)</f>
        <v>0</v>
      </c>
      <c r="BJ572">
        <f>IF(AN572=SureThingLabel,AS572,0)</f>
        <v>0</v>
      </c>
      <c r="BK572">
        <f>MAX(BF572:BJ572)</f>
        <v>0</v>
      </c>
      <c r="BL572">
        <f>MAX(BG572:BJ572)</f>
        <v>0</v>
      </c>
      <c r="BM572">
        <f>MAX(BH572:BJ572)</f>
        <v>0</v>
      </c>
      <c r="BN572">
        <f>IF(AND(AN572=ReachLabel,BB572=1),AS572,0)</f>
        <v>0</v>
      </c>
      <c r="BO572">
        <f>IF(AND(AN572=MatchLabel,BB572=1),AS572,0)</f>
        <v>0</v>
      </c>
      <c r="BP572">
        <f>IF(AND(AN572=SafetyLabel,BB572=1),AS572,0)</f>
        <v>0</v>
      </c>
      <c r="BQ572">
        <f>IF(AND(AN572=SecureLabel,BB572=1),AS572,0)</f>
        <v>0</v>
      </c>
      <c r="BR572">
        <f>IF(AND(AN572=SureThingLabel,BB572=1),AS572,0)</f>
        <v>0</v>
      </c>
      <c r="BS572">
        <f>MAX(BN572:BR572)</f>
        <v>0</v>
      </c>
      <c r="BT572">
        <f>MAX(BO572:BR572)</f>
        <v>0</v>
      </c>
      <c r="BU572">
        <f>MAX(BP572:BR572)</f>
        <v>0</v>
      </c>
      <c r="BV572">
        <f>IF(ISNUMBER(AB572),INDEX(AllCollegeChicago, MATCH(N572,AllCollegeNCES,0))*BB572,0)</f>
        <v>0</v>
      </c>
      <c r="BW572">
        <f>IF(ISNUMBER(AB572),INDEX(AllCollegeMoneyCode, MATCH(N572,AllCollegeNCES,0)),"?")</f>
        <v>0</v>
      </c>
      <c r="BX572">
        <f>IF(OR(BW572="---",BW572="--",BW572="+/--",BW572="+/---"),1,0)</f>
        <v>0</v>
      </c>
      <c r="BY572">
        <f>BB572*AR572*AT572</f>
        <v>0</v>
      </c>
    </row>
    <row r="573" spans="1:77">
      <c r="A573" t="s">
        <v>96</v>
      </c>
      <c r="B573">
        <v>23499435</v>
      </c>
      <c r="C573" t="s">
        <v>321</v>
      </c>
      <c r="D573" t="s">
        <v>322</v>
      </c>
      <c r="E573" t="s">
        <v>446</v>
      </c>
      <c r="F573" t="s">
        <v>487</v>
      </c>
      <c r="G573" t="s">
        <v>448</v>
      </c>
      <c r="H573" t="s">
        <v>449</v>
      </c>
      <c r="I573" t="s">
        <v>450</v>
      </c>
      <c r="J573" t="s">
        <v>450</v>
      </c>
      <c r="K573">
        <v>0</v>
      </c>
      <c r="L573" t="s">
        <v>446</v>
      </c>
      <c r="M573" t="s">
        <v>446</v>
      </c>
      <c r="N573">
        <v>174844</v>
      </c>
      <c r="O573">
        <f>INDEX(Counselor,MATCH(B573,KidIDs,0))</f>
        <v>0</v>
      </c>
      <c r="P573">
        <f>INDEX(Advisors,MATCH(B573,KidIDs,0))</f>
        <v>0</v>
      </c>
      <c r="Q573">
        <f>INDEX(Cohort,MATCH(B573,KidIDs,0))</f>
        <v>0</v>
      </c>
      <c r="R573">
        <f>INDEX(AllCollegeBarrons,MATCH(N573,AllCollegeNCES,0))</f>
        <v>0</v>
      </c>
      <c r="S573">
        <f>INDEX(KidGPAs,MATCH(B573,KidIDs,0))</f>
        <v>0</v>
      </c>
      <c r="T573">
        <f>INDEX(KidSATs,MATCH(B573,KidIDs,0))</f>
        <v>0</v>
      </c>
      <c r="U573">
        <f>INDEX(Strats,MATCH(B573,KidIDs,0))</f>
        <v>0</v>
      </c>
      <c r="V573">
        <f>INDEX(KidRace,MATCH(B573,KidIDs,0))</f>
        <v>0</v>
      </c>
      <c r="W573">
        <f>IF(OR(V573="M",V573="I"),"H",IF(V573="P","A",V573))</f>
        <v>0</v>
      </c>
      <c r="X573">
        <f>INDEX(StudentTargets,MATCH(B573,KidIDs,0))</f>
        <v>0</v>
      </c>
      <c r="Y573">
        <f>INDEX(ReachStudentTargets,MATCH(B573,KidIDs,0))</f>
        <v>0</v>
      </c>
      <c r="Z573">
        <f>IF(OR(M573="Posse"),1,0)</f>
        <v>0</v>
      </c>
      <c r="AA573">
        <f>IF(ISNUMBER(INDEX(AllCollegeGR, MATCH(N573,AllCollegeNCES,0))),ROUND(INDEX(AllCollegeGR, MATCH(N573,AllCollegeNCES,0))+Z573*IF(INDEX(AllCollegeGR, MATCH(N573,AllCollegeNCES,0))&gt;0.7,(1-INDEX(AllCollegeGR, MATCH(N573,AllCollegeNCES,0)))/2,0.15),2),INDEX(AllCollegeGR, MATCH(N573,AllCollegeNCES,0)))</f>
        <v>0</v>
      </c>
      <c r="AB573">
        <f>IF(ISNUMBER(INDEX(AllCollegeAAHGR, MATCH(N573,AllCollegeNCES,0))),ROUND(INDEX(AllCollegeAAHGR, MATCH(N573,AllCollegeNCES,0))+Z573*IF(INDEX(AllCollegeAAHGR, MATCH(N573,AllCollegeNCES,0))&gt;0.7,(1-INDEX(AllCollegeAAHGR, MATCH(N573,AllCollegeNCES,0)))/2,0.15),2),INDEX(AllCollegeAAHGR, MATCH(N573,AllCollegeNCES,0)))</f>
        <v>0</v>
      </c>
      <c r="AC573">
        <f>IF(OR(W573="H",W573="B"),INDEX(AllCollegeSAT25, MATCH(N573,AllCollegeNCES,0)),INDEX(AllCollegeSAT50, MATCH(N573,AllCollegeNCES,0)))</f>
        <v>0</v>
      </c>
      <c r="AD573">
        <f>INDEX(CustomWeightsGPA,MATCH(W573&amp;":"&amp;N573,CustomWeightsIndex,0))</f>
        <v>0</v>
      </c>
      <c r="AE573">
        <f>INDEX(CustomWeightsSAT,MATCH(W573&amp;":"&amp;N573,CustomWeightsIndex,0))</f>
        <v>0</v>
      </c>
      <c r="AF573">
        <f>INDEX(CustomWeightsIntercept,MATCH(W573&amp;":"&amp;N573,CustomWeightsIndex,0))</f>
        <v>0</v>
      </c>
      <c r="AG573">
        <f>AD573*S573+AE573*T573+AF573</f>
        <v>0</v>
      </c>
      <c r="AH573">
        <f>INDEX(CoefficientsGPA,MATCH(W573&amp;":"&amp;R573,CoefficientsIndex,0))</f>
        <v>0</v>
      </c>
      <c r="AI573">
        <f>INDEX(CoefficientsSAT,MATCH(W573&amp;":"&amp;R573,CoefficientsIndex,0))</f>
        <v>0</v>
      </c>
      <c r="AJ573">
        <f>INDEX(CoefficientsIntercept,MATCH(W573&amp;":"&amp;R573,CoefficientsIndex,0))</f>
        <v>0</v>
      </c>
      <c r="AK573">
        <f>AH573*S573+(T573-AC573)*AI573+AJ573</f>
        <v>0</v>
      </c>
      <c r="AL573">
        <f>IF(ISNUMBER(AG573),AG573,AK573)</f>
        <v>0</v>
      </c>
      <c r="AM573">
        <f>IF(ISNUMBER(AL573),IF(ISNUMBER(AH573),IF(AND(AH573=1,AI573=1,AJ573=1),100,MIN(99,ROUND(100*EXP(AL573)/(1+EXP(AL573)),2))),MIN(99,ROUND(100*EXP(AL573)/(1+EXP(AL573)),2))),IF(ISTEXT(R573),IF(LEFT(R573,1)="2",100,"N/A"),"N/A"))</f>
        <v>0</v>
      </c>
      <c r="AN573">
        <f>IF(ISNUMBER(AM573),IF(AM573&gt;=99,IF(OR(U573=10,U573=11),MatchLabel,SureThingLabel),IF(AM573&gt;=95,SecureLabel,IF(AM573&gt;=80,SafetyLabel,IF(AM573&gt;=50,MatchLabel,IF(AM573&gt;=20,ReachLabel,IF(AM573&gt;=10,LongshotLabel,HailMaryLabel)))))),"Other")</f>
        <v>0</v>
      </c>
      <c r="AO573">
        <f>IF(OR(I573="accepted",I573="cond. accept",I573="summer admit"),IF(J573="yes","CHOICE!","Accepted!"),IF(I573="guar. transfer","Guar. Xfer",IF(I573="denied","Denied",IF(K573=1,"Waitlist",IF(L573=1,"Deferred",IF(G573="pending","Pending",IF(OR(G573="initial materials submitted",G573="mid-year submitted",G573="final submitted"),"Submitted",IF(H573="interest","Interest","?"))))))))</f>
        <v>0</v>
      </c>
      <c r="AP573">
        <f>IF(OR(AN573=ReachLabel,AN573=LongshotLabel,AN573=HailMaryLabel),1,0)</f>
        <v>0</v>
      </c>
      <c r="AQ573">
        <f>IF(OR(AP573=1,AN573=MatchLabel),1,0)</f>
        <v>0</v>
      </c>
      <c r="AR573">
        <f>IF(OR(AN573=MatchLabel,AN573=SafetyLabel,AN573=SecureLabel,AN573=SureThingLabel),1,0)</f>
        <v>0</v>
      </c>
      <c r="AS573">
        <f>IF(OR(W573="H",W573="B",W573="I",W573="M"),IF(ISNUMBER(AB573),ROUND(AB573,2),0),IF(ISNUMBER(AA573),ROUND(AA573,2),0))</f>
        <v>0</v>
      </c>
      <c r="AT573">
        <f>IF(AS573&gt;=X573,1,0)</f>
        <v>0</v>
      </c>
      <c r="AU573">
        <f>IF(AS573&gt;=Y573,1,0)</f>
        <v>0</v>
      </c>
      <c r="AV573">
        <f>IF(AS573&lt;(X573-0.10),1,0)</f>
        <v>0</v>
      </c>
      <c r="AW573">
        <f>1-AM573/100</f>
        <v>0</v>
      </c>
      <c r="AX573">
        <f>IF(AQ573=1,AW573,1)</f>
        <v>0</v>
      </c>
      <c r="AY573">
        <f>IF(AP573=1,AW573,1)</f>
        <v>0</v>
      </c>
      <c r="AZ573">
        <f>IF(AND(AT573=1,ISNUMBER(AW573)),$AW573,1)</f>
        <v>0</v>
      </c>
      <c r="BA573">
        <f>IF(AND(AU573=1,ISNUMBER(AW573)),$AW573,1)</f>
        <v>0</v>
      </c>
      <c r="BB573">
        <f>IF(ISNUMBER(AB573),INDEX(AllCollegeMoney, MATCH(N573,AllCollegeNCES,0)),0)</f>
        <v>0</v>
      </c>
      <c r="BC573">
        <f>IF(AND(AT573=1,ISNUMBER(AW573),BB573=1),$AW573,1)</f>
        <v>0</v>
      </c>
      <c r="BD573">
        <f>IF(AND(AU573=1,ISNUMBER(AW573),BB573=1),$AW573,1)</f>
        <v>0</v>
      </c>
      <c r="BE573">
        <f>IF(ISNUMBER(AB573),INDEX(AllCollegeILPub, MATCH(N573,AllCollegeNCES,0)),0)</f>
        <v>0</v>
      </c>
      <c r="BF573">
        <f>IF(AN573=ReachLabel,AS573,0)</f>
        <v>0</v>
      </c>
      <c r="BG573">
        <f>IF(AN573=MatchLabel,AS573,0)</f>
        <v>0</v>
      </c>
      <c r="BH573">
        <f>IF(AN573=SafetyLabel,AS573,0)</f>
        <v>0</v>
      </c>
      <c r="BI573">
        <f>IF(AN573=SecureLabel,AS573,0)</f>
        <v>0</v>
      </c>
      <c r="BJ573">
        <f>IF(AN573=SureThingLabel,AS573,0)</f>
        <v>0</v>
      </c>
      <c r="BK573">
        <f>MAX(BF573:BJ573)</f>
        <v>0</v>
      </c>
      <c r="BL573">
        <f>MAX(BG573:BJ573)</f>
        <v>0</v>
      </c>
      <c r="BM573">
        <f>MAX(BH573:BJ573)</f>
        <v>0</v>
      </c>
      <c r="BN573">
        <f>IF(AND(AN573=ReachLabel,BB573=1),AS573,0)</f>
        <v>0</v>
      </c>
      <c r="BO573">
        <f>IF(AND(AN573=MatchLabel,BB573=1),AS573,0)</f>
        <v>0</v>
      </c>
      <c r="BP573">
        <f>IF(AND(AN573=SafetyLabel,BB573=1),AS573,0)</f>
        <v>0</v>
      </c>
      <c r="BQ573">
        <f>IF(AND(AN573=SecureLabel,BB573=1),AS573,0)</f>
        <v>0</v>
      </c>
      <c r="BR573">
        <f>IF(AND(AN573=SureThingLabel,BB573=1),AS573,0)</f>
        <v>0</v>
      </c>
      <c r="BS573">
        <f>MAX(BN573:BR573)</f>
        <v>0</v>
      </c>
      <c r="BT573">
        <f>MAX(BO573:BR573)</f>
        <v>0</v>
      </c>
      <c r="BU573">
        <f>MAX(BP573:BR573)</f>
        <v>0</v>
      </c>
      <c r="BV573">
        <f>IF(ISNUMBER(AB573),INDEX(AllCollegeChicago, MATCH(N573,AllCollegeNCES,0))*BB573,0)</f>
        <v>0</v>
      </c>
      <c r="BW573">
        <f>IF(ISNUMBER(AB573),INDEX(AllCollegeMoneyCode, MATCH(N573,AllCollegeNCES,0)),"?")</f>
        <v>0</v>
      </c>
      <c r="BX573">
        <f>IF(OR(BW573="---",BW573="--",BW573="+/--",BW573="+/---"),1,0)</f>
        <v>0</v>
      </c>
      <c r="BY573">
        <f>BB573*AR573*AT573</f>
        <v>0</v>
      </c>
    </row>
    <row r="574" spans="1:77">
      <c r="A574" t="s">
        <v>96</v>
      </c>
      <c r="B574">
        <v>23499435</v>
      </c>
      <c r="C574" t="s">
        <v>321</v>
      </c>
      <c r="D574" t="s">
        <v>322</v>
      </c>
      <c r="E574" t="s">
        <v>446</v>
      </c>
      <c r="F574" t="s">
        <v>474</v>
      </c>
      <c r="G574" t="s">
        <v>448</v>
      </c>
      <c r="H574" t="s">
        <v>449</v>
      </c>
      <c r="I574" t="s">
        <v>450</v>
      </c>
      <c r="J574" t="s">
        <v>450</v>
      </c>
      <c r="K574">
        <v>0</v>
      </c>
      <c r="L574" t="s">
        <v>446</v>
      </c>
      <c r="M574" t="s">
        <v>446</v>
      </c>
      <c r="N574">
        <v>170532</v>
      </c>
      <c r="O574">
        <f>INDEX(Counselor,MATCH(B574,KidIDs,0))</f>
        <v>0</v>
      </c>
      <c r="P574">
        <f>INDEX(Advisors,MATCH(B574,KidIDs,0))</f>
        <v>0</v>
      </c>
      <c r="Q574">
        <f>INDEX(Cohort,MATCH(B574,KidIDs,0))</f>
        <v>0</v>
      </c>
      <c r="R574">
        <f>INDEX(AllCollegeBarrons,MATCH(N574,AllCollegeNCES,0))</f>
        <v>0</v>
      </c>
      <c r="S574">
        <f>INDEX(KidGPAs,MATCH(B574,KidIDs,0))</f>
        <v>0</v>
      </c>
      <c r="T574">
        <f>INDEX(KidSATs,MATCH(B574,KidIDs,0))</f>
        <v>0</v>
      </c>
      <c r="U574">
        <f>INDEX(Strats,MATCH(B574,KidIDs,0))</f>
        <v>0</v>
      </c>
      <c r="V574">
        <f>INDEX(KidRace,MATCH(B574,KidIDs,0))</f>
        <v>0</v>
      </c>
      <c r="W574">
        <f>IF(OR(V574="M",V574="I"),"H",IF(V574="P","A",V574))</f>
        <v>0</v>
      </c>
      <c r="X574">
        <f>INDEX(StudentTargets,MATCH(B574,KidIDs,0))</f>
        <v>0</v>
      </c>
      <c r="Y574">
        <f>INDEX(ReachStudentTargets,MATCH(B574,KidIDs,0))</f>
        <v>0</v>
      </c>
      <c r="Z574">
        <f>IF(OR(M574="Posse"),1,0)</f>
        <v>0</v>
      </c>
      <c r="AA574">
        <f>IF(ISNUMBER(INDEX(AllCollegeGR, MATCH(N574,AllCollegeNCES,0))),ROUND(INDEX(AllCollegeGR, MATCH(N574,AllCollegeNCES,0))+Z574*IF(INDEX(AllCollegeGR, MATCH(N574,AllCollegeNCES,0))&gt;0.7,(1-INDEX(AllCollegeGR, MATCH(N574,AllCollegeNCES,0)))/2,0.15),2),INDEX(AllCollegeGR, MATCH(N574,AllCollegeNCES,0)))</f>
        <v>0</v>
      </c>
      <c r="AB574">
        <f>IF(ISNUMBER(INDEX(AllCollegeAAHGR, MATCH(N574,AllCollegeNCES,0))),ROUND(INDEX(AllCollegeAAHGR, MATCH(N574,AllCollegeNCES,0))+Z574*IF(INDEX(AllCollegeAAHGR, MATCH(N574,AllCollegeNCES,0))&gt;0.7,(1-INDEX(AllCollegeAAHGR, MATCH(N574,AllCollegeNCES,0)))/2,0.15),2),INDEX(AllCollegeAAHGR, MATCH(N574,AllCollegeNCES,0)))</f>
        <v>0</v>
      </c>
      <c r="AC574">
        <f>IF(OR(W574="H",W574="B"),INDEX(AllCollegeSAT25, MATCH(N574,AllCollegeNCES,0)),INDEX(AllCollegeSAT50, MATCH(N574,AllCollegeNCES,0)))</f>
        <v>0</v>
      </c>
      <c r="AD574">
        <f>INDEX(CustomWeightsGPA,MATCH(W574&amp;":"&amp;N574,CustomWeightsIndex,0))</f>
        <v>0</v>
      </c>
      <c r="AE574">
        <f>INDEX(CustomWeightsSAT,MATCH(W574&amp;":"&amp;N574,CustomWeightsIndex,0))</f>
        <v>0</v>
      </c>
      <c r="AF574">
        <f>INDEX(CustomWeightsIntercept,MATCH(W574&amp;":"&amp;N574,CustomWeightsIndex,0))</f>
        <v>0</v>
      </c>
      <c r="AG574">
        <f>AD574*S574+AE574*T574+AF574</f>
        <v>0</v>
      </c>
      <c r="AH574">
        <f>INDEX(CoefficientsGPA,MATCH(W574&amp;":"&amp;R574,CoefficientsIndex,0))</f>
        <v>0</v>
      </c>
      <c r="AI574">
        <f>INDEX(CoefficientsSAT,MATCH(W574&amp;":"&amp;R574,CoefficientsIndex,0))</f>
        <v>0</v>
      </c>
      <c r="AJ574">
        <f>INDEX(CoefficientsIntercept,MATCH(W574&amp;":"&amp;R574,CoefficientsIndex,0))</f>
        <v>0</v>
      </c>
      <c r="AK574">
        <f>AH574*S574+(T574-AC574)*AI574+AJ574</f>
        <v>0</v>
      </c>
      <c r="AL574">
        <f>IF(ISNUMBER(AG574),AG574,AK574)</f>
        <v>0</v>
      </c>
      <c r="AM574">
        <f>IF(ISNUMBER(AL574),IF(ISNUMBER(AH574),IF(AND(AH574=1,AI574=1,AJ574=1),100,MIN(99,ROUND(100*EXP(AL574)/(1+EXP(AL574)),2))),MIN(99,ROUND(100*EXP(AL574)/(1+EXP(AL574)),2))),IF(ISTEXT(R574),IF(LEFT(R574,1)="2",100,"N/A"),"N/A"))</f>
        <v>0</v>
      </c>
      <c r="AN574">
        <f>IF(ISNUMBER(AM574),IF(AM574&gt;=99,IF(OR(U574=10,U574=11),MatchLabel,SureThingLabel),IF(AM574&gt;=95,SecureLabel,IF(AM574&gt;=80,SafetyLabel,IF(AM574&gt;=50,MatchLabel,IF(AM574&gt;=20,ReachLabel,IF(AM574&gt;=10,LongshotLabel,HailMaryLabel)))))),"Other")</f>
        <v>0</v>
      </c>
      <c r="AO574">
        <f>IF(OR(I574="accepted",I574="cond. accept",I574="summer admit"),IF(J574="yes","CHOICE!","Accepted!"),IF(I574="guar. transfer","Guar. Xfer",IF(I574="denied","Denied",IF(K574=1,"Waitlist",IF(L574=1,"Deferred",IF(G574="pending","Pending",IF(OR(G574="initial materials submitted",G574="mid-year submitted",G574="final submitted"),"Submitted",IF(H574="interest","Interest","?"))))))))</f>
        <v>0</v>
      </c>
      <c r="AP574">
        <f>IF(OR(AN574=ReachLabel,AN574=LongshotLabel,AN574=HailMaryLabel),1,0)</f>
        <v>0</v>
      </c>
      <c r="AQ574">
        <f>IF(OR(AP574=1,AN574=MatchLabel),1,0)</f>
        <v>0</v>
      </c>
      <c r="AR574">
        <f>IF(OR(AN574=MatchLabel,AN574=SafetyLabel,AN574=SecureLabel,AN574=SureThingLabel),1,0)</f>
        <v>0</v>
      </c>
      <c r="AS574">
        <f>IF(OR(W574="H",W574="B",W574="I",W574="M"),IF(ISNUMBER(AB574),ROUND(AB574,2),0),IF(ISNUMBER(AA574),ROUND(AA574,2),0))</f>
        <v>0</v>
      </c>
      <c r="AT574">
        <f>IF(AS574&gt;=X574,1,0)</f>
        <v>0</v>
      </c>
      <c r="AU574">
        <f>IF(AS574&gt;=Y574,1,0)</f>
        <v>0</v>
      </c>
      <c r="AV574">
        <f>IF(AS574&lt;(X574-0.10),1,0)</f>
        <v>0</v>
      </c>
      <c r="AW574">
        <f>1-AM574/100</f>
        <v>0</v>
      </c>
      <c r="AX574">
        <f>IF(AQ574=1,AW574,1)</f>
        <v>0</v>
      </c>
      <c r="AY574">
        <f>IF(AP574=1,AW574,1)</f>
        <v>0</v>
      </c>
      <c r="AZ574">
        <f>IF(AND(AT574=1,ISNUMBER(AW574)),$AW574,1)</f>
        <v>0</v>
      </c>
      <c r="BA574">
        <f>IF(AND(AU574=1,ISNUMBER(AW574)),$AW574,1)</f>
        <v>0</v>
      </c>
      <c r="BB574">
        <f>IF(ISNUMBER(AB574),INDEX(AllCollegeMoney, MATCH(N574,AllCollegeNCES,0)),0)</f>
        <v>0</v>
      </c>
      <c r="BC574">
        <f>IF(AND(AT574=1,ISNUMBER(AW574),BB574=1),$AW574,1)</f>
        <v>0</v>
      </c>
      <c r="BD574">
        <f>IF(AND(AU574=1,ISNUMBER(AW574),BB574=1),$AW574,1)</f>
        <v>0</v>
      </c>
      <c r="BE574">
        <f>IF(ISNUMBER(AB574),INDEX(AllCollegeILPub, MATCH(N574,AllCollegeNCES,0)),0)</f>
        <v>0</v>
      </c>
      <c r="BF574">
        <f>IF(AN574=ReachLabel,AS574,0)</f>
        <v>0</v>
      </c>
      <c r="BG574">
        <f>IF(AN574=MatchLabel,AS574,0)</f>
        <v>0</v>
      </c>
      <c r="BH574">
        <f>IF(AN574=SafetyLabel,AS574,0)</f>
        <v>0</v>
      </c>
      <c r="BI574">
        <f>IF(AN574=SecureLabel,AS574,0)</f>
        <v>0</v>
      </c>
      <c r="BJ574">
        <f>IF(AN574=SureThingLabel,AS574,0)</f>
        <v>0</v>
      </c>
      <c r="BK574">
        <f>MAX(BF574:BJ574)</f>
        <v>0</v>
      </c>
      <c r="BL574">
        <f>MAX(BG574:BJ574)</f>
        <v>0</v>
      </c>
      <c r="BM574">
        <f>MAX(BH574:BJ574)</f>
        <v>0</v>
      </c>
      <c r="BN574">
        <f>IF(AND(AN574=ReachLabel,BB574=1),AS574,0)</f>
        <v>0</v>
      </c>
      <c r="BO574">
        <f>IF(AND(AN574=MatchLabel,BB574=1),AS574,0)</f>
        <v>0</v>
      </c>
      <c r="BP574">
        <f>IF(AND(AN574=SafetyLabel,BB574=1),AS574,0)</f>
        <v>0</v>
      </c>
      <c r="BQ574">
        <f>IF(AND(AN574=SecureLabel,BB574=1),AS574,0)</f>
        <v>0</v>
      </c>
      <c r="BR574">
        <f>IF(AND(AN574=SureThingLabel,BB574=1),AS574,0)</f>
        <v>0</v>
      </c>
      <c r="BS574">
        <f>MAX(BN574:BR574)</f>
        <v>0</v>
      </c>
      <c r="BT574">
        <f>MAX(BO574:BR574)</f>
        <v>0</v>
      </c>
      <c r="BU574">
        <f>MAX(BP574:BR574)</f>
        <v>0</v>
      </c>
      <c r="BV574">
        <f>IF(ISNUMBER(AB574),INDEX(AllCollegeChicago, MATCH(N574,AllCollegeNCES,0))*BB574,0)</f>
        <v>0</v>
      </c>
      <c r="BW574">
        <f>IF(ISNUMBER(AB574),INDEX(AllCollegeMoneyCode, MATCH(N574,AllCollegeNCES,0)),"?")</f>
        <v>0</v>
      </c>
      <c r="BX574">
        <f>IF(OR(BW574="---",BW574="--",BW574="+/--",BW574="+/---"),1,0)</f>
        <v>0</v>
      </c>
      <c r="BY574">
        <f>BB574*AR574*AT574</f>
        <v>0</v>
      </c>
    </row>
    <row r="575" spans="1:77">
      <c r="A575" t="s">
        <v>96</v>
      </c>
      <c r="B575">
        <v>23499435</v>
      </c>
      <c r="C575" t="s">
        <v>321</v>
      </c>
      <c r="D575" t="s">
        <v>322</v>
      </c>
      <c r="E575" t="s">
        <v>446</v>
      </c>
      <c r="F575" t="s">
        <v>475</v>
      </c>
      <c r="G575" t="s">
        <v>448</v>
      </c>
      <c r="H575" t="s">
        <v>449</v>
      </c>
      <c r="I575" t="s">
        <v>450</v>
      </c>
      <c r="J575" t="s">
        <v>450</v>
      </c>
      <c r="K575">
        <v>0</v>
      </c>
      <c r="L575" t="s">
        <v>446</v>
      </c>
      <c r="M575" t="s">
        <v>446</v>
      </c>
      <c r="N575">
        <v>145637</v>
      </c>
      <c r="O575">
        <f>INDEX(Counselor,MATCH(B575,KidIDs,0))</f>
        <v>0</v>
      </c>
      <c r="P575">
        <f>INDEX(Advisors,MATCH(B575,KidIDs,0))</f>
        <v>0</v>
      </c>
      <c r="Q575">
        <f>INDEX(Cohort,MATCH(B575,KidIDs,0))</f>
        <v>0</v>
      </c>
      <c r="R575">
        <f>INDEX(AllCollegeBarrons,MATCH(N575,AllCollegeNCES,0))</f>
        <v>0</v>
      </c>
      <c r="S575">
        <f>INDEX(KidGPAs,MATCH(B575,KidIDs,0))</f>
        <v>0</v>
      </c>
      <c r="T575">
        <f>INDEX(KidSATs,MATCH(B575,KidIDs,0))</f>
        <v>0</v>
      </c>
      <c r="U575">
        <f>INDEX(Strats,MATCH(B575,KidIDs,0))</f>
        <v>0</v>
      </c>
      <c r="V575">
        <f>INDEX(KidRace,MATCH(B575,KidIDs,0))</f>
        <v>0</v>
      </c>
      <c r="W575">
        <f>IF(OR(V575="M",V575="I"),"H",IF(V575="P","A",V575))</f>
        <v>0</v>
      </c>
      <c r="X575">
        <f>INDEX(StudentTargets,MATCH(B575,KidIDs,0))</f>
        <v>0</v>
      </c>
      <c r="Y575">
        <f>INDEX(ReachStudentTargets,MATCH(B575,KidIDs,0))</f>
        <v>0</v>
      </c>
      <c r="Z575">
        <f>IF(OR(M575="Posse"),1,0)</f>
        <v>0</v>
      </c>
      <c r="AA575">
        <f>IF(ISNUMBER(INDEX(AllCollegeGR, MATCH(N575,AllCollegeNCES,0))),ROUND(INDEX(AllCollegeGR, MATCH(N575,AllCollegeNCES,0))+Z575*IF(INDEX(AllCollegeGR, MATCH(N575,AllCollegeNCES,0))&gt;0.7,(1-INDEX(AllCollegeGR, MATCH(N575,AllCollegeNCES,0)))/2,0.15),2),INDEX(AllCollegeGR, MATCH(N575,AllCollegeNCES,0)))</f>
        <v>0</v>
      </c>
      <c r="AB575">
        <f>IF(ISNUMBER(INDEX(AllCollegeAAHGR, MATCH(N575,AllCollegeNCES,0))),ROUND(INDEX(AllCollegeAAHGR, MATCH(N575,AllCollegeNCES,0))+Z575*IF(INDEX(AllCollegeAAHGR, MATCH(N575,AllCollegeNCES,0))&gt;0.7,(1-INDEX(AllCollegeAAHGR, MATCH(N575,AllCollegeNCES,0)))/2,0.15),2),INDEX(AllCollegeAAHGR, MATCH(N575,AllCollegeNCES,0)))</f>
        <v>0</v>
      </c>
      <c r="AC575">
        <f>IF(OR(W575="H",W575="B"),INDEX(AllCollegeSAT25, MATCH(N575,AllCollegeNCES,0)),INDEX(AllCollegeSAT50, MATCH(N575,AllCollegeNCES,0)))</f>
        <v>0</v>
      </c>
      <c r="AD575">
        <f>INDEX(CustomWeightsGPA,MATCH(W575&amp;":"&amp;N575,CustomWeightsIndex,0))</f>
        <v>0</v>
      </c>
      <c r="AE575">
        <f>INDEX(CustomWeightsSAT,MATCH(W575&amp;":"&amp;N575,CustomWeightsIndex,0))</f>
        <v>0</v>
      </c>
      <c r="AF575">
        <f>INDEX(CustomWeightsIntercept,MATCH(W575&amp;":"&amp;N575,CustomWeightsIndex,0))</f>
        <v>0</v>
      </c>
      <c r="AG575">
        <f>AD575*S575+AE575*T575+AF575</f>
        <v>0</v>
      </c>
      <c r="AH575">
        <f>INDEX(CoefficientsGPA,MATCH(W575&amp;":"&amp;R575,CoefficientsIndex,0))</f>
        <v>0</v>
      </c>
      <c r="AI575">
        <f>INDEX(CoefficientsSAT,MATCH(W575&amp;":"&amp;R575,CoefficientsIndex,0))</f>
        <v>0</v>
      </c>
      <c r="AJ575">
        <f>INDEX(CoefficientsIntercept,MATCH(W575&amp;":"&amp;R575,CoefficientsIndex,0))</f>
        <v>0</v>
      </c>
      <c r="AK575">
        <f>AH575*S575+(T575-AC575)*AI575+AJ575</f>
        <v>0</v>
      </c>
      <c r="AL575">
        <f>IF(ISNUMBER(AG575),AG575,AK575)</f>
        <v>0</v>
      </c>
      <c r="AM575">
        <f>IF(ISNUMBER(AL575),IF(ISNUMBER(AH575),IF(AND(AH575=1,AI575=1,AJ575=1),100,MIN(99,ROUND(100*EXP(AL575)/(1+EXP(AL575)),2))),MIN(99,ROUND(100*EXP(AL575)/(1+EXP(AL575)),2))),IF(ISTEXT(R575),IF(LEFT(R575,1)="2",100,"N/A"),"N/A"))</f>
        <v>0</v>
      </c>
      <c r="AN575">
        <f>IF(ISNUMBER(AM575),IF(AM575&gt;=99,IF(OR(U575=10,U575=11),MatchLabel,SureThingLabel),IF(AM575&gt;=95,SecureLabel,IF(AM575&gt;=80,SafetyLabel,IF(AM575&gt;=50,MatchLabel,IF(AM575&gt;=20,ReachLabel,IF(AM575&gt;=10,LongshotLabel,HailMaryLabel)))))),"Other")</f>
        <v>0</v>
      </c>
      <c r="AO575">
        <f>IF(OR(I575="accepted",I575="cond. accept",I575="summer admit"),IF(J575="yes","CHOICE!","Accepted!"),IF(I575="guar. transfer","Guar. Xfer",IF(I575="denied","Denied",IF(K575=1,"Waitlist",IF(L575=1,"Deferred",IF(G575="pending","Pending",IF(OR(G575="initial materials submitted",G575="mid-year submitted",G575="final submitted"),"Submitted",IF(H575="interest","Interest","?"))))))))</f>
        <v>0</v>
      </c>
      <c r="AP575">
        <f>IF(OR(AN575=ReachLabel,AN575=LongshotLabel,AN575=HailMaryLabel),1,0)</f>
        <v>0</v>
      </c>
      <c r="AQ575">
        <f>IF(OR(AP575=1,AN575=MatchLabel),1,0)</f>
        <v>0</v>
      </c>
      <c r="AR575">
        <f>IF(OR(AN575=MatchLabel,AN575=SafetyLabel,AN575=SecureLabel,AN575=SureThingLabel),1,0)</f>
        <v>0</v>
      </c>
      <c r="AS575">
        <f>IF(OR(W575="H",W575="B",W575="I",W575="M"),IF(ISNUMBER(AB575),ROUND(AB575,2),0),IF(ISNUMBER(AA575),ROUND(AA575,2),0))</f>
        <v>0</v>
      </c>
      <c r="AT575">
        <f>IF(AS575&gt;=X575,1,0)</f>
        <v>0</v>
      </c>
      <c r="AU575">
        <f>IF(AS575&gt;=Y575,1,0)</f>
        <v>0</v>
      </c>
      <c r="AV575">
        <f>IF(AS575&lt;(X575-0.10),1,0)</f>
        <v>0</v>
      </c>
      <c r="AW575">
        <f>1-AM575/100</f>
        <v>0</v>
      </c>
      <c r="AX575">
        <f>IF(AQ575=1,AW575,1)</f>
        <v>0</v>
      </c>
      <c r="AY575">
        <f>IF(AP575=1,AW575,1)</f>
        <v>0</v>
      </c>
      <c r="AZ575">
        <f>IF(AND(AT575=1,ISNUMBER(AW575)),$AW575,1)</f>
        <v>0</v>
      </c>
      <c r="BA575">
        <f>IF(AND(AU575=1,ISNUMBER(AW575)),$AW575,1)</f>
        <v>0</v>
      </c>
      <c r="BB575">
        <f>IF(ISNUMBER(AB575),INDEX(AllCollegeMoney, MATCH(N575,AllCollegeNCES,0)),0)</f>
        <v>0</v>
      </c>
      <c r="BC575">
        <f>IF(AND(AT575=1,ISNUMBER(AW575),BB575=1),$AW575,1)</f>
        <v>0</v>
      </c>
      <c r="BD575">
        <f>IF(AND(AU575=1,ISNUMBER(AW575),BB575=1),$AW575,1)</f>
        <v>0</v>
      </c>
      <c r="BE575">
        <f>IF(ISNUMBER(AB575),INDEX(AllCollegeILPub, MATCH(N575,AllCollegeNCES,0)),0)</f>
        <v>0</v>
      </c>
      <c r="BF575">
        <f>IF(AN575=ReachLabel,AS575,0)</f>
        <v>0</v>
      </c>
      <c r="BG575">
        <f>IF(AN575=MatchLabel,AS575,0)</f>
        <v>0</v>
      </c>
      <c r="BH575">
        <f>IF(AN575=SafetyLabel,AS575,0)</f>
        <v>0</v>
      </c>
      <c r="BI575">
        <f>IF(AN575=SecureLabel,AS575,0)</f>
        <v>0</v>
      </c>
      <c r="BJ575">
        <f>IF(AN575=SureThingLabel,AS575,0)</f>
        <v>0</v>
      </c>
      <c r="BK575">
        <f>MAX(BF575:BJ575)</f>
        <v>0</v>
      </c>
      <c r="BL575">
        <f>MAX(BG575:BJ575)</f>
        <v>0</v>
      </c>
      <c r="BM575">
        <f>MAX(BH575:BJ575)</f>
        <v>0</v>
      </c>
      <c r="BN575">
        <f>IF(AND(AN575=ReachLabel,BB575=1),AS575,0)</f>
        <v>0</v>
      </c>
      <c r="BO575">
        <f>IF(AND(AN575=MatchLabel,BB575=1),AS575,0)</f>
        <v>0</v>
      </c>
      <c r="BP575">
        <f>IF(AND(AN575=SafetyLabel,BB575=1),AS575,0)</f>
        <v>0</v>
      </c>
      <c r="BQ575">
        <f>IF(AND(AN575=SecureLabel,BB575=1),AS575,0)</f>
        <v>0</v>
      </c>
      <c r="BR575">
        <f>IF(AND(AN575=SureThingLabel,BB575=1),AS575,0)</f>
        <v>0</v>
      </c>
      <c r="BS575">
        <f>MAX(BN575:BR575)</f>
        <v>0</v>
      </c>
      <c r="BT575">
        <f>MAX(BO575:BR575)</f>
        <v>0</v>
      </c>
      <c r="BU575">
        <f>MAX(BP575:BR575)</f>
        <v>0</v>
      </c>
      <c r="BV575">
        <f>IF(ISNUMBER(AB575),INDEX(AllCollegeChicago, MATCH(N575,AllCollegeNCES,0))*BB575,0)</f>
        <v>0</v>
      </c>
      <c r="BW575">
        <f>IF(ISNUMBER(AB575),INDEX(AllCollegeMoneyCode, MATCH(N575,AllCollegeNCES,0)),"?")</f>
        <v>0</v>
      </c>
      <c r="BX575">
        <f>IF(OR(BW575="---",BW575="--",BW575="+/--",BW575="+/---"),1,0)</f>
        <v>0</v>
      </c>
      <c r="BY575">
        <f>BB575*AR575*AT575</f>
        <v>0</v>
      </c>
    </row>
    <row r="576" spans="1:77">
      <c r="A576" t="s">
        <v>96</v>
      </c>
      <c r="B576">
        <v>23499435</v>
      </c>
      <c r="C576" t="s">
        <v>321</v>
      </c>
      <c r="D576" t="s">
        <v>322</v>
      </c>
      <c r="E576" t="s">
        <v>446</v>
      </c>
      <c r="F576" t="s">
        <v>477</v>
      </c>
      <c r="G576" t="s">
        <v>448</v>
      </c>
      <c r="H576" t="s">
        <v>449</v>
      </c>
      <c r="I576" t="s">
        <v>450</v>
      </c>
      <c r="J576" t="s">
        <v>450</v>
      </c>
      <c r="K576">
        <v>0</v>
      </c>
      <c r="L576" t="s">
        <v>446</v>
      </c>
      <c r="M576" t="s">
        <v>446</v>
      </c>
      <c r="N576">
        <v>146427</v>
      </c>
      <c r="O576">
        <f>INDEX(Counselor,MATCH(B576,KidIDs,0))</f>
        <v>0</v>
      </c>
      <c r="P576">
        <f>INDEX(Advisors,MATCH(B576,KidIDs,0))</f>
        <v>0</v>
      </c>
      <c r="Q576">
        <f>INDEX(Cohort,MATCH(B576,KidIDs,0))</f>
        <v>0</v>
      </c>
      <c r="R576">
        <f>INDEX(AllCollegeBarrons,MATCH(N576,AllCollegeNCES,0))</f>
        <v>0</v>
      </c>
      <c r="S576">
        <f>INDEX(KidGPAs,MATCH(B576,KidIDs,0))</f>
        <v>0</v>
      </c>
      <c r="T576">
        <f>INDEX(KidSATs,MATCH(B576,KidIDs,0))</f>
        <v>0</v>
      </c>
      <c r="U576">
        <f>INDEX(Strats,MATCH(B576,KidIDs,0))</f>
        <v>0</v>
      </c>
      <c r="V576">
        <f>INDEX(KidRace,MATCH(B576,KidIDs,0))</f>
        <v>0</v>
      </c>
      <c r="W576">
        <f>IF(OR(V576="M",V576="I"),"H",IF(V576="P","A",V576))</f>
        <v>0</v>
      </c>
      <c r="X576">
        <f>INDEX(StudentTargets,MATCH(B576,KidIDs,0))</f>
        <v>0</v>
      </c>
      <c r="Y576">
        <f>INDEX(ReachStudentTargets,MATCH(B576,KidIDs,0))</f>
        <v>0</v>
      </c>
      <c r="Z576">
        <f>IF(OR(M576="Posse"),1,0)</f>
        <v>0</v>
      </c>
      <c r="AA576">
        <f>IF(ISNUMBER(INDEX(AllCollegeGR, MATCH(N576,AllCollegeNCES,0))),ROUND(INDEX(AllCollegeGR, MATCH(N576,AllCollegeNCES,0))+Z576*IF(INDEX(AllCollegeGR, MATCH(N576,AllCollegeNCES,0))&gt;0.7,(1-INDEX(AllCollegeGR, MATCH(N576,AllCollegeNCES,0)))/2,0.15),2),INDEX(AllCollegeGR, MATCH(N576,AllCollegeNCES,0)))</f>
        <v>0</v>
      </c>
      <c r="AB576">
        <f>IF(ISNUMBER(INDEX(AllCollegeAAHGR, MATCH(N576,AllCollegeNCES,0))),ROUND(INDEX(AllCollegeAAHGR, MATCH(N576,AllCollegeNCES,0))+Z576*IF(INDEX(AllCollegeAAHGR, MATCH(N576,AllCollegeNCES,0))&gt;0.7,(1-INDEX(AllCollegeAAHGR, MATCH(N576,AllCollegeNCES,0)))/2,0.15),2),INDEX(AllCollegeAAHGR, MATCH(N576,AllCollegeNCES,0)))</f>
        <v>0</v>
      </c>
      <c r="AC576">
        <f>IF(OR(W576="H",W576="B"),INDEX(AllCollegeSAT25, MATCH(N576,AllCollegeNCES,0)),INDEX(AllCollegeSAT50, MATCH(N576,AllCollegeNCES,0)))</f>
        <v>0</v>
      </c>
      <c r="AD576">
        <f>INDEX(CustomWeightsGPA,MATCH(W576&amp;":"&amp;N576,CustomWeightsIndex,0))</f>
        <v>0</v>
      </c>
      <c r="AE576">
        <f>INDEX(CustomWeightsSAT,MATCH(W576&amp;":"&amp;N576,CustomWeightsIndex,0))</f>
        <v>0</v>
      </c>
      <c r="AF576">
        <f>INDEX(CustomWeightsIntercept,MATCH(W576&amp;":"&amp;N576,CustomWeightsIndex,0))</f>
        <v>0</v>
      </c>
      <c r="AG576">
        <f>AD576*S576+AE576*T576+AF576</f>
        <v>0</v>
      </c>
      <c r="AH576">
        <f>INDEX(CoefficientsGPA,MATCH(W576&amp;":"&amp;R576,CoefficientsIndex,0))</f>
        <v>0</v>
      </c>
      <c r="AI576">
        <f>INDEX(CoefficientsSAT,MATCH(W576&amp;":"&amp;R576,CoefficientsIndex,0))</f>
        <v>0</v>
      </c>
      <c r="AJ576">
        <f>INDEX(CoefficientsIntercept,MATCH(W576&amp;":"&amp;R576,CoefficientsIndex,0))</f>
        <v>0</v>
      </c>
      <c r="AK576">
        <f>AH576*S576+(T576-AC576)*AI576+AJ576</f>
        <v>0</v>
      </c>
      <c r="AL576">
        <f>IF(ISNUMBER(AG576),AG576,AK576)</f>
        <v>0</v>
      </c>
      <c r="AM576">
        <f>IF(ISNUMBER(AL576),IF(ISNUMBER(AH576),IF(AND(AH576=1,AI576=1,AJ576=1),100,MIN(99,ROUND(100*EXP(AL576)/(1+EXP(AL576)),2))),MIN(99,ROUND(100*EXP(AL576)/(1+EXP(AL576)),2))),IF(ISTEXT(R576),IF(LEFT(R576,1)="2",100,"N/A"),"N/A"))</f>
        <v>0</v>
      </c>
      <c r="AN576">
        <f>IF(ISNUMBER(AM576),IF(AM576&gt;=99,IF(OR(U576=10,U576=11),MatchLabel,SureThingLabel),IF(AM576&gt;=95,SecureLabel,IF(AM576&gt;=80,SafetyLabel,IF(AM576&gt;=50,MatchLabel,IF(AM576&gt;=20,ReachLabel,IF(AM576&gt;=10,LongshotLabel,HailMaryLabel)))))),"Other")</f>
        <v>0</v>
      </c>
      <c r="AO576">
        <f>IF(OR(I576="accepted",I576="cond. accept",I576="summer admit"),IF(J576="yes","CHOICE!","Accepted!"),IF(I576="guar. transfer","Guar. Xfer",IF(I576="denied","Denied",IF(K576=1,"Waitlist",IF(L576=1,"Deferred",IF(G576="pending","Pending",IF(OR(G576="initial materials submitted",G576="mid-year submitted",G576="final submitted"),"Submitted",IF(H576="interest","Interest","?"))))))))</f>
        <v>0</v>
      </c>
      <c r="AP576">
        <f>IF(OR(AN576=ReachLabel,AN576=LongshotLabel,AN576=HailMaryLabel),1,0)</f>
        <v>0</v>
      </c>
      <c r="AQ576">
        <f>IF(OR(AP576=1,AN576=MatchLabel),1,0)</f>
        <v>0</v>
      </c>
      <c r="AR576">
        <f>IF(OR(AN576=MatchLabel,AN576=SafetyLabel,AN576=SecureLabel,AN576=SureThingLabel),1,0)</f>
        <v>0</v>
      </c>
      <c r="AS576">
        <f>IF(OR(W576="H",W576="B",W576="I",W576="M"),IF(ISNUMBER(AB576),ROUND(AB576,2),0),IF(ISNUMBER(AA576),ROUND(AA576,2),0))</f>
        <v>0</v>
      </c>
      <c r="AT576">
        <f>IF(AS576&gt;=X576,1,0)</f>
        <v>0</v>
      </c>
      <c r="AU576">
        <f>IF(AS576&gt;=Y576,1,0)</f>
        <v>0</v>
      </c>
      <c r="AV576">
        <f>IF(AS576&lt;(X576-0.10),1,0)</f>
        <v>0</v>
      </c>
      <c r="AW576">
        <f>1-AM576/100</f>
        <v>0</v>
      </c>
      <c r="AX576">
        <f>IF(AQ576=1,AW576,1)</f>
        <v>0</v>
      </c>
      <c r="AY576">
        <f>IF(AP576=1,AW576,1)</f>
        <v>0</v>
      </c>
      <c r="AZ576">
        <f>IF(AND(AT576=1,ISNUMBER(AW576)),$AW576,1)</f>
        <v>0</v>
      </c>
      <c r="BA576">
        <f>IF(AND(AU576=1,ISNUMBER(AW576)),$AW576,1)</f>
        <v>0</v>
      </c>
      <c r="BB576">
        <f>IF(ISNUMBER(AB576),INDEX(AllCollegeMoney, MATCH(N576,AllCollegeNCES,0)),0)</f>
        <v>0</v>
      </c>
      <c r="BC576">
        <f>IF(AND(AT576=1,ISNUMBER(AW576),BB576=1),$AW576,1)</f>
        <v>0</v>
      </c>
      <c r="BD576">
        <f>IF(AND(AU576=1,ISNUMBER(AW576),BB576=1),$AW576,1)</f>
        <v>0</v>
      </c>
      <c r="BE576">
        <f>IF(ISNUMBER(AB576),INDEX(AllCollegeILPub, MATCH(N576,AllCollegeNCES,0)),0)</f>
        <v>0</v>
      </c>
      <c r="BF576">
        <f>IF(AN576=ReachLabel,AS576,0)</f>
        <v>0</v>
      </c>
      <c r="BG576">
        <f>IF(AN576=MatchLabel,AS576,0)</f>
        <v>0</v>
      </c>
      <c r="BH576">
        <f>IF(AN576=SafetyLabel,AS576,0)</f>
        <v>0</v>
      </c>
      <c r="BI576">
        <f>IF(AN576=SecureLabel,AS576,0)</f>
        <v>0</v>
      </c>
      <c r="BJ576">
        <f>IF(AN576=SureThingLabel,AS576,0)</f>
        <v>0</v>
      </c>
      <c r="BK576">
        <f>MAX(BF576:BJ576)</f>
        <v>0</v>
      </c>
      <c r="BL576">
        <f>MAX(BG576:BJ576)</f>
        <v>0</v>
      </c>
      <c r="BM576">
        <f>MAX(BH576:BJ576)</f>
        <v>0</v>
      </c>
      <c r="BN576">
        <f>IF(AND(AN576=ReachLabel,BB576=1),AS576,0)</f>
        <v>0</v>
      </c>
      <c r="BO576">
        <f>IF(AND(AN576=MatchLabel,BB576=1),AS576,0)</f>
        <v>0</v>
      </c>
      <c r="BP576">
        <f>IF(AND(AN576=SafetyLabel,BB576=1),AS576,0)</f>
        <v>0</v>
      </c>
      <c r="BQ576">
        <f>IF(AND(AN576=SecureLabel,BB576=1),AS576,0)</f>
        <v>0</v>
      </c>
      <c r="BR576">
        <f>IF(AND(AN576=SureThingLabel,BB576=1),AS576,0)</f>
        <v>0</v>
      </c>
      <c r="BS576">
        <f>MAX(BN576:BR576)</f>
        <v>0</v>
      </c>
      <c r="BT576">
        <f>MAX(BO576:BR576)</f>
        <v>0</v>
      </c>
      <c r="BU576">
        <f>MAX(BP576:BR576)</f>
        <v>0</v>
      </c>
      <c r="BV576">
        <f>IF(ISNUMBER(AB576),INDEX(AllCollegeChicago, MATCH(N576,AllCollegeNCES,0))*BB576,0)</f>
        <v>0</v>
      </c>
      <c r="BW576">
        <f>IF(ISNUMBER(AB576),INDEX(AllCollegeMoneyCode, MATCH(N576,AllCollegeNCES,0)),"?")</f>
        <v>0</v>
      </c>
      <c r="BX576">
        <f>IF(OR(BW576="---",BW576="--",BW576="+/--",BW576="+/---"),1,0)</f>
        <v>0</v>
      </c>
      <c r="BY576">
        <f>BB576*AR576*AT576</f>
        <v>0</v>
      </c>
    </row>
    <row r="577" spans="1:77">
      <c r="A577" t="s">
        <v>96</v>
      </c>
      <c r="B577">
        <v>23499435</v>
      </c>
      <c r="C577" t="s">
        <v>321</v>
      </c>
      <c r="D577" t="s">
        <v>322</v>
      </c>
      <c r="E577" t="s">
        <v>446</v>
      </c>
      <c r="F577" t="s">
        <v>489</v>
      </c>
      <c r="G577" t="s">
        <v>479</v>
      </c>
      <c r="H577" t="s">
        <v>449</v>
      </c>
      <c r="I577" t="s">
        <v>450</v>
      </c>
      <c r="J577" t="s">
        <v>450</v>
      </c>
      <c r="K577">
        <v>0</v>
      </c>
      <c r="L577" t="s">
        <v>446</v>
      </c>
      <c r="M577" t="s">
        <v>446</v>
      </c>
      <c r="N577">
        <v>170301</v>
      </c>
      <c r="O577">
        <f>INDEX(Counselor,MATCH(B577,KidIDs,0))</f>
        <v>0</v>
      </c>
      <c r="P577">
        <f>INDEX(Advisors,MATCH(B577,KidIDs,0))</f>
        <v>0</v>
      </c>
      <c r="Q577">
        <f>INDEX(Cohort,MATCH(B577,KidIDs,0))</f>
        <v>0</v>
      </c>
      <c r="R577">
        <f>INDEX(AllCollegeBarrons,MATCH(N577,AllCollegeNCES,0))</f>
        <v>0</v>
      </c>
      <c r="S577">
        <f>INDEX(KidGPAs,MATCH(B577,KidIDs,0))</f>
        <v>0</v>
      </c>
      <c r="T577">
        <f>INDEX(KidSATs,MATCH(B577,KidIDs,0))</f>
        <v>0</v>
      </c>
      <c r="U577">
        <f>INDEX(Strats,MATCH(B577,KidIDs,0))</f>
        <v>0</v>
      </c>
      <c r="V577">
        <f>INDEX(KidRace,MATCH(B577,KidIDs,0))</f>
        <v>0</v>
      </c>
      <c r="W577">
        <f>IF(OR(V577="M",V577="I"),"H",IF(V577="P","A",V577))</f>
        <v>0</v>
      </c>
      <c r="X577">
        <f>INDEX(StudentTargets,MATCH(B577,KidIDs,0))</f>
        <v>0</v>
      </c>
      <c r="Y577">
        <f>INDEX(ReachStudentTargets,MATCH(B577,KidIDs,0))</f>
        <v>0</v>
      </c>
      <c r="Z577">
        <f>IF(OR(M577="Posse"),1,0)</f>
        <v>0</v>
      </c>
      <c r="AA577">
        <f>IF(ISNUMBER(INDEX(AllCollegeGR, MATCH(N577,AllCollegeNCES,0))),ROUND(INDEX(AllCollegeGR, MATCH(N577,AllCollegeNCES,0))+Z577*IF(INDEX(AllCollegeGR, MATCH(N577,AllCollegeNCES,0))&gt;0.7,(1-INDEX(AllCollegeGR, MATCH(N577,AllCollegeNCES,0)))/2,0.15),2),INDEX(AllCollegeGR, MATCH(N577,AllCollegeNCES,0)))</f>
        <v>0</v>
      </c>
      <c r="AB577">
        <f>IF(ISNUMBER(INDEX(AllCollegeAAHGR, MATCH(N577,AllCollegeNCES,0))),ROUND(INDEX(AllCollegeAAHGR, MATCH(N577,AllCollegeNCES,0))+Z577*IF(INDEX(AllCollegeAAHGR, MATCH(N577,AllCollegeNCES,0))&gt;0.7,(1-INDEX(AllCollegeAAHGR, MATCH(N577,AllCollegeNCES,0)))/2,0.15),2),INDEX(AllCollegeAAHGR, MATCH(N577,AllCollegeNCES,0)))</f>
        <v>0</v>
      </c>
      <c r="AC577">
        <f>IF(OR(W577="H",W577="B"),INDEX(AllCollegeSAT25, MATCH(N577,AllCollegeNCES,0)),INDEX(AllCollegeSAT50, MATCH(N577,AllCollegeNCES,0)))</f>
        <v>0</v>
      </c>
      <c r="AD577">
        <f>INDEX(CustomWeightsGPA,MATCH(W577&amp;":"&amp;N577,CustomWeightsIndex,0))</f>
        <v>0</v>
      </c>
      <c r="AE577">
        <f>INDEX(CustomWeightsSAT,MATCH(W577&amp;":"&amp;N577,CustomWeightsIndex,0))</f>
        <v>0</v>
      </c>
      <c r="AF577">
        <f>INDEX(CustomWeightsIntercept,MATCH(W577&amp;":"&amp;N577,CustomWeightsIndex,0))</f>
        <v>0</v>
      </c>
      <c r="AG577">
        <f>AD577*S577+AE577*T577+AF577</f>
        <v>0</v>
      </c>
      <c r="AH577">
        <f>INDEX(CoefficientsGPA,MATCH(W577&amp;":"&amp;R577,CoefficientsIndex,0))</f>
        <v>0</v>
      </c>
      <c r="AI577">
        <f>INDEX(CoefficientsSAT,MATCH(W577&amp;":"&amp;R577,CoefficientsIndex,0))</f>
        <v>0</v>
      </c>
      <c r="AJ577">
        <f>INDEX(CoefficientsIntercept,MATCH(W577&amp;":"&amp;R577,CoefficientsIndex,0))</f>
        <v>0</v>
      </c>
      <c r="AK577">
        <f>AH577*S577+(T577-AC577)*AI577+AJ577</f>
        <v>0</v>
      </c>
      <c r="AL577">
        <f>IF(ISNUMBER(AG577),AG577,AK577)</f>
        <v>0</v>
      </c>
      <c r="AM577">
        <f>IF(ISNUMBER(AL577),IF(ISNUMBER(AH577),IF(AND(AH577=1,AI577=1,AJ577=1),100,MIN(99,ROUND(100*EXP(AL577)/(1+EXP(AL577)),2))),MIN(99,ROUND(100*EXP(AL577)/(1+EXP(AL577)),2))),IF(ISTEXT(R577),IF(LEFT(R577,1)="2",100,"N/A"),"N/A"))</f>
        <v>0</v>
      </c>
      <c r="AN577">
        <f>IF(ISNUMBER(AM577),IF(AM577&gt;=99,IF(OR(U577=10,U577=11),MatchLabel,SureThingLabel),IF(AM577&gt;=95,SecureLabel,IF(AM577&gt;=80,SafetyLabel,IF(AM577&gt;=50,MatchLabel,IF(AM577&gt;=20,ReachLabel,IF(AM577&gt;=10,LongshotLabel,HailMaryLabel)))))),"Other")</f>
        <v>0</v>
      </c>
      <c r="AO577">
        <f>IF(OR(I577="accepted",I577="cond. accept",I577="summer admit"),IF(J577="yes","CHOICE!","Accepted!"),IF(I577="guar. transfer","Guar. Xfer",IF(I577="denied","Denied",IF(K577=1,"Waitlist",IF(L577=1,"Deferred",IF(G577="pending","Pending",IF(OR(G577="initial materials submitted",G577="mid-year submitted",G577="final submitted"),"Submitted",IF(H577="interest","Interest","?"))))))))</f>
        <v>0</v>
      </c>
      <c r="AP577">
        <f>IF(OR(AN577=ReachLabel,AN577=LongshotLabel,AN577=HailMaryLabel),1,0)</f>
        <v>0</v>
      </c>
      <c r="AQ577">
        <f>IF(OR(AP577=1,AN577=MatchLabel),1,0)</f>
        <v>0</v>
      </c>
      <c r="AR577">
        <f>IF(OR(AN577=MatchLabel,AN577=SafetyLabel,AN577=SecureLabel,AN577=SureThingLabel),1,0)</f>
        <v>0</v>
      </c>
      <c r="AS577">
        <f>IF(OR(W577="H",W577="B",W577="I",W577="M"),IF(ISNUMBER(AB577),ROUND(AB577,2),0),IF(ISNUMBER(AA577),ROUND(AA577,2),0))</f>
        <v>0</v>
      </c>
      <c r="AT577">
        <f>IF(AS577&gt;=X577,1,0)</f>
        <v>0</v>
      </c>
      <c r="AU577">
        <f>IF(AS577&gt;=Y577,1,0)</f>
        <v>0</v>
      </c>
      <c r="AV577">
        <f>IF(AS577&lt;(X577-0.10),1,0)</f>
        <v>0</v>
      </c>
      <c r="AW577">
        <f>1-AM577/100</f>
        <v>0</v>
      </c>
      <c r="AX577">
        <f>IF(AQ577=1,AW577,1)</f>
        <v>0</v>
      </c>
      <c r="AY577">
        <f>IF(AP577=1,AW577,1)</f>
        <v>0</v>
      </c>
      <c r="AZ577">
        <f>IF(AND(AT577=1,ISNUMBER(AW577)),$AW577,1)</f>
        <v>0</v>
      </c>
      <c r="BA577">
        <f>IF(AND(AU577=1,ISNUMBER(AW577)),$AW577,1)</f>
        <v>0</v>
      </c>
      <c r="BB577">
        <f>IF(ISNUMBER(AB577),INDEX(AllCollegeMoney, MATCH(N577,AllCollegeNCES,0)),0)</f>
        <v>0</v>
      </c>
      <c r="BC577">
        <f>IF(AND(AT577=1,ISNUMBER(AW577),BB577=1),$AW577,1)</f>
        <v>0</v>
      </c>
      <c r="BD577">
        <f>IF(AND(AU577=1,ISNUMBER(AW577),BB577=1),$AW577,1)</f>
        <v>0</v>
      </c>
      <c r="BE577">
        <f>IF(ISNUMBER(AB577),INDEX(AllCollegeILPub, MATCH(N577,AllCollegeNCES,0)),0)</f>
        <v>0</v>
      </c>
      <c r="BF577">
        <f>IF(AN577=ReachLabel,AS577,0)</f>
        <v>0</v>
      </c>
      <c r="BG577">
        <f>IF(AN577=MatchLabel,AS577,0)</f>
        <v>0</v>
      </c>
      <c r="BH577">
        <f>IF(AN577=SafetyLabel,AS577,0)</f>
        <v>0</v>
      </c>
      <c r="BI577">
        <f>IF(AN577=SecureLabel,AS577,0)</f>
        <v>0</v>
      </c>
      <c r="BJ577">
        <f>IF(AN577=SureThingLabel,AS577,0)</f>
        <v>0</v>
      </c>
      <c r="BK577">
        <f>MAX(BF577:BJ577)</f>
        <v>0</v>
      </c>
      <c r="BL577">
        <f>MAX(BG577:BJ577)</f>
        <v>0</v>
      </c>
      <c r="BM577">
        <f>MAX(BH577:BJ577)</f>
        <v>0</v>
      </c>
      <c r="BN577">
        <f>IF(AND(AN577=ReachLabel,BB577=1),AS577,0)</f>
        <v>0</v>
      </c>
      <c r="BO577">
        <f>IF(AND(AN577=MatchLabel,BB577=1),AS577,0)</f>
        <v>0</v>
      </c>
      <c r="BP577">
        <f>IF(AND(AN577=SafetyLabel,BB577=1),AS577,0)</f>
        <v>0</v>
      </c>
      <c r="BQ577">
        <f>IF(AND(AN577=SecureLabel,BB577=1),AS577,0)</f>
        <v>0</v>
      </c>
      <c r="BR577">
        <f>IF(AND(AN577=SureThingLabel,BB577=1),AS577,0)</f>
        <v>0</v>
      </c>
      <c r="BS577">
        <f>MAX(BN577:BR577)</f>
        <v>0</v>
      </c>
      <c r="BT577">
        <f>MAX(BO577:BR577)</f>
        <v>0</v>
      </c>
      <c r="BU577">
        <f>MAX(BP577:BR577)</f>
        <v>0</v>
      </c>
      <c r="BV577">
        <f>IF(ISNUMBER(AB577),INDEX(AllCollegeChicago, MATCH(N577,AllCollegeNCES,0))*BB577,0)</f>
        <v>0</v>
      </c>
      <c r="BW577">
        <f>IF(ISNUMBER(AB577),INDEX(AllCollegeMoneyCode, MATCH(N577,AllCollegeNCES,0)),"?")</f>
        <v>0</v>
      </c>
      <c r="BX577">
        <f>IF(OR(BW577="---",BW577="--",BW577="+/--",BW577="+/---"),1,0)</f>
        <v>0</v>
      </c>
      <c r="BY577">
        <f>BB577*AR577*AT577</f>
        <v>0</v>
      </c>
    </row>
    <row r="578" spans="1:77">
      <c r="A578" t="s">
        <v>96</v>
      </c>
      <c r="B578">
        <v>23499435</v>
      </c>
      <c r="C578" t="s">
        <v>321</v>
      </c>
      <c r="D578" t="s">
        <v>322</v>
      </c>
      <c r="E578" t="s">
        <v>446</v>
      </c>
      <c r="F578" t="s">
        <v>465</v>
      </c>
      <c r="G578" t="s">
        <v>448</v>
      </c>
      <c r="H578" t="s">
        <v>449</v>
      </c>
      <c r="I578" t="s">
        <v>450</v>
      </c>
      <c r="J578" t="s">
        <v>450</v>
      </c>
      <c r="K578">
        <v>0</v>
      </c>
      <c r="L578" t="s">
        <v>446</v>
      </c>
      <c r="M578" t="s">
        <v>446</v>
      </c>
      <c r="N578">
        <v>145600</v>
      </c>
      <c r="O578">
        <f>INDEX(Counselor,MATCH(B578,KidIDs,0))</f>
        <v>0</v>
      </c>
      <c r="P578">
        <f>INDEX(Advisors,MATCH(B578,KidIDs,0))</f>
        <v>0</v>
      </c>
      <c r="Q578">
        <f>INDEX(Cohort,MATCH(B578,KidIDs,0))</f>
        <v>0</v>
      </c>
      <c r="R578">
        <f>INDEX(AllCollegeBarrons,MATCH(N578,AllCollegeNCES,0))</f>
        <v>0</v>
      </c>
      <c r="S578">
        <f>INDEX(KidGPAs,MATCH(B578,KidIDs,0))</f>
        <v>0</v>
      </c>
      <c r="T578">
        <f>INDEX(KidSATs,MATCH(B578,KidIDs,0))</f>
        <v>0</v>
      </c>
      <c r="U578">
        <f>INDEX(Strats,MATCH(B578,KidIDs,0))</f>
        <v>0</v>
      </c>
      <c r="V578">
        <f>INDEX(KidRace,MATCH(B578,KidIDs,0))</f>
        <v>0</v>
      </c>
      <c r="W578">
        <f>IF(OR(V578="M",V578="I"),"H",IF(V578="P","A",V578))</f>
        <v>0</v>
      </c>
      <c r="X578">
        <f>INDEX(StudentTargets,MATCH(B578,KidIDs,0))</f>
        <v>0</v>
      </c>
      <c r="Y578">
        <f>INDEX(ReachStudentTargets,MATCH(B578,KidIDs,0))</f>
        <v>0</v>
      </c>
      <c r="Z578">
        <f>IF(OR(M578="Posse"),1,0)</f>
        <v>0</v>
      </c>
      <c r="AA578">
        <f>IF(ISNUMBER(INDEX(AllCollegeGR, MATCH(N578,AllCollegeNCES,0))),ROUND(INDEX(AllCollegeGR, MATCH(N578,AllCollegeNCES,0))+Z578*IF(INDEX(AllCollegeGR, MATCH(N578,AllCollegeNCES,0))&gt;0.7,(1-INDEX(AllCollegeGR, MATCH(N578,AllCollegeNCES,0)))/2,0.15),2),INDEX(AllCollegeGR, MATCH(N578,AllCollegeNCES,0)))</f>
        <v>0</v>
      </c>
      <c r="AB578">
        <f>IF(ISNUMBER(INDEX(AllCollegeAAHGR, MATCH(N578,AllCollegeNCES,0))),ROUND(INDEX(AllCollegeAAHGR, MATCH(N578,AllCollegeNCES,0))+Z578*IF(INDEX(AllCollegeAAHGR, MATCH(N578,AllCollegeNCES,0))&gt;0.7,(1-INDEX(AllCollegeAAHGR, MATCH(N578,AllCollegeNCES,0)))/2,0.15),2),INDEX(AllCollegeAAHGR, MATCH(N578,AllCollegeNCES,0)))</f>
        <v>0</v>
      </c>
      <c r="AC578">
        <f>IF(OR(W578="H",W578="B"),INDEX(AllCollegeSAT25, MATCH(N578,AllCollegeNCES,0)),INDEX(AllCollegeSAT50, MATCH(N578,AllCollegeNCES,0)))</f>
        <v>0</v>
      </c>
      <c r="AD578">
        <f>INDEX(CustomWeightsGPA,MATCH(W578&amp;":"&amp;N578,CustomWeightsIndex,0))</f>
        <v>0</v>
      </c>
      <c r="AE578">
        <f>INDEX(CustomWeightsSAT,MATCH(W578&amp;":"&amp;N578,CustomWeightsIndex,0))</f>
        <v>0</v>
      </c>
      <c r="AF578">
        <f>INDEX(CustomWeightsIntercept,MATCH(W578&amp;":"&amp;N578,CustomWeightsIndex,0))</f>
        <v>0</v>
      </c>
      <c r="AG578">
        <f>AD578*S578+AE578*T578+AF578</f>
        <v>0</v>
      </c>
      <c r="AH578">
        <f>INDEX(CoefficientsGPA,MATCH(W578&amp;":"&amp;R578,CoefficientsIndex,0))</f>
        <v>0</v>
      </c>
      <c r="AI578">
        <f>INDEX(CoefficientsSAT,MATCH(W578&amp;":"&amp;R578,CoefficientsIndex,0))</f>
        <v>0</v>
      </c>
      <c r="AJ578">
        <f>INDEX(CoefficientsIntercept,MATCH(W578&amp;":"&amp;R578,CoefficientsIndex,0))</f>
        <v>0</v>
      </c>
      <c r="AK578">
        <f>AH578*S578+(T578-AC578)*AI578+AJ578</f>
        <v>0</v>
      </c>
      <c r="AL578">
        <f>IF(ISNUMBER(AG578),AG578,AK578)</f>
        <v>0</v>
      </c>
      <c r="AM578">
        <f>IF(ISNUMBER(AL578),IF(ISNUMBER(AH578),IF(AND(AH578=1,AI578=1,AJ578=1),100,MIN(99,ROUND(100*EXP(AL578)/(1+EXP(AL578)),2))),MIN(99,ROUND(100*EXP(AL578)/(1+EXP(AL578)),2))),IF(ISTEXT(R578),IF(LEFT(R578,1)="2",100,"N/A"),"N/A"))</f>
        <v>0</v>
      </c>
      <c r="AN578">
        <f>IF(ISNUMBER(AM578),IF(AM578&gt;=99,IF(OR(U578=10,U578=11),MatchLabel,SureThingLabel),IF(AM578&gt;=95,SecureLabel,IF(AM578&gt;=80,SafetyLabel,IF(AM578&gt;=50,MatchLabel,IF(AM578&gt;=20,ReachLabel,IF(AM578&gt;=10,LongshotLabel,HailMaryLabel)))))),"Other")</f>
        <v>0</v>
      </c>
      <c r="AO578">
        <f>IF(OR(I578="accepted",I578="cond. accept",I578="summer admit"),IF(J578="yes","CHOICE!","Accepted!"),IF(I578="guar. transfer","Guar. Xfer",IF(I578="denied","Denied",IF(K578=1,"Waitlist",IF(L578=1,"Deferred",IF(G578="pending","Pending",IF(OR(G578="initial materials submitted",G578="mid-year submitted",G578="final submitted"),"Submitted",IF(H578="interest","Interest","?"))))))))</f>
        <v>0</v>
      </c>
      <c r="AP578">
        <f>IF(OR(AN578=ReachLabel,AN578=LongshotLabel,AN578=HailMaryLabel),1,0)</f>
        <v>0</v>
      </c>
      <c r="AQ578">
        <f>IF(OR(AP578=1,AN578=MatchLabel),1,0)</f>
        <v>0</v>
      </c>
      <c r="AR578">
        <f>IF(OR(AN578=MatchLabel,AN578=SafetyLabel,AN578=SecureLabel,AN578=SureThingLabel),1,0)</f>
        <v>0</v>
      </c>
      <c r="AS578">
        <f>IF(OR(W578="H",W578="B",W578="I",W578="M"),IF(ISNUMBER(AB578),ROUND(AB578,2),0),IF(ISNUMBER(AA578),ROUND(AA578,2),0))</f>
        <v>0</v>
      </c>
      <c r="AT578">
        <f>IF(AS578&gt;=X578,1,0)</f>
        <v>0</v>
      </c>
      <c r="AU578">
        <f>IF(AS578&gt;=Y578,1,0)</f>
        <v>0</v>
      </c>
      <c r="AV578">
        <f>IF(AS578&lt;(X578-0.10),1,0)</f>
        <v>0</v>
      </c>
      <c r="AW578">
        <f>1-AM578/100</f>
        <v>0</v>
      </c>
      <c r="AX578">
        <f>IF(AQ578=1,AW578,1)</f>
        <v>0</v>
      </c>
      <c r="AY578">
        <f>IF(AP578=1,AW578,1)</f>
        <v>0</v>
      </c>
      <c r="AZ578">
        <f>IF(AND(AT578=1,ISNUMBER(AW578)),$AW578,1)</f>
        <v>0</v>
      </c>
      <c r="BA578">
        <f>IF(AND(AU578=1,ISNUMBER(AW578)),$AW578,1)</f>
        <v>0</v>
      </c>
      <c r="BB578">
        <f>IF(ISNUMBER(AB578),INDEX(AllCollegeMoney, MATCH(N578,AllCollegeNCES,0)),0)</f>
        <v>0</v>
      </c>
      <c r="BC578">
        <f>IF(AND(AT578=1,ISNUMBER(AW578),BB578=1),$AW578,1)</f>
        <v>0</v>
      </c>
      <c r="BD578">
        <f>IF(AND(AU578=1,ISNUMBER(AW578),BB578=1),$AW578,1)</f>
        <v>0</v>
      </c>
      <c r="BE578">
        <f>IF(ISNUMBER(AB578),INDEX(AllCollegeILPub, MATCH(N578,AllCollegeNCES,0)),0)</f>
        <v>0</v>
      </c>
      <c r="BF578">
        <f>IF(AN578=ReachLabel,AS578,0)</f>
        <v>0</v>
      </c>
      <c r="BG578">
        <f>IF(AN578=MatchLabel,AS578,0)</f>
        <v>0</v>
      </c>
      <c r="BH578">
        <f>IF(AN578=SafetyLabel,AS578,0)</f>
        <v>0</v>
      </c>
      <c r="BI578">
        <f>IF(AN578=SecureLabel,AS578,0)</f>
        <v>0</v>
      </c>
      <c r="BJ578">
        <f>IF(AN578=SureThingLabel,AS578,0)</f>
        <v>0</v>
      </c>
      <c r="BK578">
        <f>MAX(BF578:BJ578)</f>
        <v>0</v>
      </c>
      <c r="BL578">
        <f>MAX(BG578:BJ578)</f>
        <v>0</v>
      </c>
      <c r="BM578">
        <f>MAX(BH578:BJ578)</f>
        <v>0</v>
      </c>
      <c r="BN578">
        <f>IF(AND(AN578=ReachLabel,BB578=1),AS578,0)</f>
        <v>0</v>
      </c>
      <c r="BO578">
        <f>IF(AND(AN578=MatchLabel,BB578=1),AS578,0)</f>
        <v>0</v>
      </c>
      <c r="BP578">
        <f>IF(AND(AN578=SafetyLabel,BB578=1),AS578,0)</f>
        <v>0</v>
      </c>
      <c r="BQ578">
        <f>IF(AND(AN578=SecureLabel,BB578=1),AS578,0)</f>
        <v>0</v>
      </c>
      <c r="BR578">
        <f>IF(AND(AN578=SureThingLabel,BB578=1),AS578,0)</f>
        <v>0</v>
      </c>
      <c r="BS578">
        <f>MAX(BN578:BR578)</f>
        <v>0</v>
      </c>
      <c r="BT578">
        <f>MAX(BO578:BR578)</f>
        <v>0</v>
      </c>
      <c r="BU578">
        <f>MAX(BP578:BR578)</f>
        <v>0</v>
      </c>
      <c r="BV578">
        <f>IF(ISNUMBER(AB578),INDEX(AllCollegeChicago, MATCH(N578,AllCollegeNCES,0))*BB578,0)</f>
        <v>0</v>
      </c>
      <c r="BW578">
        <f>IF(ISNUMBER(AB578),INDEX(AllCollegeMoneyCode, MATCH(N578,AllCollegeNCES,0)),"?")</f>
        <v>0</v>
      </c>
      <c r="BX578">
        <f>IF(OR(BW578="---",BW578="--",BW578="+/--",BW578="+/---"),1,0)</f>
        <v>0</v>
      </c>
      <c r="BY578">
        <f>BB578*AR578*AT578</f>
        <v>0</v>
      </c>
    </row>
    <row r="579" spans="1:77">
      <c r="A579" t="s">
        <v>96</v>
      </c>
      <c r="B579">
        <v>23499435</v>
      </c>
      <c r="C579" t="s">
        <v>321</v>
      </c>
      <c r="D579" t="s">
        <v>322</v>
      </c>
      <c r="E579" t="s">
        <v>446</v>
      </c>
      <c r="F579" t="s">
        <v>506</v>
      </c>
      <c r="G579" t="s">
        <v>448</v>
      </c>
      <c r="H579" t="s">
        <v>449</v>
      </c>
      <c r="I579" t="s">
        <v>450</v>
      </c>
      <c r="J579" t="s">
        <v>450</v>
      </c>
      <c r="K579">
        <v>0</v>
      </c>
      <c r="L579" t="s">
        <v>446</v>
      </c>
      <c r="M579" t="s">
        <v>446</v>
      </c>
      <c r="N579">
        <v>147679</v>
      </c>
      <c r="O579">
        <f>INDEX(Counselor,MATCH(B579,KidIDs,0))</f>
        <v>0</v>
      </c>
      <c r="P579">
        <f>INDEX(Advisors,MATCH(B579,KidIDs,0))</f>
        <v>0</v>
      </c>
      <c r="Q579">
        <f>INDEX(Cohort,MATCH(B579,KidIDs,0))</f>
        <v>0</v>
      </c>
      <c r="R579">
        <f>INDEX(AllCollegeBarrons,MATCH(N579,AllCollegeNCES,0))</f>
        <v>0</v>
      </c>
      <c r="S579">
        <f>INDEX(KidGPAs,MATCH(B579,KidIDs,0))</f>
        <v>0</v>
      </c>
      <c r="T579">
        <f>INDEX(KidSATs,MATCH(B579,KidIDs,0))</f>
        <v>0</v>
      </c>
      <c r="U579">
        <f>INDEX(Strats,MATCH(B579,KidIDs,0))</f>
        <v>0</v>
      </c>
      <c r="V579">
        <f>INDEX(KidRace,MATCH(B579,KidIDs,0))</f>
        <v>0</v>
      </c>
      <c r="W579">
        <f>IF(OR(V579="M",V579="I"),"H",IF(V579="P","A",V579))</f>
        <v>0</v>
      </c>
      <c r="X579">
        <f>INDEX(StudentTargets,MATCH(B579,KidIDs,0))</f>
        <v>0</v>
      </c>
      <c r="Y579">
        <f>INDEX(ReachStudentTargets,MATCH(B579,KidIDs,0))</f>
        <v>0</v>
      </c>
      <c r="Z579">
        <f>IF(OR(M579="Posse"),1,0)</f>
        <v>0</v>
      </c>
      <c r="AA579">
        <f>IF(ISNUMBER(INDEX(AllCollegeGR, MATCH(N579,AllCollegeNCES,0))),ROUND(INDEX(AllCollegeGR, MATCH(N579,AllCollegeNCES,0))+Z579*IF(INDEX(AllCollegeGR, MATCH(N579,AllCollegeNCES,0))&gt;0.7,(1-INDEX(AllCollegeGR, MATCH(N579,AllCollegeNCES,0)))/2,0.15),2),INDEX(AllCollegeGR, MATCH(N579,AllCollegeNCES,0)))</f>
        <v>0</v>
      </c>
      <c r="AB579">
        <f>IF(ISNUMBER(INDEX(AllCollegeAAHGR, MATCH(N579,AllCollegeNCES,0))),ROUND(INDEX(AllCollegeAAHGR, MATCH(N579,AllCollegeNCES,0))+Z579*IF(INDEX(AllCollegeAAHGR, MATCH(N579,AllCollegeNCES,0))&gt;0.7,(1-INDEX(AllCollegeAAHGR, MATCH(N579,AllCollegeNCES,0)))/2,0.15),2),INDEX(AllCollegeAAHGR, MATCH(N579,AllCollegeNCES,0)))</f>
        <v>0</v>
      </c>
      <c r="AC579">
        <f>IF(OR(W579="H",W579="B"),INDEX(AllCollegeSAT25, MATCH(N579,AllCollegeNCES,0)),INDEX(AllCollegeSAT50, MATCH(N579,AllCollegeNCES,0)))</f>
        <v>0</v>
      </c>
      <c r="AD579">
        <f>INDEX(CustomWeightsGPA,MATCH(W579&amp;":"&amp;N579,CustomWeightsIndex,0))</f>
        <v>0</v>
      </c>
      <c r="AE579">
        <f>INDEX(CustomWeightsSAT,MATCH(W579&amp;":"&amp;N579,CustomWeightsIndex,0))</f>
        <v>0</v>
      </c>
      <c r="AF579">
        <f>INDEX(CustomWeightsIntercept,MATCH(W579&amp;":"&amp;N579,CustomWeightsIndex,0))</f>
        <v>0</v>
      </c>
      <c r="AG579">
        <f>AD579*S579+AE579*T579+AF579</f>
        <v>0</v>
      </c>
      <c r="AH579">
        <f>INDEX(CoefficientsGPA,MATCH(W579&amp;":"&amp;R579,CoefficientsIndex,0))</f>
        <v>0</v>
      </c>
      <c r="AI579">
        <f>INDEX(CoefficientsSAT,MATCH(W579&amp;":"&amp;R579,CoefficientsIndex,0))</f>
        <v>0</v>
      </c>
      <c r="AJ579">
        <f>INDEX(CoefficientsIntercept,MATCH(W579&amp;":"&amp;R579,CoefficientsIndex,0))</f>
        <v>0</v>
      </c>
      <c r="AK579">
        <f>AH579*S579+(T579-AC579)*AI579+AJ579</f>
        <v>0</v>
      </c>
      <c r="AL579">
        <f>IF(ISNUMBER(AG579),AG579,AK579)</f>
        <v>0</v>
      </c>
      <c r="AM579">
        <f>IF(ISNUMBER(AL579),IF(ISNUMBER(AH579),IF(AND(AH579=1,AI579=1,AJ579=1),100,MIN(99,ROUND(100*EXP(AL579)/(1+EXP(AL579)),2))),MIN(99,ROUND(100*EXP(AL579)/(1+EXP(AL579)),2))),IF(ISTEXT(R579),IF(LEFT(R579,1)="2",100,"N/A"),"N/A"))</f>
        <v>0</v>
      </c>
      <c r="AN579">
        <f>IF(ISNUMBER(AM579),IF(AM579&gt;=99,IF(OR(U579=10,U579=11),MatchLabel,SureThingLabel),IF(AM579&gt;=95,SecureLabel,IF(AM579&gt;=80,SafetyLabel,IF(AM579&gt;=50,MatchLabel,IF(AM579&gt;=20,ReachLabel,IF(AM579&gt;=10,LongshotLabel,HailMaryLabel)))))),"Other")</f>
        <v>0</v>
      </c>
      <c r="AO579">
        <f>IF(OR(I579="accepted",I579="cond. accept",I579="summer admit"),IF(J579="yes","CHOICE!","Accepted!"),IF(I579="guar. transfer","Guar. Xfer",IF(I579="denied","Denied",IF(K579=1,"Waitlist",IF(L579=1,"Deferred",IF(G579="pending","Pending",IF(OR(G579="initial materials submitted",G579="mid-year submitted",G579="final submitted"),"Submitted",IF(H579="interest","Interest","?"))))))))</f>
        <v>0</v>
      </c>
      <c r="AP579">
        <f>IF(OR(AN579=ReachLabel,AN579=LongshotLabel,AN579=HailMaryLabel),1,0)</f>
        <v>0</v>
      </c>
      <c r="AQ579">
        <f>IF(OR(AP579=1,AN579=MatchLabel),1,0)</f>
        <v>0</v>
      </c>
      <c r="AR579">
        <f>IF(OR(AN579=MatchLabel,AN579=SafetyLabel,AN579=SecureLabel,AN579=SureThingLabel),1,0)</f>
        <v>0</v>
      </c>
      <c r="AS579">
        <f>IF(OR(W579="H",W579="B",W579="I",W579="M"),IF(ISNUMBER(AB579),ROUND(AB579,2),0),IF(ISNUMBER(AA579),ROUND(AA579,2),0))</f>
        <v>0</v>
      </c>
      <c r="AT579">
        <f>IF(AS579&gt;=X579,1,0)</f>
        <v>0</v>
      </c>
      <c r="AU579">
        <f>IF(AS579&gt;=Y579,1,0)</f>
        <v>0</v>
      </c>
      <c r="AV579">
        <f>IF(AS579&lt;(X579-0.10),1,0)</f>
        <v>0</v>
      </c>
      <c r="AW579">
        <f>1-AM579/100</f>
        <v>0</v>
      </c>
      <c r="AX579">
        <f>IF(AQ579=1,AW579,1)</f>
        <v>0</v>
      </c>
      <c r="AY579">
        <f>IF(AP579=1,AW579,1)</f>
        <v>0</v>
      </c>
      <c r="AZ579">
        <f>IF(AND(AT579=1,ISNUMBER(AW579)),$AW579,1)</f>
        <v>0</v>
      </c>
      <c r="BA579">
        <f>IF(AND(AU579=1,ISNUMBER(AW579)),$AW579,1)</f>
        <v>0</v>
      </c>
      <c r="BB579">
        <f>IF(ISNUMBER(AB579),INDEX(AllCollegeMoney, MATCH(N579,AllCollegeNCES,0)),0)</f>
        <v>0</v>
      </c>
      <c r="BC579">
        <f>IF(AND(AT579=1,ISNUMBER(AW579),BB579=1),$AW579,1)</f>
        <v>0</v>
      </c>
      <c r="BD579">
        <f>IF(AND(AU579=1,ISNUMBER(AW579),BB579=1),$AW579,1)</f>
        <v>0</v>
      </c>
      <c r="BE579">
        <f>IF(ISNUMBER(AB579),INDEX(AllCollegeILPub, MATCH(N579,AllCollegeNCES,0)),0)</f>
        <v>0</v>
      </c>
      <c r="BF579">
        <f>IF(AN579=ReachLabel,AS579,0)</f>
        <v>0</v>
      </c>
      <c r="BG579">
        <f>IF(AN579=MatchLabel,AS579,0)</f>
        <v>0</v>
      </c>
      <c r="BH579">
        <f>IF(AN579=SafetyLabel,AS579,0)</f>
        <v>0</v>
      </c>
      <c r="BI579">
        <f>IF(AN579=SecureLabel,AS579,0)</f>
        <v>0</v>
      </c>
      <c r="BJ579">
        <f>IF(AN579=SureThingLabel,AS579,0)</f>
        <v>0</v>
      </c>
      <c r="BK579">
        <f>MAX(BF579:BJ579)</f>
        <v>0</v>
      </c>
      <c r="BL579">
        <f>MAX(BG579:BJ579)</f>
        <v>0</v>
      </c>
      <c r="BM579">
        <f>MAX(BH579:BJ579)</f>
        <v>0</v>
      </c>
      <c r="BN579">
        <f>IF(AND(AN579=ReachLabel,BB579=1),AS579,0)</f>
        <v>0</v>
      </c>
      <c r="BO579">
        <f>IF(AND(AN579=MatchLabel,BB579=1),AS579,0)</f>
        <v>0</v>
      </c>
      <c r="BP579">
        <f>IF(AND(AN579=SafetyLabel,BB579=1),AS579,0)</f>
        <v>0</v>
      </c>
      <c r="BQ579">
        <f>IF(AND(AN579=SecureLabel,BB579=1),AS579,0)</f>
        <v>0</v>
      </c>
      <c r="BR579">
        <f>IF(AND(AN579=SureThingLabel,BB579=1),AS579,0)</f>
        <v>0</v>
      </c>
      <c r="BS579">
        <f>MAX(BN579:BR579)</f>
        <v>0</v>
      </c>
      <c r="BT579">
        <f>MAX(BO579:BR579)</f>
        <v>0</v>
      </c>
      <c r="BU579">
        <f>MAX(BP579:BR579)</f>
        <v>0</v>
      </c>
      <c r="BV579">
        <f>IF(ISNUMBER(AB579),INDEX(AllCollegeChicago, MATCH(N579,AllCollegeNCES,0))*BB579,0)</f>
        <v>0</v>
      </c>
      <c r="BW579">
        <f>IF(ISNUMBER(AB579),INDEX(AllCollegeMoneyCode, MATCH(N579,AllCollegeNCES,0)),"?")</f>
        <v>0</v>
      </c>
      <c r="BX579">
        <f>IF(OR(BW579="---",BW579="--",BW579="+/--",BW579="+/---"),1,0)</f>
        <v>0</v>
      </c>
      <c r="BY579">
        <f>BB579*AR579*AT579</f>
        <v>0</v>
      </c>
    </row>
    <row r="580" spans="1:77">
      <c r="A580" t="s">
        <v>96</v>
      </c>
      <c r="B580">
        <v>23560568</v>
      </c>
      <c r="C580" t="s">
        <v>270</v>
      </c>
      <c r="D580" t="s">
        <v>271</v>
      </c>
      <c r="E580" t="s">
        <v>446</v>
      </c>
      <c r="F580" t="s">
        <v>486</v>
      </c>
      <c r="G580" t="s">
        <v>448</v>
      </c>
      <c r="H580" t="s">
        <v>449</v>
      </c>
      <c r="I580" t="s">
        <v>450</v>
      </c>
      <c r="J580" t="s">
        <v>450</v>
      </c>
      <c r="K580">
        <v>0</v>
      </c>
      <c r="L580" t="s">
        <v>446</v>
      </c>
      <c r="M580" t="s">
        <v>446</v>
      </c>
      <c r="N580">
        <v>206589</v>
      </c>
      <c r="O580">
        <f>INDEX(Counselor,MATCH(B580,KidIDs,0))</f>
        <v>0</v>
      </c>
      <c r="P580">
        <f>INDEX(Advisors,MATCH(B580,KidIDs,0))</f>
        <v>0</v>
      </c>
      <c r="Q580">
        <f>INDEX(Cohort,MATCH(B580,KidIDs,0))</f>
        <v>0</v>
      </c>
      <c r="R580">
        <f>INDEX(AllCollegeBarrons,MATCH(N580,AllCollegeNCES,0))</f>
        <v>0</v>
      </c>
      <c r="S580">
        <f>INDEX(KidGPAs,MATCH(B580,KidIDs,0))</f>
        <v>0</v>
      </c>
      <c r="T580">
        <f>INDEX(KidSATs,MATCH(B580,KidIDs,0))</f>
        <v>0</v>
      </c>
      <c r="U580">
        <f>INDEX(Strats,MATCH(B580,KidIDs,0))</f>
        <v>0</v>
      </c>
      <c r="V580">
        <f>INDEX(KidRace,MATCH(B580,KidIDs,0))</f>
        <v>0</v>
      </c>
      <c r="W580">
        <f>IF(OR(V580="M",V580="I"),"H",IF(V580="P","A",V580))</f>
        <v>0</v>
      </c>
      <c r="X580">
        <f>INDEX(StudentTargets,MATCH(B580,KidIDs,0))</f>
        <v>0</v>
      </c>
      <c r="Y580">
        <f>INDEX(ReachStudentTargets,MATCH(B580,KidIDs,0))</f>
        <v>0</v>
      </c>
      <c r="Z580">
        <f>IF(OR(M580="Posse"),1,0)</f>
        <v>0</v>
      </c>
      <c r="AA580">
        <f>IF(ISNUMBER(INDEX(AllCollegeGR, MATCH(N580,AllCollegeNCES,0))),ROUND(INDEX(AllCollegeGR, MATCH(N580,AllCollegeNCES,0))+Z580*IF(INDEX(AllCollegeGR, MATCH(N580,AllCollegeNCES,0))&gt;0.7,(1-INDEX(AllCollegeGR, MATCH(N580,AllCollegeNCES,0)))/2,0.15),2),INDEX(AllCollegeGR, MATCH(N580,AllCollegeNCES,0)))</f>
        <v>0</v>
      </c>
      <c r="AB580">
        <f>IF(ISNUMBER(INDEX(AllCollegeAAHGR, MATCH(N580,AllCollegeNCES,0))),ROUND(INDEX(AllCollegeAAHGR, MATCH(N580,AllCollegeNCES,0))+Z580*IF(INDEX(AllCollegeAAHGR, MATCH(N580,AllCollegeNCES,0))&gt;0.7,(1-INDEX(AllCollegeAAHGR, MATCH(N580,AllCollegeNCES,0)))/2,0.15),2),INDEX(AllCollegeAAHGR, MATCH(N580,AllCollegeNCES,0)))</f>
        <v>0</v>
      </c>
      <c r="AC580">
        <f>IF(OR(W580="H",W580="B"),INDEX(AllCollegeSAT25, MATCH(N580,AllCollegeNCES,0)),INDEX(AllCollegeSAT50, MATCH(N580,AllCollegeNCES,0)))</f>
        <v>0</v>
      </c>
      <c r="AD580">
        <f>INDEX(CustomWeightsGPA,MATCH(W580&amp;":"&amp;N580,CustomWeightsIndex,0))</f>
        <v>0</v>
      </c>
      <c r="AE580">
        <f>INDEX(CustomWeightsSAT,MATCH(W580&amp;":"&amp;N580,CustomWeightsIndex,0))</f>
        <v>0</v>
      </c>
      <c r="AF580">
        <f>INDEX(CustomWeightsIntercept,MATCH(W580&amp;":"&amp;N580,CustomWeightsIndex,0))</f>
        <v>0</v>
      </c>
      <c r="AG580">
        <f>AD580*S580+AE580*T580+AF580</f>
        <v>0</v>
      </c>
      <c r="AH580">
        <f>INDEX(CoefficientsGPA,MATCH(W580&amp;":"&amp;R580,CoefficientsIndex,0))</f>
        <v>0</v>
      </c>
      <c r="AI580">
        <f>INDEX(CoefficientsSAT,MATCH(W580&amp;":"&amp;R580,CoefficientsIndex,0))</f>
        <v>0</v>
      </c>
      <c r="AJ580">
        <f>INDEX(CoefficientsIntercept,MATCH(W580&amp;":"&amp;R580,CoefficientsIndex,0))</f>
        <v>0</v>
      </c>
      <c r="AK580">
        <f>AH580*S580+(T580-AC580)*AI580+AJ580</f>
        <v>0</v>
      </c>
      <c r="AL580">
        <f>IF(ISNUMBER(AG580),AG580,AK580)</f>
        <v>0</v>
      </c>
      <c r="AM580">
        <f>IF(ISNUMBER(AL580),IF(ISNUMBER(AH580),IF(AND(AH580=1,AI580=1,AJ580=1),100,MIN(99,ROUND(100*EXP(AL580)/(1+EXP(AL580)),2))),MIN(99,ROUND(100*EXP(AL580)/(1+EXP(AL580)),2))),IF(ISTEXT(R580),IF(LEFT(R580,1)="2",100,"N/A"),"N/A"))</f>
        <v>0</v>
      </c>
      <c r="AN580">
        <f>IF(ISNUMBER(AM580),IF(AM580&gt;=99,IF(OR(U580=10,U580=11),MatchLabel,SureThingLabel),IF(AM580&gt;=95,SecureLabel,IF(AM580&gt;=80,SafetyLabel,IF(AM580&gt;=50,MatchLabel,IF(AM580&gt;=20,ReachLabel,IF(AM580&gt;=10,LongshotLabel,HailMaryLabel)))))),"Other")</f>
        <v>0</v>
      </c>
      <c r="AO580">
        <f>IF(OR(I580="accepted",I580="cond. accept",I580="summer admit"),IF(J580="yes","CHOICE!","Accepted!"),IF(I580="guar. transfer","Guar. Xfer",IF(I580="denied","Denied",IF(K580=1,"Waitlist",IF(L580=1,"Deferred",IF(G580="pending","Pending",IF(OR(G580="initial materials submitted",G580="mid-year submitted",G580="final submitted"),"Submitted",IF(H580="interest","Interest","?"))))))))</f>
        <v>0</v>
      </c>
      <c r="AP580">
        <f>IF(OR(AN580=ReachLabel,AN580=LongshotLabel,AN580=HailMaryLabel),1,0)</f>
        <v>0</v>
      </c>
      <c r="AQ580">
        <f>IF(OR(AP580=1,AN580=MatchLabel),1,0)</f>
        <v>0</v>
      </c>
      <c r="AR580">
        <f>IF(OR(AN580=MatchLabel,AN580=SafetyLabel,AN580=SecureLabel,AN580=SureThingLabel),1,0)</f>
        <v>0</v>
      </c>
      <c r="AS580">
        <f>IF(OR(W580="H",W580="B",W580="I",W580="M"),IF(ISNUMBER(AB580),ROUND(AB580,2),0),IF(ISNUMBER(AA580),ROUND(AA580,2),0))</f>
        <v>0</v>
      </c>
      <c r="AT580">
        <f>IF(AS580&gt;=X580,1,0)</f>
        <v>0</v>
      </c>
      <c r="AU580">
        <f>IF(AS580&gt;=Y580,1,0)</f>
        <v>0</v>
      </c>
      <c r="AV580">
        <f>IF(AS580&lt;(X580-0.10),1,0)</f>
        <v>0</v>
      </c>
      <c r="AW580">
        <f>1-AM580/100</f>
        <v>0</v>
      </c>
      <c r="AX580">
        <f>IF(AQ580=1,AW580,1)</f>
        <v>0</v>
      </c>
      <c r="AY580">
        <f>IF(AP580=1,AW580,1)</f>
        <v>0</v>
      </c>
      <c r="AZ580">
        <f>IF(AND(AT580=1,ISNUMBER(AW580)),$AW580,1)</f>
        <v>0</v>
      </c>
      <c r="BA580">
        <f>IF(AND(AU580=1,ISNUMBER(AW580)),$AW580,1)</f>
        <v>0</v>
      </c>
      <c r="BB580">
        <f>IF(ISNUMBER(AB580),INDEX(AllCollegeMoney, MATCH(N580,AllCollegeNCES,0)),0)</f>
        <v>0</v>
      </c>
      <c r="BC580">
        <f>IF(AND(AT580=1,ISNUMBER(AW580),BB580=1),$AW580,1)</f>
        <v>0</v>
      </c>
      <c r="BD580">
        <f>IF(AND(AU580=1,ISNUMBER(AW580),BB580=1),$AW580,1)</f>
        <v>0</v>
      </c>
      <c r="BE580">
        <f>IF(ISNUMBER(AB580),INDEX(AllCollegeILPub, MATCH(N580,AllCollegeNCES,0)),0)</f>
        <v>0</v>
      </c>
      <c r="BF580">
        <f>IF(AN580=ReachLabel,AS580,0)</f>
        <v>0</v>
      </c>
      <c r="BG580">
        <f>IF(AN580=MatchLabel,AS580,0)</f>
        <v>0</v>
      </c>
      <c r="BH580">
        <f>IF(AN580=SafetyLabel,AS580,0)</f>
        <v>0</v>
      </c>
      <c r="BI580">
        <f>IF(AN580=SecureLabel,AS580,0)</f>
        <v>0</v>
      </c>
      <c r="BJ580">
        <f>IF(AN580=SureThingLabel,AS580,0)</f>
        <v>0</v>
      </c>
      <c r="BK580">
        <f>MAX(BF580:BJ580)</f>
        <v>0</v>
      </c>
      <c r="BL580">
        <f>MAX(BG580:BJ580)</f>
        <v>0</v>
      </c>
      <c r="BM580">
        <f>MAX(BH580:BJ580)</f>
        <v>0</v>
      </c>
      <c r="BN580">
        <f>IF(AND(AN580=ReachLabel,BB580=1),AS580,0)</f>
        <v>0</v>
      </c>
      <c r="BO580">
        <f>IF(AND(AN580=MatchLabel,BB580=1),AS580,0)</f>
        <v>0</v>
      </c>
      <c r="BP580">
        <f>IF(AND(AN580=SafetyLabel,BB580=1),AS580,0)</f>
        <v>0</v>
      </c>
      <c r="BQ580">
        <f>IF(AND(AN580=SecureLabel,BB580=1),AS580,0)</f>
        <v>0</v>
      </c>
      <c r="BR580">
        <f>IF(AND(AN580=SureThingLabel,BB580=1),AS580,0)</f>
        <v>0</v>
      </c>
      <c r="BS580">
        <f>MAX(BN580:BR580)</f>
        <v>0</v>
      </c>
      <c r="BT580">
        <f>MAX(BO580:BR580)</f>
        <v>0</v>
      </c>
      <c r="BU580">
        <f>MAX(BP580:BR580)</f>
        <v>0</v>
      </c>
      <c r="BV580">
        <f>IF(ISNUMBER(AB580),INDEX(AllCollegeChicago, MATCH(N580,AllCollegeNCES,0))*BB580,0)</f>
        <v>0</v>
      </c>
      <c r="BW580">
        <f>IF(ISNUMBER(AB580),INDEX(AllCollegeMoneyCode, MATCH(N580,AllCollegeNCES,0)),"?")</f>
        <v>0</v>
      </c>
      <c r="BX580">
        <f>IF(OR(BW580="---",BW580="--",BW580="+/--",BW580="+/---"),1,0)</f>
        <v>0</v>
      </c>
      <c r="BY580">
        <f>BB580*AR580*AT580</f>
        <v>0</v>
      </c>
    </row>
    <row r="581" spans="1:77">
      <c r="A581" t="s">
        <v>96</v>
      </c>
      <c r="B581">
        <v>23560568</v>
      </c>
      <c r="C581" t="s">
        <v>270</v>
      </c>
      <c r="D581" t="s">
        <v>271</v>
      </c>
      <c r="E581" t="s">
        <v>446</v>
      </c>
      <c r="F581" t="s">
        <v>475</v>
      </c>
      <c r="G581" t="s">
        <v>448</v>
      </c>
      <c r="H581" t="s">
        <v>449</v>
      </c>
      <c r="I581" t="s">
        <v>450</v>
      </c>
      <c r="J581" t="s">
        <v>450</v>
      </c>
      <c r="K581">
        <v>0</v>
      </c>
      <c r="L581" t="s">
        <v>446</v>
      </c>
      <c r="M581" t="s">
        <v>446</v>
      </c>
      <c r="N581">
        <v>145637</v>
      </c>
      <c r="O581">
        <f>INDEX(Counselor,MATCH(B581,KidIDs,0))</f>
        <v>0</v>
      </c>
      <c r="P581">
        <f>INDEX(Advisors,MATCH(B581,KidIDs,0))</f>
        <v>0</v>
      </c>
      <c r="Q581">
        <f>INDEX(Cohort,MATCH(B581,KidIDs,0))</f>
        <v>0</v>
      </c>
      <c r="R581">
        <f>INDEX(AllCollegeBarrons,MATCH(N581,AllCollegeNCES,0))</f>
        <v>0</v>
      </c>
      <c r="S581">
        <f>INDEX(KidGPAs,MATCH(B581,KidIDs,0))</f>
        <v>0</v>
      </c>
      <c r="T581">
        <f>INDEX(KidSATs,MATCH(B581,KidIDs,0))</f>
        <v>0</v>
      </c>
      <c r="U581">
        <f>INDEX(Strats,MATCH(B581,KidIDs,0))</f>
        <v>0</v>
      </c>
      <c r="V581">
        <f>INDEX(KidRace,MATCH(B581,KidIDs,0))</f>
        <v>0</v>
      </c>
      <c r="W581">
        <f>IF(OR(V581="M",V581="I"),"H",IF(V581="P","A",V581))</f>
        <v>0</v>
      </c>
      <c r="X581">
        <f>INDEX(StudentTargets,MATCH(B581,KidIDs,0))</f>
        <v>0</v>
      </c>
      <c r="Y581">
        <f>INDEX(ReachStudentTargets,MATCH(B581,KidIDs,0))</f>
        <v>0</v>
      </c>
      <c r="Z581">
        <f>IF(OR(M581="Posse"),1,0)</f>
        <v>0</v>
      </c>
      <c r="AA581">
        <f>IF(ISNUMBER(INDEX(AllCollegeGR, MATCH(N581,AllCollegeNCES,0))),ROUND(INDEX(AllCollegeGR, MATCH(N581,AllCollegeNCES,0))+Z581*IF(INDEX(AllCollegeGR, MATCH(N581,AllCollegeNCES,0))&gt;0.7,(1-INDEX(AllCollegeGR, MATCH(N581,AllCollegeNCES,0)))/2,0.15),2),INDEX(AllCollegeGR, MATCH(N581,AllCollegeNCES,0)))</f>
        <v>0</v>
      </c>
      <c r="AB581">
        <f>IF(ISNUMBER(INDEX(AllCollegeAAHGR, MATCH(N581,AllCollegeNCES,0))),ROUND(INDEX(AllCollegeAAHGR, MATCH(N581,AllCollegeNCES,0))+Z581*IF(INDEX(AllCollegeAAHGR, MATCH(N581,AllCollegeNCES,0))&gt;0.7,(1-INDEX(AllCollegeAAHGR, MATCH(N581,AllCollegeNCES,0)))/2,0.15),2),INDEX(AllCollegeAAHGR, MATCH(N581,AllCollegeNCES,0)))</f>
        <v>0</v>
      </c>
      <c r="AC581">
        <f>IF(OR(W581="H",W581="B"),INDEX(AllCollegeSAT25, MATCH(N581,AllCollegeNCES,0)),INDEX(AllCollegeSAT50, MATCH(N581,AllCollegeNCES,0)))</f>
        <v>0</v>
      </c>
      <c r="AD581">
        <f>INDEX(CustomWeightsGPA,MATCH(W581&amp;":"&amp;N581,CustomWeightsIndex,0))</f>
        <v>0</v>
      </c>
      <c r="AE581">
        <f>INDEX(CustomWeightsSAT,MATCH(W581&amp;":"&amp;N581,CustomWeightsIndex,0))</f>
        <v>0</v>
      </c>
      <c r="AF581">
        <f>INDEX(CustomWeightsIntercept,MATCH(W581&amp;":"&amp;N581,CustomWeightsIndex,0))</f>
        <v>0</v>
      </c>
      <c r="AG581">
        <f>AD581*S581+AE581*T581+AF581</f>
        <v>0</v>
      </c>
      <c r="AH581">
        <f>INDEX(CoefficientsGPA,MATCH(W581&amp;":"&amp;R581,CoefficientsIndex,0))</f>
        <v>0</v>
      </c>
      <c r="AI581">
        <f>INDEX(CoefficientsSAT,MATCH(W581&amp;":"&amp;R581,CoefficientsIndex,0))</f>
        <v>0</v>
      </c>
      <c r="AJ581">
        <f>INDEX(CoefficientsIntercept,MATCH(W581&amp;":"&amp;R581,CoefficientsIndex,0))</f>
        <v>0</v>
      </c>
      <c r="AK581">
        <f>AH581*S581+(T581-AC581)*AI581+AJ581</f>
        <v>0</v>
      </c>
      <c r="AL581">
        <f>IF(ISNUMBER(AG581),AG581,AK581)</f>
        <v>0</v>
      </c>
      <c r="AM581">
        <f>IF(ISNUMBER(AL581),IF(ISNUMBER(AH581),IF(AND(AH581=1,AI581=1,AJ581=1),100,MIN(99,ROUND(100*EXP(AL581)/(1+EXP(AL581)),2))),MIN(99,ROUND(100*EXP(AL581)/(1+EXP(AL581)),2))),IF(ISTEXT(R581),IF(LEFT(R581,1)="2",100,"N/A"),"N/A"))</f>
        <v>0</v>
      </c>
      <c r="AN581">
        <f>IF(ISNUMBER(AM581),IF(AM581&gt;=99,IF(OR(U581=10,U581=11),MatchLabel,SureThingLabel),IF(AM581&gt;=95,SecureLabel,IF(AM581&gt;=80,SafetyLabel,IF(AM581&gt;=50,MatchLabel,IF(AM581&gt;=20,ReachLabel,IF(AM581&gt;=10,LongshotLabel,HailMaryLabel)))))),"Other")</f>
        <v>0</v>
      </c>
      <c r="AO581">
        <f>IF(OR(I581="accepted",I581="cond. accept",I581="summer admit"),IF(J581="yes","CHOICE!","Accepted!"),IF(I581="guar. transfer","Guar. Xfer",IF(I581="denied","Denied",IF(K581=1,"Waitlist",IF(L581=1,"Deferred",IF(G581="pending","Pending",IF(OR(G581="initial materials submitted",G581="mid-year submitted",G581="final submitted"),"Submitted",IF(H581="interest","Interest","?"))))))))</f>
        <v>0</v>
      </c>
      <c r="AP581">
        <f>IF(OR(AN581=ReachLabel,AN581=LongshotLabel,AN581=HailMaryLabel),1,0)</f>
        <v>0</v>
      </c>
      <c r="AQ581">
        <f>IF(OR(AP581=1,AN581=MatchLabel),1,0)</f>
        <v>0</v>
      </c>
      <c r="AR581">
        <f>IF(OR(AN581=MatchLabel,AN581=SafetyLabel,AN581=SecureLabel,AN581=SureThingLabel),1,0)</f>
        <v>0</v>
      </c>
      <c r="AS581">
        <f>IF(OR(W581="H",W581="B",W581="I",W581="M"),IF(ISNUMBER(AB581),ROUND(AB581,2),0),IF(ISNUMBER(AA581),ROUND(AA581,2),0))</f>
        <v>0</v>
      </c>
      <c r="AT581">
        <f>IF(AS581&gt;=X581,1,0)</f>
        <v>0</v>
      </c>
      <c r="AU581">
        <f>IF(AS581&gt;=Y581,1,0)</f>
        <v>0</v>
      </c>
      <c r="AV581">
        <f>IF(AS581&lt;(X581-0.10),1,0)</f>
        <v>0</v>
      </c>
      <c r="AW581">
        <f>1-AM581/100</f>
        <v>0</v>
      </c>
      <c r="AX581">
        <f>IF(AQ581=1,AW581,1)</f>
        <v>0</v>
      </c>
      <c r="AY581">
        <f>IF(AP581=1,AW581,1)</f>
        <v>0</v>
      </c>
      <c r="AZ581">
        <f>IF(AND(AT581=1,ISNUMBER(AW581)),$AW581,1)</f>
        <v>0</v>
      </c>
      <c r="BA581">
        <f>IF(AND(AU581=1,ISNUMBER(AW581)),$AW581,1)</f>
        <v>0</v>
      </c>
      <c r="BB581">
        <f>IF(ISNUMBER(AB581),INDEX(AllCollegeMoney, MATCH(N581,AllCollegeNCES,0)),0)</f>
        <v>0</v>
      </c>
      <c r="BC581">
        <f>IF(AND(AT581=1,ISNUMBER(AW581),BB581=1),$AW581,1)</f>
        <v>0</v>
      </c>
      <c r="BD581">
        <f>IF(AND(AU581=1,ISNUMBER(AW581),BB581=1),$AW581,1)</f>
        <v>0</v>
      </c>
      <c r="BE581">
        <f>IF(ISNUMBER(AB581),INDEX(AllCollegeILPub, MATCH(N581,AllCollegeNCES,0)),0)</f>
        <v>0</v>
      </c>
      <c r="BF581">
        <f>IF(AN581=ReachLabel,AS581,0)</f>
        <v>0</v>
      </c>
      <c r="BG581">
        <f>IF(AN581=MatchLabel,AS581,0)</f>
        <v>0</v>
      </c>
      <c r="BH581">
        <f>IF(AN581=SafetyLabel,AS581,0)</f>
        <v>0</v>
      </c>
      <c r="BI581">
        <f>IF(AN581=SecureLabel,AS581,0)</f>
        <v>0</v>
      </c>
      <c r="BJ581">
        <f>IF(AN581=SureThingLabel,AS581,0)</f>
        <v>0</v>
      </c>
      <c r="BK581">
        <f>MAX(BF581:BJ581)</f>
        <v>0</v>
      </c>
      <c r="BL581">
        <f>MAX(BG581:BJ581)</f>
        <v>0</v>
      </c>
      <c r="BM581">
        <f>MAX(BH581:BJ581)</f>
        <v>0</v>
      </c>
      <c r="BN581">
        <f>IF(AND(AN581=ReachLabel,BB581=1),AS581,0)</f>
        <v>0</v>
      </c>
      <c r="BO581">
        <f>IF(AND(AN581=MatchLabel,BB581=1),AS581,0)</f>
        <v>0</v>
      </c>
      <c r="BP581">
        <f>IF(AND(AN581=SafetyLabel,BB581=1),AS581,0)</f>
        <v>0</v>
      </c>
      <c r="BQ581">
        <f>IF(AND(AN581=SecureLabel,BB581=1),AS581,0)</f>
        <v>0</v>
      </c>
      <c r="BR581">
        <f>IF(AND(AN581=SureThingLabel,BB581=1),AS581,0)</f>
        <v>0</v>
      </c>
      <c r="BS581">
        <f>MAX(BN581:BR581)</f>
        <v>0</v>
      </c>
      <c r="BT581">
        <f>MAX(BO581:BR581)</f>
        <v>0</v>
      </c>
      <c r="BU581">
        <f>MAX(BP581:BR581)</f>
        <v>0</v>
      </c>
      <c r="BV581">
        <f>IF(ISNUMBER(AB581),INDEX(AllCollegeChicago, MATCH(N581,AllCollegeNCES,0))*BB581,0)</f>
        <v>0</v>
      </c>
      <c r="BW581">
        <f>IF(ISNUMBER(AB581),INDEX(AllCollegeMoneyCode, MATCH(N581,AllCollegeNCES,0)),"?")</f>
        <v>0</v>
      </c>
      <c r="BX581">
        <f>IF(OR(BW581="---",BW581="--",BW581="+/--",BW581="+/---"),1,0)</f>
        <v>0</v>
      </c>
      <c r="BY581">
        <f>BB581*AR581*AT581</f>
        <v>0</v>
      </c>
    </row>
    <row r="582" spans="1:77">
      <c r="A582" t="s">
        <v>96</v>
      </c>
      <c r="B582">
        <v>23560568</v>
      </c>
      <c r="C582" t="s">
        <v>270</v>
      </c>
      <c r="D582" t="s">
        <v>271</v>
      </c>
      <c r="E582" t="s">
        <v>446</v>
      </c>
      <c r="F582" t="s">
        <v>447</v>
      </c>
      <c r="G582" t="s">
        <v>479</v>
      </c>
      <c r="H582" t="s">
        <v>449</v>
      </c>
      <c r="I582" t="s">
        <v>450</v>
      </c>
      <c r="J582" t="s">
        <v>450</v>
      </c>
      <c r="K582">
        <v>0</v>
      </c>
      <c r="L582" t="s">
        <v>446</v>
      </c>
      <c r="M582" t="s">
        <v>446</v>
      </c>
      <c r="N582">
        <v>148496</v>
      </c>
      <c r="O582">
        <f>INDEX(Counselor,MATCH(B582,KidIDs,0))</f>
        <v>0</v>
      </c>
      <c r="P582">
        <f>INDEX(Advisors,MATCH(B582,KidIDs,0))</f>
        <v>0</v>
      </c>
      <c r="Q582">
        <f>INDEX(Cohort,MATCH(B582,KidIDs,0))</f>
        <v>0</v>
      </c>
      <c r="R582">
        <f>INDEX(AllCollegeBarrons,MATCH(N582,AllCollegeNCES,0))</f>
        <v>0</v>
      </c>
      <c r="S582">
        <f>INDEX(KidGPAs,MATCH(B582,KidIDs,0))</f>
        <v>0</v>
      </c>
      <c r="T582">
        <f>INDEX(KidSATs,MATCH(B582,KidIDs,0))</f>
        <v>0</v>
      </c>
      <c r="U582">
        <f>INDEX(Strats,MATCH(B582,KidIDs,0))</f>
        <v>0</v>
      </c>
      <c r="V582">
        <f>INDEX(KidRace,MATCH(B582,KidIDs,0))</f>
        <v>0</v>
      </c>
      <c r="W582">
        <f>IF(OR(V582="M",V582="I"),"H",IF(V582="P","A",V582))</f>
        <v>0</v>
      </c>
      <c r="X582">
        <f>INDEX(StudentTargets,MATCH(B582,KidIDs,0))</f>
        <v>0</v>
      </c>
      <c r="Y582">
        <f>INDEX(ReachStudentTargets,MATCH(B582,KidIDs,0))</f>
        <v>0</v>
      </c>
      <c r="Z582">
        <f>IF(OR(M582="Posse"),1,0)</f>
        <v>0</v>
      </c>
      <c r="AA582">
        <f>IF(ISNUMBER(INDEX(AllCollegeGR, MATCH(N582,AllCollegeNCES,0))),ROUND(INDEX(AllCollegeGR, MATCH(N582,AllCollegeNCES,0))+Z582*IF(INDEX(AllCollegeGR, MATCH(N582,AllCollegeNCES,0))&gt;0.7,(1-INDEX(AllCollegeGR, MATCH(N582,AllCollegeNCES,0)))/2,0.15),2),INDEX(AllCollegeGR, MATCH(N582,AllCollegeNCES,0)))</f>
        <v>0</v>
      </c>
      <c r="AB582">
        <f>IF(ISNUMBER(INDEX(AllCollegeAAHGR, MATCH(N582,AllCollegeNCES,0))),ROUND(INDEX(AllCollegeAAHGR, MATCH(N582,AllCollegeNCES,0))+Z582*IF(INDEX(AllCollegeAAHGR, MATCH(N582,AllCollegeNCES,0))&gt;0.7,(1-INDEX(AllCollegeAAHGR, MATCH(N582,AllCollegeNCES,0)))/2,0.15),2),INDEX(AllCollegeAAHGR, MATCH(N582,AllCollegeNCES,0)))</f>
        <v>0</v>
      </c>
      <c r="AC582">
        <f>IF(OR(W582="H",W582="B"),INDEX(AllCollegeSAT25, MATCH(N582,AllCollegeNCES,0)),INDEX(AllCollegeSAT50, MATCH(N582,AllCollegeNCES,0)))</f>
        <v>0</v>
      </c>
      <c r="AD582">
        <f>INDEX(CustomWeightsGPA,MATCH(W582&amp;":"&amp;N582,CustomWeightsIndex,0))</f>
        <v>0</v>
      </c>
      <c r="AE582">
        <f>INDEX(CustomWeightsSAT,MATCH(W582&amp;":"&amp;N582,CustomWeightsIndex,0))</f>
        <v>0</v>
      </c>
      <c r="AF582">
        <f>INDEX(CustomWeightsIntercept,MATCH(W582&amp;":"&amp;N582,CustomWeightsIndex,0))</f>
        <v>0</v>
      </c>
      <c r="AG582">
        <f>AD582*S582+AE582*T582+AF582</f>
        <v>0</v>
      </c>
      <c r="AH582">
        <f>INDEX(CoefficientsGPA,MATCH(W582&amp;":"&amp;R582,CoefficientsIndex,0))</f>
        <v>0</v>
      </c>
      <c r="AI582">
        <f>INDEX(CoefficientsSAT,MATCH(W582&amp;":"&amp;R582,CoefficientsIndex,0))</f>
        <v>0</v>
      </c>
      <c r="AJ582">
        <f>INDEX(CoefficientsIntercept,MATCH(W582&amp;":"&amp;R582,CoefficientsIndex,0))</f>
        <v>0</v>
      </c>
      <c r="AK582">
        <f>AH582*S582+(T582-AC582)*AI582+AJ582</f>
        <v>0</v>
      </c>
      <c r="AL582">
        <f>IF(ISNUMBER(AG582),AG582,AK582)</f>
        <v>0</v>
      </c>
      <c r="AM582">
        <f>IF(ISNUMBER(AL582),IF(ISNUMBER(AH582),IF(AND(AH582=1,AI582=1,AJ582=1),100,MIN(99,ROUND(100*EXP(AL582)/(1+EXP(AL582)),2))),MIN(99,ROUND(100*EXP(AL582)/(1+EXP(AL582)),2))),IF(ISTEXT(R582),IF(LEFT(R582,1)="2",100,"N/A"),"N/A"))</f>
        <v>0</v>
      </c>
      <c r="AN582">
        <f>IF(ISNUMBER(AM582),IF(AM582&gt;=99,IF(OR(U582=10,U582=11),MatchLabel,SureThingLabel),IF(AM582&gt;=95,SecureLabel,IF(AM582&gt;=80,SafetyLabel,IF(AM582&gt;=50,MatchLabel,IF(AM582&gt;=20,ReachLabel,IF(AM582&gt;=10,LongshotLabel,HailMaryLabel)))))),"Other")</f>
        <v>0</v>
      </c>
      <c r="AO582">
        <f>IF(OR(I582="accepted",I582="cond. accept",I582="summer admit"),IF(J582="yes","CHOICE!","Accepted!"),IF(I582="guar. transfer","Guar. Xfer",IF(I582="denied","Denied",IF(K582=1,"Waitlist",IF(L582=1,"Deferred",IF(G582="pending","Pending",IF(OR(G582="initial materials submitted",G582="mid-year submitted",G582="final submitted"),"Submitted",IF(H582="interest","Interest","?"))))))))</f>
        <v>0</v>
      </c>
      <c r="AP582">
        <f>IF(OR(AN582=ReachLabel,AN582=LongshotLabel,AN582=HailMaryLabel),1,0)</f>
        <v>0</v>
      </c>
      <c r="AQ582">
        <f>IF(OR(AP582=1,AN582=MatchLabel),1,0)</f>
        <v>0</v>
      </c>
      <c r="AR582">
        <f>IF(OR(AN582=MatchLabel,AN582=SafetyLabel,AN582=SecureLabel,AN582=SureThingLabel),1,0)</f>
        <v>0</v>
      </c>
      <c r="AS582">
        <f>IF(OR(W582="H",W582="B",W582="I",W582="M"),IF(ISNUMBER(AB582),ROUND(AB582,2),0),IF(ISNUMBER(AA582),ROUND(AA582,2),0))</f>
        <v>0</v>
      </c>
      <c r="AT582">
        <f>IF(AS582&gt;=X582,1,0)</f>
        <v>0</v>
      </c>
      <c r="AU582">
        <f>IF(AS582&gt;=Y582,1,0)</f>
        <v>0</v>
      </c>
      <c r="AV582">
        <f>IF(AS582&lt;(X582-0.10),1,0)</f>
        <v>0</v>
      </c>
      <c r="AW582">
        <f>1-AM582/100</f>
        <v>0</v>
      </c>
      <c r="AX582">
        <f>IF(AQ582=1,AW582,1)</f>
        <v>0</v>
      </c>
      <c r="AY582">
        <f>IF(AP582=1,AW582,1)</f>
        <v>0</v>
      </c>
      <c r="AZ582">
        <f>IF(AND(AT582=1,ISNUMBER(AW582)),$AW582,1)</f>
        <v>0</v>
      </c>
      <c r="BA582">
        <f>IF(AND(AU582=1,ISNUMBER(AW582)),$AW582,1)</f>
        <v>0</v>
      </c>
      <c r="BB582">
        <f>IF(ISNUMBER(AB582),INDEX(AllCollegeMoney, MATCH(N582,AllCollegeNCES,0)),0)</f>
        <v>0</v>
      </c>
      <c r="BC582">
        <f>IF(AND(AT582=1,ISNUMBER(AW582),BB582=1),$AW582,1)</f>
        <v>0</v>
      </c>
      <c r="BD582">
        <f>IF(AND(AU582=1,ISNUMBER(AW582),BB582=1),$AW582,1)</f>
        <v>0</v>
      </c>
      <c r="BE582">
        <f>IF(ISNUMBER(AB582),INDEX(AllCollegeILPub, MATCH(N582,AllCollegeNCES,0)),0)</f>
        <v>0</v>
      </c>
      <c r="BF582">
        <f>IF(AN582=ReachLabel,AS582,0)</f>
        <v>0</v>
      </c>
      <c r="BG582">
        <f>IF(AN582=MatchLabel,AS582,0)</f>
        <v>0</v>
      </c>
      <c r="BH582">
        <f>IF(AN582=SafetyLabel,AS582,0)</f>
        <v>0</v>
      </c>
      <c r="BI582">
        <f>IF(AN582=SecureLabel,AS582,0)</f>
        <v>0</v>
      </c>
      <c r="BJ582">
        <f>IF(AN582=SureThingLabel,AS582,0)</f>
        <v>0</v>
      </c>
      <c r="BK582">
        <f>MAX(BF582:BJ582)</f>
        <v>0</v>
      </c>
      <c r="BL582">
        <f>MAX(BG582:BJ582)</f>
        <v>0</v>
      </c>
      <c r="BM582">
        <f>MAX(BH582:BJ582)</f>
        <v>0</v>
      </c>
      <c r="BN582">
        <f>IF(AND(AN582=ReachLabel,BB582=1),AS582,0)</f>
        <v>0</v>
      </c>
      <c r="BO582">
        <f>IF(AND(AN582=MatchLabel,BB582=1),AS582,0)</f>
        <v>0</v>
      </c>
      <c r="BP582">
        <f>IF(AND(AN582=SafetyLabel,BB582=1),AS582,0)</f>
        <v>0</v>
      </c>
      <c r="BQ582">
        <f>IF(AND(AN582=SecureLabel,BB582=1),AS582,0)</f>
        <v>0</v>
      </c>
      <c r="BR582">
        <f>IF(AND(AN582=SureThingLabel,BB582=1),AS582,0)</f>
        <v>0</v>
      </c>
      <c r="BS582">
        <f>MAX(BN582:BR582)</f>
        <v>0</v>
      </c>
      <c r="BT582">
        <f>MAX(BO582:BR582)</f>
        <v>0</v>
      </c>
      <c r="BU582">
        <f>MAX(BP582:BR582)</f>
        <v>0</v>
      </c>
      <c r="BV582">
        <f>IF(ISNUMBER(AB582),INDEX(AllCollegeChicago, MATCH(N582,AllCollegeNCES,0))*BB582,0)</f>
        <v>0</v>
      </c>
      <c r="BW582">
        <f>IF(ISNUMBER(AB582),INDEX(AllCollegeMoneyCode, MATCH(N582,AllCollegeNCES,0)),"?")</f>
        <v>0</v>
      </c>
      <c r="BX582">
        <f>IF(OR(BW582="---",BW582="--",BW582="+/--",BW582="+/---"),1,0)</f>
        <v>0</v>
      </c>
      <c r="BY582">
        <f>BB582*AR582*AT582</f>
        <v>0</v>
      </c>
    </row>
    <row r="583" spans="1:77">
      <c r="A583" t="s">
        <v>96</v>
      </c>
      <c r="B583">
        <v>23560568</v>
      </c>
      <c r="C583" t="s">
        <v>270</v>
      </c>
      <c r="D583" t="s">
        <v>271</v>
      </c>
      <c r="E583" t="s">
        <v>446</v>
      </c>
      <c r="F583" t="s">
        <v>476</v>
      </c>
      <c r="G583" t="s">
        <v>479</v>
      </c>
      <c r="H583" t="s">
        <v>449</v>
      </c>
      <c r="I583" t="s">
        <v>450</v>
      </c>
      <c r="J583" t="s">
        <v>450</v>
      </c>
      <c r="K583">
        <v>0</v>
      </c>
      <c r="L583" t="s">
        <v>446</v>
      </c>
      <c r="M583" t="s">
        <v>446</v>
      </c>
      <c r="N583">
        <v>213668</v>
      </c>
      <c r="O583">
        <f>INDEX(Counselor,MATCH(B583,KidIDs,0))</f>
        <v>0</v>
      </c>
      <c r="P583">
        <f>INDEX(Advisors,MATCH(B583,KidIDs,0))</f>
        <v>0</v>
      </c>
      <c r="Q583">
        <f>INDEX(Cohort,MATCH(B583,KidIDs,0))</f>
        <v>0</v>
      </c>
      <c r="R583">
        <f>INDEX(AllCollegeBarrons,MATCH(N583,AllCollegeNCES,0))</f>
        <v>0</v>
      </c>
      <c r="S583">
        <f>INDEX(KidGPAs,MATCH(B583,KidIDs,0))</f>
        <v>0</v>
      </c>
      <c r="T583">
        <f>INDEX(KidSATs,MATCH(B583,KidIDs,0))</f>
        <v>0</v>
      </c>
      <c r="U583">
        <f>INDEX(Strats,MATCH(B583,KidIDs,0))</f>
        <v>0</v>
      </c>
      <c r="V583">
        <f>INDEX(KidRace,MATCH(B583,KidIDs,0))</f>
        <v>0</v>
      </c>
      <c r="W583">
        <f>IF(OR(V583="M",V583="I"),"H",IF(V583="P","A",V583))</f>
        <v>0</v>
      </c>
      <c r="X583">
        <f>INDEX(StudentTargets,MATCH(B583,KidIDs,0))</f>
        <v>0</v>
      </c>
      <c r="Y583">
        <f>INDEX(ReachStudentTargets,MATCH(B583,KidIDs,0))</f>
        <v>0</v>
      </c>
      <c r="Z583">
        <f>IF(OR(M583="Posse"),1,0)</f>
        <v>0</v>
      </c>
      <c r="AA583">
        <f>IF(ISNUMBER(INDEX(AllCollegeGR, MATCH(N583,AllCollegeNCES,0))),ROUND(INDEX(AllCollegeGR, MATCH(N583,AllCollegeNCES,0))+Z583*IF(INDEX(AllCollegeGR, MATCH(N583,AllCollegeNCES,0))&gt;0.7,(1-INDEX(AllCollegeGR, MATCH(N583,AllCollegeNCES,0)))/2,0.15),2),INDEX(AllCollegeGR, MATCH(N583,AllCollegeNCES,0)))</f>
        <v>0</v>
      </c>
      <c r="AB583">
        <f>IF(ISNUMBER(INDEX(AllCollegeAAHGR, MATCH(N583,AllCollegeNCES,0))),ROUND(INDEX(AllCollegeAAHGR, MATCH(N583,AllCollegeNCES,0))+Z583*IF(INDEX(AllCollegeAAHGR, MATCH(N583,AllCollegeNCES,0))&gt;0.7,(1-INDEX(AllCollegeAAHGR, MATCH(N583,AllCollegeNCES,0)))/2,0.15),2),INDEX(AllCollegeAAHGR, MATCH(N583,AllCollegeNCES,0)))</f>
        <v>0</v>
      </c>
      <c r="AC583">
        <f>IF(OR(W583="H",W583="B"),INDEX(AllCollegeSAT25, MATCH(N583,AllCollegeNCES,0)),INDEX(AllCollegeSAT50, MATCH(N583,AllCollegeNCES,0)))</f>
        <v>0</v>
      </c>
      <c r="AD583">
        <f>INDEX(CustomWeightsGPA,MATCH(W583&amp;":"&amp;N583,CustomWeightsIndex,0))</f>
        <v>0</v>
      </c>
      <c r="AE583">
        <f>INDEX(CustomWeightsSAT,MATCH(W583&amp;":"&amp;N583,CustomWeightsIndex,0))</f>
        <v>0</v>
      </c>
      <c r="AF583">
        <f>INDEX(CustomWeightsIntercept,MATCH(W583&amp;":"&amp;N583,CustomWeightsIndex,0))</f>
        <v>0</v>
      </c>
      <c r="AG583">
        <f>AD583*S583+AE583*T583+AF583</f>
        <v>0</v>
      </c>
      <c r="AH583">
        <f>INDEX(CoefficientsGPA,MATCH(W583&amp;":"&amp;R583,CoefficientsIndex,0))</f>
        <v>0</v>
      </c>
      <c r="AI583">
        <f>INDEX(CoefficientsSAT,MATCH(W583&amp;":"&amp;R583,CoefficientsIndex,0))</f>
        <v>0</v>
      </c>
      <c r="AJ583">
        <f>INDEX(CoefficientsIntercept,MATCH(W583&amp;":"&amp;R583,CoefficientsIndex,0))</f>
        <v>0</v>
      </c>
      <c r="AK583">
        <f>AH583*S583+(T583-AC583)*AI583+AJ583</f>
        <v>0</v>
      </c>
      <c r="AL583">
        <f>IF(ISNUMBER(AG583),AG583,AK583)</f>
        <v>0</v>
      </c>
      <c r="AM583">
        <f>IF(ISNUMBER(AL583),IF(ISNUMBER(AH583),IF(AND(AH583=1,AI583=1,AJ583=1),100,MIN(99,ROUND(100*EXP(AL583)/(1+EXP(AL583)),2))),MIN(99,ROUND(100*EXP(AL583)/(1+EXP(AL583)),2))),IF(ISTEXT(R583),IF(LEFT(R583,1)="2",100,"N/A"),"N/A"))</f>
        <v>0</v>
      </c>
      <c r="AN583">
        <f>IF(ISNUMBER(AM583),IF(AM583&gt;=99,IF(OR(U583=10,U583=11),MatchLabel,SureThingLabel),IF(AM583&gt;=95,SecureLabel,IF(AM583&gt;=80,SafetyLabel,IF(AM583&gt;=50,MatchLabel,IF(AM583&gt;=20,ReachLabel,IF(AM583&gt;=10,LongshotLabel,HailMaryLabel)))))),"Other")</f>
        <v>0</v>
      </c>
      <c r="AO583">
        <f>IF(OR(I583="accepted",I583="cond. accept",I583="summer admit"),IF(J583="yes","CHOICE!","Accepted!"),IF(I583="guar. transfer","Guar. Xfer",IF(I583="denied","Denied",IF(K583=1,"Waitlist",IF(L583=1,"Deferred",IF(G583="pending","Pending",IF(OR(G583="initial materials submitted",G583="mid-year submitted",G583="final submitted"),"Submitted",IF(H583="interest","Interest","?"))))))))</f>
        <v>0</v>
      </c>
      <c r="AP583">
        <f>IF(OR(AN583=ReachLabel,AN583=LongshotLabel,AN583=HailMaryLabel),1,0)</f>
        <v>0</v>
      </c>
      <c r="AQ583">
        <f>IF(OR(AP583=1,AN583=MatchLabel),1,0)</f>
        <v>0</v>
      </c>
      <c r="AR583">
        <f>IF(OR(AN583=MatchLabel,AN583=SafetyLabel,AN583=SecureLabel,AN583=SureThingLabel),1,0)</f>
        <v>0</v>
      </c>
      <c r="AS583">
        <f>IF(OR(W583="H",W583="B",W583="I",W583="M"),IF(ISNUMBER(AB583),ROUND(AB583,2),0),IF(ISNUMBER(AA583),ROUND(AA583,2),0))</f>
        <v>0</v>
      </c>
      <c r="AT583">
        <f>IF(AS583&gt;=X583,1,0)</f>
        <v>0</v>
      </c>
      <c r="AU583">
        <f>IF(AS583&gt;=Y583,1,0)</f>
        <v>0</v>
      </c>
      <c r="AV583">
        <f>IF(AS583&lt;(X583-0.10),1,0)</f>
        <v>0</v>
      </c>
      <c r="AW583">
        <f>1-AM583/100</f>
        <v>0</v>
      </c>
      <c r="AX583">
        <f>IF(AQ583=1,AW583,1)</f>
        <v>0</v>
      </c>
      <c r="AY583">
        <f>IF(AP583=1,AW583,1)</f>
        <v>0</v>
      </c>
      <c r="AZ583">
        <f>IF(AND(AT583=1,ISNUMBER(AW583)),$AW583,1)</f>
        <v>0</v>
      </c>
      <c r="BA583">
        <f>IF(AND(AU583=1,ISNUMBER(AW583)),$AW583,1)</f>
        <v>0</v>
      </c>
      <c r="BB583">
        <f>IF(ISNUMBER(AB583),INDEX(AllCollegeMoney, MATCH(N583,AllCollegeNCES,0)),0)</f>
        <v>0</v>
      </c>
      <c r="BC583">
        <f>IF(AND(AT583=1,ISNUMBER(AW583),BB583=1),$AW583,1)</f>
        <v>0</v>
      </c>
      <c r="BD583">
        <f>IF(AND(AU583=1,ISNUMBER(AW583),BB583=1),$AW583,1)</f>
        <v>0</v>
      </c>
      <c r="BE583">
        <f>IF(ISNUMBER(AB583),INDEX(AllCollegeILPub, MATCH(N583,AllCollegeNCES,0)),0)</f>
        <v>0</v>
      </c>
      <c r="BF583">
        <f>IF(AN583=ReachLabel,AS583,0)</f>
        <v>0</v>
      </c>
      <c r="BG583">
        <f>IF(AN583=MatchLabel,AS583,0)</f>
        <v>0</v>
      </c>
      <c r="BH583">
        <f>IF(AN583=SafetyLabel,AS583,0)</f>
        <v>0</v>
      </c>
      <c r="BI583">
        <f>IF(AN583=SecureLabel,AS583,0)</f>
        <v>0</v>
      </c>
      <c r="BJ583">
        <f>IF(AN583=SureThingLabel,AS583,0)</f>
        <v>0</v>
      </c>
      <c r="BK583">
        <f>MAX(BF583:BJ583)</f>
        <v>0</v>
      </c>
      <c r="BL583">
        <f>MAX(BG583:BJ583)</f>
        <v>0</v>
      </c>
      <c r="BM583">
        <f>MAX(BH583:BJ583)</f>
        <v>0</v>
      </c>
      <c r="BN583">
        <f>IF(AND(AN583=ReachLabel,BB583=1),AS583,0)</f>
        <v>0</v>
      </c>
      <c r="BO583">
        <f>IF(AND(AN583=MatchLabel,BB583=1),AS583,0)</f>
        <v>0</v>
      </c>
      <c r="BP583">
        <f>IF(AND(AN583=SafetyLabel,BB583=1),AS583,0)</f>
        <v>0</v>
      </c>
      <c r="BQ583">
        <f>IF(AND(AN583=SecureLabel,BB583=1),AS583,0)</f>
        <v>0</v>
      </c>
      <c r="BR583">
        <f>IF(AND(AN583=SureThingLabel,BB583=1),AS583,0)</f>
        <v>0</v>
      </c>
      <c r="BS583">
        <f>MAX(BN583:BR583)</f>
        <v>0</v>
      </c>
      <c r="BT583">
        <f>MAX(BO583:BR583)</f>
        <v>0</v>
      </c>
      <c r="BU583">
        <f>MAX(BP583:BR583)</f>
        <v>0</v>
      </c>
      <c r="BV583">
        <f>IF(ISNUMBER(AB583),INDEX(AllCollegeChicago, MATCH(N583,AllCollegeNCES,0))*BB583,0)</f>
        <v>0</v>
      </c>
      <c r="BW583">
        <f>IF(ISNUMBER(AB583),INDEX(AllCollegeMoneyCode, MATCH(N583,AllCollegeNCES,0)),"?")</f>
        <v>0</v>
      </c>
      <c r="BX583">
        <f>IF(OR(BW583="---",BW583="--",BW583="+/--",BW583="+/---"),1,0)</f>
        <v>0</v>
      </c>
      <c r="BY583">
        <f>BB583*AR583*AT583</f>
        <v>0</v>
      </c>
    </row>
    <row r="584" spans="1:77">
      <c r="A584" t="s">
        <v>96</v>
      </c>
      <c r="B584">
        <v>23560568</v>
      </c>
      <c r="C584" t="s">
        <v>270</v>
      </c>
      <c r="D584" t="s">
        <v>271</v>
      </c>
      <c r="E584" t="s">
        <v>446</v>
      </c>
      <c r="F584" t="s">
        <v>477</v>
      </c>
      <c r="G584" t="s">
        <v>448</v>
      </c>
      <c r="H584" t="s">
        <v>449</v>
      </c>
      <c r="I584" t="s">
        <v>450</v>
      </c>
      <c r="J584" t="s">
        <v>450</v>
      </c>
      <c r="K584">
        <v>0</v>
      </c>
      <c r="L584" t="s">
        <v>446</v>
      </c>
      <c r="M584" t="s">
        <v>446</v>
      </c>
      <c r="N584">
        <v>146427</v>
      </c>
      <c r="O584">
        <f>INDEX(Counselor,MATCH(B584,KidIDs,0))</f>
        <v>0</v>
      </c>
      <c r="P584">
        <f>INDEX(Advisors,MATCH(B584,KidIDs,0))</f>
        <v>0</v>
      </c>
      <c r="Q584">
        <f>INDEX(Cohort,MATCH(B584,KidIDs,0))</f>
        <v>0</v>
      </c>
      <c r="R584">
        <f>INDEX(AllCollegeBarrons,MATCH(N584,AllCollegeNCES,0))</f>
        <v>0</v>
      </c>
      <c r="S584">
        <f>INDEX(KidGPAs,MATCH(B584,KidIDs,0))</f>
        <v>0</v>
      </c>
      <c r="T584">
        <f>INDEX(KidSATs,MATCH(B584,KidIDs,0))</f>
        <v>0</v>
      </c>
      <c r="U584">
        <f>INDEX(Strats,MATCH(B584,KidIDs,0))</f>
        <v>0</v>
      </c>
      <c r="V584">
        <f>INDEX(KidRace,MATCH(B584,KidIDs,0))</f>
        <v>0</v>
      </c>
      <c r="W584">
        <f>IF(OR(V584="M",V584="I"),"H",IF(V584="P","A",V584))</f>
        <v>0</v>
      </c>
      <c r="X584">
        <f>INDEX(StudentTargets,MATCH(B584,KidIDs,0))</f>
        <v>0</v>
      </c>
      <c r="Y584">
        <f>INDEX(ReachStudentTargets,MATCH(B584,KidIDs,0))</f>
        <v>0</v>
      </c>
      <c r="Z584">
        <f>IF(OR(M584="Posse"),1,0)</f>
        <v>0</v>
      </c>
      <c r="AA584">
        <f>IF(ISNUMBER(INDEX(AllCollegeGR, MATCH(N584,AllCollegeNCES,0))),ROUND(INDEX(AllCollegeGR, MATCH(N584,AllCollegeNCES,0))+Z584*IF(INDEX(AllCollegeGR, MATCH(N584,AllCollegeNCES,0))&gt;0.7,(1-INDEX(AllCollegeGR, MATCH(N584,AllCollegeNCES,0)))/2,0.15),2),INDEX(AllCollegeGR, MATCH(N584,AllCollegeNCES,0)))</f>
        <v>0</v>
      </c>
      <c r="AB584">
        <f>IF(ISNUMBER(INDEX(AllCollegeAAHGR, MATCH(N584,AllCollegeNCES,0))),ROUND(INDEX(AllCollegeAAHGR, MATCH(N584,AllCollegeNCES,0))+Z584*IF(INDEX(AllCollegeAAHGR, MATCH(N584,AllCollegeNCES,0))&gt;0.7,(1-INDEX(AllCollegeAAHGR, MATCH(N584,AllCollegeNCES,0)))/2,0.15),2),INDEX(AllCollegeAAHGR, MATCH(N584,AllCollegeNCES,0)))</f>
        <v>0</v>
      </c>
      <c r="AC584">
        <f>IF(OR(W584="H",W584="B"),INDEX(AllCollegeSAT25, MATCH(N584,AllCollegeNCES,0)),INDEX(AllCollegeSAT50, MATCH(N584,AllCollegeNCES,0)))</f>
        <v>0</v>
      </c>
      <c r="AD584">
        <f>INDEX(CustomWeightsGPA,MATCH(W584&amp;":"&amp;N584,CustomWeightsIndex,0))</f>
        <v>0</v>
      </c>
      <c r="AE584">
        <f>INDEX(CustomWeightsSAT,MATCH(W584&amp;":"&amp;N584,CustomWeightsIndex,0))</f>
        <v>0</v>
      </c>
      <c r="AF584">
        <f>INDEX(CustomWeightsIntercept,MATCH(W584&amp;":"&amp;N584,CustomWeightsIndex,0))</f>
        <v>0</v>
      </c>
      <c r="AG584">
        <f>AD584*S584+AE584*T584+AF584</f>
        <v>0</v>
      </c>
      <c r="AH584">
        <f>INDEX(CoefficientsGPA,MATCH(W584&amp;":"&amp;R584,CoefficientsIndex,0))</f>
        <v>0</v>
      </c>
      <c r="AI584">
        <f>INDEX(CoefficientsSAT,MATCH(W584&amp;":"&amp;R584,CoefficientsIndex,0))</f>
        <v>0</v>
      </c>
      <c r="AJ584">
        <f>INDEX(CoefficientsIntercept,MATCH(W584&amp;":"&amp;R584,CoefficientsIndex,0))</f>
        <v>0</v>
      </c>
      <c r="AK584">
        <f>AH584*S584+(T584-AC584)*AI584+AJ584</f>
        <v>0</v>
      </c>
      <c r="AL584">
        <f>IF(ISNUMBER(AG584),AG584,AK584)</f>
        <v>0</v>
      </c>
      <c r="AM584">
        <f>IF(ISNUMBER(AL584),IF(ISNUMBER(AH584),IF(AND(AH584=1,AI584=1,AJ584=1),100,MIN(99,ROUND(100*EXP(AL584)/(1+EXP(AL584)),2))),MIN(99,ROUND(100*EXP(AL584)/(1+EXP(AL584)),2))),IF(ISTEXT(R584),IF(LEFT(R584,1)="2",100,"N/A"),"N/A"))</f>
        <v>0</v>
      </c>
      <c r="AN584">
        <f>IF(ISNUMBER(AM584),IF(AM584&gt;=99,IF(OR(U584=10,U584=11),MatchLabel,SureThingLabel),IF(AM584&gt;=95,SecureLabel,IF(AM584&gt;=80,SafetyLabel,IF(AM584&gt;=50,MatchLabel,IF(AM584&gt;=20,ReachLabel,IF(AM584&gt;=10,LongshotLabel,HailMaryLabel)))))),"Other")</f>
        <v>0</v>
      </c>
      <c r="AO584">
        <f>IF(OR(I584="accepted",I584="cond. accept",I584="summer admit"),IF(J584="yes","CHOICE!","Accepted!"),IF(I584="guar. transfer","Guar. Xfer",IF(I584="denied","Denied",IF(K584=1,"Waitlist",IF(L584=1,"Deferred",IF(G584="pending","Pending",IF(OR(G584="initial materials submitted",G584="mid-year submitted",G584="final submitted"),"Submitted",IF(H584="interest","Interest","?"))))))))</f>
        <v>0</v>
      </c>
      <c r="AP584">
        <f>IF(OR(AN584=ReachLabel,AN584=LongshotLabel,AN584=HailMaryLabel),1,0)</f>
        <v>0</v>
      </c>
      <c r="AQ584">
        <f>IF(OR(AP584=1,AN584=MatchLabel),1,0)</f>
        <v>0</v>
      </c>
      <c r="AR584">
        <f>IF(OR(AN584=MatchLabel,AN584=SafetyLabel,AN584=SecureLabel,AN584=SureThingLabel),1,0)</f>
        <v>0</v>
      </c>
      <c r="AS584">
        <f>IF(OR(W584="H",W584="B",W584="I",W584="M"),IF(ISNUMBER(AB584),ROUND(AB584,2),0),IF(ISNUMBER(AA584),ROUND(AA584,2),0))</f>
        <v>0</v>
      </c>
      <c r="AT584">
        <f>IF(AS584&gt;=X584,1,0)</f>
        <v>0</v>
      </c>
      <c r="AU584">
        <f>IF(AS584&gt;=Y584,1,0)</f>
        <v>0</v>
      </c>
      <c r="AV584">
        <f>IF(AS584&lt;(X584-0.10),1,0)</f>
        <v>0</v>
      </c>
      <c r="AW584">
        <f>1-AM584/100</f>
        <v>0</v>
      </c>
      <c r="AX584">
        <f>IF(AQ584=1,AW584,1)</f>
        <v>0</v>
      </c>
      <c r="AY584">
        <f>IF(AP584=1,AW584,1)</f>
        <v>0</v>
      </c>
      <c r="AZ584">
        <f>IF(AND(AT584=1,ISNUMBER(AW584)),$AW584,1)</f>
        <v>0</v>
      </c>
      <c r="BA584">
        <f>IF(AND(AU584=1,ISNUMBER(AW584)),$AW584,1)</f>
        <v>0</v>
      </c>
      <c r="BB584">
        <f>IF(ISNUMBER(AB584),INDEX(AllCollegeMoney, MATCH(N584,AllCollegeNCES,0)),0)</f>
        <v>0</v>
      </c>
      <c r="BC584">
        <f>IF(AND(AT584=1,ISNUMBER(AW584),BB584=1),$AW584,1)</f>
        <v>0</v>
      </c>
      <c r="BD584">
        <f>IF(AND(AU584=1,ISNUMBER(AW584),BB584=1),$AW584,1)</f>
        <v>0</v>
      </c>
      <c r="BE584">
        <f>IF(ISNUMBER(AB584),INDEX(AllCollegeILPub, MATCH(N584,AllCollegeNCES,0)),0)</f>
        <v>0</v>
      </c>
      <c r="BF584">
        <f>IF(AN584=ReachLabel,AS584,0)</f>
        <v>0</v>
      </c>
      <c r="BG584">
        <f>IF(AN584=MatchLabel,AS584,0)</f>
        <v>0</v>
      </c>
      <c r="BH584">
        <f>IF(AN584=SafetyLabel,AS584,0)</f>
        <v>0</v>
      </c>
      <c r="BI584">
        <f>IF(AN584=SecureLabel,AS584,0)</f>
        <v>0</v>
      </c>
      <c r="BJ584">
        <f>IF(AN584=SureThingLabel,AS584,0)</f>
        <v>0</v>
      </c>
      <c r="BK584">
        <f>MAX(BF584:BJ584)</f>
        <v>0</v>
      </c>
      <c r="BL584">
        <f>MAX(BG584:BJ584)</f>
        <v>0</v>
      </c>
      <c r="BM584">
        <f>MAX(BH584:BJ584)</f>
        <v>0</v>
      </c>
      <c r="BN584">
        <f>IF(AND(AN584=ReachLabel,BB584=1),AS584,0)</f>
        <v>0</v>
      </c>
      <c r="BO584">
        <f>IF(AND(AN584=MatchLabel,BB584=1),AS584,0)</f>
        <v>0</v>
      </c>
      <c r="BP584">
        <f>IF(AND(AN584=SafetyLabel,BB584=1),AS584,0)</f>
        <v>0</v>
      </c>
      <c r="BQ584">
        <f>IF(AND(AN584=SecureLabel,BB584=1),AS584,0)</f>
        <v>0</v>
      </c>
      <c r="BR584">
        <f>IF(AND(AN584=SureThingLabel,BB584=1),AS584,0)</f>
        <v>0</v>
      </c>
      <c r="BS584">
        <f>MAX(BN584:BR584)</f>
        <v>0</v>
      </c>
      <c r="BT584">
        <f>MAX(BO584:BR584)</f>
        <v>0</v>
      </c>
      <c r="BU584">
        <f>MAX(BP584:BR584)</f>
        <v>0</v>
      </c>
      <c r="BV584">
        <f>IF(ISNUMBER(AB584),INDEX(AllCollegeChicago, MATCH(N584,AllCollegeNCES,0))*BB584,0)</f>
        <v>0</v>
      </c>
      <c r="BW584">
        <f>IF(ISNUMBER(AB584),INDEX(AllCollegeMoneyCode, MATCH(N584,AllCollegeNCES,0)),"?")</f>
        <v>0</v>
      </c>
      <c r="BX584">
        <f>IF(OR(BW584="---",BW584="--",BW584="+/--",BW584="+/---"),1,0)</f>
        <v>0</v>
      </c>
      <c r="BY584">
        <f>BB584*AR584*AT584</f>
        <v>0</v>
      </c>
    </row>
    <row r="585" spans="1:77">
      <c r="A585" t="s">
        <v>96</v>
      </c>
      <c r="B585">
        <v>23560568</v>
      </c>
      <c r="C585" t="s">
        <v>270</v>
      </c>
      <c r="D585" t="s">
        <v>271</v>
      </c>
      <c r="E585" t="s">
        <v>446</v>
      </c>
      <c r="F585" t="s">
        <v>478</v>
      </c>
      <c r="G585" t="s">
        <v>479</v>
      </c>
      <c r="H585" t="s">
        <v>449</v>
      </c>
      <c r="I585" t="s">
        <v>450</v>
      </c>
      <c r="J585" t="s">
        <v>450</v>
      </c>
      <c r="K585">
        <v>0</v>
      </c>
      <c r="L585" t="s">
        <v>446</v>
      </c>
      <c r="M585" t="s">
        <v>446</v>
      </c>
      <c r="N585">
        <v>168546</v>
      </c>
      <c r="O585">
        <f>INDEX(Counselor,MATCH(B585,KidIDs,0))</f>
        <v>0</v>
      </c>
      <c r="P585">
        <f>INDEX(Advisors,MATCH(B585,KidIDs,0))</f>
        <v>0</v>
      </c>
      <c r="Q585">
        <f>INDEX(Cohort,MATCH(B585,KidIDs,0))</f>
        <v>0</v>
      </c>
      <c r="R585">
        <f>INDEX(AllCollegeBarrons,MATCH(N585,AllCollegeNCES,0))</f>
        <v>0</v>
      </c>
      <c r="S585">
        <f>INDEX(KidGPAs,MATCH(B585,KidIDs,0))</f>
        <v>0</v>
      </c>
      <c r="T585">
        <f>INDEX(KidSATs,MATCH(B585,KidIDs,0))</f>
        <v>0</v>
      </c>
      <c r="U585">
        <f>INDEX(Strats,MATCH(B585,KidIDs,0))</f>
        <v>0</v>
      </c>
      <c r="V585">
        <f>INDEX(KidRace,MATCH(B585,KidIDs,0))</f>
        <v>0</v>
      </c>
      <c r="W585">
        <f>IF(OR(V585="M",V585="I"),"H",IF(V585="P","A",V585))</f>
        <v>0</v>
      </c>
      <c r="X585">
        <f>INDEX(StudentTargets,MATCH(B585,KidIDs,0))</f>
        <v>0</v>
      </c>
      <c r="Y585">
        <f>INDEX(ReachStudentTargets,MATCH(B585,KidIDs,0))</f>
        <v>0</v>
      </c>
      <c r="Z585">
        <f>IF(OR(M585="Posse"),1,0)</f>
        <v>0</v>
      </c>
      <c r="AA585">
        <f>IF(ISNUMBER(INDEX(AllCollegeGR, MATCH(N585,AllCollegeNCES,0))),ROUND(INDEX(AllCollegeGR, MATCH(N585,AllCollegeNCES,0))+Z585*IF(INDEX(AllCollegeGR, MATCH(N585,AllCollegeNCES,0))&gt;0.7,(1-INDEX(AllCollegeGR, MATCH(N585,AllCollegeNCES,0)))/2,0.15),2),INDEX(AllCollegeGR, MATCH(N585,AllCollegeNCES,0)))</f>
        <v>0</v>
      </c>
      <c r="AB585">
        <f>IF(ISNUMBER(INDEX(AllCollegeAAHGR, MATCH(N585,AllCollegeNCES,0))),ROUND(INDEX(AllCollegeAAHGR, MATCH(N585,AllCollegeNCES,0))+Z585*IF(INDEX(AllCollegeAAHGR, MATCH(N585,AllCollegeNCES,0))&gt;0.7,(1-INDEX(AllCollegeAAHGR, MATCH(N585,AllCollegeNCES,0)))/2,0.15),2),INDEX(AllCollegeAAHGR, MATCH(N585,AllCollegeNCES,0)))</f>
        <v>0</v>
      </c>
      <c r="AC585">
        <f>IF(OR(W585="H",W585="B"),INDEX(AllCollegeSAT25, MATCH(N585,AllCollegeNCES,0)),INDEX(AllCollegeSAT50, MATCH(N585,AllCollegeNCES,0)))</f>
        <v>0</v>
      </c>
      <c r="AD585">
        <f>INDEX(CustomWeightsGPA,MATCH(W585&amp;":"&amp;N585,CustomWeightsIndex,0))</f>
        <v>0</v>
      </c>
      <c r="AE585">
        <f>INDEX(CustomWeightsSAT,MATCH(W585&amp;":"&amp;N585,CustomWeightsIndex,0))</f>
        <v>0</v>
      </c>
      <c r="AF585">
        <f>INDEX(CustomWeightsIntercept,MATCH(W585&amp;":"&amp;N585,CustomWeightsIndex,0))</f>
        <v>0</v>
      </c>
      <c r="AG585">
        <f>AD585*S585+AE585*T585+AF585</f>
        <v>0</v>
      </c>
      <c r="AH585">
        <f>INDEX(CoefficientsGPA,MATCH(W585&amp;":"&amp;R585,CoefficientsIndex,0))</f>
        <v>0</v>
      </c>
      <c r="AI585">
        <f>INDEX(CoefficientsSAT,MATCH(W585&amp;":"&amp;R585,CoefficientsIndex,0))</f>
        <v>0</v>
      </c>
      <c r="AJ585">
        <f>INDEX(CoefficientsIntercept,MATCH(W585&amp;":"&amp;R585,CoefficientsIndex,0))</f>
        <v>0</v>
      </c>
      <c r="AK585">
        <f>AH585*S585+(T585-AC585)*AI585+AJ585</f>
        <v>0</v>
      </c>
      <c r="AL585">
        <f>IF(ISNUMBER(AG585),AG585,AK585)</f>
        <v>0</v>
      </c>
      <c r="AM585">
        <f>IF(ISNUMBER(AL585),IF(ISNUMBER(AH585),IF(AND(AH585=1,AI585=1,AJ585=1),100,MIN(99,ROUND(100*EXP(AL585)/(1+EXP(AL585)),2))),MIN(99,ROUND(100*EXP(AL585)/(1+EXP(AL585)),2))),IF(ISTEXT(R585),IF(LEFT(R585,1)="2",100,"N/A"),"N/A"))</f>
        <v>0</v>
      </c>
      <c r="AN585">
        <f>IF(ISNUMBER(AM585),IF(AM585&gt;=99,IF(OR(U585=10,U585=11),MatchLabel,SureThingLabel),IF(AM585&gt;=95,SecureLabel,IF(AM585&gt;=80,SafetyLabel,IF(AM585&gt;=50,MatchLabel,IF(AM585&gt;=20,ReachLabel,IF(AM585&gt;=10,LongshotLabel,HailMaryLabel)))))),"Other")</f>
        <v>0</v>
      </c>
      <c r="AO585">
        <f>IF(OR(I585="accepted",I585="cond. accept",I585="summer admit"),IF(J585="yes","CHOICE!","Accepted!"),IF(I585="guar. transfer","Guar. Xfer",IF(I585="denied","Denied",IF(K585=1,"Waitlist",IF(L585=1,"Deferred",IF(G585="pending","Pending",IF(OR(G585="initial materials submitted",G585="mid-year submitted",G585="final submitted"),"Submitted",IF(H585="interest","Interest","?"))))))))</f>
        <v>0</v>
      </c>
      <c r="AP585">
        <f>IF(OR(AN585=ReachLabel,AN585=LongshotLabel,AN585=HailMaryLabel),1,0)</f>
        <v>0</v>
      </c>
      <c r="AQ585">
        <f>IF(OR(AP585=1,AN585=MatchLabel),1,0)</f>
        <v>0</v>
      </c>
      <c r="AR585">
        <f>IF(OR(AN585=MatchLabel,AN585=SafetyLabel,AN585=SecureLabel,AN585=SureThingLabel),1,0)</f>
        <v>0</v>
      </c>
      <c r="AS585">
        <f>IF(OR(W585="H",W585="B",W585="I",W585="M"),IF(ISNUMBER(AB585),ROUND(AB585,2),0),IF(ISNUMBER(AA585),ROUND(AA585,2),0))</f>
        <v>0</v>
      </c>
      <c r="AT585">
        <f>IF(AS585&gt;=X585,1,0)</f>
        <v>0</v>
      </c>
      <c r="AU585">
        <f>IF(AS585&gt;=Y585,1,0)</f>
        <v>0</v>
      </c>
      <c r="AV585">
        <f>IF(AS585&lt;(X585-0.10),1,0)</f>
        <v>0</v>
      </c>
      <c r="AW585">
        <f>1-AM585/100</f>
        <v>0</v>
      </c>
      <c r="AX585">
        <f>IF(AQ585=1,AW585,1)</f>
        <v>0</v>
      </c>
      <c r="AY585">
        <f>IF(AP585=1,AW585,1)</f>
        <v>0</v>
      </c>
      <c r="AZ585">
        <f>IF(AND(AT585=1,ISNUMBER(AW585)),$AW585,1)</f>
        <v>0</v>
      </c>
      <c r="BA585">
        <f>IF(AND(AU585=1,ISNUMBER(AW585)),$AW585,1)</f>
        <v>0</v>
      </c>
      <c r="BB585">
        <f>IF(ISNUMBER(AB585),INDEX(AllCollegeMoney, MATCH(N585,AllCollegeNCES,0)),0)</f>
        <v>0</v>
      </c>
      <c r="BC585">
        <f>IF(AND(AT585=1,ISNUMBER(AW585),BB585=1),$AW585,1)</f>
        <v>0</v>
      </c>
      <c r="BD585">
        <f>IF(AND(AU585=1,ISNUMBER(AW585),BB585=1),$AW585,1)</f>
        <v>0</v>
      </c>
      <c r="BE585">
        <f>IF(ISNUMBER(AB585),INDEX(AllCollegeILPub, MATCH(N585,AllCollegeNCES,0)),0)</f>
        <v>0</v>
      </c>
      <c r="BF585">
        <f>IF(AN585=ReachLabel,AS585,0)</f>
        <v>0</v>
      </c>
      <c r="BG585">
        <f>IF(AN585=MatchLabel,AS585,0)</f>
        <v>0</v>
      </c>
      <c r="BH585">
        <f>IF(AN585=SafetyLabel,AS585,0)</f>
        <v>0</v>
      </c>
      <c r="BI585">
        <f>IF(AN585=SecureLabel,AS585,0)</f>
        <v>0</v>
      </c>
      <c r="BJ585">
        <f>IF(AN585=SureThingLabel,AS585,0)</f>
        <v>0</v>
      </c>
      <c r="BK585">
        <f>MAX(BF585:BJ585)</f>
        <v>0</v>
      </c>
      <c r="BL585">
        <f>MAX(BG585:BJ585)</f>
        <v>0</v>
      </c>
      <c r="BM585">
        <f>MAX(BH585:BJ585)</f>
        <v>0</v>
      </c>
      <c r="BN585">
        <f>IF(AND(AN585=ReachLabel,BB585=1),AS585,0)</f>
        <v>0</v>
      </c>
      <c r="BO585">
        <f>IF(AND(AN585=MatchLabel,BB585=1),AS585,0)</f>
        <v>0</v>
      </c>
      <c r="BP585">
        <f>IF(AND(AN585=SafetyLabel,BB585=1),AS585,0)</f>
        <v>0</v>
      </c>
      <c r="BQ585">
        <f>IF(AND(AN585=SecureLabel,BB585=1),AS585,0)</f>
        <v>0</v>
      </c>
      <c r="BR585">
        <f>IF(AND(AN585=SureThingLabel,BB585=1),AS585,0)</f>
        <v>0</v>
      </c>
      <c r="BS585">
        <f>MAX(BN585:BR585)</f>
        <v>0</v>
      </c>
      <c r="BT585">
        <f>MAX(BO585:BR585)</f>
        <v>0</v>
      </c>
      <c r="BU585">
        <f>MAX(BP585:BR585)</f>
        <v>0</v>
      </c>
      <c r="BV585">
        <f>IF(ISNUMBER(AB585),INDEX(AllCollegeChicago, MATCH(N585,AllCollegeNCES,0))*BB585,0)</f>
        <v>0</v>
      </c>
      <c r="BW585">
        <f>IF(ISNUMBER(AB585),INDEX(AllCollegeMoneyCode, MATCH(N585,AllCollegeNCES,0)),"?")</f>
        <v>0</v>
      </c>
      <c r="BX585">
        <f>IF(OR(BW585="---",BW585="--",BW585="+/--",BW585="+/---"),1,0)</f>
        <v>0</v>
      </c>
      <c r="BY585">
        <f>BB585*AR585*AT585</f>
        <v>0</v>
      </c>
    </row>
    <row r="586" spans="1:77">
      <c r="A586" t="s">
        <v>96</v>
      </c>
      <c r="B586">
        <v>23560568</v>
      </c>
      <c r="C586" t="s">
        <v>270</v>
      </c>
      <c r="D586" t="s">
        <v>271</v>
      </c>
      <c r="E586" t="s">
        <v>446</v>
      </c>
      <c r="F586" t="s">
        <v>502</v>
      </c>
      <c r="G586" t="s">
        <v>448</v>
      </c>
      <c r="H586" t="s">
        <v>449</v>
      </c>
      <c r="I586" t="s">
        <v>450</v>
      </c>
      <c r="J586" t="s">
        <v>450</v>
      </c>
      <c r="K586">
        <v>0</v>
      </c>
      <c r="L586" t="s">
        <v>446</v>
      </c>
      <c r="M586" t="s">
        <v>446</v>
      </c>
      <c r="N586">
        <v>170082</v>
      </c>
      <c r="O586">
        <f>INDEX(Counselor,MATCH(B586,KidIDs,0))</f>
        <v>0</v>
      </c>
      <c r="P586">
        <f>INDEX(Advisors,MATCH(B586,KidIDs,0))</f>
        <v>0</v>
      </c>
      <c r="Q586">
        <f>INDEX(Cohort,MATCH(B586,KidIDs,0))</f>
        <v>0</v>
      </c>
      <c r="R586">
        <f>INDEX(AllCollegeBarrons,MATCH(N586,AllCollegeNCES,0))</f>
        <v>0</v>
      </c>
      <c r="S586">
        <f>INDEX(KidGPAs,MATCH(B586,KidIDs,0))</f>
        <v>0</v>
      </c>
      <c r="T586">
        <f>INDEX(KidSATs,MATCH(B586,KidIDs,0))</f>
        <v>0</v>
      </c>
      <c r="U586">
        <f>INDEX(Strats,MATCH(B586,KidIDs,0))</f>
        <v>0</v>
      </c>
      <c r="V586">
        <f>INDEX(KidRace,MATCH(B586,KidIDs,0))</f>
        <v>0</v>
      </c>
      <c r="W586">
        <f>IF(OR(V586="M",V586="I"),"H",IF(V586="P","A",V586))</f>
        <v>0</v>
      </c>
      <c r="X586">
        <f>INDEX(StudentTargets,MATCH(B586,KidIDs,0))</f>
        <v>0</v>
      </c>
      <c r="Y586">
        <f>INDEX(ReachStudentTargets,MATCH(B586,KidIDs,0))</f>
        <v>0</v>
      </c>
      <c r="Z586">
        <f>IF(OR(M586="Posse"),1,0)</f>
        <v>0</v>
      </c>
      <c r="AA586">
        <f>IF(ISNUMBER(INDEX(AllCollegeGR, MATCH(N586,AllCollegeNCES,0))),ROUND(INDEX(AllCollegeGR, MATCH(N586,AllCollegeNCES,0))+Z586*IF(INDEX(AllCollegeGR, MATCH(N586,AllCollegeNCES,0))&gt;0.7,(1-INDEX(AllCollegeGR, MATCH(N586,AllCollegeNCES,0)))/2,0.15),2),INDEX(AllCollegeGR, MATCH(N586,AllCollegeNCES,0)))</f>
        <v>0</v>
      </c>
      <c r="AB586">
        <f>IF(ISNUMBER(INDEX(AllCollegeAAHGR, MATCH(N586,AllCollegeNCES,0))),ROUND(INDEX(AllCollegeAAHGR, MATCH(N586,AllCollegeNCES,0))+Z586*IF(INDEX(AllCollegeAAHGR, MATCH(N586,AllCollegeNCES,0))&gt;0.7,(1-INDEX(AllCollegeAAHGR, MATCH(N586,AllCollegeNCES,0)))/2,0.15),2),INDEX(AllCollegeAAHGR, MATCH(N586,AllCollegeNCES,0)))</f>
        <v>0</v>
      </c>
      <c r="AC586">
        <f>IF(OR(W586="H",W586="B"),INDEX(AllCollegeSAT25, MATCH(N586,AllCollegeNCES,0)),INDEX(AllCollegeSAT50, MATCH(N586,AllCollegeNCES,0)))</f>
        <v>0</v>
      </c>
      <c r="AD586">
        <f>INDEX(CustomWeightsGPA,MATCH(W586&amp;":"&amp;N586,CustomWeightsIndex,0))</f>
        <v>0</v>
      </c>
      <c r="AE586">
        <f>INDEX(CustomWeightsSAT,MATCH(W586&amp;":"&amp;N586,CustomWeightsIndex,0))</f>
        <v>0</v>
      </c>
      <c r="AF586">
        <f>INDEX(CustomWeightsIntercept,MATCH(W586&amp;":"&amp;N586,CustomWeightsIndex,0))</f>
        <v>0</v>
      </c>
      <c r="AG586">
        <f>AD586*S586+AE586*T586+AF586</f>
        <v>0</v>
      </c>
      <c r="AH586">
        <f>INDEX(CoefficientsGPA,MATCH(W586&amp;":"&amp;R586,CoefficientsIndex,0))</f>
        <v>0</v>
      </c>
      <c r="AI586">
        <f>INDEX(CoefficientsSAT,MATCH(W586&amp;":"&amp;R586,CoefficientsIndex,0))</f>
        <v>0</v>
      </c>
      <c r="AJ586">
        <f>INDEX(CoefficientsIntercept,MATCH(W586&amp;":"&amp;R586,CoefficientsIndex,0))</f>
        <v>0</v>
      </c>
      <c r="AK586">
        <f>AH586*S586+(T586-AC586)*AI586+AJ586</f>
        <v>0</v>
      </c>
      <c r="AL586">
        <f>IF(ISNUMBER(AG586),AG586,AK586)</f>
        <v>0</v>
      </c>
      <c r="AM586">
        <f>IF(ISNUMBER(AL586),IF(ISNUMBER(AH586),IF(AND(AH586=1,AI586=1,AJ586=1),100,MIN(99,ROUND(100*EXP(AL586)/(1+EXP(AL586)),2))),MIN(99,ROUND(100*EXP(AL586)/(1+EXP(AL586)),2))),IF(ISTEXT(R586),IF(LEFT(R586,1)="2",100,"N/A"),"N/A"))</f>
        <v>0</v>
      </c>
      <c r="AN586">
        <f>IF(ISNUMBER(AM586),IF(AM586&gt;=99,IF(OR(U586=10,U586=11),MatchLabel,SureThingLabel),IF(AM586&gt;=95,SecureLabel,IF(AM586&gt;=80,SafetyLabel,IF(AM586&gt;=50,MatchLabel,IF(AM586&gt;=20,ReachLabel,IF(AM586&gt;=10,LongshotLabel,HailMaryLabel)))))),"Other")</f>
        <v>0</v>
      </c>
      <c r="AO586">
        <f>IF(OR(I586="accepted",I586="cond. accept",I586="summer admit"),IF(J586="yes","CHOICE!","Accepted!"),IF(I586="guar. transfer","Guar. Xfer",IF(I586="denied","Denied",IF(K586=1,"Waitlist",IF(L586=1,"Deferred",IF(G586="pending","Pending",IF(OR(G586="initial materials submitted",G586="mid-year submitted",G586="final submitted"),"Submitted",IF(H586="interest","Interest","?"))))))))</f>
        <v>0</v>
      </c>
      <c r="AP586">
        <f>IF(OR(AN586=ReachLabel,AN586=LongshotLabel,AN586=HailMaryLabel),1,0)</f>
        <v>0</v>
      </c>
      <c r="AQ586">
        <f>IF(OR(AP586=1,AN586=MatchLabel),1,0)</f>
        <v>0</v>
      </c>
      <c r="AR586">
        <f>IF(OR(AN586=MatchLabel,AN586=SafetyLabel,AN586=SecureLabel,AN586=SureThingLabel),1,0)</f>
        <v>0</v>
      </c>
      <c r="AS586">
        <f>IF(OR(W586="H",W586="B",W586="I",W586="M"),IF(ISNUMBER(AB586),ROUND(AB586,2),0),IF(ISNUMBER(AA586),ROUND(AA586,2),0))</f>
        <v>0</v>
      </c>
      <c r="AT586">
        <f>IF(AS586&gt;=X586,1,0)</f>
        <v>0</v>
      </c>
      <c r="AU586">
        <f>IF(AS586&gt;=Y586,1,0)</f>
        <v>0</v>
      </c>
      <c r="AV586">
        <f>IF(AS586&lt;(X586-0.10),1,0)</f>
        <v>0</v>
      </c>
      <c r="AW586">
        <f>1-AM586/100</f>
        <v>0</v>
      </c>
      <c r="AX586">
        <f>IF(AQ586=1,AW586,1)</f>
        <v>0</v>
      </c>
      <c r="AY586">
        <f>IF(AP586=1,AW586,1)</f>
        <v>0</v>
      </c>
      <c r="AZ586">
        <f>IF(AND(AT586=1,ISNUMBER(AW586)),$AW586,1)</f>
        <v>0</v>
      </c>
      <c r="BA586">
        <f>IF(AND(AU586=1,ISNUMBER(AW586)),$AW586,1)</f>
        <v>0</v>
      </c>
      <c r="BB586">
        <f>IF(ISNUMBER(AB586),INDEX(AllCollegeMoney, MATCH(N586,AllCollegeNCES,0)),0)</f>
        <v>0</v>
      </c>
      <c r="BC586">
        <f>IF(AND(AT586=1,ISNUMBER(AW586),BB586=1),$AW586,1)</f>
        <v>0</v>
      </c>
      <c r="BD586">
        <f>IF(AND(AU586=1,ISNUMBER(AW586),BB586=1),$AW586,1)</f>
        <v>0</v>
      </c>
      <c r="BE586">
        <f>IF(ISNUMBER(AB586),INDEX(AllCollegeILPub, MATCH(N586,AllCollegeNCES,0)),0)</f>
        <v>0</v>
      </c>
      <c r="BF586">
        <f>IF(AN586=ReachLabel,AS586,0)</f>
        <v>0</v>
      </c>
      <c r="BG586">
        <f>IF(AN586=MatchLabel,AS586,0)</f>
        <v>0</v>
      </c>
      <c r="BH586">
        <f>IF(AN586=SafetyLabel,AS586,0)</f>
        <v>0</v>
      </c>
      <c r="BI586">
        <f>IF(AN586=SecureLabel,AS586,0)</f>
        <v>0</v>
      </c>
      <c r="BJ586">
        <f>IF(AN586=SureThingLabel,AS586,0)</f>
        <v>0</v>
      </c>
      <c r="BK586">
        <f>MAX(BF586:BJ586)</f>
        <v>0</v>
      </c>
      <c r="BL586">
        <f>MAX(BG586:BJ586)</f>
        <v>0</v>
      </c>
      <c r="BM586">
        <f>MAX(BH586:BJ586)</f>
        <v>0</v>
      </c>
      <c r="BN586">
        <f>IF(AND(AN586=ReachLabel,BB586=1),AS586,0)</f>
        <v>0</v>
      </c>
      <c r="BO586">
        <f>IF(AND(AN586=MatchLabel,BB586=1),AS586,0)</f>
        <v>0</v>
      </c>
      <c r="BP586">
        <f>IF(AND(AN586=SafetyLabel,BB586=1),AS586,0)</f>
        <v>0</v>
      </c>
      <c r="BQ586">
        <f>IF(AND(AN586=SecureLabel,BB586=1),AS586,0)</f>
        <v>0</v>
      </c>
      <c r="BR586">
        <f>IF(AND(AN586=SureThingLabel,BB586=1),AS586,0)</f>
        <v>0</v>
      </c>
      <c r="BS586">
        <f>MAX(BN586:BR586)</f>
        <v>0</v>
      </c>
      <c r="BT586">
        <f>MAX(BO586:BR586)</f>
        <v>0</v>
      </c>
      <c r="BU586">
        <f>MAX(BP586:BR586)</f>
        <v>0</v>
      </c>
      <c r="BV586">
        <f>IF(ISNUMBER(AB586),INDEX(AllCollegeChicago, MATCH(N586,AllCollegeNCES,0))*BB586,0)</f>
        <v>0</v>
      </c>
      <c r="BW586">
        <f>IF(ISNUMBER(AB586),INDEX(AllCollegeMoneyCode, MATCH(N586,AllCollegeNCES,0)),"?")</f>
        <v>0</v>
      </c>
      <c r="BX586">
        <f>IF(OR(BW586="---",BW586="--",BW586="+/--",BW586="+/---"),1,0)</f>
        <v>0</v>
      </c>
      <c r="BY586">
        <f>BB586*AR586*AT586</f>
        <v>0</v>
      </c>
    </row>
    <row r="587" spans="1:77">
      <c r="A587" t="s">
        <v>96</v>
      </c>
      <c r="B587">
        <v>23560568</v>
      </c>
      <c r="C587" t="s">
        <v>270</v>
      </c>
      <c r="D587" t="s">
        <v>271</v>
      </c>
      <c r="E587" t="s">
        <v>446</v>
      </c>
      <c r="F587" t="s">
        <v>465</v>
      </c>
      <c r="G587" t="s">
        <v>448</v>
      </c>
      <c r="H587" t="s">
        <v>449</v>
      </c>
      <c r="I587" t="s">
        <v>450</v>
      </c>
      <c r="J587" t="s">
        <v>450</v>
      </c>
      <c r="K587">
        <v>0</v>
      </c>
      <c r="L587" t="s">
        <v>446</v>
      </c>
      <c r="M587" t="s">
        <v>446</v>
      </c>
      <c r="N587">
        <v>145600</v>
      </c>
      <c r="O587">
        <f>INDEX(Counselor,MATCH(B587,KidIDs,0))</f>
        <v>0</v>
      </c>
      <c r="P587">
        <f>INDEX(Advisors,MATCH(B587,KidIDs,0))</f>
        <v>0</v>
      </c>
      <c r="Q587">
        <f>INDEX(Cohort,MATCH(B587,KidIDs,0))</f>
        <v>0</v>
      </c>
      <c r="R587">
        <f>INDEX(AllCollegeBarrons,MATCH(N587,AllCollegeNCES,0))</f>
        <v>0</v>
      </c>
      <c r="S587">
        <f>INDEX(KidGPAs,MATCH(B587,KidIDs,0))</f>
        <v>0</v>
      </c>
      <c r="T587">
        <f>INDEX(KidSATs,MATCH(B587,KidIDs,0))</f>
        <v>0</v>
      </c>
      <c r="U587">
        <f>INDEX(Strats,MATCH(B587,KidIDs,0))</f>
        <v>0</v>
      </c>
      <c r="V587">
        <f>INDEX(KidRace,MATCH(B587,KidIDs,0))</f>
        <v>0</v>
      </c>
      <c r="W587">
        <f>IF(OR(V587="M",V587="I"),"H",IF(V587="P","A",V587))</f>
        <v>0</v>
      </c>
      <c r="X587">
        <f>INDEX(StudentTargets,MATCH(B587,KidIDs,0))</f>
        <v>0</v>
      </c>
      <c r="Y587">
        <f>INDEX(ReachStudentTargets,MATCH(B587,KidIDs,0))</f>
        <v>0</v>
      </c>
      <c r="Z587">
        <f>IF(OR(M587="Posse"),1,0)</f>
        <v>0</v>
      </c>
      <c r="AA587">
        <f>IF(ISNUMBER(INDEX(AllCollegeGR, MATCH(N587,AllCollegeNCES,0))),ROUND(INDEX(AllCollegeGR, MATCH(N587,AllCollegeNCES,0))+Z587*IF(INDEX(AllCollegeGR, MATCH(N587,AllCollegeNCES,0))&gt;0.7,(1-INDEX(AllCollegeGR, MATCH(N587,AllCollegeNCES,0)))/2,0.15),2),INDEX(AllCollegeGR, MATCH(N587,AllCollegeNCES,0)))</f>
        <v>0</v>
      </c>
      <c r="AB587">
        <f>IF(ISNUMBER(INDEX(AllCollegeAAHGR, MATCH(N587,AllCollegeNCES,0))),ROUND(INDEX(AllCollegeAAHGR, MATCH(N587,AllCollegeNCES,0))+Z587*IF(INDEX(AllCollegeAAHGR, MATCH(N587,AllCollegeNCES,0))&gt;0.7,(1-INDEX(AllCollegeAAHGR, MATCH(N587,AllCollegeNCES,0)))/2,0.15),2),INDEX(AllCollegeAAHGR, MATCH(N587,AllCollegeNCES,0)))</f>
        <v>0</v>
      </c>
      <c r="AC587">
        <f>IF(OR(W587="H",W587="B"),INDEX(AllCollegeSAT25, MATCH(N587,AllCollegeNCES,0)),INDEX(AllCollegeSAT50, MATCH(N587,AllCollegeNCES,0)))</f>
        <v>0</v>
      </c>
      <c r="AD587">
        <f>INDEX(CustomWeightsGPA,MATCH(W587&amp;":"&amp;N587,CustomWeightsIndex,0))</f>
        <v>0</v>
      </c>
      <c r="AE587">
        <f>INDEX(CustomWeightsSAT,MATCH(W587&amp;":"&amp;N587,CustomWeightsIndex,0))</f>
        <v>0</v>
      </c>
      <c r="AF587">
        <f>INDEX(CustomWeightsIntercept,MATCH(W587&amp;":"&amp;N587,CustomWeightsIndex,0))</f>
        <v>0</v>
      </c>
      <c r="AG587">
        <f>AD587*S587+AE587*T587+AF587</f>
        <v>0</v>
      </c>
      <c r="AH587">
        <f>INDEX(CoefficientsGPA,MATCH(W587&amp;":"&amp;R587,CoefficientsIndex,0))</f>
        <v>0</v>
      </c>
      <c r="AI587">
        <f>INDEX(CoefficientsSAT,MATCH(W587&amp;":"&amp;R587,CoefficientsIndex,0))</f>
        <v>0</v>
      </c>
      <c r="AJ587">
        <f>INDEX(CoefficientsIntercept,MATCH(W587&amp;":"&amp;R587,CoefficientsIndex,0))</f>
        <v>0</v>
      </c>
      <c r="AK587">
        <f>AH587*S587+(T587-AC587)*AI587+AJ587</f>
        <v>0</v>
      </c>
      <c r="AL587">
        <f>IF(ISNUMBER(AG587),AG587,AK587)</f>
        <v>0</v>
      </c>
      <c r="AM587">
        <f>IF(ISNUMBER(AL587),IF(ISNUMBER(AH587),IF(AND(AH587=1,AI587=1,AJ587=1),100,MIN(99,ROUND(100*EXP(AL587)/(1+EXP(AL587)),2))),MIN(99,ROUND(100*EXP(AL587)/(1+EXP(AL587)),2))),IF(ISTEXT(R587),IF(LEFT(R587,1)="2",100,"N/A"),"N/A"))</f>
        <v>0</v>
      </c>
      <c r="AN587">
        <f>IF(ISNUMBER(AM587),IF(AM587&gt;=99,IF(OR(U587=10,U587=11),MatchLabel,SureThingLabel),IF(AM587&gt;=95,SecureLabel,IF(AM587&gt;=80,SafetyLabel,IF(AM587&gt;=50,MatchLabel,IF(AM587&gt;=20,ReachLabel,IF(AM587&gt;=10,LongshotLabel,HailMaryLabel)))))),"Other")</f>
        <v>0</v>
      </c>
      <c r="AO587">
        <f>IF(OR(I587="accepted",I587="cond. accept",I587="summer admit"),IF(J587="yes","CHOICE!","Accepted!"),IF(I587="guar. transfer","Guar. Xfer",IF(I587="denied","Denied",IF(K587=1,"Waitlist",IF(L587=1,"Deferred",IF(G587="pending","Pending",IF(OR(G587="initial materials submitted",G587="mid-year submitted",G587="final submitted"),"Submitted",IF(H587="interest","Interest","?"))))))))</f>
        <v>0</v>
      </c>
      <c r="AP587">
        <f>IF(OR(AN587=ReachLabel,AN587=LongshotLabel,AN587=HailMaryLabel),1,0)</f>
        <v>0</v>
      </c>
      <c r="AQ587">
        <f>IF(OR(AP587=1,AN587=MatchLabel),1,0)</f>
        <v>0</v>
      </c>
      <c r="AR587">
        <f>IF(OR(AN587=MatchLabel,AN587=SafetyLabel,AN587=SecureLabel,AN587=SureThingLabel),1,0)</f>
        <v>0</v>
      </c>
      <c r="AS587">
        <f>IF(OR(W587="H",W587="B",W587="I",W587="M"),IF(ISNUMBER(AB587),ROUND(AB587,2),0),IF(ISNUMBER(AA587),ROUND(AA587,2),0))</f>
        <v>0</v>
      </c>
      <c r="AT587">
        <f>IF(AS587&gt;=X587,1,0)</f>
        <v>0</v>
      </c>
      <c r="AU587">
        <f>IF(AS587&gt;=Y587,1,0)</f>
        <v>0</v>
      </c>
      <c r="AV587">
        <f>IF(AS587&lt;(X587-0.10),1,0)</f>
        <v>0</v>
      </c>
      <c r="AW587">
        <f>1-AM587/100</f>
        <v>0</v>
      </c>
      <c r="AX587">
        <f>IF(AQ587=1,AW587,1)</f>
        <v>0</v>
      </c>
      <c r="AY587">
        <f>IF(AP587=1,AW587,1)</f>
        <v>0</v>
      </c>
      <c r="AZ587">
        <f>IF(AND(AT587=1,ISNUMBER(AW587)),$AW587,1)</f>
        <v>0</v>
      </c>
      <c r="BA587">
        <f>IF(AND(AU587=1,ISNUMBER(AW587)),$AW587,1)</f>
        <v>0</v>
      </c>
      <c r="BB587">
        <f>IF(ISNUMBER(AB587),INDEX(AllCollegeMoney, MATCH(N587,AllCollegeNCES,0)),0)</f>
        <v>0</v>
      </c>
      <c r="BC587">
        <f>IF(AND(AT587=1,ISNUMBER(AW587),BB587=1),$AW587,1)</f>
        <v>0</v>
      </c>
      <c r="BD587">
        <f>IF(AND(AU587=1,ISNUMBER(AW587),BB587=1),$AW587,1)</f>
        <v>0</v>
      </c>
      <c r="BE587">
        <f>IF(ISNUMBER(AB587),INDEX(AllCollegeILPub, MATCH(N587,AllCollegeNCES,0)),0)</f>
        <v>0</v>
      </c>
      <c r="BF587">
        <f>IF(AN587=ReachLabel,AS587,0)</f>
        <v>0</v>
      </c>
      <c r="BG587">
        <f>IF(AN587=MatchLabel,AS587,0)</f>
        <v>0</v>
      </c>
      <c r="BH587">
        <f>IF(AN587=SafetyLabel,AS587,0)</f>
        <v>0</v>
      </c>
      <c r="BI587">
        <f>IF(AN587=SecureLabel,AS587,0)</f>
        <v>0</v>
      </c>
      <c r="BJ587">
        <f>IF(AN587=SureThingLabel,AS587,0)</f>
        <v>0</v>
      </c>
      <c r="BK587">
        <f>MAX(BF587:BJ587)</f>
        <v>0</v>
      </c>
      <c r="BL587">
        <f>MAX(BG587:BJ587)</f>
        <v>0</v>
      </c>
      <c r="BM587">
        <f>MAX(BH587:BJ587)</f>
        <v>0</v>
      </c>
      <c r="BN587">
        <f>IF(AND(AN587=ReachLabel,BB587=1),AS587,0)</f>
        <v>0</v>
      </c>
      <c r="BO587">
        <f>IF(AND(AN587=MatchLabel,BB587=1),AS587,0)</f>
        <v>0</v>
      </c>
      <c r="BP587">
        <f>IF(AND(AN587=SafetyLabel,BB587=1),AS587,0)</f>
        <v>0</v>
      </c>
      <c r="BQ587">
        <f>IF(AND(AN587=SecureLabel,BB587=1),AS587,0)</f>
        <v>0</v>
      </c>
      <c r="BR587">
        <f>IF(AND(AN587=SureThingLabel,BB587=1),AS587,0)</f>
        <v>0</v>
      </c>
      <c r="BS587">
        <f>MAX(BN587:BR587)</f>
        <v>0</v>
      </c>
      <c r="BT587">
        <f>MAX(BO587:BR587)</f>
        <v>0</v>
      </c>
      <c r="BU587">
        <f>MAX(BP587:BR587)</f>
        <v>0</v>
      </c>
      <c r="BV587">
        <f>IF(ISNUMBER(AB587),INDEX(AllCollegeChicago, MATCH(N587,AllCollegeNCES,0))*BB587,0)</f>
        <v>0</v>
      </c>
      <c r="BW587">
        <f>IF(ISNUMBER(AB587),INDEX(AllCollegeMoneyCode, MATCH(N587,AllCollegeNCES,0)),"?")</f>
        <v>0</v>
      </c>
      <c r="BX587">
        <f>IF(OR(BW587="---",BW587="--",BW587="+/--",BW587="+/---"),1,0)</f>
        <v>0</v>
      </c>
      <c r="BY587">
        <f>BB587*AR587*AT587</f>
        <v>0</v>
      </c>
    </row>
    <row r="588" spans="1:77">
      <c r="A588" t="s">
        <v>96</v>
      </c>
      <c r="B588">
        <v>23560568</v>
      </c>
      <c r="C588" t="s">
        <v>270</v>
      </c>
      <c r="D588" t="s">
        <v>271</v>
      </c>
      <c r="E588" t="s">
        <v>446</v>
      </c>
      <c r="F588" t="s">
        <v>481</v>
      </c>
      <c r="G588" t="s">
        <v>479</v>
      </c>
      <c r="H588" t="s">
        <v>449</v>
      </c>
      <c r="I588" t="s">
        <v>450</v>
      </c>
      <c r="J588" t="s">
        <v>450</v>
      </c>
      <c r="K588">
        <v>0</v>
      </c>
      <c r="L588" t="s">
        <v>446</v>
      </c>
      <c r="M588" t="s">
        <v>446</v>
      </c>
      <c r="N588">
        <v>153834</v>
      </c>
      <c r="O588">
        <f>INDEX(Counselor,MATCH(B588,KidIDs,0))</f>
        <v>0</v>
      </c>
      <c r="P588">
        <f>INDEX(Advisors,MATCH(B588,KidIDs,0))</f>
        <v>0</v>
      </c>
      <c r="Q588">
        <f>INDEX(Cohort,MATCH(B588,KidIDs,0))</f>
        <v>0</v>
      </c>
      <c r="R588">
        <f>INDEX(AllCollegeBarrons,MATCH(N588,AllCollegeNCES,0))</f>
        <v>0</v>
      </c>
      <c r="S588">
        <f>INDEX(KidGPAs,MATCH(B588,KidIDs,0))</f>
        <v>0</v>
      </c>
      <c r="T588">
        <f>INDEX(KidSATs,MATCH(B588,KidIDs,0))</f>
        <v>0</v>
      </c>
      <c r="U588">
        <f>INDEX(Strats,MATCH(B588,KidIDs,0))</f>
        <v>0</v>
      </c>
      <c r="V588">
        <f>INDEX(KidRace,MATCH(B588,KidIDs,0))</f>
        <v>0</v>
      </c>
      <c r="W588">
        <f>IF(OR(V588="M",V588="I"),"H",IF(V588="P","A",V588))</f>
        <v>0</v>
      </c>
      <c r="X588">
        <f>INDEX(StudentTargets,MATCH(B588,KidIDs,0))</f>
        <v>0</v>
      </c>
      <c r="Y588">
        <f>INDEX(ReachStudentTargets,MATCH(B588,KidIDs,0))</f>
        <v>0</v>
      </c>
      <c r="Z588">
        <f>IF(OR(M588="Posse"),1,0)</f>
        <v>0</v>
      </c>
      <c r="AA588">
        <f>IF(ISNUMBER(INDEX(AllCollegeGR, MATCH(N588,AllCollegeNCES,0))),ROUND(INDEX(AllCollegeGR, MATCH(N588,AllCollegeNCES,0))+Z588*IF(INDEX(AllCollegeGR, MATCH(N588,AllCollegeNCES,0))&gt;0.7,(1-INDEX(AllCollegeGR, MATCH(N588,AllCollegeNCES,0)))/2,0.15),2),INDEX(AllCollegeGR, MATCH(N588,AllCollegeNCES,0)))</f>
        <v>0</v>
      </c>
      <c r="AB588">
        <f>IF(ISNUMBER(INDEX(AllCollegeAAHGR, MATCH(N588,AllCollegeNCES,0))),ROUND(INDEX(AllCollegeAAHGR, MATCH(N588,AllCollegeNCES,0))+Z588*IF(INDEX(AllCollegeAAHGR, MATCH(N588,AllCollegeNCES,0))&gt;0.7,(1-INDEX(AllCollegeAAHGR, MATCH(N588,AllCollegeNCES,0)))/2,0.15),2),INDEX(AllCollegeAAHGR, MATCH(N588,AllCollegeNCES,0)))</f>
        <v>0</v>
      </c>
      <c r="AC588">
        <f>IF(OR(W588="H",W588="B"),INDEX(AllCollegeSAT25, MATCH(N588,AllCollegeNCES,0)),INDEX(AllCollegeSAT50, MATCH(N588,AllCollegeNCES,0)))</f>
        <v>0</v>
      </c>
      <c r="AD588">
        <f>INDEX(CustomWeightsGPA,MATCH(W588&amp;":"&amp;N588,CustomWeightsIndex,0))</f>
        <v>0</v>
      </c>
      <c r="AE588">
        <f>INDEX(CustomWeightsSAT,MATCH(W588&amp;":"&amp;N588,CustomWeightsIndex,0))</f>
        <v>0</v>
      </c>
      <c r="AF588">
        <f>INDEX(CustomWeightsIntercept,MATCH(W588&amp;":"&amp;N588,CustomWeightsIndex,0))</f>
        <v>0</v>
      </c>
      <c r="AG588">
        <f>AD588*S588+AE588*T588+AF588</f>
        <v>0</v>
      </c>
      <c r="AH588">
        <f>INDEX(CoefficientsGPA,MATCH(W588&amp;":"&amp;R588,CoefficientsIndex,0))</f>
        <v>0</v>
      </c>
      <c r="AI588">
        <f>INDEX(CoefficientsSAT,MATCH(W588&amp;":"&amp;R588,CoefficientsIndex,0))</f>
        <v>0</v>
      </c>
      <c r="AJ588">
        <f>INDEX(CoefficientsIntercept,MATCH(W588&amp;":"&amp;R588,CoefficientsIndex,0))</f>
        <v>0</v>
      </c>
      <c r="AK588">
        <f>AH588*S588+(T588-AC588)*AI588+AJ588</f>
        <v>0</v>
      </c>
      <c r="AL588">
        <f>IF(ISNUMBER(AG588),AG588,AK588)</f>
        <v>0</v>
      </c>
      <c r="AM588">
        <f>IF(ISNUMBER(AL588),IF(ISNUMBER(AH588),IF(AND(AH588=1,AI588=1,AJ588=1),100,MIN(99,ROUND(100*EXP(AL588)/(1+EXP(AL588)),2))),MIN(99,ROUND(100*EXP(AL588)/(1+EXP(AL588)),2))),IF(ISTEXT(R588),IF(LEFT(R588,1)="2",100,"N/A"),"N/A"))</f>
        <v>0</v>
      </c>
      <c r="AN588">
        <f>IF(ISNUMBER(AM588),IF(AM588&gt;=99,IF(OR(U588=10,U588=11),MatchLabel,SureThingLabel),IF(AM588&gt;=95,SecureLabel,IF(AM588&gt;=80,SafetyLabel,IF(AM588&gt;=50,MatchLabel,IF(AM588&gt;=20,ReachLabel,IF(AM588&gt;=10,LongshotLabel,HailMaryLabel)))))),"Other")</f>
        <v>0</v>
      </c>
      <c r="AO588">
        <f>IF(OR(I588="accepted",I588="cond. accept",I588="summer admit"),IF(J588="yes","CHOICE!","Accepted!"),IF(I588="guar. transfer","Guar. Xfer",IF(I588="denied","Denied",IF(K588=1,"Waitlist",IF(L588=1,"Deferred",IF(G588="pending","Pending",IF(OR(G588="initial materials submitted",G588="mid-year submitted",G588="final submitted"),"Submitted",IF(H588="interest","Interest","?"))))))))</f>
        <v>0</v>
      </c>
      <c r="AP588">
        <f>IF(OR(AN588=ReachLabel,AN588=LongshotLabel,AN588=HailMaryLabel),1,0)</f>
        <v>0</v>
      </c>
      <c r="AQ588">
        <f>IF(OR(AP588=1,AN588=MatchLabel),1,0)</f>
        <v>0</v>
      </c>
      <c r="AR588">
        <f>IF(OR(AN588=MatchLabel,AN588=SafetyLabel,AN588=SecureLabel,AN588=SureThingLabel),1,0)</f>
        <v>0</v>
      </c>
      <c r="AS588">
        <f>IF(OR(W588="H",W588="B",W588="I",W588="M"),IF(ISNUMBER(AB588),ROUND(AB588,2),0),IF(ISNUMBER(AA588),ROUND(AA588,2),0))</f>
        <v>0</v>
      </c>
      <c r="AT588">
        <f>IF(AS588&gt;=X588,1,0)</f>
        <v>0</v>
      </c>
      <c r="AU588">
        <f>IF(AS588&gt;=Y588,1,0)</f>
        <v>0</v>
      </c>
      <c r="AV588">
        <f>IF(AS588&lt;(X588-0.10),1,0)</f>
        <v>0</v>
      </c>
      <c r="AW588">
        <f>1-AM588/100</f>
        <v>0</v>
      </c>
      <c r="AX588">
        <f>IF(AQ588=1,AW588,1)</f>
        <v>0</v>
      </c>
      <c r="AY588">
        <f>IF(AP588=1,AW588,1)</f>
        <v>0</v>
      </c>
      <c r="AZ588">
        <f>IF(AND(AT588=1,ISNUMBER(AW588)),$AW588,1)</f>
        <v>0</v>
      </c>
      <c r="BA588">
        <f>IF(AND(AU588=1,ISNUMBER(AW588)),$AW588,1)</f>
        <v>0</v>
      </c>
      <c r="BB588">
        <f>IF(ISNUMBER(AB588),INDEX(AllCollegeMoney, MATCH(N588,AllCollegeNCES,0)),0)</f>
        <v>0</v>
      </c>
      <c r="BC588">
        <f>IF(AND(AT588=1,ISNUMBER(AW588),BB588=1),$AW588,1)</f>
        <v>0</v>
      </c>
      <c r="BD588">
        <f>IF(AND(AU588=1,ISNUMBER(AW588),BB588=1),$AW588,1)</f>
        <v>0</v>
      </c>
      <c r="BE588">
        <f>IF(ISNUMBER(AB588),INDEX(AllCollegeILPub, MATCH(N588,AllCollegeNCES,0)),0)</f>
        <v>0</v>
      </c>
      <c r="BF588">
        <f>IF(AN588=ReachLabel,AS588,0)</f>
        <v>0</v>
      </c>
      <c r="BG588">
        <f>IF(AN588=MatchLabel,AS588,0)</f>
        <v>0</v>
      </c>
      <c r="BH588">
        <f>IF(AN588=SafetyLabel,AS588,0)</f>
        <v>0</v>
      </c>
      <c r="BI588">
        <f>IF(AN588=SecureLabel,AS588,0)</f>
        <v>0</v>
      </c>
      <c r="BJ588">
        <f>IF(AN588=SureThingLabel,AS588,0)</f>
        <v>0</v>
      </c>
      <c r="BK588">
        <f>MAX(BF588:BJ588)</f>
        <v>0</v>
      </c>
      <c r="BL588">
        <f>MAX(BG588:BJ588)</f>
        <v>0</v>
      </c>
      <c r="BM588">
        <f>MAX(BH588:BJ588)</f>
        <v>0</v>
      </c>
      <c r="BN588">
        <f>IF(AND(AN588=ReachLabel,BB588=1),AS588,0)</f>
        <v>0</v>
      </c>
      <c r="BO588">
        <f>IF(AND(AN588=MatchLabel,BB588=1),AS588,0)</f>
        <v>0</v>
      </c>
      <c r="BP588">
        <f>IF(AND(AN588=SafetyLabel,BB588=1),AS588,0)</f>
        <v>0</v>
      </c>
      <c r="BQ588">
        <f>IF(AND(AN588=SecureLabel,BB588=1),AS588,0)</f>
        <v>0</v>
      </c>
      <c r="BR588">
        <f>IF(AND(AN588=SureThingLabel,BB588=1),AS588,0)</f>
        <v>0</v>
      </c>
      <c r="BS588">
        <f>MAX(BN588:BR588)</f>
        <v>0</v>
      </c>
      <c r="BT588">
        <f>MAX(BO588:BR588)</f>
        <v>0</v>
      </c>
      <c r="BU588">
        <f>MAX(BP588:BR588)</f>
        <v>0</v>
      </c>
      <c r="BV588">
        <f>IF(ISNUMBER(AB588),INDEX(AllCollegeChicago, MATCH(N588,AllCollegeNCES,0))*BB588,0)</f>
        <v>0</v>
      </c>
      <c r="BW588">
        <f>IF(ISNUMBER(AB588),INDEX(AllCollegeMoneyCode, MATCH(N588,AllCollegeNCES,0)),"?")</f>
        <v>0</v>
      </c>
      <c r="BX588">
        <f>IF(OR(BW588="---",BW588="--",BW588="+/--",BW588="+/---"),1,0)</f>
        <v>0</v>
      </c>
      <c r="BY588">
        <f>BB588*AR588*AT588</f>
        <v>0</v>
      </c>
    </row>
    <row r="589" spans="1:77">
      <c r="A589" t="s">
        <v>96</v>
      </c>
      <c r="B589">
        <v>23560568</v>
      </c>
      <c r="C589" t="s">
        <v>270</v>
      </c>
      <c r="D589" t="s">
        <v>271</v>
      </c>
      <c r="E589" t="s">
        <v>446</v>
      </c>
      <c r="F589" t="s">
        <v>453</v>
      </c>
      <c r="G589" t="s">
        <v>448</v>
      </c>
      <c r="H589" t="s">
        <v>449</v>
      </c>
      <c r="I589" t="s">
        <v>450</v>
      </c>
      <c r="J589" t="s">
        <v>450</v>
      </c>
      <c r="K589">
        <v>0</v>
      </c>
      <c r="L589" t="s">
        <v>446</v>
      </c>
      <c r="M589" t="s">
        <v>454</v>
      </c>
      <c r="N589">
        <v>150774</v>
      </c>
      <c r="O589">
        <f>INDEX(Counselor,MATCH(B589,KidIDs,0))</f>
        <v>0</v>
      </c>
      <c r="P589">
        <f>INDEX(Advisors,MATCH(B589,KidIDs,0))</f>
        <v>0</v>
      </c>
      <c r="Q589">
        <f>INDEX(Cohort,MATCH(B589,KidIDs,0))</f>
        <v>0</v>
      </c>
      <c r="R589">
        <f>INDEX(AllCollegeBarrons,MATCH(N589,AllCollegeNCES,0))</f>
        <v>0</v>
      </c>
      <c r="S589">
        <f>INDEX(KidGPAs,MATCH(B589,KidIDs,0))</f>
        <v>0</v>
      </c>
      <c r="T589">
        <f>INDEX(KidSATs,MATCH(B589,KidIDs,0))</f>
        <v>0</v>
      </c>
      <c r="U589">
        <f>INDEX(Strats,MATCH(B589,KidIDs,0))</f>
        <v>0</v>
      </c>
      <c r="V589">
        <f>INDEX(KidRace,MATCH(B589,KidIDs,0))</f>
        <v>0</v>
      </c>
      <c r="W589">
        <f>IF(OR(V589="M",V589="I"),"H",IF(V589="P","A",V589))</f>
        <v>0</v>
      </c>
      <c r="X589">
        <f>INDEX(StudentTargets,MATCH(B589,KidIDs,0))</f>
        <v>0</v>
      </c>
      <c r="Y589">
        <f>INDEX(ReachStudentTargets,MATCH(B589,KidIDs,0))</f>
        <v>0</v>
      </c>
      <c r="Z589">
        <f>IF(OR(M589="Posse"),1,0)</f>
        <v>0</v>
      </c>
      <c r="AA589">
        <f>IF(ISNUMBER(INDEX(AllCollegeGR, MATCH(N589,AllCollegeNCES,0))),ROUND(INDEX(AllCollegeGR, MATCH(N589,AllCollegeNCES,0))+Z589*IF(INDEX(AllCollegeGR, MATCH(N589,AllCollegeNCES,0))&gt;0.7,(1-INDEX(AllCollegeGR, MATCH(N589,AllCollegeNCES,0)))/2,0.15),2),INDEX(AllCollegeGR, MATCH(N589,AllCollegeNCES,0)))</f>
        <v>0</v>
      </c>
      <c r="AB589">
        <f>IF(ISNUMBER(INDEX(AllCollegeAAHGR, MATCH(N589,AllCollegeNCES,0))),ROUND(INDEX(AllCollegeAAHGR, MATCH(N589,AllCollegeNCES,0))+Z589*IF(INDEX(AllCollegeAAHGR, MATCH(N589,AllCollegeNCES,0))&gt;0.7,(1-INDEX(AllCollegeAAHGR, MATCH(N589,AllCollegeNCES,0)))/2,0.15),2),INDEX(AllCollegeAAHGR, MATCH(N589,AllCollegeNCES,0)))</f>
        <v>0</v>
      </c>
      <c r="AC589">
        <f>IF(OR(W589="H",W589="B"),INDEX(AllCollegeSAT25, MATCH(N589,AllCollegeNCES,0)),INDEX(AllCollegeSAT50, MATCH(N589,AllCollegeNCES,0)))</f>
        <v>0</v>
      </c>
      <c r="AD589">
        <f>INDEX(CustomWeightsGPA,MATCH(W589&amp;":"&amp;N589,CustomWeightsIndex,0))</f>
        <v>0</v>
      </c>
      <c r="AE589">
        <f>INDEX(CustomWeightsSAT,MATCH(W589&amp;":"&amp;N589,CustomWeightsIndex,0))</f>
        <v>0</v>
      </c>
      <c r="AF589">
        <f>INDEX(CustomWeightsIntercept,MATCH(W589&amp;":"&amp;N589,CustomWeightsIndex,0))</f>
        <v>0</v>
      </c>
      <c r="AG589">
        <f>AD589*S589+AE589*T589+AF589</f>
        <v>0</v>
      </c>
      <c r="AH589">
        <f>INDEX(CoefficientsGPA,MATCH(W589&amp;":"&amp;R589,CoefficientsIndex,0))</f>
        <v>0</v>
      </c>
      <c r="AI589">
        <f>INDEX(CoefficientsSAT,MATCH(W589&amp;":"&amp;R589,CoefficientsIndex,0))</f>
        <v>0</v>
      </c>
      <c r="AJ589">
        <f>INDEX(CoefficientsIntercept,MATCH(W589&amp;":"&amp;R589,CoefficientsIndex,0))</f>
        <v>0</v>
      </c>
      <c r="AK589">
        <f>AH589*S589+(T589-AC589)*AI589+AJ589</f>
        <v>0</v>
      </c>
      <c r="AL589">
        <f>IF(ISNUMBER(AG589),AG589,AK589)</f>
        <v>0</v>
      </c>
      <c r="AM589">
        <f>IF(ISNUMBER(AL589),IF(ISNUMBER(AH589),IF(AND(AH589=1,AI589=1,AJ589=1),100,MIN(99,ROUND(100*EXP(AL589)/(1+EXP(AL589)),2))),MIN(99,ROUND(100*EXP(AL589)/(1+EXP(AL589)),2))),IF(ISTEXT(R589),IF(LEFT(R589,1)="2",100,"N/A"),"N/A"))</f>
        <v>0</v>
      </c>
      <c r="AN589">
        <f>IF(ISNUMBER(AM589),IF(AM589&gt;=99,IF(OR(U589=10,U589=11),MatchLabel,SureThingLabel),IF(AM589&gt;=95,SecureLabel,IF(AM589&gt;=80,SafetyLabel,IF(AM589&gt;=50,MatchLabel,IF(AM589&gt;=20,ReachLabel,IF(AM589&gt;=10,LongshotLabel,HailMaryLabel)))))),"Other")</f>
        <v>0</v>
      </c>
      <c r="AO589">
        <f>IF(OR(I589="accepted",I589="cond. accept",I589="summer admit"),IF(J589="yes","CHOICE!","Accepted!"),IF(I589="guar. transfer","Guar. Xfer",IF(I589="denied","Denied",IF(K589=1,"Waitlist",IF(L589=1,"Deferred",IF(G589="pending","Pending",IF(OR(G589="initial materials submitted",G589="mid-year submitted",G589="final submitted"),"Submitted",IF(H589="interest","Interest","?"))))))))</f>
        <v>0</v>
      </c>
      <c r="AP589">
        <f>IF(OR(AN589=ReachLabel,AN589=LongshotLabel,AN589=HailMaryLabel),1,0)</f>
        <v>0</v>
      </c>
      <c r="AQ589">
        <f>IF(OR(AP589=1,AN589=MatchLabel),1,0)</f>
        <v>0</v>
      </c>
      <c r="AR589">
        <f>IF(OR(AN589=MatchLabel,AN589=SafetyLabel,AN589=SecureLabel,AN589=SureThingLabel),1,0)</f>
        <v>0</v>
      </c>
      <c r="AS589">
        <f>IF(OR(W589="H",W589="B",W589="I",W589="M"),IF(ISNUMBER(AB589),ROUND(AB589,2),0),IF(ISNUMBER(AA589),ROUND(AA589,2),0))</f>
        <v>0</v>
      </c>
      <c r="AT589">
        <f>IF(AS589&gt;=X589,1,0)</f>
        <v>0</v>
      </c>
      <c r="AU589">
        <f>IF(AS589&gt;=Y589,1,0)</f>
        <v>0</v>
      </c>
      <c r="AV589">
        <f>IF(AS589&lt;(X589-0.10),1,0)</f>
        <v>0</v>
      </c>
      <c r="AW589">
        <f>1-AM589/100</f>
        <v>0</v>
      </c>
      <c r="AX589">
        <f>IF(AQ589=1,AW589,1)</f>
        <v>0</v>
      </c>
      <c r="AY589">
        <f>IF(AP589=1,AW589,1)</f>
        <v>0</v>
      </c>
      <c r="AZ589">
        <f>IF(AND(AT589=1,ISNUMBER(AW589)),$AW589,1)</f>
        <v>0</v>
      </c>
      <c r="BA589">
        <f>IF(AND(AU589=1,ISNUMBER(AW589)),$AW589,1)</f>
        <v>0</v>
      </c>
      <c r="BB589">
        <f>IF(ISNUMBER(AB589),INDEX(AllCollegeMoney, MATCH(N589,AllCollegeNCES,0)),0)</f>
        <v>0</v>
      </c>
      <c r="BC589">
        <f>IF(AND(AT589=1,ISNUMBER(AW589),BB589=1),$AW589,1)</f>
        <v>0</v>
      </c>
      <c r="BD589">
        <f>IF(AND(AU589=1,ISNUMBER(AW589),BB589=1),$AW589,1)</f>
        <v>0</v>
      </c>
      <c r="BE589">
        <f>IF(ISNUMBER(AB589),INDEX(AllCollegeILPub, MATCH(N589,AllCollegeNCES,0)),0)</f>
        <v>0</v>
      </c>
      <c r="BF589">
        <f>IF(AN589=ReachLabel,AS589,0)</f>
        <v>0</v>
      </c>
      <c r="BG589">
        <f>IF(AN589=MatchLabel,AS589,0)</f>
        <v>0</v>
      </c>
      <c r="BH589">
        <f>IF(AN589=SafetyLabel,AS589,0)</f>
        <v>0</v>
      </c>
      <c r="BI589">
        <f>IF(AN589=SecureLabel,AS589,0)</f>
        <v>0</v>
      </c>
      <c r="BJ589">
        <f>IF(AN589=SureThingLabel,AS589,0)</f>
        <v>0</v>
      </c>
      <c r="BK589">
        <f>MAX(BF589:BJ589)</f>
        <v>0</v>
      </c>
      <c r="BL589">
        <f>MAX(BG589:BJ589)</f>
        <v>0</v>
      </c>
      <c r="BM589">
        <f>MAX(BH589:BJ589)</f>
        <v>0</v>
      </c>
      <c r="BN589">
        <f>IF(AND(AN589=ReachLabel,BB589=1),AS589,0)</f>
        <v>0</v>
      </c>
      <c r="BO589">
        <f>IF(AND(AN589=MatchLabel,BB589=1),AS589,0)</f>
        <v>0</v>
      </c>
      <c r="BP589">
        <f>IF(AND(AN589=SafetyLabel,BB589=1),AS589,0)</f>
        <v>0</v>
      </c>
      <c r="BQ589">
        <f>IF(AND(AN589=SecureLabel,BB589=1),AS589,0)</f>
        <v>0</v>
      </c>
      <c r="BR589">
        <f>IF(AND(AN589=SureThingLabel,BB589=1),AS589,0)</f>
        <v>0</v>
      </c>
      <c r="BS589">
        <f>MAX(BN589:BR589)</f>
        <v>0</v>
      </c>
      <c r="BT589">
        <f>MAX(BO589:BR589)</f>
        <v>0</v>
      </c>
      <c r="BU589">
        <f>MAX(BP589:BR589)</f>
        <v>0</v>
      </c>
      <c r="BV589">
        <f>IF(ISNUMBER(AB589),INDEX(AllCollegeChicago, MATCH(N589,AllCollegeNCES,0))*BB589,0)</f>
        <v>0</v>
      </c>
      <c r="BW589">
        <f>IF(ISNUMBER(AB589),INDEX(AllCollegeMoneyCode, MATCH(N589,AllCollegeNCES,0)),"?")</f>
        <v>0</v>
      </c>
      <c r="BX589">
        <f>IF(OR(BW589="---",BW589="--",BW589="+/--",BW589="+/---"),1,0)</f>
        <v>0</v>
      </c>
      <c r="BY589">
        <f>BB589*AR589*AT589</f>
        <v>0</v>
      </c>
    </row>
    <row r="590" spans="1:77">
      <c r="A590" t="s">
        <v>96</v>
      </c>
      <c r="B590">
        <v>23560568</v>
      </c>
      <c r="C590" t="s">
        <v>270</v>
      </c>
      <c r="D590" t="s">
        <v>271</v>
      </c>
      <c r="E590" t="s">
        <v>446</v>
      </c>
      <c r="F590" t="s">
        <v>456</v>
      </c>
      <c r="G590" t="s">
        <v>479</v>
      </c>
      <c r="H590" t="s">
        <v>449</v>
      </c>
      <c r="I590" t="s">
        <v>450</v>
      </c>
      <c r="J590" t="s">
        <v>450</v>
      </c>
      <c r="K590">
        <v>0</v>
      </c>
      <c r="L590" t="s">
        <v>446</v>
      </c>
      <c r="M590" t="s">
        <v>446</v>
      </c>
      <c r="N590">
        <v>149772</v>
      </c>
      <c r="O590">
        <f>INDEX(Counselor,MATCH(B590,KidIDs,0))</f>
        <v>0</v>
      </c>
      <c r="P590">
        <f>INDEX(Advisors,MATCH(B590,KidIDs,0))</f>
        <v>0</v>
      </c>
      <c r="Q590">
        <f>INDEX(Cohort,MATCH(B590,KidIDs,0))</f>
        <v>0</v>
      </c>
      <c r="R590">
        <f>INDEX(AllCollegeBarrons,MATCH(N590,AllCollegeNCES,0))</f>
        <v>0</v>
      </c>
      <c r="S590">
        <f>INDEX(KidGPAs,MATCH(B590,KidIDs,0))</f>
        <v>0</v>
      </c>
      <c r="T590">
        <f>INDEX(KidSATs,MATCH(B590,KidIDs,0))</f>
        <v>0</v>
      </c>
      <c r="U590">
        <f>INDEX(Strats,MATCH(B590,KidIDs,0))</f>
        <v>0</v>
      </c>
      <c r="V590">
        <f>INDEX(KidRace,MATCH(B590,KidIDs,0))</f>
        <v>0</v>
      </c>
      <c r="W590">
        <f>IF(OR(V590="M",V590="I"),"H",IF(V590="P","A",V590))</f>
        <v>0</v>
      </c>
      <c r="X590">
        <f>INDEX(StudentTargets,MATCH(B590,KidIDs,0))</f>
        <v>0</v>
      </c>
      <c r="Y590">
        <f>INDEX(ReachStudentTargets,MATCH(B590,KidIDs,0))</f>
        <v>0</v>
      </c>
      <c r="Z590">
        <f>IF(OR(M590="Posse"),1,0)</f>
        <v>0</v>
      </c>
      <c r="AA590">
        <f>IF(ISNUMBER(INDEX(AllCollegeGR, MATCH(N590,AllCollegeNCES,0))),ROUND(INDEX(AllCollegeGR, MATCH(N590,AllCollegeNCES,0))+Z590*IF(INDEX(AllCollegeGR, MATCH(N590,AllCollegeNCES,0))&gt;0.7,(1-INDEX(AllCollegeGR, MATCH(N590,AllCollegeNCES,0)))/2,0.15),2),INDEX(AllCollegeGR, MATCH(N590,AllCollegeNCES,0)))</f>
        <v>0</v>
      </c>
      <c r="AB590">
        <f>IF(ISNUMBER(INDEX(AllCollegeAAHGR, MATCH(N590,AllCollegeNCES,0))),ROUND(INDEX(AllCollegeAAHGR, MATCH(N590,AllCollegeNCES,0))+Z590*IF(INDEX(AllCollegeAAHGR, MATCH(N590,AllCollegeNCES,0))&gt;0.7,(1-INDEX(AllCollegeAAHGR, MATCH(N590,AllCollegeNCES,0)))/2,0.15),2),INDEX(AllCollegeAAHGR, MATCH(N590,AllCollegeNCES,0)))</f>
        <v>0</v>
      </c>
      <c r="AC590">
        <f>IF(OR(W590="H",W590="B"),INDEX(AllCollegeSAT25, MATCH(N590,AllCollegeNCES,0)),INDEX(AllCollegeSAT50, MATCH(N590,AllCollegeNCES,0)))</f>
        <v>0</v>
      </c>
      <c r="AD590">
        <f>INDEX(CustomWeightsGPA,MATCH(W590&amp;":"&amp;N590,CustomWeightsIndex,0))</f>
        <v>0</v>
      </c>
      <c r="AE590">
        <f>INDEX(CustomWeightsSAT,MATCH(W590&amp;":"&amp;N590,CustomWeightsIndex,0))</f>
        <v>0</v>
      </c>
      <c r="AF590">
        <f>INDEX(CustomWeightsIntercept,MATCH(W590&amp;":"&amp;N590,CustomWeightsIndex,0))</f>
        <v>0</v>
      </c>
      <c r="AG590">
        <f>AD590*S590+AE590*T590+AF590</f>
        <v>0</v>
      </c>
      <c r="AH590">
        <f>INDEX(CoefficientsGPA,MATCH(W590&amp;":"&amp;R590,CoefficientsIndex,0))</f>
        <v>0</v>
      </c>
      <c r="AI590">
        <f>INDEX(CoefficientsSAT,MATCH(W590&amp;":"&amp;R590,CoefficientsIndex,0))</f>
        <v>0</v>
      </c>
      <c r="AJ590">
        <f>INDEX(CoefficientsIntercept,MATCH(W590&amp;":"&amp;R590,CoefficientsIndex,0))</f>
        <v>0</v>
      </c>
      <c r="AK590">
        <f>AH590*S590+(T590-AC590)*AI590+AJ590</f>
        <v>0</v>
      </c>
      <c r="AL590">
        <f>IF(ISNUMBER(AG590),AG590,AK590)</f>
        <v>0</v>
      </c>
      <c r="AM590">
        <f>IF(ISNUMBER(AL590),IF(ISNUMBER(AH590),IF(AND(AH590=1,AI590=1,AJ590=1),100,MIN(99,ROUND(100*EXP(AL590)/(1+EXP(AL590)),2))),MIN(99,ROUND(100*EXP(AL590)/(1+EXP(AL590)),2))),IF(ISTEXT(R590),IF(LEFT(R590,1)="2",100,"N/A"),"N/A"))</f>
        <v>0</v>
      </c>
      <c r="AN590">
        <f>IF(ISNUMBER(AM590),IF(AM590&gt;=99,IF(OR(U590=10,U590=11),MatchLabel,SureThingLabel),IF(AM590&gt;=95,SecureLabel,IF(AM590&gt;=80,SafetyLabel,IF(AM590&gt;=50,MatchLabel,IF(AM590&gt;=20,ReachLabel,IF(AM590&gt;=10,LongshotLabel,HailMaryLabel)))))),"Other")</f>
        <v>0</v>
      </c>
      <c r="AO590">
        <f>IF(OR(I590="accepted",I590="cond. accept",I590="summer admit"),IF(J590="yes","CHOICE!","Accepted!"),IF(I590="guar. transfer","Guar. Xfer",IF(I590="denied","Denied",IF(K590=1,"Waitlist",IF(L590=1,"Deferred",IF(G590="pending","Pending",IF(OR(G590="initial materials submitted",G590="mid-year submitted",G590="final submitted"),"Submitted",IF(H590="interest","Interest","?"))))))))</f>
        <v>0</v>
      </c>
      <c r="AP590">
        <f>IF(OR(AN590=ReachLabel,AN590=LongshotLabel,AN590=HailMaryLabel),1,0)</f>
        <v>0</v>
      </c>
      <c r="AQ590">
        <f>IF(OR(AP590=1,AN590=MatchLabel),1,0)</f>
        <v>0</v>
      </c>
      <c r="AR590">
        <f>IF(OR(AN590=MatchLabel,AN590=SafetyLabel,AN590=SecureLabel,AN590=SureThingLabel),1,0)</f>
        <v>0</v>
      </c>
      <c r="AS590">
        <f>IF(OR(W590="H",W590="B",W590="I",W590="M"),IF(ISNUMBER(AB590),ROUND(AB590,2),0),IF(ISNUMBER(AA590),ROUND(AA590,2),0))</f>
        <v>0</v>
      </c>
      <c r="AT590">
        <f>IF(AS590&gt;=X590,1,0)</f>
        <v>0</v>
      </c>
      <c r="AU590">
        <f>IF(AS590&gt;=Y590,1,0)</f>
        <v>0</v>
      </c>
      <c r="AV590">
        <f>IF(AS590&lt;(X590-0.10),1,0)</f>
        <v>0</v>
      </c>
      <c r="AW590">
        <f>1-AM590/100</f>
        <v>0</v>
      </c>
      <c r="AX590">
        <f>IF(AQ590=1,AW590,1)</f>
        <v>0</v>
      </c>
      <c r="AY590">
        <f>IF(AP590=1,AW590,1)</f>
        <v>0</v>
      </c>
      <c r="AZ590">
        <f>IF(AND(AT590=1,ISNUMBER(AW590)),$AW590,1)</f>
        <v>0</v>
      </c>
      <c r="BA590">
        <f>IF(AND(AU590=1,ISNUMBER(AW590)),$AW590,1)</f>
        <v>0</v>
      </c>
      <c r="BB590">
        <f>IF(ISNUMBER(AB590),INDEX(AllCollegeMoney, MATCH(N590,AllCollegeNCES,0)),0)</f>
        <v>0</v>
      </c>
      <c r="BC590">
        <f>IF(AND(AT590=1,ISNUMBER(AW590),BB590=1),$AW590,1)</f>
        <v>0</v>
      </c>
      <c r="BD590">
        <f>IF(AND(AU590=1,ISNUMBER(AW590),BB590=1),$AW590,1)</f>
        <v>0</v>
      </c>
      <c r="BE590">
        <f>IF(ISNUMBER(AB590),INDEX(AllCollegeILPub, MATCH(N590,AllCollegeNCES,0)),0)</f>
        <v>0</v>
      </c>
      <c r="BF590">
        <f>IF(AN590=ReachLabel,AS590,0)</f>
        <v>0</v>
      </c>
      <c r="BG590">
        <f>IF(AN590=MatchLabel,AS590,0)</f>
        <v>0</v>
      </c>
      <c r="BH590">
        <f>IF(AN590=SafetyLabel,AS590,0)</f>
        <v>0</v>
      </c>
      <c r="BI590">
        <f>IF(AN590=SecureLabel,AS590,0)</f>
        <v>0</v>
      </c>
      <c r="BJ590">
        <f>IF(AN590=SureThingLabel,AS590,0)</f>
        <v>0</v>
      </c>
      <c r="BK590">
        <f>MAX(BF590:BJ590)</f>
        <v>0</v>
      </c>
      <c r="BL590">
        <f>MAX(BG590:BJ590)</f>
        <v>0</v>
      </c>
      <c r="BM590">
        <f>MAX(BH590:BJ590)</f>
        <v>0</v>
      </c>
      <c r="BN590">
        <f>IF(AND(AN590=ReachLabel,BB590=1),AS590,0)</f>
        <v>0</v>
      </c>
      <c r="BO590">
        <f>IF(AND(AN590=MatchLabel,BB590=1),AS590,0)</f>
        <v>0</v>
      </c>
      <c r="BP590">
        <f>IF(AND(AN590=SafetyLabel,BB590=1),AS590,0)</f>
        <v>0</v>
      </c>
      <c r="BQ590">
        <f>IF(AND(AN590=SecureLabel,BB590=1),AS590,0)</f>
        <v>0</v>
      </c>
      <c r="BR590">
        <f>IF(AND(AN590=SureThingLabel,BB590=1),AS590,0)</f>
        <v>0</v>
      </c>
      <c r="BS590">
        <f>MAX(BN590:BR590)</f>
        <v>0</v>
      </c>
      <c r="BT590">
        <f>MAX(BO590:BR590)</f>
        <v>0</v>
      </c>
      <c r="BU590">
        <f>MAX(BP590:BR590)</f>
        <v>0</v>
      </c>
      <c r="BV590">
        <f>IF(ISNUMBER(AB590),INDEX(AllCollegeChicago, MATCH(N590,AllCollegeNCES,0))*BB590,0)</f>
        <v>0</v>
      </c>
      <c r="BW590">
        <f>IF(ISNUMBER(AB590),INDEX(AllCollegeMoneyCode, MATCH(N590,AllCollegeNCES,0)),"?")</f>
        <v>0</v>
      </c>
      <c r="BX590">
        <f>IF(OR(BW590="---",BW590="--",BW590="+/--",BW590="+/---"),1,0)</f>
        <v>0</v>
      </c>
      <c r="BY590">
        <f>BB590*AR590*AT590</f>
        <v>0</v>
      </c>
    </row>
    <row r="591" spans="1:77">
      <c r="A591" t="s">
        <v>96</v>
      </c>
      <c r="B591">
        <v>23560568</v>
      </c>
      <c r="C591" t="s">
        <v>270</v>
      </c>
      <c r="D591" t="s">
        <v>271</v>
      </c>
      <c r="E591" t="s">
        <v>446</v>
      </c>
      <c r="F591" t="s">
        <v>458</v>
      </c>
      <c r="G591" t="s">
        <v>448</v>
      </c>
      <c r="H591" t="s">
        <v>449</v>
      </c>
      <c r="I591" t="s">
        <v>450</v>
      </c>
      <c r="J591" t="s">
        <v>450</v>
      </c>
      <c r="K591">
        <v>0</v>
      </c>
      <c r="L591" t="s">
        <v>446</v>
      </c>
      <c r="M591" t="s">
        <v>446</v>
      </c>
      <c r="N591">
        <v>144892</v>
      </c>
      <c r="O591">
        <f>INDEX(Counselor,MATCH(B591,KidIDs,0))</f>
        <v>0</v>
      </c>
      <c r="P591">
        <f>INDEX(Advisors,MATCH(B591,KidIDs,0))</f>
        <v>0</v>
      </c>
      <c r="Q591">
        <f>INDEX(Cohort,MATCH(B591,KidIDs,0))</f>
        <v>0</v>
      </c>
      <c r="R591">
        <f>INDEX(AllCollegeBarrons,MATCH(N591,AllCollegeNCES,0))</f>
        <v>0</v>
      </c>
      <c r="S591">
        <f>INDEX(KidGPAs,MATCH(B591,KidIDs,0))</f>
        <v>0</v>
      </c>
      <c r="T591">
        <f>INDEX(KidSATs,MATCH(B591,KidIDs,0))</f>
        <v>0</v>
      </c>
      <c r="U591">
        <f>INDEX(Strats,MATCH(B591,KidIDs,0))</f>
        <v>0</v>
      </c>
      <c r="V591">
        <f>INDEX(KidRace,MATCH(B591,KidIDs,0))</f>
        <v>0</v>
      </c>
      <c r="W591">
        <f>IF(OR(V591="M",V591="I"),"H",IF(V591="P","A",V591))</f>
        <v>0</v>
      </c>
      <c r="X591">
        <f>INDEX(StudentTargets,MATCH(B591,KidIDs,0))</f>
        <v>0</v>
      </c>
      <c r="Y591">
        <f>INDEX(ReachStudentTargets,MATCH(B591,KidIDs,0))</f>
        <v>0</v>
      </c>
      <c r="Z591">
        <f>IF(OR(M591="Posse"),1,0)</f>
        <v>0</v>
      </c>
      <c r="AA591">
        <f>IF(ISNUMBER(INDEX(AllCollegeGR, MATCH(N591,AllCollegeNCES,0))),ROUND(INDEX(AllCollegeGR, MATCH(N591,AllCollegeNCES,0))+Z591*IF(INDEX(AllCollegeGR, MATCH(N591,AllCollegeNCES,0))&gt;0.7,(1-INDEX(AllCollegeGR, MATCH(N591,AllCollegeNCES,0)))/2,0.15),2),INDEX(AllCollegeGR, MATCH(N591,AllCollegeNCES,0)))</f>
        <v>0</v>
      </c>
      <c r="AB591">
        <f>IF(ISNUMBER(INDEX(AllCollegeAAHGR, MATCH(N591,AllCollegeNCES,0))),ROUND(INDEX(AllCollegeAAHGR, MATCH(N591,AllCollegeNCES,0))+Z591*IF(INDEX(AllCollegeAAHGR, MATCH(N591,AllCollegeNCES,0))&gt;0.7,(1-INDEX(AllCollegeAAHGR, MATCH(N591,AllCollegeNCES,0)))/2,0.15),2),INDEX(AllCollegeAAHGR, MATCH(N591,AllCollegeNCES,0)))</f>
        <v>0</v>
      </c>
      <c r="AC591">
        <f>IF(OR(W591="H",W591="B"),INDEX(AllCollegeSAT25, MATCH(N591,AllCollegeNCES,0)),INDEX(AllCollegeSAT50, MATCH(N591,AllCollegeNCES,0)))</f>
        <v>0</v>
      </c>
      <c r="AD591">
        <f>INDEX(CustomWeightsGPA,MATCH(W591&amp;":"&amp;N591,CustomWeightsIndex,0))</f>
        <v>0</v>
      </c>
      <c r="AE591">
        <f>INDEX(CustomWeightsSAT,MATCH(W591&amp;":"&amp;N591,CustomWeightsIndex,0))</f>
        <v>0</v>
      </c>
      <c r="AF591">
        <f>INDEX(CustomWeightsIntercept,MATCH(W591&amp;":"&amp;N591,CustomWeightsIndex,0))</f>
        <v>0</v>
      </c>
      <c r="AG591">
        <f>AD591*S591+AE591*T591+AF591</f>
        <v>0</v>
      </c>
      <c r="AH591">
        <f>INDEX(CoefficientsGPA,MATCH(W591&amp;":"&amp;R591,CoefficientsIndex,0))</f>
        <v>0</v>
      </c>
      <c r="AI591">
        <f>INDEX(CoefficientsSAT,MATCH(W591&amp;":"&amp;R591,CoefficientsIndex,0))</f>
        <v>0</v>
      </c>
      <c r="AJ591">
        <f>INDEX(CoefficientsIntercept,MATCH(W591&amp;":"&amp;R591,CoefficientsIndex,0))</f>
        <v>0</v>
      </c>
      <c r="AK591">
        <f>AH591*S591+(T591-AC591)*AI591+AJ591</f>
        <v>0</v>
      </c>
      <c r="AL591">
        <f>IF(ISNUMBER(AG591),AG591,AK591)</f>
        <v>0</v>
      </c>
      <c r="AM591">
        <f>IF(ISNUMBER(AL591),IF(ISNUMBER(AH591),IF(AND(AH591=1,AI591=1,AJ591=1),100,MIN(99,ROUND(100*EXP(AL591)/(1+EXP(AL591)),2))),MIN(99,ROUND(100*EXP(AL591)/(1+EXP(AL591)),2))),IF(ISTEXT(R591),IF(LEFT(R591,1)="2",100,"N/A"),"N/A"))</f>
        <v>0</v>
      </c>
      <c r="AN591">
        <f>IF(ISNUMBER(AM591),IF(AM591&gt;=99,IF(OR(U591=10,U591=11),MatchLabel,SureThingLabel),IF(AM591&gt;=95,SecureLabel,IF(AM591&gt;=80,SafetyLabel,IF(AM591&gt;=50,MatchLabel,IF(AM591&gt;=20,ReachLabel,IF(AM591&gt;=10,LongshotLabel,HailMaryLabel)))))),"Other")</f>
        <v>0</v>
      </c>
      <c r="AO591">
        <f>IF(OR(I591="accepted",I591="cond. accept",I591="summer admit"),IF(J591="yes","CHOICE!","Accepted!"),IF(I591="guar. transfer","Guar. Xfer",IF(I591="denied","Denied",IF(K591=1,"Waitlist",IF(L591=1,"Deferred",IF(G591="pending","Pending",IF(OR(G591="initial materials submitted",G591="mid-year submitted",G591="final submitted"),"Submitted",IF(H591="interest","Interest","?"))))))))</f>
        <v>0</v>
      </c>
      <c r="AP591">
        <f>IF(OR(AN591=ReachLabel,AN591=LongshotLabel,AN591=HailMaryLabel),1,0)</f>
        <v>0</v>
      </c>
      <c r="AQ591">
        <f>IF(OR(AP591=1,AN591=MatchLabel),1,0)</f>
        <v>0</v>
      </c>
      <c r="AR591">
        <f>IF(OR(AN591=MatchLabel,AN591=SafetyLabel,AN591=SecureLabel,AN591=SureThingLabel),1,0)</f>
        <v>0</v>
      </c>
      <c r="AS591">
        <f>IF(OR(W591="H",W591="B",W591="I",W591="M"),IF(ISNUMBER(AB591),ROUND(AB591,2),0),IF(ISNUMBER(AA591),ROUND(AA591,2),0))</f>
        <v>0</v>
      </c>
      <c r="AT591">
        <f>IF(AS591&gt;=X591,1,0)</f>
        <v>0</v>
      </c>
      <c r="AU591">
        <f>IF(AS591&gt;=Y591,1,0)</f>
        <v>0</v>
      </c>
      <c r="AV591">
        <f>IF(AS591&lt;(X591-0.10),1,0)</f>
        <v>0</v>
      </c>
      <c r="AW591">
        <f>1-AM591/100</f>
        <v>0</v>
      </c>
      <c r="AX591">
        <f>IF(AQ591=1,AW591,1)</f>
        <v>0</v>
      </c>
      <c r="AY591">
        <f>IF(AP591=1,AW591,1)</f>
        <v>0</v>
      </c>
      <c r="AZ591">
        <f>IF(AND(AT591=1,ISNUMBER(AW591)),$AW591,1)</f>
        <v>0</v>
      </c>
      <c r="BA591">
        <f>IF(AND(AU591=1,ISNUMBER(AW591)),$AW591,1)</f>
        <v>0</v>
      </c>
      <c r="BB591">
        <f>IF(ISNUMBER(AB591),INDEX(AllCollegeMoney, MATCH(N591,AllCollegeNCES,0)),0)</f>
        <v>0</v>
      </c>
      <c r="BC591">
        <f>IF(AND(AT591=1,ISNUMBER(AW591),BB591=1),$AW591,1)</f>
        <v>0</v>
      </c>
      <c r="BD591">
        <f>IF(AND(AU591=1,ISNUMBER(AW591),BB591=1),$AW591,1)</f>
        <v>0</v>
      </c>
      <c r="BE591">
        <f>IF(ISNUMBER(AB591),INDEX(AllCollegeILPub, MATCH(N591,AllCollegeNCES,0)),0)</f>
        <v>0</v>
      </c>
      <c r="BF591">
        <f>IF(AN591=ReachLabel,AS591,0)</f>
        <v>0</v>
      </c>
      <c r="BG591">
        <f>IF(AN591=MatchLabel,AS591,0)</f>
        <v>0</v>
      </c>
      <c r="BH591">
        <f>IF(AN591=SafetyLabel,AS591,0)</f>
        <v>0</v>
      </c>
      <c r="BI591">
        <f>IF(AN591=SecureLabel,AS591,0)</f>
        <v>0</v>
      </c>
      <c r="BJ591">
        <f>IF(AN591=SureThingLabel,AS591,0)</f>
        <v>0</v>
      </c>
      <c r="BK591">
        <f>MAX(BF591:BJ591)</f>
        <v>0</v>
      </c>
      <c r="BL591">
        <f>MAX(BG591:BJ591)</f>
        <v>0</v>
      </c>
      <c r="BM591">
        <f>MAX(BH591:BJ591)</f>
        <v>0</v>
      </c>
      <c r="BN591">
        <f>IF(AND(AN591=ReachLabel,BB591=1),AS591,0)</f>
        <v>0</v>
      </c>
      <c r="BO591">
        <f>IF(AND(AN591=MatchLabel,BB591=1),AS591,0)</f>
        <v>0</v>
      </c>
      <c r="BP591">
        <f>IF(AND(AN591=SafetyLabel,BB591=1),AS591,0)</f>
        <v>0</v>
      </c>
      <c r="BQ591">
        <f>IF(AND(AN591=SecureLabel,BB591=1),AS591,0)</f>
        <v>0</v>
      </c>
      <c r="BR591">
        <f>IF(AND(AN591=SureThingLabel,BB591=1),AS591,0)</f>
        <v>0</v>
      </c>
      <c r="BS591">
        <f>MAX(BN591:BR591)</f>
        <v>0</v>
      </c>
      <c r="BT591">
        <f>MAX(BO591:BR591)</f>
        <v>0</v>
      </c>
      <c r="BU591">
        <f>MAX(BP591:BR591)</f>
        <v>0</v>
      </c>
      <c r="BV591">
        <f>IF(ISNUMBER(AB591),INDEX(AllCollegeChicago, MATCH(N591,AllCollegeNCES,0))*BB591,0)</f>
        <v>0</v>
      </c>
      <c r="BW591">
        <f>IF(ISNUMBER(AB591),INDEX(AllCollegeMoneyCode, MATCH(N591,AllCollegeNCES,0)),"?")</f>
        <v>0</v>
      </c>
      <c r="BX591">
        <f>IF(OR(BW591="---",BW591="--",BW591="+/--",BW591="+/---"),1,0)</f>
        <v>0</v>
      </c>
      <c r="BY591">
        <f>BB591*AR591*AT591</f>
        <v>0</v>
      </c>
    </row>
    <row r="592" spans="1:77">
      <c r="A592" t="s">
        <v>96</v>
      </c>
      <c r="B592">
        <v>23759127</v>
      </c>
      <c r="C592" t="s">
        <v>175</v>
      </c>
      <c r="D592" t="s">
        <v>176</v>
      </c>
      <c r="E592" t="s">
        <v>446</v>
      </c>
      <c r="F592" t="s">
        <v>486</v>
      </c>
      <c r="G592" t="s">
        <v>448</v>
      </c>
      <c r="H592" t="s">
        <v>449</v>
      </c>
      <c r="I592" t="s">
        <v>450</v>
      </c>
      <c r="J592" t="s">
        <v>450</v>
      </c>
      <c r="K592">
        <v>0</v>
      </c>
      <c r="L592" t="s">
        <v>446</v>
      </c>
      <c r="M592" t="s">
        <v>446</v>
      </c>
      <c r="N592">
        <v>206589</v>
      </c>
      <c r="O592">
        <f>INDEX(Counselor,MATCH(B592,KidIDs,0))</f>
        <v>0</v>
      </c>
      <c r="P592">
        <f>INDEX(Advisors,MATCH(B592,KidIDs,0))</f>
        <v>0</v>
      </c>
      <c r="Q592">
        <f>INDEX(Cohort,MATCH(B592,KidIDs,0))</f>
        <v>0</v>
      </c>
      <c r="R592">
        <f>INDEX(AllCollegeBarrons,MATCH(N592,AllCollegeNCES,0))</f>
        <v>0</v>
      </c>
      <c r="S592">
        <f>INDEX(KidGPAs,MATCH(B592,KidIDs,0))</f>
        <v>0</v>
      </c>
      <c r="T592">
        <f>INDEX(KidSATs,MATCH(B592,KidIDs,0))</f>
        <v>0</v>
      </c>
      <c r="U592">
        <f>INDEX(Strats,MATCH(B592,KidIDs,0))</f>
        <v>0</v>
      </c>
      <c r="V592">
        <f>INDEX(KidRace,MATCH(B592,KidIDs,0))</f>
        <v>0</v>
      </c>
      <c r="W592">
        <f>IF(OR(V592="M",V592="I"),"H",IF(V592="P","A",V592))</f>
        <v>0</v>
      </c>
      <c r="X592">
        <f>INDEX(StudentTargets,MATCH(B592,KidIDs,0))</f>
        <v>0</v>
      </c>
      <c r="Y592">
        <f>INDEX(ReachStudentTargets,MATCH(B592,KidIDs,0))</f>
        <v>0</v>
      </c>
      <c r="Z592">
        <f>IF(OR(M592="Posse"),1,0)</f>
        <v>0</v>
      </c>
      <c r="AA592">
        <f>IF(ISNUMBER(INDEX(AllCollegeGR, MATCH(N592,AllCollegeNCES,0))),ROUND(INDEX(AllCollegeGR, MATCH(N592,AllCollegeNCES,0))+Z592*IF(INDEX(AllCollegeGR, MATCH(N592,AllCollegeNCES,0))&gt;0.7,(1-INDEX(AllCollegeGR, MATCH(N592,AllCollegeNCES,0)))/2,0.15),2),INDEX(AllCollegeGR, MATCH(N592,AllCollegeNCES,0)))</f>
        <v>0</v>
      </c>
      <c r="AB592">
        <f>IF(ISNUMBER(INDEX(AllCollegeAAHGR, MATCH(N592,AllCollegeNCES,0))),ROUND(INDEX(AllCollegeAAHGR, MATCH(N592,AllCollegeNCES,0))+Z592*IF(INDEX(AllCollegeAAHGR, MATCH(N592,AllCollegeNCES,0))&gt;0.7,(1-INDEX(AllCollegeAAHGR, MATCH(N592,AllCollegeNCES,0)))/2,0.15),2),INDEX(AllCollegeAAHGR, MATCH(N592,AllCollegeNCES,0)))</f>
        <v>0</v>
      </c>
      <c r="AC592">
        <f>IF(OR(W592="H",W592="B"),INDEX(AllCollegeSAT25, MATCH(N592,AllCollegeNCES,0)),INDEX(AllCollegeSAT50, MATCH(N592,AllCollegeNCES,0)))</f>
        <v>0</v>
      </c>
      <c r="AD592">
        <f>INDEX(CustomWeightsGPA,MATCH(W592&amp;":"&amp;N592,CustomWeightsIndex,0))</f>
        <v>0</v>
      </c>
      <c r="AE592">
        <f>INDEX(CustomWeightsSAT,MATCH(W592&amp;":"&amp;N592,CustomWeightsIndex,0))</f>
        <v>0</v>
      </c>
      <c r="AF592">
        <f>INDEX(CustomWeightsIntercept,MATCH(W592&amp;":"&amp;N592,CustomWeightsIndex,0))</f>
        <v>0</v>
      </c>
      <c r="AG592">
        <f>AD592*S592+AE592*T592+AF592</f>
        <v>0</v>
      </c>
      <c r="AH592">
        <f>INDEX(CoefficientsGPA,MATCH(W592&amp;":"&amp;R592,CoefficientsIndex,0))</f>
        <v>0</v>
      </c>
      <c r="AI592">
        <f>INDEX(CoefficientsSAT,MATCH(W592&amp;":"&amp;R592,CoefficientsIndex,0))</f>
        <v>0</v>
      </c>
      <c r="AJ592">
        <f>INDEX(CoefficientsIntercept,MATCH(W592&amp;":"&amp;R592,CoefficientsIndex,0))</f>
        <v>0</v>
      </c>
      <c r="AK592">
        <f>AH592*S592+(T592-AC592)*AI592+AJ592</f>
        <v>0</v>
      </c>
      <c r="AL592">
        <f>IF(ISNUMBER(AG592),AG592,AK592)</f>
        <v>0</v>
      </c>
      <c r="AM592">
        <f>IF(ISNUMBER(AL592),IF(ISNUMBER(AH592),IF(AND(AH592=1,AI592=1,AJ592=1),100,MIN(99,ROUND(100*EXP(AL592)/(1+EXP(AL592)),2))),MIN(99,ROUND(100*EXP(AL592)/(1+EXP(AL592)),2))),IF(ISTEXT(R592),IF(LEFT(R592,1)="2",100,"N/A"),"N/A"))</f>
        <v>0</v>
      </c>
      <c r="AN592">
        <f>IF(ISNUMBER(AM592),IF(AM592&gt;=99,IF(OR(U592=10,U592=11),MatchLabel,SureThingLabel),IF(AM592&gt;=95,SecureLabel,IF(AM592&gt;=80,SafetyLabel,IF(AM592&gt;=50,MatchLabel,IF(AM592&gt;=20,ReachLabel,IF(AM592&gt;=10,LongshotLabel,HailMaryLabel)))))),"Other")</f>
        <v>0</v>
      </c>
      <c r="AO592">
        <f>IF(OR(I592="accepted",I592="cond. accept",I592="summer admit"),IF(J592="yes","CHOICE!","Accepted!"),IF(I592="guar. transfer","Guar. Xfer",IF(I592="denied","Denied",IF(K592=1,"Waitlist",IF(L592=1,"Deferred",IF(G592="pending","Pending",IF(OR(G592="initial materials submitted",G592="mid-year submitted",G592="final submitted"),"Submitted",IF(H592="interest","Interest","?"))))))))</f>
        <v>0</v>
      </c>
      <c r="AP592">
        <f>IF(OR(AN592=ReachLabel,AN592=LongshotLabel,AN592=HailMaryLabel),1,0)</f>
        <v>0</v>
      </c>
      <c r="AQ592">
        <f>IF(OR(AP592=1,AN592=MatchLabel),1,0)</f>
        <v>0</v>
      </c>
      <c r="AR592">
        <f>IF(OR(AN592=MatchLabel,AN592=SafetyLabel,AN592=SecureLabel,AN592=SureThingLabel),1,0)</f>
        <v>0</v>
      </c>
      <c r="AS592">
        <f>IF(OR(W592="H",W592="B",W592="I",W592="M"),IF(ISNUMBER(AB592),ROUND(AB592,2),0),IF(ISNUMBER(AA592),ROUND(AA592,2),0))</f>
        <v>0</v>
      </c>
      <c r="AT592">
        <f>IF(AS592&gt;=X592,1,0)</f>
        <v>0</v>
      </c>
      <c r="AU592">
        <f>IF(AS592&gt;=Y592,1,0)</f>
        <v>0</v>
      </c>
      <c r="AV592">
        <f>IF(AS592&lt;(X592-0.10),1,0)</f>
        <v>0</v>
      </c>
      <c r="AW592">
        <f>1-AM592/100</f>
        <v>0</v>
      </c>
      <c r="AX592">
        <f>IF(AQ592=1,AW592,1)</f>
        <v>0</v>
      </c>
      <c r="AY592">
        <f>IF(AP592=1,AW592,1)</f>
        <v>0</v>
      </c>
      <c r="AZ592">
        <f>IF(AND(AT592=1,ISNUMBER(AW592)),$AW592,1)</f>
        <v>0</v>
      </c>
      <c r="BA592">
        <f>IF(AND(AU592=1,ISNUMBER(AW592)),$AW592,1)</f>
        <v>0</v>
      </c>
      <c r="BB592">
        <f>IF(ISNUMBER(AB592),INDEX(AllCollegeMoney, MATCH(N592,AllCollegeNCES,0)),0)</f>
        <v>0</v>
      </c>
      <c r="BC592">
        <f>IF(AND(AT592=1,ISNUMBER(AW592),BB592=1),$AW592,1)</f>
        <v>0</v>
      </c>
      <c r="BD592">
        <f>IF(AND(AU592=1,ISNUMBER(AW592),BB592=1),$AW592,1)</f>
        <v>0</v>
      </c>
      <c r="BE592">
        <f>IF(ISNUMBER(AB592),INDEX(AllCollegeILPub, MATCH(N592,AllCollegeNCES,0)),0)</f>
        <v>0</v>
      </c>
      <c r="BF592">
        <f>IF(AN592=ReachLabel,AS592,0)</f>
        <v>0</v>
      </c>
      <c r="BG592">
        <f>IF(AN592=MatchLabel,AS592,0)</f>
        <v>0</v>
      </c>
      <c r="BH592">
        <f>IF(AN592=SafetyLabel,AS592,0)</f>
        <v>0</v>
      </c>
      <c r="BI592">
        <f>IF(AN592=SecureLabel,AS592,0)</f>
        <v>0</v>
      </c>
      <c r="BJ592">
        <f>IF(AN592=SureThingLabel,AS592,0)</f>
        <v>0</v>
      </c>
      <c r="BK592">
        <f>MAX(BF592:BJ592)</f>
        <v>0</v>
      </c>
      <c r="BL592">
        <f>MAX(BG592:BJ592)</f>
        <v>0</v>
      </c>
      <c r="BM592">
        <f>MAX(BH592:BJ592)</f>
        <v>0</v>
      </c>
      <c r="BN592">
        <f>IF(AND(AN592=ReachLabel,BB592=1),AS592,0)</f>
        <v>0</v>
      </c>
      <c r="BO592">
        <f>IF(AND(AN592=MatchLabel,BB592=1),AS592,0)</f>
        <v>0</v>
      </c>
      <c r="BP592">
        <f>IF(AND(AN592=SafetyLabel,BB592=1),AS592,0)</f>
        <v>0</v>
      </c>
      <c r="BQ592">
        <f>IF(AND(AN592=SecureLabel,BB592=1),AS592,0)</f>
        <v>0</v>
      </c>
      <c r="BR592">
        <f>IF(AND(AN592=SureThingLabel,BB592=1),AS592,0)</f>
        <v>0</v>
      </c>
      <c r="BS592">
        <f>MAX(BN592:BR592)</f>
        <v>0</v>
      </c>
      <c r="BT592">
        <f>MAX(BO592:BR592)</f>
        <v>0</v>
      </c>
      <c r="BU592">
        <f>MAX(BP592:BR592)</f>
        <v>0</v>
      </c>
      <c r="BV592">
        <f>IF(ISNUMBER(AB592),INDEX(AllCollegeChicago, MATCH(N592,AllCollegeNCES,0))*BB592,0)</f>
        <v>0</v>
      </c>
      <c r="BW592">
        <f>IF(ISNUMBER(AB592),INDEX(AllCollegeMoneyCode, MATCH(N592,AllCollegeNCES,0)),"?")</f>
        <v>0</v>
      </c>
      <c r="BX592">
        <f>IF(OR(BW592="---",BW592="--",BW592="+/--",BW592="+/---"),1,0)</f>
        <v>0</v>
      </c>
      <c r="BY592">
        <f>BB592*AR592*AT592</f>
        <v>0</v>
      </c>
    </row>
    <row r="593" spans="1:77">
      <c r="A593" t="s">
        <v>96</v>
      </c>
      <c r="B593">
        <v>23759127</v>
      </c>
      <c r="C593" t="s">
        <v>175</v>
      </c>
      <c r="D593" t="s">
        <v>176</v>
      </c>
      <c r="E593" t="s">
        <v>446</v>
      </c>
      <c r="F593" t="s">
        <v>475</v>
      </c>
      <c r="G593" t="s">
        <v>448</v>
      </c>
      <c r="H593" t="s">
        <v>449</v>
      </c>
      <c r="I593" t="s">
        <v>450</v>
      </c>
      <c r="J593" t="s">
        <v>450</v>
      </c>
      <c r="K593">
        <v>0</v>
      </c>
      <c r="L593" t="s">
        <v>446</v>
      </c>
      <c r="M593" t="s">
        <v>446</v>
      </c>
      <c r="N593">
        <v>145637</v>
      </c>
      <c r="O593">
        <f>INDEX(Counselor,MATCH(B593,KidIDs,0))</f>
        <v>0</v>
      </c>
      <c r="P593">
        <f>INDEX(Advisors,MATCH(B593,KidIDs,0))</f>
        <v>0</v>
      </c>
      <c r="Q593">
        <f>INDEX(Cohort,MATCH(B593,KidIDs,0))</f>
        <v>0</v>
      </c>
      <c r="R593">
        <f>INDEX(AllCollegeBarrons,MATCH(N593,AllCollegeNCES,0))</f>
        <v>0</v>
      </c>
      <c r="S593">
        <f>INDEX(KidGPAs,MATCH(B593,KidIDs,0))</f>
        <v>0</v>
      </c>
      <c r="T593">
        <f>INDEX(KidSATs,MATCH(B593,KidIDs,0))</f>
        <v>0</v>
      </c>
      <c r="U593">
        <f>INDEX(Strats,MATCH(B593,KidIDs,0))</f>
        <v>0</v>
      </c>
      <c r="V593">
        <f>INDEX(KidRace,MATCH(B593,KidIDs,0))</f>
        <v>0</v>
      </c>
      <c r="W593">
        <f>IF(OR(V593="M",V593="I"),"H",IF(V593="P","A",V593))</f>
        <v>0</v>
      </c>
      <c r="X593">
        <f>INDEX(StudentTargets,MATCH(B593,KidIDs,0))</f>
        <v>0</v>
      </c>
      <c r="Y593">
        <f>INDEX(ReachStudentTargets,MATCH(B593,KidIDs,0))</f>
        <v>0</v>
      </c>
      <c r="Z593">
        <f>IF(OR(M593="Posse"),1,0)</f>
        <v>0</v>
      </c>
      <c r="AA593">
        <f>IF(ISNUMBER(INDEX(AllCollegeGR, MATCH(N593,AllCollegeNCES,0))),ROUND(INDEX(AllCollegeGR, MATCH(N593,AllCollegeNCES,0))+Z593*IF(INDEX(AllCollegeGR, MATCH(N593,AllCollegeNCES,0))&gt;0.7,(1-INDEX(AllCollegeGR, MATCH(N593,AllCollegeNCES,0)))/2,0.15),2),INDEX(AllCollegeGR, MATCH(N593,AllCollegeNCES,0)))</f>
        <v>0</v>
      </c>
      <c r="AB593">
        <f>IF(ISNUMBER(INDEX(AllCollegeAAHGR, MATCH(N593,AllCollegeNCES,0))),ROUND(INDEX(AllCollegeAAHGR, MATCH(N593,AllCollegeNCES,0))+Z593*IF(INDEX(AllCollegeAAHGR, MATCH(N593,AllCollegeNCES,0))&gt;0.7,(1-INDEX(AllCollegeAAHGR, MATCH(N593,AllCollegeNCES,0)))/2,0.15),2),INDEX(AllCollegeAAHGR, MATCH(N593,AllCollegeNCES,0)))</f>
        <v>0</v>
      </c>
      <c r="AC593">
        <f>IF(OR(W593="H",W593="B"),INDEX(AllCollegeSAT25, MATCH(N593,AllCollegeNCES,0)),INDEX(AllCollegeSAT50, MATCH(N593,AllCollegeNCES,0)))</f>
        <v>0</v>
      </c>
      <c r="AD593">
        <f>INDEX(CustomWeightsGPA,MATCH(W593&amp;":"&amp;N593,CustomWeightsIndex,0))</f>
        <v>0</v>
      </c>
      <c r="AE593">
        <f>INDEX(CustomWeightsSAT,MATCH(W593&amp;":"&amp;N593,CustomWeightsIndex,0))</f>
        <v>0</v>
      </c>
      <c r="AF593">
        <f>INDEX(CustomWeightsIntercept,MATCH(W593&amp;":"&amp;N593,CustomWeightsIndex,0))</f>
        <v>0</v>
      </c>
      <c r="AG593">
        <f>AD593*S593+AE593*T593+AF593</f>
        <v>0</v>
      </c>
      <c r="AH593">
        <f>INDEX(CoefficientsGPA,MATCH(W593&amp;":"&amp;R593,CoefficientsIndex,0))</f>
        <v>0</v>
      </c>
      <c r="AI593">
        <f>INDEX(CoefficientsSAT,MATCH(W593&amp;":"&amp;R593,CoefficientsIndex,0))</f>
        <v>0</v>
      </c>
      <c r="AJ593">
        <f>INDEX(CoefficientsIntercept,MATCH(W593&amp;":"&amp;R593,CoefficientsIndex,0))</f>
        <v>0</v>
      </c>
      <c r="AK593">
        <f>AH593*S593+(T593-AC593)*AI593+AJ593</f>
        <v>0</v>
      </c>
      <c r="AL593">
        <f>IF(ISNUMBER(AG593),AG593,AK593)</f>
        <v>0</v>
      </c>
      <c r="AM593">
        <f>IF(ISNUMBER(AL593),IF(ISNUMBER(AH593),IF(AND(AH593=1,AI593=1,AJ593=1),100,MIN(99,ROUND(100*EXP(AL593)/(1+EXP(AL593)),2))),MIN(99,ROUND(100*EXP(AL593)/(1+EXP(AL593)),2))),IF(ISTEXT(R593),IF(LEFT(R593,1)="2",100,"N/A"),"N/A"))</f>
        <v>0</v>
      </c>
      <c r="AN593">
        <f>IF(ISNUMBER(AM593),IF(AM593&gt;=99,IF(OR(U593=10,U593=11),MatchLabel,SureThingLabel),IF(AM593&gt;=95,SecureLabel,IF(AM593&gt;=80,SafetyLabel,IF(AM593&gt;=50,MatchLabel,IF(AM593&gt;=20,ReachLabel,IF(AM593&gt;=10,LongshotLabel,HailMaryLabel)))))),"Other")</f>
        <v>0</v>
      </c>
      <c r="AO593">
        <f>IF(OR(I593="accepted",I593="cond. accept",I593="summer admit"),IF(J593="yes","CHOICE!","Accepted!"),IF(I593="guar. transfer","Guar. Xfer",IF(I593="denied","Denied",IF(K593=1,"Waitlist",IF(L593=1,"Deferred",IF(G593="pending","Pending",IF(OR(G593="initial materials submitted",G593="mid-year submitted",G593="final submitted"),"Submitted",IF(H593="interest","Interest","?"))))))))</f>
        <v>0</v>
      </c>
      <c r="AP593">
        <f>IF(OR(AN593=ReachLabel,AN593=LongshotLabel,AN593=HailMaryLabel),1,0)</f>
        <v>0</v>
      </c>
      <c r="AQ593">
        <f>IF(OR(AP593=1,AN593=MatchLabel),1,0)</f>
        <v>0</v>
      </c>
      <c r="AR593">
        <f>IF(OR(AN593=MatchLabel,AN593=SafetyLabel,AN593=SecureLabel,AN593=SureThingLabel),1,0)</f>
        <v>0</v>
      </c>
      <c r="AS593">
        <f>IF(OR(W593="H",W593="B",W593="I",W593="M"),IF(ISNUMBER(AB593),ROUND(AB593,2),0),IF(ISNUMBER(AA593),ROUND(AA593,2),0))</f>
        <v>0</v>
      </c>
      <c r="AT593">
        <f>IF(AS593&gt;=X593,1,0)</f>
        <v>0</v>
      </c>
      <c r="AU593">
        <f>IF(AS593&gt;=Y593,1,0)</f>
        <v>0</v>
      </c>
      <c r="AV593">
        <f>IF(AS593&lt;(X593-0.10),1,0)</f>
        <v>0</v>
      </c>
      <c r="AW593">
        <f>1-AM593/100</f>
        <v>0</v>
      </c>
      <c r="AX593">
        <f>IF(AQ593=1,AW593,1)</f>
        <v>0</v>
      </c>
      <c r="AY593">
        <f>IF(AP593=1,AW593,1)</f>
        <v>0</v>
      </c>
      <c r="AZ593">
        <f>IF(AND(AT593=1,ISNUMBER(AW593)),$AW593,1)</f>
        <v>0</v>
      </c>
      <c r="BA593">
        <f>IF(AND(AU593=1,ISNUMBER(AW593)),$AW593,1)</f>
        <v>0</v>
      </c>
      <c r="BB593">
        <f>IF(ISNUMBER(AB593),INDEX(AllCollegeMoney, MATCH(N593,AllCollegeNCES,0)),0)</f>
        <v>0</v>
      </c>
      <c r="BC593">
        <f>IF(AND(AT593=1,ISNUMBER(AW593),BB593=1),$AW593,1)</f>
        <v>0</v>
      </c>
      <c r="BD593">
        <f>IF(AND(AU593=1,ISNUMBER(AW593),BB593=1),$AW593,1)</f>
        <v>0</v>
      </c>
      <c r="BE593">
        <f>IF(ISNUMBER(AB593),INDEX(AllCollegeILPub, MATCH(N593,AllCollegeNCES,0)),0)</f>
        <v>0</v>
      </c>
      <c r="BF593">
        <f>IF(AN593=ReachLabel,AS593,0)</f>
        <v>0</v>
      </c>
      <c r="BG593">
        <f>IF(AN593=MatchLabel,AS593,0)</f>
        <v>0</v>
      </c>
      <c r="BH593">
        <f>IF(AN593=SafetyLabel,AS593,0)</f>
        <v>0</v>
      </c>
      <c r="BI593">
        <f>IF(AN593=SecureLabel,AS593,0)</f>
        <v>0</v>
      </c>
      <c r="BJ593">
        <f>IF(AN593=SureThingLabel,AS593,0)</f>
        <v>0</v>
      </c>
      <c r="BK593">
        <f>MAX(BF593:BJ593)</f>
        <v>0</v>
      </c>
      <c r="BL593">
        <f>MAX(BG593:BJ593)</f>
        <v>0</v>
      </c>
      <c r="BM593">
        <f>MAX(BH593:BJ593)</f>
        <v>0</v>
      </c>
      <c r="BN593">
        <f>IF(AND(AN593=ReachLabel,BB593=1),AS593,0)</f>
        <v>0</v>
      </c>
      <c r="BO593">
        <f>IF(AND(AN593=MatchLabel,BB593=1),AS593,0)</f>
        <v>0</v>
      </c>
      <c r="BP593">
        <f>IF(AND(AN593=SafetyLabel,BB593=1),AS593,0)</f>
        <v>0</v>
      </c>
      <c r="BQ593">
        <f>IF(AND(AN593=SecureLabel,BB593=1),AS593,0)</f>
        <v>0</v>
      </c>
      <c r="BR593">
        <f>IF(AND(AN593=SureThingLabel,BB593=1),AS593,0)</f>
        <v>0</v>
      </c>
      <c r="BS593">
        <f>MAX(BN593:BR593)</f>
        <v>0</v>
      </c>
      <c r="BT593">
        <f>MAX(BO593:BR593)</f>
        <v>0</v>
      </c>
      <c r="BU593">
        <f>MAX(BP593:BR593)</f>
        <v>0</v>
      </c>
      <c r="BV593">
        <f>IF(ISNUMBER(AB593),INDEX(AllCollegeChicago, MATCH(N593,AllCollegeNCES,0))*BB593,0)</f>
        <v>0</v>
      </c>
      <c r="BW593">
        <f>IF(ISNUMBER(AB593),INDEX(AllCollegeMoneyCode, MATCH(N593,AllCollegeNCES,0)),"?")</f>
        <v>0</v>
      </c>
      <c r="BX593">
        <f>IF(OR(BW593="---",BW593="--",BW593="+/--",BW593="+/---"),1,0)</f>
        <v>0</v>
      </c>
      <c r="BY593">
        <f>BB593*AR593*AT593</f>
        <v>0</v>
      </c>
    </row>
    <row r="594" spans="1:77">
      <c r="A594" t="s">
        <v>96</v>
      </c>
      <c r="B594">
        <v>23759127</v>
      </c>
      <c r="C594" t="s">
        <v>175</v>
      </c>
      <c r="D594" t="s">
        <v>176</v>
      </c>
      <c r="E594" t="s">
        <v>446</v>
      </c>
      <c r="F594" t="s">
        <v>447</v>
      </c>
      <c r="G594" t="s">
        <v>448</v>
      </c>
      <c r="H594" t="s">
        <v>449</v>
      </c>
      <c r="I594" t="s">
        <v>450</v>
      </c>
      <c r="J594" t="s">
        <v>450</v>
      </c>
      <c r="K594">
        <v>0</v>
      </c>
      <c r="L594" t="s">
        <v>446</v>
      </c>
      <c r="M594" t="s">
        <v>446</v>
      </c>
      <c r="N594">
        <v>148496</v>
      </c>
      <c r="O594">
        <f>INDEX(Counselor,MATCH(B594,KidIDs,0))</f>
        <v>0</v>
      </c>
      <c r="P594">
        <f>INDEX(Advisors,MATCH(B594,KidIDs,0))</f>
        <v>0</v>
      </c>
      <c r="Q594">
        <f>INDEX(Cohort,MATCH(B594,KidIDs,0))</f>
        <v>0</v>
      </c>
      <c r="R594">
        <f>INDEX(AllCollegeBarrons,MATCH(N594,AllCollegeNCES,0))</f>
        <v>0</v>
      </c>
      <c r="S594">
        <f>INDEX(KidGPAs,MATCH(B594,KidIDs,0))</f>
        <v>0</v>
      </c>
      <c r="T594">
        <f>INDEX(KidSATs,MATCH(B594,KidIDs,0))</f>
        <v>0</v>
      </c>
      <c r="U594">
        <f>INDEX(Strats,MATCH(B594,KidIDs,0))</f>
        <v>0</v>
      </c>
      <c r="V594">
        <f>INDEX(KidRace,MATCH(B594,KidIDs,0))</f>
        <v>0</v>
      </c>
      <c r="W594">
        <f>IF(OR(V594="M",V594="I"),"H",IF(V594="P","A",V594))</f>
        <v>0</v>
      </c>
      <c r="X594">
        <f>INDEX(StudentTargets,MATCH(B594,KidIDs,0))</f>
        <v>0</v>
      </c>
      <c r="Y594">
        <f>INDEX(ReachStudentTargets,MATCH(B594,KidIDs,0))</f>
        <v>0</v>
      </c>
      <c r="Z594">
        <f>IF(OR(M594="Posse"),1,0)</f>
        <v>0</v>
      </c>
      <c r="AA594">
        <f>IF(ISNUMBER(INDEX(AllCollegeGR, MATCH(N594,AllCollegeNCES,0))),ROUND(INDEX(AllCollegeGR, MATCH(N594,AllCollegeNCES,0))+Z594*IF(INDEX(AllCollegeGR, MATCH(N594,AllCollegeNCES,0))&gt;0.7,(1-INDEX(AllCollegeGR, MATCH(N594,AllCollegeNCES,0)))/2,0.15),2),INDEX(AllCollegeGR, MATCH(N594,AllCollegeNCES,0)))</f>
        <v>0</v>
      </c>
      <c r="AB594">
        <f>IF(ISNUMBER(INDEX(AllCollegeAAHGR, MATCH(N594,AllCollegeNCES,0))),ROUND(INDEX(AllCollegeAAHGR, MATCH(N594,AllCollegeNCES,0))+Z594*IF(INDEX(AllCollegeAAHGR, MATCH(N594,AllCollegeNCES,0))&gt;0.7,(1-INDEX(AllCollegeAAHGR, MATCH(N594,AllCollegeNCES,0)))/2,0.15),2),INDEX(AllCollegeAAHGR, MATCH(N594,AllCollegeNCES,0)))</f>
        <v>0</v>
      </c>
      <c r="AC594">
        <f>IF(OR(W594="H",W594="B"),INDEX(AllCollegeSAT25, MATCH(N594,AllCollegeNCES,0)),INDEX(AllCollegeSAT50, MATCH(N594,AllCollegeNCES,0)))</f>
        <v>0</v>
      </c>
      <c r="AD594">
        <f>INDEX(CustomWeightsGPA,MATCH(W594&amp;":"&amp;N594,CustomWeightsIndex,0))</f>
        <v>0</v>
      </c>
      <c r="AE594">
        <f>INDEX(CustomWeightsSAT,MATCH(W594&amp;":"&amp;N594,CustomWeightsIndex,0))</f>
        <v>0</v>
      </c>
      <c r="AF594">
        <f>INDEX(CustomWeightsIntercept,MATCH(W594&amp;":"&amp;N594,CustomWeightsIndex,0))</f>
        <v>0</v>
      </c>
      <c r="AG594">
        <f>AD594*S594+AE594*T594+AF594</f>
        <v>0</v>
      </c>
      <c r="AH594">
        <f>INDEX(CoefficientsGPA,MATCH(W594&amp;":"&amp;R594,CoefficientsIndex,0))</f>
        <v>0</v>
      </c>
      <c r="AI594">
        <f>INDEX(CoefficientsSAT,MATCH(W594&amp;":"&amp;R594,CoefficientsIndex,0))</f>
        <v>0</v>
      </c>
      <c r="AJ594">
        <f>INDEX(CoefficientsIntercept,MATCH(W594&amp;":"&amp;R594,CoefficientsIndex,0))</f>
        <v>0</v>
      </c>
      <c r="AK594">
        <f>AH594*S594+(T594-AC594)*AI594+AJ594</f>
        <v>0</v>
      </c>
      <c r="AL594">
        <f>IF(ISNUMBER(AG594),AG594,AK594)</f>
        <v>0</v>
      </c>
      <c r="AM594">
        <f>IF(ISNUMBER(AL594),IF(ISNUMBER(AH594),IF(AND(AH594=1,AI594=1,AJ594=1),100,MIN(99,ROUND(100*EXP(AL594)/(1+EXP(AL594)),2))),MIN(99,ROUND(100*EXP(AL594)/(1+EXP(AL594)),2))),IF(ISTEXT(R594),IF(LEFT(R594,1)="2",100,"N/A"),"N/A"))</f>
        <v>0</v>
      </c>
      <c r="AN594">
        <f>IF(ISNUMBER(AM594),IF(AM594&gt;=99,IF(OR(U594=10,U594=11),MatchLabel,SureThingLabel),IF(AM594&gt;=95,SecureLabel,IF(AM594&gt;=80,SafetyLabel,IF(AM594&gt;=50,MatchLabel,IF(AM594&gt;=20,ReachLabel,IF(AM594&gt;=10,LongshotLabel,HailMaryLabel)))))),"Other")</f>
        <v>0</v>
      </c>
      <c r="AO594">
        <f>IF(OR(I594="accepted",I594="cond. accept",I594="summer admit"),IF(J594="yes","CHOICE!","Accepted!"),IF(I594="guar. transfer","Guar. Xfer",IF(I594="denied","Denied",IF(K594=1,"Waitlist",IF(L594=1,"Deferred",IF(G594="pending","Pending",IF(OR(G594="initial materials submitted",G594="mid-year submitted",G594="final submitted"),"Submitted",IF(H594="interest","Interest","?"))))))))</f>
        <v>0</v>
      </c>
      <c r="AP594">
        <f>IF(OR(AN594=ReachLabel,AN594=LongshotLabel,AN594=HailMaryLabel),1,0)</f>
        <v>0</v>
      </c>
      <c r="AQ594">
        <f>IF(OR(AP594=1,AN594=MatchLabel),1,0)</f>
        <v>0</v>
      </c>
      <c r="AR594">
        <f>IF(OR(AN594=MatchLabel,AN594=SafetyLabel,AN594=SecureLabel,AN594=SureThingLabel),1,0)</f>
        <v>0</v>
      </c>
      <c r="AS594">
        <f>IF(OR(W594="H",W594="B",W594="I",W594="M"),IF(ISNUMBER(AB594),ROUND(AB594,2),0),IF(ISNUMBER(AA594),ROUND(AA594,2),0))</f>
        <v>0</v>
      </c>
      <c r="AT594">
        <f>IF(AS594&gt;=X594,1,0)</f>
        <v>0</v>
      </c>
      <c r="AU594">
        <f>IF(AS594&gt;=Y594,1,0)</f>
        <v>0</v>
      </c>
      <c r="AV594">
        <f>IF(AS594&lt;(X594-0.10),1,0)</f>
        <v>0</v>
      </c>
      <c r="AW594">
        <f>1-AM594/100</f>
        <v>0</v>
      </c>
      <c r="AX594">
        <f>IF(AQ594=1,AW594,1)</f>
        <v>0</v>
      </c>
      <c r="AY594">
        <f>IF(AP594=1,AW594,1)</f>
        <v>0</v>
      </c>
      <c r="AZ594">
        <f>IF(AND(AT594=1,ISNUMBER(AW594)),$AW594,1)</f>
        <v>0</v>
      </c>
      <c r="BA594">
        <f>IF(AND(AU594=1,ISNUMBER(AW594)),$AW594,1)</f>
        <v>0</v>
      </c>
      <c r="BB594">
        <f>IF(ISNUMBER(AB594),INDEX(AllCollegeMoney, MATCH(N594,AllCollegeNCES,0)),0)</f>
        <v>0</v>
      </c>
      <c r="BC594">
        <f>IF(AND(AT594=1,ISNUMBER(AW594),BB594=1),$AW594,1)</f>
        <v>0</v>
      </c>
      <c r="BD594">
        <f>IF(AND(AU594=1,ISNUMBER(AW594),BB594=1),$AW594,1)</f>
        <v>0</v>
      </c>
      <c r="BE594">
        <f>IF(ISNUMBER(AB594),INDEX(AllCollegeILPub, MATCH(N594,AllCollegeNCES,0)),0)</f>
        <v>0</v>
      </c>
      <c r="BF594">
        <f>IF(AN594=ReachLabel,AS594,0)</f>
        <v>0</v>
      </c>
      <c r="BG594">
        <f>IF(AN594=MatchLabel,AS594,0)</f>
        <v>0</v>
      </c>
      <c r="BH594">
        <f>IF(AN594=SafetyLabel,AS594,0)</f>
        <v>0</v>
      </c>
      <c r="BI594">
        <f>IF(AN594=SecureLabel,AS594,0)</f>
        <v>0</v>
      </c>
      <c r="BJ594">
        <f>IF(AN594=SureThingLabel,AS594,0)</f>
        <v>0</v>
      </c>
      <c r="BK594">
        <f>MAX(BF594:BJ594)</f>
        <v>0</v>
      </c>
      <c r="BL594">
        <f>MAX(BG594:BJ594)</f>
        <v>0</v>
      </c>
      <c r="BM594">
        <f>MAX(BH594:BJ594)</f>
        <v>0</v>
      </c>
      <c r="BN594">
        <f>IF(AND(AN594=ReachLabel,BB594=1),AS594,0)</f>
        <v>0</v>
      </c>
      <c r="BO594">
        <f>IF(AND(AN594=MatchLabel,BB594=1),AS594,0)</f>
        <v>0</v>
      </c>
      <c r="BP594">
        <f>IF(AND(AN594=SafetyLabel,BB594=1),AS594,0)</f>
        <v>0</v>
      </c>
      <c r="BQ594">
        <f>IF(AND(AN594=SecureLabel,BB594=1),AS594,0)</f>
        <v>0</v>
      </c>
      <c r="BR594">
        <f>IF(AND(AN594=SureThingLabel,BB594=1),AS594,0)</f>
        <v>0</v>
      </c>
      <c r="BS594">
        <f>MAX(BN594:BR594)</f>
        <v>0</v>
      </c>
      <c r="BT594">
        <f>MAX(BO594:BR594)</f>
        <v>0</v>
      </c>
      <c r="BU594">
        <f>MAX(BP594:BR594)</f>
        <v>0</v>
      </c>
      <c r="BV594">
        <f>IF(ISNUMBER(AB594),INDEX(AllCollegeChicago, MATCH(N594,AllCollegeNCES,0))*BB594,0)</f>
        <v>0</v>
      </c>
      <c r="BW594">
        <f>IF(ISNUMBER(AB594),INDEX(AllCollegeMoneyCode, MATCH(N594,AllCollegeNCES,0)),"?")</f>
        <v>0</v>
      </c>
      <c r="BX594">
        <f>IF(OR(BW594="---",BW594="--",BW594="+/--",BW594="+/---"),1,0)</f>
        <v>0</v>
      </c>
      <c r="BY594">
        <f>BB594*AR594*AT594</f>
        <v>0</v>
      </c>
    </row>
    <row r="595" spans="1:77">
      <c r="A595" t="s">
        <v>96</v>
      </c>
      <c r="B595">
        <v>23759127</v>
      </c>
      <c r="C595" t="s">
        <v>175</v>
      </c>
      <c r="D595" t="s">
        <v>176</v>
      </c>
      <c r="E595" t="s">
        <v>446</v>
      </c>
      <c r="F595" t="s">
        <v>501</v>
      </c>
      <c r="G595" t="s">
        <v>448</v>
      </c>
      <c r="H595" t="s">
        <v>449</v>
      </c>
      <c r="I595" t="s">
        <v>450</v>
      </c>
      <c r="J595" t="s">
        <v>450</v>
      </c>
      <c r="K595">
        <v>0</v>
      </c>
      <c r="L595" t="s">
        <v>446</v>
      </c>
      <c r="M595" t="s">
        <v>446</v>
      </c>
      <c r="N595">
        <v>144740</v>
      </c>
      <c r="O595">
        <f>INDEX(Counselor,MATCH(B595,KidIDs,0))</f>
        <v>0</v>
      </c>
      <c r="P595">
        <f>INDEX(Advisors,MATCH(B595,KidIDs,0))</f>
        <v>0</v>
      </c>
      <c r="Q595">
        <f>INDEX(Cohort,MATCH(B595,KidIDs,0))</f>
        <v>0</v>
      </c>
      <c r="R595">
        <f>INDEX(AllCollegeBarrons,MATCH(N595,AllCollegeNCES,0))</f>
        <v>0</v>
      </c>
      <c r="S595">
        <f>INDEX(KidGPAs,MATCH(B595,KidIDs,0))</f>
        <v>0</v>
      </c>
      <c r="T595">
        <f>INDEX(KidSATs,MATCH(B595,KidIDs,0))</f>
        <v>0</v>
      </c>
      <c r="U595">
        <f>INDEX(Strats,MATCH(B595,KidIDs,0))</f>
        <v>0</v>
      </c>
      <c r="V595">
        <f>INDEX(KidRace,MATCH(B595,KidIDs,0))</f>
        <v>0</v>
      </c>
      <c r="W595">
        <f>IF(OR(V595="M",V595="I"),"H",IF(V595="P","A",V595))</f>
        <v>0</v>
      </c>
      <c r="X595">
        <f>INDEX(StudentTargets,MATCH(B595,KidIDs,0))</f>
        <v>0</v>
      </c>
      <c r="Y595">
        <f>INDEX(ReachStudentTargets,MATCH(B595,KidIDs,0))</f>
        <v>0</v>
      </c>
      <c r="Z595">
        <f>IF(OR(M595="Posse"),1,0)</f>
        <v>0</v>
      </c>
      <c r="AA595">
        <f>IF(ISNUMBER(INDEX(AllCollegeGR, MATCH(N595,AllCollegeNCES,0))),ROUND(INDEX(AllCollegeGR, MATCH(N595,AllCollegeNCES,0))+Z595*IF(INDEX(AllCollegeGR, MATCH(N595,AllCollegeNCES,0))&gt;0.7,(1-INDEX(AllCollegeGR, MATCH(N595,AllCollegeNCES,0)))/2,0.15),2),INDEX(AllCollegeGR, MATCH(N595,AllCollegeNCES,0)))</f>
        <v>0</v>
      </c>
      <c r="AB595">
        <f>IF(ISNUMBER(INDEX(AllCollegeAAHGR, MATCH(N595,AllCollegeNCES,0))),ROUND(INDEX(AllCollegeAAHGR, MATCH(N595,AllCollegeNCES,0))+Z595*IF(INDEX(AllCollegeAAHGR, MATCH(N595,AllCollegeNCES,0))&gt;0.7,(1-INDEX(AllCollegeAAHGR, MATCH(N595,AllCollegeNCES,0)))/2,0.15),2),INDEX(AllCollegeAAHGR, MATCH(N595,AllCollegeNCES,0)))</f>
        <v>0</v>
      </c>
      <c r="AC595">
        <f>IF(OR(W595="H",W595="B"),INDEX(AllCollegeSAT25, MATCH(N595,AllCollegeNCES,0)),INDEX(AllCollegeSAT50, MATCH(N595,AllCollegeNCES,0)))</f>
        <v>0</v>
      </c>
      <c r="AD595">
        <f>INDEX(CustomWeightsGPA,MATCH(W595&amp;":"&amp;N595,CustomWeightsIndex,0))</f>
        <v>0</v>
      </c>
      <c r="AE595">
        <f>INDEX(CustomWeightsSAT,MATCH(W595&amp;":"&amp;N595,CustomWeightsIndex,0))</f>
        <v>0</v>
      </c>
      <c r="AF595">
        <f>INDEX(CustomWeightsIntercept,MATCH(W595&amp;":"&amp;N595,CustomWeightsIndex,0))</f>
        <v>0</v>
      </c>
      <c r="AG595">
        <f>AD595*S595+AE595*T595+AF595</f>
        <v>0</v>
      </c>
      <c r="AH595">
        <f>INDEX(CoefficientsGPA,MATCH(W595&amp;":"&amp;R595,CoefficientsIndex,0))</f>
        <v>0</v>
      </c>
      <c r="AI595">
        <f>INDEX(CoefficientsSAT,MATCH(W595&amp;":"&amp;R595,CoefficientsIndex,0))</f>
        <v>0</v>
      </c>
      <c r="AJ595">
        <f>INDEX(CoefficientsIntercept,MATCH(W595&amp;":"&amp;R595,CoefficientsIndex,0))</f>
        <v>0</v>
      </c>
      <c r="AK595">
        <f>AH595*S595+(T595-AC595)*AI595+AJ595</f>
        <v>0</v>
      </c>
      <c r="AL595">
        <f>IF(ISNUMBER(AG595),AG595,AK595)</f>
        <v>0</v>
      </c>
      <c r="AM595">
        <f>IF(ISNUMBER(AL595),IF(ISNUMBER(AH595),IF(AND(AH595=1,AI595=1,AJ595=1),100,MIN(99,ROUND(100*EXP(AL595)/(1+EXP(AL595)),2))),MIN(99,ROUND(100*EXP(AL595)/(1+EXP(AL595)),2))),IF(ISTEXT(R595),IF(LEFT(R595,1)="2",100,"N/A"),"N/A"))</f>
        <v>0</v>
      </c>
      <c r="AN595">
        <f>IF(ISNUMBER(AM595),IF(AM595&gt;=99,IF(OR(U595=10,U595=11),MatchLabel,SureThingLabel),IF(AM595&gt;=95,SecureLabel,IF(AM595&gt;=80,SafetyLabel,IF(AM595&gt;=50,MatchLabel,IF(AM595&gt;=20,ReachLabel,IF(AM595&gt;=10,LongshotLabel,HailMaryLabel)))))),"Other")</f>
        <v>0</v>
      </c>
      <c r="AO595">
        <f>IF(OR(I595="accepted",I595="cond. accept",I595="summer admit"),IF(J595="yes","CHOICE!","Accepted!"),IF(I595="guar. transfer","Guar. Xfer",IF(I595="denied","Denied",IF(K595=1,"Waitlist",IF(L595=1,"Deferred",IF(G595="pending","Pending",IF(OR(G595="initial materials submitted",G595="mid-year submitted",G595="final submitted"),"Submitted",IF(H595="interest","Interest","?"))))))))</f>
        <v>0</v>
      </c>
      <c r="AP595">
        <f>IF(OR(AN595=ReachLabel,AN595=LongshotLabel,AN595=HailMaryLabel),1,0)</f>
        <v>0</v>
      </c>
      <c r="AQ595">
        <f>IF(OR(AP595=1,AN595=MatchLabel),1,0)</f>
        <v>0</v>
      </c>
      <c r="AR595">
        <f>IF(OR(AN595=MatchLabel,AN595=SafetyLabel,AN595=SecureLabel,AN595=SureThingLabel),1,0)</f>
        <v>0</v>
      </c>
      <c r="AS595">
        <f>IF(OR(W595="H",W595="B",W595="I",W595="M"),IF(ISNUMBER(AB595),ROUND(AB595,2),0),IF(ISNUMBER(AA595),ROUND(AA595,2),0))</f>
        <v>0</v>
      </c>
      <c r="AT595">
        <f>IF(AS595&gt;=X595,1,0)</f>
        <v>0</v>
      </c>
      <c r="AU595">
        <f>IF(AS595&gt;=Y595,1,0)</f>
        <v>0</v>
      </c>
      <c r="AV595">
        <f>IF(AS595&lt;(X595-0.10),1,0)</f>
        <v>0</v>
      </c>
      <c r="AW595">
        <f>1-AM595/100</f>
        <v>0</v>
      </c>
      <c r="AX595">
        <f>IF(AQ595=1,AW595,1)</f>
        <v>0</v>
      </c>
      <c r="AY595">
        <f>IF(AP595=1,AW595,1)</f>
        <v>0</v>
      </c>
      <c r="AZ595">
        <f>IF(AND(AT595=1,ISNUMBER(AW595)),$AW595,1)</f>
        <v>0</v>
      </c>
      <c r="BA595">
        <f>IF(AND(AU595=1,ISNUMBER(AW595)),$AW595,1)</f>
        <v>0</v>
      </c>
      <c r="BB595">
        <f>IF(ISNUMBER(AB595),INDEX(AllCollegeMoney, MATCH(N595,AllCollegeNCES,0)),0)</f>
        <v>0</v>
      </c>
      <c r="BC595">
        <f>IF(AND(AT595=1,ISNUMBER(AW595),BB595=1),$AW595,1)</f>
        <v>0</v>
      </c>
      <c r="BD595">
        <f>IF(AND(AU595=1,ISNUMBER(AW595),BB595=1),$AW595,1)</f>
        <v>0</v>
      </c>
      <c r="BE595">
        <f>IF(ISNUMBER(AB595),INDEX(AllCollegeILPub, MATCH(N595,AllCollegeNCES,0)),0)</f>
        <v>0</v>
      </c>
      <c r="BF595">
        <f>IF(AN595=ReachLabel,AS595,0)</f>
        <v>0</v>
      </c>
      <c r="BG595">
        <f>IF(AN595=MatchLabel,AS595,0)</f>
        <v>0</v>
      </c>
      <c r="BH595">
        <f>IF(AN595=SafetyLabel,AS595,0)</f>
        <v>0</v>
      </c>
      <c r="BI595">
        <f>IF(AN595=SecureLabel,AS595,0)</f>
        <v>0</v>
      </c>
      <c r="BJ595">
        <f>IF(AN595=SureThingLabel,AS595,0)</f>
        <v>0</v>
      </c>
      <c r="BK595">
        <f>MAX(BF595:BJ595)</f>
        <v>0</v>
      </c>
      <c r="BL595">
        <f>MAX(BG595:BJ595)</f>
        <v>0</v>
      </c>
      <c r="BM595">
        <f>MAX(BH595:BJ595)</f>
        <v>0</v>
      </c>
      <c r="BN595">
        <f>IF(AND(AN595=ReachLabel,BB595=1),AS595,0)</f>
        <v>0</v>
      </c>
      <c r="BO595">
        <f>IF(AND(AN595=MatchLabel,BB595=1),AS595,0)</f>
        <v>0</v>
      </c>
      <c r="BP595">
        <f>IF(AND(AN595=SafetyLabel,BB595=1),AS595,0)</f>
        <v>0</v>
      </c>
      <c r="BQ595">
        <f>IF(AND(AN595=SecureLabel,BB595=1),AS595,0)</f>
        <v>0</v>
      </c>
      <c r="BR595">
        <f>IF(AND(AN595=SureThingLabel,BB595=1),AS595,0)</f>
        <v>0</v>
      </c>
      <c r="BS595">
        <f>MAX(BN595:BR595)</f>
        <v>0</v>
      </c>
      <c r="BT595">
        <f>MAX(BO595:BR595)</f>
        <v>0</v>
      </c>
      <c r="BU595">
        <f>MAX(BP595:BR595)</f>
        <v>0</v>
      </c>
      <c r="BV595">
        <f>IF(ISNUMBER(AB595),INDEX(AllCollegeChicago, MATCH(N595,AllCollegeNCES,0))*BB595,0)</f>
        <v>0</v>
      </c>
      <c r="BW595">
        <f>IF(ISNUMBER(AB595),INDEX(AllCollegeMoneyCode, MATCH(N595,AllCollegeNCES,0)),"?")</f>
        <v>0</v>
      </c>
      <c r="BX595">
        <f>IF(OR(BW595="---",BW595="--",BW595="+/--",BW595="+/---"),1,0)</f>
        <v>0</v>
      </c>
      <c r="BY595">
        <f>BB595*AR595*AT595</f>
        <v>0</v>
      </c>
    </row>
    <row r="596" spans="1:77">
      <c r="A596" t="s">
        <v>96</v>
      </c>
      <c r="B596">
        <v>23759127</v>
      </c>
      <c r="C596" t="s">
        <v>175</v>
      </c>
      <c r="D596" t="s">
        <v>176</v>
      </c>
      <c r="E596" t="s">
        <v>446</v>
      </c>
      <c r="F596" t="s">
        <v>478</v>
      </c>
      <c r="G596" t="s">
        <v>448</v>
      </c>
      <c r="H596" t="s">
        <v>449</v>
      </c>
      <c r="I596" t="s">
        <v>450</v>
      </c>
      <c r="J596" t="s">
        <v>450</v>
      </c>
      <c r="K596">
        <v>0</v>
      </c>
      <c r="L596" t="s">
        <v>446</v>
      </c>
      <c r="M596" t="s">
        <v>446</v>
      </c>
      <c r="N596">
        <v>168546</v>
      </c>
      <c r="O596">
        <f>INDEX(Counselor,MATCH(B596,KidIDs,0))</f>
        <v>0</v>
      </c>
      <c r="P596">
        <f>INDEX(Advisors,MATCH(B596,KidIDs,0))</f>
        <v>0</v>
      </c>
      <c r="Q596">
        <f>INDEX(Cohort,MATCH(B596,KidIDs,0))</f>
        <v>0</v>
      </c>
      <c r="R596">
        <f>INDEX(AllCollegeBarrons,MATCH(N596,AllCollegeNCES,0))</f>
        <v>0</v>
      </c>
      <c r="S596">
        <f>INDEX(KidGPAs,MATCH(B596,KidIDs,0))</f>
        <v>0</v>
      </c>
      <c r="T596">
        <f>INDEX(KidSATs,MATCH(B596,KidIDs,0))</f>
        <v>0</v>
      </c>
      <c r="U596">
        <f>INDEX(Strats,MATCH(B596,KidIDs,0))</f>
        <v>0</v>
      </c>
      <c r="V596">
        <f>INDEX(KidRace,MATCH(B596,KidIDs,0))</f>
        <v>0</v>
      </c>
      <c r="W596">
        <f>IF(OR(V596="M",V596="I"),"H",IF(V596="P","A",V596))</f>
        <v>0</v>
      </c>
      <c r="X596">
        <f>INDEX(StudentTargets,MATCH(B596,KidIDs,0))</f>
        <v>0</v>
      </c>
      <c r="Y596">
        <f>INDEX(ReachStudentTargets,MATCH(B596,KidIDs,0))</f>
        <v>0</v>
      </c>
      <c r="Z596">
        <f>IF(OR(M596="Posse"),1,0)</f>
        <v>0</v>
      </c>
      <c r="AA596">
        <f>IF(ISNUMBER(INDEX(AllCollegeGR, MATCH(N596,AllCollegeNCES,0))),ROUND(INDEX(AllCollegeGR, MATCH(N596,AllCollegeNCES,0))+Z596*IF(INDEX(AllCollegeGR, MATCH(N596,AllCollegeNCES,0))&gt;0.7,(1-INDEX(AllCollegeGR, MATCH(N596,AllCollegeNCES,0)))/2,0.15),2),INDEX(AllCollegeGR, MATCH(N596,AllCollegeNCES,0)))</f>
        <v>0</v>
      </c>
      <c r="AB596">
        <f>IF(ISNUMBER(INDEX(AllCollegeAAHGR, MATCH(N596,AllCollegeNCES,0))),ROUND(INDEX(AllCollegeAAHGR, MATCH(N596,AllCollegeNCES,0))+Z596*IF(INDEX(AllCollegeAAHGR, MATCH(N596,AllCollegeNCES,0))&gt;0.7,(1-INDEX(AllCollegeAAHGR, MATCH(N596,AllCollegeNCES,0)))/2,0.15),2),INDEX(AllCollegeAAHGR, MATCH(N596,AllCollegeNCES,0)))</f>
        <v>0</v>
      </c>
      <c r="AC596">
        <f>IF(OR(W596="H",W596="B"),INDEX(AllCollegeSAT25, MATCH(N596,AllCollegeNCES,0)),INDEX(AllCollegeSAT50, MATCH(N596,AllCollegeNCES,0)))</f>
        <v>0</v>
      </c>
      <c r="AD596">
        <f>INDEX(CustomWeightsGPA,MATCH(W596&amp;":"&amp;N596,CustomWeightsIndex,0))</f>
        <v>0</v>
      </c>
      <c r="AE596">
        <f>INDEX(CustomWeightsSAT,MATCH(W596&amp;":"&amp;N596,CustomWeightsIndex,0))</f>
        <v>0</v>
      </c>
      <c r="AF596">
        <f>INDEX(CustomWeightsIntercept,MATCH(W596&amp;":"&amp;N596,CustomWeightsIndex,0))</f>
        <v>0</v>
      </c>
      <c r="AG596">
        <f>AD596*S596+AE596*T596+AF596</f>
        <v>0</v>
      </c>
      <c r="AH596">
        <f>INDEX(CoefficientsGPA,MATCH(W596&amp;":"&amp;R596,CoefficientsIndex,0))</f>
        <v>0</v>
      </c>
      <c r="AI596">
        <f>INDEX(CoefficientsSAT,MATCH(W596&amp;":"&amp;R596,CoefficientsIndex,0))</f>
        <v>0</v>
      </c>
      <c r="AJ596">
        <f>INDEX(CoefficientsIntercept,MATCH(W596&amp;":"&amp;R596,CoefficientsIndex,0))</f>
        <v>0</v>
      </c>
      <c r="AK596">
        <f>AH596*S596+(T596-AC596)*AI596+AJ596</f>
        <v>0</v>
      </c>
      <c r="AL596">
        <f>IF(ISNUMBER(AG596),AG596,AK596)</f>
        <v>0</v>
      </c>
      <c r="AM596">
        <f>IF(ISNUMBER(AL596),IF(ISNUMBER(AH596),IF(AND(AH596=1,AI596=1,AJ596=1),100,MIN(99,ROUND(100*EXP(AL596)/(1+EXP(AL596)),2))),MIN(99,ROUND(100*EXP(AL596)/(1+EXP(AL596)),2))),IF(ISTEXT(R596),IF(LEFT(R596,1)="2",100,"N/A"),"N/A"))</f>
        <v>0</v>
      </c>
      <c r="AN596">
        <f>IF(ISNUMBER(AM596),IF(AM596&gt;=99,IF(OR(U596=10,U596=11),MatchLabel,SureThingLabel),IF(AM596&gt;=95,SecureLabel,IF(AM596&gt;=80,SafetyLabel,IF(AM596&gt;=50,MatchLabel,IF(AM596&gt;=20,ReachLabel,IF(AM596&gt;=10,LongshotLabel,HailMaryLabel)))))),"Other")</f>
        <v>0</v>
      </c>
      <c r="AO596">
        <f>IF(OR(I596="accepted",I596="cond. accept",I596="summer admit"),IF(J596="yes","CHOICE!","Accepted!"),IF(I596="guar. transfer","Guar. Xfer",IF(I596="denied","Denied",IF(K596=1,"Waitlist",IF(L596=1,"Deferred",IF(G596="pending","Pending",IF(OR(G596="initial materials submitted",G596="mid-year submitted",G596="final submitted"),"Submitted",IF(H596="interest","Interest","?"))))))))</f>
        <v>0</v>
      </c>
      <c r="AP596">
        <f>IF(OR(AN596=ReachLabel,AN596=LongshotLabel,AN596=HailMaryLabel),1,0)</f>
        <v>0</v>
      </c>
      <c r="AQ596">
        <f>IF(OR(AP596=1,AN596=MatchLabel),1,0)</f>
        <v>0</v>
      </c>
      <c r="AR596">
        <f>IF(OR(AN596=MatchLabel,AN596=SafetyLabel,AN596=SecureLabel,AN596=SureThingLabel),1,0)</f>
        <v>0</v>
      </c>
      <c r="AS596">
        <f>IF(OR(W596="H",W596="B",W596="I",W596="M"),IF(ISNUMBER(AB596),ROUND(AB596,2),0),IF(ISNUMBER(AA596),ROUND(AA596,2),0))</f>
        <v>0</v>
      </c>
      <c r="AT596">
        <f>IF(AS596&gt;=X596,1,0)</f>
        <v>0</v>
      </c>
      <c r="AU596">
        <f>IF(AS596&gt;=Y596,1,0)</f>
        <v>0</v>
      </c>
      <c r="AV596">
        <f>IF(AS596&lt;(X596-0.10),1,0)</f>
        <v>0</v>
      </c>
      <c r="AW596">
        <f>1-AM596/100</f>
        <v>0</v>
      </c>
      <c r="AX596">
        <f>IF(AQ596=1,AW596,1)</f>
        <v>0</v>
      </c>
      <c r="AY596">
        <f>IF(AP596=1,AW596,1)</f>
        <v>0</v>
      </c>
      <c r="AZ596">
        <f>IF(AND(AT596=1,ISNUMBER(AW596)),$AW596,1)</f>
        <v>0</v>
      </c>
      <c r="BA596">
        <f>IF(AND(AU596=1,ISNUMBER(AW596)),$AW596,1)</f>
        <v>0</v>
      </c>
      <c r="BB596">
        <f>IF(ISNUMBER(AB596),INDEX(AllCollegeMoney, MATCH(N596,AllCollegeNCES,0)),0)</f>
        <v>0</v>
      </c>
      <c r="BC596">
        <f>IF(AND(AT596=1,ISNUMBER(AW596),BB596=1),$AW596,1)</f>
        <v>0</v>
      </c>
      <c r="BD596">
        <f>IF(AND(AU596=1,ISNUMBER(AW596),BB596=1),$AW596,1)</f>
        <v>0</v>
      </c>
      <c r="BE596">
        <f>IF(ISNUMBER(AB596),INDEX(AllCollegeILPub, MATCH(N596,AllCollegeNCES,0)),0)</f>
        <v>0</v>
      </c>
      <c r="BF596">
        <f>IF(AN596=ReachLabel,AS596,0)</f>
        <v>0</v>
      </c>
      <c r="BG596">
        <f>IF(AN596=MatchLabel,AS596,0)</f>
        <v>0</v>
      </c>
      <c r="BH596">
        <f>IF(AN596=SafetyLabel,AS596,0)</f>
        <v>0</v>
      </c>
      <c r="BI596">
        <f>IF(AN596=SecureLabel,AS596,0)</f>
        <v>0</v>
      </c>
      <c r="BJ596">
        <f>IF(AN596=SureThingLabel,AS596,0)</f>
        <v>0</v>
      </c>
      <c r="BK596">
        <f>MAX(BF596:BJ596)</f>
        <v>0</v>
      </c>
      <c r="BL596">
        <f>MAX(BG596:BJ596)</f>
        <v>0</v>
      </c>
      <c r="BM596">
        <f>MAX(BH596:BJ596)</f>
        <v>0</v>
      </c>
      <c r="BN596">
        <f>IF(AND(AN596=ReachLabel,BB596=1),AS596,0)</f>
        <v>0</v>
      </c>
      <c r="BO596">
        <f>IF(AND(AN596=MatchLabel,BB596=1),AS596,0)</f>
        <v>0</v>
      </c>
      <c r="BP596">
        <f>IF(AND(AN596=SafetyLabel,BB596=1),AS596,0)</f>
        <v>0</v>
      </c>
      <c r="BQ596">
        <f>IF(AND(AN596=SecureLabel,BB596=1),AS596,0)</f>
        <v>0</v>
      </c>
      <c r="BR596">
        <f>IF(AND(AN596=SureThingLabel,BB596=1),AS596,0)</f>
        <v>0</v>
      </c>
      <c r="BS596">
        <f>MAX(BN596:BR596)</f>
        <v>0</v>
      </c>
      <c r="BT596">
        <f>MAX(BO596:BR596)</f>
        <v>0</v>
      </c>
      <c r="BU596">
        <f>MAX(BP596:BR596)</f>
        <v>0</v>
      </c>
      <c r="BV596">
        <f>IF(ISNUMBER(AB596),INDEX(AllCollegeChicago, MATCH(N596,AllCollegeNCES,0))*BB596,0)</f>
        <v>0</v>
      </c>
      <c r="BW596">
        <f>IF(ISNUMBER(AB596),INDEX(AllCollegeMoneyCode, MATCH(N596,AllCollegeNCES,0)),"?")</f>
        <v>0</v>
      </c>
      <c r="BX596">
        <f>IF(OR(BW596="---",BW596="--",BW596="+/--",BW596="+/---"),1,0)</f>
        <v>0</v>
      </c>
      <c r="BY596">
        <f>BB596*AR596*AT596</f>
        <v>0</v>
      </c>
    </row>
    <row r="597" spans="1:77">
      <c r="A597" t="s">
        <v>96</v>
      </c>
      <c r="B597">
        <v>23759127</v>
      </c>
      <c r="C597" t="s">
        <v>175</v>
      </c>
      <c r="D597" t="s">
        <v>176</v>
      </c>
      <c r="E597" t="s">
        <v>446</v>
      </c>
      <c r="F597" t="s">
        <v>518</v>
      </c>
      <c r="G597" t="s">
        <v>448</v>
      </c>
      <c r="H597" t="s">
        <v>449</v>
      </c>
      <c r="I597" t="s">
        <v>450</v>
      </c>
      <c r="J597" t="s">
        <v>450</v>
      </c>
      <c r="K597">
        <v>0</v>
      </c>
      <c r="L597" t="s">
        <v>446</v>
      </c>
      <c r="M597" t="s">
        <v>446</v>
      </c>
      <c r="N597">
        <v>145725</v>
      </c>
      <c r="O597">
        <f>INDEX(Counselor,MATCH(B597,KidIDs,0))</f>
        <v>0</v>
      </c>
      <c r="P597">
        <f>INDEX(Advisors,MATCH(B597,KidIDs,0))</f>
        <v>0</v>
      </c>
      <c r="Q597">
        <f>INDEX(Cohort,MATCH(B597,KidIDs,0))</f>
        <v>0</v>
      </c>
      <c r="R597">
        <f>INDEX(AllCollegeBarrons,MATCH(N597,AllCollegeNCES,0))</f>
        <v>0</v>
      </c>
      <c r="S597">
        <f>INDEX(KidGPAs,MATCH(B597,KidIDs,0))</f>
        <v>0</v>
      </c>
      <c r="T597">
        <f>INDEX(KidSATs,MATCH(B597,KidIDs,0))</f>
        <v>0</v>
      </c>
      <c r="U597">
        <f>INDEX(Strats,MATCH(B597,KidIDs,0))</f>
        <v>0</v>
      </c>
      <c r="V597">
        <f>INDEX(KidRace,MATCH(B597,KidIDs,0))</f>
        <v>0</v>
      </c>
      <c r="W597">
        <f>IF(OR(V597="M",V597="I"),"H",IF(V597="P","A",V597))</f>
        <v>0</v>
      </c>
      <c r="X597">
        <f>INDEX(StudentTargets,MATCH(B597,KidIDs,0))</f>
        <v>0</v>
      </c>
      <c r="Y597">
        <f>INDEX(ReachStudentTargets,MATCH(B597,KidIDs,0))</f>
        <v>0</v>
      </c>
      <c r="Z597">
        <f>IF(OR(M597="Posse"),1,0)</f>
        <v>0</v>
      </c>
      <c r="AA597">
        <f>IF(ISNUMBER(INDEX(AllCollegeGR, MATCH(N597,AllCollegeNCES,0))),ROUND(INDEX(AllCollegeGR, MATCH(N597,AllCollegeNCES,0))+Z597*IF(INDEX(AllCollegeGR, MATCH(N597,AllCollegeNCES,0))&gt;0.7,(1-INDEX(AllCollegeGR, MATCH(N597,AllCollegeNCES,0)))/2,0.15),2),INDEX(AllCollegeGR, MATCH(N597,AllCollegeNCES,0)))</f>
        <v>0</v>
      </c>
      <c r="AB597">
        <f>IF(ISNUMBER(INDEX(AllCollegeAAHGR, MATCH(N597,AllCollegeNCES,0))),ROUND(INDEX(AllCollegeAAHGR, MATCH(N597,AllCollegeNCES,0))+Z597*IF(INDEX(AllCollegeAAHGR, MATCH(N597,AllCollegeNCES,0))&gt;0.7,(1-INDEX(AllCollegeAAHGR, MATCH(N597,AllCollegeNCES,0)))/2,0.15),2),INDEX(AllCollegeAAHGR, MATCH(N597,AllCollegeNCES,0)))</f>
        <v>0</v>
      </c>
      <c r="AC597">
        <f>IF(OR(W597="H",W597="B"),INDEX(AllCollegeSAT25, MATCH(N597,AllCollegeNCES,0)),INDEX(AllCollegeSAT50, MATCH(N597,AllCollegeNCES,0)))</f>
        <v>0</v>
      </c>
      <c r="AD597">
        <f>INDEX(CustomWeightsGPA,MATCH(W597&amp;":"&amp;N597,CustomWeightsIndex,0))</f>
        <v>0</v>
      </c>
      <c r="AE597">
        <f>INDEX(CustomWeightsSAT,MATCH(W597&amp;":"&amp;N597,CustomWeightsIndex,0))</f>
        <v>0</v>
      </c>
      <c r="AF597">
        <f>INDEX(CustomWeightsIntercept,MATCH(W597&amp;":"&amp;N597,CustomWeightsIndex,0))</f>
        <v>0</v>
      </c>
      <c r="AG597">
        <f>AD597*S597+AE597*T597+AF597</f>
        <v>0</v>
      </c>
      <c r="AH597">
        <f>INDEX(CoefficientsGPA,MATCH(W597&amp;":"&amp;R597,CoefficientsIndex,0))</f>
        <v>0</v>
      </c>
      <c r="AI597">
        <f>INDEX(CoefficientsSAT,MATCH(W597&amp;":"&amp;R597,CoefficientsIndex,0))</f>
        <v>0</v>
      </c>
      <c r="AJ597">
        <f>INDEX(CoefficientsIntercept,MATCH(W597&amp;":"&amp;R597,CoefficientsIndex,0))</f>
        <v>0</v>
      </c>
      <c r="AK597">
        <f>AH597*S597+(T597-AC597)*AI597+AJ597</f>
        <v>0</v>
      </c>
      <c r="AL597">
        <f>IF(ISNUMBER(AG597),AG597,AK597)</f>
        <v>0</v>
      </c>
      <c r="AM597">
        <f>IF(ISNUMBER(AL597),IF(ISNUMBER(AH597),IF(AND(AH597=1,AI597=1,AJ597=1),100,MIN(99,ROUND(100*EXP(AL597)/(1+EXP(AL597)),2))),MIN(99,ROUND(100*EXP(AL597)/(1+EXP(AL597)),2))),IF(ISTEXT(R597),IF(LEFT(R597,1)="2",100,"N/A"),"N/A"))</f>
        <v>0</v>
      </c>
      <c r="AN597">
        <f>IF(ISNUMBER(AM597),IF(AM597&gt;=99,IF(OR(U597=10,U597=11),MatchLabel,SureThingLabel),IF(AM597&gt;=95,SecureLabel,IF(AM597&gt;=80,SafetyLabel,IF(AM597&gt;=50,MatchLabel,IF(AM597&gt;=20,ReachLabel,IF(AM597&gt;=10,LongshotLabel,HailMaryLabel)))))),"Other")</f>
        <v>0</v>
      </c>
      <c r="AO597">
        <f>IF(OR(I597="accepted",I597="cond. accept",I597="summer admit"),IF(J597="yes","CHOICE!","Accepted!"),IF(I597="guar. transfer","Guar. Xfer",IF(I597="denied","Denied",IF(K597=1,"Waitlist",IF(L597=1,"Deferred",IF(G597="pending","Pending",IF(OR(G597="initial materials submitted",G597="mid-year submitted",G597="final submitted"),"Submitted",IF(H597="interest","Interest","?"))))))))</f>
        <v>0</v>
      </c>
      <c r="AP597">
        <f>IF(OR(AN597=ReachLabel,AN597=LongshotLabel,AN597=HailMaryLabel),1,0)</f>
        <v>0</v>
      </c>
      <c r="AQ597">
        <f>IF(OR(AP597=1,AN597=MatchLabel),1,0)</f>
        <v>0</v>
      </c>
      <c r="AR597">
        <f>IF(OR(AN597=MatchLabel,AN597=SafetyLabel,AN597=SecureLabel,AN597=SureThingLabel),1,0)</f>
        <v>0</v>
      </c>
      <c r="AS597">
        <f>IF(OR(W597="H",W597="B",W597="I",W597="M"),IF(ISNUMBER(AB597),ROUND(AB597,2),0),IF(ISNUMBER(AA597),ROUND(AA597,2),0))</f>
        <v>0</v>
      </c>
      <c r="AT597">
        <f>IF(AS597&gt;=X597,1,0)</f>
        <v>0</v>
      </c>
      <c r="AU597">
        <f>IF(AS597&gt;=Y597,1,0)</f>
        <v>0</v>
      </c>
      <c r="AV597">
        <f>IF(AS597&lt;(X597-0.10),1,0)</f>
        <v>0</v>
      </c>
      <c r="AW597">
        <f>1-AM597/100</f>
        <v>0</v>
      </c>
      <c r="AX597">
        <f>IF(AQ597=1,AW597,1)</f>
        <v>0</v>
      </c>
      <c r="AY597">
        <f>IF(AP597=1,AW597,1)</f>
        <v>0</v>
      </c>
      <c r="AZ597">
        <f>IF(AND(AT597=1,ISNUMBER(AW597)),$AW597,1)</f>
        <v>0</v>
      </c>
      <c r="BA597">
        <f>IF(AND(AU597=1,ISNUMBER(AW597)),$AW597,1)</f>
        <v>0</v>
      </c>
      <c r="BB597">
        <f>IF(ISNUMBER(AB597),INDEX(AllCollegeMoney, MATCH(N597,AllCollegeNCES,0)),0)</f>
        <v>0</v>
      </c>
      <c r="BC597">
        <f>IF(AND(AT597=1,ISNUMBER(AW597),BB597=1),$AW597,1)</f>
        <v>0</v>
      </c>
      <c r="BD597">
        <f>IF(AND(AU597=1,ISNUMBER(AW597),BB597=1),$AW597,1)</f>
        <v>0</v>
      </c>
      <c r="BE597">
        <f>IF(ISNUMBER(AB597),INDEX(AllCollegeILPub, MATCH(N597,AllCollegeNCES,0)),0)</f>
        <v>0</v>
      </c>
      <c r="BF597">
        <f>IF(AN597=ReachLabel,AS597,0)</f>
        <v>0</v>
      </c>
      <c r="BG597">
        <f>IF(AN597=MatchLabel,AS597,0)</f>
        <v>0</v>
      </c>
      <c r="BH597">
        <f>IF(AN597=SafetyLabel,AS597,0)</f>
        <v>0</v>
      </c>
      <c r="BI597">
        <f>IF(AN597=SecureLabel,AS597,0)</f>
        <v>0</v>
      </c>
      <c r="BJ597">
        <f>IF(AN597=SureThingLabel,AS597,0)</f>
        <v>0</v>
      </c>
      <c r="BK597">
        <f>MAX(BF597:BJ597)</f>
        <v>0</v>
      </c>
      <c r="BL597">
        <f>MAX(BG597:BJ597)</f>
        <v>0</v>
      </c>
      <c r="BM597">
        <f>MAX(BH597:BJ597)</f>
        <v>0</v>
      </c>
      <c r="BN597">
        <f>IF(AND(AN597=ReachLabel,BB597=1),AS597,0)</f>
        <v>0</v>
      </c>
      <c r="BO597">
        <f>IF(AND(AN597=MatchLabel,BB597=1),AS597,0)</f>
        <v>0</v>
      </c>
      <c r="BP597">
        <f>IF(AND(AN597=SafetyLabel,BB597=1),AS597,0)</f>
        <v>0</v>
      </c>
      <c r="BQ597">
        <f>IF(AND(AN597=SecureLabel,BB597=1),AS597,0)</f>
        <v>0</v>
      </c>
      <c r="BR597">
        <f>IF(AND(AN597=SureThingLabel,BB597=1),AS597,0)</f>
        <v>0</v>
      </c>
      <c r="BS597">
        <f>MAX(BN597:BR597)</f>
        <v>0</v>
      </c>
      <c r="BT597">
        <f>MAX(BO597:BR597)</f>
        <v>0</v>
      </c>
      <c r="BU597">
        <f>MAX(BP597:BR597)</f>
        <v>0</v>
      </c>
      <c r="BV597">
        <f>IF(ISNUMBER(AB597),INDEX(AllCollegeChicago, MATCH(N597,AllCollegeNCES,0))*BB597,0)</f>
        <v>0</v>
      </c>
      <c r="BW597">
        <f>IF(ISNUMBER(AB597),INDEX(AllCollegeMoneyCode, MATCH(N597,AllCollegeNCES,0)),"?")</f>
        <v>0</v>
      </c>
      <c r="BX597">
        <f>IF(OR(BW597="---",BW597="--",BW597="+/--",BW597="+/---"),1,0)</f>
        <v>0</v>
      </c>
      <c r="BY597">
        <f>BB597*AR597*AT597</f>
        <v>0</v>
      </c>
    </row>
    <row r="598" spans="1:77">
      <c r="A598" t="s">
        <v>96</v>
      </c>
      <c r="B598">
        <v>23759127</v>
      </c>
      <c r="C598" t="s">
        <v>175</v>
      </c>
      <c r="D598" t="s">
        <v>176</v>
      </c>
      <c r="E598" t="s">
        <v>446</v>
      </c>
      <c r="F598" t="s">
        <v>465</v>
      </c>
      <c r="G598" t="s">
        <v>448</v>
      </c>
      <c r="H598" t="s">
        <v>449</v>
      </c>
      <c r="I598" t="s">
        <v>450</v>
      </c>
      <c r="J598" t="s">
        <v>450</v>
      </c>
      <c r="K598">
        <v>0</v>
      </c>
      <c r="L598" t="s">
        <v>446</v>
      </c>
      <c r="M598" t="s">
        <v>446</v>
      </c>
      <c r="N598">
        <v>145600</v>
      </c>
      <c r="O598">
        <f>INDEX(Counselor,MATCH(B598,KidIDs,0))</f>
        <v>0</v>
      </c>
      <c r="P598">
        <f>INDEX(Advisors,MATCH(B598,KidIDs,0))</f>
        <v>0</v>
      </c>
      <c r="Q598">
        <f>INDEX(Cohort,MATCH(B598,KidIDs,0))</f>
        <v>0</v>
      </c>
      <c r="R598">
        <f>INDEX(AllCollegeBarrons,MATCH(N598,AllCollegeNCES,0))</f>
        <v>0</v>
      </c>
      <c r="S598">
        <f>INDEX(KidGPAs,MATCH(B598,KidIDs,0))</f>
        <v>0</v>
      </c>
      <c r="T598">
        <f>INDEX(KidSATs,MATCH(B598,KidIDs,0))</f>
        <v>0</v>
      </c>
      <c r="U598">
        <f>INDEX(Strats,MATCH(B598,KidIDs,0))</f>
        <v>0</v>
      </c>
      <c r="V598">
        <f>INDEX(KidRace,MATCH(B598,KidIDs,0))</f>
        <v>0</v>
      </c>
      <c r="W598">
        <f>IF(OR(V598="M",V598="I"),"H",IF(V598="P","A",V598))</f>
        <v>0</v>
      </c>
      <c r="X598">
        <f>INDEX(StudentTargets,MATCH(B598,KidIDs,0))</f>
        <v>0</v>
      </c>
      <c r="Y598">
        <f>INDEX(ReachStudentTargets,MATCH(B598,KidIDs,0))</f>
        <v>0</v>
      </c>
      <c r="Z598">
        <f>IF(OR(M598="Posse"),1,0)</f>
        <v>0</v>
      </c>
      <c r="AA598">
        <f>IF(ISNUMBER(INDEX(AllCollegeGR, MATCH(N598,AllCollegeNCES,0))),ROUND(INDEX(AllCollegeGR, MATCH(N598,AllCollegeNCES,0))+Z598*IF(INDEX(AllCollegeGR, MATCH(N598,AllCollegeNCES,0))&gt;0.7,(1-INDEX(AllCollegeGR, MATCH(N598,AllCollegeNCES,0)))/2,0.15),2),INDEX(AllCollegeGR, MATCH(N598,AllCollegeNCES,0)))</f>
        <v>0</v>
      </c>
      <c r="AB598">
        <f>IF(ISNUMBER(INDEX(AllCollegeAAHGR, MATCH(N598,AllCollegeNCES,0))),ROUND(INDEX(AllCollegeAAHGR, MATCH(N598,AllCollegeNCES,0))+Z598*IF(INDEX(AllCollegeAAHGR, MATCH(N598,AllCollegeNCES,0))&gt;0.7,(1-INDEX(AllCollegeAAHGR, MATCH(N598,AllCollegeNCES,0)))/2,0.15),2),INDEX(AllCollegeAAHGR, MATCH(N598,AllCollegeNCES,0)))</f>
        <v>0</v>
      </c>
      <c r="AC598">
        <f>IF(OR(W598="H",W598="B"),INDEX(AllCollegeSAT25, MATCH(N598,AllCollegeNCES,0)),INDEX(AllCollegeSAT50, MATCH(N598,AllCollegeNCES,0)))</f>
        <v>0</v>
      </c>
      <c r="AD598">
        <f>INDEX(CustomWeightsGPA,MATCH(W598&amp;":"&amp;N598,CustomWeightsIndex,0))</f>
        <v>0</v>
      </c>
      <c r="AE598">
        <f>INDEX(CustomWeightsSAT,MATCH(W598&amp;":"&amp;N598,CustomWeightsIndex,0))</f>
        <v>0</v>
      </c>
      <c r="AF598">
        <f>INDEX(CustomWeightsIntercept,MATCH(W598&amp;":"&amp;N598,CustomWeightsIndex,0))</f>
        <v>0</v>
      </c>
      <c r="AG598">
        <f>AD598*S598+AE598*T598+AF598</f>
        <v>0</v>
      </c>
      <c r="AH598">
        <f>INDEX(CoefficientsGPA,MATCH(W598&amp;":"&amp;R598,CoefficientsIndex,0))</f>
        <v>0</v>
      </c>
      <c r="AI598">
        <f>INDEX(CoefficientsSAT,MATCH(W598&amp;":"&amp;R598,CoefficientsIndex,0))</f>
        <v>0</v>
      </c>
      <c r="AJ598">
        <f>INDEX(CoefficientsIntercept,MATCH(W598&amp;":"&amp;R598,CoefficientsIndex,0))</f>
        <v>0</v>
      </c>
      <c r="AK598">
        <f>AH598*S598+(T598-AC598)*AI598+AJ598</f>
        <v>0</v>
      </c>
      <c r="AL598">
        <f>IF(ISNUMBER(AG598),AG598,AK598)</f>
        <v>0</v>
      </c>
      <c r="AM598">
        <f>IF(ISNUMBER(AL598),IF(ISNUMBER(AH598),IF(AND(AH598=1,AI598=1,AJ598=1),100,MIN(99,ROUND(100*EXP(AL598)/(1+EXP(AL598)),2))),MIN(99,ROUND(100*EXP(AL598)/(1+EXP(AL598)),2))),IF(ISTEXT(R598),IF(LEFT(R598,1)="2",100,"N/A"),"N/A"))</f>
        <v>0</v>
      </c>
      <c r="AN598">
        <f>IF(ISNUMBER(AM598),IF(AM598&gt;=99,IF(OR(U598=10,U598=11),MatchLabel,SureThingLabel),IF(AM598&gt;=95,SecureLabel,IF(AM598&gt;=80,SafetyLabel,IF(AM598&gt;=50,MatchLabel,IF(AM598&gt;=20,ReachLabel,IF(AM598&gt;=10,LongshotLabel,HailMaryLabel)))))),"Other")</f>
        <v>0</v>
      </c>
      <c r="AO598">
        <f>IF(OR(I598="accepted",I598="cond. accept",I598="summer admit"),IF(J598="yes","CHOICE!","Accepted!"),IF(I598="guar. transfer","Guar. Xfer",IF(I598="denied","Denied",IF(K598=1,"Waitlist",IF(L598=1,"Deferred",IF(G598="pending","Pending",IF(OR(G598="initial materials submitted",G598="mid-year submitted",G598="final submitted"),"Submitted",IF(H598="interest","Interest","?"))))))))</f>
        <v>0</v>
      </c>
      <c r="AP598">
        <f>IF(OR(AN598=ReachLabel,AN598=LongshotLabel,AN598=HailMaryLabel),1,0)</f>
        <v>0</v>
      </c>
      <c r="AQ598">
        <f>IF(OR(AP598=1,AN598=MatchLabel),1,0)</f>
        <v>0</v>
      </c>
      <c r="AR598">
        <f>IF(OR(AN598=MatchLabel,AN598=SafetyLabel,AN598=SecureLabel,AN598=SureThingLabel),1,0)</f>
        <v>0</v>
      </c>
      <c r="AS598">
        <f>IF(OR(W598="H",W598="B",W598="I",W598="M"),IF(ISNUMBER(AB598),ROUND(AB598,2),0),IF(ISNUMBER(AA598),ROUND(AA598,2),0))</f>
        <v>0</v>
      </c>
      <c r="AT598">
        <f>IF(AS598&gt;=X598,1,0)</f>
        <v>0</v>
      </c>
      <c r="AU598">
        <f>IF(AS598&gt;=Y598,1,0)</f>
        <v>0</v>
      </c>
      <c r="AV598">
        <f>IF(AS598&lt;(X598-0.10),1,0)</f>
        <v>0</v>
      </c>
      <c r="AW598">
        <f>1-AM598/100</f>
        <v>0</v>
      </c>
      <c r="AX598">
        <f>IF(AQ598=1,AW598,1)</f>
        <v>0</v>
      </c>
      <c r="AY598">
        <f>IF(AP598=1,AW598,1)</f>
        <v>0</v>
      </c>
      <c r="AZ598">
        <f>IF(AND(AT598=1,ISNUMBER(AW598)),$AW598,1)</f>
        <v>0</v>
      </c>
      <c r="BA598">
        <f>IF(AND(AU598=1,ISNUMBER(AW598)),$AW598,1)</f>
        <v>0</v>
      </c>
      <c r="BB598">
        <f>IF(ISNUMBER(AB598),INDEX(AllCollegeMoney, MATCH(N598,AllCollegeNCES,0)),0)</f>
        <v>0</v>
      </c>
      <c r="BC598">
        <f>IF(AND(AT598=1,ISNUMBER(AW598),BB598=1),$AW598,1)</f>
        <v>0</v>
      </c>
      <c r="BD598">
        <f>IF(AND(AU598=1,ISNUMBER(AW598),BB598=1),$AW598,1)</f>
        <v>0</v>
      </c>
      <c r="BE598">
        <f>IF(ISNUMBER(AB598),INDEX(AllCollegeILPub, MATCH(N598,AllCollegeNCES,0)),0)</f>
        <v>0</v>
      </c>
      <c r="BF598">
        <f>IF(AN598=ReachLabel,AS598,0)</f>
        <v>0</v>
      </c>
      <c r="BG598">
        <f>IF(AN598=MatchLabel,AS598,0)</f>
        <v>0</v>
      </c>
      <c r="BH598">
        <f>IF(AN598=SafetyLabel,AS598,0)</f>
        <v>0</v>
      </c>
      <c r="BI598">
        <f>IF(AN598=SecureLabel,AS598,0)</f>
        <v>0</v>
      </c>
      <c r="BJ598">
        <f>IF(AN598=SureThingLabel,AS598,0)</f>
        <v>0</v>
      </c>
      <c r="BK598">
        <f>MAX(BF598:BJ598)</f>
        <v>0</v>
      </c>
      <c r="BL598">
        <f>MAX(BG598:BJ598)</f>
        <v>0</v>
      </c>
      <c r="BM598">
        <f>MAX(BH598:BJ598)</f>
        <v>0</v>
      </c>
      <c r="BN598">
        <f>IF(AND(AN598=ReachLabel,BB598=1),AS598,0)</f>
        <v>0</v>
      </c>
      <c r="BO598">
        <f>IF(AND(AN598=MatchLabel,BB598=1),AS598,0)</f>
        <v>0</v>
      </c>
      <c r="BP598">
        <f>IF(AND(AN598=SafetyLabel,BB598=1),AS598,0)</f>
        <v>0</v>
      </c>
      <c r="BQ598">
        <f>IF(AND(AN598=SecureLabel,BB598=1),AS598,0)</f>
        <v>0</v>
      </c>
      <c r="BR598">
        <f>IF(AND(AN598=SureThingLabel,BB598=1),AS598,0)</f>
        <v>0</v>
      </c>
      <c r="BS598">
        <f>MAX(BN598:BR598)</f>
        <v>0</v>
      </c>
      <c r="BT598">
        <f>MAX(BO598:BR598)</f>
        <v>0</v>
      </c>
      <c r="BU598">
        <f>MAX(BP598:BR598)</f>
        <v>0</v>
      </c>
      <c r="BV598">
        <f>IF(ISNUMBER(AB598),INDEX(AllCollegeChicago, MATCH(N598,AllCollegeNCES,0))*BB598,0)</f>
        <v>0</v>
      </c>
      <c r="BW598">
        <f>IF(ISNUMBER(AB598),INDEX(AllCollegeMoneyCode, MATCH(N598,AllCollegeNCES,0)),"?")</f>
        <v>0</v>
      </c>
      <c r="BX598">
        <f>IF(OR(BW598="---",BW598="--",BW598="+/--",BW598="+/---"),1,0)</f>
        <v>0</v>
      </c>
      <c r="BY598">
        <f>BB598*AR598*AT598</f>
        <v>0</v>
      </c>
    </row>
    <row r="599" spans="1:77">
      <c r="A599" t="s">
        <v>96</v>
      </c>
      <c r="B599">
        <v>23759127</v>
      </c>
      <c r="C599" t="s">
        <v>175</v>
      </c>
      <c r="D599" t="s">
        <v>176</v>
      </c>
      <c r="E599" t="s">
        <v>446</v>
      </c>
      <c r="F599" t="s">
        <v>506</v>
      </c>
      <c r="G599" t="s">
        <v>448</v>
      </c>
      <c r="H599" t="s">
        <v>449</v>
      </c>
      <c r="I599" t="s">
        <v>450</v>
      </c>
      <c r="J599" t="s">
        <v>450</v>
      </c>
      <c r="K599">
        <v>0</v>
      </c>
      <c r="L599" t="s">
        <v>446</v>
      </c>
      <c r="M599" t="s">
        <v>446</v>
      </c>
      <c r="N599">
        <v>147679</v>
      </c>
      <c r="O599">
        <f>INDEX(Counselor,MATCH(B599,KidIDs,0))</f>
        <v>0</v>
      </c>
      <c r="P599">
        <f>INDEX(Advisors,MATCH(B599,KidIDs,0))</f>
        <v>0</v>
      </c>
      <c r="Q599">
        <f>INDEX(Cohort,MATCH(B599,KidIDs,0))</f>
        <v>0</v>
      </c>
      <c r="R599">
        <f>INDEX(AllCollegeBarrons,MATCH(N599,AllCollegeNCES,0))</f>
        <v>0</v>
      </c>
      <c r="S599">
        <f>INDEX(KidGPAs,MATCH(B599,KidIDs,0))</f>
        <v>0</v>
      </c>
      <c r="T599">
        <f>INDEX(KidSATs,MATCH(B599,KidIDs,0))</f>
        <v>0</v>
      </c>
      <c r="U599">
        <f>INDEX(Strats,MATCH(B599,KidIDs,0))</f>
        <v>0</v>
      </c>
      <c r="V599">
        <f>INDEX(KidRace,MATCH(B599,KidIDs,0))</f>
        <v>0</v>
      </c>
      <c r="W599">
        <f>IF(OR(V599="M",V599="I"),"H",IF(V599="P","A",V599))</f>
        <v>0</v>
      </c>
      <c r="X599">
        <f>INDEX(StudentTargets,MATCH(B599,KidIDs,0))</f>
        <v>0</v>
      </c>
      <c r="Y599">
        <f>INDEX(ReachStudentTargets,MATCH(B599,KidIDs,0))</f>
        <v>0</v>
      </c>
      <c r="Z599">
        <f>IF(OR(M599="Posse"),1,0)</f>
        <v>0</v>
      </c>
      <c r="AA599">
        <f>IF(ISNUMBER(INDEX(AllCollegeGR, MATCH(N599,AllCollegeNCES,0))),ROUND(INDEX(AllCollegeGR, MATCH(N599,AllCollegeNCES,0))+Z599*IF(INDEX(AllCollegeGR, MATCH(N599,AllCollegeNCES,0))&gt;0.7,(1-INDEX(AllCollegeGR, MATCH(N599,AllCollegeNCES,0)))/2,0.15),2),INDEX(AllCollegeGR, MATCH(N599,AllCollegeNCES,0)))</f>
        <v>0</v>
      </c>
      <c r="AB599">
        <f>IF(ISNUMBER(INDEX(AllCollegeAAHGR, MATCH(N599,AllCollegeNCES,0))),ROUND(INDEX(AllCollegeAAHGR, MATCH(N599,AllCollegeNCES,0))+Z599*IF(INDEX(AllCollegeAAHGR, MATCH(N599,AllCollegeNCES,0))&gt;0.7,(1-INDEX(AllCollegeAAHGR, MATCH(N599,AllCollegeNCES,0)))/2,0.15),2),INDEX(AllCollegeAAHGR, MATCH(N599,AllCollegeNCES,0)))</f>
        <v>0</v>
      </c>
      <c r="AC599">
        <f>IF(OR(W599="H",W599="B"),INDEX(AllCollegeSAT25, MATCH(N599,AllCollegeNCES,0)),INDEX(AllCollegeSAT50, MATCH(N599,AllCollegeNCES,0)))</f>
        <v>0</v>
      </c>
      <c r="AD599">
        <f>INDEX(CustomWeightsGPA,MATCH(W599&amp;":"&amp;N599,CustomWeightsIndex,0))</f>
        <v>0</v>
      </c>
      <c r="AE599">
        <f>INDEX(CustomWeightsSAT,MATCH(W599&amp;":"&amp;N599,CustomWeightsIndex,0))</f>
        <v>0</v>
      </c>
      <c r="AF599">
        <f>INDEX(CustomWeightsIntercept,MATCH(W599&amp;":"&amp;N599,CustomWeightsIndex,0))</f>
        <v>0</v>
      </c>
      <c r="AG599">
        <f>AD599*S599+AE599*T599+AF599</f>
        <v>0</v>
      </c>
      <c r="AH599">
        <f>INDEX(CoefficientsGPA,MATCH(W599&amp;":"&amp;R599,CoefficientsIndex,0))</f>
        <v>0</v>
      </c>
      <c r="AI599">
        <f>INDEX(CoefficientsSAT,MATCH(W599&amp;":"&amp;R599,CoefficientsIndex,0))</f>
        <v>0</v>
      </c>
      <c r="AJ599">
        <f>INDEX(CoefficientsIntercept,MATCH(W599&amp;":"&amp;R599,CoefficientsIndex,0))</f>
        <v>0</v>
      </c>
      <c r="AK599">
        <f>AH599*S599+(T599-AC599)*AI599+AJ599</f>
        <v>0</v>
      </c>
      <c r="AL599">
        <f>IF(ISNUMBER(AG599),AG599,AK599)</f>
        <v>0</v>
      </c>
      <c r="AM599">
        <f>IF(ISNUMBER(AL599),IF(ISNUMBER(AH599),IF(AND(AH599=1,AI599=1,AJ599=1),100,MIN(99,ROUND(100*EXP(AL599)/(1+EXP(AL599)),2))),MIN(99,ROUND(100*EXP(AL599)/(1+EXP(AL599)),2))),IF(ISTEXT(R599),IF(LEFT(R599,1)="2",100,"N/A"),"N/A"))</f>
        <v>0</v>
      </c>
      <c r="AN599">
        <f>IF(ISNUMBER(AM599),IF(AM599&gt;=99,IF(OR(U599=10,U599=11),MatchLabel,SureThingLabel),IF(AM599&gt;=95,SecureLabel,IF(AM599&gt;=80,SafetyLabel,IF(AM599&gt;=50,MatchLabel,IF(AM599&gt;=20,ReachLabel,IF(AM599&gt;=10,LongshotLabel,HailMaryLabel)))))),"Other")</f>
        <v>0</v>
      </c>
      <c r="AO599">
        <f>IF(OR(I599="accepted",I599="cond. accept",I599="summer admit"),IF(J599="yes","CHOICE!","Accepted!"),IF(I599="guar. transfer","Guar. Xfer",IF(I599="denied","Denied",IF(K599=1,"Waitlist",IF(L599=1,"Deferred",IF(G599="pending","Pending",IF(OR(G599="initial materials submitted",G599="mid-year submitted",G599="final submitted"),"Submitted",IF(H599="interest","Interest","?"))))))))</f>
        <v>0</v>
      </c>
      <c r="AP599">
        <f>IF(OR(AN599=ReachLabel,AN599=LongshotLabel,AN599=HailMaryLabel),1,0)</f>
        <v>0</v>
      </c>
      <c r="AQ599">
        <f>IF(OR(AP599=1,AN599=MatchLabel),1,0)</f>
        <v>0</v>
      </c>
      <c r="AR599">
        <f>IF(OR(AN599=MatchLabel,AN599=SafetyLabel,AN599=SecureLabel,AN599=SureThingLabel),1,0)</f>
        <v>0</v>
      </c>
      <c r="AS599">
        <f>IF(OR(W599="H",W599="B",W599="I",W599="M"),IF(ISNUMBER(AB599),ROUND(AB599,2),0),IF(ISNUMBER(AA599),ROUND(AA599,2),0))</f>
        <v>0</v>
      </c>
      <c r="AT599">
        <f>IF(AS599&gt;=X599,1,0)</f>
        <v>0</v>
      </c>
      <c r="AU599">
        <f>IF(AS599&gt;=Y599,1,0)</f>
        <v>0</v>
      </c>
      <c r="AV599">
        <f>IF(AS599&lt;(X599-0.10),1,0)</f>
        <v>0</v>
      </c>
      <c r="AW599">
        <f>1-AM599/100</f>
        <v>0</v>
      </c>
      <c r="AX599">
        <f>IF(AQ599=1,AW599,1)</f>
        <v>0</v>
      </c>
      <c r="AY599">
        <f>IF(AP599=1,AW599,1)</f>
        <v>0</v>
      </c>
      <c r="AZ599">
        <f>IF(AND(AT599=1,ISNUMBER(AW599)),$AW599,1)</f>
        <v>0</v>
      </c>
      <c r="BA599">
        <f>IF(AND(AU599=1,ISNUMBER(AW599)),$AW599,1)</f>
        <v>0</v>
      </c>
      <c r="BB599">
        <f>IF(ISNUMBER(AB599),INDEX(AllCollegeMoney, MATCH(N599,AllCollegeNCES,0)),0)</f>
        <v>0</v>
      </c>
      <c r="BC599">
        <f>IF(AND(AT599=1,ISNUMBER(AW599),BB599=1),$AW599,1)</f>
        <v>0</v>
      </c>
      <c r="BD599">
        <f>IF(AND(AU599=1,ISNUMBER(AW599),BB599=1),$AW599,1)</f>
        <v>0</v>
      </c>
      <c r="BE599">
        <f>IF(ISNUMBER(AB599),INDEX(AllCollegeILPub, MATCH(N599,AllCollegeNCES,0)),0)</f>
        <v>0</v>
      </c>
      <c r="BF599">
        <f>IF(AN599=ReachLabel,AS599,0)</f>
        <v>0</v>
      </c>
      <c r="BG599">
        <f>IF(AN599=MatchLabel,AS599,0)</f>
        <v>0</v>
      </c>
      <c r="BH599">
        <f>IF(AN599=SafetyLabel,AS599,0)</f>
        <v>0</v>
      </c>
      <c r="BI599">
        <f>IF(AN599=SecureLabel,AS599,0)</f>
        <v>0</v>
      </c>
      <c r="BJ599">
        <f>IF(AN599=SureThingLabel,AS599,0)</f>
        <v>0</v>
      </c>
      <c r="BK599">
        <f>MAX(BF599:BJ599)</f>
        <v>0</v>
      </c>
      <c r="BL599">
        <f>MAX(BG599:BJ599)</f>
        <v>0</v>
      </c>
      <c r="BM599">
        <f>MAX(BH599:BJ599)</f>
        <v>0</v>
      </c>
      <c r="BN599">
        <f>IF(AND(AN599=ReachLabel,BB599=1),AS599,0)</f>
        <v>0</v>
      </c>
      <c r="BO599">
        <f>IF(AND(AN599=MatchLabel,BB599=1),AS599,0)</f>
        <v>0</v>
      </c>
      <c r="BP599">
        <f>IF(AND(AN599=SafetyLabel,BB599=1),AS599,0)</f>
        <v>0</v>
      </c>
      <c r="BQ599">
        <f>IF(AND(AN599=SecureLabel,BB599=1),AS599,0)</f>
        <v>0</v>
      </c>
      <c r="BR599">
        <f>IF(AND(AN599=SureThingLabel,BB599=1),AS599,0)</f>
        <v>0</v>
      </c>
      <c r="BS599">
        <f>MAX(BN599:BR599)</f>
        <v>0</v>
      </c>
      <c r="BT599">
        <f>MAX(BO599:BR599)</f>
        <v>0</v>
      </c>
      <c r="BU599">
        <f>MAX(BP599:BR599)</f>
        <v>0</v>
      </c>
      <c r="BV599">
        <f>IF(ISNUMBER(AB599),INDEX(AllCollegeChicago, MATCH(N599,AllCollegeNCES,0))*BB599,0)</f>
        <v>0</v>
      </c>
      <c r="BW599">
        <f>IF(ISNUMBER(AB599),INDEX(AllCollegeMoneyCode, MATCH(N599,AllCollegeNCES,0)),"?")</f>
        <v>0</v>
      </c>
      <c r="BX599">
        <f>IF(OR(BW599="---",BW599="--",BW599="+/--",BW599="+/---"),1,0)</f>
        <v>0</v>
      </c>
      <c r="BY599">
        <f>BB599*AR599*AT599</f>
        <v>0</v>
      </c>
    </row>
    <row r="600" spans="1:77">
      <c r="A600" t="s">
        <v>96</v>
      </c>
      <c r="B600">
        <v>24090662</v>
      </c>
      <c r="C600" t="s">
        <v>197</v>
      </c>
      <c r="D600" t="s">
        <v>198</v>
      </c>
      <c r="E600" t="s">
        <v>446</v>
      </c>
      <c r="F600" t="s">
        <v>586</v>
      </c>
      <c r="G600" t="s">
        <v>543</v>
      </c>
      <c r="H600" t="s">
        <v>543</v>
      </c>
      <c r="I600" t="s">
        <v>544</v>
      </c>
      <c r="J600" t="s">
        <v>446</v>
      </c>
      <c r="K600" t="s">
        <v>446</v>
      </c>
      <c r="L600" t="s">
        <v>446</v>
      </c>
      <c r="M600" t="s">
        <v>446</v>
      </c>
      <c r="N600">
        <v>148496</v>
      </c>
      <c r="O600">
        <f>INDEX(Counselor,MATCH(B600,KidIDs,0))</f>
        <v>0</v>
      </c>
      <c r="P600">
        <f>INDEX(Advisors,MATCH(B600,KidIDs,0))</f>
        <v>0</v>
      </c>
      <c r="Q600">
        <f>INDEX(Cohort,MATCH(B600,KidIDs,0))</f>
        <v>0</v>
      </c>
      <c r="R600">
        <f>INDEX(AllCollegeBarrons,MATCH(N600,AllCollegeNCES,0))</f>
        <v>0</v>
      </c>
      <c r="S600">
        <f>INDEX(KidGPAs,MATCH(B600,KidIDs,0))</f>
        <v>0</v>
      </c>
      <c r="T600">
        <f>INDEX(KidSATs,MATCH(B600,KidIDs,0))</f>
        <v>0</v>
      </c>
      <c r="U600">
        <f>INDEX(Strats,MATCH(B600,KidIDs,0))</f>
        <v>0</v>
      </c>
      <c r="V600">
        <f>INDEX(KidRace,MATCH(B600,KidIDs,0))</f>
        <v>0</v>
      </c>
      <c r="W600">
        <f>IF(OR(V600="M",V600="I"),"H",IF(V600="P","A",V600))</f>
        <v>0</v>
      </c>
      <c r="X600">
        <f>INDEX(StudentTargets,MATCH(B600,KidIDs,0))</f>
        <v>0</v>
      </c>
      <c r="Y600">
        <f>INDEX(ReachStudentTargets,MATCH(B600,KidIDs,0))</f>
        <v>0</v>
      </c>
      <c r="Z600">
        <f>IF(OR(M600="Posse"),1,0)</f>
        <v>0</v>
      </c>
      <c r="AA600">
        <f>IF(ISNUMBER(INDEX(AllCollegeGR, MATCH(N600,AllCollegeNCES,0))),ROUND(INDEX(AllCollegeGR, MATCH(N600,AllCollegeNCES,0))+Z600*IF(INDEX(AllCollegeGR, MATCH(N600,AllCollegeNCES,0))&gt;0.7,(1-INDEX(AllCollegeGR, MATCH(N600,AllCollegeNCES,0)))/2,0.15),2),INDEX(AllCollegeGR, MATCH(N600,AllCollegeNCES,0)))</f>
        <v>0</v>
      </c>
      <c r="AB600">
        <f>IF(ISNUMBER(INDEX(AllCollegeAAHGR, MATCH(N600,AllCollegeNCES,0))),ROUND(INDEX(AllCollegeAAHGR, MATCH(N600,AllCollegeNCES,0))+Z600*IF(INDEX(AllCollegeAAHGR, MATCH(N600,AllCollegeNCES,0))&gt;0.7,(1-INDEX(AllCollegeAAHGR, MATCH(N600,AllCollegeNCES,0)))/2,0.15),2),INDEX(AllCollegeAAHGR, MATCH(N600,AllCollegeNCES,0)))</f>
        <v>0</v>
      </c>
      <c r="AC600">
        <f>IF(OR(W600="H",W600="B"),INDEX(AllCollegeSAT25, MATCH(N600,AllCollegeNCES,0)),INDEX(AllCollegeSAT50, MATCH(N600,AllCollegeNCES,0)))</f>
        <v>0</v>
      </c>
      <c r="AD600">
        <f>INDEX(CustomWeightsGPA,MATCH(W600&amp;":"&amp;N600,CustomWeightsIndex,0))</f>
        <v>0</v>
      </c>
      <c r="AE600">
        <f>INDEX(CustomWeightsSAT,MATCH(W600&amp;":"&amp;N600,CustomWeightsIndex,0))</f>
        <v>0</v>
      </c>
      <c r="AF600">
        <f>INDEX(CustomWeightsIntercept,MATCH(W600&amp;":"&amp;N600,CustomWeightsIndex,0))</f>
        <v>0</v>
      </c>
      <c r="AG600">
        <f>AD600*S600+AE600*T600+AF600</f>
        <v>0</v>
      </c>
      <c r="AH600">
        <f>INDEX(CoefficientsGPA,MATCH(W600&amp;":"&amp;R600,CoefficientsIndex,0))</f>
        <v>0</v>
      </c>
      <c r="AI600">
        <f>INDEX(CoefficientsSAT,MATCH(W600&amp;":"&amp;R600,CoefficientsIndex,0))</f>
        <v>0</v>
      </c>
      <c r="AJ600">
        <f>INDEX(CoefficientsIntercept,MATCH(W600&amp;":"&amp;R600,CoefficientsIndex,0))</f>
        <v>0</v>
      </c>
      <c r="AK600">
        <f>AH600*S600+(T600-AC600)*AI600+AJ600</f>
        <v>0</v>
      </c>
      <c r="AL600">
        <f>IF(ISNUMBER(AG600),AG600,AK600)</f>
        <v>0</v>
      </c>
      <c r="AM600">
        <f>IF(ISNUMBER(AL600),IF(ISNUMBER(AH600),IF(AND(AH600=1,AI600=1,AJ600=1),100,MIN(99,ROUND(100*EXP(AL600)/(1+EXP(AL600)),2))),MIN(99,ROUND(100*EXP(AL600)/(1+EXP(AL600)),2))),IF(ISTEXT(R600),IF(LEFT(R600,1)="2",100,"N/A"),"N/A"))</f>
        <v>0</v>
      </c>
      <c r="AN600">
        <f>IF(ISNUMBER(AM600),IF(AM600&gt;=99,IF(OR(U600=10,U600=11),MatchLabel,SureThingLabel),IF(AM600&gt;=95,SecureLabel,IF(AM600&gt;=80,SafetyLabel,IF(AM600&gt;=50,MatchLabel,IF(AM600&gt;=20,ReachLabel,IF(AM600&gt;=10,LongshotLabel,HailMaryLabel)))))),"Other")</f>
        <v>0</v>
      </c>
      <c r="AO600">
        <f>IF(OR(I600="accepted",I600="cond. accept",I600="summer admit"),IF(J600="yes","CHOICE!","Accepted!"),IF(I600="guar. transfer","Guar. Xfer",IF(I600="denied","Denied",IF(K600=1,"Waitlist",IF(L600=1,"Deferred",IF(G600="pending","Pending",IF(OR(G600="initial materials submitted",G600="mid-year submitted",G600="final submitted"),"Submitted",IF(H600="interest","Interest","?"))))))))</f>
        <v>0</v>
      </c>
      <c r="AP600">
        <f>IF(OR(AN600=ReachLabel,AN600=LongshotLabel,AN600=HailMaryLabel),1,0)</f>
        <v>0</v>
      </c>
      <c r="AQ600">
        <f>IF(OR(AP600=1,AN600=MatchLabel),1,0)</f>
        <v>0</v>
      </c>
      <c r="AR600">
        <f>IF(OR(AN600=MatchLabel,AN600=SafetyLabel,AN600=SecureLabel,AN600=SureThingLabel),1,0)</f>
        <v>0</v>
      </c>
      <c r="AS600">
        <f>IF(OR(W600="H",W600="B",W600="I",W600="M"),IF(ISNUMBER(AB600),ROUND(AB600,2),0),IF(ISNUMBER(AA600),ROUND(AA600,2),0))</f>
        <v>0</v>
      </c>
      <c r="AT600">
        <f>IF(AS600&gt;=X600,1,0)</f>
        <v>0</v>
      </c>
      <c r="AU600">
        <f>IF(AS600&gt;=Y600,1,0)</f>
        <v>0</v>
      </c>
      <c r="AV600">
        <f>IF(AS600&lt;(X600-0.10),1,0)</f>
        <v>0</v>
      </c>
      <c r="AW600">
        <f>1-AM600/100</f>
        <v>0</v>
      </c>
      <c r="AX600">
        <f>IF(AQ600=1,AW600,1)</f>
        <v>0</v>
      </c>
      <c r="AY600">
        <f>IF(AP600=1,AW600,1)</f>
        <v>0</v>
      </c>
      <c r="AZ600">
        <f>IF(AND(AT600=1,ISNUMBER(AW600)),$AW600,1)</f>
        <v>0</v>
      </c>
      <c r="BA600">
        <f>IF(AND(AU600=1,ISNUMBER(AW600)),$AW600,1)</f>
        <v>0</v>
      </c>
      <c r="BB600">
        <f>IF(ISNUMBER(AB600),INDEX(AllCollegeMoney, MATCH(N600,AllCollegeNCES,0)),0)</f>
        <v>0</v>
      </c>
      <c r="BC600">
        <f>IF(AND(AT600=1,ISNUMBER(AW600),BB600=1),$AW600,1)</f>
        <v>0</v>
      </c>
      <c r="BD600">
        <f>IF(AND(AU600=1,ISNUMBER(AW600),BB600=1),$AW600,1)</f>
        <v>0</v>
      </c>
      <c r="BE600">
        <f>IF(ISNUMBER(AB600),INDEX(AllCollegeILPub, MATCH(N600,AllCollegeNCES,0)),0)</f>
        <v>0</v>
      </c>
      <c r="BF600">
        <f>IF(AN600=ReachLabel,AS600,0)</f>
        <v>0</v>
      </c>
      <c r="BG600">
        <f>IF(AN600=MatchLabel,AS600,0)</f>
        <v>0</v>
      </c>
      <c r="BH600">
        <f>IF(AN600=SafetyLabel,AS600,0)</f>
        <v>0</v>
      </c>
      <c r="BI600">
        <f>IF(AN600=SecureLabel,AS600,0)</f>
        <v>0</v>
      </c>
      <c r="BJ600">
        <f>IF(AN600=SureThingLabel,AS600,0)</f>
        <v>0</v>
      </c>
      <c r="BK600">
        <f>MAX(BF600:BJ600)</f>
        <v>0</v>
      </c>
      <c r="BL600">
        <f>MAX(BG600:BJ600)</f>
        <v>0</v>
      </c>
      <c r="BM600">
        <f>MAX(BH600:BJ600)</f>
        <v>0</v>
      </c>
      <c r="BN600">
        <f>IF(AND(AN600=ReachLabel,BB600=1),AS600,0)</f>
        <v>0</v>
      </c>
      <c r="BO600">
        <f>IF(AND(AN600=MatchLabel,BB600=1),AS600,0)</f>
        <v>0</v>
      </c>
      <c r="BP600">
        <f>IF(AND(AN600=SafetyLabel,BB600=1),AS600,0)</f>
        <v>0</v>
      </c>
      <c r="BQ600">
        <f>IF(AND(AN600=SecureLabel,BB600=1),AS600,0)</f>
        <v>0</v>
      </c>
      <c r="BR600">
        <f>IF(AND(AN600=SureThingLabel,BB600=1),AS600,0)</f>
        <v>0</v>
      </c>
      <c r="BS600">
        <f>MAX(BN600:BR600)</f>
        <v>0</v>
      </c>
      <c r="BT600">
        <f>MAX(BO600:BR600)</f>
        <v>0</v>
      </c>
      <c r="BU600">
        <f>MAX(BP600:BR600)</f>
        <v>0</v>
      </c>
      <c r="BV600">
        <f>IF(ISNUMBER(AB600),INDEX(AllCollegeChicago, MATCH(N600,AllCollegeNCES,0))*BB600,0)</f>
        <v>0</v>
      </c>
      <c r="BW600">
        <f>IF(ISNUMBER(AB600),INDEX(AllCollegeMoneyCode, MATCH(N600,AllCollegeNCES,0)),"?")</f>
        <v>0</v>
      </c>
      <c r="BX600">
        <f>IF(OR(BW600="---",BW600="--",BW600="+/--",BW600="+/---"),1,0)</f>
        <v>0</v>
      </c>
      <c r="BY600">
        <f>BB600*AR600*AT600</f>
        <v>0</v>
      </c>
    </row>
    <row r="601" spans="1:77">
      <c r="A601" t="s">
        <v>96</v>
      </c>
      <c r="B601">
        <v>24090662</v>
      </c>
      <c r="C601" t="s">
        <v>197</v>
      </c>
      <c r="D601" t="s">
        <v>198</v>
      </c>
      <c r="E601" t="s">
        <v>446</v>
      </c>
      <c r="F601" t="s">
        <v>548</v>
      </c>
      <c r="G601" t="s">
        <v>543</v>
      </c>
      <c r="H601" t="s">
        <v>543</v>
      </c>
      <c r="I601" t="s">
        <v>544</v>
      </c>
      <c r="J601" t="s">
        <v>446</v>
      </c>
      <c r="K601" t="s">
        <v>446</v>
      </c>
      <c r="L601" t="s">
        <v>446</v>
      </c>
      <c r="M601" t="s">
        <v>446</v>
      </c>
      <c r="N601">
        <v>168546</v>
      </c>
      <c r="O601">
        <f>INDEX(Counselor,MATCH(B601,KidIDs,0))</f>
        <v>0</v>
      </c>
      <c r="P601">
        <f>INDEX(Advisors,MATCH(B601,KidIDs,0))</f>
        <v>0</v>
      </c>
      <c r="Q601">
        <f>INDEX(Cohort,MATCH(B601,KidIDs,0))</f>
        <v>0</v>
      </c>
      <c r="R601">
        <f>INDEX(AllCollegeBarrons,MATCH(N601,AllCollegeNCES,0))</f>
        <v>0</v>
      </c>
      <c r="S601">
        <f>INDEX(KidGPAs,MATCH(B601,KidIDs,0))</f>
        <v>0</v>
      </c>
      <c r="T601">
        <f>INDEX(KidSATs,MATCH(B601,KidIDs,0))</f>
        <v>0</v>
      </c>
      <c r="U601">
        <f>INDEX(Strats,MATCH(B601,KidIDs,0))</f>
        <v>0</v>
      </c>
      <c r="V601">
        <f>INDEX(KidRace,MATCH(B601,KidIDs,0))</f>
        <v>0</v>
      </c>
      <c r="W601">
        <f>IF(OR(V601="M",V601="I"),"H",IF(V601="P","A",V601))</f>
        <v>0</v>
      </c>
      <c r="X601">
        <f>INDEX(StudentTargets,MATCH(B601,KidIDs,0))</f>
        <v>0</v>
      </c>
      <c r="Y601">
        <f>INDEX(ReachStudentTargets,MATCH(B601,KidIDs,0))</f>
        <v>0</v>
      </c>
      <c r="Z601">
        <f>IF(OR(M601="Posse"),1,0)</f>
        <v>0</v>
      </c>
      <c r="AA601">
        <f>IF(ISNUMBER(INDEX(AllCollegeGR, MATCH(N601,AllCollegeNCES,0))),ROUND(INDEX(AllCollegeGR, MATCH(N601,AllCollegeNCES,0))+Z601*IF(INDEX(AllCollegeGR, MATCH(N601,AllCollegeNCES,0))&gt;0.7,(1-INDEX(AllCollegeGR, MATCH(N601,AllCollegeNCES,0)))/2,0.15),2),INDEX(AllCollegeGR, MATCH(N601,AllCollegeNCES,0)))</f>
        <v>0</v>
      </c>
      <c r="AB601">
        <f>IF(ISNUMBER(INDEX(AllCollegeAAHGR, MATCH(N601,AllCollegeNCES,0))),ROUND(INDEX(AllCollegeAAHGR, MATCH(N601,AllCollegeNCES,0))+Z601*IF(INDEX(AllCollegeAAHGR, MATCH(N601,AllCollegeNCES,0))&gt;0.7,(1-INDEX(AllCollegeAAHGR, MATCH(N601,AllCollegeNCES,0)))/2,0.15),2),INDEX(AllCollegeAAHGR, MATCH(N601,AllCollegeNCES,0)))</f>
        <v>0</v>
      </c>
      <c r="AC601">
        <f>IF(OR(W601="H",W601="B"),INDEX(AllCollegeSAT25, MATCH(N601,AllCollegeNCES,0)),INDEX(AllCollegeSAT50, MATCH(N601,AllCollegeNCES,0)))</f>
        <v>0</v>
      </c>
      <c r="AD601">
        <f>INDEX(CustomWeightsGPA,MATCH(W601&amp;":"&amp;N601,CustomWeightsIndex,0))</f>
        <v>0</v>
      </c>
      <c r="AE601">
        <f>INDEX(CustomWeightsSAT,MATCH(W601&amp;":"&amp;N601,CustomWeightsIndex,0))</f>
        <v>0</v>
      </c>
      <c r="AF601">
        <f>INDEX(CustomWeightsIntercept,MATCH(W601&amp;":"&amp;N601,CustomWeightsIndex,0))</f>
        <v>0</v>
      </c>
      <c r="AG601">
        <f>AD601*S601+AE601*T601+AF601</f>
        <v>0</v>
      </c>
      <c r="AH601">
        <f>INDEX(CoefficientsGPA,MATCH(W601&amp;":"&amp;R601,CoefficientsIndex,0))</f>
        <v>0</v>
      </c>
      <c r="AI601">
        <f>INDEX(CoefficientsSAT,MATCH(W601&amp;":"&amp;R601,CoefficientsIndex,0))</f>
        <v>0</v>
      </c>
      <c r="AJ601">
        <f>INDEX(CoefficientsIntercept,MATCH(W601&amp;":"&amp;R601,CoefficientsIndex,0))</f>
        <v>0</v>
      </c>
      <c r="AK601">
        <f>AH601*S601+(T601-AC601)*AI601+AJ601</f>
        <v>0</v>
      </c>
      <c r="AL601">
        <f>IF(ISNUMBER(AG601),AG601,AK601)</f>
        <v>0</v>
      </c>
      <c r="AM601">
        <f>IF(ISNUMBER(AL601),IF(ISNUMBER(AH601),IF(AND(AH601=1,AI601=1,AJ601=1),100,MIN(99,ROUND(100*EXP(AL601)/(1+EXP(AL601)),2))),MIN(99,ROUND(100*EXP(AL601)/(1+EXP(AL601)),2))),IF(ISTEXT(R601),IF(LEFT(R601,1)="2",100,"N/A"),"N/A"))</f>
        <v>0</v>
      </c>
      <c r="AN601">
        <f>IF(ISNUMBER(AM601),IF(AM601&gt;=99,IF(OR(U601=10,U601=11),MatchLabel,SureThingLabel),IF(AM601&gt;=95,SecureLabel,IF(AM601&gt;=80,SafetyLabel,IF(AM601&gt;=50,MatchLabel,IF(AM601&gt;=20,ReachLabel,IF(AM601&gt;=10,LongshotLabel,HailMaryLabel)))))),"Other")</f>
        <v>0</v>
      </c>
      <c r="AO601">
        <f>IF(OR(I601="accepted",I601="cond. accept",I601="summer admit"),IF(J601="yes","CHOICE!","Accepted!"),IF(I601="guar. transfer","Guar. Xfer",IF(I601="denied","Denied",IF(K601=1,"Waitlist",IF(L601=1,"Deferred",IF(G601="pending","Pending",IF(OR(G601="initial materials submitted",G601="mid-year submitted",G601="final submitted"),"Submitted",IF(H601="interest","Interest","?"))))))))</f>
        <v>0</v>
      </c>
      <c r="AP601">
        <f>IF(OR(AN601=ReachLabel,AN601=LongshotLabel,AN601=HailMaryLabel),1,0)</f>
        <v>0</v>
      </c>
      <c r="AQ601">
        <f>IF(OR(AP601=1,AN601=MatchLabel),1,0)</f>
        <v>0</v>
      </c>
      <c r="AR601">
        <f>IF(OR(AN601=MatchLabel,AN601=SafetyLabel,AN601=SecureLabel,AN601=SureThingLabel),1,0)</f>
        <v>0</v>
      </c>
      <c r="AS601">
        <f>IF(OR(W601="H",W601="B",W601="I",W601="M"),IF(ISNUMBER(AB601),ROUND(AB601,2),0),IF(ISNUMBER(AA601),ROUND(AA601,2),0))</f>
        <v>0</v>
      </c>
      <c r="AT601">
        <f>IF(AS601&gt;=X601,1,0)</f>
        <v>0</v>
      </c>
      <c r="AU601">
        <f>IF(AS601&gt;=Y601,1,0)</f>
        <v>0</v>
      </c>
      <c r="AV601">
        <f>IF(AS601&lt;(X601-0.10),1,0)</f>
        <v>0</v>
      </c>
      <c r="AW601">
        <f>1-AM601/100</f>
        <v>0</v>
      </c>
      <c r="AX601">
        <f>IF(AQ601=1,AW601,1)</f>
        <v>0</v>
      </c>
      <c r="AY601">
        <f>IF(AP601=1,AW601,1)</f>
        <v>0</v>
      </c>
      <c r="AZ601">
        <f>IF(AND(AT601=1,ISNUMBER(AW601)),$AW601,1)</f>
        <v>0</v>
      </c>
      <c r="BA601">
        <f>IF(AND(AU601=1,ISNUMBER(AW601)),$AW601,1)</f>
        <v>0</v>
      </c>
      <c r="BB601">
        <f>IF(ISNUMBER(AB601),INDEX(AllCollegeMoney, MATCH(N601,AllCollegeNCES,0)),0)</f>
        <v>0</v>
      </c>
      <c r="BC601">
        <f>IF(AND(AT601=1,ISNUMBER(AW601),BB601=1),$AW601,1)</f>
        <v>0</v>
      </c>
      <c r="BD601">
        <f>IF(AND(AU601=1,ISNUMBER(AW601),BB601=1),$AW601,1)</f>
        <v>0</v>
      </c>
      <c r="BE601">
        <f>IF(ISNUMBER(AB601),INDEX(AllCollegeILPub, MATCH(N601,AllCollegeNCES,0)),0)</f>
        <v>0</v>
      </c>
      <c r="BF601">
        <f>IF(AN601=ReachLabel,AS601,0)</f>
        <v>0</v>
      </c>
      <c r="BG601">
        <f>IF(AN601=MatchLabel,AS601,0)</f>
        <v>0</v>
      </c>
      <c r="BH601">
        <f>IF(AN601=SafetyLabel,AS601,0)</f>
        <v>0</v>
      </c>
      <c r="BI601">
        <f>IF(AN601=SecureLabel,AS601,0)</f>
        <v>0</v>
      </c>
      <c r="BJ601">
        <f>IF(AN601=SureThingLabel,AS601,0)</f>
        <v>0</v>
      </c>
      <c r="BK601">
        <f>MAX(BF601:BJ601)</f>
        <v>0</v>
      </c>
      <c r="BL601">
        <f>MAX(BG601:BJ601)</f>
        <v>0</v>
      </c>
      <c r="BM601">
        <f>MAX(BH601:BJ601)</f>
        <v>0</v>
      </c>
      <c r="BN601">
        <f>IF(AND(AN601=ReachLabel,BB601=1),AS601,0)</f>
        <v>0</v>
      </c>
      <c r="BO601">
        <f>IF(AND(AN601=MatchLabel,BB601=1),AS601,0)</f>
        <v>0</v>
      </c>
      <c r="BP601">
        <f>IF(AND(AN601=SafetyLabel,BB601=1),AS601,0)</f>
        <v>0</v>
      </c>
      <c r="BQ601">
        <f>IF(AND(AN601=SecureLabel,BB601=1),AS601,0)</f>
        <v>0</v>
      </c>
      <c r="BR601">
        <f>IF(AND(AN601=SureThingLabel,BB601=1),AS601,0)</f>
        <v>0</v>
      </c>
      <c r="BS601">
        <f>MAX(BN601:BR601)</f>
        <v>0</v>
      </c>
      <c r="BT601">
        <f>MAX(BO601:BR601)</f>
        <v>0</v>
      </c>
      <c r="BU601">
        <f>MAX(BP601:BR601)</f>
        <v>0</v>
      </c>
      <c r="BV601">
        <f>IF(ISNUMBER(AB601),INDEX(AllCollegeChicago, MATCH(N601,AllCollegeNCES,0))*BB601,0)</f>
        <v>0</v>
      </c>
      <c r="BW601">
        <f>IF(ISNUMBER(AB601),INDEX(AllCollegeMoneyCode, MATCH(N601,AllCollegeNCES,0)),"?")</f>
        <v>0</v>
      </c>
      <c r="BX601">
        <f>IF(OR(BW601="---",BW601="--",BW601="+/--",BW601="+/---"),1,0)</f>
        <v>0</v>
      </c>
      <c r="BY601">
        <f>BB601*AR601*AT601</f>
        <v>0</v>
      </c>
    </row>
    <row r="602" spans="1:77">
      <c r="A602" t="s">
        <v>96</v>
      </c>
      <c r="B602">
        <v>24090662</v>
      </c>
      <c r="C602" t="s">
        <v>197</v>
      </c>
      <c r="D602" t="s">
        <v>198</v>
      </c>
      <c r="E602" t="s">
        <v>446</v>
      </c>
      <c r="F602" t="s">
        <v>587</v>
      </c>
      <c r="G602" t="s">
        <v>543</v>
      </c>
      <c r="H602" t="s">
        <v>543</v>
      </c>
      <c r="I602" t="s">
        <v>544</v>
      </c>
      <c r="J602" t="s">
        <v>446</v>
      </c>
      <c r="K602" t="s">
        <v>446</v>
      </c>
      <c r="L602" t="s">
        <v>446</v>
      </c>
      <c r="M602" t="s">
        <v>446</v>
      </c>
      <c r="N602">
        <v>174817</v>
      </c>
      <c r="O602">
        <f>INDEX(Counselor,MATCH(B602,KidIDs,0))</f>
        <v>0</v>
      </c>
      <c r="P602">
        <f>INDEX(Advisors,MATCH(B602,KidIDs,0))</f>
        <v>0</v>
      </c>
      <c r="Q602">
        <f>INDEX(Cohort,MATCH(B602,KidIDs,0))</f>
        <v>0</v>
      </c>
      <c r="R602">
        <f>INDEX(AllCollegeBarrons,MATCH(N602,AllCollegeNCES,0))</f>
        <v>0</v>
      </c>
      <c r="S602">
        <f>INDEX(KidGPAs,MATCH(B602,KidIDs,0))</f>
        <v>0</v>
      </c>
      <c r="T602">
        <f>INDEX(KidSATs,MATCH(B602,KidIDs,0))</f>
        <v>0</v>
      </c>
      <c r="U602">
        <f>INDEX(Strats,MATCH(B602,KidIDs,0))</f>
        <v>0</v>
      </c>
      <c r="V602">
        <f>INDEX(KidRace,MATCH(B602,KidIDs,0))</f>
        <v>0</v>
      </c>
      <c r="W602">
        <f>IF(OR(V602="M",V602="I"),"H",IF(V602="P","A",V602))</f>
        <v>0</v>
      </c>
      <c r="X602">
        <f>INDEX(StudentTargets,MATCH(B602,KidIDs,0))</f>
        <v>0</v>
      </c>
      <c r="Y602">
        <f>INDEX(ReachStudentTargets,MATCH(B602,KidIDs,0))</f>
        <v>0</v>
      </c>
      <c r="Z602">
        <f>IF(OR(M602="Posse"),1,0)</f>
        <v>0</v>
      </c>
      <c r="AA602">
        <f>IF(ISNUMBER(INDEX(AllCollegeGR, MATCH(N602,AllCollegeNCES,0))),ROUND(INDEX(AllCollegeGR, MATCH(N602,AllCollegeNCES,0))+Z602*IF(INDEX(AllCollegeGR, MATCH(N602,AllCollegeNCES,0))&gt;0.7,(1-INDEX(AllCollegeGR, MATCH(N602,AllCollegeNCES,0)))/2,0.15),2),INDEX(AllCollegeGR, MATCH(N602,AllCollegeNCES,0)))</f>
        <v>0</v>
      </c>
      <c r="AB602">
        <f>IF(ISNUMBER(INDEX(AllCollegeAAHGR, MATCH(N602,AllCollegeNCES,0))),ROUND(INDEX(AllCollegeAAHGR, MATCH(N602,AllCollegeNCES,0))+Z602*IF(INDEX(AllCollegeAAHGR, MATCH(N602,AllCollegeNCES,0))&gt;0.7,(1-INDEX(AllCollegeAAHGR, MATCH(N602,AllCollegeNCES,0)))/2,0.15),2),INDEX(AllCollegeAAHGR, MATCH(N602,AllCollegeNCES,0)))</f>
        <v>0</v>
      </c>
      <c r="AC602">
        <f>IF(OR(W602="H",W602="B"),INDEX(AllCollegeSAT25, MATCH(N602,AllCollegeNCES,0)),INDEX(AllCollegeSAT50, MATCH(N602,AllCollegeNCES,0)))</f>
        <v>0</v>
      </c>
      <c r="AD602">
        <f>INDEX(CustomWeightsGPA,MATCH(W602&amp;":"&amp;N602,CustomWeightsIndex,0))</f>
        <v>0</v>
      </c>
      <c r="AE602">
        <f>INDEX(CustomWeightsSAT,MATCH(W602&amp;":"&amp;N602,CustomWeightsIndex,0))</f>
        <v>0</v>
      </c>
      <c r="AF602">
        <f>INDEX(CustomWeightsIntercept,MATCH(W602&amp;":"&amp;N602,CustomWeightsIndex,0))</f>
        <v>0</v>
      </c>
      <c r="AG602">
        <f>AD602*S602+AE602*T602+AF602</f>
        <v>0</v>
      </c>
      <c r="AH602">
        <f>INDEX(CoefficientsGPA,MATCH(W602&amp;":"&amp;R602,CoefficientsIndex,0))</f>
        <v>0</v>
      </c>
      <c r="AI602">
        <f>INDEX(CoefficientsSAT,MATCH(W602&amp;":"&amp;R602,CoefficientsIndex,0))</f>
        <v>0</v>
      </c>
      <c r="AJ602">
        <f>INDEX(CoefficientsIntercept,MATCH(W602&amp;":"&amp;R602,CoefficientsIndex,0))</f>
        <v>0</v>
      </c>
      <c r="AK602">
        <f>AH602*S602+(T602-AC602)*AI602+AJ602</f>
        <v>0</v>
      </c>
      <c r="AL602">
        <f>IF(ISNUMBER(AG602),AG602,AK602)</f>
        <v>0</v>
      </c>
      <c r="AM602">
        <f>IF(ISNUMBER(AL602),IF(ISNUMBER(AH602),IF(AND(AH602=1,AI602=1,AJ602=1),100,MIN(99,ROUND(100*EXP(AL602)/(1+EXP(AL602)),2))),MIN(99,ROUND(100*EXP(AL602)/(1+EXP(AL602)),2))),IF(ISTEXT(R602),IF(LEFT(R602,1)="2",100,"N/A"),"N/A"))</f>
        <v>0</v>
      </c>
      <c r="AN602">
        <f>IF(ISNUMBER(AM602),IF(AM602&gt;=99,IF(OR(U602=10,U602=11),MatchLabel,SureThingLabel),IF(AM602&gt;=95,SecureLabel,IF(AM602&gt;=80,SafetyLabel,IF(AM602&gt;=50,MatchLabel,IF(AM602&gt;=20,ReachLabel,IF(AM602&gt;=10,LongshotLabel,HailMaryLabel)))))),"Other")</f>
        <v>0</v>
      </c>
      <c r="AO602">
        <f>IF(OR(I602="accepted",I602="cond. accept",I602="summer admit"),IF(J602="yes","CHOICE!","Accepted!"),IF(I602="guar. transfer","Guar. Xfer",IF(I602="denied","Denied",IF(K602=1,"Waitlist",IF(L602=1,"Deferred",IF(G602="pending","Pending",IF(OR(G602="initial materials submitted",G602="mid-year submitted",G602="final submitted"),"Submitted",IF(H602="interest","Interest","?"))))))))</f>
        <v>0</v>
      </c>
      <c r="AP602">
        <f>IF(OR(AN602=ReachLabel,AN602=LongshotLabel,AN602=HailMaryLabel),1,0)</f>
        <v>0</v>
      </c>
      <c r="AQ602">
        <f>IF(OR(AP602=1,AN602=MatchLabel),1,0)</f>
        <v>0</v>
      </c>
      <c r="AR602">
        <f>IF(OR(AN602=MatchLabel,AN602=SafetyLabel,AN602=SecureLabel,AN602=SureThingLabel),1,0)</f>
        <v>0</v>
      </c>
      <c r="AS602">
        <f>IF(OR(W602="H",W602="B",W602="I",W602="M"),IF(ISNUMBER(AB602),ROUND(AB602,2),0),IF(ISNUMBER(AA602),ROUND(AA602,2),0))</f>
        <v>0</v>
      </c>
      <c r="AT602">
        <f>IF(AS602&gt;=X602,1,0)</f>
        <v>0</v>
      </c>
      <c r="AU602">
        <f>IF(AS602&gt;=Y602,1,0)</f>
        <v>0</v>
      </c>
      <c r="AV602">
        <f>IF(AS602&lt;(X602-0.10),1,0)</f>
        <v>0</v>
      </c>
      <c r="AW602">
        <f>1-AM602/100</f>
        <v>0</v>
      </c>
      <c r="AX602">
        <f>IF(AQ602=1,AW602,1)</f>
        <v>0</v>
      </c>
      <c r="AY602">
        <f>IF(AP602=1,AW602,1)</f>
        <v>0</v>
      </c>
      <c r="AZ602">
        <f>IF(AND(AT602=1,ISNUMBER(AW602)),$AW602,1)</f>
        <v>0</v>
      </c>
      <c r="BA602">
        <f>IF(AND(AU602=1,ISNUMBER(AW602)),$AW602,1)</f>
        <v>0</v>
      </c>
      <c r="BB602">
        <f>IF(ISNUMBER(AB602),INDEX(AllCollegeMoney, MATCH(N602,AllCollegeNCES,0)),0)</f>
        <v>0</v>
      </c>
      <c r="BC602">
        <f>IF(AND(AT602=1,ISNUMBER(AW602),BB602=1),$AW602,1)</f>
        <v>0</v>
      </c>
      <c r="BD602">
        <f>IF(AND(AU602=1,ISNUMBER(AW602),BB602=1),$AW602,1)</f>
        <v>0</v>
      </c>
      <c r="BE602">
        <f>IF(ISNUMBER(AB602),INDEX(AllCollegeILPub, MATCH(N602,AllCollegeNCES,0)),0)</f>
        <v>0</v>
      </c>
      <c r="BF602">
        <f>IF(AN602=ReachLabel,AS602,0)</f>
        <v>0</v>
      </c>
      <c r="BG602">
        <f>IF(AN602=MatchLabel,AS602,0)</f>
        <v>0</v>
      </c>
      <c r="BH602">
        <f>IF(AN602=SafetyLabel,AS602,0)</f>
        <v>0</v>
      </c>
      <c r="BI602">
        <f>IF(AN602=SecureLabel,AS602,0)</f>
        <v>0</v>
      </c>
      <c r="BJ602">
        <f>IF(AN602=SureThingLabel,AS602,0)</f>
        <v>0</v>
      </c>
      <c r="BK602">
        <f>MAX(BF602:BJ602)</f>
        <v>0</v>
      </c>
      <c r="BL602">
        <f>MAX(BG602:BJ602)</f>
        <v>0</v>
      </c>
      <c r="BM602">
        <f>MAX(BH602:BJ602)</f>
        <v>0</v>
      </c>
      <c r="BN602">
        <f>IF(AND(AN602=ReachLabel,BB602=1),AS602,0)</f>
        <v>0</v>
      </c>
      <c r="BO602">
        <f>IF(AND(AN602=MatchLabel,BB602=1),AS602,0)</f>
        <v>0</v>
      </c>
      <c r="BP602">
        <f>IF(AND(AN602=SafetyLabel,BB602=1),AS602,0)</f>
        <v>0</v>
      </c>
      <c r="BQ602">
        <f>IF(AND(AN602=SecureLabel,BB602=1),AS602,0)</f>
        <v>0</v>
      </c>
      <c r="BR602">
        <f>IF(AND(AN602=SureThingLabel,BB602=1),AS602,0)</f>
        <v>0</v>
      </c>
      <c r="BS602">
        <f>MAX(BN602:BR602)</f>
        <v>0</v>
      </c>
      <c r="BT602">
        <f>MAX(BO602:BR602)</f>
        <v>0</v>
      </c>
      <c r="BU602">
        <f>MAX(BP602:BR602)</f>
        <v>0</v>
      </c>
      <c r="BV602">
        <f>IF(ISNUMBER(AB602),INDEX(AllCollegeChicago, MATCH(N602,AllCollegeNCES,0))*BB602,0)</f>
        <v>0</v>
      </c>
      <c r="BW602">
        <f>IF(ISNUMBER(AB602),INDEX(AllCollegeMoneyCode, MATCH(N602,AllCollegeNCES,0)),"?")</f>
        <v>0</v>
      </c>
      <c r="BX602">
        <f>IF(OR(BW602="---",BW602="--",BW602="+/--",BW602="+/---"),1,0)</f>
        <v>0</v>
      </c>
      <c r="BY602">
        <f>BB602*AR602*AT602</f>
        <v>0</v>
      </c>
    </row>
    <row r="603" spans="1:77">
      <c r="A603" t="s">
        <v>96</v>
      </c>
      <c r="B603">
        <v>24090662</v>
      </c>
      <c r="C603" t="s">
        <v>197</v>
      </c>
      <c r="D603" t="s">
        <v>198</v>
      </c>
      <c r="E603" t="s">
        <v>446</v>
      </c>
      <c r="F603" t="s">
        <v>588</v>
      </c>
      <c r="G603" t="s">
        <v>543</v>
      </c>
      <c r="H603" t="s">
        <v>543</v>
      </c>
      <c r="I603" t="s">
        <v>544</v>
      </c>
      <c r="J603" t="s">
        <v>446</v>
      </c>
      <c r="K603" t="s">
        <v>446</v>
      </c>
      <c r="L603" t="s">
        <v>446</v>
      </c>
      <c r="M603" t="s">
        <v>446</v>
      </c>
      <c r="N603">
        <v>232937</v>
      </c>
      <c r="O603">
        <f>INDEX(Counselor,MATCH(B603,KidIDs,0))</f>
        <v>0</v>
      </c>
      <c r="P603">
        <f>INDEX(Advisors,MATCH(B603,KidIDs,0))</f>
        <v>0</v>
      </c>
      <c r="Q603">
        <f>INDEX(Cohort,MATCH(B603,KidIDs,0))</f>
        <v>0</v>
      </c>
      <c r="R603">
        <f>INDEX(AllCollegeBarrons,MATCH(N603,AllCollegeNCES,0))</f>
        <v>0</v>
      </c>
      <c r="S603">
        <f>INDEX(KidGPAs,MATCH(B603,KidIDs,0))</f>
        <v>0</v>
      </c>
      <c r="T603">
        <f>INDEX(KidSATs,MATCH(B603,KidIDs,0))</f>
        <v>0</v>
      </c>
      <c r="U603">
        <f>INDEX(Strats,MATCH(B603,KidIDs,0))</f>
        <v>0</v>
      </c>
      <c r="V603">
        <f>INDEX(KidRace,MATCH(B603,KidIDs,0))</f>
        <v>0</v>
      </c>
      <c r="W603">
        <f>IF(OR(V603="M",V603="I"),"H",IF(V603="P","A",V603))</f>
        <v>0</v>
      </c>
      <c r="X603">
        <f>INDEX(StudentTargets,MATCH(B603,KidIDs,0))</f>
        <v>0</v>
      </c>
      <c r="Y603">
        <f>INDEX(ReachStudentTargets,MATCH(B603,KidIDs,0))</f>
        <v>0</v>
      </c>
      <c r="Z603">
        <f>IF(OR(M603="Posse"),1,0)</f>
        <v>0</v>
      </c>
      <c r="AA603">
        <f>IF(ISNUMBER(INDEX(AllCollegeGR, MATCH(N603,AllCollegeNCES,0))),ROUND(INDEX(AllCollegeGR, MATCH(N603,AllCollegeNCES,0))+Z603*IF(INDEX(AllCollegeGR, MATCH(N603,AllCollegeNCES,0))&gt;0.7,(1-INDEX(AllCollegeGR, MATCH(N603,AllCollegeNCES,0)))/2,0.15),2),INDEX(AllCollegeGR, MATCH(N603,AllCollegeNCES,0)))</f>
        <v>0</v>
      </c>
      <c r="AB603">
        <f>IF(ISNUMBER(INDEX(AllCollegeAAHGR, MATCH(N603,AllCollegeNCES,0))),ROUND(INDEX(AllCollegeAAHGR, MATCH(N603,AllCollegeNCES,0))+Z603*IF(INDEX(AllCollegeAAHGR, MATCH(N603,AllCollegeNCES,0))&gt;0.7,(1-INDEX(AllCollegeAAHGR, MATCH(N603,AllCollegeNCES,0)))/2,0.15),2),INDEX(AllCollegeAAHGR, MATCH(N603,AllCollegeNCES,0)))</f>
        <v>0</v>
      </c>
      <c r="AC603">
        <f>IF(OR(W603="H",W603="B"),INDEX(AllCollegeSAT25, MATCH(N603,AllCollegeNCES,0)),INDEX(AllCollegeSAT50, MATCH(N603,AllCollegeNCES,0)))</f>
        <v>0</v>
      </c>
      <c r="AD603">
        <f>INDEX(CustomWeightsGPA,MATCH(W603&amp;":"&amp;N603,CustomWeightsIndex,0))</f>
        <v>0</v>
      </c>
      <c r="AE603">
        <f>INDEX(CustomWeightsSAT,MATCH(W603&amp;":"&amp;N603,CustomWeightsIndex,0))</f>
        <v>0</v>
      </c>
      <c r="AF603">
        <f>INDEX(CustomWeightsIntercept,MATCH(W603&amp;":"&amp;N603,CustomWeightsIndex,0))</f>
        <v>0</v>
      </c>
      <c r="AG603">
        <f>AD603*S603+AE603*T603+AF603</f>
        <v>0</v>
      </c>
      <c r="AH603">
        <f>INDEX(CoefficientsGPA,MATCH(W603&amp;":"&amp;R603,CoefficientsIndex,0))</f>
        <v>0</v>
      </c>
      <c r="AI603">
        <f>INDEX(CoefficientsSAT,MATCH(W603&amp;":"&amp;R603,CoefficientsIndex,0))</f>
        <v>0</v>
      </c>
      <c r="AJ603">
        <f>INDEX(CoefficientsIntercept,MATCH(W603&amp;":"&amp;R603,CoefficientsIndex,0))</f>
        <v>0</v>
      </c>
      <c r="AK603">
        <f>AH603*S603+(T603-AC603)*AI603+AJ603</f>
        <v>0</v>
      </c>
      <c r="AL603">
        <f>IF(ISNUMBER(AG603),AG603,AK603)</f>
        <v>0</v>
      </c>
      <c r="AM603">
        <f>IF(ISNUMBER(AL603),IF(ISNUMBER(AH603),IF(AND(AH603=1,AI603=1,AJ603=1),100,MIN(99,ROUND(100*EXP(AL603)/(1+EXP(AL603)),2))),MIN(99,ROUND(100*EXP(AL603)/(1+EXP(AL603)),2))),IF(ISTEXT(R603),IF(LEFT(R603,1)="2",100,"N/A"),"N/A"))</f>
        <v>0</v>
      </c>
      <c r="AN603">
        <f>IF(ISNUMBER(AM603),IF(AM603&gt;=99,IF(OR(U603=10,U603=11),MatchLabel,SureThingLabel),IF(AM603&gt;=95,SecureLabel,IF(AM603&gt;=80,SafetyLabel,IF(AM603&gt;=50,MatchLabel,IF(AM603&gt;=20,ReachLabel,IF(AM603&gt;=10,LongshotLabel,HailMaryLabel)))))),"Other")</f>
        <v>0</v>
      </c>
      <c r="AO603">
        <f>IF(OR(I603="accepted",I603="cond. accept",I603="summer admit"),IF(J603="yes","CHOICE!","Accepted!"),IF(I603="guar. transfer","Guar. Xfer",IF(I603="denied","Denied",IF(K603=1,"Waitlist",IF(L603=1,"Deferred",IF(G603="pending","Pending",IF(OR(G603="initial materials submitted",G603="mid-year submitted",G603="final submitted"),"Submitted",IF(H603="interest","Interest","?"))))))))</f>
        <v>0</v>
      </c>
      <c r="AP603">
        <f>IF(OR(AN603=ReachLabel,AN603=LongshotLabel,AN603=HailMaryLabel),1,0)</f>
        <v>0</v>
      </c>
      <c r="AQ603">
        <f>IF(OR(AP603=1,AN603=MatchLabel),1,0)</f>
        <v>0</v>
      </c>
      <c r="AR603">
        <f>IF(OR(AN603=MatchLabel,AN603=SafetyLabel,AN603=SecureLabel,AN603=SureThingLabel),1,0)</f>
        <v>0</v>
      </c>
      <c r="AS603">
        <f>IF(OR(W603="H",W603="B",W603="I",W603="M"),IF(ISNUMBER(AB603),ROUND(AB603,2),0),IF(ISNUMBER(AA603),ROUND(AA603,2),0))</f>
        <v>0</v>
      </c>
      <c r="AT603">
        <f>IF(AS603&gt;=X603,1,0)</f>
        <v>0</v>
      </c>
      <c r="AU603">
        <f>IF(AS603&gt;=Y603,1,0)</f>
        <v>0</v>
      </c>
      <c r="AV603">
        <f>IF(AS603&lt;(X603-0.10),1,0)</f>
        <v>0</v>
      </c>
      <c r="AW603">
        <f>1-AM603/100</f>
        <v>0</v>
      </c>
      <c r="AX603">
        <f>IF(AQ603=1,AW603,1)</f>
        <v>0</v>
      </c>
      <c r="AY603">
        <f>IF(AP603=1,AW603,1)</f>
        <v>0</v>
      </c>
      <c r="AZ603">
        <f>IF(AND(AT603=1,ISNUMBER(AW603)),$AW603,1)</f>
        <v>0</v>
      </c>
      <c r="BA603">
        <f>IF(AND(AU603=1,ISNUMBER(AW603)),$AW603,1)</f>
        <v>0</v>
      </c>
      <c r="BB603">
        <f>IF(ISNUMBER(AB603),INDEX(AllCollegeMoney, MATCH(N603,AllCollegeNCES,0)),0)</f>
        <v>0</v>
      </c>
      <c r="BC603">
        <f>IF(AND(AT603=1,ISNUMBER(AW603),BB603=1),$AW603,1)</f>
        <v>0</v>
      </c>
      <c r="BD603">
        <f>IF(AND(AU603=1,ISNUMBER(AW603),BB603=1),$AW603,1)</f>
        <v>0</v>
      </c>
      <c r="BE603">
        <f>IF(ISNUMBER(AB603),INDEX(AllCollegeILPub, MATCH(N603,AllCollegeNCES,0)),0)</f>
        <v>0</v>
      </c>
      <c r="BF603">
        <f>IF(AN603=ReachLabel,AS603,0)</f>
        <v>0</v>
      </c>
      <c r="BG603">
        <f>IF(AN603=MatchLabel,AS603,0)</f>
        <v>0</v>
      </c>
      <c r="BH603">
        <f>IF(AN603=SafetyLabel,AS603,0)</f>
        <v>0</v>
      </c>
      <c r="BI603">
        <f>IF(AN603=SecureLabel,AS603,0)</f>
        <v>0</v>
      </c>
      <c r="BJ603">
        <f>IF(AN603=SureThingLabel,AS603,0)</f>
        <v>0</v>
      </c>
      <c r="BK603">
        <f>MAX(BF603:BJ603)</f>
        <v>0</v>
      </c>
      <c r="BL603">
        <f>MAX(BG603:BJ603)</f>
        <v>0</v>
      </c>
      <c r="BM603">
        <f>MAX(BH603:BJ603)</f>
        <v>0</v>
      </c>
      <c r="BN603">
        <f>IF(AND(AN603=ReachLabel,BB603=1),AS603,0)</f>
        <v>0</v>
      </c>
      <c r="BO603">
        <f>IF(AND(AN603=MatchLabel,BB603=1),AS603,0)</f>
        <v>0</v>
      </c>
      <c r="BP603">
        <f>IF(AND(AN603=SafetyLabel,BB603=1),AS603,0)</f>
        <v>0</v>
      </c>
      <c r="BQ603">
        <f>IF(AND(AN603=SecureLabel,BB603=1),AS603,0)</f>
        <v>0</v>
      </c>
      <c r="BR603">
        <f>IF(AND(AN603=SureThingLabel,BB603=1),AS603,0)</f>
        <v>0</v>
      </c>
      <c r="BS603">
        <f>MAX(BN603:BR603)</f>
        <v>0</v>
      </c>
      <c r="BT603">
        <f>MAX(BO603:BR603)</f>
        <v>0</v>
      </c>
      <c r="BU603">
        <f>MAX(BP603:BR603)</f>
        <v>0</v>
      </c>
      <c r="BV603">
        <f>IF(ISNUMBER(AB603),INDEX(AllCollegeChicago, MATCH(N603,AllCollegeNCES,0))*BB603,0)</f>
        <v>0</v>
      </c>
      <c r="BW603">
        <f>IF(ISNUMBER(AB603),INDEX(AllCollegeMoneyCode, MATCH(N603,AllCollegeNCES,0)),"?")</f>
        <v>0</v>
      </c>
      <c r="BX603">
        <f>IF(OR(BW603="---",BW603="--",BW603="+/--",BW603="+/---"),1,0)</f>
        <v>0</v>
      </c>
      <c r="BY603">
        <f>BB603*AR603*AT603</f>
        <v>0</v>
      </c>
    </row>
    <row r="604" spans="1:77">
      <c r="A604" t="s">
        <v>96</v>
      </c>
      <c r="B604">
        <v>24090662</v>
      </c>
      <c r="C604" t="s">
        <v>197</v>
      </c>
      <c r="D604" t="s">
        <v>198</v>
      </c>
      <c r="E604" t="s">
        <v>446</v>
      </c>
      <c r="F604" t="s">
        <v>589</v>
      </c>
      <c r="G604" t="s">
        <v>543</v>
      </c>
      <c r="H604" t="s">
        <v>543</v>
      </c>
      <c r="I604" t="s">
        <v>544</v>
      </c>
      <c r="J604" t="s">
        <v>446</v>
      </c>
      <c r="K604" t="s">
        <v>446</v>
      </c>
      <c r="L604" t="s">
        <v>446</v>
      </c>
      <c r="M604" t="s">
        <v>446</v>
      </c>
      <c r="N604">
        <v>143118</v>
      </c>
      <c r="O604">
        <f>INDEX(Counselor,MATCH(B604,KidIDs,0))</f>
        <v>0</v>
      </c>
      <c r="P604">
        <f>INDEX(Advisors,MATCH(B604,KidIDs,0))</f>
        <v>0</v>
      </c>
      <c r="Q604">
        <f>INDEX(Cohort,MATCH(B604,KidIDs,0))</f>
        <v>0</v>
      </c>
      <c r="R604">
        <f>INDEX(AllCollegeBarrons,MATCH(N604,AllCollegeNCES,0))</f>
        <v>0</v>
      </c>
      <c r="S604">
        <f>INDEX(KidGPAs,MATCH(B604,KidIDs,0))</f>
        <v>0</v>
      </c>
      <c r="T604">
        <f>INDEX(KidSATs,MATCH(B604,KidIDs,0))</f>
        <v>0</v>
      </c>
      <c r="U604">
        <f>INDEX(Strats,MATCH(B604,KidIDs,0))</f>
        <v>0</v>
      </c>
      <c r="V604">
        <f>INDEX(KidRace,MATCH(B604,KidIDs,0))</f>
        <v>0</v>
      </c>
      <c r="W604">
        <f>IF(OR(V604="M",V604="I"),"H",IF(V604="P","A",V604))</f>
        <v>0</v>
      </c>
      <c r="X604">
        <f>INDEX(StudentTargets,MATCH(B604,KidIDs,0))</f>
        <v>0</v>
      </c>
      <c r="Y604">
        <f>INDEX(ReachStudentTargets,MATCH(B604,KidIDs,0))</f>
        <v>0</v>
      </c>
      <c r="Z604">
        <f>IF(OR(M604="Posse"),1,0)</f>
        <v>0</v>
      </c>
      <c r="AA604">
        <f>IF(ISNUMBER(INDEX(AllCollegeGR, MATCH(N604,AllCollegeNCES,0))),ROUND(INDEX(AllCollegeGR, MATCH(N604,AllCollegeNCES,0))+Z604*IF(INDEX(AllCollegeGR, MATCH(N604,AllCollegeNCES,0))&gt;0.7,(1-INDEX(AllCollegeGR, MATCH(N604,AllCollegeNCES,0)))/2,0.15),2),INDEX(AllCollegeGR, MATCH(N604,AllCollegeNCES,0)))</f>
        <v>0</v>
      </c>
      <c r="AB604">
        <f>IF(ISNUMBER(INDEX(AllCollegeAAHGR, MATCH(N604,AllCollegeNCES,0))),ROUND(INDEX(AllCollegeAAHGR, MATCH(N604,AllCollegeNCES,0))+Z604*IF(INDEX(AllCollegeAAHGR, MATCH(N604,AllCollegeNCES,0))&gt;0.7,(1-INDEX(AllCollegeAAHGR, MATCH(N604,AllCollegeNCES,0)))/2,0.15),2),INDEX(AllCollegeAAHGR, MATCH(N604,AllCollegeNCES,0)))</f>
        <v>0</v>
      </c>
      <c r="AC604">
        <f>IF(OR(W604="H",W604="B"),INDEX(AllCollegeSAT25, MATCH(N604,AllCollegeNCES,0)),INDEX(AllCollegeSAT50, MATCH(N604,AllCollegeNCES,0)))</f>
        <v>0</v>
      </c>
      <c r="AD604">
        <f>INDEX(CustomWeightsGPA,MATCH(W604&amp;":"&amp;N604,CustomWeightsIndex,0))</f>
        <v>0</v>
      </c>
      <c r="AE604">
        <f>INDEX(CustomWeightsSAT,MATCH(W604&amp;":"&amp;N604,CustomWeightsIndex,0))</f>
        <v>0</v>
      </c>
      <c r="AF604">
        <f>INDEX(CustomWeightsIntercept,MATCH(W604&amp;":"&amp;N604,CustomWeightsIndex,0))</f>
        <v>0</v>
      </c>
      <c r="AG604">
        <f>AD604*S604+AE604*T604+AF604</f>
        <v>0</v>
      </c>
      <c r="AH604">
        <f>INDEX(CoefficientsGPA,MATCH(W604&amp;":"&amp;R604,CoefficientsIndex,0))</f>
        <v>0</v>
      </c>
      <c r="AI604">
        <f>INDEX(CoefficientsSAT,MATCH(W604&amp;":"&amp;R604,CoefficientsIndex,0))</f>
        <v>0</v>
      </c>
      <c r="AJ604">
        <f>INDEX(CoefficientsIntercept,MATCH(W604&amp;":"&amp;R604,CoefficientsIndex,0))</f>
        <v>0</v>
      </c>
      <c r="AK604">
        <f>AH604*S604+(T604-AC604)*AI604+AJ604</f>
        <v>0</v>
      </c>
      <c r="AL604">
        <f>IF(ISNUMBER(AG604),AG604,AK604)</f>
        <v>0</v>
      </c>
      <c r="AM604">
        <f>IF(ISNUMBER(AL604),IF(ISNUMBER(AH604),IF(AND(AH604=1,AI604=1,AJ604=1),100,MIN(99,ROUND(100*EXP(AL604)/(1+EXP(AL604)),2))),MIN(99,ROUND(100*EXP(AL604)/(1+EXP(AL604)),2))),IF(ISTEXT(R604),IF(LEFT(R604,1)="2",100,"N/A"),"N/A"))</f>
        <v>0</v>
      </c>
      <c r="AN604">
        <f>IF(ISNUMBER(AM604),IF(AM604&gt;=99,IF(OR(U604=10,U604=11),MatchLabel,SureThingLabel),IF(AM604&gt;=95,SecureLabel,IF(AM604&gt;=80,SafetyLabel,IF(AM604&gt;=50,MatchLabel,IF(AM604&gt;=20,ReachLabel,IF(AM604&gt;=10,LongshotLabel,HailMaryLabel)))))),"Other")</f>
        <v>0</v>
      </c>
      <c r="AO604">
        <f>IF(OR(I604="accepted",I604="cond. accept",I604="summer admit"),IF(J604="yes","CHOICE!","Accepted!"),IF(I604="guar. transfer","Guar. Xfer",IF(I604="denied","Denied",IF(K604=1,"Waitlist",IF(L604=1,"Deferred",IF(G604="pending","Pending",IF(OR(G604="initial materials submitted",G604="mid-year submitted",G604="final submitted"),"Submitted",IF(H604="interest","Interest","?"))))))))</f>
        <v>0</v>
      </c>
      <c r="AP604">
        <f>IF(OR(AN604=ReachLabel,AN604=LongshotLabel,AN604=HailMaryLabel),1,0)</f>
        <v>0</v>
      </c>
      <c r="AQ604">
        <f>IF(OR(AP604=1,AN604=MatchLabel),1,0)</f>
        <v>0</v>
      </c>
      <c r="AR604">
        <f>IF(OR(AN604=MatchLabel,AN604=SafetyLabel,AN604=SecureLabel,AN604=SureThingLabel),1,0)</f>
        <v>0</v>
      </c>
      <c r="AS604">
        <f>IF(OR(W604="H",W604="B",W604="I",W604="M"),IF(ISNUMBER(AB604),ROUND(AB604,2),0),IF(ISNUMBER(AA604),ROUND(AA604,2),0))</f>
        <v>0</v>
      </c>
      <c r="AT604">
        <f>IF(AS604&gt;=X604,1,0)</f>
        <v>0</v>
      </c>
      <c r="AU604">
        <f>IF(AS604&gt;=Y604,1,0)</f>
        <v>0</v>
      </c>
      <c r="AV604">
        <f>IF(AS604&lt;(X604-0.10),1,0)</f>
        <v>0</v>
      </c>
      <c r="AW604">
        <f>1-AM604/100</f>
        <v>0</v>
      </c>
      <c r="AX604">
        <f>IF(AQ604=1,AW604,1)</f>
        <v>0</v>
      </c>
      <c r="AY604">
        <f>IF(AP604=1,AW604,1)</f>
        <v>0</v>
      </c>
      <c r="AZ604">
        <f>IF(AND(AT604=1,ISNUMBER(AW604)),$AW604,1)</f>
        <v>0</v>
      </c>
      <c r="BA604">
        <f>IF(AND(AU604=1,ISNUMBER(AW604)),$AW604,1)</f>
        <v>0</v>
      </c>
      <c r="BB604">
        <f>IF(ISNUMBER(AB604),INDEX(AllCollegeMoney, MATCH(N604,AllCollegeNCES,0)),0)</f>
        <v>0</v>
      </c>
      <c r="BC604">
        <f>IF(AND(AT604=1,ISNUMBER(AW604),BB604=1),$AW604,1)</f>
        <v>0</v>
      </c>
      <c r="BD604">
        <f>IF(AND(AU604=1,ISNUMBER(AW604),BB604=1),$AW604,1)</f>
        <v>0</v>
      </c>
      <c r="BE604">
        <f>IF(ISNUMBER(AB604),INDEX(AllCollegeILPub, MATCH(N604,AllCollegeNCES,0)),0)</f>
        <v>0</v>
      </c>
      <c r="BF604">
        <f>IF(AN604=ReachLabel,AS604,0)</f>
        <v>0</v>
      </c>
      <c r="BG604">
        <f>IF(AN604=MatchLabel,AS604,0)</f>
        <v>0</v>
      </c>
      <c r="BH604">
        <f>IF(AN604=SafetyLabel,AS604,0)</f>
        <v>0</v>
      </c>
      <c r="BI604">
        <f>IF(AN604=SecureLabel,AS604,0)</f>
        <v>0</v>
      </c>
      <c r="BJ604">
        <f>IF(AN604=SureThingLabel,AS604,0)</f>
        <v>0</v>
      </c>
      <c r="BK604">
        <f>MAX(BF604:BJ604)</f>
        <v>0</v>
      </c>
      <c r="BL604">
        <f>MAX(BG604:BJ604)</f>
        <v>0</v>
      </c>
      <c r="BM604">
        <f>MAX(BH604:BJ604)</f>
        <v>0</v>
      </c>
      <c r="BN604">
        <f>IF(AND(AN604=ReachLabel,BB604=1),AS604,0)</f>
        <v>0</v>
      </c>
      <c r="BO604">
        <f>IF(AND(AN604=MatchLabel,BB604=1),AS604,0)</f>
        <v>0</v>
      </c>
      <c r="BP604">
        <f>IF(AND(AN604=SafetyLabel,BB604=1),AS604,0)</f>
        <v>0</v>
      </c>
      <c r="BQ604">
        <f>IF(AND(AN604=SecureLabel,BB604=1),AS604,0)</f>
        <v>0</v>
      </c>
      <c r="BR604">
        <f>IF(AND(AN604=SureThingLabel,BB604=1),AS604,0)</f>
        <v>0</v>
      </c>
      <c r="BS604">
        <f>MAX(BN604:BR604)</f>
        <v>0</v>
      </c>
      <c r="BT604">
        <f>MAX(BO604:BR604)</f>
        <v>0</v>
      </c>
      <c r="BU604">
        <f>MAX(BP604:BR604)</f>
        <v>0</v>
      </c>
      <c r="BV604">
        <f>IF(ISNUMBER(AB604),INDEX(AllCollegeChicago, MATCH(N604,AllCollegeNCES,0))*BB604,0)</f>
        <v>0</v>
      </c>
      <c r="BW604">
        <f>IF(ISNUMBER(AB604),INDEX(AllCollegeMoneyCode, MATCH(N604,AllCollegeNCES,0)),"?")</f>
        <v>0</v>
      </c>
      <c r="BX604">
        <f>IF(OR(BW604="---",BW604="--",BW604="+/--",BW604="+/---"),1,0)</f>
        <v>0</v>
      </c>
      <c r="BY604">
        <f>BB604*AR604*AT604</f>
        <v>0</v>
      </c>
    </row>
    <row r="605" spans="1:77">
      <c r="A605" t="s">
        <v>96</v>
      </c>
      <c r="B605">
        <v>24090662</v>
      </c>
      <c r="C605" t="s">
        <v>197</v>
      </c>
      <c r="D605" t="s">
        <v>198</v>
      </c>
      <c r="E605" t="s">
        <v>446</v>
      </c>
      <c r="F605" t="s">
        <v>590</v>
      </c>
      <c r="G605" t="s">
        <v>543</v>
      </c>
      <c r="H605" t="s">
        <v>543</v>
      </c>
      <c r="I605" t="s">
        <v>544</v>
      </c>
      <c r="J605" t="s">
        <v>446</v>
      </c>
      <c r="K605" t="s">
        <v>446</v>
      </c>
      <c r="L605" t="s">
        <v>446</v>
      </c>
      <c r="M605" t="s">
        <v>446</v>
      </c>
      <c r="N605">
        <v>169248</v>
      </c>
      <c r="O605">
        <f>INDEX(Counselor,MATCH(B605,KidIDs,0))</f>
        <v>0</v>
      </c>
      <c r="P605">
        <f>INDEX(Advisors,MATCH(B605,KidIDs,0))</f>
        <v>0</v>
      </c>
      <c r="Q605">
        <f>INDEX(Cohort,MATCH(B605,KidIDs,0))</f>
        <v>0</v>
      </c>
      <c r="R605">
        <f>INDEX(AllCollegeBarrons,MATCH(N605,AllCollegeNCES,0))</f>
        <v>0</v>
      </c>
      <c r="S605">
        <f>INDEX(KidGPAs,MATCH(B605,KidIDs,0))</f>
        <v>0</v>
      </c>
      <c r="T605">
        <f>INDEX(KidSATs,MATCH(B605,KidIDs,0))</f>
        <v>0</v>
      </c>
      <c r="U605">
        <f>INDEX(Strats,MATCH(B605,KidIDs,0))</f>
        <v>0</v>
      </c>
      <c r="V605">
        <f>INDEX(KidRace,MATCH(B605,KidIDs,0))</f>
        <v>0</v>
      </c>
      <c r="W605">
        <f>IF(OR(V605="M",V605="I"),"H",IF(V605="P","A",V605))</f>
        <v>0</v>
      </c>
      <c r="X605">
        <f>INDEX(StudentTargets,MATCH(B605,KidIDs,0))</f>
        <v>0</v>
      </c>
      <c r="Y605">
        <f>INDEX(ReachStudentTargets,MATCH(B605,KidIDs,0))</f>
        <v>0</v>
      </c>
      <c r="Z605">
        <f>IF(OR(M605="Posse"),1,0)</f>
        <v>0</v>
      </c>
      <c r="AA605">
        <f>IF(ISNUMBER(INDEX(AllCollegeGR, MATCH(N605,AllCollegeNCES,0))),ROUND(INDEX(AllCollegeGR, MATCH(N605,AllCollegeNCES,0))+Z605*IF(INDEX(AllCollegeGR, MATCH(N605,AllCollegeNCES,0))&gt;0.7,(1-INDEX(AllCollegeGR, MATCH(N605,AllCollegeNCES,0)))/2,0.15),2),INDEX(AllCollegeGR, MATCH(N605,AllCollegeNCES,0)))</f>
        <v>0</v>
      </c>
      <c r="AB605">
        <f>IF(ISNUMBER(INDEX(AllCollegeAAHGR, MATCH(N605,AllCollegeNCES,0))),ROUND(INDEX(AllCollegeAAHGR, MATCH(N605,AllCollegeNCES,0))+Z605*IF(INDEX(AllCollegeAAHGR, MATCH(N605,AllCollegeNCES,0))&gt;0.7,(1-INDEX(AllCollegeAAHGR, MATCH(N605,AllCollegeNCES,0)))/2,0.15),2),INDEX(AllCollegeAAHGR, MATCH(N605,AllCollegeNCES,0)))</f>
        <v>0</v>
      </c>
      <c r="AC605">
        <f>IF(OR(W605="H",W605="B"),INDEX(AllCollegeSAT25, MATCH(N605,AllCollegeNCES,0)),INDEX(AllCollegeSAT50, MATCH(N605,AllCollegeNCES,0)))</f>
        <v>0</v>
      </c>
      <c r="AD605">
        <f>INDEX(CustomWeightsGPA,MATCH(W605&amp;":"&amp;N605,CustomWeightsIndex,0))</f>
        <v>0</v>
      </c>
      <c r="AE605">
        <f>INDEX(CustomWeightsSAT,MATCH(W605&amp;":"&amp;N605,CustomWeightsIndex,0))</f>
        <v>0</v>
      </c>
      <c r="AF605">
        <f>INDEX(CustomWeightsIntercept,MATCH(W605&amp;":"&amp;N605,CustomWeightsIndex,0))</f>
        <v>0</v>
      </c>
      <c r="AG605">
        <f>AD605*S605+AE605*T605+AF605</f>
        <v>0</v>
      </c>
      <c r="AH605">
        <f>INDEX(CoefficientsGPA,MATCH(W605&amp;":"&amp;R605,CoefficientsIndex,0))</f>
        <v>0</v>
      </c>
      <c r="AI605">
        <f>INDEX(CoefficientsSAT,MATCH(W605&amp;":"&amp;R605,CoefficientsIndex,0))</f>
        <v>0</v>
      </c>
      <c r="AJ605">
        <f>INDEX(CoefficientsIntercept,MATCH(W605&amp;":"&amp;R605,CoefficientsIndex,0))</f>
        <v>0</v>
      </c>
      <c r="AK605">
        <f>AH605*S605+(T605-AC605)*AI605+AJ605</f>
        <v>0</v>
      </c>
      <c r="AL605">
        <f>IF(ISNUMBER(AG605),AG605,AK605)</f>
        <v>0</v>
      </c>
      <c r="AM605">
        <f>IF(ISNUMBER(AL605),IF(ISNUMBER(AH605),IF(AND(AH605=1,AI605=1,AJ605=1),100,MIN(99,ROUND(100*EXP(AL605)/(1+EXP(AL605)),2))),MIN(99,ROUND(100*EXP(AL605)/(1+EXP(AL605)),2))),IF(ISTEXT(R605),IF(LEFT(R605,1)="2",100,"N/A"),"N/A"))</f>
        <v>0</v>
      </c>
      <c r="AN605">
        <f>IF(ISNUMBER(AM605),IF(AM605&gt;=99,IF(OR(U605=10,U605=11),MatchLabel,SureThingLabel),IF(AM605&gt;=95,SecureLabel,IF(AM605&gt;=80,SafetyLabel,IF(AM605&gt;=50,MatchLabel,IF(AM605&gt;=20,ReachLabel,IF(AM605&gt;=10,LongshotLabel,HailMaryLabel)))))),"Other")</f>
        <v>0</v>
      </c>
      <c r="AO605">
        <f>IF(OR(I605="accepted",I605="cond. accept",I605="summer admit"),IF(J605="yes","CHOICE!","Accepted!"),IF(I605="guar. transfer","Guar. Xfer",IF(I605="denied","Denied",IF(K605=1,"Waitlist",IF(L605=1,"Deferred",IF(G605="pending","Pending",IF(OR(G605="initial materials submitted",G605="mid-year submitted",G605="final submitted"),"Submitted",IF(H605="interest","Interest","?"))))))))</f>
        <v>0</v>
      </c>
      <c r="AP605">
        <f>IF(OR(AN605=ReachLabel,AN605=LongshotLabel,AN605=HailMaryLabel),1,0)</f>
        <v>0</v>
      </c>
      <c r="AQ605">
        <f>IF(OR(AP605=1,AN605=MatchLabel),1,0)</f>
        <v>0</v>
      </c>
      <c r="AR605">
        <f>IF(OR(AN605=MatchLabel,AN605=SafetyLabel,AN605=SecureLabel,AN605=SureThingLabel),1,0)</f>
        <v>0</v>
      </c>
      <c r="AS605">
        <f>IF(OR(W605="H",W605="B",W605="I",W605="M"),IF(ISNUMBER(AB605),ROUND(AB605,2),0),IF(ISNUMBER(AA605),ROUND(AA605,2),0))</f>
        <v>0</v>
      </c>
      <c r="AT605">
        <f>IF(AS605&gt;=X605,1,0)</f>
        <v>0</v>
      </c>
      <c r="AU605">
        <f>IF(AS605&gt;=Y605,1,0)</f>
        <v>0</v>
      </c>
      <c r="AV605">
        <f>IF(AS605&lt;(X605-0.10),1,0)</f>
        <v>0</v>
      </c>
      <c r="AW605">
        <f>1-AM605/100</f>
        <v>0</v>
      </c>
      <c r="AX605">
        <f>IF(AQ605=1,AW605,1)</f>
        <v>0</v>
      </c>
      <c r="AY605">
        <f>IF(AP605=1,AW605,1)</f>
        <v>0</v>
      </c>
      <c r="AZ605">
        <f>IF(AND(AT605=1,ISNUMBER(AW605)),$AW605,1)</f>
        <v>0</v>
      </c>
      <c r="BA605">
        <f>IF(AND(AU605=1,ISNUMBER(AW605)),$AW605,1)</f>
        <v>0</v>
      </c>
      <c r="BB605">
        <f>IF(ISNUMBER(AB605),INDEX(AllCollegeMoney, MATCH(N605,AllCollegeNCES,0)),0)</f>
        <v>0</v>
      </c>
      <c r="BC605">
        <f>IF(AND(AT605=1,ISNUMBER(AW605),BB605=1),$AW605,1)</f>
        <v>0</v>
      </c>
      <c r="BD605">
        <f>IF(AND(AU605=1,ISNUMBER(AW605),BB605=1),$AW605,1)</f>
        <v>0</v>
      </c>
      <c r="BE605">
        <f>IF(ISNUMBER(AB605),INDEX(AllCollegeILPub, MATCH(N605,AllCollegeNCES,0)),0)</f>
        <v>0</v>
      </c>
      <c r="BF605">
        <f>IF(AN605=ReachLabel,AS605,0)</f>
        <v>0</v>
      </c>
      <c r="BG605">
        <f>IF(AN605=MatchLabel,AS605,0)</f>
        <v>0</v>
      </c>
      <c r="BH605">
        <f>IF(AN605=SafetyLabel,AS605,0)</f>
        <v>0</v>
      </c>
      <c r="BI605">
        <f>IF(AN605=SecureLabel,AS605,0)</f>
        <v>0</v>
      </c>
      <c r="BJ605">
        <f>IF(AN605=SureThingLabel,AS605,0)</f>
        <v>0</v>
      </c>
      <c r="BK605">
        <f>MAX(BF605:BJ605)</f>
        <v>0</v>
      </c>
      <c r="BL605">
        <f>MAX(BG605:BJ605)</f>
        <v>0</v>
      </c>
      <c r="BM605">
        <f>MAX(BH605:BJ605)</f>
        <v>0</v>
      </c>
      <c r="BN605">
        <f>IF(AND(AN605=ReachLabel,BB605=1),AS605,0)</f>
        <v>0</v>
      </c>
      <c r="BO605">
        <f>IF(AND(AN605=MatchLabel,BB605=1),AS605,0)</f>
        <v>0</v>
      </c>
      <c r="BP605">
        <f>IF(AND(AN605=SafetyLabel,BB605=1),AS605,0)</f>
        <v>0</v>
      </c>
      <c r="BQ605">
        <f>IF(AND(AN605=SecureLabel,BB605=1),AS605,0)</f>
        <v>0</v>
      </c>
      <c r="BR605">
        <f>IF(AND(AN605=SureThingLabel,BB605=1),AS605,0)</f>
        <v>0</v>
      </c>
      <c r="BS605">
        <f>MAX(BN605:BR605)</f>
        <v>0</v>
      </c>
      <c r="BT605">
        <f>MAX(BO605:BR605)</f>
        <v>0</v>
      </c>
      <c r="BU605">
        <f>MAX(BP605:BR605)</f>
        <v>0</v>
      </c>
      <c r="BV605">
        <f>IF(ISNUMBER(AB605),INDEX(AllCollegeChicago, MATCH(N605,AllCollegeNCES,0))*BB605,0)</f>
        <v>0</v>
      </c>
      <c r="BW605">
        <f>IF(ISNUMBER(AB605),INDEX(AllCollegeMoneyCode, MATCH(N605,AllCollegeNCES,0)),"?")</f>
        <v>0</v>
      </c>
      <c r="BX605">
        <f>IF(OR(BW605="---",BW605="--",BW605="+/--",BW605="+/---"),1,0)</f>
        <v>0</v>
      </c>
      <c r="BY605">
        <f>BB605*AR605*AT605</f>
        <v>0</v>
      </c>
    </row>
    <row r="606" spans="1:77">
      <c r="A606" t="s">
        <v>96</v>
      </c>
      <c r="B606">
        <v>24090662</v>
      </c>
      <c r="C606" t="s">
        <v>197</v>
      </c>
      <c r="D606" t="s">
        <v>198</v>
      </c>
      <c r="E606" t="s">
        <v>446</v>
      </c>
      <c r="F606" t="s">
        <v>560</v>
      </c>
      <c r="G606" t="s">
        <v>543</v>
      </c>
      <c r="H606" t="s">
        <v>543</v>
      </c>
      <c r="I606" t="s">
        <v>544</v>
      </c>
      <c r="J606" t="s">
        <v>446</v>
      </c>
      <c r="K606" t="s">
        <v>446</v>
      </c>
      <c r="L606" t="s">
        <v>446</v>
      </c>
      <c r="M606" t="s">
        <v>446</v>
      </c>
      <c r="N606">
        <v>145813</v>
      </c>
      <c r="O606">
        <f>INDEX(Counselor,MATCH(B606,KidIDs,0))</f>
        <v>0</v>
      </c>
      <c r="P606">
        <f>INDEX(Advisors,MATCH(B606,KidIDs,0))</f>
        <v>0</v>
      </c>
      <c r="Q606">
        <f>INDEX(Cohort,MATCH(B606,KidIDs,0))</f>
        <v>0</v>
      </c>
      <c r="R606">
        <f>INDEX(AllCollegeBarrons,MATCH(N606,AllCollegeNCES,0))</f>
        <v>0</v>
      </c>
      <c r="S606">
        <f>INDEX(KidGPAs,MATCH(B606,KidIDs,0))</f>
        <v>0</v>
      </c>
      <c r="T606">
        <f>INDEX(KidSATs,MATCH(B606,KidIDs,0))</f>
        <v>0</v>
      </c>
      <c r="U606">
        <f>INDEX(Strats,MATCH(B606,KidIDs,0))</f>
        <v>0</v>
      </c>
      <c r="V606">
        <f>INDEX(KidRace,MATCH(B606,KidIDs,0))</f>
        <v>0</v>
      </c>
      <c r="W606">
        <f>IF(OR(V606="M",V606="I"),"H",IF(V606="P","A",V606))</f>
        <v>0</v>
      </c>
      <c r="X606">
        <f>INDEX(StudentTargets,MATCH(B606,KidIDs,0))</f>
        <v>0</v>
      </c>
      <c r="Y606">
        <f>INDEX(ReachStudentTargets,MATCH(B606,KidIDs,0))</f>
        <v>0</v>
      </c>
      <c r="Z606">
        <f>IF(OR(M606="Posse"),1,0)</f>
        <v>0</v>
      </c>
      <c r="AA606">
        <f>IF(ISNUMBER(INDEX(AllCollegeGR, MATCH(N606,AllCollegeNCES,0))),ROUND(INDEX(AllCollegeGR, MATCH(N606,AllCollegeNCES,0))+Z606*IF(INDEX(AllCollegeGR, MATCH(N606,AllCollegeNCES,0))&gt;0.7,(1-INDEX(AllCollegeGR, MATCH(N606,AllCollegeNCES,0)))/2,0.15),2),INDEX(AllCollegeGR, MATCH(N606,AllCollegeNCES,0)))</f>
        <v>0</v>
      </c>
      <c r="AB606">
        <f>IF(ISNUMBER(INDEX(AllCollegeAAHGR, MATCH(N606,AllCollegeNCES,0))),ROUND(INDEX(AllCollegeAAHGR, MATCH(N606,AllCollegeNCES,0))+Z606*IF(INDEX(AllCollegeAAHGR, MATCH(N606,AllCollegeNCES,0))&gt;0.7,(1-INDEX(AllCollegeAAHGR, MATCH(N606,AllCollegeNCES,0)))/2,0.15),2),INDEX(AllCollegeAAHGR, MATCH(N606,AllCollegeNCES,0)))</f>
        <v>0</v>
      </c>
      <c r="AC606">
        <f>IF(OR(W606="H",W606="B"),INDEX(AllCollegeSAT25, MATCH(N606,AllCollegeNCES,0)),INDEX(AllCollegeSAT50, MATCH(N606,AllCollegeNCES,0)))</f>
        <v>0</v>
      </c>
      <c r="AD606">
        <f>INDEX(CustomWeightsGPA,MATCH(W606&amp;":"&amp;N606,CustomWeightsIndex,0))</f>
        <v>0</v>
      </c>
      <c r="AE606">
        <f>INDEX(CustomWeightsSAT,MATCH(W606&amp;":"&amp;N606,CustomWeightsIndex,0))</f>
        <v>0</v>
      </c>
      <c r="AF606">
        <f>INDEX(CustomWeightsIntercept,MATCH(W606&amp;":"&amp;N606,CustomWeightsIndex,0))</f>
        <v>0</v>
      </c>
      <c r="AG606">
        <f>AD606*S606+AE606*T606+AF606</f>
        <v>0</v>
      </c>
      <c r="AH606">
        <f>INDEX(CoefficientsGPA,MATCH(W606&amp;":"&amp;R606,CoefficientsIndex,0))</f>
        <v>0</v>
      </c>
      <c r="AI606">
        <f>INDEX(CoefficientsSAT,MATCH(W606&amp;":"&amp;R606,CoefficientsIndex,0))</f>
        <v>0</v>
      </c>
      <c r="AJ606">
        <f>INDEX(CoefficientsIntercept,MATCH(W606&amp;":"&amp;R606,CoefficientsIndex,0))</f>
        <v>0</v>
      </c>
      <c r="AK606">
        <f>AH606*S606+(T606-AC606)*AI606+AJ606</f>
        <v>0</v>
      </c>
      <c r="AL606">
        <f>IF(ISNUMBER(AG606),AG606,AK606)</f>
        <v>0</v>
      </c>
      <c r="AM606">
        <f>IF(ISNUMBER(AL606),IF(ISNUMBER(AH606),IF(AND(AH606=1,AI606=1,AJ606=1),100,MIN(99,ROUND(100*EXP(AL606)/(1+EXP(AL606)),2))),MIN(99,ROUND(100*EXP(AL606)/(1+EXP(AL606)),2))),IF(ISTEXT(R606),IF(LEFT(R606,1)="2",100,"N/A"),"N/A"))</f>
        <v>0</v>
      </c>
      <c r="AN606">
        <f>IF(ISNUMBER(AM606),IF(AM606&gt;=99,IF(OR(U606=10,U606=11),MatchLabel,SureThingLabel),IF(AM606&gt;=95,SecureLabel,IF(AM606&gt;=80,SafetyLabel,IF(AM606&gt;=50,MatchLabel,IF(AM606&gt;=20,ReachLabel,IF(AM606&gt;=10,LongshotLabel,HailMaryLabel)))))),"Other")</f>
        <v>0</v>
      </c>
      <c r="AO606">
        <f>IF(OR(I606="accepted",I606="cond. accept",I606="summer admit"),IF(J606="yes","CHOICE!","Accepted!"),IF(I606="guar. transfer","Guar. Xfer",IF(I606="denied","Denied",IF(K606=1,"Waitlist",IF(L606=1,"Deferred",IF(G606="pending","Pending",IF(OR(G606="initial materials submitted",G606="mid-year submitted",G606="final submitted"),"Submitted",IF(H606="interest","Interest","?"))))))))</f>
        <v>0</v>
      </c>
      <c r="AP606">
        <f>IF(OR(AN606=ReachLabel,AN606=LongshotLabel,AN606=HailMaryLabel),1,0)</f>
        <v>0</v>
      </c>
      <c r="AQ606">
        <f>IF(OR(AP606=1,AN606=MatchLabel),1,0)</f>
        <v>0</v>
      </c>
      <c r="AR606">
        <f>IF(OR(AN606=MatchLabel,AN606=SafetyLabel,AN606=SecureLabel,AN606=SureThingLabel),1,0)</f>
        <v>0</v>
      </c>
      <c r="AS606">
        <f>IF(OR(W606="H",W606="B",W606="I",W606="M"),IF(ISNUMBER(AB606),ROUND(AB606,2),0),IF(ISNUMBER(AA606),ROUND(AA606,2),0))</f>
        <v>0</v>
      </c>
      <c r="AT606">
        <f>IF(AS606&gt;=X606,1,0)</f>
        <v>0</v>
      </c>
      <c r="AU606">
        <f>IF(AS606&gt;=Y606,1,0)</f>
        <v>0</v>
      </c>
      <c r="AV606">
        <f>IF(AS606&lt;(X606-0.10),1,0)</f>
        <v>0</v>
      </c>
      <c r="AW606">
        <f>1-AM606/100</f>
        <v>0</v>
      </c>
      <c r="AX606">
        <f>IF(AQ606=1,AW606,1)</f>
        <v>0</v>
      </c>
      <c r="AY606">
        <f>IF(AP606=1,AW606,1)</f>
        <v>0</v>
      </c>
      <c r="AZ606">
        <f>IF(AND(AT606=1,ISNUMBER(AW606)),$AW606,1)</f>
        <v>0</v>
      </c>
      <c r="BA606">
        <f>IF(AND(AU606=1,ISNUMBER(AW606)),$AW606,1)</f>
        <v>0</v>
      </c>
      <c r="BB606">
        <f>IF(ISNUMBER(AB606),INDEX(AllCollegeMoney, MATCH(N606,AllCollegeNCES,0)),0)</f>
        <v>0</v>
      </c>
      <c r="BC606">
        <f>IF(AND(AT606=1,ISNUMBER(AW606),BB606=1),$AW606,1)</f>
        <v>0</v>
      </c>
      <c r="BD606">
        <f>IF(AND(AU606=1,ISNUMBER(AW606),BB606=1),$AW606,1)</f>
        <v>0</v>
      </c>
      <c r="BE606">
        <f>IF(ISNUMBER(AB606),INDEX(AllCollegeILPub, MATCH(N606,AllCollegeNCES,0)),0)</f>
        <v>0</v>
      </c>
      <c r="BF606">
        <f>IF(AN606=ReachLabel,AS606,0)</f>
        <v>0</v>
      </c>
      <c r="BG606">
        <f>IF(AN606=MatchLabel,AS606,0)</f>
        <v>0</v>
      </c>
      <c r="BH606">
        <f>IF(AN606=SafetyLabel,AS606,0)</f>
        <v>0</v>
      </c>
      <c r="BI606">
        <f>IF(AN606=SecureLabel,AS606,0)</f>
        <v>0</v>
      </c>
      <c r="BJ606">
        <f>IF(AN606=SureThingLabel,AS606,0)</f>
        <v>0</v>
      </c>
      <c r="BK606">
        <f>MAX(BF606:BJ606)</f>
        <v>0</v>
      </c>
      <c r="BL606">
        <f>MAX(BG606:BJ606)</f>
        <v>0</v>
      </c>
      <c r="BM606">
        <f>MAX(BH606:BJ606)</f>
        <v>0</v>
      </c>
      <c r="BN606">
        <f>IF(AND(AN606=ReachLabel,BB606=1),AS606,0)</f>
        <v>0</v>
      </c>
      <c r="BO606">
        <f>IF(AND(AN606=MatchLabel,BB606=1),AS606,0)</f>
        <v>0</v>
      </c>
      <c r="BP606">
        <f>IF(AND(AN606=SafetyLabel,BB606=1),AS606,0)</f>
        <v>0</v>
      </c>
      <c r="BQ606">
        <f>IF(AND(AN606=SecureLabel,BB606=1),AS606,0)</f>
        <v>0</v>
      </c>
      <c r="BR606">
        <f>IF(AND(AN606=SureThingLabel,BB606=1),AS606,0)</f>
        <v>0</v>
      </c>
      <c r="BS606">
        <f>MAX(BN606:BR606)</f>
        <v>0</v>
      </c>
      <c r="BT606">
        <f>MAX(BO606:BR606)</f>
        <v>0</v>
      </c>
      <c r="BU606">
        <f>MAX(BP606:BR606)</f>
        <v>0</v>
      </c>
      <c r="BV606">
        <f>IF(ISNUMBER(AB606),INDEX(AllCollegeChicago, MATCH(N606,AllCollegeNCES,0))*BB606,0)</f>
        <v>0</v>
      </c>
      <c r="BW606">
        <f>IF(ISNUMBER(AB606),INDEX(AllCollegeMoneyCode, MATCH(N606,AllCollegeNCES,0)),"?")</f>
        <v>0</v>
      </c>
      <c r="BX606">
        <f>IF(OR(BW606="---",BW606="--",BW606="+/--",BW606="+/---"),1,0)</f>
        <v>0</v>
      </c>
      <c r="BY606">
        <f>BB606*AR606*AT606</f>
        <v>0</v>
      </c>
    </row>
    <row r="607" spans="1:77">
      <c r="A607" t="s">
        <v>96</v>
      </c>
      <c r="B607">
        <v>24090662</v>
      </c>
      <c r="C607" t="s">
        <v>197</v>
      </c>
      <c r="D607" t="s">
        <v>198</v>
      </c>
      <c r="E607" t="s">
        <v>446</v>
      </c>
      <c r="F607" t="s">
        <v>551</v>
      </c>
      <c r="G607" t="s">
        <v>543</v>
      </c>
      <c r="H607" t="s">
        <v>543</v>
      </c>
      <c r="I607" t="s">
        <v>544</v>
      </c>
      <c r="J607" t="s">
        <v>446</v>
      </c>
      <c r="K607" t="s">
        <v>446</v>
      </c>
      <c r="L607" t="s">
        <v>446</v>
      </c>
      <c r="M607" t="s">
        <v>446</v>
      </c>
      <c r="N607">
        <v>150774</v>
      </c>
      <c r="O607">
        <f>INDEX(Counselor,MATCH(B607,KidIDs,0))</f>
        <v>0</v>
      </c>
      <c r="P607">
        <f>INDEX(Advisors,MATCH(B607,KidIDs,0))</f>
        <v>0</v>
      </c>
      <c r="Q607">
        <f>INDEX(Cohort,MATCH(B607,KidIDs,0))</f>
        <v>0</v>
      </c>
      <c r="R607">
        <f>INDEX(AllCollegeBarrons,MATCH(N607,AllCollegeNCES,0))</f>
        <v>0</v>
      </c>
      <c r="S607">
        <f>INDEX(KidGPAs,MATCH(B607,KidIDs,0))</f>
        <v>0</v>
      </c>
      <c r="T607">
        <f>INDEX(KidSATs,MATCH(B607,KidIDs,0))</f>
        <v>0</v>
      </c>
      <c r="U607">
        <f>INDEX(Strats,MATCH(B607,KidIDs,0))</f>
        <v>0</v>
      </c>
      <c r="V607">
        <f>INDEX(KidRace,MATCH(B607,KidIDs,0))</f>
        <v>0</v>
      </c>
      <c r="W607">
        <f>IF(OR(V607="M",V607="I"),"H",IF(V607="P","A",V607))</f>
        <v>0</v>
      </c>
      <c r="X607">
        <f>INDEX(StudentTargets,MATCH(B607,KidIDs,0))</f>
        <v>0</v>
      </c>
      <c r="Y607">
        <f>INDEX(ReachStudentTargets,MATCH(B607,KidIDs,0))</f>
        <v>0</v>
      </c>
      <c r="Z607">
        <f>IF(OR(M607="Posse"),1,0)</f>
        <v>0</v>
      </c>
      <c r="AA607">
        <f>IF(ISNUMBER(INDEX(AllCollegeGR, MATCH(N607,AllCollegeNCES,0))),ROUND(INDEX(AllCollegeGR, MATCH(N607,AllCollegeNCES,0))+Z607*IF(INDEX(AllCollegeGR, MATCH(N607,AllCollegeNCES,0))&gt;0.7,(1-INDEX(AllCollegeGR, MATCH(N607,AllCollegeNCES,0)))/2,0.15),2),INDEX(AllCollegeGR, MATCH(N607,AllCollegeNCES,0)))</f>
        <v>0</v>
      </c>
      <c r="AB607">
        <f>IF(ISNUMBER(INDEX(AllCollegeAAHGR, MATCH(N607,AllCollegeNCES,0))),ROUND(INDEX(AllCollegeAAHGR, MATCH(N607,AllCollegeNCES,0))+Z607*IF(INDEX(AllCollegeAAHGR, MATCH(N607,AllCollegeNCES,0))&gt;0.7,(1-INDEX(AllCollegeAAHGR, MATCH(N607,AllCollegeNCES,0)))/2,0.15),2),INDEX(AllCollegeAAHGR, MATCH(N607,AllCollegeNCES,0)))</f>
        <v>0</v>
      </c>
      <c r="AC607">
        <f>IF(OR(W607="H",W607="B"),INDEX(AllCollegeSAT25, MATCH(N607,AllCollegeNCES,0)),INDEX(AllCollegeSAT50, MATCH(N607,AllCollegeNCES,0)))</f>
        <v>0</v>
      </c>
      <c r="AD607">
        <f>INDEX(CustomWeightsGPA,MATCH(W607&amp;":"&amp;N607,CustomWeightsIndex,0))</f>
        <v>0</v>
      </c>
      <c r="AE607">
        <f>INDEX(CustomWeightsSAT,MATCH(W607&amp;":"&amp;N607,CustomWeightsIndex,0))</f>
        <v>0</v>
      </c>
      <c r="AF607">
        <f>INDEX(CustomWeightsIntercept,MATCH(W607&amp;":"&amp;N607,CustomWeightsIndex,0))</f>
        <v>0</v>
      </c>
      <c r="AG607">
        <f>AD607*S607+AE607*T607+AF607</f>
        <v>0</v>
      </c>
      <c r="AH607">
        <f>INDEX(CoefficientsGPA,MATCH(W607&amp;":"&amp;R607,CoefficientsIndex,0))</f>
        <v>0</v>
      </c>
      <c r="AI607">
        <f>INDEX(CoefficientsSAT,MATCH(W607&amp;":"&amp;R607,CoefficientsIndex,0))</f>
        <v>0</v>
      </c>
      <c r="AJ607">
        <f>INDEX(CoefficientsIntercept,MATCH(W607&amp;":"&amp;R607,CoefficientsIndex,0))</f>
        <v>0</v>
      </c>
      <c r="AK607">
        <f>AH607*S607+(T607-AC607)*AI607+AJ607</f>
        <v>0</v>
      </c>
      <c r="AL607">
        <f>IF(ISNUMBER(AG607),AG607,AK607)</f>
        <v>0</v>
      </c>
      <c r="AM607">
        <f>IF(ISNUMBER(AL607),IF(ISNUMBER(AH607),IF(AND(AH607=1,AI607=1,AJ607=1),100,MIN(99,ROUND(100*EXP(AL607)/(1+EXP(AL607)),2))),MIN(99,ROUND(100*EXP(AL607)/(1+EXP(AL607)),2))),IF(ISTEXT(R607),IF(LEFT(R607,1)="2",100,"N/A"),"N/A"))</f>
        <v>0</v>
      </c>
      <c r="AN607">
        <f>IF(ISNUMBER(AM607),IF(AM607&gt;=99,IF(OR(U607=10,U607=11),MatchLabel,SureThingLabel),IF(AM607&gt;=95,SecureLabel,IF(AM607&gt;=80,SafetyLabel,IF(AM607&gt;=50,MatchLabel,IF(AM607&gt;=20,ReachLabel,IF(AM607&gt;=10,LongshotLabel,HailMaryLabel)))))),"Other")</f>
        <v>0</v>
      </c>
      <c r="AO607">
        <f>IF(OR(I607="accepted",I607="cond. accept",I607="summer admit"),IF(J607="yes","CHOICE!","Accepted!"),IF(I607="guar. transfer","Guar. Xfer",IF(I607="denied","Denied",IF(K607=1,"Waitlist",IF(L607=1,"Deferred",IF(G607="pending","Pending",IF(OR(G607="initial materials submitted",G607="mid-year submitted",G607="final submitted"),"Submitted",IF(H607="interest","Interest","?"))))))))</f>
        <v>0</v>
      </c>
      <c r="AP607">
        <f>IF(OR(AN607=ReachLabel,AN607=LongshotLabel,AN607=HailMaryLabel),1,0)</f>
        <v>0</v>
      </c>
      <c r="AQ607">
        <f>IF(OR(AP607=1,AN607=MatchLabel),1,0)</f>
        <v>0</v>
      </c>
      <c r="AR607">
        <f>IF(OR(AN607=MatchLabel,AN607=SafetyLabel,AN607=SecureLabel,AN607=SureThingLabel),1,0)</f>
        <v>0</v>
      </c>
      <c r="AS607">
        <f>IF(OR(W607="H",W607="B",W607="I",W607="M"),IF(ISNUMBER(AB607),ROUND(AB607,2),0),IF(ISNUMBER(AA607),ROUND(AA607,2),0))</f>
        <v>0</v>
      </c>
      <c r="AT607">
        <f>IF(AS607&gt;=X607,1,0)</f>
        <v>0</v>
      </c>
      <c r="AU607">
        <f>IF(AS607&gt;=Y607,1,0)</f>
        <v>0</v>
      </c>
      <c r="AV607">
        <f>IF(AS607&lt;(X607-0.10),1,0)</f>
        <v>0</v>
      </c>
      <c r="AW607">
        <f>1-AM607/100</f>
        <v>0</v>
      </c>
      <c r="AX607">
        <f>IF(AQ607=1,AW607,1)</f>
        <v>0</v>
      </c>
      <c r="AY607">
        <f>IF(AP607=1,AW607,1)</f>
        <v>0</v>
      </c>
      <c r="AZ607">
        <f>IF(AND(AT607=1,ISNUMBER(AW607)),$AW607,1)</f>
        <v>0</v>
      </c>
      <c r="BA607">
        <f>IF(AND(AU607=1,ISNUMBER(AW607)),$AW607,1)</f>
        <v>0</v>
      </c>
      <c r="BB607">
        <f>IF(ISNUMBER(AB607),INDEX(AllCollegeMoney, MATCH(N607,AllCollegeNCES,0)),0)</f>
        <v>0</v>
      </c>
      <c r="BC607">
        <f>IF(AND(AT607=1,ISNUMBER(AW607),BB607=1),$AW607,1)</f>
        <v>0</v>
      </c>
      <c r="BD607">
        <f>IF(AND(AU607=1,ISNUMBER(AW607),BB607=1),$AW607,1)</f>
        <v>0</v>
      </c>
      <c r="BE607">
        <f>IF(ISNUMBER(AB607),INDEX(AllCollegeILPub, MATCH(N607,AllCollegeNCES,0)),0)</f>
        <v>0</v>
      </c>
      <c r="BF607">
        <f>IF(AN607=ReachLabel,AS607,0)</f>
        <v>0</v>
      </c>
      <c r="BG607">
        <f>IF(AN607=MatchLabel,AS607,0)</f>
        <v>0</v>
      </c>
      <c r="BH607">
        <f>IF(AN607=SafetyLabel,AS607,0)</f>
        <v>0</v>
      </c>
      <c r="BI607">
        <f>IF(AN607=SecureLabel,AS607,0)</f>
        <v>0</v>
      </c>
      <c r="BJ607">
        <f>IF(AN607=SureThingLabel,AS607,0)</f>
        <v>0</v>
      </c>
      <c r="BK607">
        <f>MAX(BF607:BJ607)</f>
        <v>0</v>
      </c>
      <c r="BL607">
        <f>MAX(BG607:BJ607)</f>
        <v>0</v>
      </c>
      <c r="BM607">
        <f>MAX(BH607:BJ607)</f>
        <v>0</v>
      </c>
      <c r="BN607">
        <f>IF(AND(AN607=ReachLabel,BB607=1),AS607,0)</f>
        <v>0</v>
      </c>
      <c r="BO607">
        <f>IF(AND(AN607=MatchLabel,BB607=1),AS607,0)</f>
        <v>0</v>
      </c>
      <c r="BP607">
        <f>IF(AND(AN607=SafetyLabel,BB607=1),AS607,0)</f>
        <v>0</v>
      </c>
      <c r="BQ607">
        <f>IF(AND(AN607=SecureLabel,BB607=1),AS607,0)</f>
        <v>0</v>
      </c>
      <c r="BR607">
        <f>IF(AND(AN607=SureThingLabel,BB607=1),AS607,0)</f>
        <v>0</v>
      </c>
      <c r="BS607">
        <f>MAX(BN607:BR607)</f>
        <v>0</v>
      </c>
      <c r="BT607">
        <f>MAX(BO607:BR607)</f>
        <v>0</v>
      </c>
      <c r="BU607">
        <f>MAX(BP607:BR607)</f>
        <v>0</v>
      </c>
      <c r="BV607">
        <f>IF(ISNUMBER(AB607),INDEX(AllCollegeChicago, MATCH(N607,AllCollegeNCES,0))*BB607,0)</f>
        <v>0</v>
      </c>
      <c r="BW607">
        <f>IF(ISNUMBER(AB607),INDEX(AllCollegeMoneyCode, MATCH(N607,AllCollegeNCES,0)),"?")</f>
        <v>0</v>
      </c>
      <c r="BX607">
        <f>IF(OR(BW607="---",BW607="--",BW607="+/--",BW607="+/---"),1,0)</f>
        <v>0</v>
      </c>
      <c r="BY607">
        <f>BB607*AR607*AT607</f>
        <v>0</v>
      </c>
    </row>
    <row r="608" spans="1:77">
      <c r="A608" t="s">
        <v>96</v>
      </c>
      <c r="B608">
        <v>24090662</v>
      </c>
      <c r="C608" t="s">
        <v>197</v>
      </c>
      <c r="D608" t="s">
        <v>198</v>
      </c>
      <c r="E608" t="s">
        <v>446</v>
      </c>
      <c r="F608" t="s">
        <v>456</v>
      </c>
      <c r="G608" t="s">
        <v>448</v>
      </c>
      <c r="H608" t="s">
        <v>449</v>
      </c>
      <c r="I608" t="s">
        <v>450</v>
      </c>
      <c r="J608" t="s">
        <v>450</v>
      </c>
      <c r="K608">
        <v>0</v>
      </c>
      <c r="L608" t="s">
        <v>446</v>
      </c>
      <c r="M608" t="s">
        <v>446</v>
      </c>
      <c r="N608">
        <v>149772</v>
      </c>
      <c r="O608">
        <f>INDEX(Counselor,MATCH(B608,KidIDs,0))</f>
        <v>0</v>
      </c>
      <c r="P608">
        <f>INDEX(Advisors,MATCH(B608,KidIDs,0))</f>
        <v>0</v>
      </c>
      <c r="Q608">
        <f>INDEX(Cohort,MATCH(B608,KidIDs,0))</f>
        <v>0</v>
      </c>
      <c r="R608">
        <f>INDEX(AllCollegeBarrons,MATCH(N608,AllCollegeNCES,0))</f>
        <v>0</v>
      </c>
      <c r="S608">
        <f>INDEX(KidGPAs,MATCH(B608,KidIDs,0))</f>
        <v>0</v>
      </c>
      <c r="T608">
        <f>INDEX(KidSATs,MATCH(B608,KidIDs,0))</f>
        <v>0</v>
      </c>
      <c r="U608">
        <f>INDEX(Strats,MATCH(B608,KidIDs,0))</f>
        <v>0</v>
      </c>
      <c r="V608">
        <f>INDEX(KidRace,MATCH(B608,KidIDs,0))</f>
        <v>0</v>
      </c>
      <c r="W608">
        <f>IF(OR(V608="M",V608="I"),"H",IF(V608="P","A",V608))</f>
        <v>0</v>
      </c>
      <c r="X608">
        <f>INDEX(StudentTargets,MATCH(B608,KidIDs,0))</f>
        <v>0</v>
      </c>
      <c r="Y608">
        <f>INDEX(ReachStudentTargets,MATCH(B608,KidIDs,0))</f>
        <v>0</v>
      </c>
      <c r="Z608">
        <f>IF(OR(M608="Posse"),1,0)</f>
        <v>0</v>
      </c>
      <c r="AA608">
        <f>IF(ISNUMBER(INDEX(AllCollegeGR, MATCH(N608,AllCollegeNCES,0))),ROUND(INDEX(AllCollegeGR, MATCH(N608,AllCollegeNCES,0))+Z608*IF(INDEX(AllCollegeGR, MATCH(N608,AllCollegeNCES,0))&gt;0.7,(1-INDEX(AllCollegeGR, MATCH(N608,AllCollegeNCES,0)))/2,0.15),2),INDEX(AllCollegeGR, MATCH(N608,AllCollegeNCES,0)))</f>
        <v>0</v>
      </c>
      <c r="AB608">
        <f>IF(ISNUMBER(INDEX(AllCollegeAAHGR, MATCH(N608,AllCollegeNCES,0))),ROUND(INDEX(AllCollegeAAHGR, MATCH(N608,AllCollegeNCES,0))+Z608*IF(INDEX(AllCollegeAAHGR, MATCH(N608,AllCollegeNCES,0))&gt;0.7,(1-INDEX(AllCollegeAAHGR, MATCH(N608,AllCollegeNCES,0)))/2,0.15),2),INDEX(AllCollegeAAHGR, MATCH(N608,AllCollegeNCES,0)))</f>
        <v>0</v>
      </c>
      <c r="AC608">
        <f>IF(OR(W608="H",W608="B"),INDEX(AllCollegeSAT25, MATCH(N608,AllCollegeNCES,0)),INDEX(AllCollegeSAT50, MATCH(N608,AllCollegeNCES,0)))</f>
        <v>0</v>
      </c>
      <c r="AD608">
        <f>INDEX(CustomWeightsGPA,MATCH(W608&amp;":"&amp;N608,CustomWeightsIndex,0))</f>
        <v>0</v>
      </c>
      <c r="AE608">
        <f>INDEX(CustomWeightsSAT,MATCH(W608&amp;":"&amp;N608,CustomWeightsIndex,0))</f>
        <v>0</v>
      </c>
      <c r="AF608">
        <f>INDEX(CustomWeightsIntercept,MATCH(W608&amp;":"&amp;N608,CustomWeightsIndex,0))</f>
        <v>0</v>
      </c>
      <c r="AG608">
        <f>AD608*S608+AE608*T608+AF608</f>
        <v>0</v>
      </c>
      <c r="AH608">
        <f>INDEX(CoefficientsGPA,MATCH(W608&amp;":"&amp;R608,CoefficientsIndex,0))</f>
        <v>0</v>
      </c>
      <c r="AI608">
        <f>INDEX(CoefficientsSAT,MATCH(W608&amp;":"&amp;R608,CoefficientsIndex,0))</f>
        <v>0</v>
      </c>
      <c r="AJ608">
        <f>INDEX(CoefficientsIntercept,MATCH(W608&amp;":"&amp;R608,CoefficientsIndex,0))</f>
        <v>0</v>
      </c>
      <c r="AK608">
        <f>AH608*S608+(T608-AC608)*AI608+AJ608</f>
        <v>0</v>
      </c>
      <c r="AL608">
        <f>IF(ISNUMBER(AG608),AG608,AK608)</f>
        <v>0</v>
      </c>
      <c r="AM608">
        <f>IF(ISNUMBER(AL608),IF(ISNUMBER(AH608),IF(AND(AH608=1,AI608=1,AJ608=1),100,MIN(99,ROUND(100*EXP(AL608)/(1+EXP(AL608)),2))),MIN(99,ROUND(100*EXP(AL608)/(1+EXP(AL608)),2))),IF(ISTEXT(R608),IF(LEFT(R608,1)="2",100,"N/A"),"N/A"))</f>
        <v>0</v>
      </c>
      <c r="AN608">
        <f>IF(ISNUMBER(AM608),IF(AM608&gt;=99,IF(OR(U608=10,U608=11),MatchLabel,SureThingLabel),IF(AM608&gt;=95,SecureLabel,IF(AM608&gt;=80,SafetyLabel,IF(AM608&gt;=50,MatchLabel,IF(AM608&gt;=20,ReachLabel,IF(AM608&gt;=10,LongshotLabel,HailMaryLabel)))))),"Other")</f>
        <v>0</v>
      </c>
      <c r="AO608">
        <f>IF(OR(I608="accepted",I608="cond. accept",I608="summer admit"),IF(J608="yes","CHOICE!","Accepted!"),IF(I608="guar. transfer","Guar. Xfer",IF(I608="denied","Denied",IF(K608=1,"Waitlist",IF(L608=1,"Deferred",IF(G608="pending","Pending",IF(OR(G608="initial materials submitted",G608="mid-year submitted",G608="final submitted"),"Submitted",IF(H608="interest","Interest","?"))))))))</f>
        <v>0</v>
      </c>
      <c r="AP608">
        <f>IF(OR(AN608=ReachLabel,AN608=LongshotLabel,AN608=HailMaryLabel),1,0)</f>
        <v>0</v>
      </c>
      <c r="AQ608">
        <f>IF(OR(AP608=1,AN608=MatchLabel),1,0)</f>
        <v>0</v>
      </c>
      <c r="AR608">
        <f>IF(OR(AN608=MatchLabel,AN608=SafetyLabel,AN608=SecureLabel,AN608=SureThingLabel),1,0)</f>
        <v>0</v>
      </c>
      <c r="AS608">
        <f>IF(OR(W608="H",W608="B",W608="I",W608="M"),IF(ISNUMBER(AB608),ROUND(AB608,2),0),IF(ISNUMBER(AA608),ROUND(AA608,2),0))</f>
        <v>0</v>
      </c>
      <c r="AT608">
        <f>IF(AS608&gt;=X608,1,0)</f>
        <v>0</v>
      </c>
      <c r="AU608">
        <f>IF(AS608&gt;=Y608,1,0)</f>
        <v>0</v>
      </c>
      <c r="AV608">
        <f>IF(AS608&lt;(X608-0.10),1,0)</f>
        <v>0</v>
      </c>
      <c r="AW608">
        <f>1-AM608/100</f>
        <v>0</v>
      </c>
      <c r="AX608">
        <f>IF(AQ608=1,AW608,1)</f>
        <v>0</v>
      </c>
      <c r="AY608">
        <f>IF(AP608=1,AW608,1)</f>
        <v>0</v>
      </c>
      <c r="AZ608">
        <f>IF(AND(AT608=1,ISNUMBER(AW608)),$AW608,1)</f>
        <v>0</v>
      </c>
      <c r="BA608">
        <f>IF(AND(AU608=1,ISNUMBER(AW608)),$AW608,1)</f>
        <v>0</v>
      </c>
      <c r="BB608">
        <f>IF(ISNUMBER(AB608),INDEX(AllCollegeMoney, MATCH(N608,AllCollegeNCES,0)),0)</f>
        <v>0</v>
      </c>
      <c r="BC608">
        <f>IF(AND(AT608=1,ISNUMBER(AW608),BB608=1),$AW608,1)</f>
        <v>0</v>
      </c>
      <c r="BD608">
        <f>IF(AND(AU608=1,ISNUMBER(AW608),BB608=1),$AW608,1)</f>
        <v>0</v>
      </c>
      <c r="BE608">
        <f>IF(ISNUMBER(AB608),INDEX(AllCollegeILPub, MATCH(N608,AllCollegeNCES,0)),0)</f>
        <v>0</v>
      </c>
      <c r="BF608">
        <f>IF(AN608=ReachLabel,AS608,0)</f>
        <v>0</v>
      </c>
      <c r="BG608">
        <f>IF(AN608=MatchLabel,AS608,0)</f>
        <v>0</v>
      </c>
      <c r="BH608">
        <f>IF(AN608=SafetyLabel,AS608,0)</f>
        <v>0</v>
      </c>
      <c r="BI608">
        <f>IF(AN608=SecureLabel,AS608,0)</f>
        <v>0</v>
      </c>
      <c r="BJ608">
        <f>IF(AN608=SureThingLabel,AS608,0)</f>
        <v>0</v>
      </c>
      <c r="BK608">
        <f>MAX(BF608:BJ608)</f>
        <v>0</v>
      </c>
      <c r="BL608">
        <f>MAX(BG608:BJ608)</f>
        <v>0</v>
      </c>
      <c r="BM608">
        <f>MAX(BH608:BJ608)</f>
        <v>0</v>
      </c>
      <c r="BN608">
        <f>IF(AND(AN608=ReachLabel,BB608=1),AS608,0)</f>
        <v>0</v>
      </c>
      <c r="BO608">
        <f>IF(AND(AN608=MatchLabel,BB608=1),AS608,0)</f>
        <v>0</v>
      </c>
      <c r="BP608">
        <f>IF(AND(AN608=SafetyLabel,BB608=1),AS608,0)</f>
        <v>0</v>
      </c>
      <c r="BQ608">
        <f>IF(AND(AN608=SecureLabel,BB608=1),AS608,0)</f>
        <v>0</v>
      </c>
      <c r="BR608">
        <f>IF(AND(AN608=SureThingLabel,BB608=1),AS608,0)</f>
        <v>0</v>
      </c>
      <c r="BS608">
        <f>MAX(BN608:BR608)</f>
        <v>0</v>
      </c>
      <c r="BT608">
        <f>MAX(BO608:BR608)</f>
        <v>0</v>
      </c>
      <c r="BU608">
        <f>MAX(BP608:BR608)</f>
        <v>0</v>
      </c>
      <c r="BV608">
        <f>IF(ISNUMBER(AB608),INDEX(AllCollegeChicago, MATCH(N608,AllCollegeNCES,0))*BB608,0)</f>
        <v>0</v>
      </c>
      <c r="BW608">
        <f>IF(ISNUMBER(AB608),INDEX(AllCollegeMoneyCode, MATCH(N608,AllCollegeNCES,0)),"?")</f>
        <v>0</v>
      </c>
      <c r="BX608">
        <f>IF(OR(BW608="---",BW608="--",BW608="+/--",BW608="+/---"),1,0)</f>
        <v>0</v>
      </c>
      <c r="BY608">
        <f>BB608*AR608*AT608</f>
        <v>0</v>
      </c>
    </row>
    <row r="609" spans="1:77">
      <c r="A609" t="s">
        <v>96</v>
      </c>
      <c r="B609">
        <v>24090662</v>
      </c>
      <c r="C609" t="s">
        <v>197</v>
      </c>
      <c r="D609" t="s">
        <v>198</v>
      </c>
      <c r="E609" t="s">
        <v>446</v>
      </c>
      <c r="F609" t="s">
        <v>591</v>
      </c>
      <c r="G609" t="s">
        <v>543</v>
      </c>
      <c r="H609" t="s">
        <v>543</v>
      </c>
      <c r="I609" t="s">
        <v>544</v>
      </c>
      <c r="J609" t="s">
        <v>446</v>
      </c>
      <c r="K609" t="s">
        <v>446</v>
      </c>
      <c r="L609" t="s">
        <v>446</v>
      </c>
      <c r="M609" t="s">
        <v>446</v>
      </c>
      <c r="N609">
        <v>144892</v>
      </c>
      <c r="O609">
        <f>INDEX(Counselor,MATCH(B609,KidIDs,0))</f>
        <v>0</v>
      </c>
      <c r="P609">
        <f>INDEX(Advisors,MATCH(B609,KidIDs,0))</f>
        <v>0</v>
      </c>
      <c r="Q609">
        <f>INDEX(Cohort,MATCH(B609,KidIDs,0))</f>
        <v>0</v>
      </c>
      <c r="R609">
        <f>INDEX(AllCollegeBarrons,MATCH(N609,AllCollegeNCES,0))</f>
        <v>0</v>
      </c>
      <c r="S609">
        <f>INDEX(KidGPAs,MATCH(B609,KidIDs,0))</f>
        <v>0</v>
      </c>
      <c r="T609">
        <f>INDEX(KidSATs,MATCH(B609,KidIDs,0))</f>
        <v>0</v>
      </c>
      <c r="U609">
        <f>INDEX(Strats,MATCH(B609,KidIDs,0))</f>
        <v>0</v>
      </c>
      <c r="V609">
        <f>INDEX(KidRace,MATCH(B609,KidIDs,0))</f>
        <v>0</v>
      </c>
      <c r="W609">
        <f>IF(OR(V609="M",V609="I"),"H",IF(V609="P","A",V609))</f>
        <v>0</v>
      </c>
      <c r="X609">
        <f>INDEX(StudentTargets,MATCH(B609,KidIDs,0))</f>
        <v>0</v>
      </c>
      <c r="Y609">
        <f>INDEX(ReachStudentTargets,MATCH(B609,KidIDs,0))</f>
        <v>0</v>
      </c>
      <c r="Z609">
        <f>IF(OR(M609="Posse"),1,0)</f>
        <v>0</v>
      </c>
      <c r="AA609">
        <f>IF(ISNUMBER(INDEX(AllCollegeGR, MATCH(N609,AllCollegeNCES,0))),ROUND(INDEX(AllCollegeGR, MATCH(N609,AllCollegeNCES,0))+Z609*IF(INDEX(AllCollegeGR, MATCH(N609,AllCollegeNCES,0))&gt;0.7,(1-INDEX(AllCollegeGR, MATCH(N609,AllCollegeNCES,0)))/2,0.15),2),INDEX(AllCollegeGR, MATCH(N609,AllCollegeNCES,0)))</f>
        <v>0</v>
      </c>
      <c r="AB609">
        <f>IF(ISNUMBER(INDEX(AllCollegeAAHGR, MATCH(N609,AllCollegeNCES,0))),ROUND(INDEX(AllCollegeAAHGR, MATCH(N609,AllCollegeNCES,0))+Z609*IF(INDEX(AllCollegeAAHGR, MATCH(N609,AllCollegeNCES,0))&gt;0.7,(1-INDEX(AllCollegeAAHGR, MATCH(N609,AllCollegeNCES,0)))/2,0.15),2),INDEX(AllCollegeAAHGR, MATCH(N609,AllCollegeNCES,0)))</f>
        <v>0</v>
      </c>
      <c r="AC609">
        <f>IF(OR(W609="H",W609="B"),INDEX(AllCollegeSAT25, MATCH(N609,AllCollegeNCES,0)),INDEX(AllCollegeSAT50, MATCH(N609,AllCollegeNCES,0)))</f>
        <v>0</v>
      </c>
      <c r="AD609">
        <f>INDEX(CustomWeightsGPA,MATCH(W609&amp;":"&amp;N609,CustomWeightsIndex,0))</f>
        <v>0</v>
      </c>
      <c r="AE609">
        <f>INDEX(CustomWeightsSAT,MATCH(W609&amp;":"&amp;N609,CustomWeightsIndex,0))</f>
        <v>0</v>
      </c>
      <c r="AF609">
        <f>INDEX(CustomWeightsIntercept,MATCH(W609&amp;":"&amp;N609,CustomWeightsIndex,0))</f>
        <v>0</v>
      </c>
      <c r="AG609">
        <f>AD609*S609+AE609*T609+AF609</f>
        <v>0</v>
      </c>
      <c r="AH609">
        <f>INDEX(CoefficientsGPA,MATCH(W609&amp;":"&amp;R609,CoefficientsIndex,0))</f>
        <v>0</v>
      </c>
      <c r="AI609">
        <f>INDEX(CoefficientsSAT,MATCH(W609&amp;":"&amp;R609,CoefficientsIndex,0))</f>
        <v>0</v>
      </c>
      <c r="AJ609">
        <f>INDEX(CoefficientsIntercept,MATCH(W609&amp;":"&amp;R609,CoefficientsIndex,0))</f>
        <v>0</v>
      </c>
      <c r="AK609">
        <f>AH609*S609+(T609-AC609)*AI609+AJ609</f>
        <v>0</v>
      </c>
      <c r="AL609">
        <f>IF(ISNUMBER(AG609),AG609,AK609)</f>
        <v>0</v>
      </c>
      <c r="AM609">
        <f>IF(ISNUMBER(AL609),IF(ISNUMBER(AH609),IF(AND(AH609=1,AI609=1,AJ609=1),100,MIN(99,ROUND(100*EXP(AL609)/(1+EXP(AL609)),2))),MIN(99,ROUND(100*EXP(AL609)/(1+EXP(AL609)),2))),IF(ISTEXT(R609),IF(LEFT(R609,1)="2",100,"N/A"),"N/A"))</f>
        <v>0</v>
      </c>
      <c r="AN609">
        <f>IF(ISNUMBER(AM609),IF(AM609&gt;=99,IF(OR(U609=10,U609=11),MatchLabel,SureThingLabel),IF(AM609&gt;=95,SecureLabel,IF(AM609&gt;=80,SafetyLabel,IF(AM609&gt;=50,MatchLabel,IF(AM609&gt;=20,ReachLabel,IF(AM609&gt;=10,LongshotLabel,HailMaryLabel)))))),"Other")</f>
        <v>0</v>
      </c>
      <c r="AO609">
        <f>IF(OR(I609="accepted",I609="cond. accept",I609="summer admit"),IF(J609="yes","CHOICE!","Accepted!"),IF(I609="guar. transfer","Guar. Xfer",IF(I609="denied","Denied",IF(K609=1,"Waitlist",IF(L609=1,"Deferred",IF(G609="pending","Pending",IF(OR(G609="initial materials submitted",G609="mid-year submitted",G609="final submitted"),"Submitted",IF(H609="interest","Interest","?"))))))))</f>
        <v>0</v>
      </c>
      <c r="AP609">
        <f>IF(OR(AN609=ReachLabel,AN609=LongshotLabel,AN609=HailMaryLabel),1,0)</f>
        <v>0</v>
      </c>
      <c r="AQ609">
        <f>IF(OR(AP609=1,AN609=MatchLabel),1,0)</f>
        <v>0</v>
      </c>
      <c r="AR609">
        <f>IF(OR(AN609=MatchLabel,AN609=SafetyLabel,AN609=SecureLabel,AN609=SureThingLabel),1,0)</f>
        <v>0</v>
      </c>
      <c r="AS609">
        <f>IF(OR(W609="H",W609="B",W609="I",W609="M"),IF(ISNUMBER(AB609),ROUND(AB609,2),0),IF(ISNUMBER(AA609),ROUND(AA609,2),0))</f>
        <v>0</v>
      </c>
      <c r="AT609">
        <f>IF(AS609&gt;=X609,1,0)</f>
        <v>0</v>
      </c>
      <c r="AU609">
        <f>IF(AS609&gt;=Y609,1,0)</f>
        <v>0</v>
      </c>
      <c r="AV609">
        <f>IF(AS609&lt;(X609-0.10),1,0)</f>
        <v>0</v>
      </c>
      <c r="AW609">
        <f>1-AM609/100</f>
        <v>0</v>
      </c>
      <c r="AX609">
        <f>IF(AQ609=1,AW609,1)</f>
        <v>0</v>
      </c>
      <c r="AY609">
        <f>IF(AP609=1,AW609,1)</f>
        <v>0</v>
      </c>
      <c r="AZ609">
        <f>IF(AND(AT609=1,ISNUMBER(AW609)),$AW609,1)</f>
        <v>0</v>
      </c>
      <c r="BA609">
        <f>IF(AND(AU609=1,ISNUMBER(AW609)),$AW609,1)</f>
        <v>0</v>
      </c>
      <c r="BB609">
        <f>IF(ISNUMBER(AB609),INDEX(AllCollegeMoney, MATCH(N609,AllCollegeNCES,0)),0)</f>
        <v>0</v>
      </c>
      <c r="BC609">
        <f>IF(AND(AT609=1,ISNUMBER(AW609),BB609=1),$AW609,1)</f>
        <v>0</v>
      </c>
      <c r="BD609">
        <f>IF(AND(AU609=1,ISNUMBER(AW609),BB609=1),$AW609,1)</f>
        <v>0</v>
      </c>
      <c r="BE609">
        <f>IF(ISNUMBER(AB609),INDEX(AllCollegeILPub, MATCH(N609,AllCollegeNCES,0)),0)</f>
        <v>0</v>
      </c>
      <c r="BF609">
        <f>IF(AN609=ReachLabel,AS609,0)</f>
        <v>0</v>
      </c>
      <c r="BG609">
        <f>IF(AN609=MatchLabel,AS609,0)</f>
        <v>0</v>
      </c>
      <c r="BH609">
        <f>IF(AN609=SafetyLabel,AS609,0)</f>
        <v>0</v>
      </c>
      <c r="BI609">
        <f>IF(AN609=SecureLabel,AS609,0)</f>
        <v>0</v>
      </c>
      <c r="BJ609">
        <f>IF(AN609=SureThingLabel,AS609,0)</f>
        <v>0</v>
      </c>
      <c r="BK609">
        <f>MAX(BF609:BJ609)</f>
        <v>0</v>
      </c>
      <c r="BL609">
        <f>MAX(BG609:BJ609)</f>
        <v>0</v>
      </c>
      <c r="BM609">
        <f>MAX(BH609:BJ609)</f>
        <v>0</v>
      </c>
      <c r="BN609">
        <f>IF(AND(AN609=ReachLabel,BB609=1),AS609,0)</f>
        <v>0</v>
      </c>
      <c r="BO609">
        <f>IF(AND(AN609=MatchLabel,BB609=1),AS609,0)</f>
        <v>0</v>
      </c>
      <c r="BP609">
        <f>IF(AND(AN609=SafetyLabel,BB609=1),AS609,0)</f>
        <v>0</v>
      </c>
      <c r="BQ609">
        <f>IF(AND(AN609=SecureLabel,BB609=1),AS609,0)</f>
        <v>0</v>
      </c>
      <c r="BR609">
        <f>IF(AND(AN609=SureThingLabel,BB609=1),AS609,0)</f>
        <v>0</v>
      </c>
      <c r="BS609">
        <f>MAX(BN609:BR609)</f>
        <v>0</v>
      </c>
      <c r="BT609">
        <f>MAX(BO609:BR609)</f>
        <v>0</v>
      </c>
      <c r="BU609">
        <f>MAX(BP609:BR609)</f>
        <v>0</v>
      </c>
      <c r="BV609">
        <f>IF(ISNUMBER(AB609),INDEX(AllCollegeChicago, MATCH(N609,AllCollegeNCES,0))*BB609,0)</f>
        <v>0</v>
      </c>
      <c r="BW609">
        <f>IF(ISNUMBER(AB609),INDEX(AllCollegeMoneyCode, MATCH(N609,AllCollegeNCES,0)),"?")</f>
        <v>0</v>
      </c>
      <c r="BX609">
        <f>IF(OR(BW609="---",BW609="--",BW609="+/--",BW609="+/---"),1,0)</f>
        <v>0</v>
      </c>
      <c r="BY609">
        <f>BB609*AR609*AT609</f>
        <v>0</v>
      </c>
    </row>
    <row r="610" spans="1:77">
      <c r="A610" t="s">
        <v>96</v>
      </c>
      <c r="B610">
        <v>24090662</v>
      </c>
      <c r="C610" t="s">
        <v>197</v>
      </c>
      <c r="D610" t="s">
        <v>198</v>
      </c>
      <c r="E610" t="s">
        <v>446</v>
      </c>
      <c r="F610" t="s">
        <v>592</v>
      </c>
      <c r="G610" t="s">
        <v>543</v>
      </c>
      <c r="H610" t="s">
        <v>543</v>
      </c>
      <c r="I610" t="s">
        <v>544</v>
      </c>
      <c r="J610" t="s">
        <v>446</v>
      </c>
      <c r="K610" t="s">
        <v>446</v>
      </c>
      <c r="L610" t="s">
        <v>446</v>
      </c>
      <c r="M610" t="s">
        <v>446</v>
      </c>
      <c r="N610">
        <v>149231</v>
      </c>
      <c r="O610">
        <f>INDEX(Counselor,MATCH(B610,KidIDs,0))</f>
        <v>0</v>
      </c>
      <c r="P610">
        <f>INDEX(Advisors,MATCH(B610,KidIDs,0))</f>
        <v>0</v>
      </c>
      <c r="Q610">
        <f>INDEX(Cohort,MATCH(B610,KidIDs,0))</f>
        <v>0</v>
      </c>
      <c r="R610">
        <f>INDEX(AllCollegeBarrons,MATCH(N610,AllCollegeNCES,0))</f>
        <v>0</v>
      </c>
      <c r="S610">
        <f>INDEX(KidGPAs,MATCH(B610,KidIDs,0))</f>
        <v>0</v>
      </c>
      <c r="T610">
        <f>INDEX(KidSATs,MATCH(B610,KidIDs,0))</f>
        <v>0</v>
      </c>
      <c r="U610">
        <f>INDEX(Strats,MATCH(B610,KidIDs,0))</f>
        <v>0</v>
      </c>
      <c r="V610">
        <f>INDEX(KidRace,MATCH(B610,KidIDs,0))</f>
        <v>0</v>
      </c>
      <c r="W610">
        <f>IF(OR(V610="M",V610="I"),"H",IF(V610="P","A",V610))</f>
        <v>0</v>
      </c>
      <c r="X610">
        <f>INDEX(StudentTargets,MATCH(B610,KidIDs,0))</f>
        <v>0</v>
      </c>
      <c r="Y610">
        <f>INDEX(ReachStudentTargets,MATCH(B610,KidIDs,0))</f>
        <v>0</v>
      </c>
      <c r="Z610">
        <f>IF(OR(M610="Posse"),1,0)</f>
        <v>0</v>
      </c>
      <c r="AA610">
        <f>IF(ISNUMBER(INDEX(AllCollegeGR, MATCH(N610,AllCollegeNCES,0))),ROUND(INDEX(AllCollegeGR, MATCH(N610,AllCollegeNCES,0))+Z610*IF(INDEX(AllCollegeGR, MATCH(N610,AllCollegeNCES,0))&gt;0.7,(1-INDEX(AllCollegeGR, MATCH(N610,AllCollegeNCES,0)))/2,0.15),2),INDEX(AllCollegeGR, MATCH(N610,AllCollegeNCES,0)))</f>
        <v>0</v>
      </c>
      <c r="AB610">
        <f>IF(ISNUMBER(INDEX(AllCollegeAAHGR, MATCH(N610,AllCollegeNCES,0))),ROUND(INDEX(AllCollegeAAHGR, MATCH(N610,AllCollegeNCES,0))+Z610*IF(INDEX(AllCollegeAAHGR, MATCH(N610,AllCollegeNCES,0))&gt;0.7,(1-INDEX(AllCollegeAAHGR, MATCH(N610,AllCollegeNCES,0)))/2,0.15),2),INDEX(AllCollegeAAHGR, MATCH(N610,AllCollegeNCES,0)))</f>
        <v>0</v>
      </c>
      <c r="AC610">
        <f>IF(OR(W610="H",W610="B"),INDEX(AllCollegeSAT25, MATCH(N610,AllCollegeNCES,0)),INDEX(AllCollegeSAT50, MATCH(N610,AllCollegeNCES,0)))</f>
        <v>0</v>
      </c>
      <c r="AD610">
        <f>INDEX(CustomWeightsGPA,MATCH(W610&amp;":"&amp;N610,CustomWeightsIndex,0))</f>
        <v>0</v>
      </c>
      <c r="AE610">
        <f>INDEX(CustomWeightsSAT,MATCH(W610&amp;":"&amp;N610,CustomWeightsIndex,0))</f>
        <v>0</v>
      </c>
      <c r="AF610">
        <f>INDEX(CustomWeightsIntercept,MATCH(W610&amp;":"&amp;N610,CustomWeightsIndex,0))</f>
        <v>0</v>
      </c>
      <c r="AG610">
        <f>AD610*S610+AE610*T610+AF610</f>
        <v>0</v>
      </c>
      <c r="AH610">
        <f>INDEX(CoefficientsGPA,MATCH(W610&amp;":"&amp;R610,CoefficientsIndex,0))</f>
        <v>0</v>
      </c>
      <c r="AI610">
        <f>INDEX(CoefficientsSAT,MATCH(W610&amp;":"&amp;R610,CoefficientsIndex,0))</f>
        <v>0</v>
      </c>
      <c r="AJ610">
        <f>INDEX(CoefficientsIntercept,MATCH(W610&amp;":"&amp;R610,CoefficientsIndex,0))</f>
        <v>0</v>
      </c>
      <c r="AK610">
        <f>AH610*S610+(T610-AC610)*AI610+AJ610</f>
        <v>0</v>
      </c>
      <c r="AL610">
        <f>IF(ISNUMBER(AG610),AG610,AK610)</f>
        <v>0</v>
      </c>
      <c r="AM610">
        <f>IF(ISNUMBER(AL610),IF(ISNUMBER(AH610),IF(AND(AH610=1,AI610=1,AJ610=1),100,MIN(99,ROUND(100*EXP(AL610)/(1+EXP(AL610)),2))),MIN(99,ROUND(100*EXP(AL610)/(1+EXP(AL610)),2))),IF(ISTEXT(R610),IF(LEFT(R610,1)="2",100,"N/A"),"N/A"))</f>
        <v>0</v>
      </c>
      <c r="AN610">
        <f>IF(ISNUMBER(AM610),IF(AM610&gt;=99,IF(OR(U610=10,U610=11),MatchLabel,SureThingLabel),IF(AM610&gt;=95,SecureLabel,IF(AM610&gt;=80,SafetyLabel,IF(AM610&gt;=50,MatchLabel,IF(AM610&gt;=20,ReachLabel,IF(AM610&gt;=10,LongshotLabel,HailMaryLabel)))))),"Other")</f>
        <v>0</v>
      </c>
      <c r="AO610">
        <f>IF(OR(I610="accepted",I610="cond. accept",I610="summer admit"),IF(J610="yes","CHOICE!","Accepted!"),IF(I610="guar. transfer","Guar. Xfer",IF(I610="denied","Denied",IF(K610=1,"Waitlist",IF(L610=1,"Deferred",IF(G610="pending","Pending",IF(OR(G610="initial materials submitted",G610="mid-year submitted",G610="final submitted"),"Submitted",IF(H610="interest","Interest","?"))))))))</f>
        <v>0</v>
      </c>
      <c r="AP610">
        <f>IF(OR(AN610=ReachLabel,AN610=LongshotLabel,AN610=HailMaryLabel),1,0)</f>
        <v>0</v>
      </c>
      <c r="AQ610">
        <f>IF(OR(AP610=1,AN610=MatchLabel),1,0)</f>
        <v>0</v>
      </c>
      <c r="AR610">
        <f>IF(OR(AN610=MatchLabel,AN610=SafetyLabel,AN610=SecureLabel,AN610=SureThingLabel),1,0)</f>
        <v>0</v>
      </c>
      <c r="AS610">
        <f>IF(OR(W610="H",W610="B",W610="I",W610="M"),IF(ISNUMBER(AB610),ROUND(AB610,2),0),IF(ISNUMBER(AA610),ROUND(AA610,2),0))</f>
        <v>0</v>
      </c>
      <c r="AT610">
        <f>IF(AS610&gt;=X610,1,0)</f>
        <v>0</v>
      </c>
      <c r="AU610">
        <f>IF(AS610&gt;=Y610,1,0)</f>
        <v>0</v>
      </c>
      <c r="AV610">
        <f>IF(AS610&lt;(X610-0.10),1,0)</f>
        <v>0</v>
      </c>
      <c r="AW610">
        <f>1-AM610/100</f>
        <v>0</v>
      </c>
      <c r="AX610">
        <f>IF(AQ610=1,AW610,1)</f>
        <v>0</v>
      </c>
      <c r="AY610">
        <f>IF(AP610=1,AW610,1)</f>
        <v>0</v>
      </c>
      <c r="AZ610">
        <f>IF(AND(AT610=1,ISNUMBER(AW610)),$AW610,1)</f>
        <v>0</v>
      </c>
      <c r="BA610">
        <f>IF(AND(AU610=1,ISNUMBER(AW610)),$AW610,1)</f>
        <v>0</v>
      </c>
      <c r="BB610">
        <f>IF(ISNUMBER(AB610),INDEX(AllCollegeMoney, MATCH(N610,AllCollegeNCES,0)),0)</f>
        <v>0</v>
      </c>
      <c r="BC610">
        <f>IF(AND(AT610=1,ISNUMBER(AW610),BB610=1),$AW610,1)</f>
        <v>0</v>
      </c>
      <c r="BD610">
        <f>IF(AND(AU610=1,ISNUMBER(AW610),BB610=1),$AW610,1)</f>
        <v>0</v>
      </c>
      <c r="BE610">
        <f>IF(ISNUMBER(AB610),INDEX(AllCollegeILPub, MATCH(N610,AllCollegeNCES,0)),0)</f>
        <v>0</v>
      </c>
      <c r="BF610">
        <f>IF(AN610=ReachLabel,AS610,0)</f>
        <v>0</v>
      </c>
      <c r="BG610">
        <f>IF(AN610=MatchLabel,AS610,0)</f>
        <v>0</v>
      </c>
      <c r="BH610">
        <f>IF(AN610=SafetyLabel,AS610,0)</f>
        <v>0</v>
      </c>
      <c r="BI610">
        <f>IF(AN610=SecureLabel,AS610,0)</f>
        <v>0</v>
      </c>
      <c r="BJ610">
        <f>IF(AN610=SureThingLabel,AS610,0)</f>
        <v>0</v>
      </c>
      <c r="BK610">
        <f>MAX(BF610:BJ610)</f>
        <v>0</v>
      </c>
      <c r="BL610">
        <f>MAX(BG610:BJ610)</f>
        <v>0</v>
      </c>
      <c r="BM610">
        <f>MAX(BH610:BJ610)</f>
        <v>0</v>
      </c>
      <c r="BN610">
        <f>IF(AND(AN610=ReachLabel,BB610=1),AS610,0)</f>
        <v>0</v>
      </c>
      <c r="BO610">
        <f>IF(AND(AN610=MatchLabel,BB610=1),AS610,0)</f>
        <v>0</v>
      </c>
      <c r="BP610">
        <f>IF(AND(AN610=SafetyLabel,BB610=1),AS610,0)</f>
        <v>0</v>
      </c>
      <c r="BQ610">
        <f>IF(AND(AN610=SecureLabel,BB610=1),AS610,0)</f>
        <v>0</v>
      </c>
      <c r="BR610">
        <f>IF(AND(AN610=SureThingLabel,BB610=1),AS610,0)</f>
        <v>0</v>
      </c>
      <c r="BS610">
        <f>MAX(BN610:BR610)</f>
        <v>0</v>
      </c>
      <c r="BT610">
        <f>MAX(BO610:BR610)</f>
        <v>0</v>
      </c>
      <c r="BU610">
        <f>MAX(BP610:BR610)</f>
        <v>0</v>
      </c>
      <c r="BV610">
        <f>IF(ISNUMBER(AB610),INDEX(AllCollegeChicago, MATCH(N610,AllCollegeNCES,0))*BB610,0)</f>
        <v>0</v>
      </c>
      <c r="BW610">
        <f>IF(ISNUMBER(AB610),INDEX(AllCollegeMoneyCode, MATCH(N610,AllCollegeNCES,0)),"?")</f>
        <v>0</v>
      </c>
      <c r="BX610">
        <f>IF(OR(BW610="---",BW610="--",BW610="+/--",BW610="+/---"),1,0)</f>
        <v>0</v>
      </c>
      <c r="BY610">
        <f>BB610*AR610*AT610</f>
        <v>0</v>
      </c>
    </row>
    <row r="611" spans="1:77">
      <c r="A611" t="s">
        <v>96</v>
      </c>
      <c r="B611">
        <v>24090662</v>
      </c>
      <c r="C611" t="s">
        <v>197</v>
      </c>
      <c r="D611" t="s">
        <v>198</v>
      </c>
      <c r="E611" t="s">
        <v>446</v>
      </c>
      <c r="F611" t="s">
        <v>574</v>
      </c>
      <c r="G611" t="s">
        <v>543</v>
      </c>
      <c r="H611" t="s">
        <v>543</v>
      </c>
      <c r="I611" t="s">
        <v>544</v>
      </c>
      <c r="J611" t="s">
        <v>446</v>
      </c>
      <c r="K611" t="s">
        <v>446</v>
      </c>
      <c r="L611" t="s">
        <v>446</v>
      </c>
      <c r="M611" t="s">
        <v>446</v>
      </c>
      <c r="N611">
        <v>147536</v>
      </c>
      <c r="O611">
        <f>INDEX(Counselor,MATCH(B611,KidIDs,0))</f>
        <v>0</v>
      </c>
      <c r="P611">
        <f>INDEX(Advisors,MATCH(B611,KidIDs,0))</f>
        <v>0</v>
      </c>
      <c r="Q611">
        <f>INDEX(Cohort,MATCH(B611,KidIDs,0))</f>
        <v>0</v>
      </c>
      <c r="R611">
        <f>INDEX(AllCollegeBarrons,MATCH(N611,AllCollegeNCES,0))</f>
        <v>0</v>
      </c>
      <c r="S611">
        <f>INDEX(KidGPAs,MATCH(B611,KidIDs,0))</f>
        <v>0</v>
      </c>
      <c r="T611">
        <f>INDEX(KidSATs,MATCH(B611,KidIDs,0))</f>
        <v>0</v>
      </c>
      <c r="U611">
        <f>INDEX(Strats,MATCH(B611,KidIDs,0))</f>
        <v>0</v>
      </c>
      <c r="V611">
        <f>INDEX(KidRace,MATCH(B611,KidIDs,0))</f>
        <v>0</v>
      </c>
      <c r="W611">
        <f>IF(OR(V611="M",V611="I"),"H",IF(V611="P","A",V611))</f>
        <v>0</v>
      </c>
      <c r="X611">
        <f>INDEX(StudentTargets,MATCH(B611,KidIDs,0))</f>
        <v>0</v>
      </c>
      <c r="Y611">
        <f>INDEX(ReachStudentTargets,MATCH(B611,KidIDs,0))</f>
        <v>0</v>
      </c>
      <c r="Z611">
        <f>IF(OR(M611="Posse"),1,0)</f>
        <v>0</v>
      </c>
      <c r="AA611">
        <f>IF(ISNUMBER(INDEX(AllCollegeGR, MATCH(N611,AllCollegeNCES,0))),ROUND(INDEX(AllCollegeGR, MATCH(N611,AllCollegeNCES,0))+Z611*IF(INDEX(AllCollegeGR, MATCH(N611,AllCollegeNCES,0))&gt;0.7,(1-INDEX(AllCollegeGR, MATCH(N611,AllCollegeNCES,0)))/2,0.15),2),INDEX(AllCollegeGR, MATCH(N611,AllCollegeNCES,0)))</f>
        <v>0</v>
      </c>
      <c r="AB611">
        <f>IF(ISNUMBER(INDEX(AllCollegeAAHGR, MATCH(N611,AllCollegeNCES,0))),ROUND(INDEX(AllCollegeAAHGR, MATCH(N611,AllCollegeNCES,0))+Z611*IF(INDEX(AllCollegeAAHGR, MATCH(N611,AllCollegeNCES,0))&gt;0.7,(1-INDEX(AllCollegeAAHGR, MATCH(N611,AllCollegeNCES,0)))/2,0.15),2),INDEX(AllCollegeAAHGR, MATCH(N611,AllCollegeNCES,0)))</f>
        <v>0</v>
      </c>
      <c r="AC611">
        <f>IF(OR(W611="H",W611="B"),INDEX(AllCollegeSAT25, MATCH(N611,AllCollegeNCES,0)),INDEX(AllCollegeSAT50, MATCH(N611,AllCollegeNCES,0)))</f>
        <v>0</v>
      </c>
      <c r="AD611">
        <f>INDEX(CustomWeightsGPA,MATCH(W611&amp;":"&amp;N611,CustomWeightsIndex,0))</f>
        <v>0</v>
      </c>
      <c r="AE611">
        <f>INDEX(CustomWeightsSAT,MATCH(W611&amp;":"&amp;N611,CustomWeightsIndex,0))</f>
        <v>0</v>
      </c>
      <c r="AF611">
        <f>INDEX(CustomWeightsIntercept,MATCH(W611&amp;":"&amp;N611,CustomWeightsIndex,0))</f>
        <v>0</v>
      </c>
      <c r="AG611">
        <f>AD611*S611+AE611*T611+AF611</f>
        <v>0</v>
      </c>
      <c r="AH611">
        <f>INDEX(CoefficientsGPA,MATCH(W611&amp;":"&amp;R611,CoefficientsIndex,0))</f>
        <v>0</v>
      </c>
      <c r="AI611">
        <f>INDEX(CoefficientsSAT,MATCH(W611&amp;":"&amp;R611,CoefficientsIndex,0))</f>
        <v>0</v>
      </c>
      <c r="AJ611">
        <f>INDEX(CoefficientsIntercept,MATCH(W611&amp;":"&amp;R611,CoefficientsIndex,0))</f>
        <v>0</v>
      </c>
      <c r="AK611">
        <f>AH611*S611+(T611-AC611)*AI611+AJ611</f>
        <v>0</v>
      </c>
      <c r="AL611">
        <f>IF(ISNUMBER(AG611),AG611,AK611)</f>
        <v>0</v>
      </c>
      <c r="AM611">
        <f>IF(ISNUMBER(AL611),IF(ISNUMBER(AH611),IF(AND(AH611=1,AI611=1,AJ611=1),100,MIN(99,ROUND(100*EXP(AL611)/(1+EXP(AL611)),2))),MIN(99,ROUND(100*EXP(AL611)/(1+EXP(AL611)),2))),IF(ISTEXT(R611),IF(LEFT(R611,1)="2",100,"N/A"),"N/A"))</f>
        <v>0</v>
      </c>
      <c r="AN611">
        <f>IF(ISNUMBER(AM611),IF(AM611&gt;=99,IF(OR(U611=10,U611=11),MatchLabel,SureThingLabel),IF(AM611&gt;=95,SecureLabel,IF(AM611&gt;=80,SafetyLabel,IF(AM611&gt;=50,MatchLabel,IF(AM611&gt;=20,ReachLabel,IF(AM611&gt;=10,LongshotLabel,HailMaryLabel)))))),"Other")</f>
        <v>0</v>
      </c>
      <c r="AO611">
        <f>IF(OR(I611="accepted",I611="cond. accept",I611="summer admit"),IF(J611="yes","CHOICE!","Accepted!"),IF(I611="guar. transfer","Guar. Xfer",IF(I611="denied","Denied",IF(K611=1,"Waitlist",IF(L611=1,"Deferred",IF(G611="pending","Pending",IF(OR(G611="initial materials submitted",G611="mid-year submitted",G611="final submitted"),"Submitted",IF(H611="interest","Interest","?"))))))))</f>
        <v>0</v>
      </c>
      <c r="AP611">
        <f>IF(OR(AN611=ReachLabel,AN611=LongshotLabel,AN611=HailMaryLabel),1,0)</f>
        <v>0</v>
      </c>
      <c r="AQ611">
        <f>IF(OR(AP611=1,AN611=MatchLabel),1,0)</f>
        <v>0</v>
      </c>
      <c r="AR611">
        <f>IF(OR(AN611=MatchLabel,AN611=SafetyLabel,AN611=SecureLabel,AN611=SureThingLabel),1,0)</f>
        <v>0</v>
      </c>
      <c r="AS611">
        <f>IF(OR(W611="H",W611="B",W611="I",W611="M"),IF(ISNUMBER(AB611),ROUND(AB611,2),0),IF(ISNUMBER(AA611),ROUND(AA611,2),0))</f>
        <v>0</v>
      </c>
      <c r="AT611">
        <f>IF(AS611&gt;=X611,1,0)</f>
        <v>0</v>
      </c>
      <c r="AU611">
        <f>IF(AS611&gt;=Y611,1,0)</f>
        <v>0</v>
      </c>
      <c r="AV611">
        <f>IF(AS611&lt;(X611-0.10),1,0)</f>
        <v>0</v>
      </c>
      <c r="AW611">
        <f>1-AM611/100</f>
        <v>0</v>
      </c>
      <c r="AX611">
        <f>IF(AQ611=1,AW611,1)</f>
        <v>0</v>
      </c>
      <c r="AY611">
        <f>IF(AP611=1,AW611,1)</f>
        <v>0</v>
      </c>
      <c r="AZ611">
        <f>IF(AND(AT611=1,ISNUMBER(AW611)),$AW611,1)</f>
        <v>0</v>
      </c>
      <c r="BA611">
        <f>IF(AND(AU611=1,ISNUMBER(AW611)),$AW611,1)</f>
        <v>0</v>
      </c>
      <c r="BB611">
        <f>IF(ISNUMBER(AB611),INDEX(AllCollegeMoney, MATCH(N611,AllCollegeNCES,0)),0)</f>
        <v>0</v>
      </c>
      <c r="BC611">
        <f>IF(AND(AT611=1,ISNUMBER(AW611),BB611=1),$AW611,1)</f>
        <v>0</v>
      </c>
      <c r="BD611">
        <f>IF(AND(AU611=1,ISNUMBER(AW611),BB611=1),$AW611,1)</f>
        <v>0</v>
      </c>
      <c r="BE611">
        <f>IF(ISNUMBER(AB611),INDEX(AllCollegeILPub, MATCH(N611,AllCollegeNCES,0)),0)</f>
        <v>0</v>
      </c>
      <c r="BF611">
        <f>IF(AN611=ReachLabel,AS611,0)</f>
        <v>0</v>
      </c>
      <c r="BG611">
        <f>IF(AN611=MatchLabel,AS611,0)</f>
        <v>0</v>
      </c>
      <c r="BH611">
        <f>IF(AN611=SafetyLabel,AS611,0)</f>
        <v>0</v>
      </c>
      <c r="BI611">
        <f>IF(AN611=SecureLabel,AS611,0)</f>
        <v>0</v>
      </c>
      <c r="BJ611">
        <f>IF(AN611=SureThingLabel,AS611,0)</f>
        <v>0</v>
      </c>
      <c r="BK611">
        <f>MAX(BF611:BJ611)</f>
        <v>0</v>
      </c>
      <c r="BL611">
        <f>MAX(BG611:BJ611)</f>
        <v>0</v>
      </c>
      <c r="BM611">
        <f>MAX(BH611:BJ611)</f>
        <v>0</v>
      </c>
      <c r="BN611">
        <f>IF(AND(AN611=ReachLabel,BB611=1),AS611,0)</f>
        <v>0</v>
      </c>
      <c r="BO611">
        <f>IF(AND(AN611=MatchLabel,BB611=1),AS611,0)</f>
        <v>0</v>
      </c>
      <c r="BP611">
        <f>IF(AND(AN611=SafetyLabel,BB611=1),AS611,0)</f>
        <v>0</v>
      </c>
      <c r="BQ611">
        <f>IF(AND(AN611=SecureLabel,BB611=1),AS611,0)</f>
        <v>0</v>
      </c>
      <c r="BR611">
        <f>IF(AND(AN611=SureThingLabel,BB611=1),AS611,0)</f>
        <v>0</v>
      </c>
      <c r="BS611">
        <f>MAX(BN611:BR611)</f>
        <v>0</v>
      </c>
      <c r="BT611">
        <f>MAX(BO611:BR611)</f>
        <v>0</v>
      </c>
      <c r="BU611">
        <f>MAX(BP611:BR611)</f>
        <v>0</v>
      </c>
      <c r="BV611">
        <f>IF(ISNUMBER(AB611),INDEX(AllCollegeChicago, MATCH(N611,AllCollegeNCES,0))*BB611,0)</f>
        <v>0</v>
      </c>
      <c r="BW611">
        <f>IF(ISNUMBER(AB611),INDEX(AllCollegeMoneyCode, MATCH(N611,AllCollegeNCES,0)),"?")</f>
        <v>0</v>
      </c>
      <c r="BX611">
        <f>IF(OR(BW611="---",BW611="--",BW611="+/--",BW611="+/---"),1,0)</f>
        <v>0</v>
      </c>
      <c r="BY611">
        <f>BB611*AR611*AT611</f>
        <v>0</v>
      </c>
    </row>
    <row r="612" spans="1:77">
      <c r="A612" t="s">
        <v>96</v>
      </c>
      <c r="B612">
        <v>24090662</v>
      </c>
      <c r="C612" t="s">
        <v>197</v>
      </c>
      <c r="D612" t="s">
        <v>198</v>
      </c>
      <c r="E612" t="s">
        <v>446</v>
      </c>
      <c r="F612" t="s">
        <v>565</v>
      </c>
      <c r="G612" t="s">
        <v>543</v>
      </c>
      <c r="H612" t="s">
        <v>543</v>
      </c>
      <c r="I612" t="s">
        <v>544</v>
      </c>
      <c r="J612" t="s">
        <v>446</v>
      </c>
      <c r="K612" t="s">
        <v>446</v>
      </c>
      <c r="L612" t="s">
        <v>446</v>
      </c>
      <c r="M612" t="s">
        <v>446</v>
      </c>
      <c r="N612">
        <v>147776</v>
      </c>
      <c r="O612">
        <f>INDEX(Counselor,MATCH(B612,KidIDs,0))</f>
        <v>0</v>
      </c>
      <c r="P612">
        <f>INDEX(Advisors,MATCH(B612,KidIDs,0))</f>
        <v>0</v>
      </c>
      <c r="Q612">
        <f>INDEX(Cohort,MATCH(B612,KidIDs,0))</f>
        <v>0</v>
      </c>
      <c r="R612">
        <f>INDEX(AllCollegeBarrons,MATCH(N612,AllCollegeNCES,0))</f>
        <v>0</v>
      </c>
      <c r="S612">
        <f>INDEX(KidGPAs,MATCH(B612,KidIDs,0))</f>
        <v>0</v>
      </c>
      <c r="T612">
        <f>INDEX(KidSATs,MATCH(B612,KidIDs,0))</f>
        <v>0</v>
      </c>
      <c r="U612">
        <f>INDEX(Strats,MATCH(B612,KidIDs,0))</f>
        <v>0</v>
      </c>
      <c r="V612">
        <f>INDEX(KidRace,MATCH(B612,KidIDs,0))</f>
        <v>0</v>
      </c>
      <c r="W612">
        <f>IF(OR(V612="M",V612="I"),"H",IF(V612="P","A",V612))</f>
        <v>0</v>
      </c>
      <c r="X612">
        <f>INDEX(StudentTargets,MATCH(B612,KidIDs,0))</f>
        <v>0</v>
      </c>
      <c r="Y612">
        <f>INDEX(ReachStudentTargets,MATCH(B612,KidIDs,0))</f>
        <v>0</v>
      </c>
      <c r="Z612">
        <f>IF(OR(M612="Posse"),1,0)</f>
        <v>0</v>
      </c>
      <c r="AA612">
        <f>IF(ISNUMBER(INDEX(AllCollegeGR, MATCH(N612,AllCollegeNCES,0))),ROUND(INDEX(AllCollegeGR, MATCH(N612,AllCollegeNCES,0))+Z612*IF(INDEX(AllCollegeGR, MATCH(N612,AllCollegeNCES,0))&gt;0.7,(1-INDEX(AllCollegeGR, MATCH(N612,AllCollegeNCES,0)))/2,0.15),2),INDEX(AllCollegeGR, MATCH(N612,AllCollegeNCES,0)))</f>
        <v>0</v>
      </c>
      <c r="AB612">
        <f>IF(ISNUMBER(INDEX(AllCollegeAAHGR, MATCH(N612,AllCollegeNCES,0))),ROUND(INDEX(AllCollegeAAHGR, MATCH(N612,AllCollegeNCES,0))+Z612*IF(INDEX(AllCollegeAAHGR, MATCH(N612,AllCollegeNCES,0))&gt;0.7,(1-INDEX(AllCollegeAAHGR, MATCH(N612,AllCollegeNCES,0)))/2,0.15),2),INDEX(AllCollegeAAHGR, MATCH(N612,AllCollegeNCES,0)))</f>
        <v>0</v>
      </c>
      <c r="AC612">
        <f>IF(OR(W612="H",W612="B"),INDEX(AllCollegeSAT25, MATCH(N612,AllCollegeNCES,0)),INDEX(AllCollegeSAT50, MATCH(N612,AllCollegeNCES,0)))</f>
        <v>0</v>
      </c>
      <c r="AD612">
        <f>INDEX(CustomWeightsGPA,MATCH(W612&amp;":"&amp;N612,CustomWeightsIndex,0))</f>
        <v>0</v>
      </c>
      <c r="AE612">
        <f>INDEX(CustomWeightsSAT,MATCH(W612&amp;":"&amp;N612,CustomWeightsIndex,0))</f>
        <v>0</v>
      </c>
      <c r="AF612">
        <f>INDEX(CustomWeightsIntercept,MATCH(W612&amp;":"&amp;N612,CustomWeightsIndex,0))</f>
        <v>0</v>
      </c>
      <c r="AG612">
        <f>AD612*S612+AE612*T612+AF612</f>
        <v>0</v>
      </c>
      <c r="AH612">
        <f>INDEX(CoefficientsGPA,MATCH(W612&amp;":"&amp;R612,CoefficientsIndex,0))</f>
        <v>0</v>
      </c>
      <c r="AI612">
        <f>INDEX(CoefficientsSAT,MATCH(W612&amp;":"&amp;R612,CoefficientsIndex,0))</f>
        <v>0</v>
      </c>
      <c r="AJ612">
        <f>INDEX(CoefficientsIntercept,MATCH(W612&amp;":"&amp;R612,CoefficientsIndex,0))</f>
        <v>0</v>
      </c>
      <c r="AK612">
        <f>AH612*S612+(T612-AC612)*AI612+AJ612</f>
        <v>0</v>
      </c>
      <c r="AL612">
        <f>IF(ISNUMBER(AG612),AG612,AK612)</f>
        <v>0</v>
      </c>
      <c r="AM612">
        <f>IF(ISNUMBER(AL612),IF(ISNUMBER(AH612),IF(AND(AH612=1,AI612=1,AJ612=1),100,MIN(99,ROUND(100*EXP(AL612)/(1+EXP(AL612)),2))),MIN(99,ROUND(100*EXP(AL612)/(1+EXP(AL612)),2))),IF(ISTEXT(R612),IF(LEFT(R612,1)="2",100,"N/A"),"N/A"))</f>
        <v>0</v>
      </c>
      <c r="AN612">
        <f>IF(ISNUMBER(AM612),IF(AM612&gt;=99,IF(OR(U612=10,U612=11),MatchLabel,SureThingLabel),IF(AM612&gt;=95,SecureLabel,IF(AM612&gt;=80,SafetyLabel,IF(AM612&gt;=50,MatchLabel,IF(AM612&gt;=20,ReachLabel,IF(AM612&gt;=10,LongshotLabel,HailMaryLabel)))))),"Other")</f>
        <v>0</v>
      </c>
      <c r="AO612">
        <f>IF(OR(I612="accepted",I612="cond. accept",I612="summer admit"),IF(J612="yes","CHOICE!","Accepted!"),IF(I612="guar. transfer","Guar. Xfer",IF(I612="denied","Denied",IF(K612=1,"Waitlist",IF(L612=1,"Deferred",IF(G612="pending","Pending",IF(OR(G612="initial materials submitted",G612="mid-year submitted",G612="final submitted"),"Submitted",IF(H612="interest","Interest","?"))))))))</f>
        <v>0</v>
      </c>
      <c r="AP612">
        <f>IF(OR(AN612=ReachLabel,AN612=LongshotLabel,AN612=HailMaryLabel),1,0)</f>
        <v>0</v>
      </c>
      <c r="AQ612">
        <f>IF(OR(AP612=1,AN612=MatchLabel),1,0)</f>
        <v>0</v>
      </c>
      <c r="AR612">
        <f>IF(OR(AN612=MatchLabel,AN612=SafetyLabel,AN612=SecureLabel,AN612=SureThingLabel),1,0)</f>
        <v>0</v>
      </c>
      <c r="AS612">
        <f>IF(OR(W612="H",W612="B",W612="I",W612="M"),IF(ISNUMBER(AB612),ROUND(AB612,2),0),IF(ISNUMBER(AA612),ROUND(AA612,2),0))</f>
        <v>0</v>
      </c>
      <c r="AT612">
        <f>IF(AS612&gt;=X612,1,0)</f>
        <v>0</v>
      </c>
      <c r="AU612">
        <f>IF(AS612&gt;=Y612,1,0)</f>
        <v>0</v>
      </c>
      <c r="AV612">
        <f>IF(AS612&lt;(X612-0.10),1,0)</f>
        <v>0</v>
      </c>
      <c r="AW612">
        <f>1-AM612/100</f>
        <v>0</v>
      </c>
      <c r="AX612">
        <f>IF(AQ612=1,AW612,1)</f>
        <v>0</v>
      </c>
      <c r="AY612">
        <f>IF(AP612=1,AW612,1)</f>
        <v>0</v>
      </c>
      <c r="AZ612">
        <f>IF(AND(AT612=1,ISNUMBER(AW612)),$AW612,1)</f>
        <v>0</v>
      </c>
      <c r="BA612">
        <f>IF(AND(AU612=1,ISNUMBER(AW612)),$AW612,1)</f>
        <v>0</v>
      </c>
      <c r="BB612">
        <f>IF(ISNUMBER(AB612),INDEX(AllCollegeMoney, MATCH(N612,AllCollegeNCES,0)),0)</f>
        <v>0</v>
      </c>
      <c r="BC612">
        <f>IF(AND(AT612=1,ISNUMBER(AW612),BB612=1),$AW612,1)</f>
        <v>0</v>
      </c>
      <c r="BD612">
        <f>IF(AND(AU612=1,ISNUMBER(AW612),BB612=1),$AW612,1)</f>
        <v>0</v>
      </c>
      <c r="BE612">
        <f>IF(ISNUMBER(AB612),INDEX(AllCollegeILPub, MATCH(N612,AllCollegeNCES,0)),0)</f>
        <v>0</v>
      </c>
      <c r="BF612">
        <f>IF(AN612=ReachLabel,AS612,0)</f>
        <v>0</v>
      </c>
      <c r="BG612">
        <f>IF(AN612=MatchLabel,AS612,0)</f>
        <v>0</v>
      </c>
      <c r="BH612">
        <f>IF(AN612=SafetyLabel,AS612,0)</f>
        <v>0</v>
      </c>
      <c r="BI612">
        <f>IF(AN612=SecureLabel,AS612,0)</f>
        <v>0</v>
      </c>
      <c r="BJ612">
        <f>IF(AN612=SureThingLabel,AS612,0)</f>
        <v>0</v>
      </c>
      <c r="BK612">
        <f>MAX(BF612:BJ612)</f>
        <v>0</v>
      </c>
      <c r="BL612">
        <f>MAX(BG612:BJ612)</f>
        <v>0</v>
      </c>
      <c r="BM612">
        <f>MAX(BH612:BJ612)</f>
        <v>0</v>
      </c>
      <c r="BN612">
        <f>IF(AND(AN612=ReachLabel,BB612=1),AS612,0)</f>
        <v>0</v>
      </c>
      <c r="BO612">
        <f>IF(AND(AN612=MatchLabel,BB612=1),AS612,0)</f>
        <v>0</v>
      </c>
      <c r="BP612">
        <f>IF(AND(AN612=SafetyLabel,BB612=1),AS612,0)</f>
        <v>0</v>
      </c>
      <c r="BQ612">
        <f>IF(AND(AN612=SecureLabel,BB612=1),AS612,0)</f>
        <v>0</v>
      </c>
      <c r="BR612">
        <f>IF(AND(AN612=SureThingLabel,BB612=1),AS612,0)</f>
        <v>0</v>
      </c>
      <c r="BS612">
        <f>MAX(BN612:BR612)</f>
        <v>0</v>
      </c>
      <c r="BT612">
        <f>MAX(BO612:BR612)</f>
        <v>0</v>
      </c>
      <c r="BU612">
        <f>MAX(BP612:BR612)</f>
        <v>0</v>
      </c>
      <c r="BV612">
        <f>IF(ISNUMBER(AB612),INDEX(AllCollegeChicago, MATCH(N612,AllCollegeNCES,0))*BB612,0)</f>
        <v>0</v>
      </c>
      <c r="BW612">
        <f>IF(ISNUMBER(AB612),INDEX(AllCollegeMoneyCode, MATCH(N612,AllCollegeNCES,0)),"?")</f>
        <v>0</v>
      </c>
      <c r="BX612">
        <f>IF(OR(BW612="---",BW612="--",BW612="+/--",BW612="+/---"),1,0)</f>
        <v>0</v>
      </c>
      <c r="BY612">
        <f>BB612*AR612*AT612</f>
        <v>0</v>
      </c>
    </row>
    <row r="613" spans="1:77">
      <c r="A613" t="s">
        <v>96</v>
      </c>
      <c r="B613">
        <v>24090662</v>
      </c>
      <c r="C613" t="s">
        <v>197</v>
      </c>
      <c r="D613" t="s">
        <v>198</v>
      </c>
      <c r="E613" t="s">
        <v>446</v>
      </c>
      <c r="F613" t="s">
        <v>468</v>
      </c>
      <c r="G613" t="s">
        <v>448</v>
      </c>
      <c r="H613" t="s">
        <v>449</v>
      </c>
      <c r="I613" t="s">
        <v>450</v>
      </c>
      <c r="J613" t="s">
        <v>450</v>
      </c>
      <c r="K613">
        <v>0</v>
      </c>
      <c r="L613" t="s">
        <v>446</v>
      </c>
      <c r="M613" t="s">
        <v>454</v>
      </c>
      <c r="N613">
        <v>154493</v>
      </c>
      <c r="O613">
        <f>INDEX(Counselor,MATCH(B613,KidIDs,0))</f>
        <v>0</v>
      </c>
      <c r="P613">
        <f>INDEX(Advisors,MATCH(B613,KidIDs,0))</f>
        <v>0</v>
      </c>
      <c r="Q613">
        <f>INDEX(Cohort,MATCH(B613,KidIDs,0))</f>
        <v>0</v>
      </c>
      <c r="R613">
        <f>INDEX(AllCollegeBarrons,MATCH(N613,AllCollegeNCES,0))</f>
        <v>0</v>
      </c>
      <c r="S613">
        <f>INDEX(KidGPAs,MATCH(B613,KidIDs,0))</f>
        <v>0</v>
      </c>
      <c r="T613">
        <f>INDEX(KidSATs,MATCH(B613,KidIDs,0))</f>
        <v>0</v>
      </c>
      <c r="U613">
        <f>INDEX(Strats,MATCH(B613,KidIDs,0))</f>
        <v>0</v>
      </c>
      <c r="V613">
        <f>INDEX(KidRace,MATCH(B613,KidIDs,0))</f>
        <v>0</v>
      </c>
      <c r="W613">
        <f>IF(OR(V613="M",V613="I"),"H",IF(V613="P","A",V613))</f>
        <v>0</v>
      </c>
      <c r="X613">
        <f>INDEX(StudentTargets,MATCH(B613,KidIDs,0))</f>
        <v>0</v>
      </c>
      <c r="Y613">
        <f>INDEX(ReachStudentTargets,MATCH(B613,KidIDs,0))</f>
        <v>0</v>
      </c>
      <c r="Z613">
        <f>IF(OR(M613="Posse"),1,0)</f>
        <v>0</v>
      </c>
      <c r="AA613">
        <f>IF(ISNUMBER(INDEX(AllCollegeGR, MATCH(N613,AllCollegeNCES,0))),ROUND(INDEX(AllCollegeGR, MATCH(N613,AllCollegeNCES,0))+Z613*IF(INDEX(AllCollegeGR, MATCH(N613,AllCollegeNCES,0))&gt;0.7,(1-INDEX(AllCollegeGR, MATCH(N613,AllCollegeNCES,0)))/2,0.15),2),INDEX(AllCollegeGR, MATCH(N613,AllCollegeNCES,0)))</f>
        <v>0</v>
      </c>
      <c r="AB613">
        <f>IF(ISNUMBER(INDEX(AllCollegeAAHGR, MATCH(N613,AllCollegeNCES,0))),ROUND(INDEX(AllCollegeAAHGR, MATCH(N613,AllCollegeNCES,0))+Z613*IF(INDEX(AllCollegeAAHGR, MATCH(N613,AllCollegeNCES,0))&gt;0.7,(1-INDEX(AllCollegeAAHGR, MATCH(N613,AllCollegeNCES,0)))/2,0.15),2),INDEX(AllCollegeAAHGR, MATCH(N613,AllCollegeNCES,0)))</f>
        <v>0</v>
      </c>
      <c r="AC613">
        <f>IF(OR(W613="H",W613="B"),INDEX(AllCollegeSAT25, MATCH(N613,AllCollegeNCES,0)),INDEX(AllCollegeSAT50, MATCH(N613,AllCollegeNCES,0)))</f>
        <v>0</v>
      </c>
      <c r="AD613">
        <f>INDEX(CustomWeightsGPA,MATCH(W613&amp;":"&amp;N613,CustomWeightsIndex,0))</f>
        <v>0</v>
      </c>
      <c r="AE613">
        <f>INDEX(CustomWeightsSAT,MATCH(W613&amp;":"&amp;N613,CustomWeightsIndex,0))</f>
        <v>0</v>
      </c>
      <c r="AF613">
        <f>INDEX(CustomWeightsIntercept,MATCH(W613&amp;":"&amp;N613,CustomWeightsIndex,0))</f>
        <v>0</v>
      </c>
      <c r="AG613">
        <f>AD613*S613+AE613*T613+AF613</f>
        <v>0</v>
      </c>
      <c r="AH613">
        <f>INDEX(CoefficientsGPA,MATCH(W613&amp;":"&amp;R613,CoefficientsIndex,0))</f>
        <v>0</v>
      </c>
      <c r="AI613">
        <f>INDEX(CoefficientsSAT,MATCH(W613&amp;":"&amp;R613,CoefficientsIndex,0))</f>
        <v>0</v>
      </c>
      <c r="AJ613">
        <f>INDEX(CoefficientsIntercept,MATCH(W613&amp;":"&amp;R613,CoefficientsIndex,0))</f>
        <v>0</v>
      </c>
      <c r="AK613">
        <f>AH613*S613+(T613-AC613)*AI613+AJ613</f>
        <v>0</v>
      </c>
      <c r="AL613">
        <f>IF(ISNUMBER(AG613),AG613,AK613)</f>
        <v>0</v>
      </c>
      <c r="AM613">
        <f>IF(ISNUMBER(AL613),IF(ISNUMBER(AH613),IF(AND(AH613=1,AI613=1,AJ613=1),100,MIN(99,ROUND(100*EXP(AL613)/(1+EXP(AL613)),2))),MIN(99,ROUND(100*EXP(AL613)/(1+EXP(AL613)),2))),IF(ISTEXT(R613),IF(LEFT(R613,1)="2",100,"N/A"),"N/A"))</f>
        <v>0</v>
      </c>
      <c r="AN613">
        <f>IF(ISNUMBER(AM613),IF(AM613&gt;=99,IF(OR(U613=10,U613=11),MatchLabel,SureThingLabel),IF(AM613&gt;=95,SecureLabel,IF(AM613&gt;=80,SafetyLabel,IF(AM613&gt;=50,MatchLabel,IF(AM613&gt;=20,ReachLabel,IF(AM613&gt;=10,LongshotLabel,HailMaryLabel)))))),"Other")</f>
        <v>0</v>
      </c>
      <c r="AO613">
        <f>IF(OR(I613="accepted",I613="cond. accept",I613="summer admit"),IF(J613="yes","CHOICE!","Accepted!"),IF(I613="guar. transfer","Guar. Xfer",IF(I613="denied","Denied",IF(K613=1,"Waitlist",IF(L613=1,"Deferred",IF(G613="pending","Pending",IF(OR(G613="initial materials submitted",G613="mid-year submitted",G613="final submitted"),"Submitted",IF(H613="interest","Interest","?"))))))))</f>
        <v>0</v>
      </c>
      <c r="AP613">
        <f>IF(OR(AN613=ReachLabel,AN613=LongshotLabel,AN613=HailMaryLabel),1,0)</f>
        <v>0</v>
      </c>
      <c r="AQ613">
        <f>IF(OR(AP613=1,AN613=MatchLabel),1,0)</f>
        <v>0</v>
      </c>
      <c r="AR613">
        <f>IF(OR(AN613=MatchLabel,AN613=SafetyLabel,AN613=SecureLabel,AN613=SureThingLabel),1,0)</f>
        <v>0</v>
      </c>
      <c r="AS613">
        <f>IF(OR(W613="H",W613="B",W613="I",W613="M"),IF(ISNUMBER(AB613),ROUND(AB613,2),0),IF(ISNUMBER(AA613),ROUND(AA613,2),0))</f>
        <v>0</v>
      </c>
      <c r="AT613">
        <f>IF(AS613&gt;=X613,1,0)</f>
        <v>0</v>
      </c>
      <c r="AU613">
        <f>IF(AS613&gt;=Y613,1,0)</f>
        <v>0</v>
      </c>
      <c r="AV613">
        <f>IF(AS613&lt;(X613-0.10),1,0)</f>
        <v>0</v>
      </c>
      <c r="AW613">
        <f>1-AM613/100</f>
        <v>0</v>
      </c>
      <c r="AX613">
        <f>IF(AQ613=1,AW613,1)</f>
        <v>0</v>
      </c>
      <c r="AY613">
        <f>IF(AP613=1,AW613,1)</f>
        <v>0</v>
      </c>
      <c r="AZ613">
        <f>IF(AND(AT613=1,ISNUMBER(AW613)),$AW613,1)</f>
        <v>0</v>
      </c>
      <c r="BA613">
        <f>IF(AND(AU613=1,ISNUMBER(AW613)),$AW613,1)</f>
        <v>0</v>
      </c>
      <c r="BB613">
        <f>IF(ISNUMBER(AB613),INDEX(AllCollegeMoney, MATCH(N613,AllCollegeNCES,0)),0)</f>
        <v>0</v>
      </c>
      <c r="BC613">
        <f>IF(AND(AT613=1,ISNUMBER(AW613),BB613=1),$AW613,1)</f>
        <v>0</v>
      </c>
      <c r="BD613">
        <f>IF(AND(AU613=1,ISNUMBER(AW613),BB613=1),$AW613,1)</f>
        <v>0</v>
      </c>
      <c r="BE613">
        <f>IF(ISNUMBER(AB613),INDEX(AllCollegeILPub, MATCH(N613,AllCollegeNCES,0)),0)</f>
        <v>0</v>
      </c>
      <c r="BF613">
        <f>IF(AN613=ReachLabel,AS613,0)</f>
        <v>0</v>
      </c>
      <c r="BG613">
        <f>IF(AN613=MatchLabel,AS613,0)</f>
        <v>0</v>
      </c>
      <c r="BH613">
        <f>IF(AN613=SafetyLabel,AS613,0)</f>
        <v>0</v>
      </c>
      <c r="BI613">
        <f>IF(AN613=SecureLabel,AS613,0)</f>
        <v>0</v>
      </c>
      <c r="BJ613">
        <f>IF(AN613=SureThingLabel,AS613,0)</f>
        <v>0</v>
      </c>
      <c r="BK613">
        <f>MAX(BF613:BJ613)</f>
        <v>0</v>
      </c>
      <c r="BL613">
        <f>MAX(BG613:BJ613)</f>
        <v>0</v>
      </c>
      <c r="BM613">
        <f>MAX(BH613:BJ613)</f>
        <v>0</v>
      </c>
      <c r="BN613">
        <f>IF(AND(AN613=ReachLabel,BB613=1),AS613,0)</f>
        <v>0</v>
      </c>
      <c r="BO613">
        <f>IF(AND(AN613=MatchLabel,BB613=1),AS613,0)</f>
        <v>0</v>
      </c>
      <c r="BP613">
        <f>IF(AND(AN613=SafetyLabel,BB613=1),AS613,0)</f>
        <v>0</v>
      </c>
      <c r="BQ613">
        <f>IF(AND(AN613=SecureLabel,BB613=1),AS613,0)</f>
        <v>0</v>
      </c>
      <c r="BR613">
        <f>IF(AND(AN613=SureThingLabel,BB613=1),AS613,0)</f>
        <v>0</v>
      </c>
      <c r="BS613">
        <f>MAX(BN613:BR613)</f>
        <v>0</v>
      </c>
      <c r="BT613">
        <f>MAX(BO613:BR613)</f>
        <v>0</v>
      </c>
      <c r="BU613">
        <f>MAX(BP613:BR613)</f>
        <v>0</v>
      </c>
      <c r="BV613">
        <f>IF(ISNUMBER(AB613),INDEX(AllCollegeChicago, MATCH(N613,AllCollegeNCES,0))*BB613,0)</f>
        <v>0</v>
      </c>
      <c r="BW613">
        <f>IF(ISNUMBER(AB613),INDEX(AllCollegeMoneyCode, MATCH(N613,AllCollegeNCES,0)),"?")</f>
        <v>0</v>
      </c>
      <c r="BX613">
        <f>IF(OR(BW613="---",BW613="--",BW613="+/--",BW613="+/---"),1,0)</f>
        <v>0</v>
      </c>
      <c r="BY613">
        <f>BB613*AR613*AT613</f>
        <v>0</v>
      </c>
    </row>
    <row r="614" spans="1:77">
      <c r="A614" t="s">
        <v>96</v>
      </c>
      <c r="B614">
        <v>24126470</v>
      </c>
      <c r="C614" t="s">
        <v>113</v>
      </c>
      <c r="D614" t="s">
        <v>114</v>
      </c>
      <c r="E614" t="s">
        <v>446</v>
      </c>
      <c r="F614" t="s">
        <v>482</v>
      </c>
      <c r="G614" t="s">
        <v>448</v>
      </c>
      <c r="H614" t="s">
        <v>449</v>
      </c>
      <c r="I614" t="s">
        <v>450</v>
      </c>
      <c r="J614" t="s">
        <v>450</v>
      </c>
      <c r="K614">
        <v>0</v>
      </c>
      <c r="L614" t="s">
        <v>446</v>
      </c>
      <c r="M614" t="s">
        <v>446</v>
      </c>
      <c r="N614">
        <v>170976</v>
      </c>
      <c r="O614">
        <f>INDEX(Counselor,MATCH(B614,KidIDs,0))</f>
        <v>0</v>
      </c>
      <c r="P614">
        <f>INDEX(Advisors,MATCH(B614,KidIDs,0))</f>
        <v>0</v>
      </c>
      <c r="Q614">
        <f>INDEX(Cohort,MATCH(B614,KidIDs,0))</f>
        <v>0</v>
      </c>
      <c r="R614">
        <f>INDEX(AllCollegeBarrons,MATCH(N614,AllCollegeNCES,0))</f>
        <v>0</v>
      </c>
      <c r="S614">
        <f>INDEX(KidGPAs,MATCH(B614,KidIDs,0))</f>
        <v>0</v>
      </c>
      <c r="T614">
        <f>INDEX(KidSATs,MATCH(B614,KidIDs,0))</f>
        <v>0</v>
      </c>
      <c r="U614">
        <f>INDEX(Strats,MATCH(B614,KidIDs,0))</f>
        <v>0</v>
      </c>
      <c r="V614">
        <f>INDEX(KidRace,MATCH(B614,KidIDs,0))</f>
        <v>0</v>
      </c>
      <c r="W614">
        <f>IF(OR(V614="M",V614="I"),"H",IF(V614="P","A",V614))</f>
        <v>0</v>
      </c>
      <c r="X614">
        <f>INDEX(StudentTargets,MATCH(B614,KidIDs,0))</f>
        <v>0</v>
      </c>
      <c r="Y614">
        <f>INDEX(ReachStudentTargets,MATCH(B614,KidIDs,0))</f>
        <v>0</v>
      </c>
      <c r="Z614">
        <f>IF(OR(M614="Posse"),1,0)</f>
        <v>0</v>
      </c>
      <c r="AA614">
        <f>IF(ISNUMBER(INDEX(AllCollegeGR, MATCH(N614,AllCollegeNCES,0))),ROUND(INDEX(AllCollegeGR, MATCH(N614,AllCollegeNCES,0))+Z614*IF(INDEX(AllCollegeGR, MATCH(N614,AllCollegeNCES,0))&gt;0.7,(1-INDEX(AllCollegeGR, MATCH(N614,AllCollegeNCES,0)))/2,0.15),2),INDEX(AllCollegeGR, MATCH(N614,AllCollegeNCES,0)))</f>
        <v>0</v>
      </c>
      <c r="AB614">
        <f>IF(ISNUMBER(INDEX(AllCollegeAAHGR, MATCH(N614,AllCollegeNCES,0))),ROUND(INDEX(AllCollegeAAHGR, MATCH(N614,AllCollegeNCES,0))+Z614*IF(INDEX(AllCollegeAAHGR, MATCH(N614,AllCollegeNCES,0))&gt;0.7,(1-INDEX(AllCollegeAAHGR, MATCH(N614,AllCollegeNCES,0)))/2,0.15),2),INDEX(AllCollegeAAHGR, MATCH(N614,AllCollegeNCES,0)))</f>
        <v>0</v>
      </c>
      <c r="AC614">
        <f>IF(OR(W614="H",W614="B"),INDEX(AllCollegeSAT25, MATCH(N614,AllCollegeNCES,0)),INDEX(AllCollegeSAT50, MATCH(N614,AllCollegeNCES,0)))</f>
        <v>0</v>
      </c>
      <c r="AD614">
        <f>INDEX(CustomWeightsGPA,MATCH(W614&amp;":"&amp;N614,CustomWeightsIndex,0))</f>
        <v>0</v>
      </c>
      <c r="AE614">
        <f>INDEX(CustomWeightsSAT,MATCH(W614&amp;":"&amp;N614,CustomWeightsIndex,0))</f>
        <v>0</v>
      </c>
      <c r="AF614">
        <f>INDEX(CustomWeightsIntercept,MATCH(W614&amp;":"&amp;N614,CustomWeightsIndex,0))</f>
        <v>0</v>
      </c>
      <c r="AG614">
        <f>AD614*S614+AE614*T614+AF614</f>
        <v>0</v>
      </c>
      <c r="AH614">
        <f>INDEX(CoefficientsGPA,MATCH(W614&amp;":"&amp;R614,CoefficientsIndex,0))</f>
        <v>0</v>
      </c>
      <c r="AI614">
        <f>INDEX(CoefficientsSAT,MATCH(W614&amp;":"&amp;R614,CoefficientsIndex,0))</f>
        <v>0</v>
      </c>
      <c r="AJ614">
        <f>INDEX(CoefficientsIntercept,MATCH(W614&amp;":"&amp;R614,CoefficientsIndex,0))</f>
        <v>0</v>
      </c>
      <c r="AK614">
        <f>AH614*S614+(T614-AC614)*AI614+AJ614</f>
        <v>0</v>
      </c>
      <c r="AL614">
        <f>IF(ISNUMBER(AG614),AG614,AK614)</f>
        <v>0</v>
      </c>
      <c r="AM614">
        <f>IF(ISNUMBER(AL614),IF(ISNUMBER(AH614),IF(AND(AH614=1,AI614=1,AJ614=1),100,MIN(99,ROUND(100*EXP(AL614)/(1+EXP(AL614)),2))),MIN(99,ROUND(100*EXP(AL614)/(1+EXP(AL614)),2))),IF(ISTEXT(R614),IF(LEFT(R614,1)="2",100,"N/A"),"N/A"))</f>
        <v>0</v>
      </c>
      <c r="AN614">
        <f>IF(ISNUMBER(AM614),IF(AM614&gt;=99,IF(OR(U614=10,U614=11),MatchLabel,SureThingLabel),IF(AM614&gt;=95,SecureLabel,IF(AM614&gt;=80,SafetyLabel,IF(AM614&gt;=50,MatchLabel,IF(AM614&gt;=20,ReachLabel,IF(AM614&gt;=10,LongshotLabel,HailMaryLabel)))))),"Other")</f>
        <v>0</v>
      </c>
      <c r="AO614">
        <f>IF(OR(I614="accepted",I614="cond. accept",I614="summer admit"),IF(J614="yes","CHOICE!","Accepted!"),IF(I614="guar. transfer","Guar. Xfer",IF(I614="denied","Denied",IF(K614=1,"Waitlist",IF(L614=1,"Deferred",IF(G614="pending","Pending",IF(OR(G614="initial materials submitted",G614="mid-year submitted",G614="final submitted"),"Submitted",IF(H614="interest","Interest","?"))))))))</f>
        <v>0</v>
      </c>
      <c r="AP614">
        <f>IF(OR(AN614=ReachLabel,AN614=LongshotLabel,AN614=HailMaryLabel),1,0)</f>
        <v>0</v>
      </c>
      <c r="AQ614">
        <f>IF(OR(AP614=1,AN614=MatchLabel),1,0)</f>
        <v>0</v>
      </c>
      <c r="AR614">
        <f>IF(OR(AN614=MatchLabel,AN614=SafetyLabel,AN614=SecureLabel,AN614=SureThingLabel),1,0)</f>
        <v>0</v>
      </c>
      <c r="AS614">
        <f>IF(OR(W614="H",W614="B",W614="I",W614="M"),IF(ISNUMBER(AB614),ROUND(AB614,2),0),IF(ISNUMBER(AA614),ROUND(AA614,2),0))</f>
        <v>0</v>
      </c>
      <c r="AT614">
        <f>IF(AS614&gt;=X614,1,0)</f>
        <v>0</v>
      </c>
      <c r="AU614">
        <f>IF(AS614&gt;=Y614,1,0)</f>
        <v>0</v>
      </c>
      <c r="AV614">
        <f>IF(AS614&lt;(X614-0.10),1,0)</f>
        <v>0</v>
      </c>
      <c r="AW614">
        <f>1-AM614/100</f>
        <v>0</v>
      </c>
      <c r="AX614">
        <f>IF(AQ614=1,AW614,1)</f>
        <v>0</v>
      </c>
      <c r="AY614">
        <f>IF(AP614=1,AW614,1)</f>
        <v>0</v>
      </c>
      <c r="AZ614">
        <f>IF(AND(AT614=1,ISNUMBER(AW614)),$AW614,1)</f>
        <v>0</v>
      </c>
      <c r="BA614">
        <f>IF(AND(AU614=1,ISNUMBER(AW614)),$AW614,1)</f>
        <v>0</v>
      </c>
      <c r="BB614">
        <f>IF(ISNUMBER(AB614),INDEX(AllCollegeMoney, MATCH(N614,AllCollegeNCES,0)),0)</f>
        <v>0</v>
      </c>
      <c r="BC614">
        <f>IF(AND(AT614=1,ISNUMBER(AW614),BB614=1),$AW614,1)</f>
        <v>0</v>
      </c>
      <c r="BD614">
        <f>IF(AND(AU614=1,ISNUMBER(AW614),BB614=1),$AW614,1)</f>
        <v>0</v>
      </c>
      <c r="BE614">
        <f>IF(ISNUMBER(AB614),INDEX(AllCollegeILPub, MATCH(N614,AllCollegeNCES,0)),0)</f>
        <v>0</v>
      </c>
      <c r="BF614">
        <f>IF(AN614=ReachLabel,AS614,0)</f>
        <v>0</v>
      </c>
      <c r="BG614">
        <f>IF(AN614=MatchLabel,AS614,0)</f>
        <v>0</v>
      </c>
      <c r="BH614">
        <f>IF(AN614=SafetyLabel,AS614,0)</f>
        <v>0</v>
      </c>
      <c r="BI614">
        <f>IF(AN614=SecureLabel,AS614,0)</f>
        <v>0</v>
      </c>
      <c r="BJ614">
        <f>IF(AN614=SureThingLabel,AS614,0)</f>
        <v>0</v>
      </c>
      <c r="BK614">
        <f>MAX(BF614:BJ614)</f>
        <v>0</v>
      </c>
      <c r="BL614">
        <f>MAX(BG614:BJ614)</f>
        <v>0</v>
      </c>
      <c r="BM614">
        <f>MAX(BH614:BJ614)</f>
        <v>0</v>
      </c>
      <c r="BN614">
        <f>IF(AND(AN614=ReachLabel,BB614=1),AS614,0)</f>
        <v>0</v>
      </c>
      <c r="BO614">
        <f>IF(AND(AN614=MatchLabel,BB614=1),AS614,0)</f>
        <v>0</v>
      </c>
      <c r="BP614">
        <f>IF(AND(AN614=SafetyLabel,BB614=1),AS614,0)</f>
        <v>0</v>
      </c>
      <c r="BQ614">
        <f>IF(AND(AN614=SecureLabel,BB614=1),AS614,0)</f>
        <v>0</v>
      </c>
      <c r="BR614">
        <f>IF(AND(AN614=SureThingLabel,BB614=1),AS614,0)</f>
        <v>0</v>
      </c>
      <c r="BS614">
        <f>MAX(BN614:BR614)</f>
        <v>0</v>
      </c>
      <c r="BT614">
        <f>MAX(BO614:BR614)</f>
        <v>0</v>
      </c>
      <c r="BU614">
        <f>MAX(BP614:BR614)</f>
        <v>0</v>
      </c>
      <c r="BV614">
        <f>IF(ISNUMBER(AB614),INDEX(AllCollegeChicago, MATCH(N614,AllCollegeNCES,0))*BB614,0)</f>
        <v>0</v>
      </c>
      <c r="BW614">
        <f>IF(ISNUMBER(AB614),INDEX(AllCollegeMoneyCode, MATCH(N614,AllCollegeNCES,0)),"?")</f>
        <v>0</v>
      </c>
      <c r="BX614">
        <f>IF(OR(BW614="---",BW614="--",BW614="+/--",BW614="+/---"),1,0)</f>
        <v>0</v>
      </c>
      <c r="BY614">
        <f>BB614*AR614*AT614</f>
        <v>0</v>
      </c>
    </row>
    <row r="615" spans="1:77">
      <c r="A615" t="s">
        <v>96</v>
      </c>
      <c r="B615">
        <v>24126470</v>
      </c>
      <c r="C615" t="s">
        <v>113</v>
      </c>
      <c r="D615" t="s">
        <v>114</v>
      </c>
      <c r="E615" t="s">
        <v>446</v>
      </c>
      <c r="F615" t="s">
        <v>470</v>
      </c>
      <c r="G615" t="s">
        <v>448</v>
      </c>
      <c r="H615" t="s">
        <v>449</v>
      </c>
      <c r="I615" t="s">
        <v>450</v>
      </c>
      <c r="J615" t="s">
        <v>450</v>
      </c>
      <c r="K615">
        <v>0</v>
      </c>
      <c r="L615" t="s">
        <v>446</v>
      </c>
      <c r="M615" t="s">
        <v>446</v>
      </c>
      <c r="N615">
        <v>240444</v>
      </c>
      <c r="O615">
        <f>INDEX(Counselor,MATCH(B615,KidIDs,0))</f>
        <v>0</v>
      </c>
      <c r="P615">
        <f>INDEX(Advisors,MATCH(B615,KidIDs,0))</f>
        <v>0</v>
      </c>
      <c r="Q615">
        <f>INDEX(Cohort,MATCH(B615,KidIDs,0))</f>
        <v>0</v>
      </c>
      <c r="R615">
        <f>INDEX(AllCollegeBarrons,MATCH(N615,AllCollegeNCES,0))</f>
        <v>0</v>
      </c>
      <c r="S615">
        <f>INDEX(KidGPAs,MATCH(B615,KidIDs,0))</f>
        <v>0</v>
      </c>
      <c r="T615">
        <f>INDEX(KidSATs,MATCH(B615,KidIDs,0))</f>
        <v>0</v>
      </c>
      <c r="U615">
        <f>INDEX(Strats,MATCH(B615,KidIDs,0))</f>
        <v>0</v>
      </c>
      <c r="V615">
        <f>INDEX(KidRace,MATCH(B615,KidIDs,0))</f>
        <v>0</v>
      </c>
      <c r="W615">
        <f>IF(OR(V615="M",V615="I"),"H",IF(V615="P","A",V615))</f>
        <v>0</v>
      </c>
      <c r="X615">
        <f>INDEX(StudentTargets,MATCH(B615,KidIDs,0))</f>
        <v>0</v>
      </c>
      <c r="Y615">
        <f>INDEX(ReachStudentTargets,MATCH(B615,KidIDs,0))</f>
        <v>0</v>
      </c>
      <c r="Z615">
        <f>IF(OR(M615="Posse"),1,0)</f>
        <v>0</v>
      </c>
      <c r="AA615">
        <f>IF(ISNUMBER(INDEX(AllCollegeGR, MATCH(N615,AllCollegeNCES,0))),ROUND(INDEX(AllCollegeGR, MATCH(N615,AllCollegeNCES,0))+Z615*IF(INDEX(AllCollegeGR, MATCH(N615,AllCollegeNCES,0))&gt;0.7,(1-INDEX(AllCollegeGR, MATCH(N615,AllCollegeNCES,0)))/2,0.15),2),INDEX(AllCollegeGR, MATCH(N615,AllCollegeNCES,0)))</f>
        <v>0</v>
      </c>
      <c r="AB615">
        <f>IF(ISNUMBER(INDEX(AllCollegeAAHGR, MATCH(N615,AllCollegeNCES,0))),ROUND(INDEX(AllCollegeAAHGR, MATCH(N615,AllCollegeNCES,0))+Z615*IF(INDEX(AllCollegeAAHGR, MATCH(N615,AllCollegeNCES,0))&gt;0.7,(1-INDEX(AllCollegeAAHGR, MATCH(N615,AllCollegeNCES,0)))/2,0.15),2),INDEX(AllCollegeAAHGR, MATCH(N615,AllCollegeNCES,0)))</f>
        <v>0</v>
      </c>
      <c r="AC615">
        <f>IF(OR(W615="H",W615="B"),INDEX(AllCollegeSAT25, MATCH(N615,AllCollegeNCES,0)),INDEX(AllCollegeSAT50, MATCH(N615,AllCollegeNCES,0)))</f>
        <v>0</v>
      </c>
      <c r="AD615">
        <f>INDEX(CustomWeightsGPA,MATCH(W615&amp;":"&amp;N615,CustomWeightsIndex,0))</f>
        <v>0</v>
      </c>
      <c r="AE615">
        <f>INDEX(CustomWeightsSAT,MATCH(W615&amp;":"&amp;N615,CustomWeightsIndex,0))</f>
        <v>0</v>
      </c>
      <c r="AF615">
        <f>INDEX(CustomWeightsIntercept,MATCH(W615&amp;":"&amp;N615,CustomWeightsIndex,0))</f>
        <v>0</v>
      </c>
      <c r="AG615">
        <f>AD615*S615+AE615*T615+AF615</f>
        <v>0</v>
      </c>
      <c r="AH615">
        <f>INDEX(CoefficientsGPA,MATCH(W615&amp;":"&amp;R615,CoefficientsIndex,0))</f>
        <v>0</v>
      </c>
      <c r="AI615">
        <f>INDEX(CoefficientsSAT,MATCH(W615&amp;":"&amp;R615,CoefficientsIndex,0))</f>
        <v>0</v>
      </c>
      <c r="AJ615">
        <f>INDEX(CoefficientsIntercept,MATCH(W615&amp;":"&amp;R615,CoefficientsIndex,0))</f>
        <v>0</v>
      </c>
      <c r="AK615">
        <f>AH615*S615+(T615-AC615)*AI615+AJ615</f>
        <v>0</v>
      </c>
      <c r="AL615">
        <f>IF(ISNUMBER(AG615),AG615,AK615)</f>
        <v>0</v>
      </c>
      <c r="AM615">
        <f>IF(ISNUMBER(AL615),IF(ISNUMBER(AH615),IF(AND(AH615=1,AI615=1,AJ615=1),100,MIN(99,ROUND(100*EXP(AL615)/(1+EXP(AL615)),2))),MIN(99,ROUND(100*EXP(AL615)/(1+EXP(AL615)),2))),IF(ISTEXT(R615),IF(LEFT(R615,1)="2",100,"N/A"),"N/A"))</f>
        <v>0</v>
      </c>
      <c r="AN615">
        <f>IF(ISNUMBER(AM615),IF(AM615&gt;=99,IF(OR(U615=10,U615=11),MatchLabel,SureThingLabel),IF(AM615&gt;=95,SecureLabel,IF(AM615&gt;=80,SafetyLabel,IF(AM615&gt;=50,MatchLabel,IF(AM615&gt;=20,ReachLabel,IF(AM615&gt;=10,LongshotLabel,HailMaryLabel)))))),"Other")</f>
        <v>0</v>
      </c>
      <c r="AO615">
        <f>IF(OR(I615="accepted",I615="cond. accept",I615="summer admit"),IF(J615="yes","CHOICE!","Accepted!"),IF(I615="guar. transfer","Guar. Xfer",IF(I615="denied","Denied",IF(K615=1,"Waitlist",IF(L615=1,"Deferred",IF(G615="pending","Pending",IF(OR(G615="initial materials submitted",G615="mid-year submitted",G615="final submitted"),"Submitted",IF(H615="interest","Interest","?"))))))))</f>
        <v>0</v>
      </c>
      <c r="AP615">
        <f>IF(OR(AN615=ReachLabel,AN615=LongshotLabel,AN615=HailMaryLabel),1,0)</f>
        <v>0</v>
      </c>
      <c r="AQ615">
        <f>IF(OR(AP615=1,AN615=MatchLabel),1,0)</f>
        <v>0</v>
      </c>
      <c r="AR615">
        <f>IF(OR(AN615=MatchLabel,AN615=SafetyLabel,AN615=SecureLabel,AN615=SureThingLabel),1,0)</f>
        <v>0</v>
      </c>
      <c r="AS615">
        <f>IF(OR(W615="H",W615="B",W615="I",W615="M"),IF(ISNUMBER(AB615),ROUND(AB615,2),0),IF(ISNUMBER(AA615),ROUND(AA615,2),0))</f>
        <v>0</v>
      </c>
      <c r="AT615">
        <f>IF(AS615&gt;=X615,1,0)</f>
        <v>0</v>
      </c>
      <c r="AU615">
        <f>IF(AS615&gt;=Y615,1,0)</f>
        <v>0</v>
      </c>
      <c r="AV615">
        <f>IF(AS615&lt;(X615-0.10),1,0)</f>
        <v>0</v>
      </c>
      <c r="AW615">
        <f>1-AM615/100</f>
        <v>0</v>
      </c>
      <c r="AX615">
        <f>IF(AQ615=1,AW615,1)</f>
        <v>0</v>
      </c>
      <c r="AY615">
        <f>IF(AP615=1,AW615,1)</f>
        <v>0</v>
      </c>
      <c r="AZ615">
        <f>IF(AND(AT615=1,ISNUMBER(AW615)),$AW615,1)</f>
        <v>0</v>
      </c>
      <c r="BA615">
        <f>IF(AND(AU615=1,ISNUMBER(AW615)),$AW615,1)</f>
        <v>0</v>
      </c>
      <c r="BB615">
        <f>IF(ISNUMBER(AB615),INDEX(AllCollegeMoney, MATCH(N615,AllCollegeNCES,0)),0)</f>
        <v>0</v>
      </c>
      <c r="BC615">
        <f>IF(AND(AT615=1,ISNUMBER(AW615),BB615=1),$AW615,1)</f>
        <v>0</v>
      </c>
      <c r="BD615">
        <f>IF(AND(AU615=1,ISNUMBER(AW615),BB615=1),$AW615,1)</f>
        <v>0</v>
      </c>
      <c r="BE615">
        <f>IF(ISNUMBER(AB615),INDEX(AllCollegeILPub, MATCH(N615,AllCollegeNCES,0)),0)</f>
        <v>0</v>
      </c>
      <c r="BF615">
        <f>IF(AN615=ReachLabel,AS615,0)</f>
        <v>0</v>
      </c>
      <c r="BG615">
        <f>IF(AN615=MatchLabel,AS615,0)</f>
        <v>0</v>
      </c>
      <c r="BH615">
        <f>IF(AN615=SafetyLabel,AS615,0)</f>
        <v>0</v>
      </c>
      <c r="BI615">
        <f>IF(AN615=SecureLabel,AS615,0)</f>
        <v>0</v>
      </c>
      <c r="BJ615">
        <f>IF(AN615=SureThingLabel,AS615,0)</f>
        <v>0</v>
      </c>
      <c r="BK615">
        <f>MAX(BF615:BJ615)</f>
        <v>0</v>
      </c>
      <c r="BL615">
        <f>MAX(BG615:BJ615)</f>
        <v>0</v>
      </c>
      <c r="BM615">
        <f>MAX(BH615:BJ615)</f>
        <v>0</v>
      </c>
      <c r="BN615">
        <f>IF(AND(AN615=ReachLabel,BB615=1),AS615,0)</f>
        <v>0</v>
      </c>
      <c r="BO615">
        <f>IF(AND(AN615=MatchLabel,BB615=1),AS615,0)</f>
        <v>0</v>
      </c>
      <c r="BP615">
        <f>IF(AND(AN615=SafetyLabel,BB615=1),AS615,0)</f>
        <v>0</v>
      </c>
      <c r="BQ615">
        <f>IF(AND(AN615=SecureLabel,BB615=1),AS615,0)</f>
        <v>0</v>
      </c>
      <c r="BR615">
        <f>IF(AND(AN615=SureThingLabel,BB615=1),AS615,0)</f>
        <v>0</v>
      </c>
      <c r="BS615">
        <f>MAX(BN615:BR615)</f>
        <v>0</v>
      </c>
      <c r="BT615">
        <f>MAX(BO615:BR615)</f>
        <v>0</v>
      </c>
      <c r="BU615">
        <f>MAX(BP615:BR615)</f>
        <v>0</v>
      </c>
      <c r="BV615">
        <f>IF(ISNUMBER(AB615),INDEX(AllCollegeChicago, MATCH(N615,AllCollegeNCES,0))*BB615,0)</f>
        <v>0</v>
      </c>
      <c r="BW615">
        <f>IF(ISNUMBER(AB615),INDEX(AllCollegeMoneyCode, MATCH(N615,AllCollegeNCES,0)),"?")</f>
        <v>0</v>
      </c>
      <c r="BX615">
        <f>IF(OR(BW615="---",BW615="--",BW615="+/--",BW615="+/---"),1,0)</f>
        <v>0</v>
      </c>
      <c r="BY615">
        <f>BB615*AR615*AT615</f>
        <v>0</v>
      </c>
    </row>
    <row r="616" spans="1:77">
      <c r="A616" t="s">
        <v>96</v>
      </c>
      <c r="B616">
        <v>24126470</v>
      </c>
      <c r="C616" t="s">
        <v>113</v>
      </c>
      <c r="D616" t="s">
        <v>114</v>
      </c>
      <c r="E616" t="s">
        <v>446</v>
      </c>
      <c r="F616" t="s">
        <v>512</v>
      </c>
      <c r="G616" t="s">
        <v>448</v>
      </c>
      <c r="H616" t="s">
        <v>449</v>
      </c>
      <c r="I616" t="s">
        <v>450</v>
      </c>
      <c r="J616" t="s">
        <v>450</v>
      </c>
      <c r="K616">
        <v>0</v>
      </c>
      <c r="L616" t="s">
        <v>446</v>
      </c>
      <c r="M616" t="s">
        <v>446</v>
      </c>
      <c r="N616">
        <v>150400</v>
      </c>
      <c r="O616">
        <f>INDEX(Counselor,MATCH(B616,KidIDs,0))</f>
        <v>0</v>
      </c>
      <c r="P616">
        <f>INDEX(Advisors,MATCH(B616,KidIDs,0))</f>
        <v>0</v>
      </c>
      <c r="Q616">
        <f>INDEX(Cohort,MATCH(B616,KidIDs,0))</f>
        <v>0</v>
      </c>
      <c r="R616">
        <f>INDEX(AllCollegeBarrons,MATCH(N616,AllCollegeNCES,0))</f>
        <v>0</v>
      </c>
      <c r="S616">
        <f>INDEX(KidGPAs,MATCH(B616,KidIDs,0))</f>
        <v>0</v>
      </c>
      <c r="T616">
        <f>INDEX(KidSATs,MATCH(B616,KidIDs,0))</f>
        <v>0</v>
      </c>
      <c r="U616">
        <f>INDEX(Strats,MATCH(B616,KidIDs,0))</f>
        <v>0</v>
      </c>
      <c r="V616">
        <f>INDEX(KidRace,MATCH(B616,KidIDs,0))</f>
        <v>0</v>
      </c>
      <c r="W616">
        <f>IF(OR(V616="M",V616="I"),"H",IF(V616="P","A",V616))</f>
        <v>0</v>
      </c>
      <c r="X616">
        <f>INDEX(StudentTargets,MATCH(B616,KidIDs,0))</f>
        <v>0</v>
      </c>
      <c r="Y616">
        <f>INDEX(ReachStudentTargets,MATCH(B616,KidIDs,0))</f>
        <v>0</v>
      </c>
      <c r="Z616">
        <f>IF(OR(M616="Posse"),1,0)</f>
        <v>0</v>
      </c>
      <c r="AA616">
        <f>IF(ISNUMBER(INDEX(AllCollegeGR, MATCH(N616,AllCollegeNCES,0))),ROUND(INDEX(AllCollegeGR, MATCH(N616,AllCollegeNCES,0))+Z616*IF(INDEX(AllCollegeGR, MATCH(N616,AllCollegeNCES,0))&gt;0.7,(1-INDEX(AllCollegeGR, MATCH(N616,AllCollegeNCES,0)))/2,0.15),2),INDEX(AllCollegeGR, MATCH(N616,AllCollegeNCES,0)))</f>
        <v>0</v>
      </c>
      <c r="AB616">
        <f>IF(ISNUMBER(INDEX(AllCollegeAAHGR, MATCH(N616,AllCollegeNCES,0))),ROUND(INDEX(AllCollegeAAHGR, MATCH(N616,AllCollegeNCES,0))+Z616*IF(INDEX(AllCollegeAAHGR, MATCH(N616,AllCollegeNCES,0))&gt;0.7,(1-INDEX(AllCollegeAAHGR, MATCH(N616,AllCollegeNCES,0)))/2,0.15),2),INDEX(AllCollegeAAHGR, MATCH(N616,AllCollegeNCES,0)))</f>
        <v>0</v>
      </c>
      <c r="AC616">
        <f>IF(OR(W616="H",W616="B"),INDEX(AllCollegeSAT25, MATCH(N616,AllCollegeNCES,0)),INDEX(AllCollegeSAT50, MATCH(N616,AllCollegeNCES,0)))</f>
        <v>0</v>
      </c>
      <c r="AD616">
        <f>INDEX(CustomWeightsGPA,MATCH(W616&amp;":"&amp;N616,CustomWeightsIndex,0))</f>
        <v>0</v>
      </c>
      <c r="AE616">
        <f>INDEX(CustomWeightsSAT,MATCH(W616&amp;":"&amp;N616,CustomWeightsIndex,0))</f>
        <v>0</v>
      </c>
      <c r="AF616">
        <f>INDEX(CustomWeightsIntercept,MATCH(W616&amp;":"&amp;N616,CustomWeightsIndex,0))</f>
        <v>0</v>
      </c>
      <c r="AG616">
        <f>AD616*S616+AE616*T616+AF616</f>
        <v>0</v>
      </c>
      <c r="AH616">
        <f>INDEX(CoefficientsGPA,MATCH(W616&amp;":"&amp;R616,CoefficientsIndex,0))</f>
        <v>0</v>
      </c>
      <c r="AI616">
        <f>INDEX(CoefficientsSAT,MATCH(W616&amp;":"&amp;R616,CoefficientsIndex,0))</f>
        <v>0</v>
      </c>
      <c r="AJ616">
        <f>INDEX(CoefficientsIntercept,MATCH(W616&amp;":"&amp;R616,CoefficientsIndex,0))</f>
        <v>0</v>
      </c>
      <c r="AK616">
        <f>AH616*S616+(T616-AC616)*AI616+AJ616</f>
        <v>0</v>
      </c>
      <c r="AL616">
        <f>IF(ISNUMBER(AG616),AG616,AK616)</f>
        <v>0</v>
      </c>
      <c r="AM616">
        <f>IF(ISNUMBER(AL616),IF(ISNUMBER(AH616),IF(AND(AH616=1,AI616=1,AJ616=1),100,MIN(99,ROUND(100*EXP(AL616)/(1+EXP(AL616)),2))),MIN(99,ROUND(100*EXP(AL616)/(1+EXP(AL616)),2))),IF(ISTEXT(R616),IF(LEFT(R616,1)="2",100,"N/A"),"N/A"))</f>
        <v>0</v>
      </c>
      <c r="AN616">
        <f>IF(ISNUMBER(AM616),IF(AM616&gt;=99,IF(OR(U616=10,U616=11),MatchLabel,SureThingLabel),IF(AM616&gt;=95,SecureLabel,IF(AM616&gt;=80,SafetyLabel,IF(AM616&gt;=50,MatchLabel,IF(AM616&gt;=20,ReachLabel,IF(AM616&gt;=10,LongshotLabel,HailMaryLabel)))))),"Other")</f>
        <v>0</v>
      </c>
      <c r="AO616">
        <f>IF(OR(I616="accepted",I616="cond. accept",I616="summer admit"),IF(J616="yes","CHOICE!","Accepted!"),IF(I616="guar. transfer","Guar. Xfer",IF(I616="denied","Denied",IF(K616=1,"Waitlist",IF(L616=1,"Deferred",IF(G616="pending","Pending",IF(OR(G616="initial materials submitted",G616="mid-year submitted",G616="final submitted"),"Submitted",IF(H616="interest","Interest","?"))))))))</f>
        <v>0</v>
      </c>
      <c r="AP616">
        <f>IF(OR(AN616=ReachLabel,AN616=LongshotLabel,AN616=HailMaryLabel),1,0)</f>
        <v>0</v>
      </c>
      <c r="AQ616">
        <f>IF(OR(AP616=1,AN616=MatchLabel),1,0)</f>
        <v>0</v>
      </c>
      <c r="AR616">
        <f>IF(OR(AN616=MatchLabel,AN616=SafetyLabel,AN616=SecureLabel,AN616=SureThingLabel),1,0)</f>
        <v>0</v>
      </c>
      <c r="AS616">
        <f>IF(OR(W616="H",W616="B",W616="I",W616="M"),IF(ISNUMBER(AB616),ROUND(AB616,2),0),IF(ISNUMBER(AA616),ROUND(AA616,2),0))</f>
        <v>0</v>
      </c>
      <c r="AT616">
        <f>IF(AS616&gt;=X616,1,0)</f>
        <v>0</v>
      </c>
      <c r="AU616">
        <f>IF(AS616&gt;=Y616,1,0)</f>
        <v>0</v>
      </c>
      <c r="AV616">
        <f>IF(AS616&lt;(X616-0.10),1,0)</f>
        <v>0</v>
      </c>
      <c r="AW616">
        <f>1-AM616/100</f>
        <v>0</v>
      </c>
      <c r="AX616">
        <f>IF(AQ616=1,AW616,1)</f>
        <v>0</v>
      </c>
      <c r="AY616">
        <f>IF(AP616=1,AW616,1)</f>
        <v>0</v>
      </c>
      <c r="AZ616">
        <f>IF(AND(AT616=1,ISNUMBER(AW616)),$AW616,1)</f>
        <v>0</v>
      </c>
      <c r="BA616">
        <f>IF(AND(AU616=1,ISNUMBER(AW616)),$AW616,1)</f>
        <v>0</v>
      </c>
      <c r="BB616">
        <f>IF(ISNUMBER(AB616),INDEX(AllCollegeMoney, MATCH(N616,AllCollegeNCES,0)),0)</f>
        <v>0</v>
      </c>
      <c r="BC616">
        <f>IF(AND(AT616=1,ISNUMBER(AW616),BB616=1),$AW616,1)</f>
        <v>0</v>
      </c>
      <c r="BD616">
        <f>IF(AND(AU616=1,ISNUMBER(AW616),BB616=1),$AW616,1)</f>
        <v>0</v>
      </c>
      <c r="BE616">
        <f>IF(ISNUMBER(AB616),INDEX(AllCollegeILPub, MATCH(N616,AllCollegeNCES,0)),0)</f>
        <v>0</v>
      </c>
      <c r="BF616">
        <f>IF(AN616=ReachLabel,AS616,0)</f>
        <v>0</v>
      </c>
      <c r="BG616">
        <f>IF(AN616=MatchLabel,AS616,0)</f>
        <v>0</v>
      </c>
      <c r="BH616">
        <f>IF(AN616=SafetyLabel,AS616,0)</f>
        <v>0</v>
      </c>
      <c r="BI616">
        <f>IF(AN616=SecureLabel,AS616,0)</f>
        <v>0</v>
      </c>
      <c r="BJ616">
        <f>IF(AN616=SureThingLabel,AS616,0)</f>
        <v>0</v>
      </c>
      <c r="BK616">
        <f>MAX(BF616:BJ616)</f>
        <v>0</v>
      </c>
      <c r="BL616">
        <f>MAX(BG616:BJ616)</f>
        <v>0</v>
      </c>
      <c r="BM616">
        <f>MAX(BH616:BJ616)</f>
        <v>0</v>
      </c>
      <c r="BN616">
        <f>IF(AND(AN616=ReachLabel,BB616=1),AS616,0)</f>
        <v>0</v>
      </c>
      <c r="BO616">
        <f>IF(AND(AN616=MatchLabel,BB616=1),AS616,0)</f>
        <v>0</v>
      </c>
      <c r="BP616">
        <f>IF(AND(AN616=SafetyLabel,BB616=1),AS616,0)</f>
        <v>0</v>
      </c>
      <c r="BQ616">
        <f>IF(AND(AN616=SecureLabel,BB616=1),AS616,0)</f>
        <v>0</v>
      </c>
      <c r="BR616">
        <f>IF(AND(AN616=SureThingLabel,BB616=1),AS616,0)</f>
        <v>0</v>
      </c>
      <c r="BS616">
        <f>MAX(BN616:BR616)</f>
        <v>0</v>
      </c>
      <c r="BT616">
        <f>MAX(BO616:BR616)</f>
        <v>0</v>
      </c>
      <c r="BU616">
        <f>MAX(BP616:BR616)</f>
        <v>0</v>
      </c>
      <c r="BV616">
        <f>IF(ISNUMBER(AB616),INDEX(AllCollegeChicago, MATCH(N616,AllCollegeNCES,0))*BB616,0)</f>
        <v>0</v>
      </c>
      <c r="BW616">
        <f>IF(ISNUMBER(AB616),INDEX(AllCollegeMoneyCode, MATCH(N616,AllCollegeNCES,0)),"?")</f>
        <v>0</v>
      </c>
      <c r="BX616">
        <f>IF(OR(BW616="---",BW616="--",BW616="+/--",BW616="+/---"),1,0)</f>
        <v>0</v>
      </c>
      <c r="BY616">
        <f>BB616*AR616*AT616</f>
        <v>0</v>
      </c>
    </row>
    <row r="617" spans="1:77">
      <c r="A617" t="s">
        <v>96</v>
      </c>
      <c r="B617">
        <v>24126470</v>
      </c>
      <c r="C617" t="s">
        <v>113</v>
      </c>
      <c r="D617" t="s">
        <v>114</v>
      </c>
      <c r="E617" t="s">
        <v>446</v>
      </c>
      <c r="F617" t="s">
        <v>471</v>
      </c>
      <c r="G617" t="s">
        <v>448</v>
      </c>
      <c r="H617" t="s">
        <v>449</v>
      </c>
      <c r="I617" t="s">
        <v>450</v>
      </c>
      <c r="J617" t="s">
        <v>450</v>
      </c>
      <c r="K617">
        <v>0</v>
      </c>
      <c r="L617" t="s">
        <v>446</v>
      </c>
      <c r="M617" t="s">
        <v>446</v>
      </c>
      <c r="N617">
        <v>202523</v>
      </c>
      <c r="O617">
        <f>INDEX(Counselor,MATCH(B617,KidIDs,0))</f>
        <v>0</v>
      </c>
      <c r="P617">
        <f>INDEX(Advisors,MATCH(B617,KidIDs,0))</f>
        <v>0</v>
      </c>
      <c r="Q617">
        <f>INDEX(Cohort,MATCH(B617,KidIDs,0))</f>
        <v>0</v>
      </c>
      <c r="R617">
        <f>INDEX(AllCollegeBarrons,MATCH(N617,AllCollegeNCES,0))</f>
        <v>0</v>
      </c>
      <c r="S617">
        <f>INDEX(KidGPAs,MATCH(B617,KidIDs,0))</f>
        <v>0</v>
      </c>
      <c r="T617">
        <f>INDEX(KidSATs,MATCH(B617,KidIDs,0))</f>
        <v>0</v>
      </c>
      <c r="U617">
        <f>INDEX(Strats,MATCH(B617,KidIDs,0))</f>
        <v>0</v>
      </c>
      <c r="V617">
        <f>INDEX(KidRace,MATCH(B617,KidIDs,0))</f>
        <v>0</v>
      </c>
      <c r="W617">
        <f>IF(OR(V617="M",V617="I"),"H",IF(V617="P","A",V617))</f>
        <v>0</v>
      </c>
      <c r="X617">
        <f>INDEX(StudentTargets,MATCH(B617,KidIDs,0))</f>
        <v>0</v>
      </c>
      <c r="Y617">
        <f>INDEX(ReachStudentTargets,MATCH(B617,KidIDs,0))</f>
        <v>0</v>
      </c>
      <c r="Z617">
        <f>IF(OR(M617="Posse"),1,0)</f>
        <v>0</v>
      </c>
      <c r="AA617">
        <f>IF(ISNUMBER(INDEX(AllCollegeGR, MATCH(N617,AllCollegeNCES,0))),ROUND(INDEX(AllCollegeGR, MATCH(N617,AllCollegeNCES,0))+Z617*IF(INDEX(AllCollegeGR, MATCH(N617,AllCollegeNCES,0))&gt;0.7,(1-INDEX(AllCollegeGR, MATCH(N617,AllCollegeNCES,0)))/2,0.15),2),INDEX(AllCollegeGR, MATCH(N617,AllCollegeNCES,0)))</f>
        <v>0</v>
      </c>
      <c r="AB617">
        <f>IF(ISNUMBER(INDEX(AllCollegeAAHGR, MATCH(N617,AllCollegeNCES,0))),ROUND(INDEX(AllCollegeAAHGR, MATCH(N617,AllCollegeNCES,0))+Z617*IF(INDEX(AllCollegeAAHGR, MATCH(N617,AllCollegeNCES,0))&gt;0.7,(1-INDEX(AllCollegeAAHGR, MATCH(N617,AllCollegeNCES,0)))/2,0.15),2),INDEX(AllCollegeAAHGR, MATCH(N617,AllCollegeNCES,0)))</f>
        <v>0</v>
      </c>
      <c r="AC617">
        <f>IF(OR(W617="H",W617="B"),INDEX(AllCollegeSAT25, MATCH(N617,AllCollegeNCES,0)),INDEX(AllCollegeSAT50, MATCH(N617,AllCollegeNCES,0)))</f>
        <v>0</v>
      </c>
      <c r="AD617">
        <f>INDEX(CustomWeightsGPA,MATCH(W617&amp;":"&amp;N617,CustomWeightsIndex,0))</f>
        <v>0</v>
      </c>
      <c r="AE617">
        <f>INDEX(CustomWeightsSAT,MATCH(W617&amp;":"&amp;N617,CustomWeightsIndex,0))</f>
        <v>0</v>
      </c>
      <c r="AF617">
        <f>INDEX(CustomWeightsIntercept,MATCH(W617&amp;":"&amp;N617,CustomWeightsIndex,0))</f>
        <v>0</v>
      </c>
      <c r="AG617">
        <f>AD617*S617+AE617*T617+AF617</f>
        <v>0</v>
      </c>
      <c r="AH617">
        <f>INDEX(CoefficientsGPA,MATCH(W617&amp;":"&amp;R617,CoefficientsIndex,0))</f>
        <v>0</v>
      </c>
      <c r="AI617">
        <f>INDEX(CoefficientsSAT,MATCH(W617&amp;":"&amp;R617,CoefficientsIndex,0))</f>
        <v>0</v>
      </c>
      <c r="AJ617">
        <f>INDEX(CoefficientsIntercept,MATCH(W617&amp;":"&amp;R617,CoefficientsIndex,0))</f>
        <v>0</v>
      </c>
      <c r="AK617">
        <f>AH617*S617+(T617-AC617)*AI617+AJ617</f>
        <v>0</v>
      </c>
      <c r="AL617">
        <f>IF(ISNUMBER(AG617),AG617,AK617)</f>
        <v>0</v>
      </c>
      <c r="AM617">
        <f>IF(ISNUMBER(AL617),IF(ISNUMBER(AH617),IF(AND(AH617=1,AI617=1,AJ617=1),100,MIN(99,ROUND(100*EXP(AL617)/(1+EXP(AL617)),2))),MIN(99,ROUND(100*EXP(AL617)/(1+EXP(AL617)),2))),IF(ISTEXT(R617),IF(LEFT(R617,1)="2",100,"N/A"),"N/A"))</f>
        <v>0</v>
      </c>
      <c r="AN617">
        <f>IF(ISNUMBER(AM617),IF(AM617&gt;=99,IF(OR(U617=10,U617=11),MatchLabel,SureThingLabel),IF(AM617&gt;=95,SecureLabel,IF(AM617&gt;=80,SafetyLabel,IF(AM617&gt;=50,MatchLabel,IF(AM617&gt;=20,ReachLabel,IF(AM617&gt;=10,LongshotLabel,HailMaryLabel)))))),"Other")</f>
        <v>0</v>
      </c>
      <c r="AO617">
        <f>IF(OR(I617="accepted",I617="cond. accept",I617="summer admit"),IF(J617="yes","CHOICE!","Accepted!"),IF(I617="guar. transfer","Guar. Xfer",IF(I617="denied","Denied",IF(K617=1,"Waitlist",IF(L617=1,"Deferred",IF(G617="pending","Pending",IF(OR(G617="initial materials submitted",G617="mid-year submitted",G617="final submitted"),"Submitted",IF(H617="interest","Interest","?"))))))))</f>
        <v>0</v>
      </c>
      <c r="AP617">
        <f>IF(OR(AN617=ReachLabel,AN617=LongshotLabel,AN617=HailMaryLabel),1,0)</f>
        <v>0</v>
      </c>
      <c r="AQ617">
        <f>IF(OR(AP617=1,AN617=MatchLabel),1,0)</f>
        <v>0</v>
      </c>
      <c r="AR617">
        <f>IF(OR(AN617=MatchLabel,AN617=SafetyLabel,AN617=SecureLabel,AN617=SureThingLabel),1,0)</f>
        <v>0</v>
      </c>
      <c r="AS617">
        <f>IF(OR(W617="H",W617="B",W617="I",W617="M"),IF(ISNUMBER(AB617),ROUND(AB617,2),0),IF(ISNUMBER(AA617),ROUND(AA617,2),0))</f>
        <v>0</v>
      </c>
      <c r="AT617">
        <f>IF(AS617&gt;=X617,1,0)</f>
        <v>0</v>
      </c>
      <c r="AU617">
        <f>IF(AS617&gt;=Y617,1,0)</f>
        <v>0</v>
      </c>
      <c r="AV617">
        <f>IF(AS617&lt;(X617-0.10),1,0)</f>
        <v>0</v>
      </c>
      <c r="AW617">
        <f>1-AM617/100</f>
        <v>0</v>
      </c>
      <c r="AX617">
        <f>IF(AQ617=1,AW617,1)</f>
        <v>0</v>
      </c>
      <c r="AY617">
        <f>IF(AP617=1,AW617,1)</f>
        <v>0</v>
      </c>
      <c r="AZ617">
        <f>IF(AND(AT617=1,ISNUMBER(AW617)),$AW617,1)</f>
        <v>0</v>
      </c>
      <c r="BA617">
        <f>IF(AND(AU617=1,ISNUMBER(AW617)),$AW617,1)</f>
        <v>0</v>
      </c>
      <c r="BB617">
        <f>IF(ISNUMBER(AB617),INDEX(AllCollegeMoney, MATCH(N617,AllCollegeNCES,0)),0)</f>
        <v>0</v>
      </c>
      <c r="BC617">
        <f>IF(AND(AT617=1,ISNUMBER(AW617),BB617=1),$AW617,1)</f>
        <v>0</v>
      </c>
      <c r="BD617">
        <f>IF(AND(AU617=1,ISNUMBER(AW617),BB617=1),$AW617,1)</f>
        <v>0</v>
      </c>
      <c r="BE617">
        <f>IF(ISNUMBER(AB617),INDEX(AllCollegeILPub, MATCH(N617,AllCollegeNCES,0)),0)</f>
        <v>0</v>
      </c>
      <c r="BF617">
        <f>IF(AN617=ReachLabel,AS617,0)</f>
        <v>0</v>
      </c>
      <c r="BG617">
        <f>IF(AN617=MatchLabel,AS617,0)</f>
        <v>0</v>
      </c>
      <c r="BH617">
        <f>IF(AN617=SafetyLabel,AS617,0)</f>
        <v>0</v>
      </c>
      <c r="BI617">
        <f>IF(AN617=SecureLabel,AS617,0)</f>
        <v>0</v>
      </c>
      <c r="BJ617">
        <f>IF(AN617=SureThingLabel,AS617,0)</f>
        <v>0</v>
      </c>
      <c r="BK617">
        <f>MAX(BF617:BJ617)</f>
        <v>0</v>
      </c>
      <c r="BL617">
        <f>MAX(BG617:BJ617)</f>
        <v>0</v>
      </c>
      <c r="BM617">
        <f>MAX(BH617:BJ617)</f>
        <v>0</v>
      </c>
      <c r="BN617">
        <f>IF(AND(AN617=ReachLabel,BB617=1),AS617,0)</f>
        <v>0</v>
      </c>
      <c r="BO617">
        <f>IF(AND(AN617=MatchLabel,BB617=1),AS617,0)</f>
        <v>0</v>
      </c>
      <c r="BP617">
        <f>IF(AND(AN617=SafetyLabel,BB617=1),AS617,0)</f>
        <v>0</v>
      </c>
      <c r="BQ617">
        <f>IF(AND(AN617=SecureLabel,BB617=1),AS617,0)</f>
        <v>0</v>
      </c>
      <c r="BR617">
        <f>IF(AND(AN617=SureThingLabel,BB617=1),AS617,0)</f>
        <v>0</v>
      </c>
      <c r="BS617">
        <f>MAX(BN617:BR617)</f>
        <v>0</v>
      </c>
      <c r="BT617">
        <f>MAX(BO617:BR617)</f>
        <v>0</v>
      </c>
      <c r="BU617">
        <f>MAX(BP617:BR617)</f>
        <v>0</v>
      </c>
      <c r="BV617">
        <f>IF(ISNUMBER(AB617),INDEX(AllCollegeChicago, MATCH(N617,AllCollegeNCES,0))*BB617,0)</f>
        <v>0</v>
      </c>
      <c r="BW617">
        <f>IF(ISNUMBER(AB617),INDEX(AllCollegeMoneyCode, MATCH(N617,AllCollegeNCES,0)),"?")</f>
        <v>0</v>
      </c>
      <c r="BX617">
        <f>IF(OR(BW617="---",BW617="--",BW617="+/--",BW617="+/---"),1,0)</f>
        <v>0</v>
      </c>
      <c r="BY617">
        <f>BB617*AR617*AT617</f>
        <v>0</v>
      </c>
    </row>
    <row r="618" spans="1:77">
      <c r="A618" t="s">
        <v>96</v>
      </c>
      <c r="B618">
        <v>24126470</v>
      </c>
      <c r="C618" t="s">
        <v>113</v>
      </c>
      <c r="D618" t="s">
        <v>114</v>
      </c>
      <c r="E618" t="s">
        <v>446</v>
      </c>
      <c r="F618" t="s">
        <v>486</v>
      </c>
      <c r="G618" t="s">
        <v>448</v>
      </c>
      <c r="H618" t="s">
        <v>449</v>
      </c>
      <c r="I618" t="s">
        <v>450</v>
      </c>
      <c r="J618" t="s">
        <v>450</v>
      </c>
      <c r="K618">
        <v>0</v>
      </c>
      <c r="L618" t="s">
        <v>446</v>
      </c>
      <c r="M618" t="s">
        <v>446</v>
      </c>
      <c r="N618">
        <v>206589</v>
      </c>
      <c r="O618">
        <f>INDEX(Counselor,MATCH(B618,KidIDs,0))</f>
        <v>0</v>
      </c>
      <c r="P618">
        <f>INDEX(Advisors,MATCH(B618,KidIDs,0))</f>
        <v>0</v>
      </c>
      <c r="Q618">
        <f>INDEX(Cohort,MATCH(B618,KidIDs,0))</f>
        <v>0</v>
      </c>
      <c r="R618">
        <f>INDEX(AllCollegeBarrons,MATCH(N618,AllCollegeNCES,0))</f>
        <v>0</v>
      </c>
      <c r="S618">
        <f>INDEX(KidGPAs,MATCH(B618,KidIDs,0))</f>
        <v>0</v>
      </c>
      <c r="T618">
        <f>INDEX(KidSATs,MATCH(B618,KidIDs,0))</f>
        <v>0</v>
      </c>
      <c r="U618">
        <f>INDEX(Strats,MATCH(B618,KidIDs,0))</f>
        <v>0</v>
      </c>
      <c r="V618">
        <f>INDEX(KidRace,MATCH(B618,KidIDs,0))</f>
        <v>0</v>
      </c>
      <c r="W618">
        <f>IF(OR(V618="M",V618="I"),"H",IF(V618="P","A",V618))</f>
        <v>0</v>
      </c>
      <c r="X618">
        <f>INDEX(StudentTargets,MATCH(B618,KidIDs,0))</f>
        <v>0</v>
      </c>
      <c r="Y618">
        <f>INDEX(ReachStudentTargets,MATCH(B618,KidIDs,0))</f>
        <v>0</v>
      </c>
      <c r="Z618">
        <f>IF(OR(M618="Posse"),1,0)</f>
        <v>0</v>
      </c>
      <c r="AA618">
        <f>IF(ISNUMBER(INDEX(AllCollegeGR, MATCH(N618,AllCollegeNCES,0))),ROUND(INDEX(AllCollegeGR, MATCH(N618,AllCollegeNCES,0))+Z618*IF(INDEX(AllCollegeGR, MATCH(N618,AllCollegeNCES,0))&gt;0.7,(1-INDEX(AllCollegeGR, MATCH(N618,AllCollegeNCES,0)))/2,0.15),2),INDEX(AllCollegeGR, MATCH(N618,AllCollegeNCES,0)))</f>
        <v>0</v>
      </c>
      <c r="AB618">
        <f>IF(ISNUMBER(INDEX(AllCollegeAAHGR, MATCH(N618,AllCollegeNCES,0))),ROUND(INDEX(AllCollegeAAHGR, MATCH(N618,AllCollegeNCES,0))+Z618*IF(INDEX(AllCollegeAAHGR, MATCH(N618,AllCollegeNCES,0))&gt;0.7,(1-INDEX(AllCollegeAAHGR, MATCH(N618,AllCollegeNCES,0)))/2,0.15),2),INDEX(AllCollegeAAHGR, MATCH(N618,AllCollegeNCES,0)))</f>
        <v>0</v>
      </c>
      <c r="AC618">
        <f>IF(OR(W618="H",W618="B"),INDEX(AllCollegeSAT25, MATCH(N618,AllCollegeNCES,0)),INDEX(AllCollegeSAT50, MATCH(N618,AllCollegeNCES,0)))</f>
        <v>0</v>
      </c>
      <c r="AD618">
        <f>INDEX(CustomWeightsGPA,MATCH(W618&amp;":"&amp;N618,CustomWeightsIndex,0))</f>
        <v>0</v>
      </c>
      <c r="AE618">
        <f>INDEX(CustomWeightsSAT,MATCH(W618&amp;":"&amp;N618,CustomWeightsIndex,0))</f>
        <v>0</v>
      </c>
      <c r="AF618">
        <f>INDEX(CustomWeightsIntercept,MATCH(W618&amp;":"&amp;N618,CustomWeightsIndex,0))</f>
        <v>0</v>
      </c>
      <c r="AG618">
        <f>AD618*S618+AE618*T618+AF618</f>
        <v>0</v>
      </c>
      <c r="AH618">
        <f>INDEX(CoefficientsGPA,MATCH(W618&amp;":"&amp;R618,CoefficientsIndex,0))</f>
        <v>0</v>
      </c>
      <c r="AI618">
        <f>INDEX(CoefficientsSAT,MATCH(W618&amp;":"&amp;R618,CoefficientsIndex,0))</f>
        <v>0</v>
      </c>
      <c r="AJ618">
        <f>INDEX(CoefficientsIntercept,MATCH(W618&amp;":"&amp;R618,CoefficientsIndex,0))</f>
        <v>0</v>
      </c>
      <c r="AK618">
        <f>AH618*S618+(T618-AC618)*AI618+AJ618</f>
        <v>0</v>
      </c>
      <c r="AL618">
        <f>IF(ISNUMBER(AG618),AG618,AK618)</f>
        <v>0</v>
      </c>
      <c r="AM618">
        <f>IF(ISNUMBER(AL618),IF(ISNUMBER(AH618),IF(AND(AH618=1,AI618=1,AJ618=1),100,MIN(99,ROUND(100*EXP(AL618)/(1+EXP(AL618)),2))),MIN(99,ROUND(100*EXP(AL618)/(1+EXP(AL618)),2))),IF(ISTEXT(R618),IF(LEFT(R618,1)="2",100,"N/A"),"N/A"))</f>
        <v>0</v>
      </c>
      <c r="AN618">
        <f>IF(ISNUMBER(AM618),IF(AM618&gt;=99,IF(OR(U618=10,U618=11),MatchLabel,SureThingLabel),IF(AM618&gt;=95,SecureLabel,IF(AM618&gt;=80,SafetyLabel,IF(AM618&gt;=50,MatchLabel,IF(AM618&gt;=20,ReachLabel,IF(AM618&gt;=10,LongshotLabel,HailMaryLabel)))))),"Other")</f>
        <v>0</v>
      </c>
      <c r="AO618">
        <f>IF(OR(I618="accepted",I618="cond. accept",I618="summer admit"),IF(J618="yes","CHOICE!","Accepted!"),IF(I618="guar. transfer","Guar. Xfer",IF(I618="denied","Denied",IF(K618=1,"Waitlist",IF(L618=1,"Deferred",IF(G618="pending","Pending",IF(OR(G618="initial materials submitted",G618="mid-year submitted",G618="final submitted"),"Submitted",IF(H618="interest","Interest","?"))))))))</f>
        <v>0</v>
      </c>
      <c r="AP618">
        <f>IF(OR(AN618=ReachLabel,AN618=LongshotLabel,AN618=HailMaryLabel),1,0)</f>
        <v>0</v>
      </c>
      <c r="AQ618">
        <f>IF(OR(AP618=1,AN618=MatchLabel),1,0)</f>
        <v>0</v>
      </c>
      <c r="AR618">
        <f>IF(OR(AN618=MatchLabel,AN618=SafetyLabel,AN618=SecureLabel,AN618=SureThingLabel),1,0)</f>
        <v>0</v>
      </c>
      <c r="AS618">
        <f>IF(OR(W618="H",W618="B",W618="I",W618="M"),IF(ISNUMBER(AB618),ROUND(AB618,2),0),IF(ISNUMBER(AA618),ROUND(AA618,2),0))</f>
        <v>0</v>
      </c>
      <c r="AT618">
        <f>IF(AS618&gt;=X618,1,0)</f>
        <v>0</v>
      </c>
      <c r="AU618">
        <f>IF(AS618&gt;=Y618,1,0)</f>
        <v>0</v>
      </c>
      <c r="AV618">
        <f>IF(AS618&lt;(X618-0.10),1,0)</f>
        <v>0</v>
      </c>
      <c r="AW618">
        <f>1-AM618/100</f>
        <v>0</v>
      </c>
      <c r="AX618">
        <f>IF(AQ618=1,AW618,1)</f>
        <v>0</v>
      </c>
      <c r="AY618">
        <f>IF(AP618=1,AW618,1)</f>
        <v>0</v>
      </c>
      <c r="AZ618">
        <f>IF(AND(AT618=1,ISNUMBER(AW618)),$AW618,1)</f>
        <v>0</v>
      </c>
      <c r="BA618">
        <f>IF(AND(AU618=1,ISNUMBER(AW618)),$AW618,1)</f>
        <v>0</v>
      </c>
      <c r="BB618">
        <f>IF(ISNUMBER(AB618),INDEX(AllCollegeMoney, MATCH(N618,AllCollegeNCES,0)),0)</f>
        <v>0</v>
      </c>
      <c r="BC618">
        <f>IF(AND(AT618=1,ISNUMBER(AW618),BB618=1),$AW618,1)</f>
        <v>0</v>
      </c>
      <c r="BD618">
        <f>IF(AND(AU618=1,ISNUMBER(AW618),BB618=1),$AW618,1)</f>
        <v>0</v>
      </c>
      <c r="BE618">
        <f>IF(ISNUMBER(AB618),INDEX(AllCollegeILPub, MATCH(N618,AllCollegeNCES,0)),0)</f>
        <v>0</v>
      </c>
      <c r="BF618">
        <f>IF(AN618=ReachLabel,AS618,0)</f>
        <v>0</v>
      </c>
      <c r="BG618">
        <f>IF(AN618=MatchLabel,AS618,0)</f>
        <v>0</v>
      </c>
      <c r="BH618">
        <f>IF(AN618=SafetyLabel,AS618,0)</f>
        <v>0</v>
      </c>
      <c r="BI618">
        <f>IF(AN618=SecureLabel,AS618,0)</f>
        <v>0</v>
      </c>
      <c r="BJ618">
        <f>IF(AN618=SureThingLabel,AS618,0)</f>
        <v>0</v>
      </c>
      <c r="BK618">
        <f>MAX(BF618:BJ618)</f>
        <v>0</v>
      </c>
      <c r="BL618">
        <f>MAX(BG618:BJ618)</f>
        <v>0</v>
      </c>
      <c r="BM618">
        <f>MAX(BH618:BJ618)</f>
        <v>0</v>
      </c>
      <c r="BN618">
        <f>IF(AND(AN618=ReachLabel,BB618=1),AS618,0)</f>
        <v>0</v>
      </c>
      <c r="BO618">
        <f>IF(AND(AN618=MatchLabel,BB618=1),AS618,0)</f>
        <v>0</v>
      </c>
      <c r="BP618">
        <f>IF(AND(AN618=SafetyLabel,BB618=1),AS618,0)</f>
        <v>0</v>
      </c>
      <c r="BQ618">
        <f>IF(AND(AN618=SecureLabel,BB618=1),AS618,0)</f>
        <v>0</v>
      </c>
      <c r="BR618">
        <f>IF(AND(AN618=SureThingLabel,BB618=1),AS618,0)</f>
        <v>0</v>
      </c>
      <c r="BS618">
        <f>MAX(BN618:BR618)</f>
        <v>0</v>
      </c>
      <c r="BT618">
        <f>MAX(BO618:BR618)</f>
        <v>0</v>
      </c>
      <c r="BU618">
        <f>MAX(BP618:BR618)</f>
        <v>0</v>
      </c>
      <c r="BV618">
        <f>IF(ISNUMBER(AB618),INDEX(AllCollegeChicago, MATCH(N618,AllCollegeNCES,0))*BB618,0)</f>
        <v>0</v>
      </c>
      <c r="BW618">
        <f>IF(ISNUMBER(AB618),INDEX(AllCollegeMoneyCode, MATCH(N618,AllCollegeNCES,0)),"?")</f>
        <v>0</v>
      </c>
      <c r="BX618">
        <f>IF(OR(BW618="---",BW618="--",BW618="+/--",BW618="+/---"),1,0)</f>
        <v>0</v>
      </c>
      <c r="BY618">
        <f>BB618*AR618*AT618</f>
        <v>0</v>
      </c>
    </row>
    <row r="619" spans="1:77">
      <c r="A619" t="s">
        <v>96</v>
      </c>
      <c r="B619">
        <v>24126470</v>
      </c>
      <c r="C619" t="s">
        <v>113</v>
      </c>
      <c r="D619" t="s">
        <v>114</v>
      </c>
      <c r="E619" t="s">
        <v>446</v>
      </c>
      <c r="F619" t="s">
        <v>487</v>
      </c>
      <c r="G619" t="s">
        <v>448</v>
      </c>
      <c r="H619" t="s">
        <v>449</v>
      </c>
      <c r="I619" t="s">
        <v>450</v>
      </c>
      <c r="J619" t="s">
        <v>450</v>
      </c>
      <c r="K619">
        <v>0</v>
      </c>
      <c r="L619" t="s">
        <v>446</v>
      </c>
      <c r="M619" t="s">
        <v>446</v>
      </c>
      <c r="N619">
        <v>174844</v>
      </c>
      <c r="O619">
        <f>INDEX(Counselor,MATCH(B619,KidIDs,0))</f>
        <v>0</v>
      </c>
      <c r="P619">
        <f>INDEX(Advisors,MATCH(B619,KidIDs,0))</f>
        <v>0</v>
      </c>
      <c r="Q619">
        <f>INDEX(Cohort,MATCH(B619,KidIDs,0))</f>
        <v>0</v>
      </c>
      <c r="R619">
        <f>INDEX(AllCollegeBarrons,MATCH(N619,AllCollegeNCES,0))</f>
        <v>0</v>
      </c>
      <c r="S619">
        <f>INDEX(KidGPAs,MATCH(B619,KidIDs,0))</f>
        <v>0</v>
      </c>
      <c r="T619">
        <f>INDEX(KidSATs,MATCH(B619,KidIDs,0))</f>
        <v>0</v>
      </c>
      <c r="U619">
        <f>INDEX(Strats,MATCH(B619,KidIDs,0))</f>
        <v>0</v>
      </c>
      <c r="V619">
        <f>INDEX(KidRace,MATCH(B619,KidIDs,0))</f>
        <v>0</v>
      </c>
      <c r="W619">
        <f>IF(OR(V619="M",V619="I"),"H",IF(V619="P","A",V619))</f>
        <v>0</v>
      </c>
      <c r="X619">
        <f>INDEX(StudentTargets,MATCH(B619,KidIDs,0))</f>
        <v>0</v>
      </c>
      <c r="Y619">
        <f>INDEX(ReachStudentTargets,MATCH(B619,KidIDs,0))</f>
        <v>0</v>
      </c>
      <c r="Z619">
        <f>IF(OR(M619="Posse"),1,0)</f>
        <v>0</v>
      </c>
      <c r="AA619">
        <f>IF(ISNUMBER(INDEX(AllCollegeGR, MATCH(N619,AllCollegeNCES,0))),ROUND(INDEX(AllCollegeGR, MATCH(N619,AllCollegeNCES,0))+Z619*IF(INDEX(AllCollegeGR, MATCH(N619,AllCollegeNCES,0))&gt;0.7,(1-INDEX(AllCollegeGR, MATCH(N619,AllCollegeNCES,0)))/2,0.15),2),INDEX(AllCollegeGR, MATCH(N619,AllCollegeNCES,0)))</f>
        <v>0</v>
      </c>
      <c r="AB619">
        <f>IF(ISNUMBER(INDEX(AllCollegeAAHGR, MATCH(N619,AllCollegeNCES,0))),ROUND(INDEX(AllCollegeAAHGR, MATCH(N619,AllCollegeNCES,0))+Z619*IF(INDEX(AllCollegeAAHGR, MATCH(N619,AllCollegeNCES,0))&gt;0.7,(1-INDEX(AllCollegeAAHGR, MATCH(N619,AllCollegeNCES,0)))/2,0.15),2),INDEX(AllCollegeAAHGR, MATCH(N619,AllCollegeNCES,0)))</f>
        <v>0</v>
      </c>
      <c r="AC619">
        <f>IF(OR(W619="H",W619="B"),INDEX(AllCollegeSAT25, MATCH(N619,AllCollegeNCES,0)),INDEX(AllCollegeSAT50, MATCH(N619,AllCollegeNCES,0)))</f>
        <v>0</v>
      </c>
      <c r="AD619">
        <f>INDEX(CustomWeightsGPA,MATCH(W619&amp;":"&amp;N619,CustomWeightsIndex,0))</f>
        <v>0</v>
      </c>
      <c r="AE619">
        <f>INDEX(CustomWeightsSAT,MATCH(W619&amp;":"&amp;N619,CustomWeightsIndex,0))</f>
        <v>0</v>
      </c>
      <c r="AF619">
        <f>INDEX(CustomWeightsIntercept,MATCH(W619&amp;":"&amp;N619,CustomWeightsIndex,0))</f>
        <v>0</v>
      </c>
      <c r="AG619">
        <f>AD619*S619+AE619*T619+AF619</f>
        <v>0</v>
      </c>
      <c r="AH619">
        <f>INDEX(CoefficientsGPA,MATCH(W619&amp;":"&amp;R619,CoefficientsIndex,0))</f>
        <v>0</v>
      </c>
      <c r="AI619">
        <f>INDEX(CoefficientsSAT,MATCH(W619&amp;":"&amp;R619,CoefficientsIndex,0))</f>
        <v>0</v>
      </c>
      <c r="AJ619">
        <f>INDEX(CoefficientsIntercept,MATCH(W619&amp;":"&amp;R619,CoefficientsIndex,0))</f>
        <v>0</v>
      </c>
      <c r="AK619">
        <f>AH619*S619+(T619-AC619)*AI619+AJ619</f>
        <v>0</v>
      </c>
      <c r="AL619">
        <f>IF(ISNUMBER(AG619),AG619,AK619)</f>
        <v>0</v>
      </c>
      <c r="AM619">
        <f>IF(ISNUMBER(AL619),IF(ISNUMBER(AH619),IF(AND(AH619=1,AI619=1,AJ619=1),100,MIN(99,ROUND(100*EXP(AL619)/(1+EXP(AL619)),2))),MIN(99,ROUND(100*EXP(AL619)/(1+EXP(AL619)),2))),IF(ISTEXT(R619),IF(LEFT(R619,1)="2",100,"N/A"),"N/A"))</f>
        <v>0</v>
      </c>
      <c r="AN619">
        <f>IF(ISNUMBER(AM619),IF(AM619&gt;=99,IF(OR(U619=10,U619=11),MatchLabel,SureThingLabel),IF(AM619&gt;=95,SecureLabel,IF(AM619&gt;=80,SafetyLabel,IF(AM619&gt;=50,MatchLabel,IF(AM619&gt;=20,ReachLabel,IF(AM619&gt;=10,LongshotLabel,HailMaryLabel)))))),"Other")</f>
        <v>0</v>
      </c>
      <c r="AO619">
        <f>IF(OR(I619="accepted",I619="cond. accept",I619="summer admit"),IF(J619="yes","CHOICE!","Accepted!"),IF(I619="guar. transfer","Guar. Xfer",IF(I619="denied","Denied",IF(K619=1,"Waitlist",IF(L619=1,"Deferred",IF(G619="pending","Pending",IF(OR(G619="initial materials submitted",G619="mid-year submitted",G619="final submitted"),"Submitted",IF(H619="interest","Interest","?"))))))))</f>
        <v>0</v>
      </c>
      <c r="AP619">
        <f>IF(OR(AN619=ReachLabel,AN619=LongshotLabel,AN619=HailMaryLabel),1,0)</f>
        <v>0</v>
      </c>
      <c r="AQ619">
        <f>IF(OR(AP619=1,AN619=MatchLabel),1,0)</f>
        <v>0</v>
      </c>
      <c r="AR619">
        <f>IF(OR(AN619=MatchLabel,AN619=SafetyLabel,AN619=SecureLabel,AN619=SureThingLabel),1,0)</f>
        <v>0</v>
      </c>
      <c r="AS619">
        <f>IF(OR(W619="H",W619="B",W619="I",W619="M"),IF(ISNUMBER(AB619),ROUND(AB619,2),0),IF(ISNUMBER(AA619),ROUND(AA619,2),0))</f>
        <v>0</v>
      </c>
      <c r="AT619">
        <f>IF(AS619&gt;=X619,1,0)</f>
        <v>0</v>
      </c>
      <c r="AU619">
        <f>IF(AS619&gt;=Y619,1,0)</f>
        <v>0</v>
      </c>
      <c r="AV619">
        <f>IF(AS619&lt;(X619-0.10),1,0)</f>
        <v>0</v>
      </c>
      <c r="AW619">
        <f>1-AM619/100</f>
        <v>0</v>
      </c>
      <c r="AX619">
        <f>IF(AQ619=1,AW619,1)</f>
        <v>0</v>
      </c>
      <c r="AY619">
        <f>IF(AP619=1,AW619,1)</f>
        <v>0</v>
      </c>
      <c r="AZ619">
        <f>IF(AND(AT619=1,ISNUMBER(AW619)),$AW619,1)</f>
        <v>0</v>
      </c>
      <c r="BA619">
        <f>IF(AND(AU619=1,ISNUMBER(AW619)),$AW619,1)</f>
        <v>0</v>
      </c>
      <c r="BB619">
        <f>IF(ISNUMBER(AB619),INDEX(AllCollegeMoney, MATCH(N619,AllCollegeNCES,0)),0)</f>
        <v>0</v>
      </c>
      <c r="BC619">
        <f>IF(AND(AT619=1,ISNUMBER(AW619),BB619=1),$AW619,1)</f>
        <v>0</v>
      </c>
      <c r="BD619">
        <f>IF(AND(AU619=1,ISNUMBER(AW619),BB619=1),$AW619,1)</f>
        <v>0</v>
      </c>
      <c r="BE619">
        <f>IF(ISNUMBER(AB619),INDEX(AllCollegeILPub, MATCH(N619,AllCollegeNCES,0)),0)</f>
        <v>0</v>
      </c>
      <c r="BF619">
        <f>IF(AN619=ReachLabel,AS619,0)</f>
        <v>0</v>
      </c>
      <c r="BG619">
        <f>IF(AN619=MatchLabel,AS619,0)</f>
        <v>0</v>
      </c>
      <c r="BH619">
        <f>IF(AN619=SafetyLabel,AS619,0)</f>
        <v>0</v>
      </c>
      <c r="BI619">
        <f>IF(AN619=SecureLabel,AS619,0)</f>
        <v>0</v>
      </c>
      <c r="BJ619">
        <f>IF(AN619=SureThingLabel,AS619,0)</f>
        <v>0</v>
      </c>
      <c r="BK619">
        <f>MAX(BF619:BJ619)</f>
        <v>0</v>
      </c>
      <c r="BL619">
        <f>MAX(BG619:BJ619)</f>
        <v>0</v>
      </c>
      <c r="BM619">
        <f>MAX(BH619:BJ619)</f>
        <v>0</v>
      </c>
      <c r="BN619">
        <f>IF(AND(AN619=ReachLabel,BB619=1),AS619,0)</f>
        <v>0</v>
      </c>
      <c r="BO619">
        <f>IF(AND(AN619=MatchLabel,BB619=1),AS619,0)</f>
        <v>0</v>
      </c>
      <c r="BP619">
        <f>IF(AND(AN619=SafetyLabel,BB619=1),AS619,0)</f>
        <v>0</v>
      </c>
      <c r="BQ619">
        <f>IF(AND(AN619=SecureLabel,BB619=1),AS619,0)</f>
        <v>0</v>
      </c>
      <c r="BR619">
        <f>IF(AND(AN619=SureThingLabel,BB619=1),AS619,0)</f>
        <v>0</v>
      </c>
      <c r="BS619">
        <f>MAX(BN619:BR619)</f>
        <v>0</v>
      </c>
      <c r="BT619">
        <f>MAX(BO619:BR619)</f>
        <v>0</v>
      </c>
      <c r="BU619">
        <f>MAX(BP619:BR619)</f>
        <v>0</v>
      </c>
      <c r="BV619">
        <f>IF(ISNUMBER(AB619),INDEX(AllCollegeChicago, MATCH(N619,AllCollegeNCES,0))*BB619,0)</f>
        <v>0</v>
      </c>
      <c r="BW619">
        <f>IF(ISNUMBER(AB619),INDEX(AllCollegeMoneyCode, MATCH(N619,AllCollegeNCES,0)),"?")</f>
        <v>0</v>
      </c>
      <c r="BX619">
        <f>IF(OR(BW619="---",BW619="--",BW619="+/--",BW619="+/---"),1,0)</f>
        <v>0</v>
      </c>
      <c r="BY619">
        <f>BB619*AR619*AT619</f>
        <v>0</v>
      </c>
    </row>
    <row r="620" spans="1:77">
      <c r="A620" t="s">
        <v>96</v>
      </c>
      <c r="B620">
        <v>24126470</v>
      </c>
      <c r="C620" t="s">
        <v>113</v>
      </c>
      <c r="D620" t="s">
        <v>114</v>
      </c>
      <c r="E620" t="s">
        <v>446</v>
      </c>
      <c r="F620" t="s">
        <v>474</v>
      </c>
      <c r="G620" t="s">
        <v>448</v>
      </c>
      <c r="H620" t="s">
        <v>449</v>
      </c>
      <c r="I620" t="s">
        <v>450</v>
      </c>
      <c r="J620" t="s">
        <v>450</v>
      </c>
      <c r="K620">
        <v>0</v>
      </c>
      <c r="L620" t="s">
        <v>446</v>
      </c>
      <c r="M620" t="s">
        <v>446</v>
      </c>
      <c r="N620">
        <v>170532</v>
      </c>
      <c r="O620">
        <f>INDEX(Counselor,MATCH(B620,KidIDs,0))</f>
        <v>0</v>
      </c>
      <c r="P620">
        <f>INDEX(Advisors,MATCH(B620,KidIDs,0))</f>
        <v>0</v>
      </c>
      <c r="Q620">
        <f>INDEX(Cohort,MATCH(B620,KidIDs,0))</f>
        <v>0</v>
      </c>
      <c r="R620">
        <f>INDEX(AllCollegeBarrons,MATCH(N620,AllCollegeNCES,0))</f>
        <v>0</v>
      </c>
      <c r="S620">
        <f>INDEX(KidGPAs,MATCH(B620,KidIDs,0))</f>
        <v>0</v>
      </c>
      <c r="T620">
        <f>INDEX(KidSATs,MATCH(B620,KidIDs,0))</f>
        <v>0</v>
      </c>
      <c r="U620">
        <f>INDEX(Strats,MATCH(B620,KidIDs,0))</f>
        <v>0</v>
      </c>
      <c r="V620">
        <f>INDEX(KidRace,MATCH(B620,KidIDs,0))</f>
        <v>0</v>
      </c>
      <c r="W620">
        <f>IF(OR(V620="M",V620="I"),"H",IF(V620="P","A",V620))</f>
        <v>0</v>
      </c>
      <c r="X620">
        <f>INDEX(StudentTargets,MATCH(B620,KidIDs,0))</f>
        <v>0</v>
      </c>
      <c r="Y620">
        <f>INDEX(ReachStudentTargets,MATCH(B620,KidIDs,0))</f>
        <v>0</v>
      </c>
      <c r="Z620">
        <f>IF(OR(M620="Posse"),1,0)</f>
        <v>0</v>
      </c>
      <c r="AA620">
        <f>IF(ISNUMBER(INDEX(AllCollegeGR, MATCH(N620,AllCollegeNCES,0))),ROUND(INDEX(AllCollegeGR, MATCH(N620,AllCollegeNCES,0))+Z620*IF(INDEX(AllCollegeGR, MATCH(N620,AllCollegeNCES,0))&gt;0.7,(1-INDEX(AllCollegeGR, MATCH(N620,AllCollegeNCES,0)))/2,0.15),2),INDEX(AllCollegeGR, MATCH(N620,AllCollegeNCES,0)))</f>
        <v>0</v>
      </c>
      <c r="AB620">
        <f>IF(ISNUMBER(INDEX(AllCollegeAAHGR, MATCH(N620,AllCollegeNCES,0))),ROUND(INDEX(AllCollegeAAHGR, MATCH(N620,AllCollegeNCES,0))+Z620*IF(INDEX(AllCollegeAAHGR, MATCH(N620,AllCollegeNCES,0))&gt;0.7,(1-INDEX(AllCollegeAAHGR, MATCH(N620,AllCollegeNCES,0)))/2,0.15),2),INDEX(AllCollegeAAHGR, MATCH(N620,AllCollegeNCES,0)))</f>
        <v>0</v>
      </c>
      <c r="AC620">
        <f>IF(OR(W620="H",W620="B"),INDEX(AllCollegeSAT25, MATCH(N620,AllCollegeNCES,0)),INDEX(AllCollegeSAT50, MATCH(N620,AllCollegeNCES,0)))</f>
        <v>0</v>
      </c>
      <c r="AD620">
        <f>INDEX(CustomWeightsGPA,MATCH(W620&amp;":"&amp;N620,CustomWeightsIndex,0))</f>
        <v>0</v>
      </c>
      <c r="AE620">
        <f>INDEX(CustomWeightsSAT,MATCH(W620&amp;":"&amp;N620,CustomWeightsIndex,0))</f>
        <v>0</v>
      </c>
      <c r="AF620">
        <f>INDEX(CustomWeightsIntercept,MATCH(W620&amp;":"&amp;N620,CustomWeightsIndex,0))</f>
        <v>0</v>
      </c>
      <c r="AG620">
        <f>AD620*S620+AE620*T620+AF620</f>
        <v>0</v>
      </c>
      <c r="AH620">
        <f>INDEX(CoefficientsGPA,MATCH(W620&amp;":"&amp;R620,CoefficientsIndex,0))</f>
        <v>0</v>
      </c>
      <c r="AI620">
        <f>INDEX(CoefficientsSAT,MATCH(W620&amp;":"&amp;R620,CoefficientsIndex,0))</f>
        <v>0</v>
      </c>
      <c r="AJ620">
        <f>INDEX(CoefficientsIntercept,MATCH(W620&amp;":"&amp;R620,CoefficientsIndex,0))</f>
        <v>0</v>
      </c>
      <c r="AK620">
        <f>AH620*S620+(T620-AC620)*AI620+AJ620</f>
        <v>0</v>
      </c>
      <c r="AL620">
        <f>IF(ISNUMBER(AG620),AG620,AK620)</f>
        <v>0</v>
      </c>
      <c r="AM620">
        <f>IF(ISNUMBER(AL620),IF(ISNUMBER(AH620),IF(AND(AH620=1,AI620=1,AJ620=1),100,MIN(99,ROUND(100*EXP(AL620)/(1+EXP(AL620)),2))),MIN(99,ROUND(100*EXP(AL620)/(1+EXP(AL620)),2))),IF(ISTEXT(R620),IF(LEFT(R620,1)="2",100,"N/A"),"N/A"))</f>
        <v>0</v>
      </c>
      <c r="AN620">
        <f>IF(ISNUMBER(AM620),IF(AM620&gt;=99,IF(OR(U620=10,U620=11),MatchLabel,SureThingLabel),IF(AM620&gt;=95,SecureLabel,IF(AM620&gt;=80,SafetyLabel,IF(AM620&gt;=50,MatchLabel,IF(AM620&gt;=20,ReachLabel,IF(AM620&gt;=10,LongshotLabel,HailMaryLabel)))))),"Other")</f>
        <v>0</v>
      </c>
      <c r="AO620">
        <f>IF(OR(I620="accepted",I620="cond. accept",I620="summer admit"),IF(J620="yes","CHOICE!","Accepted!"),IF(I620="guar. transfer","Guar. Xfer",IF(I620="denied","Denied",IF(K620=1,"Waitlist",IF(L620=1,"Deferred",IF(G620="pending","Pending",IF(OR(G620="initial materials submitted",G620="mid-year submitted",G620="final submitted"),"Submitted",IF(H620="interest","Interest","?"))))))))</f>
        <v>0</v>
      </c>
      <c r="AP620">
        <f>IF(OR(AN620=ReachLabel,AN620=LongshotLabel,AN620=HailMaryLabel),1,0)</f>
        <v>0</v>
      </c>
      <c r="AQ620">
        <f>IF(OR(AP620=1,AN620=MatchLabel),1,0)</f>
        <v>0</v>
      </c>
      <c r="AR620">
        <f>IF(OR(AN620=MatchLabel,AN620=SafetyLabel,AN620=SecureLabel,AN620=SureThingLabel),1,0)</f>
        <v>0</v>
      </c>
      <c r="AS620">
        <f>IF(OR(W620="H",W620="B",W620="I",W620="M"),IF(ISNUMBER(AB620),ROUND(AB620,2),0),IF(ISNUMBER(AA620),ROUND(AA620,2),0))</f>
        <v>0</v>
      </c>
      <c r="AT620">
        <f>IF(AS620&gt;=X620,1,0)</f>
        <v>0</v>
      </c>
      <c r="AU620">
        <f>IF(AS620&gt;=Y620,1,0)</f>
        <v>0</v>
      </c>
      <c r="AV620">
        <f>IF(AS620&lt;(X620-0.10),1,0)</f>
        <v>0</v>
      </c>
      <c r="AW620">
        <f>1-AM620/100</f>
        <v>0</v>
      </c>
      <c r="AX620">
        <f>IF(AQ620=1,AW620,1)</f>
        <v>0</v>
      </c>
      <c r="AY620">
        <f>IF(AP620=1,AW620,1)</f>
        <v>0</v>
      </c>
      <c r="AZ620">
        <f>IF(AND(AT620=1,ISNUMBER(AW620)),$AW620,1)</f>
        <v>0</v>
      </c>
      <c r="BA620">
        <f>IF(AND(AU620=1,ISNUMBER(AW620)),$AW620,1)</f>
        <v>0</v>
      </c>
      <c r="BB620">
        <f>IF(ISNUMBER(AB620),INDEX(AllCollegeMoney, MATCH(N620,AllCollegeNCES,0)),0)</f>
        <v>0</v>
      </c>
      <c r="BC620">
        <f>IF(AND(AT620=1,ISNUMBER(AW620),BB620=1),$AW620,1)</f>
        <v>0</v>
      </c>
      <c r="BD620">
        <f>IF(AND(AU620=1,ISNUMBER(AW620),BB620=1),$AW620,1)</f>
        <v>0</v>
      </c>
      <c r="BE620">
        <f>IF(ISNUMBER(AB620),INDEX(AllCollegeILPub, MATCH(N620,AllCollegeNCES,0)),0)</f>
        <v>0</v>
      </c>
      <c r="BF620">
        <f>IF(AN620=ReachLabel,AS620,0)</f>
        <v>0</v>
      </c>
      <c r="BG620">
        <f>IF(AN620=MatchLabel,AS620,0)</f>
        <v>0</v>
      </c>
      <c r="BH620">
        <f>IF(AN620=SafetyLabel,AS620,0)</f>
        <v>0</v>
      </c>
      <c r="BI620">
        <f>IF(AN620=SecureLabel,AS620,0)</f>
        <v>0</v>
      </c>
      <c r="BJ620">
        <f>IF(AN620=SureThingLabel,AS620,0)</f>
        <v>0</v>
      </c>
      <c r="BK620">
        <f>MAX(BF620:BJ620)</f>
        <v>0</v>
      </c>
      <c r="BL620">
        <f>MAX(BG620:BJ620)</f>
        <v>0</v>
      </c>
      <c r="BM620">
        <f>MAX(BH620:BJ620)</f>
        <v>0</v>
      </c>
      <c r="BN620">
        <f>IF(AND(AN620=ReachLabel,BB620=1),AS620,0)</f>
        <v>0</v>
      </c>
      <c r="BO620">
        <f>IF(AND(AN620=MatchLabel,BB620=1),AS620,0)</f>
        <v>0</v>
      </c>
      <c r="BP620">
        <f>IF(AND(AN620=SafetyLabel,BB620=1),AS620,0)</f>
        <v>0</v>
      </c>
      <c r="BQ620">
        <f>IF(AND(AN620=SecureLabel,BB620=1),AS620,0)</f>
        <v>0</v>
      </c>
      <c r="BR620">
        <f>IF(AND(AN620=SureThingLabel,BB620=1),AS620,0)</f>
        <v>0</v>
      </c>
      <c r="BS620">
        <f>MAX(BN620:BR620)</f>
        <v>0</v>
      </c>
      <c r="BT620">
        <f>MAX(BO620:BR620)</f>
        <v>0</v>
      </c>
      <c r="BU620">
        <f>MAX(BP620:BR620)</f>
        <v>0</v>
      </c>
      <c r="BV620">
        <f>IF(ISNUMBER(AB620),INDEX(AllCollegeChicago, MATCH(N620,AllCollegeNCES,0))*BB620,0)</f>
        <v>0</v>
      </c>
      <c r="BW620">
        <f>IF(ISNUMBER(AB620),INDEX(AllCollegeMoneyCode, MATCH(N620,AllCollegeNCES,0)),"?")</f>
        <v>0</v>
      </c>
      <c r="BX620">
        <f>IF(OR(BW620="---",BW620="--",BW620="+/--",BW620="+/---"),1,0)</f>
        <v>0</v>
      </c>
      <c r="BY620">
        <f>BB620*AR620*AT620</f>
        <v>0</v>
      </c>
    </row>
    <row r="621" spans="1:77">
      <c r="A621" t="s">
        <v>96</v>
      </c>
      <c r="B621">
        <v>24126470</v>
      </c>
      <c r="C621" t="s">
        <v>113</v>
      </c>
      <c r="D621" t="s">
        <v>114</v>
      </c>
      <c r="E621" t="s">
        <v>446</v>
      </c>
      <c r="F621" t="s">
        <v>475</v>
      </c>
      <c r="G621" t="s">
        <v>448</v>
      </c>
      <c r="H621" t="s">
        <v>449</v>
      </c>
      <c r="I621" t="s">
        <v>450</v>
      </c>
      <c r="J621" t="s">
        <v>450</v>
      </c>
      <c r="K621">
        <v>0</v>
      </c>
      <c r="L621" t="s">
        <v>446</v>
      </c>
      <c r="M621" t="s">
        <v>446</v>
      </c>
      <c r="N621">
        <v>145637</v>
      </c>
      <c r="O621">
        <f>INDEX(Counselor,MATCH(B621,KidIDs,0))</f>
        <v>0</v>
      </c>
      <c r="P621">
        <f>INDEX(Advisors,MATCH(B621,KidIDs,0))</f>
        <v>0</v>
      </c>
      <c r="Q621">
        <f>INDEX(Cohort,MATCH(B621,KidIDs,0))</f>
        <v>0</v>
      </c>
      <c r="R621">
        <f>INDEX(AllCollegeBarrons,MATCH(N621,AllCollegeNCES,0))</f>
        <v>0</v>
      </c>
      <c r="S621">
        <f>INDEX(KidGPAs,MATCH(B621,KidIDs,0))</f>
        <v>0</v>
      </c>
      <c r="T621">
        <f>INDEX(KidSATs,MATCH(B621,KidIDs,0))</f>
        <v>0</v>
      </c>
      <c r="U621">
        <f>INDEX(Strats,MATCH(B621,KidIDs,0))</f>
        <v>0</v>
      </c>
      <c r="V621">
        <f>INDEX(KidRace,MATCH(B621,KidIDs,0))</f>
        <v>0</v>
      </c>
      <c r="W621">
        <f>IF(OR(V621="M",V621="I"),"H",IF(V621="P","A",V621))</f>
        <v>0</v>
      </c>
      <c r="X621">
        <f>INDEX(StudentTargets,MATCH(B621,KidIDs,0))</f>
        <v>0</v>
      </c>
      <c r="Y621">
        <f>INDEX(ReachStudentTargets,MATCH(B621,KidIDs,0))</f>
        <v>0</v>
      </c>
      <c r="Z621">
        <f>IF(OR(M621="Posse"),1,0)</f>
        <v>0</v>
      </c>
      <c r="AA621">
        <f>IF(ISNUMBER(INDEX(AllCollegeGR, MATCH(N621,AllCollegeNCES,0))),ROUND(INDEX(AllCollegeGR, MATCH(N621,AllCollegeNCES,0))+Z621*IF(INDEX(AllCollegeGR, MATCH(N621,AllCollegeNCES,0))&gt;0.7,(1-INDEX(AllCollegeGR, MATCH(N621,AllCollegeNCES,0)))/2,0.15),2),INDEX(AllCollegeGR, MATCH(N621,AllCollegeNCES,0)))</f>
        <v>0</v>
      </c>
      <c r="AB621">
        <f>IF(ISNUMBER(INDEX(AllCollegeAAHGR, MATCH(N621,AllCollegeNCES,0))),ROUND(INDEX(AllCollegeAAHGR, MATCH(N621,AllCollegeNCES,0))+Z621*IF(INDEX(AllCollegeAAHGR, MATCH(N621,AllCollegeNCES,0))&gt;0.7,(1-INDEX(AllCollegeAAHGR, MATCH(N621,AllCollegeNCES,0)))/2,0.15),2),INDEX(AllCollegeAAHGR, MATCH(N621,AllCollegeNCES,0)))</f>
        <v>0</v>
      </c>
      <c r="AC621">
        <f>IF(OR(W621="H",W621="B"),INDEX(AllCollegeSAT25, MATCH(N621,AllCollegeNCES,0)),INDEX(AllCollegeSAT50, MATCH(N621,AllCollegeNCES,0)))</f>
        <v>0</v>
      </c>
      <c r="AD621">
        <f>INDEX(CustomWeightsGPA,MATCH(W621&amp;":"&amp;N621,CustomWeightsIndex,0))</f>
        <v>0</v>
      </c>
      <c r="AE621">
        <f>INDEX(CustomWeightsSAT,MATCH(W621&amp;":"&amp;N621,CustomWeightsIndex,0))</f>
        <v>0</v>
      </c>
      <c r="AF621">
        <f>INDEX(CustomWeightsIntercept,MATCH(W621&amp;":"&amp;N621,CustomWeightsIndex,0))</f>
        <v>0</v>
      </c>
      <c r="AG621">
        <f>AD621*S621+AE621*T621+AF621</f>
        <v>0</v>
      </c>
      <c r="AH621">
        <f>INDEX(CoefficientsGPA,MATCH(W621&amp;":"&amp;R621,CoefficientsIndex,0))</f>
        <v>0</v>
      </c>
      <c r="AI621">
        <f>INDEX(CoefficientsSAT,MATCH(W621&amp;":"&amp;R621,CoefficientsIndex,0))</f>
        <v>0</v>
      </c>
      <c r="AJ621">
        <f>INDEX(CoefficientsIntercept,MATCH(W621&amp;":"&amp;R621,CoefficientsIndex,0))</f>
        <v>0</v>
      </c>
      <c r="AK621">
        <f>AH621*S621+(T621-AC621)*AI621+AJ621</f>
        <v>0</v>
      </c>
      <c r="AL621">
        <f>IF(ISNUMBER(AG621),AG621,AK621)</f>
        <v>0</v>
      </c>
      <c r="AM621">
        <f>IF(ISNUMBER(AL621),IF(ISNUMBER(AH621),IF(AND(AH621=1,AI621=1,AJ621=1),100,MIN(99,ROUND(100*EXP(AL621)/(1+EXP(AL621)),2))),MIN(99,ROUND(100*EXP(AL621)/(1+EXP(AL621)),2))),IF(ISTEXT(R621),IF(LEFT(R621,1)="2",100,"N/A"),"N/A"))</f>
        <v>0</v>
      </c>
      <c r="AN621">
        <f>IF(ISNUMBER(AM621),IF(AM621&gt;=99,IF(OR(U621=10,U621=11),MatchLabel,SureThingLabel),IF(AM621&gt;=95,SecureLabel,IF(AM621&gt;=80,SafetyLabel,IF(AM621&gt;=50,MatchLabel,IF(AM621&gt;=20,ReachLabel,IF(AM621&gt;=10,LongshotLabel,HailMaryLabel)))))),"Other")</f>
        <v>0</v>
      </c>
      <c r="AO621">
        <f>IF(OR(I621="accepted",I621="cond. accept",I621="summer admit"),IF(J621="yes","CHOICE!","Accepted!"),IF(I621="guar. transfer","Guar. Xfer",IF(I621="denied","Denied",IF(K621=1,"Waitlist",IF(L621=1,"Deferred",IF(G621="pending","Pending",IF(OR(G621="initial materials submitted",G621="mid-year submitted",G621="final submitted"),"Submitted",IF(H621="interest","Interest","?"))))))))</f>
        <v>0</v>
      </c>
      <c r="AP621">
        <f>IF(OR(AN621=ReachLabel,AN621=LongshotLabel,AN621=HailMaryLabel),1,0)</f>
        <v>0</v>
      </c>
      <c r="AQ621">
        <f>IF(OR(AP621=1,AN621=MatchLabel),1,0)</f>
        <v>0</v>
      </c>
      <c r="AR621">
        <f>IF(OR(AN621=MatchLabel,AN621=SafetyLabel,AN621=SecureLabel,AN621=SureThingLabel),1,0)</f>
        <v>0</v>
      </c>
      <c r="AS621">
        <f>IF(OR(W621="H",W621="B",W621="I",W621="M"),IF(ISNUMBER(AB621),ROUND(AB621,2),0),IF(ISNUMBER(AA621),ROUND(AA621,2),0))</f>
        <v>0</v>
      </c>
      <c r="AT621">
        <f>IF(AS621&gt;=X621,1,0)</f>
        <v>0</v>
      </c>
      <c r="AU621">
        <f>IF(AS621&gt;=Y621,1,0)</f>
        <v>0</v>
      </c>
      <c r="AV621">
        <f>IF(AS621&lt;(X621-0.10),1,0)</f>
        <v>0</v>
      </c>
      <c r="AW621">
        <f>1-AM621/100</f>
        <v>0</v>
      </c>
      <c r="AX621">
        <f>IF(AQ621=1,AW621,1)</f>
        <v>0</v>
      </c>
      <c r="AY621">
        <f>IF(AP621=1,AW621,1)</f>
        <v>0</v>
      </c>
      <c r="AZ621">
        <f>IF(AND(AT621=1,ISNUMBER(AW621)),$AW621,1)</f>
        <v>0</v>
      </c>
      <c r="BA621">
        <f>IF(AND(AU621=1,ISNUMBER(AW621)),$AW621,1)</f>
        <v>0</v>
      </c>
      <c r="BB621">
        <f>IF(ISNUMBER(AB621),INDEX(AllCollegeMoney, MATCH(N621,AllCollegeNCES,0)),0)</f>
        <v>0</v>
      </c>
      <c r="BC621">
        <f>IF(AND(AT621=1,ISNUMBER(AW621),BB621=1),$AW621,1)</f>
        <v>0</v>
      </c>
      <c r="BD621">
        <f>IF(AND(AU621=1,ISNUMBER(AW621),BB621=1),$AW621,1)</f>
        <v>0</v>
      </c>
      <c r="BE621">
        <f>IF(ISNUMBER(AB621),INDEX(AllCollegeILPub, MATCH(N621,AllCollegeNCES,0)),0)</f>
        <v>0</v>
      </c>
      <c r="BF621">
        <f>IF(AN621=ReachLabel,AS621,0)</f>
        <v>0</v>
      </c>
      <c r="BG621">
        <f>IF(AN621=MatchLabel,AS621,0)</f>
        <v>0</v>
      </c>
      <c r="BH621">
        <f>IF(AN621=SafetyLabel,AS621,0)</f>
        <v>0</v>
      </c>
      <c r="BI621">
        <f>IF(AN621=SecureLabel,AS621,0)</f>
        <v>0</v>
      </c>
      <c r="BJ621">
        <f>IF(AN621=SureThingLabel,AS621,0)</f>
        <v>0</v>
      </c>
      <c r="BK621">
        <f>MAX(BF621:BJ621)</f>
        <v>0</v>
      </c>
      <c r="BL621">
        <f>MAX(BG621:BJ621)</f>
        <v>0</v>
      </c>
      <c r="BM621">
        <f>MAX(BH621:BJ621)</f>
        <v>0</v>
      </c>
      <c r="BN621">
        <f>IF(AND(AN621=ReachLabel,BB621=1),AS621,0)</f>
        <v>0</v>
      </c>
      <c r="BO621">
        <f>IF(AND(AN621=MatchLabel,BB621=1),AS621,0)</f>
        <v>0</v>
      </c>
      <c r="BP621">
        <f>IF(AND(AN621=SafetyLabel,BB621=1),AS621,0)</f>
        <v>0</v>
      </c>
      <c r="BQ621">
        <f>IF(AND(AN621=SecureLabel,BB621=1),AS621,0)</f>
        <v>0</v>
      </c>
      <c r="BR621">
        <f>IF(AND(AN621=SureThingLabel,BB621=1),AS621,0)</f>
        <v>0</v>
      </c>
      <c r="BS621">
        <f>MAX(BN621:BR621)</f>
        <v>0</v>
      </c>
      <c r="BT621">
        <f>MAX(BO621:BR621)</f>
        <v>0</v>
      </c>
      <c r="BU621">
        <f>MAX(BP621:BR621)</f>
        <v>0</v>
      </c>
      <c r="BV621">
        <f>IF(ISNUMBER(AB621),INDEX(AllCollegeChicago, MATCH(N621,AllCollegeNCES,0))*BB621,0)</f>
        <v>0</v>
      </c>
      <c r="BW621">
        <f>IF(ISNUMBER(AB621),INDEX(AllCollegeMoneyCode, MATCH(N621,AllCollegeNCES,0)),"?")</f>
        <v>0</v>
      </c>
      <c r="BX621">
        <f>IF(OR(BW621="---",BW621="--",BW621="+/--",BW621="+/---"),1,0)</f>
        <v>0</v>
      </c>
      <c r="BY621">
        <f>BB621*AR621*AT621</f>
        <v>0</v>
      </c>
    </row>
    <row r="622" spans="1:77">
      <c r="A622" t="s">
        <v>96</v>
      </c>
      <c r="B622">
        <v>24126470</v>
      </c>
      <c r="C622" t="s">
        <v>113</v>
      </c>
      <c r="D622" t="s">
        <v>114</v>
      </c>
      <c r="E622" t="s">
        <v>446</v>
      </c>
      <c r="F622" t="s">
        <v>476</v>
      </c>
      <c r="G622" t="s">
        <v>448</v>
      </c>
      <c r="H622" t="s">
        <v>449</v>
      </c>
      <c r="I622" t="s">
        <v>450</v>
      </c>
      <c r="J622" t="s">
        <v>450</v>
      </c>
      <c r="K622">
        <v>0</v>
      </c>
      <c r="L622" t="s">
        <v>446</v>
      </c>
      <c r="M622" t="s">
        <v>446</v>
      </c>
      <c r="N622">
        <v>213668</v>
      </c>
      <c r="O622">
        <f>INDEX(Counselor,MATCH(B622,KidIDs,0))</f>
        <v>0</v>
      </c>
      <c r="P622">
        <f>INDEX(Advisors,MATCH(B622,KidIDs,0))</f>
        <v>0</v>
      </c>
      <c r="Q622">
        <f>INDEX(Cohort,MATCH(B622,KidIDs,0))</f>
        <v>0</v>
      </c>
      <c r="R622">
        <f>INDEX(AllCollegeBarrons,MATCH(N622,AllCollegeNCES,0))</f>
        <v>0</v>
      </c>
      <c r="S622">
        <f>INDEX(KidGPAs,MATCH(B622,KidIDs,0))</f>
        <v>0</v>
      </c>
      <c r="T622">
        <f>INDEX(KidSATs,MATCH(B622,KidIDs,0))</f>
        <v>0</v>
      </c>
      <c r="U622">
        <f>INDEX(Strats,MATCH(B622,KidIDs,0))</f>
        <v>0</v>
      </c>
      <c r="V622">
        <f>INDEX(KidRace,MATCH(B622,KidIDs,0))</f>
        <v>0</v>
      </c>
      <c r="W622">
        <f>IF(OR(V622="M",V622="I"),"H",IF(V622="P","A",V622))</f>
        <v>0</v>
      </c>
      <c r="X622">
        <f>INDEX(StudentTargets,MATCH(B622,KidIDs,0))</f>
        <v>0</v>
      </c>
      <c r="Y622">
        <f>INDEX(ReachStudentTargets,MATCH(B622,KidIDs,0))</f>
        <v>0</v>
      </c>
      <c r="Z622">
        <f>IF(OR(M622="Posse"),1,0)</f>
        <v>0</v>
      </c>
      <c r="AA622">
        <f>IF(ISNUMBER(INDEX(AllCollegeGR, MATCH(N622,AllCollegeNCES,0))),ROUND(INDEX(AllCollegeGR, MATCH(N622,AllCollegeNCES,0))+Z622*IF(INDEX(AllCollegeGR, MATCH(N622,AllCollegeNCES,0))&gt;0.7,(1-INDEX(AllCollegeGR, MATCH(N622,AllCollegeNCES,0)))/2,0.15),2),INDEX(AllCollegeGR, MATCH(N622,AllCollegeNCES,0)))</f>
        <v>0</v>
      </c>
      <c r="AB622">
        <f>IF(ISNUMBER(INDEX(AllCollegeAAHGR, MATCH(N622,AllCollegeNCES,0))),ROUND(INDEX(AllCollegeAAHGR, MATCH(N622,AllCollegeNCES,0))+Z622*IF(INDEX(AllCollegeAAHGR, MATCH(N622,AllCollegeNCES,0))&gt;0.7,(1-INDEX(AllCollegeAAHGR, MATCH(N622,AllCollegeNCES,0)))/2,0.15),2),INDEX(AllCollegeAAHGR, MATCH(N622,AllCollegeNCES,0)))</f>
        <v>0</v>
      </c>
      <c r="AC622">
        <f>IF(OR(W622="H",W622="B"),INDEX(AllCollegeSAT25, MATCH(N622,AllCollegeNCES,0)),INDEX(AllCollegeSAT50, MATCH(N622,AllCollegeNCES,0)))</f>
        <v>0</v>
      </c>
      <c r="AD622">
        <f>INDEX(CustomWeightsGPA,MATCH(W622&amp;":"&amp;N622,CustomWeightsIndex,0))</f>
        <v>0</v>
      </c>
      <c r="AE622">
        <f>INDEX(CustomWeightsSAT,MATCH(W622&amp;":"&amp;N622,CustomWeightsIndex,0))</f>
        <v>0</v>
      </c>
      <c r="AF622">
        <f>INDEX(CustomWeightsIntercept,MATCH(W622&amp;":"&amp;N622,CustomWeightsIndex,0))</f>
        <v>0</v>
      </c>
      <c r="AG622">
        <f>AD622*S622+AE622*T622+AF622</f>
        <v>0</v>
      </c>
      <c r="AH622">
        <f>INDEX(CoefficientsGPA,MATCH(W622&amp;":"&amp;R622,CoefficientsIndex,0))</f>
        <v>0</v>
      </c>
      <c r="AI622">
        <f>INDEX(CoefficientsSAT,MATCH(W622&amp;":"&amp;R622,CoefficientsIndex,0))</f>
        <v>0</v>
      </c>
      <c r="AJ622">
        <f>INDEX(CoefficientsIntercept,MATCH(W622&amp;":"&amp;R622,CoefficientsIndex,0))</f>
        <v>0</v>
      </c>
      <c r="AK622">
        <f>AH622*S622+(T622-AC622)*AI622+AJ622</f>
        <v>0</v>
      </c>
      <c r="AL622">
        <f>IF(ISNUMBER(AG622),AG622,AK622)</f>
        <v>0</v>
      </c>
      <c r="AM622">
        <f>IF(ISNUMBER(AL622),IF(ISNUMBER(AH622),IF(AND(AH622=1,AI622=1,AJ622=1),100,MIN(99,ROUND(100*EXP(AL622)/(1+EXP(AL622)),2))),MIN(99,ROUND(100*EXP(AL622)/(1+EXP(AL622)),2))),IF(ISTEXT(R622),IF(LEFT(R622,1)="2",100,"N/A"),"N/A"))</f>
        <v>0</v>
      </c>
      <c r="AN622">
        <f>IF(ISNUMBER(AM622),IF(AM622&gt;=99,IF(OR(U622=10,U622=11),MatchLabel,SureThingLabel),IF(AM622&gt;=95,SecureLabel,IF(AM622&gt;=80,SafetyLabel,IF(AM622&gt;=50,MatchLabel,IF(AM622&gt;=20,ReachLabel,IF(AM622&gt;=10,LongshotLabel,HailMaryLabel)))))),"Other")</f>
        <v>0</v>
      </c>
      <c r="AO622">
        <f>IF(OR(I622="accepted",I622="cond. accept",I622="summer admit"),IF(J622="yes","CHOICE!","Accepted!"),IF(I622="guar. transfer","Guar. Xfer",IF(I622="denied","Denied",IF(K622=1,"Waitlist",IF(L622=1,"Deferred",IF(G622="pending","Pending",IF(OR(G622="initial materials submitted",G622="mid-year submitted",G622="final submitted"),"Submitted",IF(H622="interest","Interest","?"))))))))</f>
        <v>0</v>
      </c>
      <c r="AP622">
        <f>IF(OR(AN622=ReachLabel,AN622=LongshotLabel,AN622=HailMaryLabel),1,0)</f>
        <v>0</v>
      </c>
      <c r="AQ622">
        <f>IF(OR(AP622=1,AN622=MatchLabel),1,0)</f>
        <v>0</v>
      </c>
      <c r="AR622">
        <f>IF(OR(AN622=MatchLabel,AN622=SafetyLabel,AN622=SecureLabel,AN622=SureThingLabel),1,0)</f>
        <v>0</v>
      </c>
      <c r="AS622">
        <f>IF(OR(W622="H",W622="B",W622="I",W622="M"),IF(ISNUMBER(AB622),ROUND(AB622,2),0),IF(ISNUMBER(AA622),ROUND(AA622,2),0))</f>
        <v>0</v>
      </c>
      <c r="AT622">
        <f>IF(AS622&gt;=X622,1,0)</f>
        <v>0</v>
      </c>
      <c r="AU622">
        <f>IF(AS622&gt;=Y622,1,0)</f>
        <v>0</v>
      </c>
      <c r="AV622">
        <f>IF(AS622&lt;(X622-0.10),1,0)</f>
        <v>0</v>
      </c>
      <c r="AW622">
        <f>1-AM622/100</f>
        <v>0</v>
      </c>
      <c r="AX622">
        <f>IF(AQ622=1,AW622,1)</f>
        <v>0</v>
      </c>
      <c r="AY622">
        <f>IF(AP622=1,AW622,1)</f>
        <v>0</v>
      </c>
      <c r="AZ622">
        <f>IF(AND(AT622=1,ISNUMBER(AW622)),$AW622,1)</f>
        <v>0</v>
      </c>
      <c r="BA622">
        <f>IF(AND(AU622=1,ISNUMBER(AW622)),$AW622,1)</f>
        <v>0</v>
      </c>
      <c r="BB622">
        <f>IF(ISNUMBER(AB622),INDEX(AllCollegeMoney, MATCH(N622,AllCollegeNCES,0)),0)</f>
        <v>0</v>
      </c>
      <c r="BC622">
        <f>IF(AND(AT622=1,ISNUMBER(AW622),BB622=1),$AW622,1)</f>
        <v>0</v>
      </c>
      <c r="BD622">
        <f>IF(AND(AU622=1,ISNUMBER(AW622),BB622=1),$AW622,1)</f>
        <v>0</v>
      </c>
      <c r="BE622">
        <f>IF(ISNUMBER(AB622),INDEX(AllCollegeILPub, MATCH(N622,AllCollegeNCES,0)),0)</f>
        <v>0</v>
      </c>
      <c r="BF622">
        <f>IF(AN622=ReachLabel,AS622,0)</f>
        <v>0</v>
      </c>
      <c r="BG622">
        <f>IF(AN622=MatchLabel,AS622,0)</f>
        <v>0</v>
      </c>
      <c r="BH622">
        <f>IF(AN622=SafetyLabel,AS622,0)</f>
        <v>0</v>
      </c>
      <c r="BI622">
        <f>IF(AN622=SecureLabel,AS622,0)</f>
        <v>0</v>
      </c>
      <c r="BJ622">
        <f>IF(AN622=SureThingLabel,AS622,0)</f>
        <v>0</v>
      </c>
      <c r="BK622">
        <f>MAX(BF622:BJ622)</f>
        <v>0</v>
      </c>
      <c r="BL622">
        <f>MAX(BG622:BJ622)</f>
        <v>0</v>
      </c>
      <c r="BM622">
        <f>MAX(BH622:BJ622)</f>
        <v>0</v>
      </c>
      <c r="BN622">
        <f>IF(AND(AN622=ReachLabel,BB622=1),AS622,0)</f>
        <v>0</v>
      </c>
      <c r="BO622">
        <f>IF(AND(AN622=MatchLabel,BB622=1),AS622,0)</f>
        <v>0</v>
      </c>
      <c r="BP622">
        <f>IF(AND(AN622=SafetyLabel,BB622=1),AS622,0)</f>
        <v>0</v>
      </c>
      <c r="BQ622">
        <f>IF(AND(AN622=SecureLabel,BB622=1),AS622,0)</f>
        <v>0</v>
      </c>
      <c r="BR622">
        <f>IF(AND(AN622=SureThingLabel,BB622=1),AS622,0)</f>
        <v>0</v>
      </c>
      <c r="BS622">
        <f>MAX(BN622:BR622)</f>
        <v>0</v>
      </c>
      <c r="BT622">
        <f>MAX(BO622:BR622)</f>
        <v>0</v>
      </c>
      <c r="BU622">
        <f>MAX(BP622:BR622)</f>
        <v>0</v>
      </c>
      <c r="BV622">
        <f>IF(ISNUMBER(AB622),INDEX(AllCollegeChicago, MATCH(N622,AllCollegeNCES,0))*BB622,0)</f>
        <v>0</v>
      </c>
      <c r="BW622">
        <f>IF(ISNUMBER(AB622),INDEX(AllCollegeMoneyCode, MATCH(N622,AllCollegeNCES,0)),"?")</f>
        <v>0</v>
      </c>
      <c r="BX622">
        <f>IF(OR(BW622="---",BW622="--",BW622="+/--",BW622="+/---"),1,0)</f>
        <v>0</v>
      </c>
      <c r="BY622">
        <f>BB622*AR622*AT622</f>
        <v>0</v>
      </c>
    </row>
    <row r="623" spans="1:77">
      <c r="A623" t="s">
        <v>96</v>
      </c>
      <c r="B623">
        <v>24126470</v>
      </c>
      <c r="C623" t="s">
        <v>113</v>
      </c>
      <c r="D623" t="s">
        <v>114</v>
      </c>
      <c r="E623" t="s">
        <v>446</v>
      </c>
      <c r="F623" t="s">
        <v>477</v>
      </c>
      <c r="G623" t="s">
        <v>448</v>
      </c>
      <c r="H623" t="s">
        <v>449</v>
      </c>
      <c r="I623" t="s">
        <v>450</v>
      </c>
      <c r="J623" t="s">
        <v>450</v>
      </c>
      <c r="K623">
        <v>0</v>
      </c>
      <c r="L623" t="s">
        <v>446</v>
      </c>
      <c r="M623" t="s">
        <v>446</v>
      </c>
      <c r="N623">
        <v>146427</v>
      </c>
      <c r="O623">
        <f>INDEX(Counselor,MATCH(B623,KidIDs,0))</f>
        <v>0</v>
      </c>
      <c r="P623">
        <f>INDEX(Advisors,MATCH(B623,KidIDs,0))</f>
        <v>0</v>
      </c>
      <c r="Q623">
        <f>INDEX(Cohort,MATCH(B623,KidIDs,0))</f>
        <v>0</v>
      </c>
      <c r="R623">
        <f>INDEX(AllCollegeBarrons,MATCH(N623,AllCollegeNCES,0))</f>
        <v>0</v>
      </c>
      <c r="S623">
        <f>INDEX(KidGPAs,MATCH(B623,KidIDs,0))</f>
        <v>0</v>
      </c>
      <c r="T623">
        <f>INDEX(KidSATs,MATCH(B623,KidIDs,0))</f>
        <v>0</v>
      </c>
      <c r="U623">
        <f>INDEX(Strats,MATCH(B623,KidIDs,0))</f>
        <v>0</v>
      </c>
      <c r="V623">
        <f>INDEX(KidRace,MATCH(B623,KidIDs,0))</f>
        <v>0</v>
      </c>
      <c r="W623">
        <f>IF(OR(V623="M",V623="I"),"H",IF(V623="P","A",V623))</f>
        <v>0</v>
      </c>
      <c r="X623">
        <f>INDEX(StudentTargets,MATCH(B623,KidIDs,0))</f>
        <v>0</v>
      </c>
      <c r="Y623">
        <f>INDEX(ReachStudentTargets,MATCH(B623,KidIDs,0))</f>
        <v>0</v>
      </c>
      <c r="Z623">
        <f>IF(OR(M623="Posse"),1,0)</f>
        <v>0</v>
      </c>
      <c r="AA623">
        <f>IF(ISNUMBER(INDEX(AllCollegeGR, MATCH(N623,AllCollegeNCES,0))),ROUND(INDEX(AllCollegeGR, MATCH(N623,AllCollegeNCES,0))+Z623*IF(INDEX(AllCollegeGR, MATCH(N623,AllCollegeNCES,0))&gt;0.7,(1-INDEX(AllCollegeGR, MATCH(N623,AllCollegeNCES,0)))/2,0.15),2),INDEX(AllCollegeGR, MATCH(N623,AllCollegeNCES,0)))</f>
        <v>0</v>
      </c>
      <c r="AB623">
        <f>IF(ISNUMBER(INDEX(AllCollegeAAHGR, MATCH(N623,AllCollegeNCES,0))),ROUND(INDEX(AllCollegeAAHGR, MATCH(N623,AllCollegeNCES,0))+Z623*IF(INDEX(AllCollegeAAHGR, MATCH(N623,AllCollegeNCES,0))&gt;0.7,(1-INDEX(AllCollegeAAHGR, MATCH(N623,AllCollegeNCES,0)))/2,0.15),2),INDEX(AllCollegeAAHGR, MATCH(N623,AllCollegeNCES,0)))</f>
        <v>0</v>
      </c>
      <c r="AC623">
        <f>IF(OR(W623="H",W623="B"),INDEX(AllCollegeSAT25, MATCH(N623,AllCollegeNCES,0)),INDEX(AllCollegeSAT50, MATCH(N623,AllCollegeNCES,0)))</f>
        <v>0</v>
      </c>
      <c r="AD623">
        <f>INDEX(CustomWeightsGPA,MATCH(W623&amp;":"&amp;N623,CustomWeightsIndex,0))</f>
        <v>0</v>
      </c>
      <c r="AE623">
        <f>INDEX(CustomWeightsSAT,MATCH(W623&amp;":"&amp;N623,CustomWeightsIndex,0))</f>
        <v>0</v>
      </c>
      <c r="AF623">
        <f>INDEX(CustomWeightsIntercept,MATCH(W623&amp;":"&amp;N623,CustomWeightsIndex,0))</f>
        <v>0</v>
      </c>
      <c r="AG623">
        <f>AD623*S623+AE623*T623+AF623</f>
        <v>0</v>
      </c>
      <c r="AH623">
        <f>INDEX(CoefficientsGPA,MATCH(W623&amp;":"&amp;R623,CoefficientsIndex,0))</f>
        <v>0</v>
      </c>
      <c r="AI623">
        <f>INDEX(CoefficientsSAT,MATCH(W623&amp;":"&amp;R623,CoefficientsIndex,0))</f>
        <v>0</v>
      </c>
      <c r="AJ623">
        <f>INDEX(CoefficientsIntercept,MATCH(W623&amp;":"&amp;R623,CoefficientsIndex,0))</f>
        <v>0</v>
      </c>
      <c r="AK623">
        <f>AH623*S623+(T623-AC623)*AI623+AJ623</f>
        <v>0</v>
      </c>
      <c r="AL623">
        <f>IF(ISNUMBER(AG623),AG623,AK623)</f>
        <v>0</v>
      </c>
      <c r="AM623">
        <f>IF(ISNUMBER(AL623),IF(ISNUMBER(AH623),IF(AND(AH623=1,AI623=1,AJ623=1),100,MIN(99,ROUND(100*EXP(AL623)/(1+EXP(AL623)),2))),MIN(99,ROUND(100*EXP(AL623)/(1+EXP(AL623)),2))),IF(ISTEXT(R623),IF(LEFT(R623,1)="2",100,"N/A"),"N/A"))</f>
        <v>0</v>
      </c>
      <c r="AN623">
        <f>IF(ISNUMBER(AM623),IF(AM623&gt;=99,IF(OR(U623=10,U623=11),MatchLabel,SureThingLabel),IF(AM623&gt;=95,SecureLabel,IF(AM623&gt;=80,SafetyLabel,IF(AM623&gt;=50,MatchLabel,IF(AM623&gt;=20,ReachLabel,IF(AM623&gt;=10,LongshotLabel,HailMaryLabel)))))),"Other")</f>
        <v>0</v>
      </c>
      <c r="AO623">
        <f>IF(OR(I623="accepted",I623="cond. accept",I623="summer admit"),IF(J623="yes","CHOICE!","Accepted!"),IF(I623="guar. transfer","Guar. Xfer",IF(I623="denied","Denied",IF(K623=1,"Waitlist",IF(L623=1,"Deferred",IF(G623="pending","Pending",IF(OR(G623="initial materials submitted",G623="mid-year submitted",G623="final submitted"),"Submitted",IF(H623="interest","Interest","?"))))))))</f>
        <v>0</v>
      </c>
      <c r="AP623">
        <f>IF(OR(AN623=ReachLabel,AN623=LongshotLabel,AN623=HailMaryLabel),1,0)</f>
        <v>0</v>
      </c>
      <c r="AQ623">
        <f>IF(OR(AP623=1,AN623=MatchLabel),1,0)</f>
        <v>0</v>
      </c>
      <c r="AR623">
        <f>IF(OR(AN623=MatchLabel,AN623=SafetyLabel,AN623=SecureLabel,AN623=SureThingLabel),1,0)</f>
        <v>0</v>
      </c>
      <c r="AS623">
        <f>IF(OR(W623="H",W623="B",W623="I",W623="M"),IF(ISNUMBER(AB623),ROUND(AB623,2),0),IF(ISNUMBER(AA623),ROUND(AA623,2),0))</f>
        <v>0</v>
      </c>
      <c r="AT623">
        <f>IF(AS623&gt;=X623,1,0)</f>
        <v>0</v>
      </c>
      <c r="AU623">
        <f>IF(AS623&gt;=Y623,1,0)</f>
        <v>0</v>
      </c>
      <c r="AV623">
        <f>IF(AS623&lt;(X623-0.10),1,0)</f>
        <v>0</v>
      </c>
      <c r="AW623">
        <f>1-AM623/100</f>
        <v>0</v>
      </c>
      <c r="AX623">
        <f>IF(AQ623=1,AW623,1)</f>
        <v>0</v>
      </c>
      <c r="AY623">
        <f>IF(AP623=1,AW623,1)</f>
        <v>0</v>
      </c>
      <c r="AZ623">
        <f>IF(AND(AT623=1,ISNUMBER(AW623)),$AW623,1)</f>
        <v>0</v>
      </c>
      <c r="BA623">
        <f>IF(AND(AU623=1,ISNUMBER(AW623)),$AW623,1)</f>
        <v>0</v>
      </c>
      <c r="BB623">
        <f>IF(ISNUMBER(AB623),INDEX(AllCollegeMoney, MATCH(N623,AllCollegeNCES,0)),0)</f>
        <v>0</v>
      </c>
      <c r="BC623">
        <f>IF(AND(AT623=1,ISNUMBER(AW623),BB623=1),$AW623,1)</f>
        <v>0</v>
      </c>
      <c r="BD623">
        <f>IF(AND(AU623=1,ISNUMBER(AW623),BB623=1),$AW623,1)</f>
        <v>0</v>
      </c>
      <c r="BE623">
        <f>IF(ISNUMBER(AB623),INDEX(AllCollegeILPub, MATCH(N623,AllCollegeNCES,0)),0)</f>
        <v>0</v>
      </c>
      <c r="BF623">
        <f>IF(AN623=ReachLabel,AS623,0)</f>
        <v>0</v>
      </c>
      <c r="BG623">
        <f>IF(AN623=MatchLabel,AS623,0)</f>
        <v>0</v>
      </c>
      <c r="BH623">
        <f>IF(AN623=SafetyLabel,AS623,0)</f>
        <v>0</v>
      </c>
      <c r="BI623">
        <f>IF(AN623=SecureLabel,AS623,0)</f>
        <v>0</v>
      </c>
      <c r="BJ623">
        <f>IF(AN623=SureThingLabel,AS623,0)</f>
        <v>0</v>
      </c>
      <c r="BK623">
        <f>MAX(BF623:BJ623)</f>
        <v>0</v>
      </c>
      <c r="BL623">
        <f>MAX(BG623:BJ623)</f>
        <v>0</v>
      </c>
      <c r="BM623">
        <f>MAX(BH623:BJ623)</f>
        <v>0</v>
      </c>
      <c r="BN623">
        <f>IF(AND(AN623=ReachLabel,BB623=1),AS623,0)</f>
        <v>0</v>
      </c>
      <c r="BO623">
        <f>IF(AND(AN623=MatchLabel,BB623=1),AS623,0)</f>
        <v>0</v>
      </c>
      <c r="BP623">
        <f>IF(AND(AN623=SafetyLabel,BB623=1),AS623,0)</f>
        <v>0</v>
      </c>
      <c r="BQ623">
        <f>IF(AND(AN623=SecureLabel,BB623=1),AS623,0)</f>
        <v>0</v>
      </c>
      <c r="BR623">
        <f>IF(AND(AN623=SureThingLabel,BB623=1),AS623,0)</f>
        <v>0</v>
      </c>
      <c r="BS623">
        <f>MAX(BN623:BR623)</f>
        <v>0</v>
      </c>
      <c r="BT623">
        <f>MAX(BO623:BR623)</f>
        <v>0</v>
      </c>
      <c r="BU623">
        <f>MAX(BP623:BR623)</f>
        <v>0</v>
      </c>
      <c r="BV623">
        <f>IF(ISNUMBER(AB623),INDEX(AllCollegeChicago, MATCH(N623,AllCollegeNCES,0))*BB623,0)</f>
        <v>0</v>
      </c>
      <c r="BW623">
        <f>IF(ISNUMBER(AB623),INDEX(AllCollegeMoneyCode, MATCH(N623,AllCollegeNCES,0)),"?")</f>
        <v>0</v>
      </c>
      <c r="BX623">
        <f>IF(OR(BW623="---",BW623="--",BW623="+/--",BW623="+/---"),1,0)</f>
        <v>0</v>
      </c>
      <c r="BY623">
        <f>BB623*AR623*AT623</f>
        <v>0</v>
      </c>
    </row>
    <row r="624" spans="1:77">
      <c r="A624" t="s">
        <v>96</v>
      </c>
      <c r="B624">
        <v>24126470</v>
      </c>
      <c r="C624" t="s">
        <v>113</v>
      </c>
      <c r="D624" t="s">
        <v>114</v>
      </c>
      <c r="E624" t="s">
        <v>446</v>
      </c>
      <c r="F624" t="s">
        <v>489</v>
      </c>
      <c r="G624" t="s">
        <v>448</v>
      </c>
      <c r="H624" t="s">
        <v>449</v>
      </c>
      <c r="I624" t="s">
        <v>450</v>
      </c>
      <c r="J624" t="s">
        <v>450</v>
      </c>
      <c r="K624">
        <v>0</v>
      </c>
      <c r="L624" t="s">
        <v>446</v>
      </c>
      <c r="M624" t="s">
        <v>446</v>
      </c>
      <c r="N624">
        <v>170301</v>
      </c>
      <c r="O624">
        <f>INDEX(Counselor,MATCH(B624,KidIDs,0))</f>
        <v>0</v>
      </c>
      <c r="P624">
        <f>INDEX(Advisors,MATCH(B624,KidIDs,0))</f>
        <v>0</v>
      </c>
      <c r="Q624">
        <f>INDEX(Cohort,MATCH(B624,KidIDs,0))</f>
        <v>0</v>
      </c>
      <c r="R624">
        <f>INDEX(AllCollegeBarrons,MATCH(N624,AllCollegeNCES,0))</f>
        <v>0</v>
      </c>
      <c r="S624">
        <f>INDEX(KidGPAs,MATCH(B624,KidIDs,0))</f>
        <v>0</v>
      </c>
      <c r="T624">
        <f>INDEX(KidSATs,MATCH(B624,KidIDs,0))</f>
        <v>0</v>
      </c>
      <c r="U624">
        <f>INDEX(Strats,MATCH(B624,KidIDs,0))</f>
        <v>0</v>
      </c>
      <c r="V624">
        <f>INDEX(KidRace,MATCH(B624,KidIDs,0))</f>
        <v>0</v>
      </c>
      <c r="W624">
        <f>IF(OR(V624="M",V624="I"),"H",IF(V624="P","A",V624))</f>
        <v>0</v>
      </c>
      <c r="X624">
        <f>INDEX(StudentTargets,MATCH(B624,KidIDs,0))</f>
        <v>0</v>
      </c>
      <c r="Y624">
        <f>INDEX(ReachStudentTargets,MATCH(B624,KidIDs,0))</f>
        <v>0</v>
      </c>
      <c r="Z624">
        <f>IF(OR(M624="Posse"),1,0)</f>
        <v>0</v>
      </c>
      <c r="AA624">
        <f>IF(ISNUMBER(INDEX(AllCollegeGR, MATCH(N624,AllCollegeNCES,0))),ROUND(INDEX(AllCollegeGR, MATCH(N624,AllCollegeNCES,0))+Z624*IF(INDEX(AllCollegeGR, MATCH(N624,AllCollegeNCES,0))&gt;0.7,(1-INDEX(AllCollegeGR, MATCH(N624,AllCollegeNCES,0)))/2,0.15),2),INDEX(AllCollegeGR, MATCH(N624,AllCollegeNCES,0)))</f>
        <v>0</v>
      </c>
      <c r="AB624">
        <f>IF(ISNUMBER(INDEX(AllCollegeAAHGR, MATCH(N624,AllCollegeNCES,0))),ROUND(INDEX(AllCollegeAAHGR, MATCH(N624,AllCollegeNCES,0))+Z624*IF(INDEX(AllCollegeAAHGR, MATCH(N624,AllCollegeNCES,0))&gt;0.7,(1-INDEX(AllCollegeAAHGR, MATCH(N624,AllCollegeNCES,0)))/2,0.15),2),INDEX(AllCollegeAAHGR, MATCH(N624,AllCollegeNCES,0)))</f>
        <v>0</v>
      </c>
      <c r="AC624">
        <f>IF(OR(W624="H",W624="B"),INDEX(AllCollegeSAT25, MATCH(N624,AllCollegeNCES,0)),INDEX(AllCollegeSAT50, MATCH(N624,AllCollegeNCES,0)))</f>
        <v>0</v>
      </c>
      <c r="AD624">
        <f>INDEX(CustomWeightsGPA,MATCH(W624&amp;":"&amp;N624,CustomWeightsIndex,0))</f>
        <v>0</v>
      </c>
      <c r="AE624">
        <f>INDEX(CustomWeightsSAT,MATCH(W624&amp;":"&amp;N624,CustomWeightsIndex,0))</f>
        <v>0</v>
      </c>
      <c r="AF624">
        <f>INDEX(CustomWeightsIntercept,MATCH(W624&amp;":"&amp;N624,CustomWeightsIndex,0))</f>
        <v>0</v>
      </c>
      <c r="AG624">
        <f>AD624*S624+AE624*T624+AF624</f>
        <v>0</v>
      </c>
      <c r="AH624">
        <f>INDEX(CoefficientsGPA,MATCH(W624&amp;":"&amp;R624,CoefficientsIndex,0))</f>
        <v>0</v>
      </c>
      <c r="AI624">
        <f>INDEX(CoefficientsSAT,MATCH(W624&amp;":"&amp;R624,CoefficientsIndex,0))</f>
        <v>0</v>
      </c>
      <c r="AJ624">
        <f>INDEX(CoefficientsIntercept,MATCH(W624&amp;":"&amp;R624,CoefficientsIndex,0))</f>
        <v>0</v>
      </c>
      <c r="AK624">
        <f>AH624*S624+(T624-AC624)*AI624+AJ624</f>
        <v>0</v>
      </c>
      <c r="AL624">
        <f>IF(ISNUMBER(AG624),AG624,AK624)</f>
        <v>0</v>
      </c>
      <c r="AM624">
        <f>IF(ISNUMBER(AL624),IF(ISNUMBER(AH624),IF(AND(AH624=1,AI624=1,AJ624=1),100,MIN(99,ROUND(100*EXP(AL624)/(1+EXP(AL624)),2))),MIN(99,ROUND(100*EXP(AL624)/(1+EXP(AL624)),2))),IF(ISTEXT(R624),IF(LEFT(R624,1)="2",100,"N/A"),"N/A"))</f>
        <v>0</v>
      </c>
      <c r="AN624">
        <f>IF(ISNUMBER(AM624),IF(AM624&gt;=99,IF(OR(U624=10,U624=11),MatchLabel,SureThingLabel),IF(AM624&gt;=95,SecureLabel,IF(AM624&gt;=80,SafetyLabel,IF(AM624&gt;=50,MatchLabel,IF(AM624&gt;=20,ReachLabel,IF(AM624&gt;=10,LongshotLabel,HailMaryLabel)))))),"Other")</f>
        <v>0</v>
      </c>
      <c r="AO624">
        <f>IF(OR(I624="accepted",I624="cond. accept",I624="summer admit"),IF(J624="yes","CHOICE!","Accepted!"),IF(I624="guar. transfer","Guar. Xfer",IF(I624="denied","Denied",IF(K624=1,"Waitlist",IF(L624=1,"Deferred",IF(G624="pending","Pending",IF(OR(G624="initial materials submitted",G624="mid-year submitted",G624="final submitted"),"Submitted",IF(H624="interest","Interest","?"))))))))</f>
        <v>0</v>
      </c>
      <c r="AP624">
        <f>IF(OR(AN624=ReachLabel,AN624=LongshotLabel,AN624=HailMaryLabel),1,0)</f>
        <v>0</v>
      </c>
      <c r="AQ624">
        <f>IF(OR(AP624=1,AN624=MatchLabel),1,0)</f>
        <v>0</v>
      </c>
      <c r="AR624">
        <f>IF(OR(AN624=MatchLabel,AN624=SafetyLabel,AN624=SecureLabel,AN624=SureThingLabel),1,0)</f>
        <v>0</v>
      </c>
      <c r="AS624">
        <f>IF(OR(W624="H",W624="B",W624="I",W624="M"),IF(ISNUMBER(AB624),ROUND(AB624,2),0),IF(ISNUMBER(AA624),ROUND(AA624,2),0))</f>
        <v>0</v>
      </c>
      <c r="AT624">
        <f>IF(AS624&gt;=X624,1,0)</f>
        <v>0</v>
      </c>
      <c r="AU624">
        <f>IF(AS624&gt;=Y624,1,0)</f>
        <v>0</v>
      </c>
      <c r="AV624">
        <f>IF(AS624&lt;(X624-0.10),1,0)</f>
        <v>0</v>
      </c>
      <c r="AW624">
        <f>1-AM624/100</f>
        <v>0</v>
      </c>
      <c r="AX624">
        <f>IF(AQ624=1,AW624,1)</f>
        <v>0</v>
      </c>
      <c r="AY624">
        <f>IF(AP624=1,AW624,1)</f>
        <v>0</v>
      </c>
      <c r="AZ624">
        <f>IF(AND(AT624=1,ISNUMBER(AW624)),$AW624,1)</f>
        <v>0</v>
      </c>
      <c r="BA624">
        <f>IF(AND(AU624=1,ISNUMBER(AW624)),$AW624,1)</f>
        <v>0</v>
      </c>
      <c r="BB624">
        <f>IF(ISNUMBER(AB624),INDEX(AllCollegeMoney, MATCH(N624,AllCollegeNCES,0)),0)</f>
        <v>0</v>
      </c>
      <c r="BC624">
        <f>IF(AND(AT624=1,ISNUMBER(AW624),BB624=1),$AW624,1)</f>
        <v>0</v>
      </c>
      <c r="BD624">
        <f>IF(AND(AU624=1,ISNUMBER(AW624),BB624=1),$AW624,1)</f>
        <v>0</v>
      </c>
      <c r="BE624">
        <f>IF(ISNUMBER(AB624),INDEX(AllCollegeILPub, MATCH(N624,AllCollegeNCES,0)),0)</f>
        <v>0</v>
      </c>
      <c r="BF624">
        <f>IF(AN624=ReachLabel,AS624,0)</f>
        <v>0</v>
      </c>
      <c r="BG624">
        <f>IF(AN624=MatchLabel,AS624,0)</f>
        <v>0</v>
      </c>
      <c r="BH624">
        <f>IF(AN624=SafetyLabel,AS624,0)</f>
        <v>0</v>
      </c>
      <c r="BI624">
        <f>IF(AN624=SecureLabel,AS624,0)</f>
        <v>0</v>
      </c>
      <c r="BJ624">
        <f>IF(AN624=SureThingLabel,AS624,0)</f>
        <v>0</v>
      </c>
      <c r="BK624">
        <f>MAX(BF624:BJ624)</f>
        <v>0</v>
      </c>
      <c r="BL624">
        <f>MAX(BG624:BJ624)</f>
        <v>0</v>
      </c>
      <c r="BM624">
        <f>MAX(BH624:BJ624)</f>
        <v>0</v>
      </c>
      <c r="BN624">
        <f>IF(AND(AN624=ReachLabel,BB624=1),AS624,0)</f>
        <v>0</v>
      </c>
      <c r="BO624">
        <f>IF(AND(AN624=MatchLabel,BB624=1),AS624,0)</f>
        <v>0</v>
      </c>
      <c r="BP624">
        <f>IF(AND(AN624=SafetyLabel,BB624=1),AS624,0)</f>
        <v>0</v>
      </c>
      <c r="BQ624">
        <f>IF(AND(AN624=SecureLabel,BB624=1),AS624,0)</f>
        <v>0</v>
      </c>
      <c r="BR624">
        <f>IF(AND(AN624=SureThingLabel,BB624=1),AS624,0)</f>
        <v>0</v>
      </c>
      <c r="BS624">
        <f>MAX(BN624:BR624)</f>
        <v>0</v>
      </c>
      <c r="BT624">
        <f>MAX(BO624:BR624)</f>
        <v>0</v>
      </c>
      <c r="BU624">
        <f>MAX(BP624:BR624)</f>
        <v>0</v>
      </c>
      <c r="BV624">
        <f>IF(ISNUMBER(AB624),INDEX(AllCollegeChicago, MATCH(N624,AllCollegeNCES,0))*BB624,0)</f>
        <v>0</v>
      </c>
      <c r="BW624">
        <f>IF(ISNUMBER(AB624),INDEX(AllCollegeMoneyCode, MATCH(N624,AllCollegeNCES,0)),"?")</f>
        <v>0</v>
      </c>
      <c r="BX624">
        <f>IF(OR(BW624="---",BW624="--",BW624="+/--",BW624="+/---"),1,0)</f>
        <v>0</v>
      </c>
      <c r="BY624">
        <f>BB624*AR624*AT624</f>
        <v>0</v>
      </c>
    </row>
    <row r="625" spans="1:77">
      <c r="A625" t="s">
        <v>96</v>
      </c>
      <c r="B625">
        <v>24126470</v>
      </c>
      <c r="C625" t="s">
        <v>113</v>
      </c>
      <c r="D625" t="s">
        <v>114</v>
      </c>
      <c r="E625" t="s">
        <v>446</v>
      </c>
      <c r="F625" t="s">
        <v>478</v>
      </c>
      <c r="G625" t="s">
        <v>448</v>
      </c>
      <c r="H625" t="s">
        <v>449</v>
      </c>
      <c r="I625" t="s">
        <v>450</v>
      </c>
      <c r="J625" t="s">
        <v>450</v>
      </c>
      <c r="K625">
        <v>0</v>
      </c>
      <c r="L625" t="s">
        <v>446</v>
      </c>
      <c r="M625" t="s">
        <v>446</v>
      </c>
      <c r="N625">
        <v>168546</v>
      </c>
      <c r="O625">
        <f>INDEX(Counselor,MATCH(B625,KidIDs,0))</f>
        <v>0</v>
      </c>
      <c r="P625">
        <f>INDEX(Advisors,MATCH(B625,KidIDs,0))</f>
        <v>0</v>
      </c>
      <c r="Q625">
        <f>INDEX(Cohort,MATCH(B625,KidIDs,0))</f>
        <v>0</v>
      </c>
      <c r="R625">
        <f>INDEX(AllCollegeBarrons,MATCH(N625,AllCollegeNCES,0))</f>
        <v>0</v>
      </c>
      <c r="S625">
        <f>INDEX(KidGPAs,MATCH(B625,KidIDs,0))</f>
        <v>0</v>
      </c>
      <c r="T625">
        <f>INDEX(KidSATs,MATCH(B625,KidIDs,0))</f>
        <v>0</v>
      </c>
      <c r="U625">
        <f>INDEX(Strats,MATCH(B625,KidIDs,0))</f>
        <v>0</v>
      </c>
      <c r="V625">
        <f>INDEX(KidRace,MATCH(B625,KidIDs,0))</f>
        <v>0</v>
      </c>
      <c r="W625">
        <f>IF(OR(V625="M",V625="I"),"H",IF(V625="P","A",V625))</f>
        <v>0</v>
      </c>
      <c r="X625">
        <f>INDEX(StudentTargets,MATCH(B625,KidIDs,0))</f>
        <v>0</v>
      </c>
      <c r="Y625">
        <f>INDEX(ReachStudentTargets,MATCH(B625,KidIDs,0))</f>
        <v>0</v>
      </c>
      <c r="Z625">
        <f>IF(OR(M625="Posse"),1,0)</f>
        <v>0</v>
      </c>
      <c r="AA625">
        <f>IF(ISNUMBER(INDEX(AllCollegeGR, MATCH(N625,AllCollegeNCES,0))),ROUND(INDEX(AllCollegeGR, MATCH(N625,AllCollegeNCES,0))+Z625*IF(INDEX(AllCollegeGR, MATCH(N625,AllCollegeNCES,0))&gt;0.7,(1-INDEX(AllCollegeGR, MATCH(N625,AllCollegeNCES,0)))/2,0.15),2),INDEX(AllCollegeGR, MATCH(N625,AllCollegeNCES,0)))</f>
        <v>0</v>
      </c>
      <c r="AB625">
        <f>IF(ISNUMBER(INDEX(AllCollegeAAHGR, MATCH(N625,AllCollegeNCES,0))),ROUND(INDEX(AllCollegeAAHGR, MATCH(N625,AllCollegeNCES,0))+Z625*IF(INDEX(AllCollegeAAHGR, MATCH(N625,AllCollegeNCES,0))&gt;0.7,(1-INDEX(AllCollegeAAHGR, MATCH(N625,AllCollegeNCES,0)))/2,0.15),2),INDEX(AllCollegeAAHGR, MATCH(N625,AllCollegeNCES,0)))</f>
        <v>0</v>
      </c>
      <c r="AC625">
        <f>IF(OR(W625="H",W625="B"),INDEX(AllCollegeSAT25, MATCH(N625,AllCollegeNCES,0)),INDEX(AllCollegeSAT50, MATCH(N625,AllCollegeNCES,0)))</f>
        <v>0</v>
      </c>
      <c r="AD625">
        <f>INDEX(CustomWeightsGPA,MATCH(W625&amp;":"&amp;N625,CustomWeightsIndex,0))</f>
        <v>0</v>
      </c>
      <c r="AE625">
        <f>INDEX(CustomWeightsSAT,MATCH(W625&amp;":"&amp;N625,CustomWeightsIndex,0))</f>
        <v>0</v>
      </c>
      <c r="AF625">
        <f>INDEX(CustomWeightsIntercept,MATCH(W625&amp;":"&amp;N625,CustomWeightsIndex,0))</f>
        <v>0</v>
      </c>
      <c r="AG625">
        <f>AD625*S625+AE625*T625+AF625</f>
        <v>0</v>
      </c>
      <c r="AH625">
        <f>INDEX(CoefficientsGPA,MATCH(W625&amp;":"&amp;R625,CoefficientsIndex,0))</f>
        <v>0</v>
      </c>
      <c r="AI625">
        <f>INDEX(CoefficientsSAT,MATCH(W625&amp;":"&amp;R625,CoefficientsIndex,0))</f>
        <v>0</v>
      </c>
      <c r="AJ625">
        <f>INDEX(CoefficientsIntercept,MATCH(W625&amp;":"&amp;R625,CoefficientsIndex,0))</f>
        <v>0</v>
      </c>
      <c r="AK625">
        <f>AH625*S625+(T625-AC625)*AI625+AJ625</f>
        <v>0</v>
      </c>
      <c r="AL625">
        <f>IF(ISNUMBER(AG625),AG625,AK625)</f>
        <v>0</v>
      </c>
      <c r="AM625">
        <f>IF(ISNUMBER(AL625),IF(ISNUMBER(AH625),IF(AND(AH625=1,AI625=1,AJ625=1),100,MIN(99,ROUND(100*EXP(AL625)/(1+EXP(AL625)),2))),MIN(99,ROUND(100*EXP(AL625)/(1+EXP(AL625)),2))),IF(ISTEXT(R625),IF(LEFT(R625,1)="2",100,"N/A"),"N/A"))</f>
        <v>0</v>
      </c>
      <c r="AN625">
        <f>IF(ISNUMBER(AM625),IF(AM625&gt;=99,IF(OR(U625=10,U625=11),MatchLabel,SureThingLabel),IF(AM625&gt;=95,SecureLabel,IF(AM625&gt;=80,SafetyLabel,IF(AM625&gt;=50,MatchLabel,IF(AM625&gt;=20,ReachLabel,IF(AM625&gt;=10,LongshotLabel,HailMaryLabel)))))),"Other")</f>
        <v>0</v>
      </c>
      <c r="AO625">
        <f>IF(OR(I625="accepted",I625="cond. accept",I625="summer admit"),IF(J625="yes","CHOICE!","Accepted!"),IF(I625="guar. transfer","Guar. Xfer",IF(I625="denied","Denied",IF(K625=1,"Waitlist",IF(L625=1,"Deferred",IF(G625="pending","Pending",IF(OR(G625="initial materials submitted",G625="mid-year submitted",G625="final submitted"),"Submitted",IF(H625="interest","Interest","?"))))))))</f>
        <v>0</v>
      </c>
      <c r="AP625">
        <f>IF(OR(AN625=ReachLabel,AN625=LongshotLabel,AN625=HailMaryLabel),1,0)</f>
        <v>0</v>
      </c>
      <c r="AQ625">
        <f>IF(OR(AP625=1,AN625=MatchLabel),1,0)</f>
        <v>0</v>
      </c>
      <c r="AR625">
        <f>IF(OR(AN625=MatchLabel,AN625=SafetyLabel,AN625=SecureLabel,AN625=SureThingLabel),1,0)</f>
        <v>0</v>
      </c>
      <c r="AS625">
        <f>IF(OR(W625="H",W625="B",W625="I",W625="M"),IF(ISNUMBER(AB625),ROUND(AB625,2),0),IF(ISNUMBER(AA625),ROUND(AA625,2),0))</f>
        <v>0</v>
      </c>
      <c r="AT625">
        <f>IF(AS625&gt;=X625,1,0)</f>
        <v>0</v>
      </c>
      <c r="AU625">
        <f>IF(AS625&gt;=Y625,1,0)</f>
        <v>0</v>
      </c>
      <c r="AV625">
        <f>IF(AS625&lt;(X625-0.10),1,0)</f>
        <v>0</v>
      </c>
      <c r="AW625">
        <f>1-AM625/100</f>
        <v>0</v>
      </c>
      <c r="AX625">
        <f>IF(AQ625=1,AW625,1)</f>
        <v>0</v>
      </c>
      <c r="AY625">
        <f>IF(AP625=1,AW625,1)</f>
        <v>0</v>
      </c>
      <c r="AZ625">
        <f>IF(AND(AT625=1,ISNUMBER(AW625)),$AW625,1)</f>
        <v>0</v>
      </c>
      <c r="BA625">
        <f>IF(AND(AU625=1,ISNUMBER(AW625)),$AW625,1)</f>
        <v>0</v>
      </c>
      <c r="BB625">
        <f>IF(ISNUMBER(AB625),INDEX(AllCollegeMoney, MATCH(N625,AllCollegeNCES,0)),0)</f>
        <v>0</v>
      </c>
      <c r="BC625">
        <f>IF(AND(AT625=1,ISNUMBER(AW625),BB625=1),$AW625,1)</f>
        <v>0</v>
      </c>
      <c r="BD625">
        <f>IF(AND(AU625=1,ISNUMBER(AW625),BB625=1),$AW625,1)</f>
        <v>0</v>
      </c>
      <c r="BE625">
        <f>IF(ISNUMBER(AB625),INDEX(AllCollegeILPub, MATCH(N625,AllCollegeNCES,0)),0)</f>
        <v>0</v>
      </c>
      <c r="BF625">
        <f>IF(AN625=ReachLabel,AS625,0)</f>
        <v>0</v>
      </c>
      <c r="BG625">
        <f>IF(AN625=MatchLabel,AS625,0)</f>
        <v>0</v>
      </c>
      <c r="BH625">
        <f>IF(AN625=SafetyLabel,AS625,0)</f>
        <v>0</v>
      </c>
      <c r="BI625">
        <f>IF(AN625=SecureLabel,AS625,0)</f>
        <v>0</v>
      </c>
      <c r="BJ625">
        <f>IF(AN625=SureThingLabel,AS625,0)</f>
        <v>0</v>
      </c>
      <c r="BK625">
        <f>MAX(BF625:BJ625)</f>
        <v>0</v>
      </c>
      <c r="BL625">
        <f>MAX(BG625:BJ625)</f>
        <v>0</v>
      </c>
      <c r="BM625">
        <f>MAX(BH625:BJ625)</f>
        <v>0</v>
      </c>
      <c r="BN625">
        <f>IF(AND(AN625=ReachLabel,BB625=1),AS625,0)</f>
        <v>0</v>
      </c>
      <c r="BO625">
        <f>IF(AND(AN625=MatchLabel,BB625=1),AS625,0)</f>
        <v>0</v>
      </c>
      <c r="BP625">
        <f>IF(AND(AN625=SafetyLabel,BB625=1),AS625,0)</f>
        <v>0</v>
      </c>
      <c r="BQ625">
        <f>IF(AND(AN625=SecureLabel,BB625=1),AS625,0)</f>
        <v>0</v>
      </c>
      <c r="BR625">
        <f>IF(AND(AN625=SureThingLabel,BB625=1),AS625,0)</f>
        <v>0</v>
      </c>
      <c r="BS625">
        <f>MAX(BN625:BR625)</f>
        <v>0</v>
      </c>
      <c r="BT625">
        <f>MAX(BO625:BR625)</f>
        <v>0</v>
      </c>
      <c r="BU625">
        <f>MAX(BP625:BR625)</f>
        <v>0</v>
      </c>
      <c r="BV625">
        <f>IF(ISNUMBER(AB625),INDEX(AllCollegeChicago, MATCH(N625,AllCollegeNCES,0))*BB625,0)</f>
        <v>0</v>
      </c>
      <c r="BW625">
        <f>IF(ISNUMBER(AB625),INDEX(AllCollegeMoneyCode, MATCH(N625,AllCollegeNCES,0)),"?")</f>
        <v>0</v>
      </c>
      <c r="BX625">
        <f>IF(OR(BW625="---",BW625="--",BW625="+/--",BW625="+/---"),1,0)</f>
        <v>0</v>
      </c>
      <c r="BY625">
        <f>BB625*AR625*AT625</f>
        <v>0</v>
      </c>
    </row>
    <row r="626" spans="1:77">
      <c r="A626" t="s">
        <v>96</v>
      </c>
      <c r="B626">
        <v>24126470</v>
      </c>
      <c r="C626" t="s">
        <v>113</v>
      </c>
      <c r="D626" t="s">
        <v>114</v>
      </c>
      <c r="E626" t="s">
        <v>446</v>
      </c>
      <c r="F626" t="s">
        <v>519</v>
      </c>
      <c r="G626" t="s">
        <v>448</v>
      </c>
      <c r="H626" t="s">
        <v>449</v>
      </c>
      <c r="I626" t="s">
        <v>450</v>
      </c>
      <c r="J626" t="s">
        <v>450</v>
      </c>
      <c r="K626">
        <v>0</v>
      </c>
      <c r="L626" t="s">
        <v>446</v>
      </c>
      <c r="M626" t="s">
        <v>446</v>
      </c>
      <c r="N626">
        <v>145813</v>
      </c>
      <c r="O626">
        <f>INDEX(Counselor,MATCH(B626,KidIDs,0))</f>
        <v>0</v>
      </c>
      <c r="P626">
        <f>INDEX(Advisors,MATCH(B626,KidIDs,0))</f>
        <v>0</v>
      </c>
      <c r="Q626">
        <f>INDEX(Cohort,MATCH(B626,KidIDs,0))</f>
        <v>0</v>
      </c>
      <c r="R626">
        <f>INDEX(AllCollegeBarrons,MATCH(N626,AllCollegeNCES,0))</f>
        <v>0</v>
      </c>
      <c r="S626">
        <f>INDEX(KidGPAs,MATCH(B626,KidIDs,0))</f>
        <v>0</v>
      </c>
      <c r="T626">
        <f>INDEX(KidSATs,MATCH(B626,KidIDs,0))</f>
        <v>0</v>
      </c>
      <c r="U626">
        <f>INDEX(Strats,MATCH(B626,KidIDs,0))</f>
        <v>0</v>
      </c>
      <c r="V626">
        <f>INDEX(KidRace,MATCH(B626,KidIDs,0))</f>
        <v>0</v>
      </c>
      <c r="W626">
        <f>IF(OR(V626="M",V626="I"),"H",IF(V626="P","A",V626))</f>
        <v>0</v>
      </c>
      <c r="X626">
        <f>INDEX(StudentTargets,MATCH(B626,KidIDs,0))</f>
        <v>0</v>
      </c>
      <c r="Y626">
        <f>INDEX(ReachStudentTargets,MATCH(B626,KidIDs,0))</f>
        <v>0</v>
      </c>
      <c r="Z626">
        <f>IF(OR(M626="Posse"),1,0)</f>
        <v>0</v>
      </c>
      <c r="AA626">
        <f>IF(ISNUMBER(INDEX(AllCollegeGR, MATCH(N626,AllCollegeNCES,0))),ROUND(INDEX(AllCollegeGR, MATCH(N626,AllCollegeNCES,0))+Z626*IF(INDEX(AllCollegeGR, MATCH(N626,AllCollegeNCES,0))&gt;0.7,(1-INDEX(AllCollegeGR, MATCH(N626,AllCollegeNCES,0)))/2,0.15),2),INDEX(AllCollegeGR, MATCH(N626,AllCollegeNCES,0)))</f>
        <v>0</v>
      </c>
      <c r="AB626">
        <f>IF(ISNUMBER(INDEX(AllCollegeAAHGR, MATCH(N626,AllCollegeNCES,0))),ROUND(INDEX(AllCollegeAAHGR, MATCH(N626,AllCollegeNCES,0))+Z626*IF(INDEX(AllCollegeAAHGR, MATCH(N626,AllCollegeNCES,0))&gt;0.7,(1-INDEX(AllCollegeAAHGR, MATCH(N626,AllCollegeNCES,0)))/2,0.15),2),INDEX(AllCollegeAAHGR, MATCH(N626,AllCollegeNCES,0)))</f>
        <v>0</v>
      </c>
      <c r="AC626">
        <f>IF(OR(W626="H",W626="B"),INDEX(AllCollegeSAT25, MATCH(N626,AllCollegeNCES,0)),INDEX(AllCollegeSAT50, MATCH(N626,AllCollegeNCES,0)))</f>
        <v>0</v>
      </c>
      <c r="AD626">
        <f>INDEX(CustomWeightsGPA,MATCH(W626&amp;":"&amp;N626,CustomWeightsIndex,0))</f>
        <v>0</v>
      </c>
      <c r="AE626">
        <f>INDEX(CustomWeightsSAT,MATCH(W626&amp;":"&amp;N626,CustomWeightsIndex,0))</f>
        <v>0</v>
      </c>
      <c r="AF626">
        <f>INDEX(CustomWeightsIntercept,MATCH(W626&amp;":"&amp;N626,CustomWeightsIndex,0))</f>
        <v>0</v>
      </c>
      <c r="AG626">
        <f>AD626*S626+AE626*T626+AF626</f>
        <v>0</v>
      </c>
      <c r="AH626">
        <f>INDEX(CoefficientsGPA,MATCH(W626&amp;":"&amp;R626,CoefficientsIndex,0))</f>
        <v>0</v>
      </c>
      <c r="AI626">
        <f>INDEX(CoefficientsSAT,MATCH(W626&amp;":"&amp;R626,CoefficientsIndex,0))</f>
        <v>0</v>
      </c>
      <c r="AJ626">
        <f>INDEX(CoefficientsIntercept,MATCH(W626&amp;":"&amp;R626,CoefficientsIndex,0))</f>
        <v>0</v>
      </c>
      <c r="AK626">
        <f>AH626*S626+(T626-AC626)*AI626+AJ626</f>
        <v>0</v>
      </c>
      <c r="AL626">
        <f>IF(ISNUMBER(AG626),AG626,AK626)</f>
        <v>0</v>
      </c>
      <c r="AM626">
        <f>IF(ISNUMBER(AL626),IF(ISNUMBER(AH626),IF(AND(AH626=1,AI626=1,AJ626=1),100,MIN(99,ROUND(100*EXP(AL626)/(1+EXP(AL626)),2))),MIN(99,ROUND(100*EXP(AL626)/(1+EXP(AL626)),2))),IF(ISTEXT(R626),IF(LEFT(R626,1)="2",100,"N/A"),"N/A"))</f>
        <v>0</v>
      </c>
      <c r="AN626">
        <f>IF(ISNUMBER(AM626),IF(AM626&gt;=99,IF(OR(U626=10,U626=11),MatchLabel,SureThingLabel),IF(AM626&gt;=95,SecureLabel,IF(AM626&gt;=80,SafetyLabel,IF(AM626&gt;=50,MatchLabel,IF(AM626&gt;=20,ReachLabel,IF(AM626&gt;=10,LongshotLabel,HailMaryLabel)))))),"Other")</f>
        <v>0</v>
      </c>
      <c r="AO626">
        <f>IF(OR(I626="accepted",I626="cond. accept",I626="summer admit"),IF(J626="yes","CHOICE!","Accepted!"),IF(I626="guar. transfer","Guar. Xfer",IF(I626="denied","Denied",IF(K626=1,"Waitlist",IF(L626=1,"Deferred",IF(G626="pending","Pending",IF(OR(G626="initial materials submitted",G626="mid-year submitted",G626="final submitted"),"Submitted",IF(H626="interest","Interest","?"))))))))</f>
        <v>0</v>
      </c>
      <c r="AP626">
        <f>IF(OR(AN626=ReachLabel,AN626=LongshotLabel,AN626=HailMaryLabel),1,0)</f>
        <v>0</v>
      </c>
      <c r="AQ626">
        <f>IF(OR(AP626=1,AN626=MatchLabel),1,0)</f>
        <v>0</v>
      </c>
      <c r="AR626">
        <f>IF(OR(AN626=MatchLabel,AN626=SafetyLabel,AN626=SecureLabel,AN626=SureThingLabel),1,0)</f>
        <v>0</v>
      </c>
      <c r="AS626">
        <f>IF(OR(W626="H",W626="B",W626="I",W626="M"),IF(ISNUMBER(AB626),ROUND(AB626,2),0),IF(ISNUMBER(AA626),ROUND(AA626,2),0))</f>
        <v>0</v>
      </c>
      <c r="AT626">
        <f>IF(AS626&gt;=X626,1,0)</f>
        <v>0</v>
      </c>
      <c r="AU626">
        <f>IF(AS626&gt;=Y626,1,0)</f>
        <v>0</v>
      </c>
      <c r="AV626">
        <f>IF(AS626&lt;(X626-0.10),1,0)</f>
        <v>0</v>
      </c>
      <c r="AW626">
        <f>1-AM626/100</f>
        <v>0</v>
      </c>
      <c r="AX626">
        <f>IF(AQ626=1,AW626,1)</f>
        <v>0</v>
      </c>
      <c r="AY626">
        <f>IF(AP626=1,AW626,1)</f>
        <v>0</v>
      </c>
      <c r="AZ626">
        <f>IF(AND(AT626=1,ISNUMBER(AW626)),$AW626,1)</f>
        <v>0</v>
      </c>
      <c r="BA626">
        <f>IF(AND(AU626=1,ISNUMBER(AW626)),$AW626,1)</f>
        <v>0</v>
      </c>
      <c r="BB626">
        <f>IF(ISNUMBER(AB626),INDEX(AllCollegeMoney, MATCH(N626,AllCollegeNCES,0)),0)</f>
        <v>0</v>
      </c>
      <c r="BC626">
        <f>IF(AND(AT626=1,ISNUMBER(AW626),BB626=1),$AW626,1)</f>
        <v>0</v>
      </c>
      <c r="BD626">
        <f>IF(AND(AU626=1,ISNUMBER(AW626),BB626=1),$AW626,1)</f>
        <v>0</v>
      </c>
      <c r="BE626">
        <f>IF(ISNUMBER(AB626),INDEX(AllCollegeILPub, MATCH(N626,AllCollegeNCES,0)),0)</f>
        <v>0</v>
      </c>
      <c r="BF626">
        <f>IF(AN626=ReachLabel,AS626,0)</f>
        <v>0</v>
      </c>
      <c r="BG626">
        <f>IF(AN626=MatchLabel,AS626,0)</f>
        <v>0</v>
      </c>
      <c r="BH626">
        <f>IF(AN626=SafetyLabel,AS626,0)</f>
        <v>0</v>
      </c>
      <c r="BI626">
        <f>IF(AN626=SecureLabel,AS626,0)</f>
        <v>0</v>
      </c>
      <c r="BJ626">
        <f>IF(AN626=SureThingLabel,AS626,0)</f>
        <v>0</v>
      </c>
      <c r="BK626">
        <f>MAX(BF626:BJ626)</f>
        <v>0</v>
      </c>
      <c r="BL626">
        <f>MAX(BG626:BJ626)</f>
        <v>0</v>
      </c>
      <c r="BM626">
        <f>MAX(BH626:BJ626)</f>
        <v>0</v>
      </c>
      <c r="BN626">
        <f>IF(AND(AN626=ReachLabel,BB626=1),AS626,0)</f>
        <v>0</v>
      </c>
      <c r="BO626">
        <f>IF(AND(AN626=MatchLabel,BB626=1),AS626,0)</f>
        <v>0</v>
      </c>
      <c r="BP626">
        <f>IF(AND(AN626=SafetyLabel,BB626=1),AS626,0)</f>
        <v>0</v>
      </c>
      <c r="BQ626">
        <f>IF(AND(AN626=SecureLabel,BB626=1),AS626,0)</f>
        <v>0</v>
      </c>
      <c r="BR626">
        <f>IF(AND(AN626=SureThingLabel,BB626=1),AS626,0)</f>
        <v>0</v>
      </c>
      <c r="BS626">
        <f>MAX(BN626:BR626)</f>
        <v>0</v>
      </c>
      <c r="BT626">
        <f>MAX(BO626:BR626)</f>
        <v>0</v>
      </c>
      <c r="BU626">
        <f>MAX(BP626:BR626)</f>
        <v>0</v>
      </c>
      <c r="BV626">
        <f>IF(ISNUMBER(AB626),INDEX(AllCollegeChicago, MATCH(N626,AllCollegeNCES,0))*BB626,0)</f>
        <v>0</v>
      </c>
      <c r="BW626">
        <f>IF(ISNUMBER(AB626),INDEX(AllCollegeMoneyCode, MATCH(N626,AllCollegeNCES,0)),"?")</f>
        <v>0</v>
      </c>
      <c r="BX626">
        <f>IF(OR(BW626="---",BW626="--",BW626="+/--",BW626="+/---"),1,0)</f>
        <v>0</v>
      </c>
      <c r="BY626">
        <f>BB626*AR626*AT626</f>
        <v>0</v>
      </c>
    </row>
    <row r="627" spans="1:77">
      <c r="A627" t="s">
        <v>96</v>
      </c>
      <c r="B627">
        <v>24126470</v>
      </c>
      <c r="C627" t="s">
        <v>113</v>
      </c>
      <c r="D627" t="s">
        <v>114</v>
      </c>
      <c r="E627" t="s">
        <v>446</v>
      </c>
      <c r="F627" t="s">
        <v>481</v>
      </c>
      <c r="G627" t="s">
        <v>448</v>
      </c>
      <c r="H627" t="s">
        <v>449</v>
      </c>
      <c r="I627" t="s">
        <v>450</v>
      </c>
      <c r="J627" t="s">
        <v>450</v>
      </c>
      <c r="K627">
        <v>0</v>
      </c>
      <c r="L627" t="s">
        <v>446</v>
      </c>
      <c r="M627" t="s">
        <v>446</v>
      </c>
      <c r="N627">
        <v>153834</v>
      </c>
      <c r="O627">
        <f>INDEX(Counselor,MATCH(B627,KidIDs,0))</f>
        <v>0</v>
      </c>
      <c r="P627">
        <f>INDEX(Advisors,MATCH(B627,KidIDs,0))</f>
        <v>0</v>
      </c>
      <c r="Q627">
        <f>INDEX(Cohort,MATCH(B627,KidIDs,0))</f>
        <v>0</v>
      </c>
      <c r="R627">
        <f>INDEX(AllCollegeBarrons,MATCH(N627,AllCollegeNCES,0))</f>
        <v>0</v>
      </c>
      <c r="S627">
        <f>INDEX(KidGPAs,MATCH(B627,KidIDs,0))</f>
        <v>0</v>
      </c>
      <c r="T627">
        <f>INDEX(KidSATs,MATCH(B627,KidIDs,0))</f>
        <v>0</v>
      </c>
      <c r="U627">
        <f>INDEX(Strats,MATCH(B627,KidIDs,0))</f>
        <v>0</v>
      </c>
      <c r="V627">
        <f>INDEX(KidRace,MATCH(B627,KidIDs,0))</f>
        <v>0</v>
      </c>
      <c r="W627">
        <f>IF(OR(V627="M",V627="I"),"H",IF(V627="P","A",V627))</f>
        <v>0</v>
      </c>
      <c r="X627">
        <f>INDEX(StudentTargets,MATCH(B627,KidIDs,0))</f>
        <v>0</v>
      </c>
      <c r="Y627">
        <f>INDEX(ReachStudentTargets,MATCH(B627,KidIDs,0))</f>
        <v>0</v>
      </c>
      <c r="Z627">
        <f>IF(OR(M627="Posse"),1,0)</f>
        <v>0</v>
      </c>
      <c r="AA627">
        <f>IF(ISNUMBER(INDEX(AllCollegeGR, MATCH(N627,AllCollegeNCES,0))),ROUND(INDEX(AllCollegeGR, MATCH(N627,AllCollegeNCES,0))+Z627*IF(INDEX(AllCollegeGR, MATCH(N627,AllCollegeNCES,0))&gt;0.7,(1-INDEX(AllCollegeGR, MATCH(N627,AllCollegeNCES,0)))/2,0.15),2),INDEX(AllCollegeGR, MATCH(N627,AllCollegeNCES,0)))</f>
        <v>0</v>
      </c>
      <c r="AB627">
        <f>IF(ISNUMBER(INDEX(AllCollegeAAHGR, MATCH(N627,AllCollegeNCES,0))),ROUND(INDEX(AllCollegeAAHGR, MATCH(N627,AllCollegeNCES,0))+Z627*IF(INDEX(AllCollegeAAHGR, MATCH(N627,AllCollegeNCES,0))&gt;0.7,(1-INDEX(AllCollegeAAHGR, MATCH(N627,AllCollegeNCES,0)))/2,0.15),2),INDEX(AllCollegeAAHGR, MATCH(N627,AllCollegeNCES,0)))</f>
        <v>0</v>
      </c>
      <c r="AC627">
        <f>IF(OR(W627="H",W627="B"),INDEX(AllCollegeSAT25, MATCH(N627,AllCollegeNCES,0)),INDEX(AllCollegeSAT50, MATCH(N627,AllCollegeNCES,0)))</f>
        <v>0</v>
      </c>
      <c r="AD627">
        <f>INDEX(CustomWeightsGPA,MATCH(W627&amp;":"&amp;N627,CustomWeightsIndex,0))</f>
        <v>0</v>
      </c>
      <c r="AE627">
        <f>INDEX(CustomWeightsSAT,MATCH(W627&amp;":"&amp;N627,CustomWeightsIndex,0))</f>
        <v>0</v>
      </c>
      <c r="AF627">
        <f>INDEX(CustomWeightsIntercept,MATCH(W627&amp;":"&amp;N627,CustomWeightsIndex,0))</f>
        <v>0</v>
      </c>
      <c r="AG627">
        <f>AD627*S627+AE627*T627+AF627</f>
        <v>0</v>
      </c>
      <c r="AH627">
        <f>INDEX(CoefficientsGPA,MATCH(W627&amp;":"&amp;R627,CoefficientsIndex,0))</f>
        <v>0</v>
      </c>
      <c r="AI627">
        <f>INDEX(CoefficientsSAT,MATCH(W627&amp;":"&amp;R627,CoefficientsIndex,0))</f>
        <v>0</v>
      </c>
      <c r="AJ627">
        <f>INDEX(CoefficientsIntercept,MATCH(W627&amp;":"&amp;R627,CoefficientsIndex,0))</f>
        <v>0</v>
      </c>
      <c r="AK627">
        <f>AH627*S627+(T627-AC627)*AI627+AJ627</f>
        <v>0</v>
      </c>
      <c r="AL627">
        <f>IF(ISNUMBER(AG627),AG627,AK627)</f>
        <v>0</v>
      </c>
      <c r="AM627">
        <f>IF(ISNUMBER(AL627),IF(ISNUMBER(AH627),IF(AND(AH627=1,AI627=1,AJ627=1),100,MIN(99,ROUND(100*EXP(AL627)/(1+EXP(AL627)),2))),MIN(99,ROUND(100*EXP(AL627)/(1+EXP(AL627)),2))),IF(ISTEXT(R627),IF(LEFT(R627,1)="2",100,"N/A"),"N/A"))</f>
        <v>0</v>
      </c>
      <c r="AN627">
        <f>IF(ISNUMBER(AM627),IF(AM627&gt;=99,IF(OR(U627=10,U627=11),MatchLabel,SureThingLabel),IF(AM627&gt;=95,SecureLabel,IF(AM627&gt;=80,SafetyLabel,IF(AM627&gt;=50,MatchLabel,IF(AM627&gt;=20,ReachLabel,IF(AM627&gt;=10,LongshotLabel,HailMaryLabel)))))),"Other")</f>
        <v>0</v>
      </c>
      <c r="AO627">
        <f>IF(OR(I627="accepted",I627="cond. accept",I627="summer admit"),IF(J627="yes","CHOICE!","Accepted!"),IF(I627="guar. transfer","Guar. Xfer",IF(I627="denied","Denied",IF(K627=1,"Waitlist",IF(L627=1,"Deferred",IF(G627="pending","Pending",IF(OR(G627="initial materials submitted",G627="mid-year submitted",G627="final submitted"),"Submitted",IF(H627="interest","Interest","?"))))))))</f>
        <v>0</v>
      </c>
      <c r="AP627">
        <f>IF(OR(AN627=ReachLabel,AN627=LongshotLabel,AN627=HailMaryLabel),1,0)</f>
        <v>0</v>
      </c>
      <c r="AQ627">
        <f>IF(OR(AP627=1,AN627=MatchLabel),1,0)</f>
        <v>0</v>
      </c>
      <c r="AR627">
        <f>IF(OR(AN627=MatchLabel,AN627=SafetyLabel,AN627=SecureLabel,AN627=SureThingLabel),1,0)</f>
        <v>0</v>
      </c>
      <c r="AS627">
        <f>IF(OR(W627="H",W627="B",W627="I",W627="M"),IF(ISNUMBER(AB627),ROUND(AB627,2),0),IF(ISNUMBER(AA627),ROUND(AA627,2),0))</f>
        <v>0</v>
      </c>
      <c r="AT627">
        <f>IF(AS627&gt;=X627,1,0)</f>
        <v>0</v>
      </c>
      <c r="AU627">
        <f>IF(AS627&gt;=Y627,1,0)</f>
        <v>0</v>
      </c>
      <c r="AV627">
        <f>IF(AS627&lt;(X627-0.10),1,0)</f>
        <v>0</v>
      </c>
      <c r="AW627">
        <f>1-AM627/100</f>
        <v>0</v>
      </c>
      <c r="AX627">
        <f>IF(AQ627=1,AW627,1)</f>
        <v>0</v>
      </c>
      <c r="AY627">
        <f>IF(AP627=1,AW627,1)</f>
        <v>0</v>
      </c>
      <c r="AZ627">
        <f>IF(AND(AT627=1,ISNUMBER(AW627)),$AW627,1)</f>
        <v>0</v>
      </c>
      <c r="BA627">
        <f>IF(AND(AU627=1,ISNUMBER(AW627)),$AW627,1)</f>
        <v>0</v>
      </c>
      <c r="BB627">
        <f>IF(ISNUMBER(AB627),INDEX(AllCollegeMoney, MATCH(N627,AllCollegeNCES,0)),0)</f>
        <v>0</v>
      </c>
      <c r="BC627">
        <f>IF(AND(AT627=1,ISNUMBER(AW627),BB627=1),$AW627,1)</f>
        <v>0</v>
      </c>
      <c r="BD627">
        <f>IF(AND(AU627=1,ISNUMBER(AW627),BB627=1),$AW627,1)</f>
        <v>0</v>
      </c>
      <c r="BE627">
        <f>IF(ISNUMBER(AB627),INDEX(AllCollegeILPub, MATCH(N627,AllCollegeNCES,0)),0)</f>
        <v>0</v>
      </c>
      <c r="BF627">
        <f>IF(AN627=ReachLabel,AS627,0)</f>
        <v>0</v>
      </c>
      <c r="BG627">
        <f>IF(AN627=MatchLabel,AS627,0)</f>
        <v>0</v>
      </c>
      <c r="BH627">
        <f>IF(AN627=SafetyLabel,AS627,0)</f>
        <v>0</v>
      </c>
      <c r="BI627">
        <f>IF(AN627=SecureLabel,AS627,0)</f>
        <v>0</v>
      </c>
      <c r="BJ627">
        <f>IF(AN627=SureThingLabel,AS627,0)</f>
        <v>0</v>
      </c>
      <c r="BK627">
        <f>MAX(BF627:BJ627)</f>
        <v>0</v>
      </c>
      <c r="BL627">
        <f>MAX(BG627:BJ627)</f>
        <v>0</v>
      </c>
      <c r="BM627">
        <f>MAX(BH627:BJ627)</f>
        <v>0</v>
      </c>
      <c r="BN627">
        <f>IF(AND(AN627=ReachLabel,BB627=1),AS627,0)</f>
        <v>0</v>
      </c>
      <c r="BO627">
        <f>IF(AND(AN627=MatchLabel,BB627=1),AS627,0)</f>
        <v>0</v>
      </c>
      <c r="BP627">
        <f>IF(AND(AN627=SafetyLabel,BB627=1),AS627,0)</f>
        <v>0</v>
      </c>
      <c r="BQ627">
        <f>IF(AND(AN627=SecureLabel,BB627=1),AS627,0)</f>
        <v>0</v>
      </c>
      <c r="BR627">
        <f>IF(AND(AN627=SureThingLabel,BB627=1),AS627,0)</f>
        <v>0</v>
      </c>
      <c r="BS627">
        <f>MAX(BN627:BR627)</f>
        <v>0</v>
      </c>
      <c r="BT627">
        <f>MAX(BO627:BR627)</f>
        <v>0</v>
      </c>
      <c r="BU627">
        <f>MAX(BP627:BR627)</f>
        <v>0</v>
      </c>
      <c r="BV627">
        <f>IF(ISNUMBER(AB627),INDEX(AllCollegeChicago, MATCH(N627,AllCollegeNCES,0))*BB627,0)</f>
        <v>0</v>
      </c>
      <c r="BW627">
        <f>IF(ISNUMBER(AB627),INDEX(AllCollegeMoneyCode, MATCH(N627,AllCollegeNCES,0)),"?")</f>
        <v>0</v>
      </c>
      <c r="BX627">
        <f>IF(OR(BW627="---",BW627="--",BW627="+/--",BW627="+/---"),1,0)</f>
        <v>0</v>
      </c>
      <c r="BY627">
        <f>BB627*AR627*AT627</f>
        <v>0</v>
      </c>
    </row>
    <row r="628" spans="1:77">
      <c r="A628" t="s">
        <v>96</v>
      </c>
      <c r="B628">
        <v>24136022</v>
      </c>
      <c r="C628" t="s">
        <v>224</v>
      </c>
      <c r="D628" t="s">
        <v>225</v>
      </c>
      <c r="E628" t="s">
        <v>446</v>
      </c>
      <c r="F628" t="s">
        <v>593</v>
      </c>
      <c r="G628" t="s">
        <v>479</v>
      </c>
      <c r="H628" t="s">
        <v>449</v>
      </c>
      <c r="I628" t="s">
        <v>450</v>
      </c>
      <c r="J628" t="s">
        <v>450</v>
      </c>
      <c r="K628">
        <v>0</v>
      </c>
      <c r="L628" t="s">
        <v>446</v>
      </c>
      <c r="M628" t="s">
        <v>446</v>
      </c>
      <c r="N628">
        <v>110583</v>
      </c>
      <c r="O628">
        <f>INDEX(Counselor,MATCH(B628,KidIDs,0))</f>
        <v>0</v>
      </c>
      <c r="P628">
        <f>INDEX(Advisors,MATCH(B628,KidIDs,0))</f>
        <v>0</v>
      </c>
      <c r="Q628">
        <f>INDEX(Cohort,MATCH(B628,KidIDs,0))</f>
        <v>0</v>
      </c>
      <c r="R628">
        <f>INDEX(AllCollegeBarrons,MATCH(N628,AllCollegeNCES,0))</f>
        <v>0</v>
      </c>
      <c r="S628">
        <f>INDEX(KidGPAs,MATCH(B628,KidIDs,0))</f>
        <v>0</v>
      </c>
      <c r="T628">
        <f>INDEX(KidSATs,MATCH(B628,KidIDs,0))</f>
        <v>0</v>
      </c>
      <c r="U628">
        <f>INDEX(Strats,MATCH(B628,KidIDs,0))</f>
        <v>0</v>
      </c>
      <c r="V628">
        <f>INDEX(KidRace,MATCH(B628,KidIDs,0))</f>
        <v>0</v>
      </c>
      <c r="W628">
        <f>IF(OR(V628="M",V628="I"),"H",IF(V628="P","A",V628))</f>
        <v>0</v>
      </c>
      <c r="X628">
        <f>INDEX(StudentTargets,MATCH(B628,KidIDs,0))</f>
        <v>0</v>
      </c>
      <c r="Y628">
        <f>INDEX(ReachStudentTargets,MATCH(B628,KidIDs,0))</f>
        <v>0</v>
      </c>
      <c r="Z628">
        <f>IF(OR(M628="Posse"),1,0)</f>
        <v>0</v>
      </c>
      <c r="AA628">
        <f>IF(ISNUMBER(INDEX(AllCollegeGR, MATCH(N628,AllCollegeNCES,0))),ROUND(INDEX(AllCollegeGR, MATCH(N628,AllCollegeNCES,0))+Z628*IF(INDEX(AllCollegeGR, MATCH(N628,AllCollegeNCES,0))&gt;0.7,(1-INDEX(AllCollegeGR, MATCH(N628,AllCollegeNCES,0)))/2,0.15),2),INDEX(AllCollegeGR, MATCH(N628,AllCollegeNCES,0)))</f>
        <v>0</v>
      </c>
      <c r="AB628">
        <f>IF(ISNUMBER(INDEX(AllCollegeAAHGR, MATCH(N628,AllCollegeNCES,0))),ROUND(INDEX(AllCollegeAAHGR, MATCH(N628,AllCollegeNCES,0))+Z628*IF(INDEX(AllCollegeAAHGR, MATCH(N628,AllCollegeNCES,0))&gt;0.7,(1-INDEX(AllCollegeAAHGR, MATCH(N628,AllCollegeNCES,0)))/2,0.15),2),INDEX(AllCollegeAAHGR, MATCH(N628,AllCollegeNCES,0)))</f>
        <v>0</v>
      </c>
      <c r="AC628">
        <f>IF(OR(W628="H",W628="B"),INDEX(AllCollegeSAT25, MATCH(N628,AllCollegeNCES,0)),INDEX(AllCollegeSAT50, MATCH(N628,AllCollegeNCES,0)))</f>
        <v>0</v>
      </c>
      <c r="AD628">
        <f>INDEX(CustomWeightsGPA,MATCH(W628&amp;":"&amp;N628,CustomWeightsIndex,0))</f>
        <v>0</v>
      </c>
      <c r="AE628">
        <f>INDEX(CustomWeightsSAT,MATCH(W628&amp;":"&amp;N628,CustomWeightsIndex,0))</f>
        <v>0</v>
      </c>
      <c r="AF628">
        <f>INDEX(CustomWeightsIntercept,MATCH(W628&amp;":"&amp;N628,CustomWeightsIndex,0))</f>
        <v>0</v>
      </c>
      <c r="AG628">
        <f>AD628*S628+AE628*T628+AF628</f>
        <v>0</v>
      </c>
      <c r="AH628">
        <f>INDEX(CoefficientsGPA,MATCH(W628&amp;":"&amp;R628,CoefficientsIndex,0))</f>
        <v>0</v>
      </c>
      <c r="AI628">
        <f>INDEX(CoefficientsSAT,MATCH(W628&amp;":"&amp;R628,CoefficientsIndex,0))</f>
        <v>0</v>
      </c>
      <c r="AJ628">
        <f>INDEX(CoefficientsIntercept,MATCH(W628&amp;":"&amp;R628,CoefficientsIndex,0))</f>
        <v>0</v>
      </c>
      <c r="AK628">
        <f>AH628*S628+(T628-AC628)*AI628+AJ628</f>
        <v>0</v>
      </c>
      <c r="AL628">
        <f>IF(ISNUMBER(AG628),AG628,AK628)</f>
        <v>0</v>
      </c>
      <c r="AM628">
        <f>IF(ISNUMBER(AL628),IF(ISNUMBER(AH628),IF(AND(AH628=1,AI628=1,AJ628=1),100,MIN(99,ROUND(100*EXP(AL628)/(1+EXP(AL628)),2))),MIN(99,ROUND(100*EXP(AL628)/(1+EXP(AL628)),2))),IF(ISTEXT(R628),IF(LEFT(R628,1)="2",100,"N/A"),"N/A"))</f>
        <v>0</v>
      </c>
      <c r="AN628">
        <f>IF(ISNUMBER(AM628),IF(AM628&gt;=99,IF(OR(U628=10,U628=11),MatchLabel,SureThingLabel),IF(AM628&gt;=95,SecureLabel,IF(AM628&gt;=80,SafetyLabel,IF(AM628&gt;=50,MatchLabel,IF(AM628&gt;=20,ReachLabel,IF(AM628&gt;=10,LongshotLabel,HailMaryLabel)))))),"Other")</f>
        <v>0</v>
      </c>
      <c r="AO628">
        <f>IF(OR(I628="accepted",I628="cond. accept",I628="summer admit"),IF(J628="yes","CHOICE!","Accepted!"),IF(I628="guar. transfer","Guar. Xfer",IF(I628="denied","Denied",IF(K628=1,"Waitlist",IF(L628=1,"Deferred",IF(G628="pending","Pending",IF(OR(G628="initial materials submitted",G628="mid-year submitted",G628="final submitted"),"Submitted",IF(H628="interest","Interest","?"))))))))</f>
        <v>0</v>
      </c>
      <c r="AP628">
        <f>IF(OR(AN628=ReachLabel,AN628=LongshotLabel,AN628=HailMaryLabel),1,0)</f>
        <v>0</v>
      </c>
      <c r="AQ628">
        <f>IF(OR(AP628=1,AN628=MatchLabel),1,0)</f>
        <v>0</v>
      </c>
      <c r="AR628">
        <f>IF(OR(AN628=MatchLabel,AN628=SafetyLabel,AN628=SecureLabel,AN628=SureThingLabel),1,0)</f>
        <v>0</v>
      </c>
      <c r="AS628">
        <f>IF(OR(W628="H",W628="B",W628="I",W628="M"),IF(ISNUMBER(AB628),ROUND(AB628,2),0),IF(ISNUMBER(AA628),ROUND(AA628,2),0))</f>
        <v>0</v>
      </c>
      <c r="AT628">
        <f>IF(AS628&gt;=X628,1,0)</f>
        <v>0</v>
      </c>
      <c r="AU628">
        <f>IF(AS628&gt;=Y628,1,0)</f>
        <v>0</v>
      </c>
      <c r="AV628">
        <f>IF(AS628&lt;(X628-0.10),1,0)</f>
        <v>0</v>
      </c>
      <c r="AW628">
        <f>1-AM628/100</f>
        <v>0</v>
      </c>
      <c r="AX628">
        <f>IF(AQ628=1,AW628,1)</f>
        <v>0</v>
      </c>
      <c r="AY628">
        <f>IF(AP628=1,AW628,1)</f>
        <v>0</v>
      </c>
      <c r="AZ628">
        <f>IF(AND(AT628=1,ISNUMBER(AW628)),$AW628,1)</f>
        <v>0</v>
      </c>
      <c r="BA628">
        <f>IF(AND(AU628=1,ISNUMBER(AW628)),$AW628,1)</f>
        <v>0</v>
      </c>
      <c r="BB628">
        <f>IF(ISNUMBER(AB628),INDEX(AllCollegeMoney, MATCH(N628,AllCollegeNCES,0)),0)</f>
        <v>0</v>
      </c>
      <c r="BC628">
        <f>IF(AND(AT628=1,ISNUMBER(AW628),BB628=1),$AW628,1)</f>
        <v>0</v>
      </c>
      <c r="BD628">
        <f>IF(AND(AU628=1,ISNUMBER(AW628),BB628=1),$AW628,1)</f>
        <v>0</v>
      </c>
      <c r="BE628">
        <f>IF(ISNUMBER(AB628),INDEX(AllCollegeILPub, MATCH(N628,AllCollegeNCES,0)),0)</f>
        <v>0</v>
      </c>
      <c r="BF628">
        <f>IF(AN628=ReachLabel,AS628,0)</f>
        <v>0</v>
      </c>
      <c r="BG628">
        <f>IF(AN628=MatchLabel,AS628,0)</f>
        <v>0</v>
      </c>
      <c r="BH628">
        <f>IF(AN628=SafetyLabel,AS628,0)</f>
        <v>0</v>
      </c>
      <c r="BI628">
        <f>IF(AN628=SecureLabel,AS628,0)</f>
        <v>0</v>
      </c>
      <c r="BJ628">
        <f>IF(AN628=SureThingLabel,AS628,0)</f>
        <v>0</v>
      </c>
      <c r="BK628">
        <f>MAX(BF628:BJ628)</f>
        <v>0</v>
      </c>
      <c r="BL628">
        <f>MAX(BG628:BJ628)</f>
        <v>0</v>
      </c>
      <c r="BM628">
        <f>MAX(BH628:BJ628)</f>
        <v>0</v>
      </c>
      <c r="BN628">
        <f>IF(AND(AN628=ReachLabel,BB628=1),AS628,0)</f>
        <v>0</v>
      </c>
      <c r="BO628">
        <f>IF(AND(AN628=MatchLabel,BB628=1),AS628,0)</f>
        <v>0</v>
      </c>
      <c r="BP628">
        <f>IF(AND(AN628=SafetyLabel,BB628=1),AS628,0)</f>
        <v>0</v>
      </c>
      <c r="BQ628">
        <f>IF(AND(AN628=SecureLabel,BB628=1),AS628,0)</f>
        <v>0</v>
      </c>
      <c r="BR628">
        <f>IF(AND(AN628=SureThingLabel,BB628=1),AS628,0)</f>
        <v>0</v>
      </c>
      <c r="BS628">
        <f>MAX(BN628:BR628)</f>
        <v>0</v>
      </c>
      <c r="BT628">
        <f>MAX(BO628:BR628)</f>
        <v>0</v>
      </c>
      <c r="BU628">
        <f>MAX(BP628:BR628)</f>
        <v>0</v>
      </c>
      <c r="BV628">
        <f>IF(ISNUMBER(AB628),INDEX(AllCollegeChicago, MATCH(N628,AllCollegeNCES,0))*BB628,0)</f>
        <v>0</v>
      </c>
      <c r="BW628">
        <f>IF(ISNUMBER(AB628),INDEX(AllCollegeMoneyCode, MATCH(N628,AllCollegeNCES,0)),"?")</f>
        <v>0</v>
      </c>
      <c r="BX628">
        <f>IF(OR(BW628="---",BW628="--",BW628="+/--",BW628="+/---"),1,0)</f>
        <v>0</v>
      </c>
      <c r="BY628">
        <f>BB628*AR628*AT628</f>
        <v>0</v>
      </c>
    </row>
    <row r="629" spans="1:77">
      <c r="A629" t="s">
        <v>96</v>
      </c>
      <c r="B629">
        <v>24136022</v>
      </c>
      <c r="C629" t="s">
        <v>224</v>
      </c>
      <c r="D629" t="s">
        <v>225</v>
      </c>
      <c r="E629" t="s">
        <v>446</v>
      </c>
      <c r="F629" t="s">
        <v>465</v>
      </c>
      <c r="G629" t="s">
        <v>448</v>
      </c>
      <c r="H629" t="s">
        <v>449</v>
      </c>
      <c r="I629" t="s">
        <v>450</v>
      </c>
      <c r="J629" t="s">
        <v>450</v>
      </c>
      <c r="K629">
        <v>0</v>
      </c>
      <c r="L629" t="s">
        <v>446</v>
      </c>
      <c r="M629" t="s">
        <v>446</v>
      </c>
      <c r="N629">
        <v>145600</v>
      </c>
      <c r="O629">
        <f>INDEX(Counselor,MATCH(B629,KidIDs,0))</f>
        <v>0</v>
      </c>
      <c r="P629">
        <f>INDEX(Advisors,MATCH(B629,KidIDs,0))</f>
        <v>0</v>
      </c>
      <c r="Q629">
        <f>INDEX(Cohort,MATCH(B629,KidIDs,0))</f>
        <v>0</v>
      </c>
      <c r="R629">
        <f>INDEX(AllCollegeBarrons,MATCH(N629,AllCollegeNCES,0))</f>
        <v>0</v>
      </c>
      <c r="S629">
        <f>INDEX(KidGPAs,MATCH(B629,KidIDs,0))</f>
        <v>0</v>
      </c>
      <c r="T629">
        <f>INDEX(KidSATs,MATCH(B629,KidIDs,0))</f>
        <v>0</v>
      </c>
      <c r="U629">
        <f>INDEX(Strats,MATCH(B629,KidIDs,0))</f>
        <v>0</v>
      </c>
      <c r="V629">
        <f>INDEX(KidRace,MATCH(B629,KidIDs,0))</f>
        <v>0</v>
      </c>
      <c r="W629">
        <f>IF(OR(V629="M",V629="I"),"H",IF(V629="P","A",V629))</f>
        <v>0</v>
      </c>
      <c r="X629">
        <f>INDEX(StudentTargets,MATCH(B629,KidIDs,0))</f>
        <v>0</v>
      </c>
      <c r="Y629">
        <f>INDEX(ReachStudentTargets,MATCH(B629,KidIDs,0))</f>
        <v>0</v>
      </c>
      <c r="Z629">
        <f>IF(OR(M629="Posse"),1,0)</f>
        <v>0</v>
      </c>
      <c r="AA629">
        <f>IF(ISNUMBER(INDEX(AllCollegeGR, MATCH(N629,AllCollegeNCES,0))),ROUND(INDEX(AllCollegeGR, MATCH(N629,AllCollegeNCES,0))+Z629*IF(INDEX(AllCollegeGR, MATCH(N629,AllCollegeNCES,0))&gt;0.7,(1-INDEX(AllCollegeGR, MATCH(N629,AllCollegeNCES,0)))/2,0.15),2),INDEX(AllCollegeGR, MATCH(N629,AllCollegeNCES,0)))</f>
        <v>0</v>
      </c>
      <c r="AB629">
        <f>IF(ISNUMBER(INDEX(AllCollegeAAHGR, MATCH(N629,AllCollegeNCES,0))),ROUND(INDEX(AllCollegeAAHGR, MATCH(N629,AllCollegeNCES,0))+Z629*IF(INDEX(AllCollegeAAHGR, MATCH(N629,AllCollegeNCES,0))&gt;0.7,(1-INDEX(AllCollegeAAHGR, MATCH(N629,AllCollegeNCES,0)))/2,0.15),2),INDEX(AllCollegeAAHGR, MATCH(N629,AllCollegeNCES,0)))</f>
        <v>0</v>
      </c>
      <c r="AC629">
        <f>IF(OR(W629="H",W629="B"),INDEX(AllCollegeSAT25, MATCH(N629,AllCollegeNCES,0)),INDEX(AllCollegeSAT50, MATCH(N629,AllCollegeNCES,0)))</f>
        <v>0</v>
      </c>
      <c r="AD629">
        <f>INDEX(CustomWeightsGPA,MATCH(W629&amp;":"&amp;N629,CustomWeightsIndex,0))</f>
        <v>0</v>
      </c>
      <c r="AE629">
        <f>INDEX(CustomWeightsSAT,MATCH(W629&amp;":"&amp;N629,CustomWeightsIndex,0))</f>
        <v>0</v>
      </c>
      <c r="AF629">
        <f>INDEX(CustomWeightsIntercept,MATCH(W629&amp;":"&amp;N629,CustomWeightsIndex,0))</f>
        <v>0</v>
      </c>
      <c r="AG629">
        <f>AD629*S629+AE629*T629+AF629</f>
        <v>0</v>
      </c>
      <c r="AH629">
        <f>INDEX(CoefficientsGPA,MATCH(W629&amp;":"&amp;R629,CoefficientsIndex,0))</f>
        <v>0</v>
      </c>
      <c r="AI629">
        <f>INDEX(CoefficientsSAT,MATCH(W629&amp;":"&amp;R629,CoefficientsIndex,0))</f>
        <v>0</v>
      </c>
      <c r="AJ629">
        <f>INDEX(CoefficientsIntercept,MATCH(W629&amp;":"&amp;R629,CoefficientsIndex,0))</f>
        <v>0</v>
      </c>
      <c r="AK629">
        <f>AH629*S629+(T629-AC629)*AI629+AJ629</f>
        <v>0</v>
      </c>
      <c r="AL629">
        <f>IF(ISNUMBER(AG629),AG629,AK629)</f>
        <v>0</v>
      </c>
      <c r="AM629">
        <f>IF(ISNUMBER(AL629),IF(ISNUMBER(AH629),IF(AND(AH629=1,AI629=1,AJ629=1),100,MIN(99,ROUND(100*EXP(AL629)/(1+EXP(AL629)),2))),MIN(99,ROUND(100*EXP(AL629)/(1+EXP(AL629)),2))),IF(ISTEXT(R629),IF(LEFT(R629,1)="2",100,"N/A"),"N/A"))</f>
        <v>0</v>
      </c>
      <c r="AN629">
        <f>IF(ISNUMBER(AM629),IF(AM629&gt;=99,IF(OR(U629=10,U629=11),MatchLabel,SureThingLabel),IF(AM629&gt;=95,SecureLabel,IF(AM629&gt;=80,SafetyLabel,IF(AM629&gt;=50,MatchLabel,IF(AM629&gt;=20,ReachLabel,IF(AM629&gt;=10,LongshotLabel,HailMaryLabel)))))),"Other")</f>
        <v>0</v>
      </c>
      <c r="AO629">
        <f>IF(OR(I629="accepted",I629="cond. accept",I629="summer admit"),IF(J629="yes","CHOICE!","Accepted!"),IF(I629="guar. transfer","Guar. Xfer",IF(I629="denied","Denied",IF(K629=1,"Waitlist",IF(L629=1,"Deferred",IF(G629="pending","Pending",IF(OR(G629="initial materials submitted",G629="mid-year submitted",G629="final submitted"),"Submitted",IF(H629="interest","Interest","?"))))))))</f>
        <v>0</v>
      </c>
      <c r="AP629">
        <f>IF(OR(AN629=ReachLabel,AN629=LongshotLabel,AN629=HailMaryLabel),1,0)</f>
        <v>0</v>
      </c>
      <c r="AQ629">
        <f>IF(OR(AP629=1,AN629=MatchLabel),1,0)</f>
        <v>0</v>
      </c>
      <c r="AR629">
        <f>IF(OR(AN629=MatchLabel,AN629=SafetyLabel,AN629=SecureLabel,AN629=SureThingLabel),1,0)</f>
        <v>0</v>
      </c>
      <c r="AS629">
        <f>IF(OR(W629="H",W629="B",W629="I",W629="M"),IF(ISNUMBER(AB629),ROUND(AB629,2),0),IF(ISNUMBER(AA629),ROUND(AA629,2),0))</f>
        <v>0</v>
      </c>
      <c r="AT629">
        <f>IF(AS629&gt;=X629,1,0)</f>
        <v>0</v>
      </c>
      <c r="AU629">
        <f>IF(AS629&gt;=Y629,1,0)</f>
        <v>0</v>
      </c>
      <c r="AV629">
        <f>IF(AS629&lt;(X629-0.10),1,0)</f>
        <v>0</v>
      </c>
      <c r="AW629">
        <f>1-AM629/100</f>
        <v>0</v>
      </c>
      <c r="AX629">
        <f>IF(AQ629=1,AW629,1)</f>
        <v>0</v>
      </c>
      <c r="AY629">
        <f>IF(AP629=1,AW629,1)</f>
        <v>0</v>
      </c>
      <c r="AZ629">
        <f>IF(AND(AT629=1,ISNUMBER(AW629)),$AW629,1)</f>
        <v>0</v>
      </c>
      <c r="BA629">
        <f>IF(AND(AU629=1,ISNUMBER(AW629)),$AW629,1)</f>
        <v>0</v>
      </c>
      <c r="BB629">
        <f>IF(ISNUMBER(AB629),INDEX(AllCollegeMoney, MATCH(N629,AllCollegeNCES,0)),0)</f>
        <v>0</v>
      </c>
      <c r="BC629">
        <f>IF(AND(AT629=1,ISNUMBER(AW629),BB629=1),$AW629,1)</f>
        <v>0</v>
      </c>
      <c r="BD629">
        <f>IF(AND(AU629=1,ISNUMBER(AW629),BB629=1),$AW629,1)</f>
        <v>0</v>
      </c>
      <c r="BE629">
        <f>IF(ISNUMBER(AB629),INDEX(AllCollegeILPub, MATCH(N629,AllCollegeNCES,0)),0)</f>
        <v>0</v>
      </c>
      <c r="BF629">
        <f>IF(AN629=ReachLabel,AS629,0)</f>
        <v>0</v>
      </c>
      <c r="BG629">
        <f>IF(AN629=MatchLabel,AS629,0)</f>
        <v>0</v>
      </c>
      <c r="BH629">
        <f>IF(AN629=SafetyLabel,AS629,0)</f>
        <v>0</v>
      </c>
      <c r="BI629">
        <f>IF(AN629=SecureLabel,AS629,0)</f>
        <v>0</v>
      </c>
      <c r="BJ629">
        <f>IF(AN629=SureThingLabel,AS629,0)</f>
        <v>0</v>
      </c>
      <c r="BK629">
        <f>MAX(BF629:BJ629)</f>
        <v>0</v>
      </c>
      <c r="BL629">
        <f>MAX(BG629:BJ629)</f>
        <v>0</v>
      </c>
      <c r="BM629">
        <f>MAX(BH629:BJ629)</f>
        <v>0</v>
      </c>
      <c r="BN629">
        <f>IF(AND(AN629=ReachLabel,BB629=1),AS629,0)</f>
        <v>0</v>
      </c>
      <c r="BO629">
        <f>IF(AND(AN629=MatchLabel,BB629=1),AS629,0)</f>
        <v>0</v>
      </c>
      <c r="BP629">
        <f>IF(AND(AN629=SafetyLabel,BB629=1),AS629,0)</f>
        <v>0</v>
      </c>
      <c r="BQ629">
        <f>IF(AND(AN629=SecureLabel,BB629=1),AS629,0)</f>
        <v>0</v>
      </c>
      <c r="BR629">
        <f>IF(AND(AN629=SureThingLabel,BB629=1),AS629,0)</f>
        <v>0</v>
      </c>
      <c r="BS629">
        <f>MAX(BN629:BR629)</f>
        <v>0</v>
      </c>
      <c r="BT629">
        <f>MAX(BO629:BR629)</f>
        <v>0</v>
      </c>
      <c r="BU629">
        <f>MAX(BP629:BR629)</f>
        <v>0</v>
      </c>
      <c r="BV629">
        <f>IF(ISNUMBER(AB629),INDEX(AllCollegeChicago, MATCH(N629,AllCollegeNCES,0))*BB629,0)</f>
        <v>0</v>
      </c>
      <c r="BW629">
        <f>IF(ISNUMBER(AB629),INDEX(AllCollegeMoneyCode, MATCH(N629,AllCollegeNCES,0)),"?")</f>
        <v>0</v>
      </c>
      <c r="BX629">
        <f>IF(OR(BW629="---",BW629="--",BW629="+/--",BW629="+/---"),1,0)</f>
        <v>0</v>
      </c>
      <c r="BY629">
        <f>BB629*AR629*AT629</f>
        <v>0</v>
      </c>
    </row>
    <row r="630" spans="1:77">
      <c r="A630" t="s">
        <v>96</v>
      </c>
      <c r="B630">
        <v>24136022</v>
      </c>
      <c r="C630" t="s">
        <v>224</v>
      </c>
      <c r="D630" t="s">
        <v>225</v>
      </c>
      <c r="E630" t="s">
        <v>446</v>
      </c>
      <c r="F630" t="s">
        <v>466</v>
      </c>
      <c r="G630" t="s">
        <v>448</v>
      </c>
      <c r="H630" t="s">
        <v>449</v>
      </c>
      <c r="I630" t="s">
        <v>450</v>
      </c>
      <c r="J630" t="s">
        <v>450</v>
      </c>
      <c r="K630">
        <v>0</v>
      </c>
      <c r="L630" t="s">
        <v>446</v>
      </c>
      <c r="M630" t="s">
        <v>446</v>
      </c>
      <c r="N630">
        <v>100000001</v>
      </c>
      <c r="O630">
        <f>INDEX(Counselor,MATCH(B630,KidIDs,0))</f>
        <v>0</v>
      </c>
      <c r="P630">
        <f>INDEX(Advisors,MATCH(B630,KidIDs,0))</f>
        <v>0</v>
      </c>
      <c r="Q630">
        <f>INDEX(Cohort,MATCH(B630,KidIDs,0))</f>
        <v>0</v>
      </c>
      <c r="R630">
        <f>INDEX(AllCollegeBarrons,MATCH(N630,AllCollegeNCES,0))</f>
        <v>0</v>
      </c>
      <c r="S630">
        <f>INDEX(KidGPAs,MATCH(B630,KidIDs,0))</f>
        <v>0</v>
      </c>
      <c r="T630">
        <f>INDEX(KidSATs,MATCH(B630,KidIDs,0))</f>
        <v>0</v>
      </c>
      <c r="U630">
        <f>INDEX(Strats,MATCH(B630,KidIDs,0))</f>
        <v>0</v>
      </c>
      <c r="V630">
        <f>INDEX(KidRace,MATCH(B630,KidIDs,0))</f>
        <v>0</v>
      </c>
      <c r="W630">
        <f>IF(OR(V630="M",V630="I"),"H",IF(V630="P","A",V630))</f>
        <v>0</v>
      </c>
      <c r="X630">
        <f>INDEX(StudentTargets,MATCH(B630,KidIDs,0))</f>
        <v>0</v>
      </c>
      <c r="Y630">
        <f>INDEX(ReachStudentTargets,MATCH(B630,KidIDs,0))</f>
        <v>0</v>
      </c>
      <c r="Z630">
        <f>IF(OR(M630="Posse"),1,0)</f>
        <v>0</v>
      </c>
      <c r="AA630">
        <f>IF(ISNUMBER(INDEX(AllCollegeGR, MATCH(N630,AllCollegeNCES,0))),ROUND(INDEX(AllCollegeGR, MATCH(N630,AllCollegeNCES,0))+Z630*IF(INDEX(AllCollegeGR, MATCH(N630,AllCollegeNCES,0))&gt;0.7,(1-INDEX(AllCollegeGR, MATCH(N630,AllCollegeNCES,0)))/2,0.15),2),INDEX(AllCollegeGR, MATCH(N630,AllCollegeNCES,0)))</f>
        <v>0</v>
      </c>
      <c r="AB630">
        <f>IF(ISNUMBER(INDEX(AllCollegeAAHGR, MATCH(N630,AllCollegeNCES,0))),ROUND(INDEX(AllCollegeAAHGR, MATCH(N630,AllCollegeNCES,0))+Z630*IF(INDEX(AllCollegeAAHGR, MATCH(N630,AllCollegeNCES,0))&gt;0.7,(1-INDEX(AllCollegeAAHGR, MATCH(N630,AllCollegeNCES,0)))/2,0.15),2),INDEX(AllCollegeAAHGR, MATCH(N630,AllCollegeNCES,0)))</f>
        <v>0</v>
      </c>
      <c r="AC630">
        <f>IF(OR(W630="H",W630="B"),INDEX(AllCollegeSAT25, MATCH(N630,AllCollegeNCES,0)),INDEX(AllCollegeSAT50, MATCH(N630,AllCollegeNCES,0)))</f>
        <v>0</v>
      </c>
      <c r="AD630">
        <f>INDEX(CustomWeightsGPA,MATCH(W630&amp;":"&amp;N630,CustomWeightsIndex,0))</f>
        <v>0</v>
      </c>
      <c r="AE630">
        <f>INDEX(CustomWeightsSAT,MATCH(W630&amp;":"&amp;N630,CustomWeightsIndex,0))</f>
        <v>0</v>
      </c>
      <c r="AF630">
        <f>INDEX(CustomWeightsIntercept,MATCH(W630&amp;":"&amp;N630,CustomWeightsIndex,0))</f>
        <v>0</v>
      </c>
      <c r="AG630">
        <f>AD630*S630+AE630*T630+AF630</f>
        <v>0</v>
      </c>
      <c r="AH630">
        <f>INDEX(CoefficientsGPA,MATCH(W630&amp;":"&amp;R630,CoefficientsIndex,0))</f>
        <v>0</v>
      </c>
      <c r="AI630">
        <f>INDEX(CoefficientsSAT,MATCH(W630&amp;":"&amp;R630,CoefficientsIndex,0))</f>
        <v>0</v>
      </c>
      <c r="AJ630">
        <f>INDEX(CoefficientsIntercept,MATCH(W630&amp;":"&amp;R630,CoefficientsIndex,0))</f>
        <v>0</v>
      </c>
      <c r="AK630">
        <f>AH630*S630+(T630-AC630)*AI630+AJ630</f>
        <v>0</v>
      </c>
      <c r="AL630">
        <f>IF(ISNUMBER(AG630),AG630,AK630)</f>
        <v>0</v>
      </c>
      <c r="AM630">
        <f>IF(ISNUMBER(AL630),IF(ISNUMBER(AH630),IF(AND(AH630=1,AI630=1,AJ630=1),100,MIN(99,ROUND(100*EXP(AL630)/(1+EXP(AL630)),2))),MIN(99,ROUND(100*EXP(AL630)/(1+EXP(AL630)),2))),IF(ISTEXT(R630),IF(LEFT(R630,1)="2",100,"N/A"),"N/A"))</f>
        <v>0</v>
      </c>
      <c r="AN630">
        <f>IF(ISNUMBER(AM630),IF(AM630&gt;=99,IF(OR(U630=10,U630=11),MatchLabel,SureThingLabel),IF(AM630&gt;=95,SecureLabel,IF(AM630&gt;=80,SafetyLabel,IF(AM630&gt;=50,MatchLabel,IF(AM630&gt;=20,ReachLabel,IF(AM630&gt;=10,LongshotLabel,HailMaryLabel)))))),"Other")</f>
        <v>0</v>
      </c>
      <c r="AO630">
        <f>IF(OR(I630="accepted",I630="cond. accept",I630="summer admit"),IF(J630="yes","CHOICE!","Accepted!"),IF(I630="guar. transfer","Guar. Xfer",IF(I630="denied","Denied",IF(K630=1,"Waitlist",IF(L630=1,"Deferred",IF(G630="pending","Pending",IF(OR(G630="initial materials submitted",G630="mid-year submitted",G630="final submitted"),"Submitted",IF(H630="interest","Interest","?"))))))))</f>
        <v>0</v>
      </c>
      <c r="AP630">
        <f>IF(OR(AN630=ReachLabel,AN630=LongshotLabel,AN630=HailMaryLabel),1,0)</f>
        <v>0</v>
      </c>
      <c r="AQ630">
        <f>IF(OR(AP630=1,AN630=MatchLabel),1,0)</f>
        <v>0</v>
      </c>
      <c r="AR630">
        <f>IF(OR(AN630=MatchLabel,AN630=SafetyLabel,AN630=SecureLabel,AN630=SureThingLabel),1,0)</f>
        <v>0</v>
      </c>
      <c r="AS630">
        <f>IF(OR(W630="H",W630="B",W630="I",W630="M"),IF(ISNUMBER(AB630),ROUND(AB630,2),0),IF(ISNUMBER(AA630),ROUND(AA630,2),0))</f>
        <v>0</v>
      </c>
      <c r="AT630">
        <f>IF(AS630&gt;=X630,1,0)</f>
        <v>0</v>
      </c>
      <c r="AU630">
        <f>IF(AS630&gt;=Y630,1,0)</f>
        <v>0</v>
      </c>
      <c r="AV630">
        <f>IF(AS630&lt;(X630-0.10),1,0)</f>
        <v>0</v>
      </c>
      <c r="AW630">
        <f>1-AM630/100</f>
        <v>0</v>
      </c>
      <c r="AX630">
        <f>IF(AQ630=1,AW630,1)</f>
        <v>0</v>
      </c>
      <c r="AY630">
        <f>IF(AP630=1,AW630,1)</f>
        <v>0</v>
      </c>
      <c r="AZ630">
        <f>IF(AND(AT630=1,ISNUMBER(AW630)),$AW630,1)</f>
        <v>0</v>
      </c>
      <c r="BA630">
        <f>IF(AND(AU630=1,ISNUMBER(AW630)),$AW630,1)</f>
        <v>0</v>
      </c>
      <c r="BB630">
        <f>IF(ISNUMBER(AB630),INDEX(AllCollegeMoney, MATCH(N630,AllCollegeNCES,0)),0)</f>
        <v>0</v>
      </c>
      <c r="BC630">
        <f>IF(AND(AT630=1,ISNUMBER(AW630),BB630=1),$AW630,1)</f>
        <v>0</v>
      </c>
      <c r="BD630">
        <f>IF(AND(AU630=1,ISNUMBER(AW630),BB630=1),$AW630,1)</f>
        <v>0</v>
      </c>
      <c r="BE630">
        <f>IF(ISNUMBER(AB630),INDEX(AllCollegeILPub, MATCH(N630,AllCollegeNCES,0)),0)</f>
        <v>0</v>
      </c>
      <c r="BF630">
        <f>IF(AN630=ReachLabel,AS630,0)</f>
        <v>0</v>
      </c>
      <c r="BG630">
        <f>IF(AN630=MatchLabel,AS630,0)</f>
        <v>0</v>
      </c>
      <c r="BH630">
        <f>IF(AN630=SafetyLabel,AS630,0)</f>
        <v>0</v>
      </c>
      <c r="BI630">
        <f>IF(AN630=SecureLabel,AS630,0)</f>
        <v>0</v>
      </c>
      <c r="BJ630">
        <f>IF(AN630=SureThingLabel,AS630,0)</f>
        <v>0</v>
      </c>
      <c r="BK630">
        <f>MAX(BF630:BJ630)</f>
        <v>0</v>
      </c>
      <c r="BL630">
        <f>MAX(BG630:BJ630)</f>
        <v>0</v>
      </c>
      <c r="BM630">
        <f>MAX(BH630:BJ630)</f>
        <v>0</v>
      </c>
      <c r="BN630">
        <f>IF(AND(AN630=ReachLabel,BB630=1),AS630,0)</f>
        <v>0</v>
      </c>
      <c r="BO630">
        <f>IF(AND(AN630=MatchLabel,BB630=1),AS630,0)</f>
        <v>0</v>
      </c>
      <c r="BP630">
        <f>IF(AND(AN630=SafetyLabel,BB630=1),AS630,0)</f>
        <v>0</v>
      </c>
      <c r="BQ630">
        <f>IF(AND(AN630=SecureLabel,BB630=1),AS630,0)</f>
        <v>0</v>
      </c>
      <c r="BR630">
        <f>IF(AND(AN630=SureThingLabel,BB630=1),AS630,0)</f>
        <v>0</v>
      </c>
      <c r="BS630">
        <f>MAX(BN630:BR630)</f>
        <v>0</v>
      </c>
      <c r="BT630">
        <f>MAX(BO630:BR630)</f>
        <v>0</v>
      </c>
      <c r="BU630">
        <f>MAX(BP630:BR630)</f>
        <v>0</v>
      </c>
      <c r="BV630">
        <f>IF(ISNUMBER(AB630),INDEX(AllCollegeChicago, MATCH(N630,AllCollegeNCES,0))*BB630,0)</f>
        <v>0</v>
      </c>
      <c r="BW630">
        <f>IF(ISNUMBER(AB630),INDEX(AllCollegeMoneyCode, MATCH(N630,AllCollegeNCES,0)),"?")</f>
        <v>0</v>
      </c>
      <c r="BX630">
        <f>IF(OR(BW630="---",BW630="--",BW630="+/--",BW630="+/---"),1,0)</f>
        <v>0</v>
      </c>
      <c r="BY630">
        <f>BB630*AR630*AT630</f>
        <v>0</v>
      </c>
    </row>
    <row r="631" spans="1:77">
      <c r="A631" t="s">
        <v>96</v>
      </c>
      <c r="B631">
        <v>24136022</v>
      </c>
      <c r="C631" t="s">
        <v>224</v>
      </c>
      <c r="D631" t="s">
        <v>225</v>
      </c>
      <c r="E631" t="s">
        <v>446</v>
      </c>
      <c r="F631" t="s">
        <v>456</v>
      </c>
      <c r="G631" t="s">
        <v>448</v>
      </c>
      <c r="H631" t="s">
        <v>449</v>
      </c>
      <c r="I631" t="s">
        <v>450</v>
      </c>
      <c r="J631" t="s">
        <v>450</v>
      </c>
      <c r="K631">
        <v>0</v>
      </c>
      <c r="L631" t="s">
        <v>446</v>
      </c>
      <c r="M631" t="s">
        <v>446</v>
      </c>
      <c r="N631">
        <v>149772</v>
      </c>
      <c r="O631">
        <f>INDEX(Counselor,MATCH(B631,KidIDs,0))</f>
        <v>0</v>
      </c>
      <c r="P631">
        <f>INDEX(Advisors,MATCH(B631,KidIDs,0))</f>
        <v>0</v>
      </c>
      <c r="Q631">
        <f>INDEX(Cohort,MATCH(B631,KidIDs,0))</f>
        <v>0</v>
      </c>
      <c r="R631">
        <f>INDEX(AllCollegeBarrons,MATCH(N631,AllCollegeNCES,0))</f>
        <v>0</v>
      </c>
      <c r="S631">
        <f>INDEX(KidGPAs,MATCH(B631,KidIDs,0))</f>
        <v>0</v>
      </c>
      <c r="T631">
        <f>INDEX(KidSATs,MATCH(B631,KidIDs,0))</f>
        <v>0</v>
      </c>
      <c r="U631">
        <f>INDEX(Strats,MATCH(B631,KidIDs,0))</f>
        <v>0</v>
      </c>
      <c r="V631">
        <f>INDEX(KidRace,MATCH(B631,KidIDs,0))</f>
        <v>0</v>
      </c>
      <c r="W631">
        <f>IF(OR(V631="M",V631="I"),"H",IF(V631="P","A",V631))</f>
        <v>0</v>
      </c>
      <c r="X631">
        <f>INDEX(StudentTargets,MATCH(B631,KidIDs,0))</f>
        <v>0</v>
      </c>
      <c r="Y631">
        <f>INDEX(ReachStudentTargets,MATCH(B631,KidIDs,0))</f>
        <v>0</v>
      </c>
      <c r="Z631">
        <f>IF(OR(M631="Posse"),1,0)</f>
        <v>0</v>
      </c>
      <c r="AA631">
        <f>IF(ISNUMBER(INDEX(AllCollegeGR, MATCH(N631,AllCollegeNCES,0))),ROUND(INDEX(AllCollegeGR, MATCH(N631,AllCollegeNCES,0))+Z631*IF(INDEX(AllCollegeGR, MATCH(N631,AllCollegeNCES,0))&gt;0.7,(1-INDEX(AllCollegeGR, MATCH(N631,AllCollegeNCES,0)))/2,0.15),2),INDEX(AllCollegeGR, MATCH(N631,AllCollegeNCES,0)))</f>
        <v>0</v>
      </c>
      <c r="AB631">
        <f>IF(ISNUMBER(INDEX(AllCollegeAAHGR, MATCH(N631,AllCollegeNCES,0))),ROUND(INDEX(AllCollegeAAHGR, MATCH(N631,AllCollegeNCES,0))+Z631*IF(INDEX(AllCollegeAAHGR, MATCH(N631,AllCollegeNCES,0))&gt;0.7,(1-INDEX(AllCollegeAAHGR, MATCH(N631,AllCollegeNCES,0)))/2,0.15),2),INDEX(AllCollegeAAHGR, MATCH(N631,AllCollegeNCES,0)))</f>
        <v>0</v>
      </c>
      <c r="AC631">
        <f>IF(OR(W631="H",W631="B"),INDEX(AllCollegeSAT25, MATCH(N631,AllCollegeNCES,0)),INDEX(AllCollegeSAT50, MATCH(N631,AllCollegeNCES,0)))</f>
        <v>0</v>
      </c>
      <c r="AD631">
        <f>INDEX(CustomWeightsGPA,MATCH(W631&amp;":"&amp;N631,CustomWeightsIndex,0))</f>
        <v>0</v>
      </c>
      <c r="AE631">
        <f>INDEX(CustomWeightsSAT,MATCH(W631&amp;":"&amp;N631,CustomWeightsIndex,0))</f>
        <v>0</v>
      </c>
      <c r="AF631">
        <f>INDEX(CustomWeightsIntercept,MATCH(W631&amp;":"&amp;N631,CustomWeightsIndex,0))</f>
        <v>0</v>
      </c>
      <c r="AG631">
        <f>AD631*S631+AE631*T631+AF631</f>
        <v>0</v>
      </c>
      <c r="AH631">
        <f>INDEX(CoefficientsGPA,MATCH(W631&amp;":"&amp;R631,CoefficientsIndex,0))</f>
        <v>0</v>
      </c>
      <c r="AI631">
        <f>INDEX(CoefficientsSAT,MATCH(W631&amp;":"&amp;R631,CoefficientsIndex,0))</f>
        <v>0</v>
      </c>
      <c r="AJ631">
        <f>INDEX(CoefficientsIntercept,MATCH(W631&amp;":"&amp;R631,CoefficientsIndex,0))</f>
        <v>0</v>
      </c>
      <c r="AK631">
        <f>AH631*S631+(T631-AC631)*AI631+AJ631</f>
        <v>0</v>
      </c>
      <c r="AL631">
        <f>IF(ISNUMBER(AG631),AG631,AK631)</f>
        <v>0</v>
      </c>
      <c r="AM631">
        <f>IF(ISNUMBER(AL631),IF(ISNUMBER(AH631),IF(AND(AH631=1,AI631=1,AJ631=1),100,MIN(99,ROUND(100*EXP(AL631)/(1+EXP(AL631)),2))),MIN(99,ROUND(100*EXP(AL631)/(1+EXP(AL631)),2))),IF(ISTEXT(R631),IF(LEFT(R631,1)="2",100,"N/A"),"N/A"))</f>
        <v>0</v>
      </c>
      <c r="AN631">
        <f>IF(ISNUMBER(AM631),IF(AM631&gt;=99,IF(OR(U631=10,U631=11),MatchLabel,SureThingLabel),IF(AM631&gt;=95,SecureLabel,IF(AM631&gt;=80,SafetyLabel,IF(AM631&gt;=50,MatchLabel,IF(AM631&gt;=20,ReachLabel,IF(AM631&gt;=10,LongshotLabel,HailMaryLabel)))))),"Other")</f>
        <v>0</v>
      </c>
      <c r="AO631">
        <f>IF(OR(I631="accepted",I631="cond. accept",I631="summer admit"),IF(J631="yes","CHOICE!","Accepted!"),IF(I631="guar. transfer","Guar. Xfer",IF(I631="denied","Denied",IF(K631=1,"Waitlist",IF(L631=1,"Deferred",IF(G631="pending","Pending",IF(OR(G631="initial materials submitted",G631="mid-year submitted",G631="final submitted"),"Submitted",IF(H631="interest","Interest","?"))))))))</f>
        <v>0</v>
      </c>
      <c r="AP631">
        <f>IF(OR(AN631=ReachLabel,AN631=LongshotLabel,AN631=HailMaryLabel),1,0)</f>
        <v>0</v>
      </c>
      <c r="AQ631">
        <f>IF(OR(AP631=1,AN631=MatchLabel),1,0)</f>
        <v>0</v>
      </c>
      <c r="AR631">
        <f>IF(OR(AN631=MatchLabel,AN631=SafetyLabel,AN631=SecureLabel,AN631=SureThingLabel),1,0)</f>
        <v>0</v>
      </c>
      <c r="AS631">
        <f>IF(OR(W631="H",W631="B",W631="I",W631="M"),IF(ISNUMBER(AB631),ROUND(AB631,2),0),IF(ISNUMBER(AA631),ROUND(AA631,2),0))</f>
        <v>0</v>
      </c>
      <c r="AT631">
        <f>IF(AS631&gt;=X631,1,0)</f>
        <v>0</v>
      </c>
      <c r="AU631">
        <f>IF(AS631&gt;=Y631,1,0)</f>
        <v>0</v>
      </c>
      <c r="AV631">
        <f>IF(AS631&lt;(X631-0.10),1,0)</f>
        <v>0</v>
      </c>
      <c r="AW631">
        <f>1-AM631/100</f>
        <v>0</v>
      </c>
      <c r="AX631">
        <f>IF(AQ631=1,AW631,1)</f>
        <v>0</v>
      </c>
      <c r="AY631">
        <f>IF(AP631=1,AW631,1)</f>
        <v>0</v>
      </c>
      <c r="AZ631">
        <f>IF(AND(AT631=1,ISNUMBER(AW631)),$AW631,1)</f>
        <v>0</v>
      </c>
      <c r="BA631">
        <f>IF(AND(AU631=1,ISNUMBER(AW631)),$AW631,1)</f>
        <v>0</v>
      </c>
      <c r="BB631">
        <f>IF(ISNUMBER(AB631),INDEX(AllCollegeMoney, MATCH(N631,AllCollegeNCES,0)),0)</f>
        <v>0</v>
      </c>
      <c r="BC631">
        <f>IF(AND(AT631=1,ISNUMBER(AW631),BB631=1),$AW631,1)</f>
        <v>0</v>
      </c>
      <c r="BD631">
        <f>IF(AND(AU631=1,ISNUMBER(AW631),BB631=1),$AW631,1)</f>
        <v>0</v>
      </c>
      <c r="BE631">
        <f>IF(ISNUMBER(AB631),INDEX(AllCollegeILPub, MATCH(N631,AllCollegeNCES,0)),0)</f>
        <v>0</v>
      </c>
      <c r="BF631">
        <f>IF(AN631=ReachLabel,AS631,0)</f>
        <v>0</v>
      </c>
      <c r="BG631">
        <f>IF(AN631=MatchLabel,AS631,0)</f>
        <v>0</v>
      </c>
      <c r="BH631">
        <f>IF(AN631=SafetyLabel,AS631,0)</f>
        <v>0</v>
      </c>
      <c r="BI631">
        <f>IF(AN631=SecureLabel,AS631,0)</f>
        <v>0</v>
      </c>
      <c r="BJ631">
        <f>IF(AN631=SureThingLabel,AS631,0)</f>
        <v>0</v>
      </c>
      <c r="BK631">
        <f>MAX(BF631:BJ631)</f>
        <v>0</v>
      </c>
      <c r="BL631">
        <f>MAX(BG631:BJ631)</f>
        <v>0</v>
      </c>
      <c r="BM631">
        <f>MAX(BH631:BJ631)</f>
        <v>0</v>
      </c>
      <c r="BN631">
        <f>IF(AND(AN631=ReachLabel,BB631=1),AS631,0)</f>
        <v>0</v>
      </c>
      <c r="BO631">
        <f>IF(AND(AN631=MatchLabel,BB631=1),AS631,0)</f>
        <v>0</v>
      </c>
      <c r="BP631">
        <f>IF(AND(AN631=SafetyLabel,BB631=1),AS631,0)</f>
        <v>0</v>
      </c>
      <c r="BQ631">
        <f>IF(AND(AN631=SecureLabel,BB631=1),AS631,0)</f>
        <v>0</v>
      </c>
      <c r="BR631">
        <f>IF(AND(AN631=SureThingLabel,BB631=1),AS631,0)</f>
        <v>0</v>
      </c>
      <c r="BS631">
        <f>MAX(BN631:BR631)</f>
        <v>0</v>
      </c>
      <c r="BT631">
        <f>MAX(BO631:BR631)</f>
        <v>0</v>
      </c>
      <c r="BU631">
        <f>MAX(BP631:BR631)</f>
        <v>0</v>
      </c>
      <c r="BV631">
        <f>IF(ISNUMBER(AB631),INDEX(AllCollegeChicago, MATCH(N631,AllCollegeNCES,0))*BB631,0)</f>
        <v>0</v>
      </c>
      <c r="BW631">
        <f>IF(ISNUMBER(AB631),INDEX(AllCollegeMoneyCode, MATCH(N631,AllCollegeNCES,0)),"?")</f>
        <v>0</v>
      </c>
      <c r="BX631">
        <f>IF(OR(BW631="---",BW631="--",BW631="+/--",BW631="+/---"),1,0)</f>
        <v>0</v>
      </c>
      <c r="BY631">
        <f>BB631*AR631*AT631</f>
        <v>0</v>
      </c>
    </row>
    <row r="632" spans="1:77">
      <c r="A632" t="s">
        <v>96</v>
      </c>
      <c r="B632">
        <v>24136022</v>
      </c>
      <c r="C632" t="s">
        <v>224</v>
      </c>
      <c r="D632" t="s">
        <v>225</v>
      </c>
      <c r="E632" t="s">
        <v>446</v>
      </c>
      <c r="F632" t="s">
        <v>458</v>
      </c>
      <c r="G632" t="s">
        <v>448</v>
      </c>
      <c r="H632" t="s">
        <v>449</v>
      </c>
      <c r="I632" t="s">
        <v>450</v>
      </c>
      <c r="J632" t="s">
        <v>450</v>
      </c>
      <c r="K632">
        <v>0</v>
      </c>
      <c r="L632" t="s">
        <v>446</v>
      </c>
      <c r="M632" t="s">
        <v>446</v>
      </c>
      <c r="N632">
        <v>144892</v>
      </c>
      <c r="O632">
        <f>INDEX(Counselor,MATCH(B632,KidIDs,0))</f>
        <v>0</v>
      </c>
      <c r="P632">
        <f>INDEX(Advisors,MATCH(B632,KidIDs,0))</f>
        <v>0</v>
      </c>
      <c r="Q632">
        <f>INDEX(Cohort,MATCH(B632,KidIDs,0))</f>
        <v>0</v>
      </c>
      <c r="R632">
        <f>INDEX(AllCollegeBarrons,MATCH(N632,AllCollegeNCES,0))</f>
        <v>0</v>
      </c>
      <c r="S632">
        <f>INDEX(KidGPAs,MATCH(B632,KidIDs,0))</f>
        <v>0</v>
      </c>
      <c r="T632">
        <f>INDEX(KidSATs,MATCH(B632,KidIDs,0))</f>
        <v>0</v>
      </c>
      <c r="U632">
        <f>INDEX(Strats,MATCH(B632,KidIDs,0))</f>
        <v>0</v>
      </c>
      <c r="V632">
        <f>INDEX(KidRace,MATCH(B632,KidIDs,0))</f>
        <v>0</v>
      </c>
      <c r="W632">
        <f>IF(OR(V632="M",V632="I"),"H",IF(V632="P","A",V632))</f>
        <v>0</v>
      </c>
      <c r="X632">
        <f>INDEX(StudentTargets,MATCH(B632,KidIDs,0))</f>
        <v>0</v>
      </c>
      <c r="Y632">
        <f>INDEX(ReachStudentTargets,MATCH(B632,KidIDs,0))</f>
        <v>0</v>
      </c>
      <c r="Z632">
        <f>IF(OR(M632="Posse"),1,0)</f>
        <v>0</v>
      </c>
      <c r="AA632">
        <f>IF(ISNUMBER(INDEX(AllCollegeGR, MATCH(N632,AllCollegeNCES,0))),ROUND(INDEX(AllCollegeGR, MATCH(N632,AllCollegeNCES,0))+Z632*IF(INDEX(AllCollegeGR, MATCH(N632,AllCollegeNCES,0))&gt;0.7,(1-INDEX(AllCollegeGR, MATCH(N632,AllCollegeNCES,0)))/2,0.15),2),INDEX(AllCollegeGR, MATCH(N632,AllCollegeNCES,0)))</f>
        <v>0</v>
      </c>
      <c r="AB632">
        <f>IF(ISNUMBER(INDEX(AllCollegeAAHGR, MATCH(N632,AllCollegeNCES,0))),ROUND(INDEX(AllCollegeAAHGR, MATCH(N632,AllCollegeNCES,0))+Z632*IF(INDEX(AllCollegeAAHGR, MATCH(N632,AllCollegeNCES,0))&gt;0.7,(1-INDEX(AllCollegeAAHGR, MATCH(N632,AllCollegeNCES,0)))/2,0.15),2),INDEX(AllCollegeAAHGR, MATCH(N632,AllCollegeNCES,0)))</f>
        <v>0</v>
      </c>
      <c r="AC632">
        <f>IF(OR(W632="H",W632="B"),INDEX(AllCollegeSAT25, MATCH(N632,AllCollegeNCES,0)),INDEX(AllCollegeSAT50, MATCH(N632,AllCollegeNCES,0)))</f>
        <v>0</v>
      </c>
      <c r="AD632">
        <f>INDEX(CustomWeightsGPA,MATCH(W632&amp;":"&amp;N632,CustomWeightsIndex,0))</f>
        <v>0</v>
      </c>
      <c r="AE632">
        <f>INDEX(CustomWeightsSAT,MATCH(W632&amp;":"&amp;N632,CustomWeightsIndex,0))</f>
        <v>0</v>
      </c>
      <c r="AF632">
        <f>INDEX(CustomWeightsIntercept,MATCH(W632&amp;":"&amp;N632,CustomWeightsIndex,0))</f>
        <v>0</v>
      </c>
      <c r="AG632">
        <f>AD632*S632+AE632*T632+AF632</f>
        <v>0</v>
      </c>
      <c r="AH632">
        <f>INDEX(CoefficientsGPA,MATCH(W632&amp;":"&amp;R632,CoefficientsIndex,0))</f>
        <v>0</v>
      </c>
      <c r="AI632">
        <f>INDEX(CoefficientsSAT,MATCH(W632&amp;":"&amp;R632,CoefficientsIndex,0))</f>
        <v>0</v>
      </c>
      <c r="AJ632">
        <f>INDEX(CoefficientsIntercept,MATCH(W632&amp;":"&amp;R632,CoefficientsIndex,0))</f>
        <v>0</v>
      </c>
      <c r="AK632">
        <f>AH632*S632+(T632-AC632)*AI632+AJ632</f>
        <v>0</v>
      </c>
      <c r="AL632">
        <f>IF(ISNUMBER(AG632),AG632,AK632)</f>
        <v>0</v>
      </c>
      <c r="AM632">
        <f>IF(ISNUMBER(AL632),IF(ISNUMBER(AH632),IF(AND(AH632=1,AI632=1,AJ632=1),100,MIN(99,ROUND(100*EXP(AL632)/(1+EXP(AL632)),2))),MIN(99,ROUND(100*EXP(AL632)/(1+EXP(AL632)),2))),IF(ISTEXT(R632),IF(LEFT(R632,1)="2",100,"N/A"),"N/A"))</f>
        <v>0</v>
      </c>
      <c r="AN632">
        <f>IF(ISNUMBER(AM632),IF(AM632&gt;=99,IF(OR(U632=10,U632=11),MatchLabel,SureThingLabel),IF(AM632&gt;=95,SecureLabel,IF(AM632&gt;=80,SafetyLabel,IF(AM632&gt;=50,MatchLabel,IF(AM632&gt;=20,ReachLabel,IF(AM632&gt;=10,LongshotLabel,HailMaryLabel)))))),"Other")</f>
        <v>0</v>
      </c>
      <c r="AO632">
        <f>IF(OR(I632="accepted",I632="cond. accept",I632="summer admit"),IF(J632="yes","CHOICE!","Accepted!"),IF(I632="guar. transfer","Guar. Xfer",IF(I632="denied","Denied",IF(K632=1,"Waitlist",IF(L632=1,"Deferred",IF(G632="pending","Pending",IF(OR(G632="initial materials submitted",G632="mid-year submitted",G632="final submitted"),"Submitted",IF(H632="interest","Interest","?"))))))))</f>
        <v>0</v>
      </c>
      <c r="AP632">
        <f>IF(OR(AN632=ReachLabel,AN632=LongshotLabel,AN632=HailMaryLabel),1,0)</f>
        <v>0</v>
      </c>
      <c r="AQ632">
        <f>IF(OR(AP632=1,AN632=MatchLabel),1,0)</f>
        <v>0</v>
      </c>
      <c r="AR632">
        <f>IF(OR(AN632=MatchLabel,AN632=SafetyLabel,AN632=SecureLabel,AN632=SureThingLabel),1,0)</f>
        <v>0</v>
      </c>
      <c r="AS632">
        <f>IF(OR(W632="H",W632="B",W632="I",W632="M"),IF(ISNUMBER(AB632),ROUND(AB632,2),0),IF(ISNUMBER(AA632),ROUND(AA632,2),0))</f>
        <v>0</v>
      </c>
      <c r="AT632">
        <f>IF(AS632&gt;=X632,1,0)</f>
        <v>0</v>
      </c>
      <c r="AU632">
        <f>IF(AS632&gt;=Y632,1,0)</f>
        <v>0</v>
      </c>
      <c r="AV632">
        <f>IF(AS632&lt;(X632-0.10),1,0)</f>
        <v>0</v>
      </c>
      <c r="AW632">
        <f>1-AM632/100</f>
        <v>0</v>
      </c>
      <c r="AX632">
        <f>IF(AQ632=1,AW632,1)</f>
        <v>0</v>
      </c>
      <c r="AY632">
        <f>IF(AP632=1,AW632,1)</f>
        <v>0</v>
      </c>
      <c r="AZ632">
        <f>IF(AND(AT632=1,ISNUMBER(AW632)),$AW632,1)</f>
        <v>0</v>
      </c>
      <c r="BA632">
        <f>IF(AND(AU632=1,ISNUMBER(AW632)),$AW632,1)</f>
        <v>0</v>
      </c>
      <c r="BB632">
        <f>IF(ISNUMBER(AB632),INDEX(AllCollegeMoney, MATCH(N632,AllCollegeNCES,0)),0)</f>
        <v>0</v>
      </c>
      <c r="BC632">
        <f>IF(AND(AT632=1,ISNUMBER(AW632),BB632=1),$AW632,1)</f>
        <v>0</v>
      </c>
      <c r="BD632">
        <f>IF(AND(AU632=1,ISNUMBER(AW632),BB632=1),$AW632,1)</f>
        <v>0</v>
      </c>
      <c r="BE632">
        <f>IF(ISNUMBER(AB632),INDEX(AllCollegeILPub, MATCH(N632,AllCollegeNCES,0)),0)</f>
        <v>0</v>
      </c>
      <c r="BF632">
        <f>IF(AN632=ReachLabel,AS632,0)</f>
        <v>0</v>
      </c>
      <c r="BG632">
        <f>IF(AN632=MatchLabel,AS632,0)</f>
        <v>0</v>
      </c>
      <c r="BH632">
        <f>IF(AN632=SafetyLabel,AS632,0)</f>
        <v>0</v>
      </c>
      <c r="BI632">
        <f>IF(AN632=SecureLabel,AS632,0)</f>
        <v>0</v>
      </c>
      <c r="BJ632">
        <f>IF(AN632=SureThingLabel,AS632,0)</f>
        <v>0</v>
      </c>
      <c r="BK632">
        <f>MAX(BF632:BJ632)</f>
        <v>0</v>
      </c>
      <c r="BL632">
        <f>MAX(BG632:BJ632)</f>
        <v>0</v>
      </c>
      <c r="BM632">
        <f>MAX(BH632:BJ632)</f>
        <v>0</v>
      </c>
      <c r="BN632">
        <f>IF(AND(AN632=ReachLabel,BB632=1),AS632,0)</f>
        <v>0</v>
      </c>
      <c r="BO632">
        <f>IF(AND(AN632=MatchLabel,BB632=1),AS632,0)</f>
        <v>0</v>
      </c>
      <c r="BP632">
        <f>IF(AND(AN632=SafetyLabel,BB632=1),AS632,0)</f>
        <v>0</v>
      </c>
      <c r="BQ632">
        <f>IF(AND(AN632=SecureLabel,BB632=1),AS632,0)</f>
        <v>0</v>
      </c>
      <c r="BR632">
        <f>IF(AND(AN632=SureThingLabel,BB632=1),AS632,0)</f>
        <v>0</v>
      </c>
      <c r="BS632">
        <f>MAX(BN632:BR632)</f>
        <v>0</v>
      </c>
      <c r="BT632">
        <f>MAX(BO632:BR632)</f>
        <v>0</v>
      </c>
      <c r="BU632">
        <f>MAX(BP632:BR632)</f>
        <v>0</v>
      </c>
      <c r="BV632">
        <f>IF(ISNUMBER(AB632),INDEX(AllCollegeChicago, MATCH(N632,AllCollegeNCES,0))*BB632,0)</f>
        <v>0</v>
      </c>
      <c r="BW632">
        <f>IF(ISNUMBER(AB632),INDEX(AllCollegeMoneyCode, MATCH(N632,AllCollegeNCES,0)),"?")</f>
        <v>0</v>
      </c>
      <c r="BX632">
        <f>IF(OR(BW632="---",BW632="--",BW632="+/--",BW632="+/---"),1,0)</f>
        <v>0</v>
      </c>
      <c r="BY632">
        <f>BB632*AR632*AT632</f>
        <v>0</v>
      </c>
    </row>
    <row r="633" spans="1:77">
      <c r="A633" t="s">
        <v>96</v>
      </c>
      <c r="B633">
        <v>24136022</v>
      </c>
      <c r="C633" t="s">
        <v>224</v>
      </c>
      <c r="D633" t="s">
        <v>225</v>
      </c>
      <c r="E633" t="s">
        <v>446</v>
      </c>
      <c r="F633" t="s">
        <v>460</v>
      </c>
      <c r="G633" t="s">
        <v>448</v>
      </c>
      <c r="H633" t="s">
        <v>449</v>
      </c>
      <c r="I633" t="s">
        <v>450</v>
      </c>
      <c r="J633" t="s">
        <v>450</v>
      </c>
      <c r="K633">
        <v>0</v>
      </c>
      <c r="L633" t="s">
        <v>446</v>
      </c>
      <c r="M633" t="s">
        <v>446</v>
      </c>
      <c r="N633">
        <v>144209</v>
      </c>
      <c r="O633">
        <f>INDEX(Counselor,MATCH(B633,KidIDs,0))</f>
        <v>0</v>
      </c>
      <c r="P633">
        <f>INDEX(Advisors,MATCH(B633,KidIDs,0))</f>
        <v>0</v>
      </c>
      <c r="Q633">
        <f>INDEX(Cohort,MATCH(B633,KidIDs,0))</f>
        <v>0</v>
      </c>
      <c r="R633">
        <f>INDEX(AllCollegeBarrons,MATCH(N633,AllCollegeNCES,0))</f>
        <v>0</v>
      </c>
      <c r="S633">
        <f>INDEX(KidGPAs,MATCH(B633,KidIDs,0))</f>
        <v>0</v>
      </c>
      <c r="T633">
        <f>INDEX(KidSATs,MATCH(B633,KidIDs,0))</f>
        <v>0</v>
      </c>
      <c r="U633">
        <f>INDEX(Strats,MATCH(B633,KidIDs,0))</f>
        <v>0</v>
      </c>
      <c r="V633">
        <f>INDEX(KidRace,MATCH(B633,KidIDs,0))</f>
        <v>0</v>
      </c>
      <c r="W633">
        <f>IF(OR(V633="M",V633="I"),"H",IF(V633="P","A",V633))</f>
        <v>0</v>
      </c>
      <c r="X633">
        <f>INDEX(StudentTargets,MATCH(B633,KidIDs,0))</f>
        <v>0</v>
      </c>
      <c r="Y633">
        <f>INDEX(ReachStudentTargets,MATCH(B633,KidIDs,0))</f>
        <v>0</v>
      </c>
      <c r="Z633">
        <f>IF(OR(M633="Posse"),1,0)</f>
        <v>0</v>
      </c>
      <c r="AA633">
        <f>IF(ISNUMBER(INDEX(AllCollegeGR, MATCH(N633,AllCollegeNCES,0))),ROUND(INDEX(AllCollegeGR, MATCH(N633,AllCollegeNCES,0))+Z633*IF(INDEX(AllCollegeGR, MATCH(N633,AllCollegeNCES,0))&gt;0.7,(1-INDEX(AllCollegeGR, MATCH(N633,AllCollegeNCES,0)))/2,0.15),2),INDEX(AllCollegeGR, MATCH(N633,AllCollegeNCES,0)))</f>
        <v>0</v>
      </c>
      <c r="AB633">
        <f>IF(ISNUMBER(INDEX(AllCollegeAAHGR, MATCH(N633,AllCollegeNCES,0))),ROUND(INDEX(AllCollegeAAHGR, MATCH(N633,AllCollegeNCES,0))+Z633*IF(INDEX(AllCollegeAAHGR, MATCH(N633,AllCollegeNCES,0))&gt;0.7,(1-INDEX(AllCollegeAAHGR, MATCH(N633,AllCollegeNCES,0)))/2,0.15),2),INDEX(AllCollegeAAHGR, MATCH(N633,AllCollegeNCES,0)))</f>
        <v>0</v>
      </c>
      <c r="AC633">
        <f>IF(OR(W633="H",W633="B"),INDEX(AllCollegeSAT25, MATCH(N633,AllCollegeNCES,0)),INDEX(AllCollegeSAT50, MATCH(N633,AllCollegeNCES,0)))</f>
        <v>0</v>
      </c>
      <c r="AD633">
        <f>INDEX(CustomWeightsGPA,MATCH(W633&amp;":"&amp;N633,CustomWeightsIndex,0))</f>
        <v>0</v>
      </c>
      <c r="AE633">
        <f>INDEX(CustomWeightsSAT,MATCH(W633&amp;":"&amp;N633,CustomWeightsIndex,0))</f>
        <v>0</v>
      </c>
      <c r="AF633">
        <f>INDEX(CustomWeightsIntercept,MATCH(W633&amp;":"&amp;N633,CustomWeightsIndex,0))</f>
        <v>0</v>
      </c>
      <c r="AG633">
        <f>AD633*S633+AE633*T633+AF633</f>
        <v>0</v>
      </c>
      <c r="AH633">
        <f>INDEX(CoefficientsGPA,MATCH(W633&amp;":"&amp;R633,CoefficientsIndex,0))</f>
        <v>0</v>
      </c>
      <c r="AI633">
        <f>INDEX(CoefficientsSAT,MATCH(W633&amp;":"&amp;R633,CoefficientsIndex,0))</f>
        <v>0</v>
      </c>
      <c r="AJ633">
        <f>INDEX(CoefficientsIntercept,MATCH(W633&amp;":"&amp;R633,CoefficientsIndex,0))</f>
        <v>0</v>
      </c>
      <c r="AK633">
        <f>AH633*S633+(T633-AC633)*AI633+AJ633</f>
        <v>0</v>
      </c>
      <c r="AL633">
        <f>IF(ISNUMBER(AG633),AG633,AK633)</f>
        <v>0</v>
      </c>
      <c r="AM633">
        <f>IF(ISNUMBER(AL633),IF(ISNUMBER(AH633),IF(AND(AH633=1,AI633=1,AJ633=1),100,MIN(99,ROUND(100*EXP(AL633)/(1+EXP(AL633)),2))),MIN(99,ROUND(100*EXP(AL633)/(1+EXP(AL633)),2))),IF(ISTEXT(R633),IF(LEFT(R633,1)="2",100,"N/A"),"N/A"))</f>
        <v>0</v>
      </c>
      <c r="AN633">
        <f>IF(ISNUMBER(AM633),IF(AM633&gt;=99,IF(OR(U633=10,U633=11),MatchLabel,SureThingLabel),IF(AM633&gt;=95,SecureLabel,IF(AM633&gt;=80,SafetyLabel,IF(AM633&gt;=50,MatchLabel,IF(AM633&gt;=20,ReachLabel,IF(AM633&gt;=10,LongshotLabel,HailMaryLabel)))))),"Other")</f>
        <v>0</v>
      </c>
      <c r="AO633">
        <f>IF(OR(I633="accepted",I633="cond. accept",I633="summer admit"),IF(J633="yes","CHOICE!","Accepted!"),IF(I633="guar. transfer","Guar. Xfer",IF(I633="denied","Denied",IF(K633=1,"Waitlist",IF(L633=1,"Deferred",IF(G633="pending","Pending",IF(OR(G633="initial materials submitted",G633="mid-year submitted",G633="final submitted"),"Submitted",IF(H633="interest","Interest","?"))))))))</f>
        <v>0</v>
      </c>
      <c r="AP633">
        <f>IF(OR(AN633=ReachLabel,AN633=LongshotLabel,AN633=HailMaryLabel),1,0)</f>
        <v>0</v>
      </c>
      <c r="AQ633">
        <f>IF(OR(AP633=1,AN633=MatchLabel),1,0)</f>
        <v>0</v>
      </c>
      <c r="AR633">
        <f>IF(OR(AN633=MatchLabel,AN633=SafetyLabel,AN633=SecureLabel,AN633=SureThingLabel),1,0)</f>
        <v>0</v>
      </c>
      <c r="AS633">
        <f>IF(OR(W633="H",W633="B",W633="I",W633="M"),IF(ISNUMBER(AB633),ROUND(AB633,2),0),IF(ISNUMBER(AA633),ROUND(AA633,2),0))</f>
        <v>0</v>
      </c>
      <c r="AT633">
        <f>IF(AS633&gt;=X633,1,0)</f>
        <v>0</v>
      </c>
      <c r="AU633">
        <f>IF(AS633&gt;=Y633,1,0)</f>
        <v>0</v>
      </c>
      <c r="AV633">
        <f>IF(AS633&lt;(X633-0.10),1,0)</f>
        <v>0</v>
      </c>
      <c r="AW633">
        <f>1-AM633/100</f>
        <v>0</v>
      </c>
      <c r="AX633">
        <f>IF(AQ633=1,AW633,1)</f>
        <v>0</v>
      </c>
      <c r="AY633">
        <f>IF(AP633=1,AW633,1)</f>
        <v>0</v>
      </c>
      <c r="AZ633">
        <f>IF(AND(AT633=1,ISNUMBER(AW633)),$AW633,1)</f>
        <v>0</v>
      </c>
      <c r="BA633">
        <f>IF(AND(AU633=1,ISNUMBER(AW633)),$AW633,1)</f>
        <v>0</v>
      </c>
      <c r="BB633">
        <f>IF(ISNUMBER(AB633),INDEX(AllCollegeMoney, MATCH(N633,AllCollegeNCES,0)),0)</f>
        <v>0</v>
      </c>
      <c r="BC633">
        <f>IF(AND(AT633=1,ISNUMBER(AW633),BB633=1),$AW633,1)</f>
        <v>0</v>
      </c>
      <c r="BD633">
        <f>IF(AND(AU633=1,ISNUMBER(AW633),BB633=1),$AW633,1)</f>
        <v>0</v>
      </c>
      <c r="BE633">
        <f>IF(ISNUMBER(AB633),INDEX(AllCollegeILPub, MATCH(N633,AllCollegeNCES,0)),0)</f>
        <v>0</v>
      </c>
      <c r="BF633">
        <f>IF(AN633=ReachLabel,AS633,0)</f>
        <v>0</v>
      </c>
      <c r="BG633">
        <f>IF(AN633=MatchLabel,AS633,0)</f>
        <v>0</v>
      </c>
      <c r="BH633">
        <f>IF(AN633=SafetyLabel,AS633,0)</f>
        <v>0</v>
      </c>
      <c r="BI633">
        <f>IF(AN633=SecureLabel,AS633,0)</f>
        <v>0</v>
      </c>
      <c r="BJ633">
        <f>IF(AN633=SureThingLabel,AS633,0)</f>
        <v>0</v>
      </c>
      <c r="BK633">
        <f>MAX(BF633:BJ633)</f>
        <v>0</v>
      </c>
      <c r="BL633">
        <f>MAX(BG633:BJ633)</f>
        <v>0</v>
      </c>
      <c r="BM633">
        <f>MAX(BH633:BJ633)</f>
        <v>0</v>
      </c>
      <c r="BN633">
        <f>IF(AND(AN633=ReachLabel,BB633=1),AS633,0)</f>
        <v>0</v>
      </c>
      <c r="BO633">
        <f>IF(AND(AN633=MatchLabel,BB633=1),AS633,0)</f>
        <v>0</v>
      </c>
      <c r="BP633">
        <f>IF(AND(AN633=SafetyLabel,BB633=1),AS633,0)</f>
        <v>0</v>
      </c>
      <c r="BQ633">
        <f>IF(AND(AN633=SecureLabel,BB633=1),AS633,0)</f>
        <v>0</v>
      </c>
      <c r="BR633">
        <f>IF(AND(AN633=SureThingLabel,BB633=1),AS633,0)</f>
        <v>0</v>
      </c>
      <c r="BS633">
        <f>MAX(BN633:BR633)</f>
        <v>0</v>
      </c>
      <c r="BT633">
        <f>MAX(BO633:BR633)</f>
        <v>0</v>
      </c>
      <c r="BU633">
        <f>MAX(BP633:BR633)</f>
        <v>0</v>
      </c>
      <c r="BV633">
        <f>IF(ISNUMBER(AB633),INDEX(AllCollegeChicago, MATCH(N633,AllCollegeNCES,0))*BB633,0)</f>
        <v>0</v>
      </c>
      <c r="BW633">
        <f>IF(ISNUMBER(AB633),INDEX(AllCollegeMoneyCode, MATCH(N633,AllCollegeNCES,0)),"?")</f>
        <v>0</v>
      </c>
      <c r="BX633">
        <f>IF(OR(BW633="---",BW633="--",BW633="+/--",BW633="+/---"),1,0)</f>
        <v>0</v>
      </c>
      <c r="BY633">
        <f>BB633*AR633*AT633</f>
        <v>0</v>
      </c>
    </row>
    <row r="634" spans="1:77">
      <c r="A634" t="s">
        <v>96</v>
      </c>
      <c r="B634">
        <v>24136022</v>
      </c>
      <c r="C634" t="s">
        <v>224</v>
      </c>
      <c r="D634" t="s">
        <v>225</v>
      </c>
      <c r="E634" t="s">
        <v>446</v>
      </c>
      <c r="F634" t="s">
        <v>461</v>
      </c>
      <c r="G634" t="s">
        <v>448</v>
      </c>
      <c r="H634" t="s">
        <v>449</v>
      </c>
      <c r="I634" t="s">
        <v>450</v>
      </c>
      <c r="J634" t="s">
        <v>450</v>
      </c>
      <c r="K634">
        <v>0</v>
      </c>
      <c r="L634" t="s">
        <v>446</v>
      </c>
      <c r="M634" t="s">
        <v>446</v>
      </c>
      <c r="N634">
        <v>147536</v>
      </c>
      <c r="O634">
        <f>INDEX(Counselor,MATCH(B634,KidIDs,0))</f>
        <v>0</v>
      </c>
      <c r="P634">
        <f>INDEX(Advisors,MATCH(B634,KidIDs,0))</f>
        <v>0</v>
      </c>
      <c r="Q634">
        <f>INDEX(Cohort,MATCH(B634,KidIDs,0))</f>
        <v>0</v>
      </c>
      <c r="R634">
        <f>INDEX(AllCollegeBarrons,MATCH(N634,AllCollegeNCES,0))</f>
        <v>0</v>
      </c>
      <c r="S634">
        <f>INDEX(KidGPAs,MATCH(B634,KidIDs,0))</f>
        <v>0</v>
      </c>
      <c r="T634">
        <f>INDEX(KidSATs,MATCH(B634,KidIDs,0))</f>
        <v>0</v>
      </c>
      <c r="U634">
        <f>INDEX(Strats,MATCH(B634,KidIDs,0))</f>
        <v>0</v>
      </c>
      <c r="V634">
        <f>INDEX(KidRace,MATCH(B634,KidIDs,0))</f>
        <v>0</v>
      </c>
      <c r="W634">
        <f>IF(OR(V634="M",V634="I"),"H",IF(V634="P","A",V634))</f>
        <v>0</v>
      </c>
      <c r="X634">
        <f>INDEX(StudentTargets,MATCH(B634,KidIDs,0))</f>
        <v>0</v>
      </c>
      <c r="Y634">
        <f>INDEX(ReachStudentTargets,MATCH(B634,KidIDs,0))</f>
        <v>0</v>
      </c>
      <c r="Z634">
        <f>IF(OR(M634="Posse"),1,0)</f>
        <v>0</v>
      </c>
      <c r="AA634">
        <f>IF(ISNUMBER(INDEX(AllCollegeGR, MATCH(N634,AllCollegeNCES,0))),ROUND(INDEX(AllCollegeGR, MATCH(N634,AllCollegeNCES,0))+Z634*IF(INDEX(AllCollegeGR, MATCH(N634,AllCollegeNCES,0))&gt;0.7,(1-INDEX(AllCollegeGR, MATCH(N634,AllCollegeNCES,0)))/2,0.15),2),INDEX(AllCollegeGR, MATCH(N634,AllCollegeNCES,0)))</f>
        <v>0</v>
      </c>
      <c r="AB634">
        <f>IF(ISNUMBER(INDEX(AllCollegeAAHGR, MATCH(N634,AllCollegeNCES,0))),ROUND(INDEX(AllCollegeAAHGR, MATCH(N634,AllCollegeNCES,0))+Z634*IF(INDEX(AllCollegeAAHGR, MATCH(N634,AllCollegeNCES,0))&gt;0.7,(1-INDEX(AllCollegeAAHGR, MATCH(N634,AllCollegeNCES,0)))/2,0.15),2),INDEX(AllCollegeAAHGR, MATCH(N634,AllCollegeNCES,0)))</f>
        <v>0</v>
      </c>
      <c r="AC634">
        <f>IF(OR(W634="H",W634="B"),INDEX(AllCollegeSAT25, MATCH(N634,AllCollegeNCES,0)),INDEX(AllCollegeSAT50, MATCH(N634,AllCollegeNCES,0)))</f>
        <v>0</v>
      </c>
      <c r="AD634">
        <f>INDEX(CustomWeightsGPA,MATCH(W634&amp;":"&amp;N634,CustomWeightsIndex,0))</f>
        <v>0</v>
      </c>
      <c r="AE634">
        <f>INDEX(CustomWeightsSAT,MATCH(W634&amp;":"&amp;N634,CustomWeightsIndex,0))</f>
        <v>0</v>
      </c>
      <c r="AF634">
        <f>INDEX(CustomWeightsIntercept,MATCH(W634&amp;":"&amp;N634,CustomWeightsIndex,0))</f>
        <v>0</v>
      </c>
      <c r="AG634">
        <f>AD634*S634+AE634*T634+AF634</f>
        <v>0</v>
      </c>
      <c r="AH634">
        <f>INDEX(CoefficientsGPA,MATCH(W634&amp;":"&amp;R634,CoefficientsIndex,0))</f>
        <v>0</v>
      </c>
      <c r="AI634">
        <f>INDEX(CoefficientsSAT,MATCH(W634&amp;":"&amp;R634,CoefficientsIndex,0))</f>
        <v>0</v>
      </c>
      <c r="AJ634">
        <f>INDEX(CoefficientsIntercept,MATCH(W634&amp;":"&amp;R634,CoefficientsIndex,0))</f>
        <v>0</v>
      </c>
      <c r="AK634">
        <f>AH634*S634+(T634-AC634)*AI634+AJ634</f>
        <v>0</v>
      </c>
      <c r="AL634">
        <f>IF(ISNUMBER(AG634),AG634,AK634)</f>
        <v>0</v>
      </c>
      <c r="AM634">
        <f>IF(ISNUMBER(AL634),IF(ISNUMBER(AH634),IF(AND(AH634=1,AI634=1,AJ634=1),100,MIN(99,ROUND(100*EXP(AL634)/(1+EXP(AL634)),2))),MIN(99,ROUND(100*EXP(AL634)/(1+EXP(AL634)),2))),IF(ISTEXT(R634),IF(LEFT(R634,1)="2",100,"N/A"),"N/A"))</f>
        <v>0</v>
      </c>
      <c r="AN634">
        <f>IF(ISNUMBER(AM634),IF(AM634&gt;=99,IF(OR(U634=10,U634=11),MatchLabel,SureThingLabel),IF(AM634&gt;=95,SecureLabel,IF(AM634&gt;=80,SafetyLabel,IF(AM634&gt;=50,MatchLabel,IF(AM634&gt;=20,ReachLabel,IF(AM634&gt;=10,LongshotLabel,HailMaryLabel)))))),"Other")</f>
        <v>0</v>
      </c>
      <c r="AO634">
        <f>IF(OR(I634="accepted",I634="cond. accept",I634="summer admit"),IF(J634="yes","CHOICE!","Accepted!"),IF(I634="guar. transfer","Guar. Xfer",IF(I634="denied","Denied",IF(K634=1,"Waitlist",IF(L634=1,"Deferred",IF(G634="pending","Pending",IF(OR(G634="initial materials submitted",G634="mid-year submitted",G634="final submitted"),"Submitted",IF(H634="interest","Interest","?"))))))))</f>
        <v>0</v>
      </c>
      <c r="AP634">
        <f>IF(OR(AN634=ReachLabel,AN634=LongshotLabel,AN634=HailMaryLabel),1,0)</f>
        <v>0</v>
      </c>
      <c r="AQ634">
        <f>IF(OR(AP634=1,AN634=MatchLabel),1,0)</f>
        <v>0</v>
      </c>
      <c r="AR634">
        <f>IF(OR(AN634=MatchLabel,AN634=SafetyLabel,AN634=SecureLabel,AN634=SureThingLabel),1,0)</f>
        <v>0</v>
      </c>
      <c r="AS634">
        <f>IF(OR(W634="H",W634="B",W634="I",W634="M"),IF(ISNUMBER(AB634),ROUND(AB634,2),0),IF(ISNUMBER(AA634),ROUND(AA634,2),0))</f>
        <v>0</v>
      </c>
      <c r="AT634">
        <f>IF(AS634&gt;=X634,1,0)</f>
        <v>0</v>
      </c>
      <c r="AU634">
        <f>IF(AS634&gt;=Y634,1,0)</f>
        <v>0</v>
      </c>
      <c r="AV634">
        <f>IF(AS634&lt;(X634-0.10),1,0)</f>
        <v>0</v>
      </c>
      <c r="AW634">
        <f>1-AM634/100</f>
        <v>0</v>
      </c>
      <c r="AX634">
        <f>IF(AQ634=1,AW634,1)</f>
        <v>0</v>
      </c>
      <c r="AY634">
        <f>IF(AP634=1,AW634,1)</f>
        <v>0</v>
      </c>
      <c r="AZ634">
        <f>IF(AND(AT634=1,ISNUMBER(AW634)),$AW634,1)</f>
        <v>0</v>
      </c>
      <c r="BA634">
        <f>IF(AND(AU634=1,ISNUMBER(AW634)),$AW634,1)</f>
        <v>0</v>
      </c>
      <c r="BB634">
        <f>IF(ISNUMBER(AB634),INDEX(AllCollegeMoney, MATCH(N634,AllCollegeNCES,0)),0)</f>
        <v>0</v>
      </c>
      <c r="BC634">
        <f>IF(AND(AT634=1,ISNUMBER(AW634),BB634=1),$AW634,1)</f>
        <v>0</v>
      </c>
      <c r="BD634">
        <f>IF(AND(AU634=1,ISNUMBER(AW634),BB634=1),$AW634,1)</f>
        <v>0</v>
      </c>
      <c r="BE634">
        <f>IF(ISNUMBER(AB634),INDEX(AllCollegeILPub, MATCH(N634,AllCollegeNCES,0)),0)</f>
        <v>0</v>
      </c>
      <c r="BF634">
        <f>IF(AN634=ReachLabel,AS634,0)</f>
        <v>0</v>
      </c>
      <c r="BG634">
        <f>IF(AN634=MatchLabel,AS634,0)</f>
        <v>0</v>
      </c>
      <c r="BH634">
        <f>IF(AN634=SafetyLabel,AS634,0)</f>
        <v>0</v>
      </c>
      <c r="BI634">
        <f>IF(AN634=SecureLabel,AS634,0)</f>
        <v>0</v>
      </c>
      <c r="BJ634">
        <f>IF(AN634=SureThingLabel,AS634,0)</f>
        <v>0</v>
      </c>
      <c r="BK634">
        <f>MAX(BF634:BJ634)</f>
        <v>0</v>
      </c>
      <c r="BL634">
        <f>MAX(BG634:BJ634)</f>
        <v>0</v>
      </c>
      <c r="BM634">
        <f>MAX(BH634:BJ634)</f>
        <v>0</v>
      </c>
      <c r="BN634">
        <f>IF(AND(AN634=ReachLabel,BB634=1),AS634,0)</f>
        <v>0</v>
      </c>
      <c r="BO634">
        <f>IF(AND(AN634=MatchLabel,BB634=1),AS634,0)</f>
        <v>0</v>
      </c>
      <c r="BP634">
        <f>IF(AND(AN634=SafetyLabel,BB634=1),AS634,0)</f>
        <v>0</v>
      </c>
      <c r="BQ634">
        <f>IF(AND(AN634=SecureLabel,BB634=1),AS634,0)</f>
        <v>0</v>
      </c>
      <c r="BR634">
        <f>IF(AND(AN634=SureThingLabel,BB634=1),AS634,0)</f>
        <v>0</v>
      </c>
      <c r="BS634">
        <f>MAX(BN634:BR634)</f>
        <v>0</v>
      </c>
      <c r="BT634">
        <f>MAX(BO634:BR634)</f>
        <v>0</v>
      </c>
      <c r="BU634">
        <f>MAX(BP634:BR634)</f>
        <v>0</v>
      </c>
      <c r="BV634">
        <f>IF(ISNUMBER(AB634),INDEX(AllCollegeChicago, MATCH(N634,AllCollegeNCES,0))*BB634,0)</f>
        <v>0</v>
      </c>
      <c r="BW634">
        <f>IF(ISNUMBER(AB634),INDEX(AllCollegeMoneyCode, MATCH(N634,AllCollegeNCES,0)),"?")</f>
        <v>0</v>
      </c>
      <c r="BX634">
        <f>IF(OR(BW634="---",BW634="--",BW634="+/--",BW634="+/---"),1,0)</f>
        <v>0</v>
      </c>
      <c r="BY634">
        <f>BB634*AR634*AT634</f>
        <v>0</v>
      </c>
    </row>
    <row r="635" spans="1:77">
      <c r="A635" t="s">
        <v>96</v>
      </c>
      <c r="B635">
        <v>24136022</v>
      </c>
      <c r="C635" t="s">
        <v>224</v>
      </c>
      <c r="D635" t="s">
        <v>225</v>
      </c>
      <c r="E635" t="s">
        <v>446</v>
      </c>
      <c r="F635" t="s">
        <v>463</v>
      </c>
      <c r="G635" t="s">
        <v>448</v>
      </c>
      <c r="H635" t="s">
        <v>449</v>
      </c>
      <c r="I635" t="s">
        <v>450</v>
      </c>
      <c r="J635" t="s">
        <v>450</v>
      </c>
      <c r="K635">
        <v>0</v>
      </c>
      <c r="L635" t="s">
        <v>446</v>
      </c>
      <c r="M635" t="s">
        <v>446</v>
      </c>
      <c r="N635">
        <v>147776</v>
      </c>
      <c r="O635">
        <f>INDEX(Counselor,MATCH(B635,KidIDs,0))</f>
        <v>0</v>
      </c>
      <c r="P635">
        <f>INDEX(Advisors,MATCH(B635,KidIDs,0))</f>
        <v>0</v>
      </c>
      <c r="Q635">
        <f>INDEX(Cohort,MATCH(B635,KidIDs,0))</f>
        <v>0</v>
      </c>
      <c r="R635">
        <f>INDEX(AllCollegeBarrons,MATCH(N635,AllCollegeNCES,0))</f>
        <v>0</v>
      </c>
      <c r="S635">
        <f>INDEX(KidGPAs,MATCH(B635,KidIDs,0))</f>
        <v>0</v>
      </c>
      <c r="T635">
        <f>INDEX(KidSATs,MATCH(B635,KidIDs,0))</f>
        <v>0</v>
      </c>
      <c r="U635">
        <f>INDEX(Strats,MATCH(B635,KidIDs,0))</f>
        <v>0</v>
      </c>
      <c r="V635">
        <f>INDEX(KidRace,MATCH(B635,KidIDs,0))</f>
        <v>0</v>
      </c>
      <c r="W635">
        <f>IF(OR(V635="M",V635="I"),"H",IF(V635="P","A",V635))</f>
        <v>0</v>
      </c>
      <c r="X635">
        <f>INDEX(StudentTargets,MATCH(B635,KidIDs,0))</f>
        <v>0</v>
      </c>
      <c r="Y635">
        <f>INDEX(ReachStudentTargets,MATCH(B635,KidIDs,0))</f>
        <v>0</v>
      </c>
      <c r="Z635">
        <f>IF(OR(M635="Posse"),1,0)</f>
        <v>0</v>
      </c>
      <c r="AA635">
        <f>IF(ISNUMBER(INDEX(AllCollegeGR, MATCH(N635,AllCollegeNCES,0))),ROUND(INDEX(AllCollegeGR, MATCH(N635,AllCollegeNCES,0))+Z635*IF(INDEX(AllCollegeGR, MATCH(N635,AllCollegeNCES,0))&gt;0.7,(1-INDEX(AllCollegeGR, MATCH(N635,AllCollegeNCES,0)))/2,0.15),2),INDEX(AllCollegeGR, MATCH(N635,AllCollegeNCES,0)))</f>
        <v>0</v>
      </c>
      <c r="AB635">
        <f>IF(ISNUMBER(INDEX(AllCollegeAAHGR, MATCH(N635,AllCollegeNCES,0))),ROUND(INDEX(AllCollegeAAHGR, MATCH(N635,AllCollegeNCES,0))+Z635*IF(INDEX(AllCollegeAAHGR, MATCH(N635,AllCollegeNCES,0))&gt;0.7,(1-INDEX(AllCollegeAAHGR, MATCH(N635,AllCollegeNCES,0)))/2,0.15),2),INDEX(AllCollegeAAHGR, MATCH(N635,AllCollegeNCES,0)))</f>
        <v>0</v>
      </c>
      <c r="AC635">
        <f>IF(OR(W635="H",W635="B"),INDEX(AllCollegeSAT25, MATCH(N635,AllCollegeNCES,0)),INDEX(AllCollegeSAT50, MATCH(N635,AllCollegeNCES,0)))</f>
        <v>0</v>
      </c>
      <c r="AD635">
        <f>INDEX(CustomWeightsGPA,MATCH(W635&amp;":"&amp;N635,CustomWeightsIndex,0))</f>
        <v>0</v>
      </c>
      <c r="AE635">
        <f>INDEX(CustomWeightsSAT,MATCH(W635&amp;":"&amp;N635,CustomWeightsIndex,0))</f>
        <v>0</v>
      </c>
      <c r="AF635">
        <f>INDEX(CustomWeightsIntercept,MATCH(W635&amp;":"&amp;N635,CustomWeightsIndex,0))</f>
        <v>0</v>
      </c>
      <c r="AG635">
        <f>AD635*S635+AE635*T635+AF635</f>
        <v>0</v>
      </c>
      <c r="AH635">
        <f>INDEX(CoefficientsGPA,MATCH(W635&amp;":"&amp;R635,CoefficientsIndex,0))</f>
        <v>0</v>
      </c>
      <c r="AI635">
        <f>INDEX(CoefficientsSAT,MATCH(W635&amp;":"&amp;R635,CoefficientsIndex,0))</f>
        <v>0</v>
      </c>
      <c r="AJ635">
        <f>INDEX(CoefficientsIntercept,MATCH(W635&amp;":"&amp;R635,CoefficientsIndex,0))</f>
        <v>0</v>
      </c>
      <c r="AK635">
        <f>AH635*S635+(T635-AC635)*AI635+AJ635</f>
        <v>0</v>
      </c>
      <c r="AL635">
        <f>IF(ISNUMBER(AG635),AG635,AK635)</f>
        <v>0</v>
      </c>
      <c r="AM635">
        <f>IF(ISNUMBER(AL635),IF(ISNUMBER(AH635),IF(AND(AH635=1,AI635=1,AJ635=1),100,MIN(99,ROUND(100*EXP(AL635)/(1+EXP(AL635)),2))),MIN(99,ROUND(100*EXP(AL635)/(1+EXP(AL635)),2))),IF(ISTEXT(R635),IF(LEFT(R635,1)="2",100,"N/A"),"N/A"))</f>
        <v>0</v>
      </c>
      <c r="AN635">
        <f>IF(ISNUMBER(AM635),IF(AM635&gt;=99,IF(OR(U635=10,U635=11),MatchLabel,SureThingLabel),IF(AM635&gt;=95,SecureLabel,IF(AM635&gt;=80,SafetyLabel,IF(AM635&gt;=50,MatchLabel,IF(AM635&gt;=20,ReachLabel,IF(AM635&gt;=10,LongshotLabel,HailMaryLabel)))))),"Other")</f>
        <v>0</v>
      </c>
      <c r="AO635">
        <f>IF(OR(I635="accepted",I635="cond. accept",I635="summer admit"),IF(J635="yes","CHOICE!","Accepted!"),IF(I635="guar. transfer","Guar. Xfer",IF(I635="denied","Denied",IF(K635=1,"Waitlist",IF(L635=1,"Deferred",IF(G635="pending","Pending",IF(OR(G635="initial materials submitted",G635="mid-year submitted",G635="final submitted"),"Submitted",IF(H635="interest","Interest","?"))))))))</f>
        <v>0</v>
      </c>
      <c r="AP635">
        <f>IF(OR(AN635=ReachLabel,AN635=LongshotLabel,AN635=HailMaryLabel),1,0)</f>
        <v>0</v>
      </c>
      <c r="AQ635">
        <f>IF(OR(AP635=1,AN635=MatchLabel),1,0)</f>
        <v>0</v>
      </c>
      <c r="AR635">
        <f>IF(OR(AN635=MatchLabel,AN635=SafetyLabel,AN635=SecureLabel,AN635=SureThingLabel),1,0)</f>
        <v>0</v>
      </c>
      <c r="AS635">
        <f>IF(OR(W635="H",W635="B",W635="I",W635="M"),IF(ISNUMBER(AB635),ROUND(AB635,2),0),IF(ISNUMBER(AA635),ROUND(AA635,2),0))</f>
        <v>0</v>
      </c>
      <c r="AT635">
        <f>IF(AS635&gt;=X635,1,0)</f>
        <v>0</v>
      </c>
      <c r="AU635">
        <f>IF(AS635&gt;=Y635,1,0)</f>
        <v>0</v>
      </c>
      <c r="AV635">
        <f>IF(AS635&lt;(X635-0.10),1,0)</f>
        <v>0</v>
      </c>
      <c r="AW635">
        <f>1-AM635/100</f>
        <v>0</v>
      </c>
      <c r="AX635">
        <f>IF(AQ635=1,AW635,1)</f>
        <v>0</v>
      </c>
      <c r="AY635">
        <f>IF(AP635=1,AW635,1)</f>
        <v>0</v>
      </c>
      <c r="AZ635">
        <f>IF(AND(AT635=1,ISNUMBER(AW635)),$AW635,1)</f>
        <v>0</v>
      </c>
      <c r="BA635">
        <f>IF(AND(AU635=1,ISNUMBER(AW635)),$AW635,1)</f>
        <v>0</v>
      </c>
      <c r="BB635">
        <f>IF(ISNUMBER(AB635),INDEX(AllCollegeMoney, MATCH(N635,AllCollegeNCES,0)),0)</f>
        <v>0</v>
      </c>
      <c r="BC635">
        <f>IF(AND(AT635=1,ISNUMBER(AW635),BB635=1),$AW635,1)</f>
        <v>0</v>
      </c>
      <c r="BD635">
        <f>IF(AND(AU635=1,ISNUMBER(AW635),BB635=1),$AW635,1)</f>
        <v>0</v>
      </c>
      <c r="BE635">
        <f>IF(ISNUMBER(AB635),INDEX(AllCollegeILPub, MATCH(N635,AllCollegeNCES,0)),0)</f>
        <v>0</v>
      </c>
      <c r="BF635">
        <f>IF(AN635=ReachLabel,AS635,0)</f>
        <v>0</v>
      </c>
      <c r="BG635">
        <f>IF(AN635=MatchLabel,AS635,0)</f>
        <v>0</v>
      </c>
      <c r="BH635">
        <f>IF(AN635=SafetyLabel,AS635,0)</f>
        <v>0</v>
      </c>
      <c r="BI635">
        <f>IF(AN635=SecureLabel,AS635,0)</f>
        <v>0</v>
      </c>
      <c r="BJ635">
        <f>IF(AN635=SureThingLabel,AS635,0)</f>
        <v>0</v>
      </c>
      <c r="BK635">
        <f>MAX(BF635:BJ635)</f>
        <v>0</v>
      </c>
      <c r="BL635">
        <f>MAX(BG635:BJ635)</f>
        <v>0</v>
      </c>
      <c r="BM635">
        <f>MAX(BH635:BJ635)</f>
        <v>0</v>
      </c>
      <c r="BN635">
        <f>IF(AND(AN635=ReachLabel,BB635=1),AS635,0)</f>
        <v>0</v>
      </c>
      <c r="BO635">
        <f>IF(AND(AN635=MatchLabel,BB635=1),AS635,0)</f>
        <v>0</v>
      </c>
      <c r="BP635">
        <f>IF(AND(AN635=SafetyLabel,BB635=1),AS635,0)</f>
        <v>0</v>
      </c>
      <c r="BQ635">
        <f>IF(AND(AN635=SecureLabel,BB635=1),AS635,0)</f>
        <v>0</v>
      </c>
      <c r="BR635">
        <f>IF(AND(AN635=SureThingLabel,BB635=1),AS635,0)</f>
        <v>0</v>
      </c>
      <c r="BS635">
        <f>MAX(BN635:BR635)</f>
        <v>0</v>
      </c>
      <c r="BT635">
        <f>MAX(BO635:BR635)</f>
        <v>0</v>
      </c>
      <c r="BU635">
        <f>MAX(BP635:BR635)</f>
        <v>0</v>
      </c>
      <c r="BV635">
        <f>IF(ISNUMBER(AB635),INDEX(AllCollegeChicago, MATCH(N635,AllCollegeNCES,0))*BB635,0)</f>
        <v>0</v>
      </c>
      <c r="BW635">
        <f>IF(ISNUMBER(AB635),INDEX(AllCollegeMoneyCode, MATCH(N635,AllCollegeNCES,0)),"?")</f>
        <v>0</v>
      </c>
      <c r="BX635">
        <f>IF(OR(BW635="---",BW635="--",BW635="+/--",BW635="+/---"),1,0)</f>
        <v>0</v>
      </c>
      <c r="BY635">
        <f>BB635*AR635*AT635</f>
        <v>0</v>
      </c>
    </row>
    <row r="636" spans="1:77">
      <c r="A636" t="s">
        <v>96</v>
      </c>
      <c r="B636">
        <v>24155152</v>
      </c>
      <c r="C636" t="s">
        <v>231</v>
      </c>
      <c r="D636" t="s">
        <v>232</v>
      </c>
      <c r="E636" t="s">
        <v>446</v>
      </c>
      <c r="F636" t="s">
        <v>471</v>
      </c>
      <c r="G636" t="s">
        <v>448</v>
      </c>
      <c r="H636" t="s">
        <v>449</v>
      </c>
      <c r="I636" t="s">
        <v>450</v>
      </c>
      <c r="J636" t="s">
        <v>450</v>
      </c>
      <c r="K636">
        <v>0</v>
      </c>
      <c r="L636" t="s">
        <v>446</v>
      </c>
      <c r="M636" t="s">
        <v>446</v>
      </c>
      <c r="N636">
        <v>202523</v>
      </c>
      <c r="O636">
        <f>INDEX(Counselor,MATCH(B636,KidIDs,0))</f>
        <v>0</v>
      </c>
      <c r="P636">
        <f>INDEX(Advisors,MATCH(B636,KidIDs,0))</f>
        <v>0</v>
      </c>
      <c r="Q636">
        <f>INDEX(Cohort,MATCH(B636,KidIDs,0))</f>
        <v>0</v>
      </c>
      <c r="R636">
        <f>INDEX(AllCollegeBarrons,MATCH(N636,AllCollegeNCES,0))</f>
        <v>0</v>
      </c>
      <c r="S636">
        <f>INDEX(KidGPAs,MATCH(B636,KidIDs,0))</f>
        <v>0</v>
      </c>
      <c r="T636">
        <f>INDEX(KidSATs,MATCH(B636,KidIDs,0))</f>
        <v>0</v>
      </c>
      <c r="U636">
        <f>INDEX(Strats,MATCH(B636,KidIDs,0))</f>
        <v>0</v>
      </c>
      <c r="V636">
        <f>INDEX(KidRace,MATCH(B636,KidIDs,0))</f>
        <v>0</v>
      </c>
      <c r="W636">
        <f>IF(OR(V636="M",V636="I"),"H",IF(V636="P","A",V636))</f>
        <v>0</v>
      </c>
      <c r="X636">
        <f>INDEX(StudentTargets,MATCH(B636,KidIDs,0))</f>
        <v>0</v>
      </c>
      <c r="Y636">
        <f>INDEX(ReachStudentTargets,MATCH(B636,KidIDs,0))</f>
        <v>0</v>
      </c>
      <c r="Z636">
        <f>IF(OR(M636="Posse"),1,0)</f>
        <v>0</v>
      </c>
      <c r="AA636">
        <f>IF(ISNUMBER(INDEX(AllCollegeGR, MATCH(N636,AllCollegeNCES,0))),ROUND(INDEX(AllCollegeGR, MATCH(N636,AllCollegeNCES,0))+Z636*IF(INDEX(AllCollegeGR, MATCH(N636,AllCollegeNCES,0))&gt;0.7,(1-INDEX(AllCollegeGR, MATCH(N636,AllCollegeNCES,0)))/2,0.15),2),INDEX(AllCollegeGR, MATCH(N636,AllCollegeNCES,0)))</f>
        <v>0</v>
      </c>
      <c r="AB636">
        <f>IF(ISNUMBER(INDEX(AllCollegeAAHGR, MATCH(N636,AllCollegeNCES,0))),ROUND(INDEX(AllCollegeAAHGR, MATCH(N636,AllCollegeNCES,0))+Z636*IF(INDEX(AllCollegeAAHGR, MATCH(N636,AllCollegeNCES,0))&gt;0.7,(1-INDEX(AllCollegeAAHGR, MATCH(N636,AllCollegeNCES,0)))/2,0.15),2),INDEX(AllCollegeAAHGR, MATCH(N636,AllCollegeNCES,0)))</f>
        <v>0</v>
      </c>
      <c r="AC636">
        <f>IF(OR(W636="H",W636="B"),INDEX(AllCollegeSAT25, MATCH(N636,AllCollegeNCES,0)),INDEX(AllCollegeSAT50, MATCH(N636,AllCollegeNCES,0)))</f>
        <v>0</v>
      </c>
      <c r="AD636">
        <f>INDEX(CustomWeightsGPA,MATCH(W636&amp;":"&amp;N636,CustomWeightsIndex,0))</f>
        <v>0</v>
      </c>
      <c r="AE636">
        <f>INDEX(CustomWeightsSAT,MATCH(W636&amp;":"&amp;N636,CustomWeightsIndex,0))</f>
        <v>0</v>
      </c>
      <c r="AF636">
        <f>INDEX(CustomWeightsIntercept,MATCH(W636&amp;":"&amp;N636,CustomWeightsIndex,0))</f>
        <v>0</v>
      </c>
      <c r="AG636">
        <f>AD636*S636+AE636*T636+AF636</f>
        <v>0</v>
      </c>
      <c r="AH636">
        <f>INDEX(CoefficientsGPA,MATCH(W636&amp;":"&amp;R636,CoefficientsIndex,0))</f>
        <v>0</v>
      </c>
      <c r="AI636">
        <f>INDEX(CoefficientsSAT,MATCH(W636&amp;":"&amp;R636,CoefficientsIndex,0))</f>
        <v>0</v>
      </c>
      <c r="AJ636">
        <f>INDEX(CoefficientsIntercept,MATCH(W636&amp;":"&amp;R636,CoefficientsIndex,0))</f>
        <v>0</v>
      </c>
      <c r="AK636">
        <f>AH636*S636+(T636-AC636)*AI636+AJ636</f>
        <v>0</v>
      </c>
      <c r="AL636">
        <f>IF(ISNUMBER(AG636),AG636,AK636)</f>
        <v>0</v>
      </c>
      <c r="AM636">
        <f>IF(ISNUMBER(AL636),IF(ISNUMBER(AH636),IF(AND(AH636=1,AI636=1,AJ636=1),100,MIN(99,ROUND(100*EXP(AL636)/(1+EXP(AL636)),2))),MIN(99,ROUND(100*EXP(AL636)/(1+EXP(AL636)),2))),IF(ISTEXT(R636),IF(LEFT(R636,1)="2",100,"N/A"),"N/A"))</f>
        <v>0</v>
      </c>
      <c r="AN636">
        <f>IF(ISNUMBER(AM636),IF(AM636&gt;=99,IF(OR(U636=10,U636=11),MatchLabel,SureThingLabel),IF(AM636&gt;=95,SecureLabel,IF(AM636&gt;=80,SafetyLabel,IF(AM636&gt;=50,MatchLabel,IF(AM636&gt;=20,ReachLabel,IF(AM636&gt;=10,LongshotLabel,HailMaryLabel)))))),"Other")</f>
        <v>0</v>
      </c>
      <c r="AO636">
        <f>IF(OR(I636="accepted",I636="cond. accept",I636="summer admit"),IF(J636="yes","CHOICE!","Accepted!"),IF(I636="guar. transfer","Guar. Xfer",IF(I636="denied","Denied",IF(K636=1,"Waitlist",IF(L636=1,"Deferred",IF(G636="pending","Pending",IF(OR(G636="initial materials submitted",G636="mid-year submitted",G636="final submitted"),"Submitted",IF(H636="interest","Interest","?"))))))))</f>
        <v>0</v>
      </c>
      <c r="AP636">
        <f>IF(OR(AN636=ReachLabel,AN636=LongshotLabel,AN636=HailMaryLabel),1,0)</f>
        <v>0</v>
      </c>
      <c r="AQ636">
        <f>IF(OR(AP636=1,AN636=MatchLabel),1,0)</f>
        <v>0</v>
      </c>
      <c r="AR636">
        <f>IF(OR(AN636=MatchLabel,AN636=SafetyLabel,AN636=SecureLabel,AN636=SureThingLabel),1,0)</f>
        <v>0</v>
      </c>
      <c r="AS636">
        <f>IF(OR(W636="H",W636="B",W636="I",W636="M"),IF(ISNUMBER(AB636),ROUND(AB636,2),0),IF(ISNUMBER(AA636),ROUND(AA636,2),0))</f>
        <v>0</v>
      </c>
      <c r="AT636">
        <f>IF(AS636&gt;=X636,1,0)</f>
        <v>0</v>
      </c>
      <c r="AU636">
        <f>IF(AS636&gt;=Y636,1,0)</f>
        <v>0</v>
      </c>
      <c r="AV636">
        <f>IF(AS636&lt;(X636-0.10),1,0)</f>
        <v>0</v>
      </c>
      <c r="AW636">
        <f>1-AM636/100</f>
        <v>0</v>
      </c>
      <c r="AX636">
        <f>IF(AQ636=1,AW636,1)</f>
        <v>0</v>
      </c>
      <c r="AY636">
        <f>IF(AP636=1,AW636,1)</f>
        <v>0</v>
      </c>
      <c r="AZ636">
        <f>IF(AND(AT636=1,ISNUMBER(AW636)),$AW636,1)</f>
        <v>0</v>
      </c>
      <c r="BA636">
        <f>IF(AND(AU636=1,ISNUMBER(AW636)),$AW636,1)</f>
        <v>0</v>
      </c>
      <c r="BB636">
        <f>IF(ISNUMBER(AB636),INDEX(AllCollegeMoney, MATCH(N636,AllCollegeNCES,0)),0)</f>
        <v>0</v>
      </c>
      <c r="BC636">
        <f>IF(AND(AT636=1,ISNUMBER(AW636),BB636=1),$AW636,1)</f>
        <v>0</v>
      </c>
      <c r="BD636">
        <f>IF(AND(AU636=1,ISNUMBER(AW636),BB636=1),$AW636,1)</f>
        <v>0</v>
      </c>
      <c r="BE636">
        <f>IF(ISNUMBER(AB636),INDEX(AllCollegeILPub, MATCH(N636,AllCollegeNCES,0)),0)</f>
        <v>0</v>
      </c>
      <c r="BF636">
        <f>IF(AN636=ReachLabel,AS636,0)</f>
        <v>0</v>
      </c>
      <c r="BG636">
        <f>IF(AN636=MatchLabel,AS636,0)</f>
        <v>0</v>
      </c>
      <c r="BH636">
        <f>IF(AN636=SafetyLabel,AS636,0)</f>
        <v>0</v>
      </c>
      <c r="BI636">
        <f>IF(AN636=SecureLabel,AS636,0)</f>
        <v>0</v>
      </c>
      <c r="BJ636">
        <f>IF(AN636=SureThingLabel,AS636,0)</f>
        <v>0</v>
      </c>
      <c r="BK636">
        <f>MAX(BF636:BJ636)</f>
        <v>0</v>
      </c>
      <c r="BL636">
        <f>MAX(BG636:BJ636)</f>
        <v>0</v>
      </c>
      <c r="BM636">
        <f>MAX(BH636:BJ636)</f>
        <v>0</v>
      </c>
      <c r="BN636">
        <f>IF(AND(AN636=ReachLabel,BB636=1),AS636,0)</f>
        <v>0</v>
      </c>
      <c r="BO636">
        <f>IF(AND(AN636=MatchLabel,BB636=1),AS636,0)</f>
        <v>0</v>
      </c>
      <c r="BP636">
        <f>IF(AND(AN636=SafetyLabel,BB636=1),AS636,0)</f>
        <v>0</v>
      </c>
      <c r="BQ636">
        <f>IF(AND(AN636=SecureLabel,BB636=1),AS636,0)</f>
        <v>0</v>
      </c>
      <c r="BR636">
        <f>IF(AND(AN636=SureThingLabel,BB636=1),AS636,0)</f>
        <v>0</v>
      </c>
      <c r="BS636">
        <f>MAX(BN636:BR636)</f>
        <v>0</v>
      </c>
      <c r="BT636">
        <f>MAX(BO636:BR636)</f>
        <v>0</v>
      </c>
      <c r="BU636">
        <f>MAX(BP636:BR636)</f>
        <v>0</v>
      </c>
      <c r="BV636">
        <f>IF(ISNUMBER(AB636),INDEX(AllCollegeChicago, MATCH(N636,AllCollegeNCES,0))*BB636,0)</f>
        <v>0</v>
      </c>
      <c r="BW636">
        <f>IF(ISNUMBER(AB636),INDEX(AllCollegeMoneyCode, MATCH(N636,AllCollegeNCES,0)),"?")</f>
        <v>0</v>
      </c>
      <c r="BX636">
        <f>IF(OR(BW636="---",BW636="--",BW636="+/--",BW636="+/---"),1,0)</f>
        <v>0</v>
      </c>
      <c r="BY636">
        <f>BB636*AR636*AT636</f>
        <v>0</v>
      </c>
    </row>
    <row r="637" spans="1:77">
      <c r="A637" t="s">
        <v>96</v>
      </c>
      <c r="B637">
        <v>24155152</v>
      </c>
      <c r="C637" t="s">
        <v>231</v>
      </c>
      <c r="D637" t="s">
        <v>232</v>
      </c>
      <c r="E637" t="s">
        <v>446</v>
      </c>
      <c r="F637" t="s">
        <v>514</v>
      </c>
      <c r="G637" t="s">
        <v>448</v>
      </c>
      <c r="H637" t="s">
        <v>449</v>
      </c>
      <c r="I637" t="s">
        <v>450</v>
      </c>
      <c r="J637" t="s">
        <v>450</v>
      </c>
      <c r="K637">
        <v>0</v>
      </c>
      <c r="L637" t="s">
        <v>446</v>
      </c>
      <c r="M637" t="s">
        <v>446</v>
      </c>
      <c r="N637">
        <v>131520</v>
      </c>
      <c r="O637">
        <f>INDEX(Counselor,MATCH(B637,KidIDs,0))</f>
        <v>0</v>
      </c>
      <c r="P637">
        <f>INDEX(Advisors,MATCH(B637,KidIDs,0))</f>
        <v>0</v>
      </c>
      <c r="Q637">
        <f>INDEX(Cohort,MATCH(B637,KidIDs,0))</f>
        <v>0</v>
      </c>
      <c r="R637">
        <f>INDEX(AllCollegeBarrons,MATCH(N637,AllCollegeNCES,0))</f>
        <v>0</v>
      </c>
      <c r="S637">
        <f>INDEX(KidGPAs,MATCH(B637,KidIDs,0))</f>
        <v>0</v>
      </c>
      <c r="T637">
        <f>INDEX(KidSATs,MATCH(B637,KidIDs,0))</f>
        <v>0</v>
      </c>
      <c r="U637">
        <f>INDEX(Strats,MATCH(B637,KidIDs,0))</f>
        <v>0</v>
      </c>
      <c r="V637">
        <f>INDEX(KidRace,MATCH(B637,KidIDs,0))</f>
        <v>0</v>
      </c>
      <c r="W637">
        <f>IF(OR(V637="M",V637="I"),"H",IF(V637="P","A",V637))</f>
        <v>0</v>
      </c>
      <c r="X637">
        <f>INDEX(StudentTargets,MATCH(B637,KidIDs,0))</f>
        <v>0</v>
      </c>
      <c r="Y637">
        <f>INDEX(ReachStudentTargets,MATCH(B637,KidIDs,0))</f>
        <v>0</v>
      </c>
      <c r="Z637">
        <f>IF(OR(M637="Posse"),1,0)</f>
        <v>0</v>
      </c>
      <c r="AA637">
        <f>IF(ISNUMBER(INDEX(AllCollegeGR, MATCH(N637,AllCollegeNCES,0))),ROUND(INDEX(AllCollegeGR, MATCH(N637,AllCollegeNCES,0))+Z637*IF(INDEX(AllCollegeGR, MATCH(N637,AllCollegeNCES,0))&gt;0.7,(1-INDEX(AllCollegeGR, MATCH(N637,AllCollegeNCES,0)))/2,0.15),2),INDEX(AllCollegeGR, MATCH(N637,AllCollegeNCES,0)))</f>
        <v>0</v>
      </c>
      <c r="AB637">
        <f>IF(ISNUMBER(INDEX(AllCollegeAAHGR, MATCH(N637,AllCollegeNCES,0))),ROUND(INDEX(AllCollegeAAHGR, MATCH(N637,AllCollegeNCES,0))+Z637*IF(INDEX(AllCollegeAAHGR, MATCH(N637,AllCollegeNCES,0))&gt;0.7,(1-INDEX(AllCollegeAAHGR, MATCH(N637,AllCollegeNCES,0)))/2,0.15),2),INDEX(AllCollegeAAHGR, MATCH(N637,AllCollegeNCES,0)))</f>
        <v>0</v>
      </c>
      <c r="AC637">
        <f>IF(OR(W637="H",W637="B"),INDEX(AllCollegeSAT25, MATCH(N637,AllCollegeNCES,0)),INDEX(AllCollegeSAT50, MATCH(N637,AllCollegeNCES,0)))</f>
        <v>0</v>
      </c>
      <c r="AD637">
        <f>INDEX(CustomWeightsGPA,MATCH(W637&amp;":"&amp;N637,CustomWeightsIndex,0))</f>
        <v>0</v>
      </c>
      <c r="AE637">
        <f>INDEX(CustomWeightsSAT,MATCH(W637&amp;":"&amp;N637,CustomWeightsIndex,0))</f>
        <v>0</v>
      </c>
      <c r="AF637">
        <f>INDEX(CustomWeightsIntercept,MATCH(W637&amp;":"&amp;N637,CustomWeightsIndex,0))</f>
        <v>0</v>
      </c>
      <c r="AG637">
        <f>AD637*S637+AE637*T637+AF637</f>
        <v>0</v>
      </c>
      <c r="AH637">
        <f>INDEX(CoefficientsGPA,MATCH(W637&amp;":"&amp;R637,CoefficientsIndex,0))</f>
        <v>0</v>
      </c>
      <c r="AI637">
        <f>INDEX(CoefficientsSAT,MATCH(W637&amp;":"&amp;R637,CoefficientsIndex,0))</f>
        <v>0</v>
      </c>
      <c r="AJ637">
        <f>INDEX(CoefficientsIntercept,MATCH(W637&amp;":"&amp;R637,CoefficientsIndex,0))</f>
        <v>0</v>
      </c>
      <c r="AK637">
        <f>AH637*S637+(T637-AC637)*AI637+AJ637</f>
        <v>0</v>
      </c>
      <c r="AL637">
        <f>IF(ISNUMBER(AG637),AG637,AK637)</f>
        <v>0</v>
      </c>
      <c r="AM637">
        <f>IF(ISNUMBER(AL637),IF(ISNUMBER(AH637),IF(AND(AH637=1,AI637=1,AJ637=1),100,MIN(99,ROUND(100*EXP(AL637)/(1+EXP(AL637)),2))),MIN(99,ROUND(100*EXP(AL637)/(1+EXP(AL637)),2))),IF(ISTEXT(R637),IF(LEFT(R637,1)="2",100,"N/A"),"N/A"))</f>
        <v>0</v>
      </c>
      <c r="AN637">
        <f>IF(ISNUMBER(AM637),IF(AM637&gt;=99,IF(OR(U637=10,U637=11),MatchLabel,SureThingLabel),IF(AM637&gt;=95,SecureLabel,IF(AM637&gt;=80,SafetyLabel,IF(AM637&gt;=50,MatchLabel,IF(AM637&gt;=20,ReachLabel,IF(AM637&gt;=10,LongshotLabel,HailMaryLabel)))))),"Other")</f>
        <v>0</v>
      </c>
      <c r="AO637">
        <f>IF(OR(I637="accepted",I637="cond. accept",I637="summer admit"),IF(J637="yes","CHOICE!","Accepted!"),IF(I637="guar. transfer","Guar. Xfer",IF(I637="denied","Denied",IF(K637=1,"Waitlist",IF(L637=1,"Deferred",IF(G637="pending","Pending",IF(OR(G637="initial materials submitted",G637="mid-year submitted",G637="final submitted"),"Submitted",IF(H637="interest","Interest","?"))))))))</f>
        <v>0</v>
      </c>
      <c r="AP637">
        <f>IF(OR(AN637=ReachLabel,AN637=LongshotLabel,AN637=HailMaryLabel),1,0)</f>
        <v>0</v>
      </c>
      <c r="AQ637">
        <f>IF(OR(AP637=1,AN637=MatchLabel),1,0)</f>
        <v>0</v>
      </c>
      <c r="AR637">
        <f>IF(OR(AN637=MatchLabel,AN637=SafetyLabel,AN637=SecureLabel,AN637=SureThingLabel),1,0)</f>
        <v>0</v>
      </c>
      <c r="AS637">
        <f>IF(OR(W637="H",W637="B",W637="I",W637="M"),IF(ISNUMBER(AB637),ROUND(AB637,2),0),IF(ISNUMBER(AA637),ROUND(AA637,2),0))</f>
        <v>0</v>
      </c>
      <c r="AT637">
        <f>IF(AS637&gt;=X637,1,0)</f>
        <v>0</v>
      </c>
      <c r="AU637">
        <f>IF(AS637&gt;=Y637,1,0)</f>
        <v>0</v>
      </c>
      <c r="AV637">
        <f>IF(AS637&lt;(X637-0.10),1,0)</f>
        <v>0</v>
      </c>
      <c r="AW637">
        <f>1-AM637/100</f>
        <v>0</v>
      </c>
      <c r="AX637">
        <f>IF(AQ637=1,AW637,1)</f>
        <v>0</v>
      </c>
      <c r="AY637">
        <f>IF(AP637=1,AW637,1)</f>
        <v>0</v>
      </c>
      <c r="AZ637">
        <f>IF(AND(AT637=1,ISNUMBER(AW637)),$AW637,1)</f>
        <v>0</v>
      </c>
      <c r="BA637">
        <f>IF(AND(AU637=1,ISNUMBER(AW637)),$AW637,1)</f>
        <v>0</v>
      </c>
      <c r="BB637">
        <f>IF(ISNUMBER(AB637),INDEX(AllCollegeMoney, MATCH(N637,AllCollegeNCES,0)),0)</f>
        <v>0</v>
      </c>
      <c r="BC637">
        <f>IF(AND(AT637=1,ISNUMBER(AW637),BB637=1),$AW637,1)</f>
        <v>0</v>
      </c>
      <c r="BD637">
        <f>IF(AND(AU637=1,ISNUMBER(AW637),BB637=1),$AW637,1)</f>
        <v>0</v>
      </c>
      <c r="BE637">
        <f>IF(ISNUMBER(AB637),INDEX(AllCollegeILPub, MATCH(N637,AllCollegeNCES,0)),0)</f>
        <v>0</v>
      </c>
      <c r="BF637">
        <f>IF(AN637=ReachLabel,AS637,0)</f>
        <v>0</v>
      </c>
      <c r="BG637">
        <f>IF(AN637=MatchLabel,AS637,0)</f>
        <v>0</v>
      </c>
      <c r="BH637">
        <f>IF(AN637=SafetyLabel,AS637,0)</f>
        <v>0</v>
      </c>
      <c r="BI637">
        <f>IF(AN637=SecureLabel,AS637,0)</f>
        <v>0</v>
      </c>
      <c r="BJ637">
        <f>IF(AN637=SureThingLabel,AS637,0)</f>
        <v>0</v>
      </c>
      <c r="BK637">
        <f>MAX(BF637:BJ637)</f>
        <v>0</v>
      </c>
      <c r="BL637">
        <f>MAX(BG637:BJ637)</f>
        <v>0</v>
      </c>
      <c r="BM637">
        <f>MAX(BH637:BJ637)</f>
        <v>0</v>
      </c>
      <c r="BN637">
        <f>IF(AND(AN637=ReachLabel,BB637=1),AS637,0)</f>
        <v>0</v>
      </c>
      <c r="BO637">
        <f>IF(AND(AN637=MatchLabel,BB637=1),AS637,0)</f>
        <v>0</v>
      </c>
      <c r="BP637">
        <f>IF(AND(AN637=SafetyLabel,BB637=1),AS637,0)</f>
        <v>0</v>
      </c>
      <c r="BQ637">
        <f>IF(AND(AN637=SecureLabel,BB637=1),AS637,0)</f>
        <v>0</v>
      </c>
      <c r="BR637">
        <f>IF(AND(AN637=SureThingLabel,BB637=1),AS637,0)</f>
        <v>0</v>
      </c>
      <c r="BS637">
        <f>MAX(BN637:BR637)</f>
        <v>0</v>
      </c>
      <c r="BT637">
        <f>MAX(BO637:BR637)</f>
        <v>0</v>
      </c>
      <c r="BU637">
        <f>MAX(BP637:BR637)</f>
        <v>0</v>
      </c>
      <c r="BV637">
        <f>IF(ISNUMBER(AB637),INDEX(AllCollegeChicago, MATCH(N637,AllCollegeNCES,0))*BB637,0)</f>
        <v>0</v>
      </c>
      <c r="BW637">
        <f>IF(ISNUMBER(AB637),INDEX(AllCollegeMoneyCode, MATCH(N637,AllCollegeNCES,0)),"?")</f>
        <v>0</v>
      </c>
      <c r="BX637">
        <f>IF(OR(BW637="---",BW637="--",BW637="+/--",BW637="+/---"),1,0)</f>
        <v>0</v>
      </c>
      <c r="BY637">
        <f>BB637*AR637*AT637</f>
        <v>0</v>
      </c>
    </row>
    <row r="638" spans="1:77">
      <c r="A638" t="s">
        <v>96</v>
      </c>
      <c r="B638">
        <v>24155152</v>
      </c>
      <c r="C638" t="s">
        <v>231</v>
      </c>
      <c r="D638" t="s">
        <v>232</v>
      </c>
      <c r="E638" t="s">
        <v>446</v>
      </c>
      <c r="F638" t="s">
        <v>487</v>
      </c>
      <c r="G638" t="s">
        <v>448</v>
      </c>
      <c r="H638" t="s">
        <v>449</v>
      </c>
      <c r="I638" t="s">
        <v>450</v>
      </c>
      <c r="J638" t="s">
        <v>450</v>
      </c>
      <c r="K638">
        <v>0</v>
      </c>
      <c r="L638" t="s">
        <v>446</v>
      </c>
      <c r="M638" t="s">
        <v>446</v>
      </c>
      <c r="N638">
        <v>174844</v>
      </c>
      <c r="O638">
        <f>INDEX(Counselor,MATCH(B638,KidIDs,0))</f>
        <v>0</v>
      </c>
      <c r="P638">
        <f>INDEX(Advisors,MATCH(B638,KidIDs,0))</f>
        <v>0</v>
      </c>
      <c r="Q638">
        <f>INDEX(Cohort,MATCH(B638,KidIDs,0))</f>
        <v>0</v>
      </c>
      <c r="R638">
        <f>INDEX(AllCollegeBarrons,MATCH(N638,AllCollegeNCES,0))</f>
        <v>0</v>
      </c>
      <c r="S638">
        <f>INDEX(KidGPAs,MATCH(B638,KidIDs,0))</f>
        <v>0</v>
      </c>
      <c r="T638">
        <f>INDEX(KidSATs,MATCH(B638,KidIDs,0))</f>
        <v>0</v>
      </c>
      <c r="U638">
        <f>INDEX(Strats,MATCH(B638,KidIDs,0))</f>
        <v>0</v>
      </c>
      <c r="V638">
        <f>INDEX(KidRace,MATCH(B638,KidIDs,0))</f>
        <v>0</v>
      </c>
      <c r="W638">
        <f>IF(OR(V638="M",V638="I"),"H",IF(V638="P","A",V638))</f>
        <v>0</v>
      </c>
      <c r="X638">
        <f>INDEX(StudentTargets,MATCH(B638,KidIDs,0))</f>
        <v>0</v>
      </c>
      <c r="Y638">
        <f>INDEX(ReachStudentTargets,MATCH(B638,KidIDs,0))</f>
        <v>0</v>
      </c>
      <c r="Z638">
        <f>IF(OR(M638="Posse"),1,0)</f>
        <v>0</v>
      </c>
      <c r="AA638">
        <f>IF(ISNUMBER(INDEX(AllCollegeGR, MATCH(N638,AllCollegeNCES,0))),ROUND(INDEX(AllCollegeGR, MATCH(N638,AllCollegeNCES,0))+Z638*IF(INDEX(AllCollegeGR, MATCH(N638,AllCollegeNCES,0))&gt;0.7,(1-INDEX(AllCollegeGR, MATCH(N638,AllCollegeNCES,0)))/2,0.15),2),INDEX(AllCollegeGR, MATCH(N638,AllCollegeNCES,0)))</f>
        <v>0</v>
      </c>
      <c r="AB638">
        <f>IF(ISNUMBER(INDEX(AllCollegeAAHGR, MATCH(N638,AllCollegeNCES,0))),ROUND(INDEX(AllCollegeAAHGR, MATCH(N638,AllCollegeNCES,0))+Z638*IF(INDEX(AllCollegeAAHGR, MATCH(N638,AllCollegeNCES,0))&gt;0.7,(1-INDEX(AllCollegeAAHGR, MATCH(N638,AllCollegeNCES,0)))/2,0.15),2),INDEX(AllCollegeAAHGR, MATCH(N638,AllCollegeNCES,0)))</f>
        <v>0</v>
      </c>
      <c r="AC638">
        <f>IF(OR(W638="H",W638="B"),INDEX(AllCollegeSAT25, MATCH(N638,AllCollegeNCES,0)),INDEX(AllCollegeSAT50, MATCH(N638,AllCollegeNCES,0)))</f>
        <v>0</v>
      </c>
      <c r="AD638">
        <f>INDEX(CustomWeightsGPA,MATCH(W638&amp;":"&amp;N638,CustomWeightsIndex,0))</f>
        <v>0</v>
      </c>
      <c r="AE638">
        <f>INDEX(CustomWeightsSAT,MATCH(W638&amp;":"&amp;N638,CustomWeightsIndex,0))</f>
        <v>0</v>
      </c>
      <c r="AF638">
        <f>INDEX(CustomWeightsIntercept,MATCH(W638&amp;":"&amp;N638,CustomWeightsIndex,0))</f>
        <v>0</v>
      </c>
      <c r="AG638">
        <f>AD638*S638+AE638*T638+AF638</f>
        <v>0</v>
      </c>
      <c r="AH638">
        <f>INDEX(CoefficientsGPA,MATCH(W638&amp;":"&amp;R638,CoefficientsIndex,0))</f>
        <v>0</v>
      </c>
      <c r="AI638">
        <f>INDEX(CoefficientsSAT,MATCH(W638&amp;":"&amp;R638,CoefficientsIndex,0))</f>
        <v>0</v>
      </c>
      <c r="AJ638">
        <f>INDEX(CoefficientsIntercept,MATCH(W638&amp;":"&amp;R638,CoefficientsIndex,0))</f>
        <v>0</v>
      </c>
      <c r="AK638">
        <f>AH638*S638+(T638-AC638)*AI638+AJ638</f>
        <v>0</v>
      </c>
      <c r="AL638">
        <f>IF(ISNUMBER(AG638),AG638,AK638)</f>
        <v>0</v>
      </c>
      <c r="AM638">
        <f>IF(ISNUMBER(AL638),IF(ISNUMBER(AH638),IF(AND(AH638=1,AI638=1,AJ638=1),100,MIN(99,ROUND(100*EXP(AL638)/(1+EXP(AL638)),2))),MIN(99,ROUND(100*EXP(AL638)/(1+EXP(AL638)),2))),IF(ISTEXT(R638),IF(LEFT(R638,1)="2",100,"N/A"),"N/A"))</f>
        <v>0</v>
      </c>
      <c r="AN638">
        <f>IF(ISNUMBER(AM638),IF(AM638&gt;=99,IF(OR(U638=10,U638=11),MatchLabel,SureThingLabel),IF(AM638&gt;=95,SecureLabel,IF(AM638&gt;=80,SafetyLabel,IF(AM638&gt;=50,MatchLabel,IF(AM638&gt;=20,ReachLabel,IF(AM638&gt;=10,LongshotLabel,HailMaryLabel)))))),"Other")</f>
        <v>0</v>
      </c>
      <c r="AO638">
        <f>IF(OR(I638="accepted",I638="cond. accept",I638="summer admit"),IF(J638="yes","CHOICE!","Accepted!"),IF(I638="guar. transfer","Guar. Xfer",IF(I638="denied","Denied",IF(K638=1,"Waitlist",IF(L638=1,"Deferred",IF(G638="pending","Pending",IF(OR(G638="initial materials submitted",G638="mid-year submitted",G638="final submitted"),"Submitted",IF(H638="interest","Interest","?"))))))))</f>
        <v>0</v>
      </c>
      <c r="AP638">
        <f>IF(OR(AN638=ReachLabel,AN638=LongshotLabel,AN638=HailMaryLabel),1,0)</f>
        <v>0</v>
      </c>
      <c r="AQ638">
        <f>IF(OR(AP638=1,AN638=MatchLabel),1,0)</f>
        <v>0</v>
      </c>
      <c r="AR638">
        <f>IF(OR(AN638=MatchLabel,AN638=SafetyLabel,AN638=SecureLabel,AN638=SureThingLabel),1,0)</f>
        <v>0</v>
      </c>
      <c r="AS638">
        <f>IF(OR(W638="H",W638="B",W638="I",W638="M"),IF(ISNUMBER(AB638),ROUND(AB638,2),0),IF(ISNUMBER(AA638),ROUND(AA638,2),0))</f>
        <v>0</v>
      </c>
      <c r="AT638">
        <f>IF(AS638&gt;=X638,1,0)</f>
        <v>0</v>
      </c>
      <c r="AU638">
        <f>IF(AS638&gt;=Y638,1,0)</f>
        <v>0</v>
      </c>
      <c r="AV638">
        <f>IF(AS638&lt;(X638-0.10),1,0)</f>
        <v>0</v>
      </c>
      <c r="AW638">
        <f>1-AM638/100</f>
        <v>0</v>
      </c>
      <c r="AX638">
        <f>IF(AQ638=1,AW638,1)</f>
        <v>0</v>
      </c>
      <c r="AY638">
        <f>IF(AP638=1,AW638,1)</f>
        <v>0</v>
      </c>
      <c r="AZ638">
        <f>IF(AND(AT638=1,ISNUMBER(AW638)),$AW638,1)</f>
        <v>0</v>
      </c>
      <c r="BA638">
        <f>IF(AND(AU638=1,ISNUMBER(AW638)),$AW638,1)</f>
        <v>0</v>
      </c>
      <c r="BB638">
        <f>IF(ISNUMBER(AB638),INDEX(AllCollegeMoney, MATCH(N638,AllCollegeNCES,0)),0)</f>
        <v>0</v>
      </c>
      <c r="BC638">
        <f>IF(AND(AT638=1,ISNUMBER(AW638),BB638=1),$AW638,1)</f>
        <v>0</v>
      </c>
      <c r="BD638">
        <f>IF(AND(AU638=1,ISNUMBER(AW638),BB638=1),$AW638,1)</f>
        <v>0</v>
      </c>
      <c r="BE638">
        <f>IF(ISNUMBER(AB638),INDEX(AllCollegeILPub, MATCH(N638,AllCollegeNCES,0)),0)</f>
        <v>0</v>
      </c>
      <c r="BF638">
        <f>IF(AN638=ReachLabel,AS638,0)</f>
        <v>0</v>
      </c>
      <c r="BG638">
        <f>IF(AN638=MatchLabel,AS638,0)</f>
        <v>0</v>
      </c>
      <c r="BH638">
        <f>IF(AN638=SafetyLabel,AS638,0)</f>
        <v>0</v>
      </c>
      <c r="BI638">
        <f>IF(AN638=SecureLabel,AS638,0)</f>
        <v>0</v>
      </c>
      <c r="BJ638">
        <f>IF(AN638=SureThingLabel,AS638,0)</f>
        <v>0</v>
      </c>
      <c r="BK638">
        <f>MAX(BF638:BJ638)</f>
        <v>0</v>
      </c>
      <c r="BL638">
        <f>MAX(BG638:BJ638)</f>
        <v>0</v>
      </c>
      <c r="BM638">
        <f>MAX(BH638:BJ638)</f>
        <v>0</v>
      </c>
      <c r="BN638">
        <f>IF(AND(AN638=ReachLabel,BB638=1),AS638,0)</f>
        <v>0</v>
      </c>
      <c r="BO638">
        <f>IF(AND(AN638=MatchLabel,BB638=1),AS638,0)</f>
        <v>0</v>
      </c>
      <c r="BP638">
        <f>IF(AND(AN638=SafetyLabel,BB638=1),AS638,0)</f>
        <v>0</v>
      </c>
      <c r="BQ638">
        <f>IF(AND(AN638=SecureLabel,BB638=1),AS638,0)</f>
        <v>0</v>
      </c>
      <c r="BR638">
        <f>IF(AND(AN638=SureThingLabel,BB638=1),AS638,0)</f>
        <v>0</v>
      </c>
      <c r="BS638">
        <f>MAX(BN638:BR638)</f>
        <v>0</v>
      </c>
      <c r="BT638">
        <f>MAX(BO638:BR638)</f>
        <v>0</v>
      </c>
      <c r="BU638">
        <f>MAX(BP638:BR638)</f>
        <v>0</v>
      </c>
      <c r="BV638">
        <f>IF(ISNUMBER(AB638),INDEX(AllCollegeChicago, MATCH(N638,AllCollegeNCES,0))*BB638,0)</f>
        <v>0</v>
      </c>
      <c r="BW638">
        <f>IF(ISNUMBER(AB638),INDEX(AllCollegeMoneyCode, MATCH(N638,AllCollegeNCES,0)),"?")</f>
        <v>0</v>
      </c>
      <c r="BX638">
        <f>IF(OR(BW638="---",BW638="--",BW638="+/--",BW638="+/---"),1,0)</f>
        <v>0</v>
      </c>
      <c r="BY638">
        <f>BB638*AR638*AT638</f>
        <v>0</v>
      </c>
    </row>
    <row r="639" spans="1:77">
      <c r="A639" t="s">
        <v>96</v>
      </c>
      <c r="B639">
        <v>24155152</v>
      </c>
      <c r="C639" t="s">
        <v>231</v>
      </c>
      <c r="D639" t="s">
        <v>232</v>
      </c>
      <c r="E639" t="s">
        <v>446</v>
      </c>
      <c r="F639" t="s">
        <v>475</v>
      </c>
      <c r="G639" t="s">
        <v>479</v>
      </c>
      <c r="H639" t="s">
        <v>449</v>
      </c>
      <c r="I639" t="s">
        <v>450</v>
      </c>
      <c r="J639" t="s">
        <v>450</v>
      </c>
      <c r="K639">
        <v>0</v>
      </c>
      <c r="L639" t="s">
        <v>446</v>
      </c>
      <c r="M639" t="s">
        <v>446</v>
      </c>
      <c r="N639">
        <v>145637</v>
      </c>
      <c r="O639">
        <f>INDEX(Counselor,MATCH(B639,KidIDs,0))</f>
        <v>0</v>
      </c>
      <c r="P639">
        <f>INDEX(Advisors,MATCH(B639,KidIDs,0))</f>
        <v>0</v>
      </c>
      <c r="Q639">
        <f>INDEX(Cohort,MATCH(B639,KidIDs,0))</f>
        <v>0</v>
      </c>
      <c r="R639">
        <f>INDEX(AllCollegeBarrons,MATCH(N639,AllCollegeNCES,0))</f>
        <v>0</v>
      </c>
      <c r="S639">
        <f>INDEX(KidGPAs,MATCH(B639,KidIDs,0))</f>
        <v>0</v>
      </c>
      <c r="T639">
        <f>INDEX(KidSATs,MATCH(B639,KidIDs,0))</f>
        <v>0</v>
      </c>
      <c r="U639">
        <f>INDEX(Strats,MATCH(B639,KidIDs,0))</f>
        <v>0</v>
      </c>
      <c r="V639">
        <f>INDEX(KidRace,MATCH(B639,KidIDs,0))</f>
        <v>0</v>
      </c>
      <c r="W639">
        <f>IF(OR(V639="M",V639="I"),"H",IF(V639="P","A",V639))</f>
        <v>0</v>
      </c>
      <c r="X639">
        <f>INDEX(StudentTargets,MATCH(B639,KidIDs,0))</f>
        <v>0</v>
      </c>
      <c r="Y639">
        <f>INDEX(ReachStudentTargets,MATCH(B639,KidIDs,0))</f>
        <v>0</v>
      </c>
      <c r="Z639">
        <f>IF(OR(M639="Posse"),1,0)</f>
        <v>0</v>
      </c>
      <c r="AA639">
        <f>IF(ISNUMBER(INDEX(AllCollegeGR, MATCH(N639,AllCollegeNCES,0))),ROUND(INDEX(AllCollegeGR, MATCH(N639,AllCollegeNCES,0))+Z639*IF(INDEX(AllCollegeGR, MATCH(N639,AllCollegeNCES,0))&gt;0.7,(1-INDEX(AllCollegeGR, MATCH(N639,AllCollegeNCES,0)))/2,0.15),2),INDEX(AllCollegeGR, MATCH(N639,AllCollegeNCES,0)))</f>
        <v>0</v>
      </c>
      <c r="AB639">
        <f>IF(ISNUMBER(INDEX(AllCollegeAAHGR, MATCH(N639,AllCollegeNCES,0))),ROUND(INDEX(AllCollegeAAHGR, MATCH(N639,AllCollegeNCES,0))+Z639*IF(INDEX(AllCollegeAAHGR, MATCH(N639,AllCollegeNCES,0))&gt;0.7,(1-INDEX(AllCollegeAAHGR, MATCH(N639,AllCollegeNCES,0)))/2,0.15),2),INDEX(AllCollegeAAHGR, MATCH(N639,AllCollegeNCES,0)))</f>
        <v>0</v>
      </c>
      <c r="AC639">
        <f>IF(OR(W639="H",W639="B"),INDEX(AllCollegeSAT25, MATCH(N639,AllCollegeNCES,0)),INDEX(AllCollegeSAT50, MATCH(N639,AllCollegeNCES,0)))</f>
        <v>0</v>
      </c>
      <c r="AD639">
        <f>INDEX(CustomWeightsGPA,MATCH(W639&amp;":"&amp;N639,CustomWeightsIndex,0))</f>
        <v>0</v>
      </c>
      <c r="AE639">
        <f>INDEX(CustomWeightsSAT,MATCH(W639&amp;":"&amp;N639,CustomWeightsIndex,0))</f>
        <v>0</v>
      </c>
      <c r="AF639">
        <f>INDEX(CustomWeightsIntercept,MATCH(W639&amp;":"&amp;N639,CustomWeightsIndex,0))</f>
        <v>0</v>
      </c>
      <c r="AG639">
        <f>AD639*S639+AE639*T639+AF639</f>
        <v>0</v>
      </c>
      <c r="AH639">
        <f>INDEX(CoefficientsGPA,MATCH(W639&amp;":"&amp;R639,CoefficientsIndex,0))</f>
        <v>0</v>
      </c>
      <c r="AI639">
        <f>INDEX(CoefficientsSAT,MATCH(W639&amp;":"&amp;R639,CoefficientsIndex,0))</f>
        <v>0</v>
      </c>
      <c r="AJ639">
        <f>INDEX(CoefficientsIntercept,MATCH(W639&amp;":"&amp;R639,CoefficientsIndex,0))</f>
        <v>0</v>
      </c>
      <c r="AK639">
        <f>AH639*S639+(T639-AC639)*AI639+AJ639</f>
        <v>0</v>
      </c>
      <c r="AL639">
        <f>IF(ISNUMBER(AG639),AG639,AK639)</f>
        <v>0</v>
      </c>
      <c r="AM639">
        <f>IF(ISNUMBER(AL639),IF(ISNUMBER(AH639),IF(AND(AH639=1,AI639=1,AJ639=1),100,MIN(99,ROUND(100*EXP(AL639)/(1+EXP(AL639)),2))),MIN(99,ROUND(100*EXP(AL639)/(1+EXP(AL639)),2))),IF(ISTEXT(R639),IF(LEFT(R639,1)="2",100,"N/A"),"N/A"))</f>
        <v>0</v>
      </c>
      <c r="AN639">
        <f>IF(ISNUMBER(AM639),IF(AM639&gt;=99,IF(OR(U639=10,U639=11),MatchLabel,SureThingLabel),IF(AM639&gt;=95,SecureLabel,IF(AM639&gt;=80,SafetyLabel,IF(AM639&gt;=50,MatchLabel,IF(AM639&gt;=20,ReachLabel,IF(AM639&gt;=10,LongshotLabel,HailMaryLabel)))))),"Other")</f>
        <v>0</v>
      </c>
      <c r="AO639">
        <f>IF(OR(I639="accepted",I639="cond. accept",I639="summer admit"),IF(J639="yes","CHOICE!","Accepted!"),IF(I639="guar. transfer","Guar. Xfer",IF(I639="denied","Denied",IF(K639=1,"Waitlist",IF(L639=1,"Deferred",IF(G639="pending","Pending",IF(OR(G639="initial materials submitted",G639="mid-year submitted",G639="final submitted"),"Submitted",IF(H639="interest","Interest","?"))))))))</f>
        <v>0</v>
      </c>
      <c r="AP639">
        <f>IF(OR(AN639=ReachLabel,AN639=LongshotLabel,AN639=HailMaryLabel),1,0)</f>
        <v>0</v>
      </c>
      <c r="AQ639">
        <f>IF(OR(AP639=1,AN639=MatchLabel),1,0)</f>
        <v>0</v>
      </c>
      <c r="AR639">
        <f>IF(OR(AN639=MatchLabel,AN639=SafetyLabel,AN639=SecureLabel,AN639=SureThingLabel),1,0)</f>
        <v>0</v>
      </c>
      <c r="AS639">
        <f>IF(OR(W639="H",W639="B",W639="I",W639="M"),IF(ISNUMBER(AB639),ROUND(AB639,2),0),IF(ISNUMBER(AA639),ROUND(AA639,2),0))</f>
        <v>0</v>
      </c>
      <c r="AT639">
        <f>IF(AS639&gt;=X639,1,0)</f>
        <v>0</v>
      </c>
      <c r="AU639">
        <f>IF(AS639&gt;=Y639,1,0)</f>
        <v>0</v>
      </c>
      <c r="AV639">
        <f>IF(AS639&lt;(X639-0.10),1,0)</f>
        <v>0</v>
      </c>
      <c r="AW639">
        <f>1-AM639/100</f>
        <v>0</v>
      </c>
      <c r="AX639">
        <f>IF(AQ639=1,AW639,1)</f>
        <v>0</v>
      </c>
      <c r="AY639">
        <f>IF(AP639=1,AW639,1)</f>
        <v>0</v>
      </c>
      <c r="AZ639">
        <f>IF(AND(AT639=1,ISNUMBER(AW639)),$AW639,1)</f>
        <v>0</v>
      </c>
      <c r="BA639">
        <f>IF(AND(AU639=1,ISNUMBER(AW639)),$AW639,1)</f>
        <v>0</v>
      </c>
      <c r="BB639">
        <f>IF(ISNUMBER(AB639),INDEX(AllCollegeMoney, MATCH(N639,AllCollegeNCES,0)),0)</f>
        <v>0</v>
      </c>
      <c r="BC639">
        <f>IF(AND(AT639=1,ISNUMBER(AW639),BB639=1),$AW639,1)</f>
        <v>0</v>
      </c>
      <c r="BD639">
        <f>IF(AND(AU639=1,ISNUMBER(AW639),BB639=1),$AW639,1)</f>
        <v>0</v>
      </c>
      <c r="BE639">
        <f>IF(ISNUMBER(AB639),INDEX(AllCollegeILPub, MATCH(N639,AllCollegeNCES,0)),0)</f>
        <v>0</v>
      </c>
      <c r="BF639">
        <f>IF(AN639=ReachLabel,AS639,0)</f>
        <v>0</v>
      </c>
      <c r="BG639">
        <f>IF(AN639=MatchLabel,AS639,0)</f>
        <v>0</v>
      </c>
      <c r="BH639">
        <f>IF(AN639=SafetyLabel,AS639,0)</f>
        <v>0</v>
      </c>
      <c r="BI639">
        <f>IF(AN639=SecureLabel,AS639,0)</f>
        <v>0</v>
      </c>
      <c r="BJ639">
        <f>IF(AN639=SureThingLabel,AS639,0)</f>
        <v>0</v>
      </c>
      <c r="BK639">
        <f>MAX(BF639:BJ639)</f>
        <v>0</v>
      </c>
      <c r="BL639">
        <f>MAX(BG639:BJ639)</f>
        <v>0</v>
      </c>
      <c r="BM639">
        <f>MAX(BH639:BJ639)</f>
        <v>0</v>
      </c>
      <c r="BN639">
        <f>IF(AND(AN639=ReachLabel,BB639=1),AS639,0)</f>
        <v>0</v>
      </c>
      <c r="BO639">
        <f>IF(AND(AN639=MatchLabel,BB639=1),AS639,0)</f>
        <v>0</v>
      </c>
      <c r="BP639">
        <f>IF(AND(AN639=SafetyLabel,BB639=1),AS639,0)</f>
        <v>0</v>
      </c>
      <c r="BQ639">
        <f>IF(AND(AN639=SecureLabel,BB639=1),AS639,0)</f>
        <v>0</v>
      </c>
      <c r="BR639">
        <f>IF(AND(AN639=SureThingLabel,BB639=1),AS639,0)</f>
        <v>0</v>
      </c>
      <c r="BS639">
        <f>MAX(BN639:BR639)</f>
        <v>0</v>
      </c>
      <c r="BT639">
        <f>MAX(BO639:BR639)</f>
        <v>0</v>
      </c>
      <c r="BU639">
        <f>MAX(BP639:BR639)</f>
        <v>0</v>
      </c>
      <c r="BV639">
        <f>IF(ISNUMBER(AB639),INDEX(AllCollegeChicago, MATCH(N639,AllCollegeNCES,0))*BB639,0)</f>
        <v>0</v>
      </c>
      <c r="BW639">
        <f>IF(ISNUMBER(AB639),INDEX(AllCollegeMoneyCode, MATCH(N639,AllCollegeNCES,0)),"?")</f>
        <v>0</v>
      </c>
      <c r="BX639">
        <f>IF(OR(BW639="---",BW639="--",BW639="+/--",BW639="+/---"),1,0)</f>
        <v>0</v>
      </c>
      <c r="BY639">
        <f>BB639*AR639*AT639</f>
        <v>0</v>
      </c>
    </row>
    <row r="640" spans="1:77">
      <c r="A640" t="s">
        <v>96</v>
      </c>
      <c r="B640">
        <v>24155152</v>
      </c>
      <c r="C640" t="s">
        <v>231</v>
      </c>
      <c r="D640" t="s">
        <v>232</v>
      </c>
      <c r="E640" t="s">
        <v>446</v>
      </c>
      <c r="F640" t="s">
        <v>477</v>
      </c>
      <c r="G640" t="s">
        <v>448</v>
      </c>
      <c r="H640" t="s">
        <v>449</v>
      </c>
      <c r="I640" t="s">
        <v>450</v>
      </c>
      <c r="J640" t="s">
        <v>450</v>
      </c>
      <c r="K640">
        <v>0</v>
      </c>
      <c r="L640" t="s">
        <v>446</v>
      </c>
      <c r="M640" t="s">
        <v>446</v>
      </c>
      <c r="N640">
        <v>146427</v>
      </c>
      <c r="O640">
        <f>INDEX(Counselor,MATCH(B640,KidIDs,0))</f>
        <v>0</v>
      </c>
      <c r="P640">
        <f>INDEX(Advisors,MATCH(B640,KidIDs,0))</f>
        <v>0</v>
      </c>
      <c r="Q640">
        <f>INDEX(Cohort,MATCH(B640,KidIDs,0))</f>
        <v>0</v>
      </c>
      <c r="R640">
        <f>INDEX(AllCollegeBarrons,MATCH(N640,AllCollegeNCES,0))</f>
        <v>0</v>
      </c>
      <c r="S640">
        <f>INDEX(KidGPAs,MATCH(B640,KidIDs,0))</f>
        <v>0</v>
      </c>
      <c r="T640">
        <f>INDEX(KidSATs,MATCH(B640,KidIDs,0))</f>
        <v>0</v>
      </c>
      <c r="U640">
        <f>INDEX(Strats,MATCH(B640,KidIDs,0))</f>
        <v>0</v>
      </c>
      <c r="V640">
        <f>INDEX(KidRace,MATCH(B640,KidIDs,0))</f>
        <v>0</v>
      </c>
      <c r="W640">
        <f>IF(OR(V640="M",V640="I"),"H",IF(V640="P","A",V640))</f>
        <v>0</v>
      </c>
      <c r="X640">
        <f>INDEX(StudentTargets,MATCH(B640,KidIDs,0))</f>
        <v>0</v>
      </c>
      <c r="Y640">
        <f>INDEX(ReachStudentTargets,MATCH(B640,KidIDs,0))</f>
        <v>0</v>
      </c>
      <c r="Z640">
        <f>IF(OR(M640="Posse"),1,0)</f>
        <v>0</v>
      </c>
      <c r="AA640">
        <f>IF(ISNUMBER(INDEX(AllCollegeGR, MATCH(N640,AllCollegeNCES,0))),ROUND(INDEX(AllCollegeGR, MATCH(N640,AllCollegeNCES,0))+Z640*IF(INDEX(AllCollegeGR, MATCH(N640,AllCollegeNCES,0))&gt;0.7,(1-INDEX(AllCollegeGR, MATCH(N640,AllCollegeNCES,0)))/2,0.15),2),INDEX(AllCollegeGR, MATCH(N640,AllCollegeNCES,0)))</f>
        <v>0</v>
      </c>
      <c r="AB640">
        <f>IF(ISNUMBER(INDEX(AllCollegeAAHGR, MATCH(N640,AllCollegeNCES,0))),ROUND(INDEX(AllCollegeAAHGR, MATCH(N640,AllCollegeNCES,0))+Z640*IF(INDEX(AllCollegeAAHGR, MATCH(N640,AllCollegeNCES,0))&gt;0.7,(1-INDEX(AllCollegeAAHGR, MATCH(N640,AllCollegeNCES,0)))/2,0.15),2),INDEX(AllCollegeAAHGR, MATCH(N640,AllCollegeNCES,0)))</f>
        <v>0</v>
      </c>
      <c r="AC640">
        <f>IF(OR(W640="H",W640="B"),INDEX(AllCollegeSAT25, MATCH(N640,AllCollegeNCES,0)),INDEX(AllCollegeSAT50, MATCH(N640,AllCollegeNCES,0)))</f>
        <v>0</v>
      </c>
      <c r="AD640">
        <f>INDEX(CustomWeightsGPA,MATCH(W640&amp;":"&amp;N640,CustomWeightsIndex,0))</f>
        <v>0</v>
      </c>
      <c r="AE640">
        <f>INDEX(CustomWeightsSAT,MATCH(W640&amp;":"&amp;N640,CustomWeightsIndex,0))</f>
        <v>0</v>
      </c>
      <c r="AF640">
        <f>INDEX(CustomWeightsIntercept,MATCH(W640&amp;":"&amp;N640,CustomWeightsIndex,0))</f>
        <v>0</v>
      </c>
      <c r="AG640">
        <f>AD640*S640+AE640*T640+AF640</f>
        <v>0</v>
      </c>
      <c r="AH640">
        <f>INDEX(CoefficientsGPA,MATCH(W640&amp;":"&amp;R640,CoefficientsIndex,0))</f>
        <v>0</v>
      </c>
      <c r="AI640">
        <f>INDEX(CoefficientsSAT,MATCH(W640&amp;":"&amp;R640,CoefficientsIndex,0))</f>
        <v>0</v>
      </c>
      <c r="AJ640">
        <f>INDEX(CoefficientsIntercept,MATCH(W640&amp;":"&amp;R640,CoefficientsIndex,0))</f>
        <v>0</v>
      </c>
      <c r="AK640">
        <f>AH640*S640+(T640-AC640)*AI640+AJ640</f>
        <v>0</v>
      </c>
      <c r="AL640">
        <f>IF(ISNUMBER(AG640),AG640,AK640)</f>
        <v>0</v>
      </c>
      <c r="AM640">
        <f>IF(ISNUMBER(AL640),IF(ISNUMBER(AH640),IF(AND(AH640=1,AI640=1,AJ640=1),100,MIN(99,ROUND(100*EXP(AL640)/(1+EXP(AL640)),2))),MIN(99,ROUND(100*EXP(AL640)/(1+EXP(AL640)),2))),IF(ISTEXT(R640),IF(LEFT(R640,1)="2",100,"N/A"),"N/A"))</f>
        <v>0</v>
      </c>
      <c r="AN640">
        <f>IF(ISNUMBER(AM640),IF(AM640&gt;=99,IF(OR(U640=10,U640=11),MatchLabel,SureThingLabel),IF(AM640&gt;=95,SecureLabel,IF(AM640&gt;=80,SafetyLabel,IF(AM640&gt;=50,MatchLabel,IF(AM640&gt;=20,ReachLabel,IF(AM640&gt;=10,LongshotLabel,HailMaryLabel)))))),"Other")</f>
        <v>0</v>
      </c>
      <c r="AO640">
        <f>IF(OR(I640="accepted",I640="cond. accept",I640="summer admit"),IF(J640="yes","CHOICE!","Accepted!"),IF(I640="guar. transfer","Guar. Xfer",IF(I640="denied","Denied",IF(K640=1,"Waitlist",IF(L640=1,"Deferred",IF(G640="pending","Pending",IF(OR(G640="initial materials submitted",G640="mid-year submitted",G640="final submitted"),"Submitted",IF(H640="interest","Interest","?"))))))))</f>
        <v>0</v>
      </c>
      <c r="AP640">
        <f>IF(OR(AN640=ReachLabel,AN640=LongshotLabel,AN640=HailMaryLabel),1,0)</f>
        <v>0</v>
      </c>
      <c r="AQ640">
        <f>IF(OR(AP640=1,AN640=MatchLabel),1,0)</f>
        <v>0</v>
      </c>
      <c r="AR640">
        <f>IF(OR(AN640=MatchLabel,AN640=SafetyLabel,AN640=SecureLabel,AN640=SureThingLabel),1,0)</f>
        <v>0</v>
      </c>
      <c r="AS640">
        <f>IF(OR(W640="H",W640="B",W640="I",W640="M"),IF(ISNUMBER(AB640),ROUND(AB640,2),0),IF(ISNUMBER(AA640),ROUND(AA640,2),0))</f>
        <v>0</v>
      </c>
      <c r="AT640">
        <f>IF(AS640&gt;=X640,1,0)</f>
        <v>0</v>
      </c>
      <c r="AU640">
        <f>IF(AS640&gt;=Y640,1,0)</f>
        <v>0</v>
      </c>
      <c r="AV640">
        <f>IF(AS640&lt;(X640-0.10),1,0)</f>
        <v>0</v>
      </c>
      <c r="AW640">
        <f>1-AM640/100</f>
        <v>0</v>
      </c>
      <c r="AX640">
        <f>IF(AQ640=1,AW640,1)</f>
        <v>0</v>
      </c>
      <c r="AY640">
        <f>IF(AP640=1,AW640,1)</f>
        <v>0</v>
      </c>
      <c r="AZ640">
        <f>IF(AND(AT640=1,ISNUMBER(AW640)),$AW640,1)</f>
        <v>0</v>
      </c>
      <c r="BA640">
        <f>IF(AND(AU640=1,ISNUMBER(AW640)),$AW640,1)</f>
        <v>0</v>
      </c>
      <c r="BB640">
        <f>IF(ISNUMBER(AB640),INDEX(AllCollegeMoney, MATCH(N640,AllCollegeNCES,0)),0)</f>
        <v>0</v>
      </c>
      <c r="BC640">
        <f>IF(AND(AT640=1,ISNUMBER(AW640),BB640=1),$AW640,1)</f>
        <v>0</v>
      </c>
      <c r="BD640">
        <f>IF(AND(AU640=1,ISNUMBER(AW640),BB640=1),$AW640,1)</f>
        <v>0</v>
      </c>
      <c r="BE640">
        <f>IF(ISNUMBER(AB640),INDEX(AllCollegeILPub, MATCH(N640,AllCollegeNCES,0)),0)</f>
        <v>0</v>
      </c>
      <c r="BF640">
        <f>IF(AN640=ReachLabel,AS640,0)</f>
        <v>0</v>
      </c>
      <c r="BG640">
        <f>IF(AN640=MatchLabel,AS640,0)</f>
        <v>0</v>
      </c>
      <c r="BH640">
        <f>IF(AN640=SafetyLabel,AS640,0)</f>
        <v>0</v>
      </c>
      <c r="BI640">
        <f>IF(AN640=SecureLabel,AS640,0)</f>
        <v>0</v>
      </c>
      <c r="BJ640">
        <f>IF(AN640=SureThingLabel,AS640,0)</f>
        <v>0</v>
      </c>
      <c r="BK640">
        <f>MAX(BF640:BJ640)</f>
        <v>0</v>
      </c>
      <c r="BL640">
        <f>MAX(BG640:BJ640)</f>
        <v>0</v>
      </c>
      <c r="BM640">
        <f>MAX(BH640:BJ640)</f>
        <v>0</v>
      </c>
      <c r="BN640">
        <f>IF(AND(AN640=ReachLabel,BB640=1),AS640,0)</f>
        <v>0</v>
      </c>
      <c r="BO640">
        <f>IF(AND(AN640=MatchLabel,BB640=1),AS640,0)</f>
        <v>0</v>
      </c>
      <c r="BP640">
        <f>IF(AND(AN640=SafetyLabel,BB640=1),AS640,0)</f>
        <v>0</v>
      </c>
      <c r="BQ640">
        <f>IF(AND(AN640=SecureLabel,BB640=1),AS640,0)</f>
        <v>0</v>
      </c>
      <c r="BR640">
        <f>IF(AND(AN640=SureThingLabel,BB640=1),AS640,0)</f>
        <v>0</v>
      </c>
      <c r="BS640">
        <f>MAX(BN640:BR640)</f>
        <v>0</v>
      </c>
      <c r="BT640">
        <f>MAX(BO640:BR640)</f>
        <v>0</v>
      </c>
      <c r="BU640">
        <f>MAX(BP640:BR640)</f>
        <v>0</v>
      </c>
      <c r="BV640">
        <f>IF(ISNUMBER(AB640),INDEX(AllCollegeChicago, MATCH(N640,AllCollegeNCES,0))*BB640,0)</f>
        <v>0</v>
      </c>
      <c r="BW640">
        <f>IF(ISNUMBER(AB640),INDEX(AllCollegeMoneyCode, MATCH(N640,AllCollegeNCES,0)),"?")</f>
        <v>0</v>
      </c>
      <c r="BX640">
        <f>IF(OR(BW640="---",BW640="--",BW640="+/--",BW640="+/---"),1,0)</f>
        <v>0</v>
      </c>
      <c r="BY640">
        <f>BB640*AR640*AT640</f>
        <v>0</v>
      </c>
    </row>
    <row r="641" spans="1:77">
      <c r="A641" t="s">
        <v>96</v>
      </c>
      <c r="B641">
        <v>24155152</v>
      </c>
      <c r="C641" t="s">
        <v>231</v>
      </c>
      <c r="D641" t="s">
        <v>232</v>
      </c>
      <c r="E641" t="s">
        <v>446</v>
      </c>
      <c r="F641" t="s">
        <v>489</v>
      </c>
      <c r="G641" t="s">
        <v>479</v>
      </c>
      <c r="H641" t="s">
        <v>449</v>
      </c>
      <c r="I641" t="s">
        <v>450</v>
      </c>
      <c r="J641" t="s">
        <v>450</v>
      </c>
      <c r="K641">
        <v>0</v>
      </c>
      <c r="L641" t="s">
        <v>446</v>
      </c>
      <c r="M641" t="s">
        <v>446</v>
      </c>
      <c r="N641">
        <v>170301</v>
      </c>
      <c r="O641">
        <f>INDEX(Counselor,MATCH(B641,KidIDs,0))</f>
        <v>0</v>
      </c>
      <c r="P641">
        <f>INDEX(Advisors,MATCH(B641,KidIDs,0))</f>
        <v>0</v>
      </c>
      <c r="Q641">
        <f>INDEX(Cohort,MATCH(B641,KidIDs,0))</f>
        <v>0</v>
      </c>
      <c r="R641">
        <f>INDEX(AllCollegeBarrons,MATCH(N641,AllCollegeNCES,0))</f>
        <v>0</v>
      </c>
      <c r="S641">
        <f>INDEX(KidGPAs,MATCH(B641,KidIDs,0))</f>
        <v>0</v>
      </c>
      <c r="T641">
        <f>INDEX(KidSATs,MATCH(B641,KidIDs,0))</f>
        <v>0</v>
      </c>
      <c r="U641">
        <f>INDEX(Strats,MATCH(B641,KidIDs,0))</f>
        <v>0</v>
      </c>
      <c r="V641">
        <f>INDEX(KidRace,MATCH(B641,KidIDs,0))</f>
        <v>0</v>
      </c>
      <c r="W641">
        <f>IF(OR(V641="M",V641="I"),"H",IF(V641="P","A",V641))</f>
        <v>0</v>
      </c>
      <c r="X641">
        <f>INDEX(StudentTargets,MATCH(B641,KidIDs,0))</f>
        <v>0</v>
      </c>
      <c r="Y641">
        <f>INDEX(ReachStudentTargets,MATCH(B641,KidIDs,0))</f>
        <v>0</v>
      </c>
      <c r="Z641">
        <f>IF(OR(M641="Posse"),1,0)</f>
        <v>0</v>
      </c>
      <c r="AA641">
        <f>IF(ISNUMBER(INDEX(AllCollegeGR, MATCH(N641,AllCollegeNCES,0))),ROUND(INDEX(AllCollegeGR, MATCH(N641,AllCollegeNCES,0))+Z641*IF(INDEX(AllCollegeGR, MATCH(N641,AllCollegeNCES,0))&gt;0.7,(1-INDEX(AllCollegeGR, MATCH(N641,AllCollegeNCES,0)))/2,0.15),2),INDEX(AllCollegeGR, MATCH(N641,AllCollegeNCES,0)))</f>
        <v>0</v>
      </c>
      <c r="AB641">
        <f>IF(ISNUMBER(INDEX(AllCollegeAAHGR, MATCH(N641,AllCollegeNCES,0))),ROUND(INDEX(AllCollegeAAHGR, MATCH(N641,AllCollegeNCES,0))+Z641*IF(INDEX(AllCollegeAAHGR, MATCH(N641,AllCollegeNCES,0))&gt;0.7,(1-INDEX(AllCollegeAAHGR, MATCH(N641,AllCollegeNCES,0)))/2,0.15),2),INDEX(AllCollegeAAHGR, MATCH(N641,AllCollegeNCES,0)))</f>
        <v>0</v>
      </c>
      <c r="AC641">
        <f>IF(OR(W641="H",W641="B"),INDEX(AllCollegeSAT25, MATCH(N641,AllCollegeNCES,0)),INDEX(AllCollegeSAT50, MATCH(N641,AllCollegeNCES,0)))</f>
        <v>0</v>
      </c>
      <c r="AD641">
        <f>INDEX(CustomWeightsGPA,MATCH(W641&amp;":"&amp;N641,CustomWeightsIndex,0))</f>
        <v>0</v>
      </c>
      <c r="AE641">
        <f>INDEX(CustomWeightsSAT,MATCH(W641&amp;":"&amp;N641,CustomWeightsIndex,0))</f>
        <v>0</v>
      </c>
      <c r="AF641">
        <f>INDEX(CustomWeightsIntercept,MATCH(W641&amp;":"&amp;N641,CustomWeightsIndex,0))</f>
        <v>0</v>
      </c>
      <c r="AG641">
        <f>AD641*S641+AE641*T641+AF641</f>
        <v>0</v>
      </c>
      <c r="AH641">
        <f>INDEX(CoefficientsGPA,MATCH(W641&amp;":"&amp;R641,CoefficientsIndex,0))</f>
        <v>0</v>
      </c>
      <c r="AI641">
        <f>INDEX(CoefficientsSAT,MATCH(W641&amp;":"&amp;R641,CoefficientsIndex,0))</f>
        <v>0</v>
      </c>
      <c r="AJ641">
        <f>INDEX(CoefficientsIntercept,MATCH(W641&amp;":"&amp;R641,CoefficientsIndex,0))</f>
        <v>0</v>
      </c>
      <c r="AK641">
        <f>AH641*S641+(T641-AC641)*AI641+AJ641</f>
        <v>0</v>
      </c>
      <c r="AL641">
        <f>IF(ISNUMBER(AG641),AG641,AK641)</f>
        <v>0</v>
      </c>
      <c r="AM641">
        <f>IF(ISNUMBER(AL641),IF(ISNUMBER(AH641),IF(AND(AH641=1,AI641=1,AJ641=1),100,MIN(99,ROUND(100*EXP(AL641)/(1+EXP(AL641)),2))),MIN(99,ROUND(100*EXP(AL641)/(1+EXP(AL641)),2))),IF(ISTEXT(R641),IF(LEFT(R641,1)="2",100,"N/A"),"N/A"))</f>
        <v>0</v>
      </c>
      <c r="AN641">
        <f>IF(ISNUMBER(AM641),IF(AM641&gt;=99,IF(OR(U641=10,U641=11),MatchLabel,SureThingLabel),IF(AM641&gt;=95,SecureLabel,IF(AM641&gt;=80,SafetyLabel,IF(AM641&gt;=50,MatchLabel,IF(AM641&gt;=20,ReachLabel,IF(AM641&gt;=10,LongshotLabel,HailMaryLabel)))))),"Other")</f>
        <v>0</v>
      </c>
      <c r="AO641">
        <f>IF(OR(I641="accepted",I641="cond. accept",I641="summer admit"),IF(J641="yes","CHOICE!","Accepted!"),IF(I641="guar. transfer","Guar. Xfer",IF(I641="denied","Denied",IF(K641=1,"Waitlist",IF(L641=1,"Deferred",IF(G641="pending","Pending",IF(OR(G641="initial materials submitted",G641="mid-year submitted",G641="final submitted"),"Submitted",IF(H641="interest","Interest","?"))))))))</f>
        <v>0</v>
      </c>
      <c r="AP641">
        <f>IF(OR(AN641=ReachLabel,AN641=LongshotLabel,AN641=HailMaryLabel),1,0)</f>
        <v>0</v>
      </c>
      <c r="AQ641">
        <f>IF(OR(AP641=1,AN641=MatchLabel),1,0)</f>
        <v>0</v>
      </c>
      <c r="AR641">
        <f>IF(OR(AN641=MatchLabel,AN641=SafetyLabel,AN641=SecureLabel,AN641=SureThingLabel),1,0)</f>
        <v>0</v>
      </c>
      <c r="AS641">
        <f>IF(OR(W641="H",W641="B",W641="I",W641="M"),IF(ISNUMBER(AB641),ROUND(AB641,2),0),IF(ISNUMBER(AA641),ROUND(AA641,2),0))</f>
        <v>0</v>
      </c>
      <c r="AT641">
        <f>IF(AS641&gt;=X641,1,0)</f>
        <v>0</v>
      </c>
      <c r="AU641">
        <f>IF(AS641&gt;=Y641,1,0)</f>
        <v>0</v>
      </c>
      <c r="AV641">
        <f>IF(AS641&lt;(X641-0.10),1,0)</f>
        <v>0</v>
      </c>
      <c r="AW641">
        <f>1-AM641/100</f>
        <v>0</v>
      </c>
      <c r="AX641">
        <f>IF(AQ641=1,AW641,1)</f>
        <v>0</v>
      </c>
      <c r="AY641">
        <f>IF(AP641=1,AW641,1)</f>
        <v>0</v>
      </c>
      <c r="AZ641">
        <f>IF(AND(AT641=1,ISNUMBER(AW641)),$AW641,1)</f>
        <v>0</v>
      </c>
      <c r="BA641">
        <f>IF(AND(AU641=1,ISNUMBER(AW641)),$AW641,1)</f>
        <v>0</v>
      </c>
      <c r="BB641">
        <f>IF(ISNUMBER(AB641),INDEX(AllCollegeMoney, MATCH(N641,AllCollegeNCES,0)),0)</f>
        <v>0</v>
      </c>
      <c r="BC641">
        <f>IF(AND(AT641=1,ISNUMBER(AW641),BB641=1),$AW641,1)</f>
        <v>0</v>
      </c>
      <c r="BD641">
        <f>IF(AND(AU641=1,ISNUMBER(AW641),BB641=1),$AW641,1)</f>
        <v>0</v>
      </c>
      <c r="BE641">
        <f>IF(ISNUMBER(AB641),INDEX(AllCollegeILPub, MATCH(N641,AllCollegeNCES,0)),0)</f>
        <v>0</v>
      </c>
      <c r="BF641">
        <f>IF(AN641=ReachLabel,AS641,0)</f>
        <v>0</v>
      </c>
      <c r="BG641">
        <f>IF(AN641=MatchLabel,AS641,0)</f>
        <v>0</v>
      </c>
      <c r="BH641">
        <f>IF(AN641=SafetyLabel,AS641,0)</f>
        <v>0</v>
      </c>
      <c r="BI641">
        <f>IF(AN641=SecureLabel,AS641,0)</f>
        <v>0</v>
      </c>
      <c r="BJ641">
        <f>IF(AN641=SureThingLabel,AS641,0)</f>
        <v>0</v>
      </c>
      <c r="BK641">
        <f>MAX(BF641:BJ641)</f>
        <v>0</v>
      </c>
      <c r="BL641">
        <f>MAX(BG641:BJ641)</f>
        <v>0</v>
      </c>
      <c r="BM641">
        <f>MAX(BH641:BJ641)</f>
        <v>0</v>
      </c>
      <c r="BN641">
        <f>IF(AND(AN641=ReachLabel,BB641=1),AS641,0)</f>
        <v>0</v>
      </c>
      <c r="BO641">
        <f>IF(AND(AN641=MatchLabel,BB641=1),AS641,0)</f>
        <v>0</v>
      </c>
      <c r="BP641">
        <f>IF(AND(AN641=SafetyLabel,BB641=1),AS641,0)</f>
        <v>0</v>
      </c>
      <c r="BQ641">
        <f>IF(AND(AN641=SecureLabel,BB641=1),AS641,0)</f>
        <v>0</v>
      </c>
      <c r="BR641">
        <f>IF(AND(AN641=SureThingLabel,BB641=1),AS641,0)</f>
        <v>0</v>
      </c>
      <c r="BS641">
        <f>MAX(BN641:BR641)</f>
        <v>0</v>
      </c>
      <c r="BT641">
        <f>MAX(BO641:BR641)</f>
        <v>0</v>
      </c>
      <c r="BU641">
        <f>MAX(BP641:BR641)</f>
        <v>0</v>
      </c>
      <c r="BV641">
        <f>IF(ISNUMBER(AB641),INDEX(AllCollegeChicago, MATCH(N641,AllCollegeNCES,0))*BB641,0)</f>
        <v>0</v>
      </c>
      <c r="BW641">
        <f>IF(ISNUMBER(AB641),INDEX(AllCollegeMoneyCode, MATCH(N641,AllCollegeNCES,0)),"?")</f>
        <v>0</v>
      </c>
      <c r="BX641">
        <f>IF(OR(BW641="---",BW641="--",BW641="+/--",BW641="+/---"),1,0)</f>
        <v>0</v>
      </c>
      <c r="BY641">
        <f>BB641*AR641*AT641</f>
        <v>0</v>
      </c>
    </row>
    <row r="642" spans="1:77">
      <c r="A642" t="s">
        <v>96</v>
      </c>
      <c r="B642">
        <v>24155152</v>
      </c>
      <c r="C642" t="s">
        <v>231</v>
      </c>
      <c r="D642" t="s">
        <v>232</v>
      </c>
      <c r="E642" t="s">
        <v>446</v>
      </c>
      <c r="F642" t="s">
        <v>478</v>
      </c>
      <c r="G642" t="s">
        <v>479</v>
      </c>
      <c r="H642" t="s">
        <v>449</v>
      </c>
      <c r="I642" t="s">
        <v>450</v>
      </c>
      <c r="J642" t="s">
        <v>450</v>
      </c>
      <c r="K642">
        <v>0</v>
      </c>
      <c r="L642" t="s">
        <v>446</v>
      </c>
      <c r="M642" t="s">
        <v>446</v>
      </c>
      <c r="N642">
        <v>168546</v>
      </c>
      <c r="O642">
        <f>INDEX(Counselor,MATCH(B642,KidIDs,0))</f>
        <v>0</v>
      </c>
      <c r="P642">
        <f>INDEX(Advisors,MATCH(B642,KidIDs,0))</f>
        <v>0</v>
      </c>
      <c r="Q642">
        <f>INDEX(Cohort,MATCH(B642,KidIDs,0))</f>
        <v>0</v>
      </c>
      <c r="R642">
        <f>INDEX(AllCollegeBarrons,MATCH(N642,AllCollegeNCES,0))</f>
        <v>0</v>
      </c>
      <c r="S642">
        <f>INDEX(KidGPAs,MATCH(B642,KidIDs,0))</f>
        <v>0</v>
      </c>
      <c r="T642">
        <f>INDEX(KidSATs,MATCH(B642,KidIDs,0))</f>
        <v>0</v>
      </c>
      <c r="U642">
        <f>INDEX(Strats,MATCH(B642,KidIDs,0))</f>
        <v>0</v>
      </c>
      <c r="V642">
        <f>INDEX(KidRace,MATCH(B642,KidIDs,0))</f>
        <v>0</v>
      </c>
      <c r="W642">
        <f>IF(OR(V642="M",V642="I"),"H",IF(V642="P","A",V642))</f>
        <v>0</v>
      </c>
      <c r="X642">
        <f>INDEX(StudentTargets,MATCH(B642,KidIDs,0))</f>
        <v>0</v>
      </c>
      <c r="Y642">
        <f>INDEX(ReachStudentTargets,MATCH(B642,KidIDs,0))</f>
        <v>0</v>
      </c>
      <c r="Z642">
        <f>IF(OR(M642="Posse"),1,0)</f>
        <v>0</v>
      </c>
      <c r="AA642">
        <f>IF(ISNUMBER(INDEX(AllCollegeGR, MATCH(N642,AllCollegeNCES,0))),ROUND(INDEX(AllCollegeGR, MATCH(N642,AllCollegeNCES,0))+Z642*IF(INDEX(AllCollegeGR, MATCH(N642,AllCollegeNCES,0))&gt;0.7,(1-INDEX(AllCollegeGR, MATCH(N642,AllCollegeNCES,0)))/2,0.15),2),INDEX(AllCollegeGR, MATCH(N642,AllCollegeNCES,0)))</f>
        <v>0</v>
      </c>
      <c r="AB642">
        <f>IF(ISNUMBER(INDEX(AllCollegeAAHGR, MATCH(N642,AllCollegeNCES,0))),ROUND(INDEX(AllCollegeAAHGR, MATCH(N642,AllCollegeNCES,0))+Z642*IF(INDEX(AllCollegeAAHGR, MATCH(N642,AllCollegeNCES,0))&gt;0.7,(1-INDEX(AllCollegeAAHGR, MATCH(N642,AllCollegeNCES,0)))/2,0.15),2),INDEX(AllCollegeAAHGR, MATCH(N642,AllCollegeNCES,0)))</f>
        <v>0</v>
      </c>
      <c r="AC642">
        <f>IF(OR(W642="H",W642="B"),INDEX(AllCollegeSAT25, MATCH(N642,AllCollegeNCES,0)),INDEX(AllCollegeSAT50, MATCH(N642,AllCollegeNCES,0)))</f>
        <v>0</v>
      </c>
      <c r="AD642">
        <f>INDEX(CustomWeightsGPA,MATCH(W642&amp;":"&amp;N642,CustomWeightsIndex,0))</f>
        <v>0</v>
      </c>
      <c r="AE642">
        <f>INDEX(CustomWeightsSAT,MATCH(W642&amp;":"&amp;N642,CustomWeightsIndex,0))</f>
        <v>0</v>
      </c>
      <c r="AF642">
        <f>INDEX(CustomWeightsIntercept,MATCH(W642&amp;":"&amp;N642,CustomWeightsIndex,0))</f>
        <v>0</v>
      </c>
      <c r="AG642">
        <f>AD642*S642+AE642*T642+AF642</f>
        <v>0</v>
      </c>
      <c r="AH642">
        <f>INDEX(CoefficientsGPA,MATCH(W642&amp;":"&amp;R642,CoefficientsIndex,0))</f>
        <v>0</v>
      </c>
      <c r="AI642">
        <f>INDEX(CoefficientsSAT,MATCH(W642&amp;":"&amp;R642,CoefficientsIndex,0))</f>
        <v>0</v>
      </c>
      <c r="AJ642">
        <f>INDEX(CoefficientsIntercept,MATCH(W642&amp;":"&amp;R642,CoefficientsIndex,0))</f>
        <v>0</v>
      </c>
      <c r="AK642">
        <f>AH642*S642+(T642-AC642)*AI642+AJ642</f>
        <v>0</v>
      </c>
      <c r="AL642">
        <f>IF(ISNUMBER(AG642),AG642,AK642)</f>
        <v>0</v>
      </c>
      <c r="AM642">
        <f>IF(ISNUMBER(AL642),IF(ISNUMBER(AH642),IF(AND(AH642=1,AI642=1,AJ642=1),100,MIN(99,ROUND(100*EXP(AL642)/(1+EXP(AL642)),2))),MIN(99,ROUND(100*EXP(AL642)/(1+EXP(AL642)),2))),IF(ISTEXT(R642),IF(LEFT(R642,1)="2",100,"N/A"),"N/A"))</f>
        <v>0</v>
      </c>
      <c r="AN642">
        <f>IF(ISNUMBER(AM642),IF(AM642&gt;=99,IF(OR(U642=10,U642=11),MatchLabel,SureThingLabel),IF(AM642&gt;=95,SecureLabel,IF(AM642&gt;=80,SafetyLabel,IF(AM642&gt;=50,MatchLabel,IF(AM642&gt;=20,ReachLabel,IF(AM642&gt;=10,LongshotLabel,HailMaryLabel)))))),"Other")</f>
        <v>0</v>
      </c>
      <c r="AO642">
        <f>IF(OR(I642="accepted",I642="cond. accept",I642="summer admit"),IF(J642="yes","CHOICE!","Accepted!"),IF(I642="guar. transfer","Guar. Xfer",IF(I642="denied","Denied",IF(K642=1,"Waitlist",IF(L642=1,"Deferred",IF(G642="pending","Pending",IF(OR(G642="initial materials submitted",G642="mid-year submitted",G642="final submitted"),"Submitted",IF(H642="interest","Interest","?"))))))))</f>
        <v>0</v>
      </c>
      <c r="AP642">
        <f>IF(OR(AN642=ReachLabel,AN642=LongshotLabel,AN642=HailMaryLabel),1,0)</f>
        <v>0</v>
      </c>
      <c r="AQ642">
        <f>IF(OR(AP642=1,AN642=MatchLabel),1,0)</f>
        <v>0</v>
      </c>
      <c r="AR642">
        <f>IF(OR(AN642=MatchLabel,AN642=SafetyLabel,AN642=SecureLabel,AN642=SureThingLabel),1,0)</f>
        <v>0</v>
      </c>
      <c r="AS642">
        <f>IF(OR(W642="H",W642="B",W642="I",W642="M"),IF(ISNUMBER(AB642),ROUND(AB642,2),0),IF(ISNUMBER(AA642),ROUND(AA642,2),0))</f>
        <v>0</v>
      </c>
      <c r="AT642">
        <f>IF(AS642&gt;=X642,1,0)</f>
        <v>0</v>
      </c>
      <c r="AU642">
        <f>IF(AS642&gt;=Y642,1,0)</f>
        <v>0</v>
      </c>
      <c r="AV642">
        <f>IF(AS642&lt;(X642-0.10),1,0)</f>
        <v>0</v>
      </c>
      <c r="AW642">
        <f>1-AM642/100</f>
        <v>0</v>
      </c>
      <c r="AX642">
        <f>IF(AQ642=1,AW642,1)</f>
        <v>0</v>
      </c>
      <c r="AY642">
        <f>IF(AP642=1,AW642,1)</f>
        <v>0</v>
      </c>
      <c r="AZ642">
        <f>IF(AND(AT642=1,ISNUMBER(AW642)),$AW642,1)</f>
        <v>0</v>
      </c>
      <c r="BA642">
        <f>IF(AND(AU642=1,ISNUMBER(AW642)),$AW642,1)</f>
        <v>0</v>
      </c>
      <c r="BB642">
        <f>IF(ISNUMBER(AB642),INDEX(AllCollegeMoney, MATCH(N642,AllCollegeNCES,0)),0)</f>
        <v>0</v>
      </c>
      <c r="BC642">
        <f>IF(AND(AT642=1,ISNUMBER(AW642),BB642=1),$AW642,1)</f>
        <v>0</v>
      </c>
      <c r="BD642">
        <f>IF(AND(AU642=1,ISNUMBER(AW642),BB642=1),$AW642,1)</f>
        <v>0</v>
      </c>
      <c r="BE642">
        <f>IF(ISNUMBER(AB642),INDEX(AllCollegeILPub, MATCH(N642,AllCollegeNCES,0)),0)</f>
        <v>0</v>
      </c>
      <c r="BF642">
        <f>IF(AN642=ReachLabel,AS642,0)</f>
        <v>0</v>
      </c>
      <c r="BG642">
        <f>IF(AN642=MatchLabel,AS642,0)</f>
        <v>0</v>
      </c>
      <c r="BH642">
        <f>IF(AN642=SafetyLabel,AS642,0)</f>
        <v>0</v>
      </c>
      <c r="BI642">
        <f>IF(AN642=SecureLabel,AS642,0)</f>
        <v>0</v>
      </c>
      <c r="BJ642">
        <f>IF(AN642=SureThingLabel,AS642,0)</f>
        <v>0</v>
      </c>
      <c r="BK642">
        <f>MAX(BF642:BJ642)</f>
        <v>0</v>
      </c>
      <c r="BL642">
        <f>MAX(BG642:BJ642)</f>
        <v>0</v>
      </c>
      <c r="BM642">
        <f>MAX(BH642:BJ642)</f>
        <v>0</v>
      </c>
      <c r="BN642">
        <f>IF(AND(AN642=ReachLabel,BB642=1),AS642,0)</f>
        <v>0</v>
      </c>
      <c r="BO642">
        <f>IF(AND(AN642=MatchLabel,BB642=1),AS642,0)</f>
        <v>0</v>
      </c>
      <c r="BP642">
        <f>IF(AND(AN642=SafetyLabel,BB642=1),AS642,0)</f>
        <v>0</v>
      </c>
      <c r="BQ642">
        <f>IF(AND(AN642=SecureLabel,BB642=1),AS642,0)</f>
        <v>0</v>
      </c>
      <c r="BR642">
        <f>IF(AND(AN642=SureThingLabel,BB642=1),AS642,0)</f>
        <v>0</v>
      </c>
      <c r="BS642">
        <f>MAX(BN642:BR642)</f>
        <v>0</v>
      </c>
      <c r="BT642">
        <f>MAX(BO642:BR642)</f>
        <v>0</v>
      </c>
      <c r="BU642">
        <f>MAX(BP642:BR642)</f>
        <v>0</v>
      </c>
      <c r="BV642">
        <f>IF(ISNUMBER(AB642),INDEX(AllCollegeChicago, MATCH(N642,AllCollegeNCES,0))*BB642,0)</f>
        <v>0</v>
      </c>
      <c r="BW642">
        <f>IF(ISNUMBER(AB642),INDEX(AllCollegeMoneyCode, MATCH(N642,AllCollegeNCES,0)),"?")</f>
        <v>0</v>
      </c>
      <c r="BX642">
        <f>IF(OR(BW642="---",BW642="--",BW642="+/--",BW642="+/---"),1,0)</f>
        <v>0</v>
      </c>
      <c r="BY642">
        <f>BB642*AR642*AT642</f>
        <v>0</v>
      </c>
    </row>
    <row r="643" spans="1:77">
      <c r="A643" t="s">
        <v>96</v>
      </c>
      <c r="B643">
        <v>24155152</v>
      </c>
      <c r="C643" t="s">
        <v>231</v>
      </c>
      <c r="D643" t="s">
        <v>232</v>
      </c>
      <c r="E643" t="s">
        <v>446</v>
      </c>
      <c r="F643" t="s">
        <v>594</v>
      </c>
      <c r="G643" t="s">
        <v>448</v>
      </c>
      <c r="H643" t="s">
        <v>449</v>
      </c>
      <c r="I643" t="s">
        <v>450</v>
      </c>
      <c r="J643" t="s">
        <v>450</v>
      </c>
      <c r="K643">
        <v>0</v>
      </c>
      <c r="L643" t="s">
        <v>446</v>
      </c>
      <c r="M643" t="s">
        <v>446</v>
      </c>
      <c r="N643">
        <v>138947</v>
      </c>
      <c r="O643">
        <f>INDEX(Counselor,MATCH(B643,KidIDs,0))</f>
        <v>0</v>
      </c>
      <c r="P643">
        <f>INDEX(Advisors,MATCH(B643,KidIDs,0))</f>
        <v>0</v>
      </c>
      <c r="Q643">
        <f>INDEX(Cohort,MATCH(B643,KidIDs,0))</f>
        <v>0</v>
      </c>
      <c r="R643">
        <f>INDEX(AllCollegeBarrons,MATCH(N643,AllCollegeNCES,0))</f>
        <v>0</v>
      </c>
      <c r="S643">
        <f>INDEX(KidGPAs,MATCH(B643,KidIDs,0))</f>
        <v>0</v>
      </c>
      <c r="T643">
        <f>INDEX(KidSATs,MATCH(B643,KidIDs,0))</f>
        <v>0</v>
      </c>
      <c r="U643">
        <f>INDEX(Strats,MATCH(B643,KidIDs,0))</f>
        <v>0</v>
      </c>
      <c r="V643">
        <f>INDEX(KidRace,MATCH(B643,KidIDs,0))</f>
        <v>0</v>
      </c>
      <c r="W643">
        <f>IF(OR(V643="M",V643="I"),"H",IF(V643="P","A",V643))</f>
        <v>0</v>
      </c>
      <c r="X643">
        <f>INDEX(StudentTargets,MATCH(B643,KidIDs,0))</f>
        <v>0</v>
      </c>
      <c r="Y643">
        <f>INDEX(ReachStudentTargets,MATCH(B643,KidIDs,0))</f>
        <v>0</v>
      </c>
      <c r="Z643">
        <f>IF(OR(M643="Posse"),1,0)</f>
        <v>0</v>
      </c>
      <c r="AA643">
        <f>IF(ISNUMBER(INDEX(AllCollegeGR, MATCH(N643,AllCollegeNCES,0))),ROUND(INDEX(AllCollegeGR, MATCH(N643,AllCollegeNCES,0))+Z643*IF(INDEX(AllCollegeGR, MATCH(N643,AllCollegeNCES,0))&gt;0.7,(1-INDEX(AllCollegeGR, MATCH(N643,AllCollegeNCES,0)))/2,0.15),2),INDEX(AllCollegeGR, MATCH(N643,AllCollegeNCES,0)))</f>
        <v>0</v>
      </c>
      <c r="AB643">
        <f>IF(ISNUMBER(INDEX(AllCollegeAAHGR, MATCH(N643,AllCollegeNCES,0))),ROUND(INDEX(AllCollegeAAHGR, MATCH(N643,AllCollegeNCES,0))+Z643*IF(INDEX(AllCollegeAAHGR, MATCH(N643,AllCollegeNCES,0))&gt;0.7,(1-INDEX(AllCollegeAAHGR, MATCH(N643,AllCollegeNCES,0)))/2,0.15),2),INDEX(AllCollegeAAHGR, MATCH(N643,AllCollegeNCES,0)))</f>
        <v>0</v>
      </c>
      <c r="AC643">
        <f>IF(OR(W643="H",W643="B"),INDEX(AllCollegeSAT25, MATCH(N643,AllCollegeNCES,0)),INDEX(AllCollegeSAT50, MATCH(N643,AllCollegeNCES,0)))</f>
        <v>0</v>
      </c>
      <c r="AD643">
        <f>INDEX(CustomWeightsGPA,MATCH(W643&amp;":"&amp;N643,CustomWeightsIndex,0))</f>
        <v>0</v>
      </c>
      <c r="AE643">
        <f>INDEX(CustomWeightsSAT,MATCH(W643&amp;":"&amp;N643,CustomWeightsIndex,0))</f>
        <v>0</v>
      </c>
      <c r="AF643">
        <f>INDEX(CustomWeightsIntercept,MATCH(W643&amp;":"&amp;N643,CustomWeightsIndex,0))</f>
        <v>0</v>
      </c>
      <c r="AG643">
        <f>AD643*S643+AE643*T643+AF643</f>
        <v>0</v>
      </c>
      <c r="AH643">
        <f>INDEX(CoefficientsGPA,MATCH(W643&amp;":"&amp;R643,CoefficientsIndex,0))</f>
        <v>0</v>
      </c>
      <c r="AI643">
        <f>INDEX(CoefficientsSAT,MATCH(W643&amp;":"&amp;R643,CoefficientsIndex,0))</f>
        <v>0</v>
      </c>
      <c r="AJ643">
        <f>INDEX(CoefficientsIntercept,MATCH(W643&amp;":"&amp;R643,CoefficientsIndex,0))</f>
        <v>0</v>
      </c>
      <c r="AK643">
        <f>AH643*S643+(T643-AC643)*AI643+AJ643</f>
        <v>0</v>
      </c>
      <c r="AL643">
        <f>IF(ISNUMBER(AG643),AG643,AK643)</f>
        <v>0</v>
      </c>
      <c r="AM643">
        <f>IF(ISNUMBER(AL643),IF(ISNUMBER(AH643),IF(AND(AH643=1,AI643=1,AJ643=1),100,MIN(99,ROUND(100*EXP(AL643)/(1+EXP(AL643)),2))),MIN(99,ROUND(100*EXP(AL643)/(1+EXP(AL643)),2))),IF(ISTEXT(R643),IF(LEFT(R643,1)="2",100,"N/A"),"N/A"))</f>
        <v>0</v>
      </c>
      <c r="AN643">
        <f>IF(ISNUMBER(AM643),IF(AM643&gt;=99,IF(OR(U643=10,U643=11),MatchLabel,SureThingLabel),IF(AM643&gt;=95,SecureLabel,IF(AM643&gt;=80,SafetyLabel,IF(AM643&gt;=50,MatchLabel,IF(AM643&gt;=20,ReachLabel,IF(AM643&gt;=10,LongshotLabel,HailMaryLabel)))))),"Other")</f>
        <v>0</v>
      </c>
      <c r="AO643">
        <f>IF(OR(I643="accepted",I643="cond. accept",I643="summer admit"),IF(J643="yes","CHOICE!","Accepted!"),IF(I643="guar. transfer","Guar. Xfer",IF(I643="denied","Denied",IF(K643=1,"Waitlist",IF(L643=1,"Deferred",IF(G643="pending","Pending",IF(OR(G643="initial materials submitted",G643="mid-year submitted",G643="final submitted"),"Submitted",IF(H643="interest","Interest","?"))))))))</f>
        <v>0</v>
      </c>
      <c r="AP643">
        <f>IF(OR(AN643=ReachLabel,AN643=LongshotLabel,AN643=HailMaryLabel),1,0)</f>
        <v>0</v>
      </c>
      <c r="AQ643">
        <f>IF(OR(AP643=1,AN643=MatchLabel),1,0)</f>
        <v>0</v>
      </c>
      <c r="AR643">
        <f>IF(OR(AN643=MatchLabel,AN643=SafetyLabel,AN643=SecureLabel,AN643=SureThingLabel),1,0)</f>
        <v>0</v>
      </c>
      <c r="AS643">
        <f>IF(OR(W643="H",W643="B",W643="I",W643="M"),IF(ISNUMBER(AB643),ROUND(AB643,2),0),IF(ISNUMBER(AA643),ROUND(AA643,2),0))</f>
        <v>0</v>
      </c>
      <c r="AT643">
        <f>IF(AS643&gt;=X643,1,0)</f>
        <v>0</v>
      </c>
      <c r="AU643">
        <f>IF(AS643&gt;=Y643,1,0)</f>
        <v>0</v>
      </c>
      <c r="AV643">
        <f>IF(AS643&lt;(X643-0.10),1,0)</f>
        <v>0</v>
      </c>
      <c r="AW643">
        <f>1-AM643/100</f>
        <v>0</v>
      </c>
      <c r="AX643">
        <f>IF(AQ643=1,AW643,1)</f>
        <v>0</v>
      </c>
      <c r="AY643">
        <f>IF(AP643=1,AW643,1)</f>
        <v>0</v>
      </c>
      <c r="AZ643">
        <f>IF(AND(AT643=1,ISNUMBER(AW643)),$AW643,1)</f>
        <v>0</v>
      </c>
      <c r="BA643">
        <f>IF(AND(AU643=1,ISNUMBER(AW643)),$AW643,1)</f>
        <v>0</v>
      </c>
      <c r="BB643">
        <f>IF(ISNUMBER(AB643),INDEX(AllCollegeMoney, MATCH(N643,AllCollegeNCES,0)),0)</f>
        <v>0</v>
      </c>
      <c r="BC643">
        <f>IF(AND(AT643=1,ISNUMBER(AW643),BB643=1),$AW643,1)</f>
        <v>0</v>
      </c>
      <c r="BD643">
        <f>IF(AND(AU643=1,ISNUMBER(AW643),BB643=1),$AW643,1)</f>
        <v>0</v>
      </c>
      <c r="BE643">
        <f>IF(ISNUMBER(AB643),INDEX(AllCollegeILPub, MATCH(N643,AllCollegeNCES,0)),0)</f>
        <v>0</v>
      </c>
      <c r="BF643">
        <f>IF(AN643=ReachLabel,AS643,0)</f>
        <v>0</v>
      </c>
      <c r="BG643">
        <f>IF(AN643=MatchLabel,AS643,0)</f>
        <v>0</v>
      </c>
      <c r="BH643">
        <f>IF(AN643=SafetyLabel,AS643,0)</f>
        <v>0</v>
      </c>
      <c r="BI643">
        <f>IF(AN643=SecureLabel,AS643,0)</f>
        <v>0</v>
      </c>
      <c r="BJ643">
        <f>IF(AN643=SureThingLabel,AS643,0)</f>
        <v>0</v>
      </c>
      <c r="BK643">
        <f>MAX(BF643:BJ643)</f>
        <v>0</v>
      </c>
      <c r="BL643">
        <f>MAX(BG643:BJ643)</f>
        <v>0</v>
      </c>
      <c r="BM643">
        <f>MAX(BH643:BJ643)</f>
        <v>0</v>
      </c>
      <c r="BN643">
        <f>IF(AND(AN643=ReachLabel,BB643=1),AS643,0)</f>
        <v>0</v>
      </c>
      <c r="BO643">
        <f>IF(AND(AN643=MatchLabel,BB643=1),AS643,0)</f>
        <v>0</v>
      </c>
      <c r="BP643">
        <f>IF(AND(AN643=SafetyLabel,BB643=1),AS643,0)</f>
        <v>0</v>
      </c>
      <c r="BQ643">
        <f>IF(AND(AN643=SecureLabel,BB643=1),AS643,0)</f>
        <v>0</v>
      </c>
      <c r="BR643">
        <f>IF(AND(AN643=SureThingLabel,BB643=1),AS643,0)</f>
        <v>0</v>
      </c>
      <c r="BS643">
        <f>MAX(BN643:BR643)</f>
        <v>0</v>
      </c>
      <c r="BT643">
        <f>MAX(BO643:BR643)</f>
        <v>0</v>
      </c>
      <c r="BU643">
        <f>MAX(BP643:BR643)</f>
        <v>0</v>
      </c>
      <c r="BV643">
        <f>IF(ISNUMBER(AB643),INDEX(AllCollegeChicago, MATCH(N643,AllCollegeNCES,0))*BB643,0)</f>
        <v>0</v>
      </c>
      <c r="BW643">
        <f>IF(ISNUMBER(AB643),INDEX(AllCollegeMoneyCode, MATCH(N643,AllCollegeNCES,0)),"?")</f>
        <v>0</v>
      </c>
      <c r="BX643">
        <f>IF(OR(BW643="---",BW643="--",BW643="+/--",BW643="+/---"),1,0)</f>
        <v>0</v>
      </c>
      <c r="BY643">
        <f>BB643*AR643*AT643</f>
        <v>0</v>
      </c>
    </row>
    <row r="644" spans="1:77">
      <c r="A644" t="s">
        <v>96</v>
      </c>
      <c r="B644">
        <v>24155152</v>
      </c>
      <c r="C644" t="s">
        <v>231</v>
      </c>
      <c r="D644" t="s">
        <v>232</v>
      </c>
      <c r="E644" t="s">
        <v>446</v>
      </c>
      <c r="F644" t="s">
        <v>595</v>
      </c>
      <c r="G644" t="s">
        <v>543</v>
      </c>
      <c r="H644" t="s">
        <v>543</v>
      </c>
      <c r="I644" t="s">
        <v>544</v>
      </c>
      <c r="J644" t="s">
        <v>446</v>
      </c>
      <c r="K644" t="s">
        <v>446</v>
      </c>
      <c r="L644" t="s">
        <v>446</v>
      </c>
      <c r="M644" t="s">
        <v>446</v>
      </c>
      <c r="N644">
        <v>138947</v>
      </c>
      <c r="O644">
        <f>INDEX(Counselor,MATCH(B644,KidIDs,0))</f>
        <v>0</v>
      </c>
      <c r="P644">
        <f>INDEX(Advisors,MATCH(B644,KidIDs,0))</f>
        <v>0</v>
      </c>
      <c r="Q644">
        <f>INDEX(Cohort,MATCH(B644,KidIDs,0))</f>
        <v>0</v>
      </c>
      <c r="R644">
        <f>INDEX(AllCollegeBarrons,MATCH(N644,AllCollegeNCES,0))</f>
        <v>0</v>
      </c>
      <c r="S644">
        <f>INDEX(KidGPAs,MATCH(B644,KidIDs,0))</f>
        <v>0</v>
      </c>
      <c r="T644">
        <f>INDEX(KidSATs,MATCH(B644,KidIDs,0))</f>
        <v>0</v>
      </c>
      <c r="U644">
        <f>INDEX(Strats,MATCH(B644,KidIDs,0))</f>
        <v>0</v>
      </c>
      <c r="V644">
        <f>INDEX(KidRace,MATCH(B644,KidIDs,0))</f>
        <v>0</v>
      </c>
      <c r="W644">
        <f>IF(OR(V644="M",V644="I"),"H",IF(V644="P","A",V644))</f>
        <v>0</v>
      </c>
      <c r="X644">
        <f>INDEX(StudentTargets,MATCH(B644,KidIDs,0))</f>
        <v>0</v>
      </c>
      <c r="Y644">
        <f>INDEX(ReachStudentTargets,MATCH(B644,KidIDs,0))</f>
        <v>0</v>
      </c>
      <c r="Z644">
        <f>IF(OR(M644="Posse"),1,0)</f>
        <v>0</v>
      </c>
      <c r="AA644">
        <f>IF(ISNUMBER(INDEX(AllCollegeGR, MATCH(N644,AllCollegeNCES,0))),ROUND(INDEX(AllCollegeGR, MATCH(N644,AllCollegeNCES,0))+Z644*IF(INDEX(AllCollegeGR, MATCH(N644,AllCollegeNCES,0))&gt;0.7,(1-INDEX(AllCollegeGR, MATCH(N644,AllCollegeNCES,0)))/2,0.15),2),INDEX(AllCollegeGR, MATCH(N644,AllCollegeNCES,0)))</f>
        <v>0</v>
      </c>
      <c r="AB644">
        <f>IF(ISNUMBER(INDEX(AllCollegeAAHGR, MATCH(N644,AllCollegeNCES,0))),ROUND(INDEX(AllCollegeAAHGR, MATCH(N644,AllCollegeNCES,0))+Z644*IF(INDEX(AllCollegeAAHGR, MATCH(N644,AllCollegeNCES,0))&gt;0.7,(1-INDEX(AllCollegeAAHGR, MATCH(N644,AllCollegeNCES,0)))/2,0.15),2),INDEX(AllCollegeAAHGR, MATCH(N644,AllCollegeNCES,0)))</f>
        <v>0</v>
      </c>
      <c r="AC644">
        <f>IF(OR(W644="H",W644="B"),INDEX(AllCollegeSAT25, MATCH(N644,AllCollegeNCES,0)),INDEX(AllCollegeSAT50, MATCH(N644,AllCollegeNCES,0)))</f>
        <v>0</v>
      </c>
      <c r="AD644">
        <f>INDEX(CustomWeightsGPA,MATCH(W644&amp;":"&amp;N644,CustomWeightsIndex,0))</f>
        <v>0</v>
      </c>
      <c r="AE644">
        <f>INDEX(CustomWeightsSAT,MATCH(W644&amp;":"&amp;N644,CustomWeightsIndex,0))</f>
        <v>0</v>
      </c>
      <c r="AF644">
        <f>INDEX(CustomWeightsIntercept,MATCH(W644&amp;":"&amp;N644,CustomWeightsIndex,0))</f>
        <v>0</v>
      </c>
      <c r="AG644">
        <f>AD644*S644+AE644*T644+AF644</f>
        <v>0</v>
      </c>
      <c r="AH644">
        <f>INDEX(CoefficientsGPA,MATCH(W644&amp;":"&amp;R644,CoefficientsIndex,0))</f>
        <v>0</v>
      </c>
      <c r="AI644">
        <f>INDEX(CoefficientsSAT,MATCH(W644&amp;":"&amp;R644,CoefficientsIndex,0))</f>
        <v>0</v>
      </c>
      <c r="AJ644">
        <f>INDEX(CoefficientsIntercept,MATCH(W644&amp;":"&amp;R644,CoefficientsIndex,0))</f>
        <v>0</v>
      </c>
      <c r="AK644">
        <f>AH644*S644+(T644-AC644)*AI644+AJ644</f>
        <v>0</v>
      </c>
      <c r="AL644">
        <f>IF(ISNUMBER(AG644),AG644,AK644)</f>
        <v>0</v>
      </c>
      <c r="AM644">
        <f>IF(ISNUMBER(AL644),IF(ISNUMBER(AH644),IF(AND(AH644=1,AI644=1,AJ644=1),100,MIN(99,ROUND(100*EXP(AL644)/(1+EXP(AL644)),2))),MIN(99,ROUND(100*EXP(AL644)/(1+EXP(AL644)),2))),IF(ISTEXT(R644),IF(LEFT(R644,1)="2",100,"N/A"),"N/A"))</f>
        <v>0</v>
      </c>
      <c r="AN644">
        <f>IF(ISNUMBER(AM644),IF(AM644&gt;=99,IF(OR(U644=10,U644=11),MatchLabel,SureThingLabel),IF(AM644&gt;=95,SecureLabel,IF(AM644&gt;=80,SafetyLabel,IF(AM644&gt;=50,MatchLabel,IF(AM644&gt;=20,ReachLabel,IF(AM644&gt;=10,LongshotLabel,HailMaryLabel)))))),"Other")</f>
        <v>0</v>
      </c>
      <c r="AO644">
        <f>IF(OR(I644="accepted",I644="cond. accept",I644="summer admit"),IF(J644="yes","CHOICE!","Accepted!"),IF(I644="guar. transfer","Guar. Xfer",IF(I644="denied","Denied",IF(K644=1,"Waitlist",IF(L644=1,"Deferred",IF(G644="pending","Pending",IF(OR(G644="initial materials submitted",G644="mid-year submitted",G644="final submitted"),"Submitted",IF(H644="interest","Interest","?"))))))))</f>
        <v>0</v>
      </c>
      <c r="AP644">
        <f>IF(OR(AN644=ReachLabel,AN644=LongshotLabel,AN644=HailMaryLabel),1,0)</f>
        <v>0</v>
      </c>
      <c r="AQ644">
        <f>IF(OR(AP644=1,AN644=MatchLabel),1,0)</f>
        <v>0</v>
      </c>
      <c r="AR644">
        <f>IF(OR(AN644=MatchLabel,AN644=SafetyLabel,AN644=SecureLabel,AN644=SureThingLabel),1,0)</f>
        <v>0</v>
      </c>
      <c r="AS644">
        <f>IF(OR(W644="H",W644="B",W644="I",W644="M"),IF(ISNUMBER(AB644),ROUND(AB644,2),0),IF(ISNUMBER(AA644),ROUND(AA644,2),0))</f>
        <v>0</v>
      </c>
      <c r="AT644">
        <f>IF(AS644&gt;=X644,1,0)</f>
        <v>0</v>
      </c>
      <c r="AU644">
        <f>IF(AS644&gt;=Y644,1,0)</f>
        <v>0</v>
      </c>
      <c r="AV644">
        <f>IF(AS644&lt;(X644-0.10),1,0)</f>
        <v>0</v>
      </c>
      <c r="AW644">
        <f>1-AM644/100</f>
        <v>0</v>
      </c>
      <c r="AX644">
        <f>IF(AQ644=1,AW644,1)</f>
        <v>0</v>
      </c>
      <c r="AY644">
        <f>IF(AP644=1,AW644,1)</f>
        <v>0</v>
      </c>
      <c r="AZ644">
        <f>IF(AND(AT644=1,ISNUMBER(AW644)),$AW644,1)</f>
        <v>0</v>
      </c>
      <c r="BA644">
        <f>IF(AND(AU644=1,ISNUMBER(AW644)),$AW644,1)</f>
        <v>0</v>
      </c>
      <c r="BB644">
        <f>IF(ISNUMBER(AB644),INDEX(AllCollegeMoney, MATCH(N644,AllCollegeNCES,0)),0)</f>
        <v>0</v>
      </c>
      <c r="BC644">
        <f>IF(AND(AT644=1,ISNUMBER(AW644),BB644=1),$AW644,1)</f>
        <v>0</v>
      </c>
      <c r="BD644">
        <f>IF(AND(AU644=1,ISNUMBER(AW644),BB644=1),$AW644,1)</f>
        <v>0</v>
      </c>
      <c r="BE644">
        <f>IF(ISNUMBER(AB644),INDEX(AllCollegeILPub, MATCH(N644,AllCollegeNCES,0)),0)</f>
        <v>0</v>
      </c>
      <c r="BF644">
        <f>IF(AN644=ReachLabel,AS644,0)</f>
        <v>0</v>
      </c>
      <c r="BG644">
        <f>IF(AN644=MatchLabel,AS644,0)</f>
        <v>0</v>
      </c>
      <c r="BH644">
        <f>IF(AN644=SafetyLabel,AS644,0)</f>
        <v>0</v>
      </c>
      <c r="BI644">
        <f>IF(AN644=SecureLabel,AS644,0)</f>
        <v>0</v>
      </c>
      <c r="BJ644">
        <f>IF(AN644=SureThingLabel,AS644,0)</f>
        <v>0</v>
      </c>
      <c r="BK644">
        <f>MAX(BF644:BJ644)</f>
        <v>0</v>
      </c>
      <c r="BL644">
        <f>MAX(BG644:BJ644)</f>
        <v>0</v>
      </c>
      <c r="BM644">
        <f>MAX(BH644:BJ644)</f>
        <v>0</v>
      </c>
      <c r="BN644">
        <f>IF(AND(AN644=ReachLabel,BB644=1),AS644,0)</f>
        <v>0</v>
      </c>
      <c r="BO644">
        <f>IF(AND(AN644=MatchLabel,BB644=1),AS644,0)</f>
        <v>0</v>
      </c>
      <c r="BP644">
        <f>IF(AND(AN644=SafetyLabel,BB644=1),AS644,0)</f>
        <v>0</v>
      </c>
      <c r="BQ644">
        <f>IF(AND(AN644=SecureLabel,BB644=1),AS644,0)</f>
        <v>0</v>
      </c>
      <c r="BR644">
        <f>IF(AND(AN644=SureThingLabel,BB644=1),AS644,0)</f>
        <v>0</v>
      </c>
      <c r="BS644">
        <f>MAX(BN644:BR644)</f>
        <v>0</v>
      </c>
      <c r="BT644">
        <f>MAX(BO644:BR644)</f>
        <v>0</v>
      </c>
      <c r="BU644">
        <f>MAX(BP644:BR644)</f>
        <v>0</v>
      </c>
      <c r="BV644">
        <f>IF(ISNUMBER(AB644),INDEX(AllCollegeChicago, MATCH(N644,AllCollegeNCES,0))*BB644,0)</f>
        <v>0</v>
      </c>
      <c r="BW644">
        <f>IF(ISNUMBER(AB644),INDEX(AllCollegeMoneyCode, MATCH(N644,AllCollegeNCES,0)),"?")</f>
        <v>0</v>
      </c>
      <c r="BX644">
        <f>IF(OR(BW644="---",BW644="--",BW644="+/--",BW644="+/---"),1,0)</f>
        <v>0</v>
      </c>
      <c r="BY644">
        <f>BB644*AR644*AT644</f>
        <v>0</v>
      </c>
    </row>
    <row r="645" spans="1:77">
      <c r="A645" t="s">
        <v>96</v>
      </c>
      <c r="B645">
        <v>24155152</v>
      </c>
      <c r="C645" t="s">
        <v>231</v>
      </c>
      <c r="D645" t="s">
        <v>232</v>
      </c>
      <c r="E645" t="s">
        <v>446</v>
      </c>
      <c r="F645" t="s">
        <v>465</v>
      </c>
      <c r="G645" t="s">
        <v>448</v>
      </c>
      <c r="H645" t="s">
        <v>449</v>
      </c>
      <c r="I645" t="s">
        <v>450</v>
      </c>
      <c r="J645" t="s">
        <v>450</v>
      </c>
      <c r="K645">
        <v>0</v>
      </c>
      <c r="L645" t="s">
        <v>446</v>
      </c>
      <c r="M645" t="s">
        <v>446</v>
      </c>
      <c r="N645">
        <v>145600</v>
      </c>
      <c r="O645">
        <f>INDEX(Counselor,MATCH(B645,KidIDs,0))</f>
        <v>0</v>
      </c>
      <c r="P645">
        <f>INDEX(Advisors,MATCH(B645,KidIDs,0))</f>
        <v>0</v>
      </c>
      <c r="Q645">
        <f>INDEX(Cohort,MATCH(B645,KidIDs,0))</f>
        <v>0</v>
      </c>
      <c r="R645">
        <f>INDEX(AllCollegeBarrons,MATCH(N645,AllCollegeNCES,0))</f>
        <v>0</v>
      </c>
      <c r="S645">
        <f>INDEX(KidGPAs,MATCH(B645,KidIDs,0))</f>
        <v>0</v>
      </c>
      <c r="T645">
        <f>INDEX(KidSATs,MATCH(B645,KidIDs,0))</f>
        <v>0</v>
      </c>
      <c r="U645">
        <f>INDEX(Strats,MATCH(B645,KidIDs,0))</f>
        <v>0</v>
      </c>
      <c r="V645">
        <f>INDEX(KidRace,MATCH(B645,KidIDs,0))</f>
        <v>0</v>
      </c>
      <c r="W645">
        <f>IF(OR(V645="M",V645="I"),"H",IF(V645="P","A",V645))</f>
        <v>0</v>
      </c>
      <c r="X645">
        <f>INDEX(StudentTargets,MATCH(B645,KidIDs,0))</f>
        <v>0</v>
      </c>
      <c r="Y645">
        <f>INDEX(ReachStudentTargets,MATCH(B645,KidIDs,0))</f>
        <v>0</v>
      </c>
      <c r="Z645">
        <f>IF(OR(M645="Posse"),1,0)</f>
        <v>0</v>
      </c>
      <c r="AA645">
        <f>IF(ISNUMBER(INDEX(AllCollegeGR, MATCH(N645,AllCollegeNCES,0))),ROUND(INDEX(AllCollegeGR, MATCH(N645,AllCollegeNCES,0))+Z645*IF(INDEX(AllCollegeGR, MATCH(N645,AllCollegeNCES,0))&gt;0.7,(1-INDEX(AllCollegeGR, MATCH(N645,AllCollegeNCES,0)))/2,0.15),2),INDEX(AllCollegeGR, MATCH(N645,AllCollegeNCES,0)))</f>
        <v>0</v>
      </c>
      <c r="AB645">
        <f>IF(ISNUMBER(INDEX(AllCollegeAAHGR, MATCH(N645,AllCollegeNCES,0))),ROUND(INDEX(AllCollegeAAHGR, MATCH(N645,AllCollegeNCES,0))+Z645*IF(INDEX(AllCollegeAAHGR, MATCH(N645,AllCollegeNCES,0))&gt;0.7,(1-INDEX(AllCollegeAAHGR, MATCH(N645,AllCollegeNCES,0)))/2,0.15),2),INDEX(AllCollegeAAHGR, MATCH(N645,AllCollegeNCES,0)))</f>
        <v>0</v>
      </c>
      <c r="AC645">
        <f>IF(OR(W645="H",W645="B"),INDEX(AllCollegeSAT25, MATCH(N645,AllCollegeNCES,0)),INDEX(AllCollegeSAT50, MATCH(N645,AllCollegeNCES,0)))</f>
        <v>0</v>
      </c>
      <c r="AD645">
        <f>INDEX(CustomWeightsGPA,MATCH(W645&amp;":"&amp;N645,CustomWeightsIndex,0))</f>
        <v>0</v>
      </c>
      <c r="AE645">
        <f>INDEX(CustomWeightsSAT,MATCH(W645&amp;":"&amp;N645,CustomWeightsIndex,0))</f>
        <v>0</v>
      </c>
      <c r="AF645">
        <f>INDEX(CustomWeightsIntercept,MATCH(W645&amp;":"&amp;N645,CustomWeightsIndex,0))</f>
        <v>0</v>
      </c>
      <c r="AG645">
        <f>AD645*S645+AE645*T645+AF645</f>
        <v>0</v>
      </c>
      <c r="AH645">
        <f>INDEX(CoefficientsGPA,MATCH(W645&amp;":"&amp;R645,CoefficientsIndex,0))</f>
        <v>0</v>
      </c>
      <c r="AI645">
        <f>INDEX(CoefficientsSAT,MATCH(W645&amp;":"&amp;R645,CoefficientsIndex,0))</f>
        <v>0</v>
      </c>
      <c r="AJ645">
        <f>INDEX(CoefficientsIntercept,MATCH(W645&amp;":"&amp;R645,CoefficientsIndex,0))</f>
        <v>0</v>
      </c>
      <c r="AK645">
        <f>AH645*S645+(T645-AC645)*AI645+AJ645</f>
        <v>0</v>
      </c>
      <c r="AL645">
        <f>IF(ISNUMBER(AG645),AG645,AK645)</f>
        <v>0</v>
      </c>
      <c r="AM645">
        <f>IF(ISNUMBER(AL645),IF(ISNUMBER(AH645),IF(AND(AH645=1,AI645=1,AJ645=1),100,MIN(99,ROUND(100*EXP(AL645)/(1+EXP(AL645)),2))),MIN(99,ROUND(100*EXP(AL645)/(1+EXP(AL645)),2))),IF(ISTEXT(R645),IF(LEFT(R645,1)="2",100,"N/A"),"N/A"))</f>
        <v>0</v>
      </c>
      <c r="AN645">
        <f>IF(ISNUMBER(AM645),IF(AM645&gt;=99,IF(OR(U645=10,U645=11),MatchLabel,SureThingLabel),IF(AM645&gt;=95,SecureLabel,IF(AM645&gt;=80,SafetyLabel,IF(AM645&gt;=50,MatchLabel,IF(AM645&gt;=20,ReachLabel,IF(AM645&gt;=10,LongshotLabel,HailMaryLabel)))))),"Other")</f>
        <v>0</v>
      </c>
      <c r="AO645">
        <f>IF(OR(I645="accepted",I645="cond. accept",I645="summer admit"),IF(J645="yes","CHOICE!","Accepted!"),IF(I645="guar. transfer","Guar. Xfer",IF(I645="denied","Denied",IF(K645=1,"Waitlist",IF(L645=1,"Deferred",IF(G645="pending","Pending",IF(OR(G645="initial materials submitted",G645="mid-year submitted",G645="final submitted"),"Submitted",IF(H645="interest","Interest","?"))))))))</f>
        <v>0</v>
      </c>
      <c r="AP645">
        <f>IF(OR(AN645=ReachLabel,AN645=LongshotLabel,AN645=HailMaryLabel),1,0)</f>
        <v>0</v>
      </c>
      <c r="AQ645">
        <f>IF(OR(AP645=1,AN645=MatchLabel),1,0)</f>
        <v>0</v>
      </c>
      <c r="AR645">
        <f>IF(OR(AN645=MatchLabel,AN645=SafetyLabel,AN645=SecureLabel,AN645=SureThingLabel),1,0)</f>
        <v>0</v>
      </c>
      <c r="AS645">
        <f>IF(OR(W645="H",W645="B",W645="I",W645="M"),IF(ISNUMBER(AB645),ROUND(AB645,2),0),IF(ISNUMBER(AA645),ROUND(AA645,2),0))</f>
        <v>0</v>
      </c>
      <c r="AT645">
        <f>IF(AS645&gt;=X645,1,0)</f>
        <v>0</v>
      </c>
      <c r="AU645">
        <f>IF(AS645&gt;=Y645,1,0)</f>
        <v>0</v>
      </c>
      <c r="AV645">
        <f>IF(AS645&lt;(X645-0.10),1,0)</f>
        <v>0</v>
      </c>
      <c r="AW645">
        <f>1-AM645/100</f>
        <v>0</v>
      </c>
      <c r="AX645">
        <f>IF(AQ645=1,AW645,1)</f>
        <v>0</v>
      </c>
      <c r="AY645">
        <f>IF(AP645=1,AW645,1)</f>
        <v>0</v>
      </c>
      <c r="AZ645">
        <f>IF(AND(AT645=1,ISNUMBER(AW645)),$AW645,1)</f>
        <v>0</v>
      </c>
      <c r="BA645">
        <f>IF(AND(AU645=1,ISNUMBER(AW645)),$AW645,1)</f>
        <v>0</v>
      </c>
      <c r="BB645">
        <f>IF(ISNUMBER(AB645),INDEX(AllCollegeMoney, MATCH(N645,AllCollegeNCES,0)),0)</f>
        <v>0</v>
      </c>
      <c r="BC645">
        <f>IF(AND(AT645=1,ISNUMBER(AW645),BB645=1),$AW645,1)</f>
        <v>0</v>
      </c>
      <c r="BD645">
        <f>IF(AND(AU645=1,ISNUMBER(AW645),BB645=1),$AW645,1)</f>
        <v>0</v>
      </c>
      <c r="BE645">
        <f>IF(ISNUMBER(AB645),INDEX(AllCollegeILPub, MATCH(N645,AllCollegeNCES,0)),0)</f>
        <v>0</v>
      </c>
      <c r="BF645">
        <f>IF(AN645=ReachLabel,AS645,0)</f>
        <v>0</v>
      </c>
      <c r="BG645">
        <f>IF(AN645=MatchLabel,AS645,0)</f>
        <v>0</v>
      </c>
      <c r="BH645">
        <f>IF(AN645=SafetyLabel,AS645,0)</f>
        <v>0</v>
      </c>
      <c r="BI645">
        <f>IF(AN645=SecureLabel,AS645,0)</f>
        <v>0</v>
      </c>
      <c r="BJ645">
        <f>IF(AN645=SureThingLabel,AS645,0)</f>
        <v>0</v>
      </c>
      <c r="BK645">
        <f>MAX(BF645:BJ645)</f>
        <v>0</v>
      </c>
      <c r="BL645">
        <f>MAX(BG645:BJ645)</f>
        <v>0</v>
      </c>
      <c r="BM645">
        <f>MAX(BH645:BJ645)</f>
        <v>0</v>
      </c>
      <c r="BN645">
        <f>IF(AND(AN645=ReachLabel,BB645=1),AS645,0)</f>
        <v>0</v>
      </c>
      <c r="BO645">
        <f>IF(AND(AN645=MatchLabel,BB645=1),AS645,0)</f>
        <v>0</v>
      </c>
      <c r="BP645">
        <f>IF(AND(AN645=SafetyLabel,BB645=1),AS645,0)</f>
        <v>0</v>
      </c>
      <c r="BQ645">
        <f>IF(AND(AN645=SecureLabel,BB645=1),AS645,0)</f>
        <v>0</v>
      </c>
      <c r="BR645">
        <f>IF(AND(AN645=SureThingLabel,BB645=1),AS645,0)</f>
        <v>0</v>
      </c>
      <c r="BS645">
        <f>MAX(BN645:BR645)</f>
        <v>0</v>
      </c>
      <c r="BT645">
        <f>MAX(BO645:BR645)</f>
        <v>0</v>
      </c>
      <c r="BU645">
        <f>MAX(BP645:BR645)</f>
        <v>0</v>
      </c>
      <c r="BV645">
        <f>IF(ISNUMBER(AB645),INDEX(AllCollegeChicago, MATCH(N645,AllCollegeNCES,0))*BB645,0)</f>
        <v>0</v>
      </c>
      <c r="BW645">
        <f>IF(ISNUMBER(AB645),INDEX(AllCollegeMoneyCode, MATCH(N645,AllCollegeNCES,0)),"?")</f>
        <v>0</v>
      </c>
      <c r="BX645">
        <f>IF(OR(BW645="---",BW645="--",BW645="+/--",BW645="+/---"),1,0)</f>
        <v>0</v>
      </c>
      <c r="BY645">
        <f>BB645*AR645*AT645</f>
        <v>0</v>
      </c>
    </row>
    <row r="646" spans="1:77">
      <c r="A646" t="s">
        <v>96</v>
      </c>
      <c r="B646">
        <v>24155152</v>
      </c>
      <c r="C646" t="s">
        <v>231</v>
      </c>
      <c r="D646" t="s">
        <v>232</v>
      </c>
      <c r="E646" t="s">
        <v>446</v>
      </c>
      <c r="F646" t="s">
        <v>519</v>
      </c>
      <c r="G646" t="s">
        <v>448</v>
      </c>
      <c r="H646" t="s">
        <v>449</v>
      </c>
      <c r="I646" t="s">
        <v>450</v>
      </c>
      <c r="J646" t="s">
        <v>450</v>
      </c>
      <c r="K646">
        <v>0</v>
      </c>
      <c r="L646" t="s">
        <v>446</v>
      </c>
      <c r="M646" t="s">
        <v>446</v>
      </c>
      <c r="N646">
        <v>145813</v>
      </c>
      <c r="O646">
        <f>INDEX(Counselor,MATCH(B646,KidIDs,0))</f>
        <v>0</v>
      </c>
      <c r="P646">
        <f>INDEX(Advisors,MATCH(B646,KidIDs,0))</f>
        <v>0</v>
      </c>
      <c r="Q646">
        <f>INDEX(Cohort,MATCH(B646,KidIDs,0))</f>
        <v>0</v>
      </c>
      <c r="R646">
        <f>INDEX(AllCollegeBarrons,MATCH(N646,AllCollegeNCES,0))</f>
        <v>0</v>
      </c>
      <c r="S646">
        <f>INDEX(KidGPAs,MATCH(B646,KidIDs,0))</f>
        <v>0</v>
      </c>
      <c r="T646">
        <f>INDEX(KidSATs,MATCH(B646,KidIDs,0))</f>
        <v>0</v>
      </c>
      <c r="U646">
        <f>INDEX(Strats,MATCH(B646,KidIDs,0))</f>
        <v>0</v>
      </c>
      <c r="V646">
        <f>INDEX(KidRace,MATCH(B646,KidIDs,0))</f>
        <v>0</v>
      </c>
      <c r="W646">
        <f>IF(OR(V646="M",V646="I"),"H",IF(V646="P","A",V646))</f>
        <v>0</v>
      </c>
      <c r="X646">
        <f>INDEX(StudentTargets,MATCH(B646,KidIDs,0))</f>
        <v>0</v>
      </c>
      <c r="Y646">
        <f>INDEX(ReachStudentTargets,MATCH(B646,KidIDs,0))</f>
        <v>0</v>
      </c>
      <c r="Z646">
        <f>IF(OR(M646="Posse"),1,0)</f>
        <v>0</v>
      </c>
      <c r="AA646">
        <f>IF(ISNUMBER(INDEX(AllCollegeGR, MATCH(N646,AllCollegeNCES,0))),ROUND(INDEX(AllCollegeGR, MATCH(N646,AllCollegeNCES,0))+Z646*IF(INDEX(AllCollegeGR, MATCH(N646,AllCollegeNCES,0))&gt;0.7,(1-INDEX(AllCollegeGR, MATCH(N646,AllCollegeNCES,0)))/2,0.15),2),INDEX(AllCollegeGR, MATCH(N646,AllCollegeNCES,0)))</f>
        <v>0</v>
      </c>
      <c r="AB646">
        <f>IF(ISNUMBER(INDEX(AllCollegeAAHGR, MATCH(N646,AllCollegeNCES,0))),ROUND(INDEX(AllCollegeAAHGR, MATCH(N646,AllCollegeNCES,0))+Z646*IF(INDEX(AllCollegeAAHGR, MATCH(N646,AllCollegeNCES,0))&gt;0.7,(1-INDEX(AllCollegeAAHGR, MATCH(N646,AllCollegeNCES,0)))/2,0.15),2),INDEX(AllCollegeAAHGR, MATCH(N646,AllCollegeNCES,0)))</f>
        <v>0</v>
      </c>
      <c r="AC646">
        <f>IF(OR(W646="H",W646="B"),INDEX(AllCollegeSAT25, MATCH(N646,AllCollegeNCES,0)),INDEX(AllCollegeSAT50, MATCH(N646,AllCollegeNCES,0)))</f>
        <v>0</v>
      </c>
      <c r="AD646">
        <f>INDEX(CustomWeightsGPA,MATCH(W646&amp;":"&amp;N646,CustomWeightsIndex,0))</f>
        <v>0</v>
      </c>
      <c r="AE646">
        <f>INDEX(CustomWeightsSAT,MATCH(W646&amp;":"&amp;N646,CustomWeightsIndex,0))</f>
        <v>0</v>
      </c>
      <c r="AF646">
        <f>INDEX(CustomWeightsIntercept,MATCH(W646&amp;":"&amp;N646,CustomWeightsIndex,0))</f>
        <v>0</v>
      </c>
      <c r="AG646">
        <f>AD646*S646+AE646*T646+AF646</f>
        <v>0</v>
      </c>
      <c r="AH646">
        <f>INDEX(CoefficientsGPA,MATCH(W646&amp;":"&amp;R646,CoefficientsIndex,0))</f>
        <v>0</v>
      </c>
      <c r="AI646">
        <f>INDEX(CoefficientsSAT,MATCH(W646&amp;":"&amp;R646,CoefficientsIndex,0))</f>
        <v>0</v>
      </c>
      <c r="AJ646">
        <f>INDEX(CoefficientsIntercept,MATCH(W646&amp;":"&amp;R646,CoefficientsIndex,0))</f>
        <v>0</v>
      </c>
      <c r="AK646">
        <f>AH646*S646+(T646-AC646)*AI646+AJ646</f>
        <v>0</v>
      </c>
      <c r="AL646">
        <f>IF(ISNUMBER(AG646),AG646,AK646)</f>
        <v>0</v>
      </c>
      <c r="AM646">
        <f>IF(ISNUMBER(AL646),IF(ISNUMBER(AH646),IF(AND(AH646=1,AI646=1,AJ646=1),100,MIN(99,ROUND(100*EXP(AL646)/(1+EXP(AL646)),2))),MIN(99,ROUND(100*EXP(AL646)/(1+EXP(AL646)),2))),IF(ISTEXT(R646),IF(LEFT(R646,1)="2",100,"N/A"),"N/A"))</f>
        <v>0</v>
      </c>
      <c r="AN646">
        <f>IF(ISNUMBER(AM646),IF(AM646&gt;=99,IF(OR(U646=10,U646=11),MatchLabel,SureThingLabel),IF(AM646&gt;=95,SecureLabel,IF(AM646&gt;=80,SafetyLabel,IF(AM646&gt;=50,MatchLabel,IF(AM646&gt;=20,ReachLabel,IF(AM646&gt;=10,LongshotLabel,HailMaryLabel)))))),"Other")</f>
        <v>0</v>
      </c>
      <c r="AO646">
        <f>IF(OR(I646="accepted",I646="cond. accept",I646="summer admit"),IF(J646="yes","CHOICE!","Accepted!"),IF(I646="guar. transfer","Guar. Xfer",IF(I646="denied","Denied",IF(K646=1,"Waitlist",IF(L646=1,"Deferred",IF(G646="pending","Pending",IF(OR(G646="initial materials submitted",G646="mid-year submitted",G646="final submitted"),"Submitted",IF(H646="interest","Interest","?"))))))))</f>
        <v>0</v>
      </c>
      <c r="AP646">
        <f>IF(OR(AN646=ReachLabel,AN646=LongshotLabel,AN646=HailMaryLabel),1,0)</f>
        <v>0</v>
      </c>
      <c r="AQ646">
        <f>IF(OR(AP646=1,AN646=MatchLabel),1,0)</f>
        <v>0</v>
      </c>
      <c r="AR646">
        <f>IF(OR(AN646=MatchLabel,AN646=SafetyLabel,AN646=SecureLabel,AN646=SureThingLabel),1,0)</f>
        <v>0</v>
      </c>
      <c r="AS646">
        <f>IF(OR(W646="H",W646="B",W646="I",W646="M"),IF(ISNUMBER(AB646),ROUND(AB646,2),0),IF(ISNUMBER(AA646),ROUND(AA646,2),0))</f>
        <v>0</v>
      </c>
      <c r="AT646">
        <f>IF(AS646&gt;=X646,1,0)</f>
        <v>0</v>
      </c>
      <c r="AU646">
        <f>IF(AS646&gt;=Y646,1,0)</f>
        <v>0</v>
      </c>
      <c r="AV646">
        <f>IF(AS646&lt;(X646-0.10),1,0)</f>
        <v>0</v>
      </c>
      <c r="AW646">
        <f>1-AM646/100</f>
        <v>0</v>
      </c>
      <c r="AX646">
        <f>IF(AQ646=1,AW646,1)</f>
        <v>0</v>
      </c>
      <c r="AY646">
        <f>IF(AP646=1,AW646,1)</f>
        <v>0</v>
      </c>
      <c r="AZ646">
        <f>IF(AND(AT646=1,ISNUMBER(AW646)),$AW646,1)</f>
        <v>0</v>
      </c>
      <c r="BA646">
        <f>IF(AND(AU646=1,ISNUMBER(AW646)),$AW646,1)</f>
        <v>0</v>
      </c>
      <c r="BB646">
        <f>IF(ISNUMBER(AB646),INDEX(AllCollegeMoney, MATCH(N646,AllCollegeNCES,0)),0)</f>
        <v>0</v>
      </c>
      <c r="BC646">
        <f>IF(AND(AT646=1,ISNUMBER(AW646),BB646=1),$AW646,1)</f>
        <v>0</v>
      </c>
      <c r="BD646">
        <f>IF(AND(AU646=1,ISNUMBER(AW646),BB646=1),$AW646,1)</f>
        <v>0</v>
      </c>
      <c r="BE646">
        <f>IF(ISNUMBER(AB646),INDEX(AllCollegeILPub, MATCH(N646,AllCollegeNCES,0)),0)</f>
        <v>0</v>
      </c>
      <c r="BF646">
        <f>IF(AN646=ReachLabel,AS646,0)</f>
        <v>0</v>
      </c>
      <c r="BG646">
        <f>IF(AN646=MatchLabel,AS646,0)</f>
        <v>0</v>
      </c>
      <c r="BH646">
        <f>IF(AN646=SafetyLabel,AS646,0)</f>
        <v>0</v>
      </c>
      <c r="BI646">
        <f>IF(AN646=SecureLabel,AS646,0)</f>
        <v>0</v>
      </c>
      <c r="BJ646">
        <f>IF(AN646=SureThingLabel,AS646,0)</f>
        <v>0</v>
      </c>
      <c r="BK646">
        <f>MAX(BF646:BJ646)</f>
        <v>0</v>
      </c>
      <c r="BL646">
        <f>MAX(BG646:BJ646)</f>
        <v>0</v>
      </c>
      <c r="BM646">
        <f>MAX(BH646:BJ646)</f>
        <v>0</v>
      </c>
      <c r="BN646">
        <f>IF(AND(AN646=ReachLabel,BB646=1),AS646,0)</f>
        <v>0</v>
      </c>
      <c r="BO646">
        <f>IF(AND(AN646=MatchLabel,BB646=1),AS646,0)</f>
        <v>0</v>
      </c>
      <c r="BP646">
        <f>IF(AND(AN646=SafetyLabel,BB646=1),AS646,0)</f>
        <v>0</v>
      </c>
      <c r="BQ646">
        <f>IF(AND(AN646=SecureLabel,BB646=1),AS646,0)</f>
        <v>0</v>
      </c>
      <c r="BR646">
        <f>IF(AND(AN646=SureThingLabel,BB646=1),AS646,0)</f>
        <v>0</v>
      </c>
      <c r="BS646">
        <f>MAX(BN646:BR646)</f>
        <v>0</v>
      </c>
      <c r="BT646">
        <f>MAX(BO646:BR646)</f>
        <v>0</v>
      </c>
      <c r="BU646">
        <f>MAX(BP646:BR646)</f>
        <v>0</v>
      </c>
      <c r="BV646">
        <f>IF(ISNUMBER(AB646),INDEX(AllCollegeChicago, MATCH(N646,AllCollegeNCES,0))*BB646,0)</f>
        <v>0</v>
      </c>
      <c r="BW646">
        <f>IF(ISNUMBER(AB646),INDEX(AllCollegeMoneyCode, MATCH(N646,AllCollegeNCES,0)),"?")</f>
        <v>0</v>
      </c>
      <c r="BX646">
        <f>IF(OR(BW646="---",BW646="--",BW646="+/--",BW646="+/---"),1,0)</f>
        <v>0</v>
      </c>
      <c r="BY646">
        <f>BB646*AR646*AT646</f>
        <v>0</v>
      </c>
    </row>
    <row r="647" spans="1:77">
      <c r="A647" t="s">
        <v>96</v>
      </c>
      <c r="B647">
        <v>24155152</v>
      </c>
      <c r="C647" t="s">
        <v>231</v>
      </c>
      <c r="D647" t="s">
        <v>232</v>
      </c>
      <c r="E647" t="s">
        <v>446</v>
      </c>
      <c r="F647" t="s">
        <v>596</v>
      </c>
      <c r="G647" t="s">
        <v>543</v>
      </c>
      <c r="H647" t="s">
        <v>543</v>
      </c>
      <c r="I647" t="s">
        <v>544</v>
      </c>
      <c r="J647" t="s">
        <v>446</v>
      </c>
      <c r="K647" t="s">
        <v>446</v>
      </c>
      <c r="L647" t="s">
        <v>446</v>
      </c>
      <c r="M647" t="s">
        <v>446</v>
      </c>
      <c r="N647">
        <v>100654</v>
      </c>
      <c r="O647">
        <f>INDEX(Counselor,MATCH(B647,KidIDs,0))</f>
        <v>0</v>
      </c>
      <c r="P647">
        <f>INDEX(Advisors,MATCH(B647,KidIDs,0))</f>
        <v>0</v>
      </c>
      <c r="Q647">
        <f>INDEX(Cohort,MATCH(B647,KidIDs,0))</f>
        <v>0</v>
      </c>
      <c r="R647">
        <f>INDEX(AllCollegeBarrons,MATCH(N647,AllCollegeNCES,0))</f>
        <v>0</v>
      </c>
      <c r="S647">
        <f>INDEX(KidGPAs,MATCH(B647,KidIDs,0))</f>
        <v>0</v>
      </c>
      <c r="T647">
        <f>INDEX(KidSATs,MATCH(B647,KidIDs,0))</f>
        <v>0</v>
      </c>
      <c r="U647">
        <f>INDEX(Strats,MATCH(B647,KidIDs,0))</f>
        <v>0</v>
      </c>
      <c r="V647">
        <f>INDEX(KidRace,MATCH(B647,KidIDs,0))</f>
        <v>0</v>
      </c>
      <c r="W647">
        <f>IF(OR(V647="M",V647="I"),"H",IF(V647="P","A",V647))</f>
        <v>0</v>
      </c>
      <c r="X647">
        <f>INDEX(StudentTargets,MATCH(B647,KidIDs,0))</f>
        <v>0</v>
      </c>
      <c r="Y647">
        <f>INDEX(ReachStudentTargets,MATCH(B647,KidIDs,0))</f>
        <v>0</v>
      </c>
      <c r="Z647">
        <f>IF(OR(M647="Posse"),1,0)</f>
        <v>0</v>
      </c>
      <c r="AA647">
        <f>IF(ISNUMBER(INDEX(AllCollegeGR, MATCH(N647,AllCollegeNCES,0))),ROUND(INDEX(AllCollegeGR, MATCH(N647,AllCollegeNCES,0))+Z647*IF(INDEX(AllCollegeGR, MATCH(N647,AllCollegeNCES,0))&gt;0.7,(1-INDEX(AllCollegeGR, MATCH(N647,AllCollegeNCES,0)))/2,0.15),2),INDEX(AllCollegeGR, MATCH(N647,AllCollegeNCES,0)))</f>
        <v>0</v>
      </c>
      <c r="AB647">
        <f>IF(ISNUMBER(INDEX(AllCollegeAAHGR, MATCH(N647,AllCollegeNCES,0))),ROUND(INDEX(AllCollegeAAHGR, MATCH(N647,AllCollegeNCES,0))+Z647*IF(INDEX(AllCollegeAAHGR, MATCH(N647,AllCollegeNCES,0))&gt;0.7,(1-INDEX(AllCollegeAAHGR, MATCH(N647,AllCollegeNCES,0)))/2,0.15),2),INDEX(AllCollegeAAHGR, MATCH(N647,AllCollegeNCES,0)))</f>
        <v>0</v>
      </c>
      <c r="AC647">
        <f>IF(OR(W647="H",W647="B"),INDEX(AllCollegeSAT25, MATCH(N647,AllCollegeNCES,0)),INDEX(AllCollegeSAT50, MATCH(N647,AllCollegeNCES,0)))</f>
        <v>0</v>
      </c>
      <c r="AD647">
        <f>INDEX(CustomWeightsGPA,MATCH(W647&amp;":"&amp;N647,CustomWeightsIndex,0))</f>
        <v>0</v>
      </c>
      <c r="AE647">
        <f>INDEX(CustomWeightsSAT,MATCH(W647&amp;":"&amp;N647,CustomWeightsIndex,0))</f>
        <v>0</v>
      </c>
      <c r="AF647">
        <f>INDEX(CustomWeightsIntercept,MATCH(W647&amp;":"&amp;N647,CustomWeightsIndex,0))</f>
        <v>0</v>
      </c>
      <c r="AG647">
        <f>AD647*S647+AE647*T647+AF647</f>
        <v>0</v>
      </c>
      <c r="AH647">
        <f>INDEX(CoefficientsGPA,MATCH(W647&amp;":"&amp;R647,CoefficientsIndex,0))</f>
        <v>0</v>
      </c>
      <c r="AI647">
        <f>INDEX(CoefficientsSAT,MATCH(W647&amp;":"&amp;R647,CoefficientsIndex,0))</f>
        <v>0</v>
      </c>
      <c r="AJ647">
        <f>INDEX(CoefficientsIntercept,MATCH(W647&amp;":"&amp;R647,CoefficientsIndex,0))</f>
        <v>0</v>
      </c>
      <c r="AK647">
        <f>AH647*S647+(T647-AC647)*AI647+AJ647</f>
        <v>0</v>
      </c>
      <c r="AL647">
        <f>IF(ISNUMBER(AG647),AG647,AK647)</f>
        <v>0</v>
      </c>
      <c r="AM647">
        <f>IF(ISNUMBER(AL647),IF(ISNUMBER(AH647),IF(AND(AH647=1,AI647=1,AJ647=1),100,MIN(99,ROUND(100*EXP(AL647)/(1+EXP(AL647)),2))),MIN(99,ROUND(100*EXP(AL647)/(1+EXP(AL647)),2))),IF(ISTEXT(R647),IF(LEFT(R647,1)="2",100,"N/A"),"N/A"))</f>
        <v>0</v>
      </c>
      <c r="AN647">
        <f>IF(ISNUMBER(AM647),IF(AM647&gt;=99,IF(OR(U647=10,U647=11),MatchLabel,SureThingLabel),IF(AM647&gt;=95,SecureLabel,IF(AM647&gt;=80,SafetyLabel,IF(AM647&gt;=50,MatchLabel,IF(AM647&gt;=20,ReachLabel,IF(AM647&gt;=10,LongshotLabel,HailMaryLabel)))))),"Other")</f>
        <v>0</v>
      </c>
      <c r="AO647">
        <f>IF(OR(I647="accepted",I647="cond. accept",I647="summer admit"),IF(J647="yes","CHOICE!","Accepted!"),IF(I647="guar. transfer","Guar. Xfer",IF(I647="denied","Denied",IF(K647=1,"Waitlist",IF(L647=1,"Deferred",IF(G647="pending","Pending",IF(OR(G647="initial materials submitted",G647="mid-year submitted",G647="final submitted"),"Submitted",IF(H647="interest","Interest","?"))))))))</f>
        <v>0</v>
      </c>
      <c r="AP647">
        <f>IF(OR(AN647=ReachLabel,AN647=LongshotLabel,AN647=HailMaryLabel),1,0)</f>
        <v>0</v>
      </c>
      <c r="AQ647">
        <f>IF(OR(AP647=1,AN647=MatchLabel),1,0)</f>
        <v>0</v>
      </c>
      <c r="AR647">
        <f>IF(OR(AN647=MatchLabel,AN647=SafetyLabel,AN647=SecureLabel,AN647=SureThingLabel),1,0)</f>
        <v>0</v>
      </c>
      <c r="AS647">
        <f>IF(OR(W647="H",W647="B",W647="I",W647="M"),IF(ISNUMBER(AB647),ROUND(AB647,2),0),IF(ISNUMBER(AA647),ROUND(AA647,2),0))</f>
        <v>0</v>
      </c>
      <c r="AT647">
        <f>IF(AS647&gt;=X647,1,0)</f>
        <v>0</v>
      </c>
      <c r="AU647">
        <f>IF(AS647&gt;=Y647,1,0)</f>
        <v>0</v>
      </c>
      <c r="AV647">
        <f>IF(AS647&lt;(X647-0.10),1,0)</f>
        <v>0</v>
      </c>
      <c r="AW647">
        <f>1-AM647/100</f>
        <v>0</v>
      </c>
      <c r="AX647">
        <f>IF(AQ647=1,AW647,1)</f>
        <v>0</v>
      </c>
      <c r="AY647">
        <f>IF(AP647=1,AW647,1)</f>
        <v>0</v>
      </c>
      <c r="AZ647">
        <f>IF(AND(AT647=1,ISNUMBER(AW647)),$AW647,1)</f>
        <v>0</v>
      </c>
      <c r="BA647">
        <f>IF(AND(AU647=1,ISNUMBER(AW647)),$AW647,1)</f>
        <v>0</v>
      </c>
      <c r="BB647">
        <f>IF(ISNUMBER(AB647),INDEX(AllCollegeMoney, MATCH(N647,AllCollegeNCES,0)),0)</f>
        <v>0</v>
      </c>
      <c r="BC647">
        <f>IF(AND(AT647=1,ISNUMBER(AW647),BB647=1),$AW647,1)</f>
        <v>0</v>
      </c>
      <c r="BD647">
        <f>IF(AND(AU647=1,ISNUMBER(AW647),BB647=1),$AW647,1)</f>
        <v>0</v>
      </c>
      <c r="BE647">
        <f>IF(ISNUMBER(AB647),INDEX(AllCollegeILPub, MATCH(N647,AllCollegeNCES,0)),0)</f>
        <v>0</v>
      </c>
      <c r="BF647">
        <f>IF(AN647=ReachLabel,AS647,0)</f>
        <v>0</v>
      </c>
      <c r="BG647">
        <f>IF(AN647=MatchLabel,AS647,0)</f>
        <v>0</v>
      </c>
      <c r="BH647">
        <f>IF(AN647=SafetyLabel,AS647,0)</f>
        <v>0</v>
      </c>
      <c r="BI647">
        <f>IF(AN647=SecureLabel,AS647,0)</f>
        <v>0</v>
      </c>
      <c r="BJ647">
        <f>IF(AN647=SureThingLabel,AS647,0)</f>
        <v>0</v>
      </c>
      <c r="BK647">
        <f>MAX(BF647:BJ647)</f>
        <v>0</v>
      </c>
      <c r="BL647">
        <f>MAX(BG647:BJ647)</f>
        <v>0</v>
      </c>
      <c r="BM647">
        <f>MAX(BH647:BJ647)</f>
        <v>0</v>
      </c>
      <c r="BN647">
        <f>IF(AND(AN647=ReachLabel,BB647=1),AS647,0)</f>
        <v>0</v>
      </c>
      <c r="BO647">
        <f>IF(AND(AN647=MatchLabel,BB647=1),AS647,0)</f>
        <v>0</v>
      </c>
      <c r="BP647">
        <f>IF(AND(AN647=SafetyLabel,BB647=1),AS647,0)</f>
        <v>0</v>
      </c>
      <c r="BQ647">
        <f>IF(AND(AN647=SecureLabel,BB647=1),AS647,0)</f>
        <v>0</v>
      </c>
      <c r="BR647">
        <f>IF(AND(AN647=SureThingLabel,BB647=1),AS647,0)</f>
        <v>0</v>
      </c>
      <c r="BS647">
        <f>MAX(BN647:BR647)</f>
        <v>0</v>
      </c>
      <c r="BT647">
        <f>MAX(BO647:BR647)</f>
        <v>0</v>
      </c>
      <c r="BU647">
        <f>MAX(BP647:BR647)</f>
        <v>0</v>
      </c>
      <c r="BV647">
        <f>IF(ISNUMBER(AB647),INDEX(AllCollegeChicago, MATCH(N647,AllCollegeNCES,0))*BB647,0)</f>
        <v>0</v>
      </c>
      <c r="BW647">
        <f>IF(ISNUMBER(AB647),INDEX(AllCollegeMoneyCode, MATCH(N647,AllCollegeNCES,0)),"?")</f>
        <v>0</v>
      </c>
      <c r="BX647">
        <f>IF(OR(BW647="---",BW647="--",BW647="+/--",BW647="+/---"),1,0)</f>
        <v>0</v>
      </c>
      <c r="BY647">
        <f>BB647*AR647*AT647</f>
        <v>0</v>
      </c>
    </row>
    <row r="648" spans="1:77">
      <c r="A648" t="s">
        <v>96</v>
      </c>
      <c r="B648">
        <v>24155152</v>
      </c>
      <c r="C648" t="s">
        <v>231</v>
      </c>
      <c r="D648" t="s">
        <v>232</v>
      </c>
      <c r="E648" t="s">
        <v>446</v>
      </c>
      <c r="F648" t="s">
        <v>505</v>
      </c>
      <c r="G648" t="s">
        <v>448</v>
      </c>
      <c r="H648" t="s">
        <v>449</v>
      </c>
      <c r="I648" t="s">
        <v>450</v>
      </c>
      <c r="J648" t="s">
        <v>450</v>
      </c>
      <c r="K648">
        <v>0</v>
      </c>
      <c r="L648" t="s">
        <v>446</v>
      </c>
      <c r="M648" t="s">
        <v>446</v>
      </c>
      <c r="N648">
        <v>149231</v>
      </c>
      <c r="O648">
        <f>INDEX(Counselor,MATCH(B648,KidIDs,0))</f>
        <v>0</v>
      </c>
      <c r="P648">
        <f>INDEX(Advisors,MATCH(B648,KidIDs,0))</f>
        <v>0</v>
      </c>
      <c r="Q648">
        <f>INDEX(Cohort,MATCH(B648,KidIDs,0))</f>
        <v>0</v>
      </c>
      <c r="R648">
        <f>INDEX(AllCollegeBarrons,MATCH(N648,AllCollegeNCES,0))</f>
        <v>0</v>
      </c>
      <c r="S648">
        <f>INDEX(KidGPAs,MATCH(B648,KidIDs,0))</f>
        <v>0</v>
      </c>
      <c r="T648">
        <f>INDEX(KidSATs,MATCH(B648,KidIDs,0))</f>
        <v>0</v>
      </c>
      <c r="U648">
        <f>INDEX(Strats,MATCH(B648,KidIDs,0))</f>
        <v>0</v>
      </c>
      <c r="V648">
        <f>INDEX(KidRace,MATCH(B648,KidIDs,0))</f>
        <v>0</v>
      </c>
      <c r="W648">
        <f>IF(OR(V648="M",V648="I"),"H",IF(V648="P","A",V648))</f>
        <v>0</v>
      </c>
      <c r="X648">
        <f>INDEX(StudentTargets,MATCH(B648,KidIDs,0))</f>
        <v>0</v>
      </c>
      <c r="Y648">
        <f>INDEX(ReachStudentTargets,MATCH(B648,KidIDs,0))</f>
        <v>0</v>
      </c>
      <c r="Z648">
        <f>IF(OR(M648="Posse"),1,0)</f>
        <v>0</v>
      </c>
      <c r="AA648">
        <f>IF(ISNUMBER(INDEX(AllCollegeGR, MATCH(N648,AllCollegeNCES,0))),ROUND(INDEX(AllCollegeGR, MATCH(N648,AllCollegeNCES,0))+Z648*IF(INDEX(AllCollegeGR, MATCH(N648,AllCollegeNCES,0))&gt;0.7,(1-INDEX(AllCollegeGR, MATCH(N648,AllCollegeNCES,0)))/2,0.15),2),INDEX(AllCollegeGR, MATCH(N648,AllCollegeNCES,0)))</f>
        <v>0</v>
      </c>
      <c r="AB648">
        <f>IF(ISNUMBER(INDEX(AllCollegeAAHGR, MATCH(N648,AllCollegeNCES,0))),ROUND(INDEX(AllCollegeAAHGR, MATCH(N648,AllCollegeNCES,0))+Z648*IF(INDEX(AllCollegeAAHGR, MATCH(N648,AllCollegeNCES,0))&gt;0.7,(1-INDEX(AllCollegeAAHGR, MATCH(N648,AllCollegeNCES,0)))/2,0.15),2),INDEX(AllCollegeAAHGR, MATCH(N648,AllCollegeNCES,0)))</f>
        <v>0</v>
      </c>
      <c r="AC648">
        <f>IF(OR(W648="H",W648="B"),INDEX(AllCollegeSAT25, MATCH(N648,AllCollegeNCES,0)),INDEX(AllCollegeSAT50, MATCH(N648,AllCollegeNCES,0)))</f>
        <v>0</v>
      </c>
      <c r="AD648">
        <f>INDEX(CustomWeightsGPA,MATCH(W648&amp;":"&amp;N648,CustomWeightsIndex,0))</f>
        <v>0</v>
      </c>
      <c r="AE648">
        <f>INDEX(CustomWeightsSAT,MATCH(W648&amp;":"&amp;N648,CustomWeightsIndex,0))</f>
        <v>0</v>
      </c>
      <c r="AF648">
        <f>INDEX(CustomWeightsIntercept,MATCH(W648&amp;":"&amp;N648,CustomWeightsIndex,0))</f>
        <v>0</v>
      </c>
      <c r="AG648">
        <f>AD648*S648+AE648*T648+AF648</f>
        <v>0</v>
      </c>
      <c r="AH648">
        <f>INDEX(CoefficientsGPA,MATCH(W648&amp;":"&amp;R648,CoefficientsIndex,0))</f>
        <v>0</v>
      </c>
      <c r="AI648">
        <f>INDEX(CoefficientsSAT,MATCH(W648&amp;":"&amp;R648,CoefficientsIndex,0))</f>
        <v>0</v>
      </c>
      <c r="AJ648">
        <f>INDEX(CoefficientsIntercept,MATCH(W648&amp;":"&amp;R648,CoefficientsIndex,0))</f>
        <v>0</v>
      </c>
      <c r="AK648">
        <f>AH648*S648+(T648-AC648)*AI648+AJ648</f>
        <v>0</v>
      </c>
      <c r="AL648">
        <f>IF(ISNUMBER(AG648),AG648,AK648)</f>
        <v>0</v>
      </c>
      <c r="AM648">
        <f>IF(ISNUMBER(AL648),IF(ISNUMBER(AH648),IF(AND(AH648=1,AI648=1,AJ648=1),100,MIN(99,ROUND(100*EXP(AL648)/(1+EXP(AL648)),2))),MIN(99,ROUND(100*EXP(AL648)/(1+EXP(AL648)),2))),IF(ISTEXT(R648),IF(LEFT(R648,1)="2",100,"N/A"),"N/A"))</f>
        <v>0</v>
      </c>
      <c r="AN648">
        <f>IF(ISNUMBER(AM648),IF(AM648&gt;=99,IF(OR(U648=10,U648=11),MatchLabel,SureThingLabel),IF(AM648&gt;=95,SecureLabel,IF(AM648&gt;=80,SafetyLabel,IF(AM648&gt;=50,MatchLabel,IF(AM648&gt;=20,ReachLabel,IF(AM648&gt;=10,LongshotLabel,HailMaryLabel)))))),"Other")</f>
        <v>0</v>
      </c>
      <c r="AO648">
        <f>IF(OR(I648="accepted",I648="cond. accept",I648="summer admit"),IF(J648="yes","CHOICE!","Accepted!"),IF(I648="guar. transfer","Guar. Xfer",IF(I648="denied","Denied",IF(K648=1,"Waitlist",IF(L648=1,"Deferred",IF(G648="pending","Pending",IF(OR(G648="initial materials submitted",G648="mid-year submitted",G648="final submitted"),"Submitted",IF(H648="interest","Interest","?"))))))))</f>
        <v>0</v>
      </c>
      <c r="AP648">
        <f>IF(OR(AN648=ReachLabel,AN648=LongshotLabel,AN648=HailMaryLabel),1,0)</f>
        <v>0</v>
      </c>
      <c r="AQ648">
        <f>IF(OR(AP648=1,AN648=MatchLabel),1,0)</f>
        <v>0</v>
      </c>
      <c r="AR648">
        <f>IF(OR(AN648=MatchLabel,AN648=SafetyLabel,AN648=SecureLabel,AN648=SureThingLabel),1,0)</f>
        <v>0</v>
      </c>
      <c r="AS648">
        <f>IF(OR(W648="H",W648="B",W648="I",W648="M"),IF(ISNUMBER(AB648),ROUND(AB648,2),0),IF(ISNUMBER(AA648),ROUND(AA648,2),0))</f>
        <v>0</v>
      </c>
      <c r="AT648">
        <f>IF(AS648&gt;=X648,1,0)</f>
        <v>0</v>
      </c>
      <c r="AU648">
        <f>IF(AS648&gt;=Y648,1,0)</f>
        <v>0</v>
      </c>
      <c r="AV648">
        <f>IF(AS648&lt;(X648-0.10),1,0)</f>
        <v>0</v>
      </c>
      <c r="AW648">
        <f>1-AM648/100</f>
        <v>0</v>
      </c>
      <c r="AX648">
        <f>IF(AQ648=1,AW648,1)</f>
        <v>0</v>
      </c>
      <c r="AY648">
        <f>IF(AP648=1,AW648,1)</f>
        <v>0</v>
      </c>
      <c r="AZ648">
        <f>IF(AND(AT648=1,ISNUMBER(AW648)),$AW648,1)</f>
        <v>0</v>
      </c>
      <c r="BA648">
        <f>IF(AND(AU648=1,ISNUMBER(AW648)),$AW648,1)</f>
        <v>0</v>
      </c>
      <c r="BB648">
        <f>IF(ISNUMBER(AB648),INDEX(AllCollegeMoney, MATCH(N648,AllCollegeNCES,0)),0)</f>
        <v>0</v>
      </c>
      <c r="BC648">
        <f>IF(AND(AT648=1,ISNUMBER(AW648),BB648=1),$AW648,1)</f>
        <v>0</v>
      </c>
      <c r="BD648">
        <f>IF(AND(AU648=1,ISNUMBER(AW648),BB648=1),$AW648,1)</f>
        <v>0</v>
      </c>
      <c r="BE648">
        <f>IF(ISNUMBER(AB648),INDEX(AllCollegeILPub, MATCH(N648,AllCollegeNCES,0)),0)</f>
        <v>0</v>
      </c>
      <c r="BF648">
        <f>IF(AN648=ReachLabel,AS648,0)</f>
        <v>0</v>
      </c>
      <c r="BG648">
        <f>IF(AN648=MatchLabel,AS648,0)</f>
        <v>0</v>
      </c>
      <c r="BH648">
        <f>IF(AN648=SafetyLabel,AS648,0)</f>
        <v>0</v>
      </c>
      <c r="BI648">
        <f>IF(AN648=SecureLabel,AS648,0)</f>
        <v>0</v>
      </c>
      <c r="BJ648">
        <f>IF(AN648=SureThingLabel,AS648,0)</f>
        <v>0</v>
      </c>
      <c r="BK648">
        <f>MAX(BF648:BJ648)</f>
        <v>0</v>
      </c>
      <c r="BL648">
        <f>MAX(BG648:BJ648)</f>
        <v>0</v>
      </c>
      <c r="BM648">
        <f>MAX(BH648:BJ648)</f>
        <v>0</v>
      </c>
      <c r="BN648">
        <f>IF(AND(AN648=ReachLabel,BB648=1),AS648,0)</f>
        <v>0</v>
      </c>
      <c r="BO648">
        <f>IF(AND(AN648=MatchLabel,BB648=1),AS648,0)</f>
        <v>0</v>
      </c>
      <c r="BP648">
        <f>IF(AND(AN648=SafetyLabel,BB648=1),AS648,0)</f>
        <v>0</v>
      </c>
      <c r="BQ648">
        <f>IF(AND(AN648=SecureLabel,BB648=1),AS648,0)</f>
        <v>0</v>
      </c>
      <c r="BR648">
        <f>IF(AND(AN648=SureThingLabel,BB648=1),AS648,0)</f>
        <v>0</v>
      </c>
      <c r="BS648">
        <f>MAX(BN648:BR648)</f>
        <v>0</v>
      </c>
      <c r="BT648">
        <f>MAX(BO648:BR648)</f>
        <v>0</v>
      </c>
      <c r="BU648">
        <f>MAX(BP648:BR648)</f>
        <v>0</v>
      </c>
      <c r="BV648">
        <f>IF(ISNUMBER(AB648),INDEX(AllCollegeChicago, MATCH(N648,AllCollegeNCES,0))*BB648,0)</f>
        <v>0</v>
      </c>
      <c r="BW648">
        <f>IF(ISNUMBER(AB648),INDEX(AllCollegeMoneyCode, MATCH(N648,AllCollegeNCES,0)),"?")</f>
        <v>0</v>
      </c>
      <c r="BX648">
        <f>IF(OR(BW648="---",BW648="--",BW648="+/--",BW648="+/---"),1,0)</f>
        <v>0</v>
      </c>
      <c r="BY648">
        <f>BB648*AR648*AT648</f>
        <v>0</v>
      </c>
    </row>
    <row r="649" spans="1:77">
      <c r="A649" t="s">
        <v>96</v>
      </c>
      <c r="B649">
        <v>24230510</v>
      </c>
      <c r="C649" t="s">
        <v>206</v>
      </c>
      <c r="D649" t="s">
        <v>207</v>
      </c>
      <c r="E649" t="s">
        <v>446</v>
      </c>
      <c r="F649" t="s">
        <v>447</v>
      </c>
      <c r="G649" t="s">
        <v>448</v>
      </c>
      <c r="H649" t="s">
        <v>449</v>
      </c>
      <c r="I649" t="s">
        <v>450</v>
      </c>
      <c r="J649" t="s">
        <v>450</v>
      </c>
      <c r="K649">
        <v>0</v>
      </c>
      <c r="L649" t="s">
        <v>446</v>
      </c>
      <c r="M649" t="s">
        <v>446</v>
      </c>
      <c r="N649">
        <v>148496</v>
      </c>
      <c r="O649">
        <f>INDEX(Counselor,MATCH(B649,KidIDs,0))</f>
        <v>0</v>
      </c>
      <c r="P649">
        <f>INDEX(Advisors,MATCH(B649,KidIDs,0))</f>
        <v>0</v>
      </c>
      <c r="Q649">
        <f>INDEX(Cohort,MATCH(B649,KidIDs,0))</f>
        <v>0</v>
      </c>
      <c r="R649">
        <f>INDEX(AllCollegeBarrons,MATCH(N649,AllCollegeNCES,0))</f>
        <v>0</v>
      </c>
      <c r="S649">
        <f>INDEX(KidGPAs,MATCH(B649,KidIDs,0))</f>
        <v>0</v>
      </c>
      <c r="T649">
        <f>INDEX(KidSATs,MATCH(B649,KidIDs,0))</f>
        <v>0</v>
      </c>
      <c r="U649">
        <f>INDEX(Strats,MATCH(B649,KidIDs,0))</f>
        <v>0</v>
      </c>
      <c r="V649">
        <f>INDEX(KidRace,MATCH(B649,KidIDs,0))</f>
        <v>0</v>
      </c>
      <c r="W649">
        <f>IF(OR(V649="M",V649="I"),"H",IF(V649="P","A",V649))</f>
        <v>0</v>
      </c>
      <c r="X649">
        <f>INDEX(StudentTargets,MATCH(B649,KidIDs,0))</f>
        <v>0</v>
      </c>
      <c r="Y649">
        <f>INDEX(ReachStudentTargets,MATCH(B649,KidIDs,0))</f>
        <v>0</v>
      </c>
      <c r="Z649">
        <f>IF(OR(M649="Posse"),1,0)</f>
        <v>0</v>
      </c>
      <c r="AA649">
        <f>IF(ISNUMBER(INDEX(AllCollegeGR, MATCH(N649,AllCollegeNCES,0))),ROUND(INDEX(AllCollegeGR, MATCH(N649,AllCollegeNCES,0))+Z649*IF(INDEX(AllCollegeGR, MATCH(N649,AllCollegeNCES,0))&gt;0.7,(1-INDEX(AllCollegeGR, MATCH(N649,AllCollegeNCES,0)))/2,0.15),2),INDEX(AllCollegeGR, MATCH(N649,AllCollegeNCES,0)))</f>
        <v>0</v>
      </c>
      <c r="AB649">
        <f>IF(ISNUMBER(INDEX(AllCollegeAAHGR, MATCH(N649,AllCollegeNCES,0))),ROUND(INDEX(AllCollegeAAHGR, MATCH(N649,AllCollegeNCES,0))+Z649*IF(INDEX(AllCollegeAAHGR, MATCH(N649,AllCollegeNCES,0))&gt;0.7,(1-INDEX(AllCollegeAAHGR, MATCH(N649,AllCollegeNCES,0)))/2,0.15),2),INDEX(AllCollegeAAHGR, MATCH(N649,AllCollegeNCES,0)))</f>
        <v>0</v>
      </c>
      <c r="AC649">
        <f>IF(OR(W649="H",W649="B"),INDEX(AllCollegeSAT25, MATCH(N649,AllCollegeNCES,0)),INDEX(AllCollegeSAT50, MATCH(N649,AllCollegeNCES,0)))</f>
        <v>0</v>
      </c>
      <c r="AD649">
        <f>INDEX(CustomWeightsGPA,MATCH(W649&amp;":"&amp;N649,CustomWeightsIndex,0))</f>
        <v>0</v>
      </c>
      <c r="AE649">
        <f>INDEX(CustomWeightsSAT,MATCH(W649&amp;":"&amp;N649,CustomWeightsIndex,0))</f>
        <v>0</v>
      </c>
      <c r="AF649">
        <f>INDEX(CustomWeightsIntercept,MATCH(W649&amp;":"&amp;N649,CustomWeightsIndex,0))</f>
        <v>0</v>
      </c>
      <c r="AG649">
        <f>AD649*S649+AE649*T649+AF649</f>
        <v>0</v>
      </c>
      <c r="AH649">
        <f>INDEX(CoefficientsGPA,MATCH(W649&amp;":"&amp;R649,CoefficientsIndex,0))</f>
        <v>0</v>
      </c>
      <c r="AI649">
        <f>INDEX(CoefficientsSAT,MATCH(W649&amp;":"&amp;R649,CoefficientsIndex,0))</f>
        <v>0</v>
      </c>
      <c r="AJ649">
        <f>INDEX(CoefficientsIntercept,MATCH(W649&amp;":"&amp;R649,CoefficientsIndex,0))</f>
        <v>0</v>
      </c>
      <c r="AK649">
        <f>AH649*S649+(T649-AC649)*AI649+AJ649</f>
        <v>0</v>
      </c>
      <c r="AL649">
        <f>IF(ISNUMBER(AG649),AG649,AK649)</f>
        <v>0</v>
      </c>
      <c r="AM649">
        <f>IF(ISNUMBER(AL649),IF(ISNUMBER(AH649),IF(AND(AH649=1,AI649=1,AJ649=1),100,MIN(99,ROUND(100*EXP(AL649)/(1+EXP(AL649)),2))),MIN(99,ROUND(100*EXP(AL649)/(1+EXP(AL649)),2))),IF(ISTEXT(R649),IF(LEFT(R649,1)="2",100,"N/A"),"N/A"))</f>
        <v>0</v>
      </c>
      <c r="AN649">
        <f>IF(ISNUMBER(AM649),IF(AM649&gt;=99,IF(OR(U649=10,U649=11),MatchLabel,SureThingLabel),IF(AM649&gt;=95,SecureLabel,IF(AM649&gt;=80,SafetyLabel,IF(AM649&gt;=50,MatchLabel,IF(AM649&gt;=20,ReachLabel,IF(AM649&gt;=10,LongshotLabel,HailMaryLabel)))))),"Other")</f>
        <v>0</v>
      </c>
      <c r="AO649">
        <f>IF(OR(I649="accepted",I649="cond. accept",I649="summer admit"),IF(J649="yes","CHOICE!","Accepted!"),IF(I649="guar. transfer","Guar. Xfer",IF(I649="denied","Denied",IF(K649=1,"Waitlist",IF(L649=1,"Deferred",IF(G649="pending","Pending",IF(OR(G649="initial materials submitted",G649="mid-year submitted",G649="final submitted"),"Submitted",IF(H649="interest","Interest","?"))))))))</f>
        <v>0</v>
      </c>
      <c r="AP649">
        <f>IF(OR(AN649=ReachLabel,AN649=LongshotLabel,AN649=HailMaryLabel),1,0)</f>
        <v>0</v>
      </c>
      <c r="AQ649">
        <f>IF(OR(AP649=1,AN649=MatchLabel),1,0)</f>
        <v>0</v>
      </c>
      <c r="AR649">
        <f>IF(OR(AN649=MatchLabel,AN649=SafetyLabel,AN649=SecureLabel,AN649=SureThingLabel),1,0)</f>
        <v>0</v>
      </c>
      <c r="AS649">
        <f>IF(OR(W649="H",W649="B",W649="I",W649="M"),IF(ISNUMBER(AB649),ROUND(AB649,2),0),IF(ISNUMBER(AA649),ROUND(AA649,2),0))</f>
        <v>0</v>
      </c>
      <c r="AT649">
        <f>IF(AS649&gt;=X649,1,0)</f>
        <v>0</v>
      </c>
      <c r="AU649">
        <f>IF(AS649&gt;=Y649,1,0)</f>
        <v>0</v>
      </c>
      <c r="AV649">
        <f>IF(AS649&lt;(X649-0.10),1,0)</f>
        <v>0</v>
      </c>
      <c r="AW649">
        <f>1-AM649/100</f>
        <v>0</v>
      </c>
      <c r="AX649">
        <f>IF(AQ649=1,AW649,1)</f>
        <v>0</v>
      </c>
      <c r="AY649">
        <f>IF(AP649=1,AW649,1)</f>
        <v>0</v>
      </c>
      <c r="AZ649">
        <f>IF(AND(AT649=1,ISNUMBER(AW649)),$AW649,1)</f>
        <v>0</v>
      </c>
      <c r="BA649">
        <f>IF(AND(AU649=1,ISNUMBER(AW649)),$AW649,1)</f>
        <v>0</v>
      </c>
      <c r="BB649">
        <f>IF(ISNUMBER(AB649),INDEX(AllCollegeMoney, MATCH(N649,AllCollegeNCES,0)),0)</f>
        <v>0</v>
      </c>
      <c r="BC649">
        <f>IF(AND(AT649=1,ISNUMBER(AW649),BB649=1),$AW649,1)</f>
        <v>0</v>
      </c>
      <c r="BD649">
        <f>IF(AND(AU649=1,ISNUMBER(AW649),BB649=1),$AW649,1)</f>
        <v>0</v>
      </c>
      <c r="BE649">
        <f>IF(ISNUMBER(AB649),INDEX(AllCollegeILPub, MATCH(N649,AllCollegeNCES,0)),0)</f>
        <v>0</v>
      </c>
      <c r="BF649">
        <f>IF(AN649=ReachLabel,AS649,0)</f>
        <v>0</v>
      </c>
      <c r="BG649">
        <f>IF(AN649=MatchLabel,AS649,0)</f>
        <v>0</v>
      </c>
      <c r="BH649">
        <f>IF(AN649=SafetyLabel,AS649,0)</f>
        <v>0</v>
      </c>
      <c r="BI649">
        <f>IF(AN649=SecureLabel,AS649,0)</f>
        <v>0</v>
      </c>
      <c r="BJ649">
        <f>IF(AN649=SureThingLabel,AS649,0)</f>
        <v>0</v>
      </c>
      <c r="BK649">
        <f>MAX(BF649:BJ649)</f>
        <v>0</v>
      </c>
      <c r="BL649">
        <f>MAX(BG649:BJ649)</f>
        <v>0</v>
      </c>
      <c r="BM649">
        <f>MAX(BH649:BJ649)</f>
        <v>0</v>
      </c>
      <c r="BN649">
        <f>IF(AND(AN649=ReachLabel,BB649=1),AS649,0)</f>
        <v>0</v>
      </c>
      <c r="BO649">
        <f>IF(AND(AN649=MatchLabel,BB649=1),AS649,0)</f>
        <v>0</v>
      </c>
      <c r="BP649">
        <f>IF(AND(AN649=SafetyLabel,BB649=1),AS649,0)</f>
        <v>0</v>
      </c>
      <c r="BQ649">
        <f>IF(AND(AN649=SecureLabel,BB649=1),AS649,0)</f>
        <v>0</v>
      </c>
      <c r="BR649">
        <f>IF(AND(AN649=SureThingLabel,BB649=1),AS649,0)</f>
        <v>0</v>
      </c>
      <c r="BS649">
        <f>MAX(BN649:BR649)</f>
        <v>0</v>
      </c>
      <c r="BT649">
        <f>MAX(BO649:BR649)</f>
        <v>0</v>
      </c>
      <c r="BU649">
        <f>MAX(BP649:BR649)</f>
        <v>0</v>
      </c>
      <c r="BV649">
        <f>IF(ISNUMBER(AB649),INDEX(AllCollegeChicago, MATCH(N649,AllCollegeNCES,0))*BB649,0)</f>
        <v>0</v>
      </c>
      <c r="BW649">
        <f>IF(ISNUMBER(AB649),INDEX(AllCollegeMoneyCode, MATCH(N649,AllCollegeNCES,0)),"?")</f>
        <v>0</v>
      </c>
      <c r="BX649">
        <f>IF(OR(BW649="---",BW649="--",BW649="+/--",BW649="+/---"),1,0)</f>
        <v>0</v>
      </c>
      <c r="BY649">
        <f>BB649*AR649*AT649</f>
        <v>0</v>
      </c>
    </row>
    <row r="650" spans="1:77">
      <c r="A650" t="s">
        <v>96</v>
      </c>
      <c r="B650">
        <v>24230510</v>
      </c>
      <c r="C650" t="s">
        <v>206</v>
      </c>
      <c r="D650" t="s">
        <v>207</v>
      </c>
      <c r="E650" t="s">
        <v>446</v>
      </c>
      <c r="F650" t="s">
        <v>465</v>
      </c>
      <c r="G650" t="s">
        <v>448</v>
      </c>
      <c r="H650" t="s">
        <v>449</v>
      </c>
      <c r="I650" t="s">
        <v>450</v>
      </c>
      <c r="J650" t="s">
        <v>450</v>
      </c>
      <c r="K650">
        <v>0</v>
      </c>
      <c r="L650" t="s">
        <v>446</v>
      </c>
      <c r="M650" t="s">
        <v>446</v>
      </c>
      <c r="N650">
        <v>145600</v>
      </c>
      <c r="O650">
        <f>INDEX(Counselor,MATCH(B650,KidIDs,0))</f>
        <v>0</v>
      </c>
      <c r="P650">
        <f>INDEX(Advisors,MATCH(B650,KidIDs,0))</f>
        <v>0</v>
      </c>
      <c r="Q650">
        <f>INDEX(Cohort,MATCH(B650,KidIDs,0))</f>
        <v>0</v>
      </c>
      <c r="R650">
        <f>INDEX(AllCollegeBarrons,MATCH(N650,AllCollegeNCES,0))</f>
        <v>0</v>
      </c>
      <c r="S650">
        <f>INDEX(KidGPAs,MATCH(B650,KidIDs,0))</f>
        <v>0</v>
      </c>
      <c r="T650">
        <f>INDEX(KidSATs,MATCH(B650,KidIDs,0))</f>
        <v>0</v>
      </c>
      <c r="U650">
        <f>INDEX(Strats,MATCH(B650,KidIDs,0))</f>
        <v>0</v>
      </c>
      <c r="V650">
        <f>INDEX(KidRace,MATCH(B650,KidIDs,0))</f>
        <v>0</v>
      </c>
      <c r="W650">
        <f>IF(OR(V650="M",V650="I"),"H",IF(V650="P","A",V650))</f>
        <v>0</v>
      </c>
      <c r="X650">
        <f>INDEX(StudentTargets,MATCH(B650,KidIDs,0))</f>
        <v>0</v>
      </c>
      <c r="Y650">
        <f>INDEX(ReachStudentTargets,MATCH(B650,KidIDs,0))</f>
        <v>0</v>
      </c>
      <c r="Z650">
        <f>IF(OR(M650="Posse"),1,0)</f>
        <v>0</v>
      </c>
      <c r="AA650">
        <f>IF(ISNUMBER(INDEX(AllCollegeGR, MATCH(N650,AllCollegeNCES,0))),ROUND(INDEX(AllCollegeGR, MATCH(N650,AllCollegeNCES,0))+Z650*IF(INDEX(AllCollegeGR, MATCH(N650,AllCollegeNCES,0))&gt;0.7,(1-INDEX(AllCollegeGR, MATCH(N650,AllCollegeNCES,0)))/2,0.15),2),INDEX(AllCollegeGR, MATCH(N650,AllCollegeNCES,0)))</f>
        <v>0</v>
      </c>
      <c r="AB650">
        <f>IF(ISNUMBER(INDEX(AllCollegeAAHGR, MATCH(N650,AllCollegeNCES,0))),ROUND(INDEX(AllCollegeAAHGR, MATCH(N650,AllCollegeNCES,0))+Z650*IF(INDEX(AllCollegeAAHGR, MATCH(N650,AllCollegeNCES,0))&gt;0.7,(1-INDEX(AllCollegeAAHGR, MATCH(N650,AllCollegeNCES,0)))/2,0.15),2),INDEX(AllCollegeAAHGR, MATCH(N650,AllCollegeNCES,0)))</f>
        <v>0</v>
      </c>
      <c r="AC650">
        <f>IF(OR(W650="H",W650="B"),INDEX(AllCollegeSAT25, MATCH(N650,AllCollegeNCES,0)),INDEX(AllCollegeSAT50, MATCH(N650,AllCollegeNCES,0)))</f>
        <v>0</v>
      </c>
      <c r="AD650">
        <f>INDEX(CustomWeightsGPA,MATCH(W650&amp;":"&amp;N650,CustomWeightsIndex,0))</f>
        <v>0</v>
      </c>
      <c r="AE650">
        <f>INDEX(CustomWeightsSAT,MATCH(W650&amp;":"&amp;N650,CustomWeightsIndex,0))</f>
        <v>0</v>
      </c>
      <c r="AF650">
        <f>INDEX(CustomWeightsIntercept,MATCH(W650&amp;":"&amp;N650,CustomWeightsIndex,0))</f>
        <v>0</v>
      </c>
      <c r="AG650">
        <f>AD650*S650+AE650*T650+AF650</f>
        <v>0</v>
      </c>
      <c r="AH650">
        <f>INDEX(CoefficientsGPA,MATCH(W650&amp;":"&amp;R650,CoefficientsIndex,0))</f>
        <v>0</v>
      </c>
      <c r="AI650">
        <f>INDEX(CoefficientsSAT,MATCH(W650&amp;":"&amp;R650,CoefficientsIndex,0))</f>
        <v>0</v>
      </c>
      <c r="AJ650">
        <f>INDEX(CoefficientsIntercept,MATCH(W650&amp;":"&amp;R650,CoefficientsIndex,0))</f>
        <v>0</v>
      </c>
      <c r="AK650">
        <f>AH650*S650+(T650-AC650)*AI650+AJ650</f>
        <v>0</v>
      </c>
      <c r="AL650">
        <f>IF(ISNUMBER(AG650),AG650,AK650)</f>
        <v>0</v>
      </c>
      <c r="AM650">
        <f>IF(ISNUMBER(AL650),IF(ISNUMBER(AH650),IF(AND(AH650=1,AI650=1,AJ650=1),100,MIN(99,ROUND(100*EXP(AL650)/(1+EXP(AL650)),2))),MIN(99,ROUND(100*EXP(AL650)/(1+EXP(AL650)),2))),IF(ISTEXT(R650),IF(LEFT(R650,1)="2",100,"N/A"),"N/A"))</f>
        <v>0</v>
      </c>
      <c r="AN650">
        <f>IF(ISNUMBER(AM650),IF(AM650&gt;=99,IF(OR(U650=10,U650=11),MatchLabel,SureThingLabel),IF(AM650&gt;=95,SecureLabel,IF(AM650&gt;=80,SafetyLabel,IF(AM650&gt;=50,MatchLabel,IF(AM650&gt;=20,ReachLabel,IF(AM650&gt;=10,LongshotLabel,HailMaryLabel)))))),"Other")</f>
        <v>0</v>
      </c>
      <c r="AO650">
        <f>IF(OR(I650="accepted",I650="cond. accept",I650="summer admit"),IF(J650="yes","CHOICE!","Accepted!"),IF(I650="guar. transfer","Guar. Xfer",IF(I650="denied","Denied",IF(K650=1,"Waitlist",IF(L650=1,"Deferred",IF(G650="pending","Pending",IF(OR(G650="initial materials submitted",G650="mid-year submitted",G650="final submitted"),"Submitted",IF(H650="interest","Interest","?"))))))))</f>
        <v>0</v>
      </c>
      <c r="AP650">
        <f>IF(OR(AN650=ReachLabel,AN650=LongshotLabel,AN650=HailMaryLabel),1,0)</f>
        <v>0</v>
      </c>
      <c r="AQ650">
        <f>IF(OR(AP650=1,AN650=MatchLabel),1,0)</f>
        <v>0</v>
      </c>
      <c r="AR650">
        <f>IF(OR(AN650=MatchLabel,AN650=SafetyLabel,AN650=SecureLabel,AN650=SureThingLabel),1,0)</f>
        <v>0</v>
      </c>
      <c r="AS650">
        <f>IF(OR(W650="H",W650="B",W650="I",W650="M"),IF(ISNUMBER(AB650),ROUND(AB650,2),0),IF(ISNUMBER(AA650),ROUND(AA650,2),0))</f>
        <v>0</v>
      </c>
      <c r="AT650">
        <f>IF(AS650&gt;=X650,1,0)</f>
        <v>0</v>
      </c>
      <c r="AU650">
        <f>IF(AS650&gt;=Y650,1,0)</f>
        <v>0</v>
      </c>
      <c r="AV650">
        <f>IF(AS650&lt;(X650-0.10),1,0)</f>
        <v>0</v>
      </c>
      <c r="AW650">
        <f>1-AM650/100</f>
        <v>0</v>
      </c>
      <c r="AX650">
        <f>IF(AQ650=1,AW650,1)</f>
        <v>0</v>
      </c>
      <c r="AY650">
        <f>IF(AP650=1,AW650,1)</f>
        <v>0</v>
      </c>
      <c r="AZ650">
        <f>IF(AND(AT650=1,ISNUMBER(AW650)),$AW650,1)</f>
        <v>0</v>
      </c>
      <c r="BA650">
        <f>IF(AND(AU650=1,ISNUMBER(AW650)),$AW650,1)</f>
        <v>0</v>
      </c>
      <c r="BB650">
        <f>IF(ISNUMBER(AB650),INDEX(AllCollegeMoney, MATCH(N650,AllCollegeNCES,0)),0)</f>
        <v>0</v>
      </c>
      <c r="BC650">
        <f>IF(AND(AT650=1,ISNUMBER(AW650),BB650=1),$AW650,1)</f>
        <v>0</v>
      </c>
      <c r="BD650">
        <f>IF(AND(AU650=1,ISNUMBER(AW650),BB650=1),$AW650,1)</f>
        <v>0</v>
      </c>
      <c r="BE650">
        <f>IF(ISNUMBER(AB650),INDEX(AllCollegeILPub, MATCH(N650,AllCollegeNCES,0)),0)</f>
        <v>0</v>
      </c>
      <c r="BF650">
        <f>IF(AN650=ReachLabel,AS650,0)</f>
        <v>0</v>
      </c>
      <c r="BG650">
        <f>IF(AN650=MatchLabel,AS650,0)</f>
        <v>0</v>
      </c>
      <c r="BH650">
        <f>IF(AN650=SafetyLabel,AS650,0)</f>
        <v>0</v>
      </c>
      <c r="BI650">
        <f>IF(AN650=SecureLabel,AS650,0)</f>
        <v>0</v>
      </c>
      <c r="BJ650">
        <f>IF(AN650=SureThingLabel,AS650,0)</f>
        <v>0</v>
      </c>
      <c r="BK650">
        <f>MAX(BF650:BJ650)</f>
        <v>0</v>
      </c>
      <c r="BL650">
        <f>MAX(BG650:BJ650)</f>
        <v>0</v>
      </c>
      <c r="BM650">
        <f>MAX(BH650:BJ650)</f>
        <v>0</v>
      </c>
      <c r="BN650">
        <f>IF(AND(AN650=ReachLabel,BB650=1),AS650,0)</f>
        <v>0</v>
      </c>
      <c r="BO650">
        <f>IF(AND(AN650=MatchLabel,BB650=1),AS650,0)</f>
        <v>0</v>
      </c>
      <c r="BP650">
        <f>IF(AND(AN650=SafetyLabel,BB650=1),AS650,0)</f>
        <v>0</v>
      </c>
      <c r="BQ650">
        <f>IF(AND(AN650=SecureLabel,BB650=1),AS650,0)</f>
        <v>0</v>
      </c>
      <c r="BR650">
        <f>IF(AND(AN650=SureThingLabel,BB650=1),AS650,0)</f>
        <v>0</v>
      </c>
      <c r="BS650">
        <f>MAX(BN650:BR650)</f>
        <v>0</v>
      </c>
      <c r="BT650">
        <f>MAX(BO650:BR650)</f>
        <v>0</v>
      </c>
      <c r="BU650">
        <f>MAX(BP650:BR650)</f>
        <v>0</v>
      </c>
      <c r="BV650">
        <f>IF(ISNUMBER(AB650),INDEX(AllCollegeChicago, MATCH(N650,AllCollegeNCES,0))*BB650,0)</f>
        <v>0</v>
      </c>
      <c r="BW650">
        <f>IF(ISNUMBER(AB650),INDEX(AllCollegeMoneyCode, MATCH(N650,AllCollegeNCES,0)),"?")</f>
        <v>0</v>
      </c>
      <c r="BX650">
        <f>IF(OR(BW650="---",BW650="--",BW650="+/--",BW650="+/---"),1,0)</f>
        <v>0</v>
      </c>
      <c r="BY650">
        <f>BB650*AR650*AT650</f>
        <v>0</v>
      </c>
    </row>
    <row r="651" spans="1:77">
      <c r="A651" t="s">
        <v>96</v>
      </c>
      <c r="B651">
        <v>24230510</v>
      </c>
      <c r="C651" t="s">
        <v>206</v>
      </c>
      <c r="D651" t="s">
        <v>207</v>
      </c>
      <c r="E651" t="s">
        <v>446</v>
      </c>
      <c r="F651" t="s">
        <v>506</v>
      </c>
      <c r="G651" t="s">
        <v>448</v>
      </c>
      <c r="H651" t="s">
        <v>449</v>
      </c>
      <c r="I651" t="s">
        <v>450</v>
      </c>
      <c r="J651" t="s">
        <v>450</v>
      </c>
      <c r="K651">
        <v>0</v>
      </c>
      <c r="L651" t="s">
        <v>446</v>
      </c>
      <c r="M651" t="s">
        <v>446</v>
      </c>
      <c r="N651">
        <v>147679</v>
      </c>
      <c r="O651">
        <f>INDEX(Counselor,MATCH(B651,KidIDs,0))</f>
        <v>0</v>
      </c>
      <c r="P651">
        <f>INDEX(Advisors,MATCH(B651,KidIDs,0))</f>
        <v>0</v>
      </c>
      <c r="Q651">
        <f>INDEX(Cohort,MATCH(B651,KidIDs,0))</f>
        <v>0</v>
      </c>
      <c r="R651">
        <f>INDEX(AllCollegeBarrons,MATCH(N651,AllCollegeNCES,0))</f>
        <v>0</v>
      </c>
      <c r="S651">
        <f>INDEX(KidGPAs,MATCH(B651,KidIDs,0))</f>
        <v>0</v>
      </c>
      <c r="T651">
        <f>INDEX(KidSATs,MATCH(B651,KidIDs,0))</f>
        <v>0</v>
      </c>
      <c r="U651">
        <f>INDEX(Strats,MATCH(B651,KidIDs,0))</f>
        <v>0</v>
      </c>
      <c r="V651">
        <f>INDEX(KidRace,MATCH(B651,KidIDs,0))</f>
        <v>0</v>
      </c>
      <c r="W651">
        <f>IF(OR(V651="M",V651="I"),"H",IF(V651="P","A",V651))</f>
        <v>0</v>
      </c>
      <c r="X651">
        <f>INDEX(StudentTargets,MATCH(B651,KidIDs,0))</f>
        <v>0</v>
      </c>
      <c r="Y651">
        <f>INDEX(ReachStudentTargets,MATCH(B651,KidIDs,0))</f>
        <v>0</v>
      </c>
      <c r="Z651">
        <f>IF(OR(M651="Posse"),1,0)</f>
        <v>0</v>
      </c>
      <c r="AA651">
        <f>IF(ISNUMBER(INDEX(AllCollegeGR, MATCH(N651,AllCollegeNCES,0))),ROUND(INDEX(AllCollegeGR, MATCH(N651,AllCollegeNCES,0))+Z651*IF(INDEX(AllCollegeGR, MATCH(N651,AllCollegeNCES,0))&gt;0.7,(1-INDEX(AllCollegeGR, MATCH(N651,AllCollegeNCES,0)))/2,0.15),2),INDEX(AllCollegeGR, MATCH(N651,AllCollegeNCES,0)))</f>
        <v>0</v>
      </c>
      <c r="AB651">
        <f>IF(ISNUMBER(INDEX(AllCollegeAAHGR, MATCH(N651,AllCollegeNCES,0))),ROUND(INDEX(AllCollegeAAHGR, MATCH(N651,AllCollegeNCES,0))+Z651*IF(INDEX(AllCollegeAAHGR, MATCH(N651,AllCollegeNCES,0))&gt;0.7,(1-INDEX(AllCollegeAAHGR, MATCH(N651,AllCollegeNCES,0)))/2,0.15),2),INDEX(AllCollegeAAHGR, MATCH(N651,AllCollegeNCES,0)))</f>
        <v>0</v>
      </c>
      <c r="AC651">
        <f>IF(OR(W651="H",W651="B"),INDEX(AllCollegeSAT25, MATCH(N651,AllCollegeNCES,0)),INDEX(AllCollegeSAT50, MATCH(N651,AllCollegeNCES,0)))</f>
        <v>0</v>
      </c>
      <c r="AD651">
        <f>INDEX(CustomWeightsGPA,MATCH(W651&amp;":"&amp;N651,CustomWeightsIndex,0))</f>
        <v>0</v>
      </c>
      <c r="AE651">
        <f>INDEX(CustomWeightsSAT,MATCH(W651&amp;":"&amp;N651,CustomWeightsIndex,0))</f>
        <v>0</v>
      </c>
      <c r="AF651">
        <f>INDEX(CustomWeightsIntercept,MATCH(W651&amp;":"&amp;N651,CustomWeightsIndex,0))</f>
        <v>0</v>
      </c>
      <c r="AG651">
        <f>AD651*S651+AE651*T651+AF651</f>
        <v>0</v>
      </c>
      <c r="AH651">
        <f>INDEX(CoefficientsGPA,MATCH(W651&amp;":"&amp;R651,CoefficientsIndex,0))</f>
        <v>0</v>
      </c>
      <c r="AI651">
        <f>INDEX(CoefficientsSAT,MATCH(W651&amp;":"&amp;R651,CoefficientsIndex,0))</f>
        <v>0</v>
      </c>
      <c r="AJ651">
        <f>INDEX(CoefficientsIntercept,MATCH(W651&amp;":"&amp;R651,CoefficientsIndex,0))</f>
        <v>0</v>
      </c>
      <c r="AK651">
        <f>AH651*S651+(T651-AC651)*AI651+AJ651</f>
        <v>0</v>
      </c>
      <c r="AL651">
        <f>IF(ISNUMBER(AG651),AG651,AK651)</f>
        <v>0</v>
      </c>
      <c r="AM651">
        <f>IF(ISNUMBER(AL651),IF(ISNUMBER(AH651),IF(AND(AH651=1,AI651=1,AJ651=1),100,MIN(99,ROUND(100*EXP(AL651)/(1+EXP(AL651)),2))),MIN(99,ROUND(100*EXP(AL651)/(1+EXP(AL651)),2))),IF(ISTEXT(R651),IF(LEFT(R651,1)="2",100,"N/A"),"N/A"))</f>
        <v>0</v>
      </c>
      <c r="AN651">
        <f>IF(ISNUMBER(AM651),IF(AM651&gt;=99,IF(OR(U651=10,U651=11),MatchLabel,SureThingLabel),IF(AM651&gt;=95,SecureLabel,IF(AM651&gt;=80,SafetyLabel,IF(AM651&gt;=50,MatchLabel,IF(AM651&gt;=20,ReachLabel,IF(AM651&gt;=10,LongshotLabel,HailMaryLabel)))))),"Other")</f>
        <v>0</v>
      </c>
      <c r="AO651">
        <f>IF(OR(I651="accepted",I651="cond. accept",I651="summer admit"),IF(J651="yes","CHOICE!","Accepted!"),IF(I651="guar. transfer","Guar. Xfer",IF(I651="denied","Denied",IF(K651=1,"Waitlist",IF(L651=1,"Deferred",IF(G651="pending","Pending",IF(OR(G651="initial materials submitted",G651="mid-year submitted",G651="final submitted"),"Submitted",IF(H651="interest","Interest","?"))))))))</f>
        <v>0</v>
      </c>
      <c r="AP651">
        <f>IF(OR(AN651=ReachLabel,AN651=LongshotLabel,AN651=HailMaryLabel),1,0)</f>
        <v>0</v>
      </c>
      <c r="AQ651">
        <f>IF(OR(AP651=1,AN651=MatchLabel),1,0)</f>
        <v>0</v>
      </c>
      <c r="AR651">
        <f>IF(OR(AN651=MatchLabel,AN651=SafetyLabel,AN651=SecureLabel,AN651=SureThingLabel),1,0)</f>
        <v>0</v>
      </c>
      <c r="AS651">
        <f>IF(OR(W651="H",W651="B",W651="I",W651="M"),IF(ISNUMBER(AB651),ROUND(AB651,2),0),IF(ISNUMBER(AA651),ROUND(AA651,2),0))</f>
        <v>0</v>
      </c>
      <c r="AT651">
        <f>IF(AS651&gt;=X651,1,0)</f>
        <v>0</v>
      </c>
      <c r="AU651">
        <f>IF(AS651&gt;=Y651,1,0)</f>
        <v>0</v>
      </c>
      <c r="AV651">
        <f>IF(AS651&lt;(X651-0.10),1,0)</f>
        <v>0</v>
      </c>
      <c r="AW651">
        <f>1-AM651/100</f>
        <v>0</v>
      </c>
      <c r="AX651">
        <f>IF(AQ651=1,AW651,1)</f>
        <v>0</v>
      </c>
      <c r="AY651">
        <f>IF(AP651=1,AW651,1)</f>
        <v>0</v>
      </c>
      <c r="AZ651">
        <f>IF(AND(AT651=1,ISNUMBER(AW651)),$AW651,1)</f>
        <v>0</v>
      </c>
      <c r="BA651">
        <f>IF(AND(AU651=1,ISNUMBER(AW651)),$AW651,1)</f>
        <v>0</v>
      </c>
      <c r="BB651">
        <f>IF(ISNUMBER(AB651),INDEX(AllCollegeMoney, MATCH(N651,AllCollegeNCES,0)),0)</f>
        <v>0</v>
      </c>
      <c r="BC651">
        <f>IF(AND(AT651=1,ISNUMBER(AW651),BB651=1),$AW651,1)</f>
        <v>0</v>
      </c>
      <c r="BD651">
        <f>IF(AND(AU651=1,ISNUMBER(AW651),BB651=1),$AW651,1)</f>
        <v>0</v>
      </c>
      <c r="BE651">
        <f>IF(ISNUMBER(AB651),INDEX(AllCollegeILPub, MATCH(N651,AllCollegeNCES,0)),0)</f>
        <v>0</v>
      </c>
      <c r="BF651">
        <f>IF(AN651=ReachLabel,AS651,0)</f>
        <v>0</v>
      </c>
      <c r="BG651">
        <f>IF(AN651=MatchLabel,AS651,0)</f>
        <v>0</v>
      </c>
      <c r="BH651">
        <f>IF(AN651=SafetyLabel,AS651,0)</f>
        <v>0</v>
      </c>
      <c r="BI651">
        <f>IF(AN651=SecureLabel,AS651,0)</f>
        <v>0</v>
      </c>
      <c r="BJ651">
        <f>IF(AN651=SureThingLabel,AS651,0)</f>
        <v>0</v>
      </c>
      <c r="BK651">
        <f>MAX(BF651:BJ651)</f>
        <v>0</v>
      </c>
      <c r="BL651">
        <f>MAX(BG651:BJ651)</f>
        <v>0</v>
      </c>
      <c r="BM651">
        <f>MAX(BH651:BJ651)</f>
        <v>0</v>
      </c>
      <c r="BN651">
        <f>IF(AND(AN651=ReachLabel,BB651=1),AS651,0)</f>
        <v>0</v>
      </c>
      <c r="BO651">
        <f>IF(AND(AN651=MatchLabel,BB651=1),AS651,0)</f>
        <v>0</v>
      </c>
      <c r="BP651">
        <f>IF(AND(AN651=SafetyLabel,BB651=1),AS651,0)</f>
        <v>0</v>
      </c>
      <c r="BQ651">
        <f>IF(AND(AN651=SecureLabel,BB651=1),AS651,0)</f>
        <v>0</v>
      </c>
      <c r="BR651">
        <f>IF(AND(AN651=SureThingLabel,BB651=1),AS651,0)</f>
        <v>0</v>
      </c>
      <c r="BS651">
        <f>MAX(BN651:BR651)</f>
        <v>0</v>
      </c>
      <c r="BT651">
        <f>MAX(BO651:BR651)</f>
        <v>0</v>
      </c>
      <c r="BU651">
        <f>MAX(BP651:BR651)</f>
        <v>0</v>
      </c>
      <c r="BV651">
        <f>IF(ISNUMBER(AB651),INDEX(AllCollegeChicago, MATCH(N651,AllCollegeNCES,0))*BB651,0)</f>
        <v>0</v>
      </c>
      <c r="BW651">
        <f>IF(ISNUMBER(AB651),INDEX(AllCollegeMoneyCode, MATCH(N651,AllCollegeNCES,0)),"?")</f>
        <v>0</v>
      </c>
      <c r="BX651">
        <f>IF(OR(BW651="---",BW651="--",BW651="+/--",BW651="+/---"),1,0)</f>
        <v>0</v>
      </c>
      <c r="BY651">
        <f>BB651*AR651*AT651</f>
        <v>0</v>
      </c>
    </row>
    <row r="652" spans="1:77">
      <c r="A652" t="s">
        <v>96</v>
      </c>
      <c r="B652">
        <v>24230510</v>
      </c>
      <c r="C652" t="s">
        <v>206</v>
      </c>
      <c r="D652" t="s">
        <v>207</v>
      </c>
      <c r="E652" t="s">
        <v>446</v>
      </c>
      <c r="F652" t="s">
        <v>453</v>
      </c>
      <c r="G652" t="s">
        <v>448</v>
      </c>
      <c r="H652" t="s">
        <v>449</v>
      </c>
      <c r="I652" t="s">
        <v>450</v>
      </c>
      <c r="J652" t="s">
        <v>450</v>
      </c>
      <c r="K652">
        <v>0</v>
      </c>
      <c r="L652" t="s">
        <v>446</v>
      </c>
      <c r="M652" t="s">
        <v>454</v>
      </c>
      <c r="N652">
        <v>150774</v>
      </c>
      <c r="O652">
        <f>INDEX(Counselor,MATCH(B652,KidIDs,0))</f>
        <v>0</v>
      </c>
      <c r="P652">
        <f>INDEX(Advisors,MATCH(B652,KidIDs,0))</f>
        <v>0</v>
      </c>
      <c r="Q652">
        <f>INDEX(Cohort,MATCH(B652,KidIDs,0))</f>
        <v>0</v>
      </c>
      <c r="R652">
        <f>INDEX(AllCollegeBarrons,MATCH(N652,AllCollegeNCES,0))</f>
        <v>0</v>
      </c>
      <c r="S652">
        <f>INDEX(KidGPAs,MATCH(B652,KidIDs,0))</f>
        <v>0</v>
      </c>
      <c r="T652">
        <f>INDEX(KidSATs,MATCH(B652,KidIDs,0))</f>
        <v>0</v>
      </c>
      <c r="U652">
        <f>INDEX(Strats,MATCH(B652,KidIDs,0))</f>
        <v>0</v>
      </c>
      <c r="V652">
        <f>INDEX(KidRace,MATCH(B652,KidIDs,0))</f>
        <v>0</v>
      </c>
      <c r="W652">
        <f>IF(OR(V652="M",V652="I"),"H",IF(V652="P","A",V652))</f>
        <v>0</v>
      </c>
      <c r="X652">
        <f>INDEX(StudentTargets,MATCH(B652,KidIDs,0))</f>
        <v>0</v>
      </c>
      <c r="Y652">
        <f>INDEX(ReachStudentTargets,MATCH(B652,KidIDs,0))</f>
        <v>0</v>
      </c>
      <c r="Z652">
        <f>IF(OR(M652="Posse"),1,0)</f>
        <v>0</v>
      </c>
      <c r="AA652">
        <f>IF(ISNUMBER(INDEX(AllCollegeGR, MATCH(N652,AllCollegeNCES,0))),ROUND(INDEX(AllCollegeGR, MATCH(N652,AllCollegeNCES,0))+Z652*IF(INDEX(AllCollegeGR, MATCH(N652,AllCollegeNCES,0))&gt;0.7,(1-INDEX(AllCollegeGR, MATCH(N652,AllCollegeNCES,0)))/2,0.15),2),INDEX(AllCollegeGR, MATCH(N652,AllCollegeNCES,0)))</f>
        <v>0</v>
      </c>
      <c r="AB652">
        <f>IF(ISNUMBER(INDEX(AllCollegeAAHGR, MATCH(N652,AllCollegeNCES,0))),ROUND(INDEX(AllCollegeAAHGR, MATCH(N652,AllCollegeNCES,0))+Z652*IF(INDEX(AllCollegeAAHGR, MATCH(N652,AllCollegeNCES,0))&gt;0.7,(1-INDEX(AllCollegeAAHGR, MATCH(N652,AllCollegeNCES,0)))/2,0.15),2),INDEX(AllCollegeAAHGR, MATCH(N652,AllCollegeNCES,0)))</f>
        <v>0</v>
      </c>
      <c r="AC652">
        <f>IF(OR(W652="H",W652="B"),INDEX(AllCollegeSAT25, MATCH(N652,AllCollegeNCES,0)),INDEX(AllCollegeSAT50, MATCH(N652,AllCollegeNCES,0)))</f>
        <v>0</v>
      </c>
      <c r="AD652">
        <f>INDEX(CustomWeightsGPA,MATCH(W652&amp;":"&amp;N652,CustomWeightsIndex,0))</f>
        <v>0</v>
      </c>
      <c r="AE652">
        <f>INDEX(CustomWeightsSAT,MATCH(W652&amp;":"&amp;N652,CustomWeightsIndex,0))</f>
        <v>0</v>
      </c>
      <c r="AF652">
        <f>INDEX(CustomWeightsIntercept,MATCH(W652&amp;":"&amp;N652,CustomWeightsIndex,0))</f>
        <v>0</v>
      </c>
      <c r="AG652">
        <f>AD652*S652+AE652*T652+AF652</f>
        <v>0</v>
      </c>
      <c r="AH652">
        <f>INDEX(CoefficientsGPA,MATCH(W652&amp;":"&amp;R652,CoefficientsIndex,0))</f>
        <v>0</v>
      </c>
      <c r="AI652">
        <f>INDEX(CoefficientsSAT,MATCH(W652&amp;":"&amp;R652,CoefficientsIndex,0))</f>
        <v>0</v>
      </c>
      <c r="AJ652">
        <f>INDEX(CoefficientsIntercept,MATCH(W652&amp;":"&amp;R652,CoefficientsIndex,0))</f>
        <v>0</v>
      </c>
      <c r="AK652">
        <f>AH652*S652+(T652-AC652)*AI652+AJ652</f>
        <v>0</v>
      </c>
      <c r="AL652">
        <f>IF(ISNUMBER(AG652),AG652,AK652)</f>
        <v>0</v>
      </c>
      <c r="AM652">
        <f>IF(ISNUMBER(AL652),IF(ISNUMBER(AH652),IF(AND(AH652=1,AI652=1,AJ652=1),100,MIN(99,ROUND(100*EXP(AL652)/(1+EXP(AL652)),2))),MIN(99,ROUND(100*EXP(AL652)/(1+EXP(AL652)),2))),IF(ISTEXT(R652),IF(LEFT(R652,1)="2",100,"N/A"),"N/A"))</f>
        <v>0</v>
      </c>
      <c r="AN652">
        <f>IF(ISNUMBER(AM652),IF(AM652&gt;=99,IF(OR(U652=10,U652=11),MatchLabel,SureThingLabel),IF(AM652&gt;=95,SecureLabel,IF(AM652&gt;=80,SafetyLabel,IF(AM652&gt;=50,MatchLabel,IF(AM652&gt;=20,ReachLabel,IF(AM652&gt;=10,LongshotLabel,HailMaryLabel)))))),"Other")</f>
        <v>0</v>
      </c>
      <c r="AO652">
        <f>IF(OR(I652="accepted",I652="cond. accept",I652="summer admit"),IF(J652="yes","CHOICE!","Accepted!"),IF(I652="guar. transfer","Guar. Xfer",IF(I652="denied","Denied",IF(K652=1,"Waitlist",IF(L652=1,"Deferred",IF(G652="pending","Pending",IF(OR(G652="initial materials submitted",G652="mid-year submitted",G652="final submitted"),"Submitted",IF(H652="interest","Interest","?"))))))))</f>
        <v>0</v>
      </c>
      <c r="AP652">
        <f>IF(OR(AN652=ReachLabel,AN652=LongshotLabel,AN652=HailMaryLabel),1,0)</f>
        <v>0</v>
      </c>
      <c r="AQ652">
        <f>IF(OR(AP652=1,AN652=MatchLabel),1,0)</f>
        <v>0</v>
      </c>
      <c r="AR652">
        <f>IF(OR(AN652=MatchLabel,AN652=SafetyLabel,AN652=SecureLabel,AN652=SureThingLabel),1,0)</f>
        <v>0</v>
      </c>
      <c r="AS652">
        <f>IF(OR(W652="H",W652="B",W652="I",W652="M"),IF(ISNUMBER(AB652),ROUND(AB652,2),0),IF(ISNUMBER(AA652),ROUND(AA652,2),0))</f>
        <v>0</v>
      </c>
      <c r="AT652">
        <f>IF(AS652&gt;=X652,1,0)</f>
        <v>0</v>
      </c>
      <c r="AU652">
        <f>IF(AS652&gt;=Y652,1,0)</f>
        <v>0</v>
      </c>
      <c r="AV652">
        <f>IF(AS652&lt;(X652-0.10),1,0)</f>
        <v>0</v>
      </c>
      <c r="AW652">
        <f>1-AM652/100</f>
        <v>0</v>
      </c>
      <c r="AX652">
        <f>IF(AQ652=1,AW652,1)</f>
        <v>0</v>
      </c>
      <c r="AY652">
        <f>IF(AP652=1,AW652,1)</f>
        <v>0</v>
      </c>
      <c r="AZ652">
        <f>IF(AND(AT652=1,ISNUMBER(AW652)),$AW652,1)</f>
        <v>0</v>
      </c>
      <c r="BA652">
        <f>IF(AND(AU652=1,ISNUMBER(AW652)),$AW652,1)</f>
        <v>0</v>
      </c>
      <c r="BB652">
        <f>IF(ISNUMBER(AB652),INDEX(AllCollegeMoney, MATCH(N652,AllCollegeNCES,0)),0)</f>
        <v>0</v>
      </c>
      <c r="BC652">
        <f>IF(AND(AT652=1,ISNUMBER(AW652),BB652=1),$AW652,1)</f>
        <v>0</v>
      </c>
      <c r="BD652">
        <f>IF(AND(AU652=1,ISNUMBER(AW652),BB652=1),$AW652,1)</f>
        <v>0</v>
      </c>
      <c r="BE652">
        <f>IF(ISNUMBER(AB652),INDEX(AllCollegeILPub, MATCH(N652,AllCollegeNCES,0)),0)</f>
        <v>0</v>
      </c>
      <c r="BF652">
        <f>IF(AN652=ReachLabel,AS652,0)</f>
        <v>0</v>
      </c>
      <c r="BG652">
        <f>IF(AN652=MatchLabel,AS652,0)</f>
        <v>0</v>
      </c>
      <c r="BH652">
        <f>IF(AN652=SafetyLabel,AS652,0)</f>
        <v>0</v>
      </c>
      <c r="BI652">
        <f>IF(AN652=SecureLabel,AS652,0)</f>
        <v>0</v>
      </c>
      <c r="BJ652">
        <f>IF(AN652=SureThingLabel,AS652,0)</f>
        <v>0</v>
      </c>
      <c r="BK652">
        <f>MAX(BF652:BJ652)</f>
        <v>0</v>
      </c>
      <c r="BL652">
        <f>MAX(BG652:BJ652)</f>
        <v>0</v>
      </c>
      <c r="BM652">
        <f>MAX(BH652:BJ652)</f>
        <v>0</v>
      </c>
      <c r="BN652">
        <f>IF(AND(AN652=ReachLabel,BB652=1),AS652,0)</f>
        <v>0</v>
      </c>
      <c r="BO652">
        <f>IF(AND(AN652=MatchLabel,BB652=1),AS652,0)</f>
        <v>0</v>
      </c>
      <c r="BP652">
        <f>IF(AND(AN652=SafetyLabel,BB652=1),AS652,0)</f>
        <v>0</v>
      </c>
      <c r="BQ652">
        <f>IF(AND(AN652=SecureLabel,BB652=1),AS652,0)</f>
        <v>0</v>
      </c>
      <c r="BR652">
        <f>IF(AND(AN652=SureThingLabel,BB652=1),AS652,0)</f>
        <v>0</v>
      </c>
      <c r="BS652">
        <f>MAX(BN652:BR652)</f>
        <v>0</v>
      </c>
      <c r="BT652">
        <f>MAX(BO652:BR652)</f>
        <v>0</v>
      </c>
      <c r="BU652">
        <f>MAX(BP652:BR652)</f>
        <v>0</v>
      </c>
      <c r="BV652">
        <f>IF(ISNUMBER(AB652),INDEX(AllCollegeChicago, MATCH(N652,AllCollegeNCES,0))*BB652,0)</f>
        <v>0</v>
      </c>
      <c r="BW652">
        <f>IF(ISNUMBER(AB652),INDEX(AllCollegeMoneyCode, MATCH(N652,AllCollegeNCES,0)),"?")</f>
        <v>0</v>
      </c>
      <c r="BX652">
        <f>IF(OR(BW652="---",BW652="--",BW652="+/--",BW652="+/---"),1,0)</f>
        <v>0</v>
      </c>
      <c r="BY652">
        <f>BB652*AR652*AT652</f>
        <v>0</v>
      </c>
    </row>
    <row r="653" spans="1:77">
      <c r="A653" t="s">
        <v>96</v>
      </c>
      <c r="B653">
        <v>24230510</v>
      </c>
      <c r="C653" t="s">
        <v>206</v>
      </c>
      <c r="D653" t="s">
        <v>207</v>
      </c>
      <c r="E653" t="s">
        <v>446</v>
      </c>
      <c r="F653" t="s">
        <v>466</v>
      </c>
      <c r="G653" t="s">
        <v>448</v>
      </c>
      <c r="H653" t="s">
        <v>449</v>
      </c>
      <c r="I653" t="s">
        <v>450</v>
      </c>
      <c r="J653" t="s">
        <v>450</v>
      </c>
      <c r="K653">
        <v>0</v>
      </c>
      <c r="L653" t="s">
        <v>446</v>
      </c>
      <c r="M653" t="s">
        <v>446</v>
      </c>
      <c r="N653">
        <v>100000001</v>
      </c>
      <c r="O653">
        <f>INDEX(Counselor,MATCH(B653,KidIDs,0))</f>
        <v>0</v>
      </c>
      <c r="P653">
        <f>INDEX(Advisors,MATCH(B653,KidIDs,0))</f>
        <v>0</v>
      </c>
      <c r="Q653">
        <f>INDEX(Cohort,MATCH(B653,KidIDs,0))</f>
        <v>0</v>
      </c>
      <c r="R653">
        <f>INDEX(AllCollegeBarrons,MATCH(N653,AllCollegeNCES,0))</f>
        <v>0</v>
      </c>
      <c r="S653">
        <f>INDEX(KidGPAs,MATCH(B653,KidIDs,0))</f>
        <v>0</v>
      </c>
      <c r="T653">
        <f>INDEX(KidSATs,MATCH(B653,KidIDs,0))</f>
        <v>0</v>
      </c>
      <c r="U653">
        <f>INDEX(Strats,MATCH(B653,KidIDs,0))</f>
        <v>0</v>
      </c>
      <c r="V653">
        <f>INDEX(KidRace,MATCH(B653,KidIDs,0))</f>
        <v>0</v>
      </c>
      <c r="W653">
        <f>IF(OR(V653="M",V653="I"),"H",IF(V653="P","A",V653))</f>
        <v>0</v>
      </c>
      <c r="X653">
        <f>INDEX(StudentTargets,MATCH(B653,KidIDs,0))</f>
        <v>0</v>
      </c>
      <c r="Y653">
        <f>INDEX(ReachStudentTargets,MATCH(B653,KidIDs,0))</f>
        <v>0</v>
      </c>
      <c r="Z653">
        <f>IF(OR(M653="Posse"),1,0)</f>
        <v>0</v>
      </c>
      <c r="AA653">
        <f>IF(ISNUMBER(INDEX(AllCollegeGR, MATCH(N653,AllCollegeNCES,0))),ROUND(INDEX(AllCollegeGR, MATCH(N653,AllCollegeNCES,0))+Z653*IF(INDEX(AllCollegeGR, MATCH(N653,AllCollegeNCES,0))&gt;0.7,(1-INDEX(AllCollegeGR, MATCH(N653,AllCollegeNCES,0)))/2,0.15),2),INDEX(AllCollegeGR, MATCH(N653,AllCollegeNCES,0)))</f>
        <v>0</v>
      </c>
      <c r="AB653">
        <f>IF(ISNUMBER(INDEX(AllCollegeAAHGR, MATCH(N653,AllCollegeNCES,0))),ROUND(INDEX(AllCollegeAAHGR, MATCH(N653,AllCollegeNCES,0))+Z653*IF(INDEX(AllCollegeAAHGR, MATCH(N653,AllCollegeNCES,0))&gt;0.7,(1-INDEX(AllCollegeAAHGR, MATCH(N653,AllCollegeNCES,0)))/2,0.15),2),INDEX(AllCollegeAAHGR, MATCH(N653,AllCollegeNCES,0)))</f>
        <v>0</v>
      </c>
      <c r="AC653">
        <f>IF(OR(W653="H",W653="B"),INDEX(AllCollegeSAT25, MATCH(N653,AllCollegeNCES,0)),INDEX(AllCollegeSAT50, MATCH(N653,AllCollegeNCES,0)))</f>
        <v>0</v>
      </c>
      <c r="AD653">
        <f>INDEX(CustomWeightsGPA,MATCH(W653&amp;":"&amp;N653,CustomWeightsIndex,0))</f>
        <v>0</v>
      </c>
      <c r="AE653">
        <f>INDEX(CustomWeightsSAT,MATCH(W653&amp;":"&amp;N653,CustomWeightsIndex,0))</f>
        <v>0</v>
      </c>
      <c r="AF653">
        <f>INDEX(CustomWeightsIntercept,MATCH(W653&amp;":"&amp;N653,CustomWeightsIndex,0))</f>
        <v>0</v>
      </c>
      <c r="AG653">
        <f>AD653*S653+AE653*T653+AF653</f>
        <v>0</v>
      </c>
      <c r="AH653">
        <f>INDEX(CoefficientsGPA,MATCH(W653&amp;":"&amp;R653,CoefficientsIndex,0))</f>
        <v>0</v>
      </c>
      <c r="AI653">
        <f>INDEX(CoefficientsSAT,MATCH(W653&amp;":"&amp;R653,CoefficientsIndex,0))</f>
        <v>0</v>
      </c>
      <c r="AJ653">
        <f>INDEX(CoefficientsIntercept,MATCH(W653&amp;":"&amp;R653,CoefficientsIndex,0))</f>
        <v>0</v>
      </c>
      <c r="AK653">
        <f>AH653*S653+(T653-AC653)*AI653+AJ653</f>
        <v>0</v>
      </c>
      <c r="AL653">
        <f>IF(ISNUMBER(AG653),AG653,AK653)</f>
        <v>0</v>
      </c>
      <c r="AM653">
        <f>IF(ISNUMBER(AL653),IF(ISNUMBER(AH653),IF(AND(AH653=1,AI653=1,AJ653=1),100,MIN(99,ROUND(100*EXP(AL653)/(1+EXP(AL653)),2))),MIN(99,ROUND(100*EXP(AL653)/(1+EXP(AL653)),2))),IF(ISTEXT(R653),IF(LEFT(R653,1)="2",100,"N/A"),"N/A"))</f>
        <v>0</v>
      </c>
      <c r="AN653">
        <f>IF(ISNUMBER(AM653),IF(AM653&gt;=99,IF(OR(U653=10,U653=11),MatchLabel,SureThingLabel),IF(AM653&gt;=95,SecureLabel,IF(AM653&gt;=80,SafetyLabel,IF(AM653&gt;=50,MatchLabel,IF(AM653&gt;=20,ReachLabel,IF(AM653&gt;=10,LongshotLabel,HailMaryLabel)))))),"Other")</f>
        <v>0</v>
      </c>
      <c r="AO653">
        <f>IF(OR(I653="accepted",I653="cond. accept",I653="summer admit"),IF(J653="yes","CHOICE!","Accepted!"),IF(I653="guar. transfer","Guar. Xfer",IF(I653="denied","Denied",IF(K653=1,"Waitlist",IF(L653=1,"Deferred",IF(G653="pending","Pending",IF(OR(G653="initial materials submitted",G653="mid-year submitted",G653="final submitted"),"Submitted",IF(H653="interest","Interest","?"))))))))</f>
        <v>0</v>
      </c>
      <c r="AP653">
        <f>IF(OR(AN653=ReachLabel,AN653=LongshotLabel,AN653=HailMaryLabel),1,0)</f>
        <v>0</v>
      </c>
      <c r="AQ653">
        <f>IF(OR(AP653=1,AN653=MatchLabel),1,0)</f>
        <v>0</v>
      </c>
      <c r="AR653">
        <f>IF(OR(AN653=MatchLabel,AN653=SafetyLabel,AN653=SecureLabel,AN653=SureThingLabel),1,0)</f>
        <v>0</v>
      </c>
      <c r="AS653">
        <f>IF(OR(W653="H",W653="B",W653="I",W653="M"),IF(ISNUMBER(AB653),ROUND(AB653,2),0),IF(ISNUMBER(AA653),ROUND(AA653,2),0))</f>
        <v>0</v>
      </c>
      <c r="AT653">
        <f>IF(AS653&gt;=X653,1,0)</f>
        <v>0</v>
      </c>
      <c r="AU653">
        <f>IF(AS653&gt;=Y653,1,0)</f>
        <v>0</v>
      </c>
      <c r="AV653">
        <f>IF(AS653&lt;(X653-0.10),1,0)</f>
        <v>0</v>
      </c>
      <c r="AW653">
        <f>1-AM653/100</f>
        <v>0</v>
      </c>
      <c r="AX653">
        <f>IF(AQ653=1,AW653,1)</f>
        <v>0</v>
      </c>
      <c r="AY653">
        <f>IF(AP653=1,AW653,1)</f>
        <v>0</v>
      </c>
      <c r="AZ653">
        <f>IF(AND(AT653=1,ISNUMBER(AW653)),$AW653,1)</f>
        <v>0</v>
      </c>
      <c r="BA653">
        <f>IF(AND(AU653=1,ISNUMBER(AW653)),$AW653,1)</f>
        <v>0</v>
      </c>
      <c r="BB653">
        <f>IF(ISNUMBER(AB653),INDEX(AllCollegeMoney, MATCH(N653,AllCollegeNCES,0)),0)</f>
        <v>0</v>
      </c>
      <c r="BC653">
        <f>IF(AND(AT653=1,ISNUMBER(AW653),BB653=1),$AW653,1)</f>
        <v>0</v>
      </c>
      <c r="BD653">
        <f>IF(AND(AU653=1,ISNUMBER(AW653),BB653=1),$AW653,1)</f>
        <v>0</v>
      </c>
      <c r="BE653">
        <f>IF(ISNUMBER(AB653),INDEX(AllCollegeILPub, MATCH(N653,AllCollegeNCES,0)),0)</f>
        <v>0</v>
      </c>
      <c r="BF653">
        <f>IF(AN653=ReachLabel,AS653,0)</f>
        <v>0</v>
      </c>
      <c r="BG653">
        <f>IF(AN653=MatchLabel,AS653,0)</f>
        <v>0</v>
      </c>
      <c r="BH653">
        <f>IF(AN653=SafetyLabel,AS653,0)</f>
        <v>0</v>
      </c>
      <c r="BI653">
        <f>IF(AN653=SecureLabel,AS653,0)</f>
        <v>0</v>
      </c>
      <c r="BJ653">
        <f>IF(AN653=SureThingLabel,AS653,0)</f>
        <v>0</v>
      </c>
      <c r="BK653">
        <f>MAX(BF653:BJ653)</f>
        <v>0</v>
      </c>
      <c r="BL653">
        <f>MAX(BG653:BJ653)</f>
        <v>0</v>
      </c>
      <c r="BM653">
        <f>MAX(BH653:BJ653)</f>
        <v>0</v>
      </c>
      <c r="BN653">
        <f>IF(AND(AN653=ReachLabel,BB653=1),AS653,0)</f>
        <v>0</v>
      </c>
      <c r="BO653">
        <f>IF(AND(AN653=MatchLabel,BB653=1),AS653,0)</f>
        <v>0</v>
      </c>
      <c r="BP653">
        <f>IF(AND(AN653=SafetyLabel,BB653=1),AS653,0)</f>
        <v>0</v>
      </c>
      <c r="BQ653">
        <f>IF(AND(AN653=SecureLabel,BB653=1),AS653,0)</f>
        <v>0</v>
      </c>
      <c r="BR653">
        <f>IF(AND(AN653=SureThingLabel,BB653=1),AS653,0)</f>
        <v>0</v>
      </c>
      <c r="BS653">
        <f>MAX(BN653:BR653)</f>
        <v>0</v>
      </c>
      <c r="BT653">
        <f>MAX(BO653:BR653)</f>
        <v>0</v>
      </c>
      <c r="BU653">
        <f>MAX(BP653:BR653)</f>
        <v>0</v>
      </c>
      <c r="BV653">
        <f>IF(ISNUMBER(AB653),INDEX(AllCollegeChicago, MATCH(N653,AllCollegeNCES,0))*BB653,0)</f>
        <v>0</v>
      </c>
      <c r="BW653">
        <f>IF(ISNUMBER(AB653),INDEX(AllCollegeMoneyCode, MATCH(N653,AllCollegeNCES,0)),"?")</f>
        <v>0</v>
      </c>
      <c r="BX653">
        <f>IF(OR(BW653="---",BW653="--",BW653="+/--",BW653="+/---"),1,0)</f>
        <v>0</v>
      </c>
      <c r="BY653">
        <f>BB653*AR653*AT653</f>
        <v>0</v>
      </c>
    </row>
    <row r="654" spans="1:77">
      <c r="A654" t="s">
        <v>96</v>
      </c>
      <c r="B654">
        <v>24230510</v>
      </c>
      <c r="C654" t="s">
        <v>206</v>
      </c>
      <c r="D654" t="s">
        <v>207</v>
      </c>
      <c r="E654" t="s">
        <v>446</v>
      </c>
      <c r="F654" t="s">
        <v>460</v>
      </c>
      <c r="G654" t="s">
        <v>448</v>
      </c>
      <c r="H654" t="s">
        <v>449</v>
      </c>
      <c r="I654" t="s">
        <v>450</v>
      </c>
      <c r="J654" t="s">
        <v>450</v>
      </c>
      <c r="K654">
        <v>0</v>
      </c>
      <c r="L654" t="s">
        <v>446</v>
      </c>
      <c r="M654" t="s">
        <v>446</v>
      </c>
      <c r="N654">
        <v>144209</v>
      </c>
      <c r="O654">
        <f>INDEX(Counselor,MATCH(B654,KidIDs,0))</f>
        <v>0</v>
      </c>
      <c r="P654">
        <f>INDEX(Advisors,MATCH(B654,KidIDs,0))</f>
        <v>0</v>
      </c>
      <c r="Q654">
        <f>INDEX(Cohort,MATCH(B654,KidIDs,0))</f>
        <v>0</v>
      </c>
      <c r="R654">
        <f>INDEX(AllCollegeBarrons,MATCH(N654,AllCollegeNCES,0))</f>
        <v>0</v>
      </c>
      <c r="S654">
        <f>INDEX(KidGPAs,MATCH(B654,KidIDs,0))</f>
        <v>0</v>
      </c>
      <c r="T654">
        <f>INDEX(KidSATs,MATCH(B654,KidIDs,0))</f>
        <v>0</v>
      </c>
      <c r="U654">
        <f>INDEX(Strats,MATCH(B654,KidIDs,0))</f>
        <v>0</v>
      </c>
      <c r="V654">
        <f>INDEX(KidRace,MATCH(B654,KidIDs,0))</f>
        <v>0</v>
      </c>
      <c r="W654">
        <f>IF(OR(V654="M",V654="I"),"H",IF(V654="P","A",V654))</f>
        <v>0</v>
      </c>
      <c r="X654">
        <f>INDEX(StudentTargets,MATCH(B654,KidIDs,0))</f>
        <v>0</v>
      </c>
      <c r="Y654">
        <f>INDEX(ReachStudentTargets,MATCH(B654,KidIDs,0))</f>
        <v>0</v>
      </c>
      <c r="Z654">
        <f>IF(OR(M654="Posse"),1,0)</f>
        <v>0</v>
      </c>
      <c r="AA654">
        <f>IF(ISNUMBER(INDEX(AllCollegeGR, MATCH(N654,AllCollegeNCES,0))),ROUND(INDEX(AllCollegeGR, MATCH(N654,AllCollegeNCES,0))+Z654*IF(INDEX(AllCollegeGR, MATCH(N654,AllCollegeNCES,0))&gt;0.7,(1-INDEX(AllCollegeGR, MATCH(N654,AllCollegeNCES,0)))/2,0.15),2),INDEX(AllCollegeGR, MATCH(N654,AllCollegeNCES,0)))</f>
        <v>0</v>
      </c>
      <c r="AB654">
        <f>IF(ISNUMBER(INDEX(AllCollegeAAHGR, MATCH(N654,AllCollegeNCES,0))),ROUND(INDEX(AllCollegeAAHGR, MATCH(N654,AllCollegeNCES,0))+Z654*IF(INDEX(AllCollegeAAHGR, MATCH(N654,AllCollegeNCES,0))&gt;0.7,(1-INDEX(AllCollegeAAHGR, MATCH(N654,AllCollegeNCES,0)))/2,0.15),2),INDEX(AllCollegeAAHGR, MATCH(N654,AllCollegeNCES,0)))</f>
        <v>0</v>
      </c>
      <c r="AC654">
        <f>IF(OR(W654="H",W654="B"),INDEX(AllCollegeSAT25, MATCH(N654,AllCollegeNCES,0)),INDEX(AllCollegeSAT50, MATCH(N654,AllCollegeNCES,0)))</f>
        <v>0</v>
      </c>
      <c r="AD654">
        <f>INDEX(CustomWeightsGPA,MATCH(W654&amp;":"&amp;N654,CustomWeightsIndex,0))</f>
        <v>0</v>
      </c>
      <c r="AE654">
        <f>INDEX(CustomWeightsSAT,MATCH(W654&amp;":"&amp;N654,CustomWeightsIndex,0))</f>
        <v>0</v>
      </c>
      <c r="AF654">
        <f>INDEX(CustomWeightsIntercept,MATCH(W654&amp;":"&amp;N654,CustomWeightsIndex,0))</f>
        <v>0</v>
      </c>
      <c r="AG654">
        <f>AD654*S654+AE654*T654+AF654</f>
        <v>0</v>
      </c>
      <c r="AH654">
        <f>INDEX(CoefficientsGPA,MATCH(W654&amp;":"&amp;R654,CoefficientsIndex,0))</f>
        <v>0</v>
      </c>
      <c r="AI654">
        <f>INDEX(CoefficientsSAT,MATCH(W654&amp;":"&amp;R654,CoefficientsIndex,0))</f>
        <v>0</v>
      </c>
      <c r="AJ654">
        <f>INDEX(CoefficientsIntercept,MATCH(W654&amp;":"&amp;R654,CoefficientsIndex,0))</f>
        <v>0</v>
      </c>
      <c r="AK654">
        <f>AH654*S654+(T654-AC654)*AI654+AJ654</f>
        <v>0</v>
      </c>
      <c r="AL654">
        <f>IF(ISNUMBER(AG654),AG654,AK654)</f>
        <v>0</v>
      </c>
      <c r="AM654">
        <f>IF(ISNUMBER(AL654),IF(ISNUMBER(AH654),IF(AND(AH654=1,AI654=1,AJ654=1),100,MIN(99,ROUND(100*EXP(AL654)/(1+EXP(AL654)),2))),MIN(99,ROUND(100*EXP(AL654)/(1+EXP(AL654)),2))),IF(ISTEXT(R654),IF(LEFT(R654,1)="2",100,"N/A"),"N/A"))</f>
        <v>0</v>
      </c>
      <c r="AN654">
        <f>IF(ISNUMBER(AM654),IF(AM654&gt;=99,IF(OR(U654=10,U654=11),MatchLabel,SureThingLabel),IF(AM654&gt;=95,SecureLabel,IF(AM654&gt;=80,SafetyLabel,IF(AM654&gt;=50,MatchLabel,IF(AM654&gt;=20,ReachLabel,IF(AM654&gt;=10,LongshotLabel,HailMaryLabel)))))),"Other")</f>
        <v>0</v>
      </c>
      <c r="AO654">
        <f>IF(OR(I654="accepted",I654="cond. accept",I654="summer admit"),IF(J654="yes","CHOICE!","Accepted!"),IF(I654="guar. transfer","Guar. Xfer",IF(I654="denied","Denied",IF(K654=1,"Waitlist",IF(L654=1,"Deferred",IF(G654="pending","Pending",IF(OR(G654="initial materials submitted",G654="mid-year submitted",G654="final submitted"),"Submitted",IF(H654="interest","Interest","?"))))))))</f>
        <v>0</v>
      </c>
      <c r="AP654">
        <f>IF(OR(AN654=ReachLabel,AN654=LongshotLabel,AN654=HailMaryLabel),1,0)</f>
        <v>0</v>
      </c>
      <c r="AQ654">
        <f>IF(OR(AP654=1,AN654=MatchLabel),1,0)</f>
        <v>0</v>
      </c>
      <c r="AR654">
        <f>IF(OR(AN654=MatchLabel,AN654=SafetyLabel,AN654=SecureLabel,AN654=SureThingLabel),1,0)</f>
        <v>0</v>
      </c>
      <c r="AS654">
        <f>IF(OR(W654="H",W654="B",W654="I",W654="M"),IF(ISNUMBER(AB654),ROUND(AB654,2),0),IF(ISNUMBER(AA654),ROUND(AA654,2),0))</f>
        <v>0</v>
      </c>
      <c r="AT654">
        <f>IF(AS654&gt;=X654,1,0)</f>
        <v>0</v>
      </c>
      <c r="AU654">
        <f>IF(AS654&gt;=Y654,1,0)</f>
        <v>0</v>
      </c>
      <c r="AV654">
        <f>IF(AS654&lt;(X654-0.10),1,0)</f>
        <v>0</v>
      </c>
      <c r="AW654">
        <f>1-AM654/100</f>
        <v>0</v>
      </c>
      <c r="AX654">
        <f>IF(AQ654=1,AW654,1)</f>
        <v>0</v>
      </c>
      <c r="AY654">
        <f>IF(AP654=1,AW654,1)</f>
        <v>0</v>
      </c>
      <c r="AZ654">
        <f>IF(AND(AT654=1,ISNUMBER(AW654)),$AW654,1)</f>
        <v>0</v>
      </c>
      <c r="BA654">
        <f>IF(AND(AU654=1,ISNUMBER(AW654)),$AW654,1)</f>
        <v>0</v>
      </c>
      <c r="BB654">
        <f>IF(ISNUMBER(AB654),INDEX(AllCollegeMoney, MATCH(N654,AllCollegeNCES,0)),0)</f>
        <v>0</v>
      </c>
      <c r="BC654">
        <f>IF(AND(AT654=1,ISNUMBER(AW654),BB654=1),$AW654,1)</f>
        <v>0</v>
      </c>
      <c r="BD654">
        <f>IF(AND(AU654=1,ISNUMBER(AW654),BB654=1),$AW654,1)</f>
        <v>0</v>
      </c>
      <c r="BE654">
        <f>IF(ISNUMBER(AB654),INDEX(AllCollegeILPub, MATCH(N654,AllCollegeNCES,0)),0)</f>
        <v>0</v>
      </c>
      <c r="BF654">
        <f>IF(AN654=ReachLabel,AS654,0)</f>
        <v>0</v>
      </c>
      <c r="BG654">
        <f>IF(AN654=MatchLabel,AS654,0)</f>
        <v>0</v>
      </c>
      <c r="BH654">
        <f>IF(AN654=SafetyLabel,AS654,0)</f>
        <v>0</v>
      </c>
      <c r="BI654">
        <f>IF(AN654=SecureLabel,AS654,0)</f>
        <v>0</v>
      </c>
      <c r="BJ654">
        <f>IF(AN654=SureThingLabel,AS654,0)</f>
        <v>0</v>
      </c>
      <c r="BK654">
        <f>MAX(BF654:BJ654)</f>
        <v>0</v>
      </c>
      <c r="BL654">
        <f>MAX(BG654:BJ654)</f>
        <v>0</v>
      </c>
      <c r="BM654">
        <f>MAX(BH654:BJ654)</f>
        <v>0</v>
      </c>
      <c r="BN654">
        <f>IF(AND(AN654=ReachLabel,BB654=1),AS654,0)</f>
        <v>0</v>
      </c>
      <c r="BO654">
        <f>IF(AND(AN654=MatchLabel,BB654=1),AS654,0)</f>
        <v>0</v>
      </c>
      <c r="BP654">
        <f>IF(AND(AN654=SafetyLabel,BB654=1),AS654,0)</f>
        <v>0</v>
      </c>
      <c r="BQ654">
        <f>IF(AND(AN654=SecureLabel,BB654=1),AS654,0)</f>
        <v>0</v>
      </c>
      <c r="BR654">
        <f>IF(AND(AN654=SureThingLabel,BB654=1),AS654,0)</f>
        <v>0</v>
      </c>
      <c r="BS654">
        <f>MAX(BN654:BR654)</f>
        <v>0</v>
      </c>
      <c r="BT654">
        <f>MAX(BO654:BR654)</f>
        <v>0</v>
      </c>
      <c r="BU654">
        <f>MAX(BP654:BR654)</f>
        <v>0</v>
      </c>
      <c r="BV654">
        <f>IF(ISNUMBER(AB654),INDEX(AllCollegeChicago, MATCH(N654,AllCollegeNCES,0))*BB654,0)</f>
        <v>0</v>
      </c>
      <c r="BW654">
        <f>IF(ISNUMBER(AB654),INDEX(AllCollegeMoneyCode, MATCH(N654,AllCollegeNCES,0)),"?")</f>
        <v>0</v>
      </c>
      <c r="BX654">
        <f>IF(OR(BW654="---",BW654="--",BW654="+/--",BW654="+/---"),1,0)</f>
        <v>0</v>
      </c>
      <c r="BY654">
        <f>BB654*AR654*AT654</f>
        <v>0</v>
      </c>
    </row>
    <row r="655" spans="1:77">
      <c r="A655" t="s">
        <v>96</v>
      </c>
      <c r="B655">
        <v>24230510</v>
      </c>
      <c r="C655" t="s">
        <v>206</v>
      </c>
      <c r="D655" t="s">
        <v>207</v>
      </c>
      <c r="E655" t="s">
        <v>446</v>
      </c>
      <c r="F655" t="s">
        <v>461</v>
      </c>
      <c r="G655" t="s">
        <v>448</v>
      </c>
      <c r="H655" t="s">
        <v>449</v>
      </c>
      <c r="I655" t="s">
        <v>450</v>
      </c>
      <c r="J655" t="s">
        <v>450</v>
      </c>
      <c r="K655">
        <v>0</v>
      </c>
      <c r="L655" t="s">
        <v>446</v>
      </c>
      <c r="M655" t="s">
        <v>446</v>
      </c>
      <c r="N655">
        <v>147536</v>
      </c>
      <c r="O655">
        <f>INDEX(Counselor,MATCH(B655,KidIDs,0))</f>
        <v>0</v>
      </c>
      <c r="P655">
        <f>INDEX(Advisors,MATCH(B655,KidIDs,0))</f>
        <v>0</v>
      </c>
      <c r="Q655">
        <f>INDEX(Cohort,MATCH(B655,KidIDs,0))</f>
        <v>0</v>
      </c>
      <c r="R655">
        <f>INDEX(AllCollegeBarrons,MATCH(N655,AllCollegeNCES,0))</f>
        <v>0</v>
      </c>
      <c r="S655">
        <f>INDEX(KidGPAs,MATCH(B655,KidIDs,0))</f>
        <v>0</v>
      </c>
      <c r="T655">
        <f>INDEX(KidSATs,MATCH(B655,KidIDs,0))</f>
        <v>0</v>
      </c>
      <c r="U655">
        <f>INDEX(Strats,MATCH(B655,KidIDs,0))</f>
        <v>0</v>
      </c>
      <c r="V655">
        <f>INDEX(KidRace,MATCH(B655,KidIDs,0))</f>
        <v>0</v>
      </c>
      <c r="W655">
        <f>IF(OR(V655="M",V655="I"),"H",IF(V655="P","A",V655))</f>
        <v>0</v>
      </c>
      <c r="X655">
        <f>INDEX(StudentTargets,MATCH(B655,KidIDs,0))</f>
        <v>0</v>
      </c>
      <c r="Y655">
        <f>INDEX(ReachStudentTargets,MATCH(B655,KidIDs,0))</f>
        <v>0</v>
      </c>
      <c r="Z655">
        <f>IF(OR(M655="Posse"),1,0)</f>
        <v>0</v>
      </c>
      <c r="AA655">
        <f>IF(ISNUMBER(INDEX(AllCollegeGR, MATCH(N655,AllCollegeNCES,0))),ROUND(INDEX(AllCollegeGR, MATCH(N655,AllCollegeNCES,0))+Z655*IF(INDEX(AllCollegeGR, MATCH(N655,AllCollegeNCES,0))&gt;0.7,(1-INDEX(AllCollegeGR, MATCH(N655,AllCollegeNCES,0)))/2,0.15),2),INDEX(AllCollegeGR, MATCH(N655,AllCollegeNCES,0)))</f>
        <v>0</v>
      </c>
      <c r="AB655">
        <f>IF(ISNUMBER(INDEX(AllCollegeAAHGR, MATCH(N655,AllCollegeNCES,0))),ROUND(INDEX(AllCollegeAAHGR, MATCH(N655,AllCollegeNCES,0))+Z655*IF(INDEX(AllCollegeAAHGR, MATCH(N655,AllCollegeNCES,0))&gt;0.7,(1-INDEX(AllCollegeAAHGR, MATCH(N655,AllCollegeNCES,0)))/2,0.15),2),INDEX(AllCollegeAAHGR, MATCH(N655,AllCollegeNCES,0)))</f>
        <v>0</v>
      </c>
      <c r="AC655">
        <f>IF(OR(W655="H",W655="B"),INDEX(AllCollegeSAT25, MATCH(N655,AllCollegeNCES,0)),INDEX(AllCollegeSAT50, MATCH(N655,AllCollegeNCES,0)))</f>
        <v>0</v>
      </c>
      <c r="AD655">
        <f>INDEX(CustomWeightsGPA,MATCH(W655&amp;":"&amp;N655,CustomWeightsIndex,0))</f>
        <v>0</v>
      </c>
      <c r="AE655">
        <f>INDEX(CustomWeightsSAT,MATCH(W655&amp;":"&amp;N655,CustomWeightsIndex,0))</f>
        <v>0</v>
      </c>
      <c r="AF655">
        <f>INDEX(CustomWeightsIntercept,MATCH(W655&amp;":"&amp;N655,CustomWeightsIndex,0))</f>
        <v>0</v>
      </c>
      <c r="AG655">
        <f>AD655*S655+AE655*T655+AF655</f>
        <v>0</v>
      </c>
      <c r="AH655">
        <f>INDEX(CoefficientsGPA,MATCH(W655&amp;":"&amp;R655,CoefficientsIndex,0))</f>
        <v>0</v>
      </c>
      <c r="AI655">
        <f>INDEX(CoefficientsSAT,MATCH(W655&amp;":"&amp;R655,CoefficientsIndex,0))</f>
        <v>0</v>
      </c>
      <c r="AJ655">
        <f>INDEX(CoefficientsIntercept,MATCH(W655&amp;":"&amp;R655,CoefficientsIndex,0))</f>
        <v>0</v>
      </c>
      <c r="AK655">
        <f>AH655*S655+(T655-AC655)*AI655+AJ655</f>
        <v>0</v>
      </c>
      <c r="AL655">
        <f>IF(ISNUMBER(AG655),AG655,AK655)</f>
        <v>0</v>
      </c>
      <c r="AM655">
        <f>IF(ISNUMBER(AL655),IF(ISNUMBER(AH655),IF(AND(AH655=1,AI655=1,AJ655=1),100,MIN(99,ROUND(100*EXP(AL655)/(1+EXP(AL655)),2))),MIN(99,ROUND(100*EXP(AL655)/(1+EXP(AL655)),2))),IF(ISTEXT(R655),IF(LEFT(R655,1)="2",100,"N/A"),"N/A"))</f>
        <v>0</v>
      </c>
      <c r="AN655">
        <f>IF(ISNUMBER(AM655),IF(AM655&gt;=99,IF(OR(U655=10,U655=11),MatchLabel,SureThingLabel),IF(AM655&gt;=95,SecureLabel,IF(AM655&gt;=80,SafetyLabel,IF(AM655&gt;=50,MatchLabel,IF(AM655&gt;=20,ReachLabel,IF(AM655&gt;=10,LongshotLabel,HailMaryLabel)))))),"Other")</f>
        <v>0</v>
      </c>
      <c r="AO655">
        <f>IF(OR(I655="accepted",I655="cond. accept",I655="summer admit"),IF(J655="yes","CHOICE!","Accepted!"),IF(I655="guar. transfer","Guar. Xfer",IF(I655="denied","Denied",IF(K655=1,"Waitlist",IF(L655=1,"Deferred",IF(G655="pending","Pending",IF(OR(G655="initial materials submitted",G655="mid-year submitted",G655="final submitted"),"Submitted",IF(H655="interest","Interest","?"))))))))</f>
        <v>0</v>
      </c>
      <c r="AP655">
        <f>IF(OR(AN655=ReachLabel,AN655=LongshotLabel,AN655=HailMaryLabel),1,0)</f>
        <v>0</v>
      </c>
      <c r="AQ655">
        <f>IF(OR(AP655=1,AN655=MatchLabel),1,0)</f>
        <v>0</v>
      </c>
      <c r="AR655">
        <f>IF(OR(AN655=MatchLabel,AN655=SafetyLabel,AN655=SecureLabel,AN655=SureThingLabel),1,0)</f>
        <v>0</v>
      </c>
      <c r="AS655">
        <f>IF(OR(W655="H",W655="B",W655="I",W655="M"),IF(ISNUMBER(AB655),ROUND(AB655,2),0),IF(ISNUMBER(AA655),ROUND(AA655,2),0))</f>
        <v>0</v>
      </c>
      <c r="AT655">
        <f>IF(AS655&gt;=X655,1,0)</f>
        <v>0</v>
      </c>
      <c r="AU655">
        <f>IF(AS655&gt;=Y655,1,0)</f>
        <v>0</v>
      </c>
      <c r="AV655">
        <f>IF(AS655&lt;(X655-0.10),1,0)</f>
        <v>0</v>
      </c>
      <c r="AW655">
        <f>1-AM655/100</f>
        <v>0</v>
      </c>
      <c r="AX655">
        <f>IF(AQ655=1,AW655,1)</f>
        <v>0</v>
      </c>
      <c r="AY655">
        <f>IF(AP655=1,AW655,1)</f>
        <v>0</v>
      </c>
      <c r="AZ655">
        <f>IF(AND(AT655=1,ISNUMBER(AW655)),$AW655,1)</f>
        <v>0</v>
      </c>
      <c r="BA655">
        <f>IF(AND(AU655=1,ISNUMBER(AW655)),$AW655,1)</f>
        <v>0</v>
      </c>
      <c r="BB655">
        <f>IF(ISNUMBER(AB655),INDEX(AllCollegeMoney, MATCH(N655,AllCollegeNCES,0)),0)</f>
        <v>0</v>
      </c>
      <c r="BC655">
        <f>IF(AND(AT655=1,ISNUMBER(AW655),BB655=1),$AW655,1)</f>
        <v>0</v>
      </c>
      <c r="BD655">
        <f>IF(AND(AU655=1,ISNUMBER(AW655),BB655=1),$AW655,1)</f>
        <v>0</v>
      </c>
      <c r="BE655">
        <f>IF(ISNUMBER(AB655),INDEX(AllCollegeILPub, MATCH(N655,AllCollegeNCES,0)),0)</f>
        <v>0</v>
      </c>
      <c r="BF655">
        <f>IF(AN655=ReachLabel,AS655,0)</f>
        <v>0</v>
      </c>
      <c r="BG655">
        <f>IF(AN655=MatchLabel,AS655,0)</f>
        <v>0</v>
      </c>
      <c r="BH655">
        <f>IF(AN655=SafetyLabel,AS655,0)</f>
        <v>0</v>
      </c>
      <c r="BI655">
        <f>IF(AN655=SecureLabel,AS655,0)</f>
        <v>0</v>
      </c>
      <c r="BJ655">
        <f>IF(AN655=SureThingLabel,AS655,0)</f>
        <v>0</v>
      </c>
      <c r="BK655">
        <f>MAX(BF655:BJ655)</f>
        <v>0</v>
      </c>
      <c r="BL655">
        <f>MAX(BG655:BJ655)</f>
        <v>0</v>
      </c>
      <c r="BM655">
        <f>MAX(BH655:BJ655)</f>
        <v>0</v>
      </c>
      <c r="BN655">
        <f>IF(AND(AN655=ReachLabel,BB655=1),AS655,0)</f>
        <v>0</v>
      </c>
      <c r="BO655">
        <f>IF(AND(AN655=MatchLabel,BB655=1),AS655,0)</f>
        <v>0</v>
      </c>
      <c r="BP655">
        <f>IF(AND(AN655=SafetyLabel,BB655=1),AS655,0)</f>
        <v>0</v>
      </c>
      <c r="BQ655">
        <f>IF(AND(AN655=SecureLabel,BB655=1),AS655,0)</f>
        <v>0</v>
      </c>
      <c r="BR655">
        <f>IF(AND(AN655=SureThingLabel,BB655=1),AS655,0)</f>
        <v>0</v>
      </c>
      <c r="BS655">
        <f>MAX(BN655:BR655)</f>
        <v>0</v>
      </c>
      <c r="BT655">
        <f>MAX(BO655:BR655)</f>
        <v>0</v>
      </c>
      <c r="BU655">
        <f>MAX(BP655:BR655)</f>
        <v>0</v>
      </c>
      <c r="BV655">
        <f>IF(ISNUMBER(AB655),INDEX(AllCollegeChicago, MATCH(N655,AllCollegeNCES,0))*BB655,0)</f>
        <v>0</v>
      </c>
      <c r="BW655">
        <f>IF(ISNUMBER(AB655),INDEX(AllCollegeMoneyCode, MATCH(N655,AllCollegeNCES,0)),"?")</f>
        <v>0</v>
      </c>
      <c r="BX655">
        <f>IF(OR(BW655="---",BW655="--",BW655="+/--",BW655="+/---"),1,0)</f>
        <v>0</v>
      </c>
      <c r="BY655">
        <f>BB655*AR655*AT655</f>
        <v>0</v>
      </c>
    </row>
    <row r="656" spans="1:77">
      <c r="A656" t="s">
        <v>96</v>
      </c>
      <c r="B656">
        <v>24230510</v>
      </c>
      <c r="C656" t="s">
        <v>206</v>
      </c>
      <c r="D656" t="s">
        <v>207</v>
      </c>
      <c r="E656" t="s">
        <v>446</v>
      </c>
      <c r="F656" t="s">
        <v>463</v>
      </c>
      <c r="G656" t="s">
        <v>448</v>
      </c>
      <c r="H656" t="s">
        <v>449</v>
      </c>
      <c r="I656" t="s">
        <v>450</v>
      </c>
      <c r="J656" t="s">
        <v>450</v>
      </c>
      <c r="K656">
        <v>0</v>
      </c>
      <c r="L656" t="s">
        <v>446</v>
      </c>
      <c r="M656" t="s">
        <v>446</v>
      </c>
      <c r="N656">
        <v>147776</v>
      </c>
      <c r="O656">
        <f>INDEX(Counselor,MATCH(B656,KidIDs,0))</f>
        <v>0</v>
      </c>
      <c r="P656">
        <f>INDEX(Advisors,MATCH(B656,KidIDs,0))</f>
        <v>0</v>
      </c>
      <c r="Q656">
        <f>INDEX(Cohort,MATCH(B656,KidIDs,0))</f>
        <v>0</v>
      </c>
      <c r="R656">
        <f>INDEX(AllCollegeBarrons,MATCH(N656,AllCollegeNCES,0))</f>
        <v>0</v>
      </c>
      <c r="S656">
        <f>INDEX(KidGPAs,MATCH(B656,KidIDs,0))</f>
        <v>0</v>
      </c>
      <c r="T656">
        <f>INDEX(KidSATs,MATCH(B656,KidIDs,0))</f>
        <v>0</v>
      </c>
      <c r="U656">
        <f>INDEX(Strats,MATCH(B656,KidIDs,0))</f>
        <v>0</v>
      </c>
      <c r="V656">
        <f>INDEX(KidRace,MATCH(B656,KidIDs,0))</f>
        <v>0</v>
      </c>
      <c r="W656">
        <f>IF(OR(V656="M",V656="I"),"H",IF(V656="P","A",V656))</f>
        <v>0</v>
      </c>
      <c r="X656">
        <f>INDEX(StudentTargets,MATCH(B656,KidIDs,0))</f>
        <v>0</v>
      </c>
      <c r="Y656">
        <f>INDEX(ReachStudentTargets,MATCH(B656,KidIDs,0))</f>
        <v>0</v>
      </c>
      <c r="Z656">
        <f>IF(OR(M656="Posse"),1,0)</f>
        <v>0</v>
      </c>
      <c r="AA656">
        <f>IF(ISNUMBER(INDEX(AllCollegeGR, MATCH(N656,AllCollegeNCES,0))),ROUND(INDEX(AllCollegeGR, MATCH(N656,AllCollegeNCES,0))+Z656*IF(INDEX(AllCollegeGR, MATCH(N656,AllCollegeNCES,0))&gt;0.7,(1-INDEX(AllCollegeGR, MATCH(N656,AllCollegeNCES,0)))/2,0.15),2),INDEX(AllCollegeGR, MATCH(N656,AllCollegeNCES,0)))</f>
        <v>0</v>
      </c>
      <c r="AB656">
        <f>IF(ISNUMBER(INDEX(AllCollegeAAHGR, MATCH(N656,AllCollegeNCES,0))),ROUND(INDEX(AllCollegeAAHGR, MATCH(N656,AllCollegeNCES,0))+Z656*IF(INDEX(AllCollegeAAHGR, MATCH(N656,AllCollegeNCES,0))&gt;0.7,(1-INDEX(AllCollegeAAHGR, MATCH(N656,AllCollegeNCES,0)))/2,0.15),2),INDEX(AllCollegeAAHGR, MATCH(N656,AllCollegeNCES,0)))</f>
        <v>0</v>
      </c>
      <c r="AC656">
        <f>IF(OR(W656="H",W656="B"),INDEX(AllCollegeSAT25, MATCH(N656,AllCollegeNCES,0)),INDEX(AllCollegeSAT50, MATCH(N656,AllCollegeNCES,0)))</f>
        <v>0</v>
      </c>
      <c r="AD656">
        <f>INDEX(CustomWeightsGPA,MATCH(W656&amp;":"&amp;N656,CustomWeightsIndex,0))</f>
        <v>0</v>
      </c>
      <c r="AE656">
        <f>INDEX(CustomWeightsSAT,MATCH(W656&amp;":"&amp;N656,CustomWeightsIndex,0))</f>
        <v>0</v>
      </c>
      <c r="AF656">
        <f>INDEX(CustomWeightsIntercept,MATCH(W656&amp;":"&amp;N656,CustomWeightsIndex,0))</f>
        <v>0</v>
      </c>
      <c r="AG656">
        <f>AD656*S656+AE656*T656+AF656</f>
        <v>0</v>
      </c>
      <c r="AH656">
        <f>INDEX(CoefficientsGPA,MATCH(W656&amp;":"&amp;R656,CoefficientsIndex,0))</f>
        <v>0</v>
      </c>
      <c r="AI656">
        <f>INDEX(CoefficientsSAT,MATCH(W656&amp;":"&amp;R656,CoefficientsIndex,0))</f>
        <v>0</v>
      </c>
      <c r="AJ656">
        <f>INDEX(CoefficientsIntercept,MATCH(W656&amp;":"&amp;R656,CoefficientsIndex,0))</f>
        <v>0</v>
      </c>
      <c r="AK656">
        <f>AH656*S656+(T656-AC656)*AI656+AJ656</f>
        <v>0</v>
      </c>
      <c r="AL656">
        <f>IF(ISNUMBER(AG656),AG656,AK656)</f>
        <v>0</v>
      </c>
      <c r="AM656">
        <f>IF(ISNUMBER(AL656),IF(ISNUMBER(AH656),IF(AND(AH656=1,AI656=1,AJ656=1),100,MIN(99,ROUND(100*EXP(AL656)/(1+EXP(AL656)),2))),MIN(99,ROUND(100*EXP(AL656)/(1+EXP(AL656)),2))),IF(ISTEXT(R656),IF(LEFT(R656,1)="2",100,"N/A"),"N/A"))</f>
        <v>0</v>
      </c>
      <c r="AN656">
        <f>IF(ISNUMBER(AM656),IF(AM656&gt;=99,IF(OR(U656=10,U656=11),MatchLabel,SureThingLabel),IF(AM656&gt;=95,SecureLabel,IF(AM656&gt;=80,SafetyLabel,IF(AM656&gt;=50,MatchLabel,IF(AM656&gt;=20,ReachLabel,IF(AM656&gt;=10,LongshotLabel,HailMaryLabel)))))),"Other")</f>
        <v>0</v>
      </c>
      <c r="AO656">
        <f>IF(OR(I656="accepted",I656="cond. accept",I656="summer admit"),IF(J656="yes","CHOICE!","Accepted!"),IF(I656="guar. transfer","Guar. Xfer",IF(I656="denied","Denied",IF(K656=1,"Waitlist",IF(L656=1,"Deferred",IF(G656="pending","Pending",IF(OR(G656="initial materials submitted",G656="mid-year submitted",G656="final submitted"),"Submitted",IF(H656="interest","Interest","?"))))))))</f>
        <v>0</v>
      </c>
      <c r="AP656">
        <f>IF(OR(AN656=ReachLabel,AN656=LongshotLabel,AN656=HailMaryLabel),1,0)</f>
        <v>0</v>
      </c>
      <c r="AQ656">
        <f>IF(OR(AP656=1,AN656=MatchLabel),1,0)</f>
        <v>0</v>
      </c>
      <c r="AR656">
        <f>IF(OR(AN656=MatchLabel,AN656=SafetyLabel,AN656=SecureLabel,AN656=SureThingLabel),1,0)</f>
        <v>0</v>
      </c>
      <c r="AS656">
        <f>IF(OR(W656="H",W656="B",W656="I",W656="M"),IF(ISNUMBER(AB656),ROUND(AB656,2),0),IF(ISNUMBER(AA656),ROUND(AA656,2),0))</f>
        <v>0</v>
      </c>
      <c r="AT656">
        <f>IF(AS656&gt;=X656,1,0)</f>
        <v>0</v>
      </c>
      <c r="AU656">
        <f>IF(AS656&gt;=Y656,1,0)</f>
        <v>0</v>
      </c>
      <c r="AV656">
        <f>IF(AS656&lt;(X656-0.10),1,0)</f>
        <v>0</v>
      </c>
      <c r="AW656">
        <f>1-AM656/100</f>
        <v>0</v>
      </c>
      <c r="AX656">
        <f>IF(AQ656=1,AW656,1)</f>
        <v>0</v>
      </c>
      <c r="AY656">
        <f>IF(AP656=1,AW656,1)</f>
        <v>0</v>
      </c>
      <c r="AZ656">
        <f>IF(AND(AT656=1,ISNUMBER(AW656)),$AW656,1)</f>
        <v>0</v>
      </c>
      <c r="BA656">
        <f>IF(AND(AU656=1,ISNUMBER(AW656)),$AW656,1)</f>
        <v>0</v>
      </c>
      <c r="BB656">
        <f>IF(ISNUMBER(AB656),INDEX(AllCollegeMoney, MATCH(N656,AllCollegeNCES,0)),0)</f>
        <v>0</v>
      </c>
      <c r="BC656">
        <f>IF(AND(AT656=1,ISNUMBER(AW656),BB656=1),$AW656,1)</f>
        <v>0</v>
      </c>
      <c r="BD656">
        <f>IF(AND(AU656=1,ISNUMBER(AW656),BB656=1),$AW656,1)</f>
        <v>0</v>
      </c>
      <c r="BE656">
        <f>IF(ISNUMBER(AB656),INDEX(AllCollegeILPub, MATCH(N656,AllCollegeNCES,0)),0)</f>
        <v>0</v>
      </c>
      <c r="BF656">
        <f>IF(AN656=ReachLabel,AS656,0)</f>
        <v>0</v>
      </c>
      <c r="BG656">
        <f>IF(AN656=MatchLabel,AS656,0)</f>
        <v>0</v>
      </c>
      <c r="BH656">
        <f>IF(AN656=SafetyLabel,AS656,0)</f>
        <v>0</v>
      </c>
      <c r="BI656">
        <f>IF(AN656=SecureLabel,AS656,0)</f>
        <v>0</v>
      </c>
      <c r="BJ656">
        <f>IF(AN656=SureThingLabel,AS656,0)</f>
        <v>0</v>
      </c>
      <c r="BK656">
        <f>MAX(BF656:BJ656)</f>
        <v>0</v>
      </c>
      <c r="BL656">
        <f>MAX(BG656:BJ656)</f>
        <v>0</v>
      </c>
      <c r="BM656">
        <f>MAX(BH656:BJ656)</f>
        <v>0</v>
      </c>
      <c r="BN656">
        <f>IF(AND(AN656=ReachLabel,BB656=1),AS656,0)</f>
        <v>0</v>
      </c>
      <c r="BO656">
        <f>IF(AND(AN656=MatchLabel,BB656=1),AS656,0)</f>
        <v>0</v>
      </c>
      <c r="BP656">
        <f>IF(AND(AN656=SafetyLabel,BB656=1),AS656,0)</f>
        <v>0</v>
      </c>
      <c r="BQ656">
        <f>IF(AND(AN656=SecureLabel,BB656=1),AS656,0)</f>
        <v>0</v>
      </c>
      <c r="BR656">
        <f>IF(AND(AN656=SureThingLabel,BB656=1),AS656,0)</f>
        <v>0</v>
      </c>
      <c r="BS656">
        <f>MAX(BN656:BR656)</f>
        <v>0</v>
      </c>
      <c r="BT656">
        <f>MAX(BO656:BR656)</f>
        <v>0</v>
      </c>
      <c r="BU656">
        <f>MAX(BP656:BR656)</f>
        <v>0</v>
      </c>
      <c r="BV656">
        <f>IF(ISNUMBER(AB656),INDEX(AllCollegeChicago, MATCH(N656,AllCollegeNCES,0))*BB656,0)</f>
        <v>0</v>
      </c>
      <c r="BW656">
        <f>IF(ISNUMBER(AB656),INDEX(AllCollegeMoneyCode, MATCH(N656,AllCollegeNCES,0)),"?")</f>
        <v>0</v>
      </c>
      <c r="BX656">
        <f>IF(OR(BW656="---",BW656="--",BW656="+/--",BW656="+/---"),1,0)</f>
        <v>0</v>
      </c>
      <c r="BY656">
        <f>BB656*AR656*AT656</f>
        <v>0</v>
      </c>
    </row>
    <row r="657" spans="1:77">
      <c r="A657" t="s">
        <v>96</v>
      </c>
      <c r="B657">
        <v>24230510</v>
      </c>
      <c r="C657" t="s">
        <v>206</v>
      </c>
      <c r="D657" t="s">
        <v>207</v>
      </c>
      <c r="E657" t="s">
        <v>446</v>
      </c>
      <c r="F657" t="s">
        <v>468</v>
      </c>
      <c r="G657" t="s">
        <v>448</v>
      </c>
      <c r="H657" t="s">
        <v>449</v>
      </c>
      <c r="I657" t="s">
        <v>450</v>
      </c>
      <c r="J657" t="s">
        <v>450</v>
      </c>
      <c r="K657">
        <v>0</v>
      </c>
      <c r="L657" t="s">
        <v>446</v>
      </c>
      <c r="M657" t="s">
        <v>454</v>
      </c>
      <c r="N657">
        <v>154493</v>
      </c>
      <c r="O657">
        <f>INDEX(Counselor,MATCH(B657,KidIDs,0))</f>
        <v>0</v>
      </c>
      <c r="P657">
        <f>INDEX(Advisors,MATCH(B657,KidIDs,0))</f>
        <v>0</v>
      </c>
      <c r="Q657">
        <f>INDEX(Cohort,MATCH(B657,KidIDs,0))</f>
        <v>0</v>
      </c>
      <c r="R657">
        <f>INDEX(AllCollegeBarrons,MATCH(N657,AllCollegeNCES,0))</f>
        <v>0</v>
      </c>
      <c r="S657">
        <f>INDEX(KidGPAs,MATCH(B657,KidIDs,0))</f>
        <v>0</v>
      </c>
      <c r="T657">
        <f>INDEX(KidSATs,MATCH(B657,KidIDs,0))</f>
        <v>0</v>
      </c>
      <c r="U657">
        <f>INDEX(Strats,MATCH(B657,KidIDs,0))</f>
        <v>0</v>
      </c>
      <c r="V657">
        <f>INDEX(KidRace,MATCH(B657,KidIDs,0))</f>
        <v>0</v>
      </c>
      <c r="W657">
        <f>IF(OR(V657="M",V657="I"),"H",IF(V657="P","A",V657))</f>
        <v>0</v>
      </c>
      <c r="X657">
        <f>INDEX(StudentTargets,MATCH(B657,KidIDs,0))</f>
        <v>0</v>
      </c>
      <c r="Y657">
        <f>INDEX(ReachStudentTargets,MATCH(B657,KidIDs,0))</f>
        <v>0</v>
      </c>
      <c r="Z657">
        <f>IF(OR(M657="Posse"),1,0)</f>
        <v>0</v>
      </c>
      <c r="AA657">
        <f>IF(ISNUMBER(INDEX(AllCollegeGR, MATCH(N657,AllCollegeNCES,0))),ROUND(INDEX(AllCollegeGR, MATCH(N657,AllCollegeNCES,0))+Z657*IF(INDEX(AllCollegeGR, MATCH(N657,AllCollegeNCES,0))&gt;0.7,(1-INDEX(AllCollegeGR, MATCH(N657,AllCollegeNCES,0)))/2,0.15),2),INDEX(AllCollegeGR, MATCH(N657,AllCollegeNCES,0)))</f>
        <v>0</v>
      </c>
      <c r="AB657">
        <f>IF(ISNUMBER(INDEX(AllCollegeAAHGR, MATCH(N657,AllCollegeNCES,0))),ROUND(INDEX(AllCollegeAAHGR, MATCH(N657,AllCollegeNCES,0))+Z657*IF(INDEX(AllCollegeAAHGR, MATCH(N657,AllCollegeNCES,0))&gt;0.7,(1-INDEX(AllCollegeAAHGR, MATCH(N657,AllCollegeNCES,0)))/2,0.15),2),INDEX(AllCollegeAAHGR, MATCH(N657,AllCollegeNCES,0)))</f>
        <v>0</v>
      </c>
      <c r="AC657">
        <f>IF(OR(W657="H",W657="B"),INDEX(AllCollegeSAT25, MATCH(N657,AllCollegeNCES,0)),INDEX(AllCollegeSAT50, MATCH(N657,AllCollegeNCES,0)))</f>
        <v>0</v>
      </c>
      <c r="AD657">
        <f>INDEX(CustomWeightsGPA,MATCH(W657&amp;":"&amp;N657,CustomWeightsIndex,0))</f>
        <v>0</v>
      </c>
      <c r="AE657">
        <f>INDEX(CustomWeightsSAT,MATCH(W657&amp;":"&amp;N657,CustomWeightsIndex,0))</f>
        <v>0</v>
      </c>
      <c r="AF657">
        <f>INDEX(CustomWeightsIntercept,MATCH(W657&amp;":"&amp;N657,CustomWeightsIndex,0))</f>
        <v>0</v>
      </c>
      <c r="AG657">
        <f>AD657*S657+AE657*T657+AF657</f>
        <v>0</v>
      </c>
      <c r="AH657">
        <f>INDEX(CoefficientsGPA,MATCH(W657&amp;":"&amp;R657,CoefficientsIndex,0))</f>
        <v>0</v>
      </c>
      <c r="AI657">
        <f>INDEX(CoefficientsSAT,MATCH(W657&amp;":"&amp;R657,CoefficientsIndex,0))</f>
        <v>0</v>
      </c>
      <c r="AJ657">
        <f>INDEX(CoefficientsIntercept,MATCH(W657&amp;":"&amp;R657,CoefficientsIndex,0))</f>
        <v>0</v>
      </c>
      <c r="AK657">
        <f>AH657*S657+(T657-AC657)*AI657+AJ657</f>
        <v>0</v>
      </c>
      <c r="AL657">
        <f>IF(ISNUMBER(AG657),AG657,AK657)</f>
        <v>0</v>
      </c>
      <c r="AM657">
        <f>IF(ISNUMBER(AL657),IF(ISNUMBER(AH657),IF(AND(AH657=1,AI657=1,AJ657=1),100,MIN(99,ROUND(100*EXP(AL657)/(1+EXP(AL657)),2))),MIN(99,ROUND(100*EXP(AL657)/(1+EXP(AL657)),2))),IF(ISTEXT(R657),IF(LEFT(R657,1)="2",100,"N/A"),"N/A"))</f>
        <v>0</v>
      </c>
      <c r="AN657">
        <f>IF(ISNUMBER(AM657),IF(AM657&gt;=99,IF(OR(U657=10,U657=11),MatchLabel,SureThingLabel),IF(AM657&gt;=95,SecureLabel,IF(AM657&gt;=80,SafetyLabel,IF(AM657&gt;=50,MatchLabel,IF(AM657&gt;=20,ReachLabel,IF(AM657&gt;=10,LongshotLabel,HailMaryLabel)))))),"Other")</f>
        <v>0</v>
      </c>
      <c r="AO657">
        <f>IF(OR(I657="accepted",I657="cond. accept",I657="summer admit"),IF(J657="yes","CHOICE!","Accepted!"),IF(I657="guar. transfer","Guar. Xfer",IF(I657="denied","Denied",IF(K657=1,"Waitlist",IF(L657=1,"Deferred",IF(G657="pending","Pending",IF(OR(G657="initial materials submitted",G657="mid-year submitted",G657="final submitted"),"Submitted",IF(H657="interest","Interest","?"))))))))</f>
        <v>0</v>
      </c>
      <c r="AP657">
        <f>IF(OR(AN657=ReachLabel,AN657=LongshotLabel,AN657=HailMaryLabel),1,0)</f>
        <v>0</v>
      </c>
      <c r="AQ657">
        <f>IF(OR(AP657=1,AN657=MatchLabel),1,0)</f>
        <v>0</v>
      </c>
      <c r="AR657">
        <f>IF(OR(AN657=MatchLabel,AN657=SafetyLabel,AN657=SecureLabel,AN657=SureThingLabel),1,0)</f>
        <v>0</v>
      </c>
      <c r="AS657">
        <f>IF(OR(W657="H",W657="B",W657="I",W657="M"),IF(ISNUMBER(AB657),ROUND(AB657,2),0),IF(ISNUMBER(AA657),ROUND(AA657,2),0))</f>
        <v>0</v>
      </c>
      <c r="AT657">
        <f>IF(AS657&gt;=X657,1,0)</f>
        <v>0</v>
      </c>
      <c r="AU657">
        <f>IF(AS657&gt;=Y657,1,0)</f>
        <v>0</v>
      </c>
      <c r="AV657">
        <f>IF(AS657&lt;(X657-0.10),1,0)</f>
        <v>0</v>
      </c>
      <c r="AW657">
        <f>1-AM657/100</f>
        <v>0</v>
      </c>
      <c r="AX657">
        <f>IF(AQ657=1,AW657,1)</f>
        <v>0</v>
      </c>
      <c r="AY657">
        <f>IF(AP657=1,AW657,1)</f>
        <v>0</v>
      </c>
      <c r="AZ657">
        <f>IF(AND(AT657=1,ISNUMBER(AW657)),$AW657,1)</f>
        <v>0</v>
      </c>
      <c r="BA657">
        <f>IF(AND(AU657=1,ISNUMBER(AW657)),$AW657,1)</f>
        <v>0</v>
      </c>
      <c r="BB657">
        <f>IF(ISNUMBER(AB657),INDEX(AllCollegeMoney, MATCH(N657,AllCollegeNCES,0)),0)</f>
        <v>0</v>
      </c>
      <c r="BC657">
        <f>IF(AND(AT657=1,ISNUMBER(AW657),BB657=1),$AW657,1)</f>
        <v>0</v>
      </c>
      <c r="BD657">
        <f>IF(AND(AU657=1,ISNUMBER(AW657),BB657=1),$AW657,1)</f>
        <v>0</v>
      </c>
      <c r="BE657">
        <f>IF(ISNUMBER(AB657),INDEX(AllCollegeILPub, MATCH(N657,AllCollegeNCES,0)),0)</f>
        <v>0</v>
      </c>
      <c r="BF657">
        <f>IF(AN657=ReachLabel,AS657,0)</f>
        <v>0</v>
      </c>
      <c r="BG657">
        <f>IF(AN657=MatchLabel,AS657,0)</f>
        <v>0</v>
      </c>
      <c r="BH657">
        <f>IF(AN657=SafetyLabel,AS657,0)</f>
        <v>0</v>
      </c>
      <c r="BI657">
        <f>IF(AN657=SecureLabel,AS657,0)</f>
        <v>0</v>
      </c>
      <c r="BJ657">
        <f>IF(AN657=SureThingLabel,AS657,0)</f>
        <v>0</v>
      </c>
      <c r="BK657">
        <f>MAX(BF657:BJ657)</f>
        <v>0</v>
      </c>
      <c r="BL657">
        <f>MAX(BG657:BJ657)</f>
        <v>0</v>
      </c>
      <c r="BM657">
        <f>MAX(BH657:BJ657)</f>
        <v>0</v>
      </c>
      <c r="BN657">
        <f>IF(AND(AN657=ReachLabel,BB657=1),AS657,0)</f>
        <v>0</v>
      </c>
      <c r="BO657">
        <f>IF(AND(AN657=MatchLabel,BB657=1),AS657,0)</f>
        <v>0</v>
      </c>
      <c r="BP657">
        <f>IF(AND(AN657=SafetyLabel,BB657=1),AS657,0)</f>
        <v>0</v>
      </c>
      <c r="BQ657">
        <f>IF(AND(AN657=SecureLabel,BB657=1),AS657,0)</f>
        <v>0</v>
      </c>
      <c r="BR657">
        <f>IF(AND(AN657=SureThingLabel,BB657=1),AS657,0)</f>
        <v>0</v>
      </c>
      <c r="BS657">
        <f>MAX(BN657:BR657)</f>
        <v>0</v>
      </c>
      <c r="BT657">
        <f>MAX(BO657:BR657)</f>
        <v>0</v>
      </c>
      <c r="BU657">
        <f>MAX(BP657:BR657)</f>
        <v>0</v>
      </c>
      <c r="BV657">
        <f>IF(ISNUMBER(AB657),INDEX(AllCollegeChicago, MATCH(N657,AllCollegeNCES,0))*BB657,0)</f>
        <v>0</v>
      </c>
      <c r="BW657">
        <f>IF(ISNUMBER(AB657),INDEX(AllCollegeMoneyCode, MATCH(N657,AllCollegeNCES,0)),"?")</f>
        <v>0</v>
      </c>
      <c r="BX657">
        <f>IF(OR(BW657="---",BW657="--",BW657="+/--",BW657="+/---"),1,0)</f>
        <v>0</v>
      </c>
      <c r="BY657">
        <f>BB657*AR657*AT657</f>
        <v>0</v>
      </c>
    </row>
    <row r="658" spans="1:77">
      <c r="A658" t="s">
        <v>96</v>
      </c>
      <c r="B658">
        <v>24512354</v>
      </c>
      <c r="C658" t="s">
        <v>133</v>
      </c>
      <c r="D658" t="s">
        <v>134</v>
      </c>
      <c r="E658" t="s">
        <v>446</v>
      </c>
      <c r="F658" t="s">
        <v>475</v>
      </c>
      <c r="G658" t="s">
        <v>479</v>
      </c>
      <c r="H658" t="s">
        <v>449</v>
      </c>
      <c r="I658" t="s">
        <v>450</v>
      </c>
      <c r="J658" t="s">
        <v>450</v>
      </c>
      <c r="K658">
        <v>0</v>
      </c>
      <c r="L658" t="s">
        <v>446</v>
      </c>
      <c r="M658" t="s">
        <v>446</v>
      </c>
      <c r="N658">
        <v>145637</v>
      </c>
      <c r="O658">
        <f>INDEX(Counselor,MATCH(B658,KidIDs,0))</f>
        <v>0</v>
      </c>
      <c r="P658">
        <f>INDEX(Advisors,MATCH(B658,KidIDs,0))</f>
        <v>0</v>
      </c>
      <c r="Q658">
        <f>INDEX(Cohort,MATCH(B658,KidIDs,0))</f>
        <v>0</v>
      </c>
      <c r="R658">
        <f>INDEX(AllCollegeBarrons,MATCH(N658,AllCollegeNCES,0))</f>
        <v>0</v>
      </c>
      <c r="S658">
        <f>INDEX(KidGPAs,MATCH(B658,KidIDs,0))</f>
        <v>0</v>
      </c>
      <c r="T658">
        <f>INDEX(KidSATs,MATCH(B658,KidIDs,0))</f>
        <v>0</v>
      </c>
      <c r="U658">
        <f>INDEX(Strats,MATCH(B658,KidIDs,0))</f>
        <v>0</v>
      </c>
      <c r="V658">
        <f>INDEX(KidRace,MATCH(B658,KidIDs,0))</f>
        <v>0</v>
      </c>
      <c r="W658">
        <f>IF(OR(V658="M",V658="I"),"H",IF(V658="P","A",V658))</f>
        <v>0</v>
      </c>
      <c r="X658">
        <f>INDEX(StudentTargets,MATCH(B658,KidIDs,0))</f>
        <v>0</v>
      </c>
      <c r="Y658">
        <f>INDEX(ReachStudentTargets,MATCH(B658,KidIDs,0))</f>
        <v>0</v>
      </c>
      <c r="Z658">
        <f>IF(OR(M658="Posse"),1,0)</f>
        <v>0</v>
      </c>
      <c r="AA658">
        <f>IF(ISNUMBER(INDEX(AllCollegeGR, MATCH(N658,AllCollegeNCES,0))),ROUND(INDEX(AllCollegeGR, MATCH(N658,AllCollegeNCES,0))+Z658*IF(INDEX(AllCollegeGR, MATCH(N658,AllCollegeNCES,0))&gt;0.7,(1-INDEX(AllCollegeGR, MATCH(N658,AllCollegeNCES,0)))/2,0.15),2),INDEX(AllCollegeGR, MATCH(N658,AllCollegeNCES,0)))</f>
        <v>0</v>
      </c>
      <c r="AB658">
        <f>IF(ISNUMBER(INDEX(AllCollegeAAHGR, MATCH(N658,AllCollegeNCES,0))),ROUND(INDEX(AllCollegeAAHGR, MATCH(N658,AllCollegeNCES,0))+Z658*IF(INDEX(AllCollegeAAHGR, MATCH(N658,AllCollegeNCES,0))&gt;0.7,(1-INDEX(AllCollegeAAHGR, MATCH(N658,AllCollegeNCES,0)))/2,0.15),2),INDEX(AllCollegeAAHGR, MATCH(N658,AllCollegeNCES,0)))</f>
        <v>0</v>
      </c>
      <c r="AC658">
        <f>IF(OR(W658="H",W658="B"),INDEX(AllCollegeSAT25, MATCH(N658,AllCollegeNCES,0)),INDEX(AllCollegeSAT50, MATCH(N658,AllCollegeNCES,0)))</f>
        <v>0</v>
      </c>
      <c r="AD658">
        <f>INDEX(CustomWeightsGPA,MATCH(W658&amp;":"&amp;N658,CustomWeightsIndex,0))</f>
        <v>0</v>
      </c>
      <c r="AE658">
        <f>INDEX(CustomWeightsSAT,MATCH(W658&amp;":"&amp;N658,CustomWeightsIndex,0))</f>
        <v>0</v>
      </c>
      <c r="AF658">
        <f>INDEX(CustomWeightsIntercept,MATCH(W658&amp;":"&amp;N658,CustomWeightsIndex,0))</f>
        <v>0</v>
      </c>
      <c r="AG658">
        <f>AD658*S658+AE658*T658+AF658</f>
        <v>0</v>
      </c>
      <c r="AH658">
        <f>INDEX(CoefficientsGPA,MATCH(W658&amp;":"&amp;R658,CoefficientsIndex,0))</f>
        <v>0</v>
      </c>
      <c r="AI658">
        <f>INDEX(CoefficientsSAT,MATCH(W658&amp;":"&amp;R658,CoefficientsIndex,0))</f>
        <v>0</v>
      </c>
      <c r="AJ658">
        <f>INDEX(CoefficientsIntercept,MATCH(W658&amp;":"&amp;R658,CoefficientsIndex,0))</f>
        <v>0</v>
      </c>
      <c r="AK658">
        <f>AH658*S658+(T658-AC658)*AI658+AJ658</f>
        <v>0</v>
      </c>
      <c r="AL658">
        <f>IF(ISNUMBER(AG658),AG658,AK658)</f>
        <v>0</v>
      </c>
      <c r="AM658">
        <f>IF(ISNUMBER(AL658),IF(ISNUMBER(AH658),IF(AND(AH658=1,AI658=1,AJ658=1),100,MIN(99,ROUND(100*EXP(AL658)/(1+EXP(AL658)),2))),MIN(99,ROUND(100*EXP(AL658)/(1+EXP(AL658)),2))),IF(ISTEXT(R658),IF(LEFT(R658,1)="2",100,"N/A"),"N/A"))</f>
        <v>0</v>
      </c>
      <c r="AN658">
        <f>IF(ISNUMBER(AM658),IF(AM658&gt;=99,IF(OR(U658=10,U658=11),MatchLabel,SureThingLabel),IF(AM658&gt;=95,SecureLabel,IF(AM658&gt;=80,SafetyLabel,IF(AM658&gt;=50,MatchLabel,IF(AM658&gt;=20,ReachLabel,IF(AM658&gt;=10,LongshotLabel,HailMaryLabel)))))),"Other")</f>
        <v>0</v>
      </c>
      <c r="AO658">
        <f>IF(OR(I658="accepted",I658="cond. accept",I658="summer admit"),IF(J658="yes","CHOICE!","Accepted!"),IF(I658="guar. transfer","Guar. Xfer",IF(I658="denied","Denied",IF(K658=1,"Waitlist",IF(L658=1,"Deferred",IF(G658="pending","Pending",IF(OR(G658="initial materials submitted",G658="mid-year submitted",G658="final submitted"),"Submitted",IF(H658="interest","Interest","?"))))))))</f>
        <v>0</v>
      </c>
      <c r="AP658">
        <f>IF(OR(AN658=ReachLabel,AN658=LongshotLabel,AN658=HailMaryLabel),1,0)</f>
        <v>0</v>
      </c>
      <c r="AQ658">
        <f>IF(OR(AP658=1,AN658=MatchLabel),1,0)</f>
        <v>0</v>
      </c>
      <c r="AR658">
        <f>IF(OR(AN658=MatchLabel,AN658=SafetyLabel,AN658=SecureLabel,AN658=SureThingLabel),1,0)</f>
        <v>0</v>
      </c>
      <c r="AS658">
        <f>IF(OR(W658="H",W658="B",W658="I",W658="M"),IF(ISNUMBER(AB658),ROUND(AB658,2),0),IF(ISNUMBER(AA658),ROUND(AA658,2),0))</f>
        <v>0</v>
      </c>
      <c r="AT658">
        <f>IF(AS658&gt;=X658,1,0)</f>
        <v>0</v>
      </c>
      <c r="AU658">
        <f>IF(AS658&gt;=Y658,1,0)</f>
        <v>0</v>
      </c>
      <c r="AV658">
        <f>IF(AS658&lt;(X658-0.10),1,0)</f>
        <v>0</v>
      </c>
      <c r="AW658">
        <f>1-AM658/100</f>
        <v>0</v>
      </c>
      <c r="AX658">
        <f>IF(AQ658=1,AW658,1)</f>
        <v>0</v>
      </c>
      <c r="AY658">
        <f>IF(AP658=1,AW658,1)</f>
        <v>0</v>
      </c>
      <c r="AZ658">
        <f>IF(AND(AT658=1,ISNUMBER(AW658)),$AW658,1)</f>
        <v>0</v>
      </c>
      <c r="BA658">
        <f>IF(AND(AU658=1,ISNUMBER(AW658)),$AW658,1)</f>
        <v>0</v>
      </c>
      <c r="BB658">
        <f>IF(ISNUMBER(AB658),INDEX(AllCollegeMoney, MATCH(N658,AllCollegeNCES,0)),0)</f>
        <v>0</v>
      </c>
      <c r="BC658">
        <f>IF(AND(AT658=1,ISNUMBER(AW658),BB658=1),$AW658,1)</f>
        <v>0</v>
      </c>
      <c r="BD658">
        <f>IF(AND(AU658=1,ISNUMBER(AW658),BB658=1),$AW658,1)</f>
        <v>0</v>
      </c>
      <c r="BE658">
        <f>IF(ISNUMBER(AB658),INDEX(AllCollegeILPub, MATCH(N658,AllCollegeNCES,0)),0)</f>
        <v>0</v>
      </c>
      <c r="BF658">
        <f>IF(AN658=ReachLabel,AS658,0)</f>
        <v>0</v>
      </c>
      <c r="BG658">
        <f>IF(AN658=MatchLabel,AS658,0)</f>
        <v>0</v>
      </c>
      <c r="BH658">
        <f>IF(AN658=SafetyLabel,AS658,0)</f>
        <v>0</v>
      </c>
      <c r="BI658">
        <f>IF(AN658=SecureLabel,AS658,0)</f>
        <v>0</v>
      </c>
      <c r="BJ658">
        <f>IF(AN658=SureThingLabel,AS658,0)</f>
        <v>0</v>
      </c>
      <c r="BK658">
        <f>MAX(BF658:BJ658)</f>
        <v>0</v>
      </c>
      <c r="BL658">
        <f>MAX(BG658:BJ658)</f>
        <v>0</v>
      </c>
      <c r="BM658">
        <f>MAX(BH658:BJ658)</f>
        <v>0</v>
      </c>
      <c r="BN658">
        <f>IF(AND(AN658=ReachLabel,BB658=1),AS658,0)</f>
        <v>0</v>
      </c>
      <c r="BO658">
        <f>IF(AND(AN658=MatchLabel,BB658=1),AS658,0)</f>
        <v>0</v>
      </c>
      <c r="BP658">
        <f>IF(AND(AN658=SafetyLabel,BB658=1),AS658,0)</f>
        <v>0</v>
      </c>
      <c r="BQ658">
        <f>IF(AND(AN658=SecureLabel,BB658=1),AS658,0)</f>
        <v>0</v>
      </c>
      <c r="BR658">
        <f>IF(AND(AN658=SureThingLabel,BB658=1),AS658,0)</f>
        <v>0</v>
      </c>
      <c r="BS658">
        <f>MAX(BN658:BR658)</f>
        <v>0</v>
      </c>
      <c r="BT658">
        <f>MAX(BO658:BR658)</f>
        <v>0</v>
      </c>
      <c r="BU658">
        <f>MAX(BP658:BR658)</f>
        <v>0</v>
      </c>
      <c r="BV658">
        <f>IF(ISNUMBER(AB658),INDEX(AllCollegeChicago, MATCH(N658,AllCollegeNCES,0))*BB658,0)</f>
        <v>0</v>
      </c>
      <c r="BW658">
        <f>IF(ISNUMBER(AB658),INDEX(AllCollegeMoneyCode, MATCH(N658,AllCollegeNCES,0)),"?")</f>
        <v>0</v>
      </c>
      <c r="BX658">
        <f>IF(OR(BW658="---",BW658="--",BW658="+/--",BW658="+/---"),1,0)</f>
        <v>0</v>
      </c>
      <c r="BY658">
        <f>BB658*AR658*AT658</f>
        <v>0</v>
      </c>
    </row>
    <row r="659" spans="1:77">
      <c r="A659" t="s">
        <v>96</v>
      </c>
      <c r="B659">
        <v>24512354</v>
      </c>
      <c r="C659" t="s">
        <v>133</v>
      </c>
      <c r="D659" t="s">
        <v>134</v>
      </c>
      <c r="E659" t="s">
        <v>446</v>
      </c>
      <c r="F659" t="s">
        <v>557</v>
      </c>
      <c r="G659" t="s">
        <v>448</v>
      </c>
      <c r="H659" t="s">
        <v>449</v>
      </c>
      <c r="I659" t="s">
        <v>450</v>
      </c>
      <c r="J659" t="s">
        <v>450</v>
      </c>
      <c r="K659">
        <v>0</v>
      </c>
      <c r="L659" t="s">
        <v>446</v>
      </c>
      <c r="M659" t="s">
        <v>446</v>
      </c>
      <c r="N659">
        <v>146481</v>
      </c>
      <c r="O659">
        <f>INDEX(Counselor,MATCH(B659,KidIDs,0))</f>
        <v>0</v>
      </c>
      <c r="P659">
        <f>INDEX(Advisors,MATCH(B659,KidIDs,0))</f>
        <v>0</v>
      </c>
      <c r="Q659">
        <f>INDEX(Cohort,MATCH(B659,KidIDs,0))</f>
        <v>0</v>
      </c>
      <c r="R659">
        <f>INDEX(AllCollegeBarrons,MATCH(N659,AllCollegeNCES,0))</f>
        <v>0</v>
      </c>
      <c r="S659">
        <f>INDEX(KidGPAs,MATCH(B659,KidIDs,0))</f>
        <v>0</v>
      </c>
      <c r="T659">
        <f>INDEX(KidSATs,MATCH(B659,KidIDs,0))</f>
        <v>0</v>
      </c>
      <c r="U659">
        <f>INDEX(Strats,MATCH(B659,KidIDs,0))</f>
        <v>0</v>
      </c>
      <c r="V659">
        <f>INDEX(KidRace,MATCH(B659,KidIDs,0))</f>
        <v>0</v>
      </c>
      <c r="W659">
        <f>IF(OR(V659="M",V659="I"),"H",IF(V659="P","A",V659))</f>
        <v>0</v>
      </c>
      <c r="X659">
        <f>INDEX(StudentTargets,MATCH(B659,KidIDs,0))</f>
        <v>0</v>
      </c>
      <c r="Y659">
        <f>INDEX(ReachStudentTargets,MATCH(B659,KidIDs,0))</f>
        <v>0</v>
      </c>
      <c r="Z659">
        <f>IF(OR(M659="Posse"),1,0)</f>
        <v>0</v>
      </c>
      <c r="AA659">
        <f>IF(ISNUMBER(INDEX(AllCollegeGR, MATCH(N659,AllCollegeNCES,0))),ROUND(INDEX(AllCollegeGR, MATCH(N659,AllCollegeNCES,0))+Z659*IF(INDEX(AllCollegeGR, MATCH(N659,AllCollegeNCES,0))&gt;0.7,(1-INDEX(AllCollegeGR, MATCH(N659,AllCollegeNCES,0)))/2,0.15),2),INDEX(AllCollegeGR, MATCH(N659,AllCollegeNCES,0)))</f>
        <v>0</v>
      </c>
      <c r="AB659">
        <f>IF(ISNUMBER(INDEX(AllCollegeAAHGR, MATCH(N659,AllCollegeNCES,0))),ROUND(INDEX(AllCollegeAAHGR, MATCH(N659,AllCollegeNCES,0))+Z659*IF(INDEX(AllCollegeAAHGR, MATCH(N659,AllCollegeNCES,0))&gt;0.7,(1-INDEX(AllCollegeAAHGR, MATCH(N659,AllCollegeNCES,0)))/2,0.15),2),INDEX(AllCollegeAAHGR, MATCH(N659,AllCollegeNCES,0)))</f>
        <v>0</v>
      </c>
      <c r="AC659">
        <f>IF(OR(W659="H",W659="B"),INDEX(AllCollegeSAT25, MATCH(N659,AllCollegeNCES,0)),INDEX(AllCollegeSAT50, MATCH(N659,AllCollegeNCES,0)))</f>
        <v>0</v>
      </c>
      <c r="AD659">
        <f>INDEX(CustomWeightsGPA,MATCH(W659&amp;":"&amp;N659,CustomWeightsIndex,0))</f>
        <v>0</v>
      </c>
      <c r="AE659">
        <f>INDEX(CustomWeightsSAT,MATCH(W659&amp;":"&amp;N659,CustomWeightsIndex,0))</f>
        <v>0</v>
      </c>
      <c r="AF659">
        <f>INDEX(CustomWeightsIntercept,MATCH(W659&amp;":"&amp;N659,CustomWeightsIndex,0))</f>
        <v>0</v>
      </c>
      <c r="AG659">
        <f>AD659*S659+AE659*T659+AF659</f>
        <v>0</v>
      </c>
      <c r="AH659">
        <f>INDEX(CoefficientsGPA,MATCH(W659&amp;":"&amp;R659,CoefficientsIndex,0))</f>
        <v>0</v>
      </c>
      <c r="AI659">
        <f>INDEX(CoefficientsSAT,MATCH(W659&amp;":"&amp;R659,CoefficientsIndex,0))</f>
        <v>0</v>
      </c>
      <c r="AJ659">
        <f>INDEX(CoefficientsIntercept,MATCH(W659&amp;":"&amp;R659,CoefficientsIndex,0))</f>
        <v>0</v>
      </c>
      <c r="AK659">
        <f>AH659*S659+(T659-AC659)*AI659+AJ659</f>
        <v>0</v>
      </c>
      <c r="AL659">
        <f>IF(ISNUMBER(AG659),AG659,AK659)</f>
        <v>0</v>
      </c>
      <c r="AM659">
        <f>IF(ISNUMBER(AL659),IF(ISNUMBER(AH659),IF(AND(AH659=1,AI659=1,AJ659=1),100,MIN(99,ROUND(100*EXP(AL659)/(1+EXP(AL659)),2))),MIN(99,ROUND(100*EXP(AL659)/(1+EXP(AL659)),2))),IF(ISTEXT(R659),IF(LEFT(R659,1)="2",100,"N/A"),"N/A"))</f>
        <v>0</v>
      </c>
      <c r="AN659">
        <f>IF(ISNUMBER(AM659),IF(AM659&gt;=99,IF(OR(U659=10,U659=11),MatchLabel,SureThingLabel),IF(AM659&gt;=95,SecureLabel,IF(AM659&gt;=80,SafetyLabel,IF(AM659&gt;=50,MatchLabel,IF(AM659&gt;=20,ReachLabel,IF(AM659&gt;=10,LongshotLabel,HailMaryLabel)))))),"Other")</f>
        <v>0</v>
      </c>
      <c r="AO659">
        <f>IF(OR(I659="accepted",I659="cond. accept",I659="summer admit"),IF(J659="yes","CHOICE!","Accepted!"),IF(I659="guar. transfer","Guar. Xfer",IF(I659="denied","Denied",IF(K659=1,"Waitlist",IF(L659=1,"Deferred",IF(G659="pending","Pending",IF(OR(G659="initial materials submitted",G659="mid-year submitted",G659="final submitted"),"Submitted",IF(H659="interest","Interest","?"))))))))</f>
        <v>0</v>
      </c>
      <c r="AP659">
        <f>IF(OR(AN659=ReachLabel,AN659=LongshotLabel,AN659=HailMaryLabel),1,0)</f>
        <v>0</v>
      </c>
      <c r="AQ659">
        <f>IF(OR(AP659=1,AN659=MatchLabel),1,0)</f>
        <v>0</v>
      </c>
      <c r="AR659">
        <f>IF(OR(AN659=MatchLabel,AN659=SafetyLabel,AN659=SecureLabel,AN659=SureThingLabel),1,0)</f>
        <v>0</v>
      </c>
      <c r="AS659">
        <f>IF(OR(W659="H",W659="B",W659="I",W659="M"),IF(ISNUMBER(AB659),ROUND(AB659,2),0),IF(ISNUMBER(AA659),ROUND(AA659,2),0))</f>
        <v>0</v>
      </c>
      <c r="AT659">
        <f>IF(AS659&gt;=X659,1,0)</f>
        <v>0</v>
      </c>
      <c r="AU659">
        <f>IF(AS659&gt;=Y659,1,0)</f>
        <v>0</v>
      </c>
      <c r="AV659">
        <f>IF(AS659&lt;(X659-0.10),1,0)</f>
        <v>0</v>
      </c>
      <c r="AW659">
        <f>1-AM659/100</f>
        <v>0</v>
      </c>
      <c r="AX659">
        <f>IF(AQ659=1,AW659,1)</f>
        <v>0</v>
      </c>
      <c r="AY659">
        <f>IF(AP659=1,AW659,1)</f>
        <v>0</v>
      </c>
      <c r="AZ659">
        <f>IF(AND(AT659=1,ISNUMBER(AW659)),$AW659,1)</f>
        <v>0</v>
      </c>
      <c r="BA659">
        <f>IF(AND(AU659=1,ISNUMBER(AW659)),$AW659,1)</f>
        <v>0</v>
      </c>
      <c r="BB659">
        <f>IF(ISNUMBER(AB659),INDEX(AllCollegeMoney, MATCH(N659,AllCollegeNCES,0)),0)</f>
        <v>0</v>
      </c>
      <c r="BC659">
        <f>IF(AND(AT659=1,ISNUMBER(AW659),BB659=1),$AW659,1)</f>
        <v>0</v>
      </c>
      <c r="BD659">
        <f>IF(AND(AU659=1,ISNUMBER(AW659),BB659=1),$AW659,1)</f>
        <v>0</v>
      </c>
      <c r="BE659">
        <f>IF(ISNUMBER(AB659),INDEX(AllCollegeILPub, MATCH(N659,AllCollegeNCES,0)),0)</f>
        <v>0</v>
      </c>
      <c r="BF659">
        <f>IF(AN659=ReachLabel,AS659,0)</f>
        <v>0</v>
      </c>
      <c r="BG659">
        <f>IF(AN659=MatchLabel,AS659,0)</f>
        <v>0</v>
      </c>
      <c r="BH659">
        <f>IF(AN659=SafetyLabel,AS659,0)</f>
        <v>0</v>
      </c>
      <c r="BI659">
        <f>IF(AN659=SecureLabel,AS659,0)</f>
        <v>0</v>
      </c>
      <c r="BJ659">
        <f>IF(AN659=SureThingLabel,AS659,0)</f>
        <v>0</v>
      </c>
      <c r="BK659">
        <f>MAX(BF659:BJ659)</f>
        <v>0</v>
      </c>
      <c r="BL659">
        <f>MAX(BG659:BJ659)</f>
        <v>0</v>
      </c>
      <c r="BM659">
        <f>MAX(BH659:BJ659)</f>
        <v>0</v>
      </c>
      <c r="BN659">
        <f>IF(AND(AN659=ReachLabel,BB659=1),AS659,0)</f>
        <v>0</v>
      </c>
      <c r="BO659">
        <f>IF(AND(AN659=MatchLabel,BB659=1),AS659,0)</f>
        <v>0</v>
      </c>
      <c r="BP659">
        <f>IF(AND(AN659=SafetyLabel,BB659=1),AS659,0)</f>
        <v>0</v>
      </c>
      <c r="BQ659">
        <f>IF(AND(AN659=SecureLabel,BB659=1),AS659,0)</f>
        <v>0</v>
      </c>
      <c r="BR659">
        <f>IF(AND(AN659=SureThingLabel,BB659=1),AS659,0)</f>
        <v>0</v>
      </c>
      <c r="BS659">
        <f>MAX(BN659:BR659)</f>
        <v>0</v>
      </c>
      <c r="BT659">
        <f>MAX(BO659:BR659)</f>
        <v>0</v>
      </c>
      <c r="BU659">
        <f>MAX(BP659:BR659)</f>
        <v>0</v>
      </c>
      <c r="BV659">
        <f>IF(ISNUMBER(AB659),INDEX(AllCollegeChicago, MATCH(N659,AllCollegeNCES,0))*BB659,0)</f>
        <v>0</v>
      </c>
      <c r="BW659">
        <f>IF(ISNUMBER(AB659),INDEX(AllCollegeMoneyCode, MATCH(N659,AllCollegeNCES,0)),"?")</f>
        <v>0</v>
      </c>
      <c r="BX659">
        <f>IF(OR(BW659="---",BW659="--",BW659="+/--",BW659="+/---"),1,0)</f>
        <v>0</v>
      </c>
      <c r="BY659">
        <f>BB659*AR659*AT659</f>
        <v>0</v>
      </c>
    </row>
    <row r="660" spans="1:77">
      <c r="A660" t="s">
        <v>96</v>
      </c>
      <c r="B660">
        <v>24512354</v>
      </c>
      <c r="C660" t="s">
        <v>133</v>
      </c>
      <c r="D660" t="s">
        <v>134</v>
      </c>
      <c r="E660" t="s">
        <v>446</v>
      </c>
      <c r="F660" t="s">
        <v>447</v>
      </c>
      <c r="G660" t="s">
        <v>448</v>
      </c>
      <c r="H660" t="s">
        <v>449</v>
      </c>
      <c r="I660" t="s">
        <v>450</v>
      </c>
      <c r="J660" t="s">
        <v>450</v>
      </c>
      <c r="K660">
        <v>0</v>
      </c>
      <c r="L660" t="s">
        <v>446</v>
      </c>
      <c r="M660" t="s">
        <v>446</v>
      </c>
      <c r="N660">
        <v>148496</v>
      </c>
      <c r="O660">
        <f>INDEX(Counselor,MATCH(B660,KidIDs,0))</f>
        <v>0</v>
      </c>
      <c r="P660">
        <f>INDEX(Advisors,MATCH(B660,KidIDs,0))</f>
        <v>0</v>
      </c>
      <c r="Q660">
        <f>INDEX(Cohort,MATCH(B660,KidIDs,0))</f>
        <v>0</v>
      </c>
      <c r="R660">
        <f>INDEX(AllCollegeBarrons,MATCH(N660,AllCollegeNCES,0))</f>
        <v>0</v>
      </c>
      <c r="S660">
        <f>INDEX(KidGPAs,MATCH(B660,KidIDs,0))</f>
        <v>0</v>
      </c>
      <c r="T660">
        <f>INDEX(KidSATs,MATCH(B660,KidIDs,0))</f>
        <v>0</v>
      </c>
      <c r="U660">
        <f>INDEX(Strats,MATCH(B660,KidIDs,0))</f>
        <v>0</v>
      </c>
      <c r="V660">
        <f>INDEX(KidRace,MATCH(B660,KidIDs,0))</f>
        <v>0</v>
      </c>
      <c r="W660">
        <f>IF(OR(V660="M",V660="I"),"H",IF(V660="P","A",V660))</f>
        <v>0</v>
      </c>
      <c r="X660">
        <f>INDEX(StudentTargets,MATCH(B660,KidIDs,0))</f>
        <v>0</v>
      </c>
      <c r="Y660">
        <f>INDEX(ReachStudentTargets,MATCH(B660,KidIDs,0))</f>
        <v>0</v>
      </c>
      <c r="Z660">
        <f>IF(OR(M660="Posse"),1,0)</f>
        <v>0</v>
      </c>
      <c r="AA660">
        <f>IF(ISNUMBER(INDEX(AllCollegeGR, MATCH(N660,AllCollegeNCES,0))),ROUND(INDEX(AllCollegeGR, MATCH(N660,AllCollegeNCES,0))+Z660*IF(INDEX(AllCollegeGR, MATCH(N660,AllCollegeNCES,0))&gt;0.7,(1-INDEX(AllCollegeGR, MATCH(N660,AllCollegeNCES,0)))/2,0.15),2),INDEX(AllCollegeGR, MATCH(N660,AllCollegeNCES,0)))</f>
        <v>0</v>
      </c>
      <c r="AB660">
        <f>IF(ISNUMBER(INDEX(AllCollegeAAHGR, MATCH(N660,AllCollegeNCES,0))),ROUND(INDEX(AllCollegeAAHGR, MATCH(N660,AllCollegeNCES,0))+Z660*IF(INDEX(AllCollegeAAHGR, MATCH(N660,AllCollegeNCES,0))&gt;0.7,(1-INDEX(AllCollegeAAHGR, MATCH(N660,AllCollegeNCES,0)))/2,0.15),2),INDEX(AllCollegeAAHGR, MATCH(N660,AllCollegeNCES,0)))</f>
        <v>0</v>
      </c>
      <c r="AC660">
        <f>IF(OR(W660="H",W660="B"),INDEX(AllCollegeSAT25, MATCH(N660,AllCollegeNCES,0)),INDEX(AllCollegeSAT50, MATCH(N660,AllCollegeNCES,0)))</f>
        <v>0</v>
      </c>
      <c r="AD660">
        <f>INDEX(CustomWeightsGPA,MATCH(W660&amp;":"&amp;N660,CustomWeightsIndex,0))</f>
        <v>0</v>
      </c>
      <c r="AE660">
        <f>INDEX(CustomWeightsSAT,MATCH(W660&amp;":"&amp;N660,CustomWeightsIndex,0))</f>
        <v>0</v>
      </c>
      <c r="AF660">
        <f>INDEX(CustomWeightsIntercept,MATCH(W660&amp;":"&amp;N660,CustomWeightsIndex,0))</f>
        <v>0</v>
      </c>
      <c r="AG660">
        <f>AD660*S660+AE660*T660+AF660</f>
        <v>0</v>
      </c>
      <c r="AH660">
        <f>INDEX(CoefficientsGPA,MATCH(W660&amp;":"&amp;R660,CoefficientsIndex,0))</f>
        <v>0</v>
      </c>
      <c r="AI660">
        <f>INDEX(CoefficientsSAT,MATCH(W660&amp;":"&amp;R660,CoefficientsIndex,0))</f>
        <v>0</v>
      </c>
      <c r="AJ660">
        <f>INDEX(CoefficientsIntercept,MATCH(W660&amp;":"&amp;R660,CoefficientsIndex,0))</f>
        <v>0</v>
      </c>
      <c r="AK660">
        <f>AH660*S660+(T660-AC660)*AI660+AJ660</f>
        <v>0</v>
      </c>
      <c r="AL660">
        <f>IF(ISNUMBER(AG660),AG660,AK660)</f>
        <v>0</v>
      </c>
      <c r="AM660">
        <f>IF(ISNUMBER(AL660),IF(ISNUMBER(AH660),IF(AND(AH660=1,AI660=1,AJ660=1),100,MIN(99,ROUND(100*EXP(AL660)/(1+EXP(AL660)),2))),MIN(99,ROUND(100*EXP(AL660)/(1+EXP(AL660)),2))),IF(ISTEXT(R660),IF(LEFT(R660,1)="2",100,"N/A"),"N/A"))</f>
        <v>0</v>
      </c>
      <c r="AN660">
        <f>IF(ISNUMBER(AM660),IF(AM660&gt;=99,IF(OR(U660=10,U660=11),MatchLabel,SureThingLabel),IF(AM660&gt;=95,SecureLabel,IF(AM660&gt;=80,SafetyLabel,IF(AM660&gt;=50,MatchLabel,IF(AM660&gt;=20,ReachLabel,IF(AM660&gt;=10,LongshotLabel,HailMaryLabel)))))),"Other")</f>
        <v>0</v>
      </c>
      <c r="AO660">
        <f>IF(OR(I660="accepted",I660="cond. accept",I660="summer admit"),IF(J660="yes","CHOICE!","Accepted!"),IF(I660="guar. transfer","Guar. Xfer",IF(I660="denied","Denied",IF(K660=1,"Waitlist",IF(L660=1,"Deferred",IF(G660="pending","Pending",IF(OR(G660="initial materials submitted",G660="mid-year submitted",G660="final submitted"),"Submitted",IF(H660="interest","Interest","?"))))))))</f>
        <v>0</v>
      </c>
      <c r="AP660">
        <f>IF(OR(AN660=ReachLabel,AN660=LongshotLabel,AN660=HailMaryLabel),1,0)</f>
        <v>0</v>
      </c>
      <c r="AQ660">
        <f>IF(OR(AP660=1,AN660=MatchLabel),1,0)</f>
        <v>0</v>
      </c>
      <c r="AR660">
        <f>IF(OR(AN660=MatchLabel,AN660=SafetyLabel,AN660=SecureLabel,AN660=SureThingLabel),1,0)</f>
        <v>0</v>
      </c>
      <c r="AS660">
        <f>IF(OR(W660="H",W660="B",W660="I",W660="M"),IF(ISNUMBER(AB660),ROUND(AB660,2),0),IF(ISNUMBER(AA660),ROUND(AA660,2),0))</f>
        <v>0</v>
      </c>
      <c r="AT660">
        <f>IF(AS660&gt;=X660,1,0)</f>
        <v>0</v>
      </c>
      <c r="AU660">
        <f>IF(AS660&gt;=Y660,1,0)</f>
        <v>0</v>
      </c>
      <c r="AV660">
        <f>IF(AS660&lt;(X660-0.10),1,0)</f>
        <v>0</v>
      </c>
      <c r="AW660">
        <f>1-AM660/100</f>
        <v>0</v>
      </c>
      <c r="AX660">
        <f>IF(AQ660=1,AW660,1)</f>
        <v>0</v>
      </c>
      <c r="AY660">
        <f>IF(AP660=1,AW660,1)</f>
        <v>0</v>
      </c>
      <c r="AZ660">
        <f>IF(AND(AT660=1,ISNUMBER(AW660)),$AW660,1)</f>
        <v>0</v>
      </c>
      <c r="BA660">
        <f>IF(AND(AU660=1,ISNUMBER(AW660)),$AW660,1)</f>
        <v>0</v>
      </c>
      <c r="BB660">
        <f>IF(ISNUMBER(AB660),INDEX(AllCollegeMoney, MATCH(N660,AllCollegeNCES,0)),0)</f>
        <v>0</v>
      </c>
      <c r="BC660">
        <f>IF(AND(AT660=1,ISNUMBER(AW660),BB660=1),$AW660,1)</f>
        <v>0</v>
      </c>
      <c r="BD660">
        <f>IF(AND(AU660=1,ISNUMBER(AW660),BB660=1),$AW660,1)</f>
        <v>0</v>
      </c>
      <c r="BE660">
        <f>IF(ISNUMBER(AB660),INDEX(AllCollegeILPub, MATCH(N660,AllCollegeNCES,0)),0)</f>
        <v>0</v>
      </c>
      <c r="BF660">
        <f>IF(AN660=ReachLabel,AS660,0)</f>
        <v>0</v>
      </c>
      <c r="BG660">
        <f>IF(AN660=MatchLabel,AS660,0)</f>
        <v>0</v>
      </c>
      <c r="BH660">
        <f>IF(AN660=SafetyLabel,AS660,0)</f>
        <v>0</v>
      </c>
      <c r="BI660">
        <f>IF(AN660=SecureLabel,AS660,0)</f>
        <v>0</v>
      </c>
      <c r="BJ660">
        <f>IF(AN660=SureThingLabel,AS660,0)</f>
        <v>0</v>
      </c>
      <c r="BK660">
        <f>MAX(BF660:BJ660)</f>
        <v>0</v>
      </c>
      <c r="BL660">
        <f>MAX(BG660:BJ660)</f>
        <v>0</v>
      </c>
      <c r="BM660">
        <f>MAX(BH660:BJ660)</f>
        <v>0</v>
      </c>
      <c r="BN660">
        <f>IF(AND(AN660=ReachLabel,BB660=1),AS660,0)</f>
        <v>0</v>
      </c>
      <c r="BO660">
        <f>IF(AND(AN660=MatchLabel,BB660=1),AS660,0)</f>
        <v>0</v>
      </c>
      <c r="BP660">
        <f>IF(AND(AN660=SafetyLabel,BB660=1),AS660,0)</f>
        <v>0</v>
      </c>
      <c r="BQ660">
        <f>IF(AND(AN660=SecureLabel,BB660=1),AS660,0)</f>
        <v>0</v>
      </c>
      <c r="BR660">
        <f>IF(AND(AN660=SureThingLabel,BB660=1),AS660,0)</f>
        <v>0</v>
      </c>
      <c r="BS660">
        <f>MAX(BN660:BR660)</f>
        <v>0</v>
      </c>
      <c r="BT660">
        <f>MAX(BO660:BR660)</f>
        <v>0</v>
      </c>
      <c r="BU660">
        <f>MAX(BP660:BR660)</f>
        <v>0</v>
      </c>
      <c r="BV660">
        <f>IF(ISNUMBER(AB660),INDEX(AllCollegeChicago, MATCH(N660,AllCollegeNCES,0))*BB660,0)</f>
        <v>0</v>
      </c>
      <c r="BW660">
        <f>IF(ISNUMBER(AB660),INDEX(AllCollegeMoneyCode, MATCH(N660,AllCollegeNCES,0)),"?")</f>
        <v>0</v>
      </c>
      <c r="BX660">
        <f>IF(OR(BW660="---",BW660="--",BW660="+/--",BW660="+/---"),1,0)</f>
        <v>0</v>
      </c>
      <c r="BY660">
        <f>BB660*AR660*AT660</f>
        <v>0</v>
      </c>
    </row>
    <row r="661" spans="1:77">
      <c r="A661" t="s">
        <v>96</v>
      </c>
      <c r="B661">
        <v>24512354</v>
      </c>
      <c r="C661" t="s">
        <v>133</v>
      </c>
      <c r="D661" t="s">
        <v>134</v>
      </c>
      <c r="E661" t="s">
        <v>446</v>
      </c>
      <c r="F661" t="s">
        <v>477</v>
      </c>
      <c r="G661" t="s">
        <v>448</v>
      </c>
      <c r="H661" t="s">
        <v>449</v>
      </c>
      <c r="I661" t="s">
        <v>450</v>
      </c>
      <c r="J661" t="s">
        <v>450</v>
      </c>
      <c r="K661">
        <v>0</v>
      </c>
      <c r="L661" t="s">
        <v>446</v>
      </c>
      <c r="M661" t="s">
        <v>446</v>
      </c>
      <c r="N661">
        <v>146427</v>
      </c>
      <c r="O661">
        <f>INDEX(Counselor,MATCH(B661,KidIDs,0))</f>
        <v>0</v>
      </c>
      <c r="P661">
        <f>INDEX(Advisors,MATCH(B661,KidIDs,0))</f>
        <v>0</v>
      </c>
      <c r="Q661">
        <f>INDEX(Cohort,MATCH(B661,KidIDs,0))</f>
        <v>0</v>
      </c>
      <c r="R661">
        <f>INDEX(AllCollegeBarrons,MATCH(N661,AllCollegeNCES,0))</f>
        <v>0</v>
      </c>
      <c r="S661">
        <f>INDEX(KidGPAs,MATCH(B661,KidIDs,0))</f>
        <v>0</v>
      </c>
      <c r="T661">
        <f>INDEX(KidSATs,MATCH(B661,KidIDs,0))</f>
        <v>0</v>
      </c>
      <c r="U661">
        <f>INDEX(Strats,MATCH(B661,KidIDs,0))</f>
        <v>0</v>
      </c>
      <c r="V661">
        <f>INDEX(KidRace,MATCH(B661,KidIDs,0))</f>
        <v>0</v>
      </c>
      <c r="W661">
        <f>IF(OR(V661="M",V661="I"),"H",IF(V661="P","A",V661))</f>
        <v>0</v>
      </c>
      <c r="X661">
        <f>INDEX(StudentTargets,MATCH(B661,KidIDs,0))</f>
        <v>0</v>
      </c>
      <c r="Y661">
        <f>INDEX(ReachStudentTargets,MATCH(B661,KidIDs,0))</f>
        <v>0</v>
      </c>
      <c r="Z661">
        <f>IF(OR(M661="Posse"),1,0)</f>
        <v>0</v>
      </c>
      <c r="AA661">
        <f>IF(ISNUMBER(INDEX(AllCollegeGR, MATCH(N661,AllCollegeNCES,0))),ROUND(INDEX(AllCollegeGR, MATCH(N661,AllCollegeNCES,0))+Z661*IF(INDEX(AllCollegeGR, MATCH(N661,AllCollegeNCES,0))&gt;0.7,(1-INDEX(AllCollegeGR, MATCH(N661,AllCollegeNCES,0)))/2,0.15),2),INDEX(AllCollegeGR, MATCH(N661,AllCollegeNCES,0)))</f>
        <v>0</v>
      </c>
      <c r="AB661">
        <f>IF(ISNUMBER(INDEX(AllCollegeAAHGR, MATCH(N661,AllCollegeNCES,0))),ROUND(INDEX(AllCollegeAAHGR, MATCH(N661,AllCollegeNCES,0))+Z661*IF(INDEX(AllCollegeAAHGR, MATCH(N661,AllCollegeNCES,0))&gt;0.7,(1-INDEX(AllCollegeAAHGR, MATCH(N661,AllCollegeNCES,0)))/2,0.15),2),INDEX(AllCollegeAAHGR, MATCH(N661,AllCollegeNCES,0)))</f>
        <v>0</v>
      </c>
      <c r="AC661">
        <f>IF(OR(W661="H",W661="B"),INDEX(AllCollegeSAT25, MATCH(N661,AllCollegeNCES,0)),INDEX(AllCollegeSAT50, MATCH(N661,AllCollegeNCES,0)))</f>
        <v>0</v>
      </c>
      <c r="AD661">
        <f>INDEX(CustomWeightsGPA,MATCH(W661&amp;":"&amp;N661,CustomWeightsIndex,0))</f>
        <v>0</v>
      </c>
      <c r="AE661">
        <f>INDEX(CustomWeightsSAT,MATCH(W661&amp;":"&amp;N661,CustomWeightsIndex,0))</f>
        <v>0</v>
      </c>
      <c r="AF661">
        <f>INDEX(CustomWeightsIntercept,MATCH(W661&amp;":"&amp;N661,CustomWeightsIndex,0))</f>
        <v>0</v>
      </c>
      <c r="AG661">
        <f>AD661*S661+AE661*T661+AF661</f>
        <v>0</v>
      </c>
      <c r="AH661">
        <f>INDEX(CoefficientsGPA,MATCH(W661&amp;":"&amp;R661,CoefficientsIndex,0))</f>
        <v>0</v>
      </c>
      <c r="AI661">
        <f>INDEX(CoefficientsSAT,MATCH(W661&amp;":"&amp;R661,CoefficientsIndex,0))</f>
        <v>0</v>
      </c>
      <c r="AJ661">
        <f>INDEX(CoefficientsIntercept,MATCH(W661&amp;":"&amp;R661,CoefficientsIndex,0))</f>
        <v>0</v>
      </c>
      <c r="AK661">
        <f>AH661*S661+(T661-AC661)*AI661+AJ661</f>
        <v>0</v>
      </c>
      <c r="AL661">
        <f>IF(ISNUMBER(AG661),AG661,AK661)</f>
        <v>0</v>
      </c>
      <c r="AM661">
        <f>IF(ISNUMBER(AL661),IF(ISNUMBER(AH661),IF(AND(AH661=1,AI661=1,AJ661=1),100,MIN(99,ROUND(100*EXP(AL661)/(1+EXP(AL661)),2))),MIN(99,ROUND(100*EXP(AL661)/(1+EXP(AL661)),2))),IF(ISTEXT(R661),IF(LEFT(R661,1)="2",100,"N/A"),"N/A"))</f>
        <v>0</v>
      </c>
      <c r="AN661">
        <f>IF(ISNUMBER(AM661),IF(AM661&gt;=99,IF(OR(U661=10,U661=11),MatchLabel,SureThingLabel),IF(AM661&gt;=95,SecureLabel,IF(AM661&gt;=80,SafetyLabel,IF(AM661&gt;=50,MatchLabel,IF(AM661&gt;=20,ReachLabel,IF(AM661&gt;=10,LongshotLabel,HailMaryLabel)))))),"Other")</f>
        <v>0</v>
      </c>
      <c r="AO661">
        <f>IF(OR(I661="accepted",I661="cond. accept",I661="summer admit"),IF(J661="yes","CHOICE!","Accepted!"),IF(I661="guar. transfer","Guar. Xfer",IF(I661="denied","Denied",IF(K661=1,"Waitlist",IF(L661=1,"Deferred",IF(G661="pending","Pending",IF(OR(G661="initial materials submitted",G661="mid-year submitted",G661="final submitted"),"Submitted",IF(H661="interest","Interest","?"))))))))</f>
        <v>0</v>
      </c>
      <c r="AP661">
        <f>IF(OR(AN661=ReachLabel,AN661=LongshotLabel,AN661=HailMaryLabel),1,0)</f>
        <v>0</v>
      </c>
      <c r="AQ661">
        <f>IF(OR(AP661=1,AN661=MatchLabel),1,0)</f>
        <v>0</v>
      </c>
      <c r="AR661">
        <f>IF(OR(AN661=MatchLabel,AN661=SafetyLabel,AN661=SecureLabel,AN661=SureThingLabel),1,0)</f>
        <v>0</v>
      </c>
      <c r="AS661">
        <f>IF(OR(W661="H",W661="B",W661="I",W661="M"),IF(ISNUMBER(AB661),ROUND(AB661,2),0),IF(ISNUMBER(AA661),ROUND(AA661,2),0))</f>
        <v>0</v>
      </c>
      <c r="AT661">
        <f>IF(AS661&gt;=X661,1,0)</f>
        <v>0</v>
      </c>
      <c r="AU661">
        <f>IF(AS661&gt;=Y661,1,0)</f>
        <v>0</v>
      </c>
      <c r="AV661">
        <f>IF(AS661&lt;(X661-0.10),1,0)</f>
        <v>0</v>
      </c>
      <c r="AW661">
        <f>1-AM661/100</f>
        <v>0</v>
      </c>
      <c r="AX661">
        <f>IF(AQ661=1,AW661,1)</f>
        <v>0</v>
      </c>
      <c r="AY661">
        <f>IF(AP661=1,AW661,1)</f>
        <v>0</v>
      </c>
      <c r="AZ661">
        <f>IF(AND(AT661=1,ISNUMBER(AW661)),$AW661,1)</f>
        <v>0</v>
      </c>
      <c r="BA661">
        <f>IF(AND(AU661=1,ISNUMBER(AW661)),$AW661,1)</f>
        <v>0</v>
      </c>
      <c r="BB661">
        <f>IF(ISNUMBER(AB661),INDEX(AllCollegeMoney, MATCH(N661,AllCollegeNCES,0)),0)</f>
        <v>0</v>
      </c>
      <c r="BC661">
        <f>IF(AND(AT661=1,ISNUMBER(AW661),BB661=1),$AW661,1)</f>
        <v>0</v>
      </c>
      <c r="BD661">
        <f>IF(AND(AU661=1,ISNUMBER(AW661),BB661=1),$AW661,1)</f>
        <v>0</v>
      </c>
      <c r="BE661">
        <f>IF(ISNUMBER(AB661),INDEX(AllCollegeILPub, MATCH(N661,AllCollegeNCES,0)),0)</f>
        <v>0</v>
      </c>
      <c r="BF661">
        <f>IF(AN661=ReachLabel,AS661,0)</f>
        <v>0</v>
      </c>
      <c r="BG661">
        <f>IF(AN661=MatchLabel,AS661,0)</f>
        <v>0</v>
      </c>
      <c r="BH661">
        <f>IF(AN661=SafetyLabel,AS661,0)</f>
        <v>0</v>
      </c>
      <c r="BI661">
        <f>IF(AN661=SecureLabel,AS661,0)</f>
        <v>0</v>
      </c>
      <c r="BJ661">
        <f>IF(AN661=SureThingLabel,AS661,0)</f>
        <v>0</v>
      </c>
      <c r="BK661">
        <f>MAX(BF661:BJ661)</f>
        <v>0</v>
      </c>
      <c r="BL661">
        <f>MAX(BG661:BJ661)</f>
        <v>0</v>
      </c>
      <c r="BM661">
        <f>MAX(BH661:BJ661)</f>
        <v>0</v>
      </c>
      <c r="BN661">
        <f>IF(AND(AN661=ReachLabel,BB661=1),AS661,0)</f>
        <v>0</v>
      </c>
      <c r="BO661">
        <f>IF(AND(AN661=MatchLabel,BB661=1),AS661,0)</f>
        <v>0</v>
      </c>
      <c r="BP661">
        <f>IF(AND(AN661=SafetyLabel,BB661=1),AS661,0)</f>
        <v>0</v>
      </c>
      <c r="BQ661">
        <f>IF(AND(AN661=SecureLabel,BB661=1),AS661,0)</f>
        <v>0</v>
      </c>
      <c r="BR661">
        <f>IF(AND(AN661=SureThingLabel,BB661=1),AS661,0)</f>
        <v>0</v>
      </c>
      <c r="BS661">
        <f>MAX(BN661:BR661)</f>
        <v>0</v>
      </c>
      <c r="BT661">
        <f>MAX(BO661:BR661)</f>
        <v>0</v>
      </c>
      <c r="BU661">
        <f>MAX(BP661:BR661)</f>
        <v>0</v>
      </c>
      <c r="BV661">
        <f>IF(ISNUMBER(AB661),INDEX(AllCollegeChicago, MATCH(N661,AllCollegeNCES,0))*BB661,0)</f>
        <v>0</v>
      </c>
      <c r="BW661">
        <f>IF(ISNUMBER(AB661),INDEX(AllCollegeMoneyCode, MATCH(N661,AllCollegeNCES,0)),"?")</f>
        <v>0</v>
      </c>
      <c r="BX661">
        <f>IF(OR(BW661="---",BW661="--",BW661="+/--",BW661="+/---"),1,0)</f>
        <v>0</v>
      </c>
      <c r="BY661">
        <f>BB661*AR661*AT661</f>
        <v>0</v>
      </c>
    </row>
    <row r="662" spans="1:77">
      <c r="A662" t="s">
        <v>96</v>
      </c>
      <c r="B662">
        <v>24512354</v>
      </c>
      <c r="C662" t="s">
        <v>133</v>
      </c>
      <c r="D662" t="s">
        <v>134</v>
      </c>
      <c r="E662" t="s">
        <v>446</v>
      </c>
      <c r="F662" t="s">
        <v>535</v>
      </c>
      <c r="G662" t="s">
        <v>448</v>
      </c>
      <c r="H662" t="s">
        <v>449</v>
      </c>
      <c r="I662" t="s">
        <v>450</v>
      </c>
      <c r="J662" t="s">
        <v>450</v>
      </c>
      <c r="K662">
        <v>0</v>
      </c>
      <c r="L662" t="s">
        <v>446</v>
      </c>
      <c r="M662" t="s">
        <v>446</v>
      </c>
      <c r="N662">
        <v>146719</v>
      </c>
      <c r="O662">
        <f>INDEX(Counselor,MATCH(B662,KidIDs,0))</f>
        <v>0</v>
      </c>
      <c r="P662">
        <f>INDEX(Advisors,MATCH(B662,KidIDs,0))</f>
        <v>0</v>
      </c>
      <c r="Q662">
        <f>INDEX(Cohort,MATCH(B662,KidIDs,0))</f>
        <v>0</v>
      </c>
      <c r="R662">
        <f>INDEX(AllCollegeBarrons,MATCH(N662,AllCollegeNCES,0))</f>
        <v>0</v>
      </c>
      <c r="S662">
        <f>INDEX(KidGPAs,MATCH(B662,KidIDs,0))</f>
        <v>0</v>
      </c>
      <c r="T662">
        <f>INDEX(KidSATs,MATCH(B662,KidIDs,0))</f>
        <v>0</v>
      </c>
      <c r="U662">
        <f>INDEX(Strats,MATCH(B662,KidIDs,0))</f>
        <v>0</v>
      </c>
      <c r="V662">
        <f>INDEX(KidRace,MATCH(B662,KidIDs,0))</f>
        <v>0</v>
      </c>
      <c r="W662">
        <f>IF(OR(V662="M",V662="I"),"H",IF(V662="P","A",V662))</f>
        <v>0</v>
      </c>
      <c r="X662">
        <f>INDEX(StudentTargets,MATCH(B662,KidIDs,0))</f>
        <v>0</v>
      </c>
      <c r="Y662">
        <f>INDEX(ReachStudentTargets,MATCH(B662,KidIDs,0))</f>
        <v>0</v>
      </c>
      <c r="Z662">
        <f>IF(OR(M662="Posse"),1,0)</f>
        <v>0</v>
      </c>
      <c r="AA662">
        <f>IF(ISNUMBER(INDEX(AllCollegeGR, MATCH(N662,AllCollegeNCES,0))),ROUND(INDEX(AllCollegeGR, MATCH(N662,AllCollegeNCES,0))+Z662*IF(INDEX(AllCollegeGR, MATCH(N662,AllCollegeNCES,0))&gt;0.7,(1-INDEX(AllCollegeGR, MATCH(N662,AllCollegeNCES,0)))/2,0.15),2),INDEX(AllCollegeGR, MATCH(N662,AllCollegeNCES,0)))</f>
        <v>0</v>
      </c>
      <c r="AB662">
        <f>IF(ISNUMBER(INDEX(AllCollegeAAHGR, MATCH(N662,AllCollegeNCES,0))),ROUND(INDEX(AllCollegeAAHGR, MATCH(N662,AllCollegeNCES,0))+Z662*IF(INDEX(AllCollegeAAHGR, MATCH(N662,AllCollegeNCES,0))&gt;0.7,(1-INDEX(AllCollegeAAHGR, MATCH(N662,AllCollegeNCES,0)))/2,0.15),2),INDEX(AllCollegeAAHGR, MATCH(N662,AllCollegeNCES,0)))</f>
        <v>0</v>
      </c>
      <c r="AC662">
        <f>IF(OR(W662="H",W662="B"),INDEX(AllCollegeSAT25, MATCH(N662,AllCollegeNCES,0)),INDEX(AllCollegeSAT50, MATCH(N662,AllCollegeNCES,0)))</f>
        <v>0</v>
      </c>
      <c r="AD662">
        <f>INDEX(CustomWeightsGPA,MATCH(W662&amp;":"&amp;N662,CustomWeightsIndex,0))</f>
        <v>0</v>
      </c>
      <c r="AE662">
        <f>INDEX(CustomWeightsSAT,MATCH(W662&amp;":"&amp;N662,CustomWeightsIndex,0))</f>
        <v>0</v>
      </c>
      <c r="AF662">
        <f>INDEX(CustomWeightsIntercept,MATCH(W662&amp;":"&amp;N662,CustomWeightsIndex,0))</f>
        <v>0</v>
      </c>
      <c r="AG662">
        <f>AD662*S662+AE662*T662+AF662</f>
        <v>0</v>
      </c>
      <c r="AH662">
        <f>INDEX(CoefficientsGPA,MATCH(W662&amp;":"&amp;R662,CoefficientsIndex,0))</f>
        <v>0</v>
      </c>
      <c r="AI662">
        <f>INDEX(CoefficientsSAT,MATCH(W662&amp;":"&amp;R662,CoefficientsIndex,0))</f>
        <v>0</v>
      </c>
      <c r="AJ662">
        <f>INDEX(CoefficientsIntercept,MATCH(W662&amp;":"&amp;R662,CoefficientsIndex,0))</f>
        <v>0</v>
      </c>
      <c r="AK662">
        <f>AH662*S662+(T662-AC662)*AI662+AJ662</f>
        <v>0</v>
      </c>
      <c r="AL662">
        <f>IF(ISNUMBER(AG662),AG662,AK662)</f>
        <v>0</v>
      </c>
      <c r="AM662">
        <f>IF(ISNUMBER(AL662),IF(ISNUMBER(AH662),IF(AND(AH662=1,AI662=1,AJ662=1),100,MIN(99,ROUND(100*EXP(AL662)/(1+EXP(AL662)),2))),MIN(99,ROUND(100*EXP(AL662)/(1+EXP(AL662)),2))),IF(ISTEXT(R662),IF(LEFT(R662,1)="2",100,"N/A"),"N/A"))</f>
        <v>0</v>
      </c>
      <c r="AN662">
        <f>IF(ISNUMBER(AM662),IF(AM662&gt;=99,IF(OR(U662=10,U662=11),MatchLabel,SureThingLabel),IF(AM662&gt;=95,SecureLabel,IF(AM662&gt;=80,SafetyLabel,IF(AM662&gt;=50,MatchLabel,IF(AM662&gt;=20,ReachLabel,IF(AM662&gt;=10,LongshotLabel,HailMaryLabel)))))),"Other")</f>
        <v>0</v>
      </c>
      <c r="AO662">
        <f>IF(OR(I662="accepted",I662="cond. accept",I662="summer admit"),IF(J662="yes","CHOICE!","Accepted!"),IF(I662="guar. transfer","Guar. Xfer",IF(I662="denied","Denied",IF(K662=1,"Waitlist",IF(L662=1,"Deferred",IF(G662="pending","Pending",IF(OR(G662="initial materials submitted",G662="mid-year submitted",G662="final submitted"),"Submitted",IF(H662="interest","Interest","?"))))))))</f>
        <v>0</v>
      </c>
      <c r="AP662">
        <f>IF(OR(AN662=ReachLabel,AN662=LongshotLabel,AN662=HailMaryLabel),1,0)</f>
        <v>0</v>
      </c>
      <c r="AQ662">
        <f>IF(OR(AP662=1,AN662=MatchLabel),1,0)</f>
        <v>0</v>
      </c>
      <c r="AR662">
        <f>IF(OR(AN662=MatchLabel,AN662=SafetyLabel,AN662=SecureLabel,AN662=SureThingLabel),1,0)</f>
        <v>0</v>
      </c>
      <c r="AS662">
        <f>IF(OR(W662="H",W662="B",W662="I",W662="M"),IF(ISNUMBER(AB662),ROUND(AB662,2),0),IF(ISNUMBER(AA662),ROUND(AA662,2),0))</f>
        <v>0</v>
      </c>
      <c r="AT662">
        <f>IF(AS662&gt;=X662,1,0)</f>
        <v>0</v>
      </c>
      <c r="AU662">
        <f>IF(AS662&gt;=Y662,1,0)</f>
        <v>0</v>
      </c>
      <c r="AV662">
        <f>IF(AS662&lt;(X662-0.10),1,0)</f>
        <v>0</v>
      </c>
      <c r="AW662">
        <f>1-AM662/100</f>
        <v>0</v>
      </c>
      <c r="AX662">
        <f>IF(AQ662=1,AW662,1)</f>
        <v>0</v>
      </c>
      <c r="AY662">
        <f>IF(AP662=1,AW662,1)</f>
        <v>0</v>
      </c>
      <c r="AZ662">
        <f>IF(AND(AT662=1,ISNUMBER(AW662)),$AW662,1)</f>
        <v>0</v>
      </c>
      <c r="BA662">
        <f>IF(AND(AU662=1,ISNUMBER(AW662)),$AW662,1)</f>
        <v>0</v>
      </c>
      <c r="BB662">
        <f>IF(ISNUMBER(AB662),INDEX(AllCollegeMoney, MATCH(N662,AllCollegeNCES,0)),0)</f>
        <v>0</v>
      </c>
      <c r="BC662">
        <f>IF(AND(AT662=1,ISNUMBER(AW662),BB662=1),$AW662,1)</f>
        <v>0</v>
      </c>
      <c r="BD662">
        <f>IF(AND(AU662=1,ISNUMBER(AW662),BB662=1),$AW662,1)</f>
        <v>0</v>
      </c>
      <c r="BE662">
        <f>IF(ISNUMBER(AB662),INDEX(AllCollegeILPub, MATCH(N662,AllCollegeNCES,0)),0)</f>
        <v>0</v>
      </c>
      <c r="BF662">
        <f>IF(AN662=ReachLabel,AS662,0)</f>
        <v>0</v>
      </c>
      <c r="BG662">
        <f>IF(AN662=MatchLabel,AS662,0)</f>
        <v>0</v>
      </c>
      <c r="BH662">
        <f>IF(AN662=SafetyLabel,AS662,0)</f>
        <v>0</v>
      </c>
      <c r="BI662">
        <f>IF(AN662=SecureLabel,AS662,0)</f>
        <v>0</v>
      </c>
      <c r="BJ662">
        <f>IF(AN662=SureThingLabel,AS662,0)</f>
        <v>0</v>
      </c>
      <c r="BK662">
        <f>MAX(BF662:BJ662)</f>
        <v>0</v>
      </c>
      <c r="BL662">
        <f>MAX(BG662:BJ662)</f>
        <v>0</v>
      </c>
      <c r="BM662">
        <f>MAX(BH662:BJ662)</f>
        <v>0</v>
      </c>
      <c r="BN662">
        <f>IF(AND(AN662=ReachLabel,BB662=1),AS662,0)</f>
        <v>0</v>
      </c>
      <c r="BO662">
        <f>IF(AND(AN662=MatchLabel,BB662=1),AS662,0)</f>
        <v>0</v>
      </c>
      <c r="BP662">
        <f>IF(AND(AN662=SafetyLabel,BB662=1),AS662,0)</f>
        <v>0</v>
      </c>
      <c r="BQ662">
        <f>IF(AND(AN662=SecureLabel,BB662=1),AS662,0)</f>
        <v>0</v>
      </c>
      <c r="BR662">
        <f>IF(AND(AN662=SureThingLabel,BB662=1),AS662,0)</f>
        <v>0</v>
      </c>
      <c r="BS662">
        <f>MAX(BN662:BR662)</f>
        <v>0</v>
      </c>
      <c r="BT662">
        <f>MAX(BO662:BR662)</f>
        <v>0</v>
      </c>
      <c r="BU662">
        <f>MAX(BP662:BR662)</f>
        <v>0</v>
      </c>
      <c r="BV662">
        <f>IF(ISNUMBER(AB662),INDEX(AllCollegeChicago, MATCH(N662,AllCollegeNCES,0))*BB662,0)</f>
        <v>0</v>
      </c>
      <c r="BW662">
        <f>IF(ISNUMBER(AB662),INDEX(AllCollegeMoneyCode, MATCH(N662,AllCollegeNCES,0)),"?")</f>
        <v>0</v>
      </c>
      <c r="BX662">
        <f>IF(OR(BW662="---",BW662="--",BW662="+/--",BW662="+/---"),1,0)</f>
        <v>0</v>
      </c>
      <c r="BY662">
        <f>BB662*AR662*AT662</f>
        <v>0</v>
      </c>
    </row>
    <row r="663" spans="1:77">
      <c r="A663" t="s">
        <v>96</v>
      </c>
      <c r="B663">
        <v>24512354</v>
      </c>
      <c r="C663" t="s">
        <v>133</v>
      </c>
      <c r="D663" t="s">
        <v>134</v>
      </c>
      <c r="E663" t="s">
        <v>446</v>
      </c>
      <c r="F663" t="s">
        <v>501</v>
      </c>
      <c r="G663" t="s">
        <v>448</v>
      </c>
      <c r="H663" t="s">
        <v>449</v>
      </c>
      <c r="I663" t="s">
        <v>450</v>
      </c>
      <c r="J663" t="s">
        <v>450</v>
      </c>
      <c r="K663">
        <v>0</v>
      </c>
      <c r="L663" t="s">
        <v>446</v>
      </c>
      <c r="M663" t="s">
        <v>446</v>
      </c>
      <c r="N663">
        <v>144740</v>
      </c>
      <c r="O663">
        <f>INDEX(Counselor,MATCH(B663,KidIDs,0))</f>
        <v>0</v>
      </c>
      <c r="P663">
        <f>INDEX(Advisors,MATCH(B663,KidIDs,0))</f>
        <v>0</v>
      </c>
      <c r="Q663">
        <f>INDEX(Cohort,MATCH(B663,KidIDs,0))</f>
        <v>0</v>
      </c>
      <c r="R663">
        <f>INDEX(AllCollegeBarrons,MATCH(N663,AllCollegeNCES,0))</f>
        <v>0</v>
      </c>
      <c r="S663">
        <f>INDEX(KidGPAs,MATCH(B663,KidIDs,0))</f>
        <v>0</v>
      </c>
      <c r="T663">
        <f>INDEX(KidSATs,MATCH(B663,KidIDs,0))</f>
        <v>0</v>
      </c>
      <c r="U663">
        <f>INDEX(Strats,MATCH(B663,KidIDs,0))</f>
        <v>0</v>
      </c>
      <c r="V663">
        <f>INDEX(KidRace,MATCH(B663,KidIDs,0))</f>
        <v>0</v>
      </c>
      <c r="W663">
        <f>IF(OR(V663="M",V663="I"),"H",IF(V663="P","A",V663))</f>
        <v>0</v>
      </c>
      <c r="X663">
        <f>INDEX(StudentTargets,MATCH(B663,KidIDs,0))</f>
        <v>0</v>
      </c>
      <c r="Y663">
        <f>INDEX(ReachStudentTargets,MATCH(B663,KidIDs,0))</f>
        <v>0</v>
      </c>
      <c r="Z663">
        <f>IF(OR(M663="Posse"),1,0)</f>
        <v>0</v>
      </c>
      <c r="AA663">
        <f>IF(ISNUMBER(INDEX(AllCollegeGR, MATCH(N663,AllCollegeNCES,0))),ROUND(INDEX(AllCollegeGR, MATCH(N663,AllCollegeNCES,0))+Z663*IF(INDEX(AllCollegeGR, MATCH(N663,AllCollegeNCES,0))&gt;0.7,(1-INDEX(AllCollegeGR, MATCH(N663,AllCollegeNCES,0)))/2,0.15),2),INDEX(AllCollegeGR, MATCH(N663,AllCollegeNCES,0)))</f>
        <v>0</v>
      </c>
      <c r="AB663">
        <f>IF(ISNUMBER(INDEX(AllCollegeAAHGR, MATCH(N663,AllCollegeNCES,0))),ROUND(INDEX(AllCollegeAAHGR, MATCH(N663,AllCollegeNCES,0))+Z663*IF(INDEX(AllCollegeAAHGR, MATCH(N663,AllCollegeNCES,0))&gt;0.7,(1-INDEX(AllCollegeAAHGR, MATCH(N663,AllCollegeNCES,0)))/2,0.15),2),INDEX(AllCollegeAAHGR, MATCH(N663,AllCollegeNCES,0)))</f>
        <v>0</v>
      </c>
      <c r="AC663">
        <f>IF(OR(W663="H",W663="B"),INDEX(AllCollegeSAT25, MATCH(N663,AllCollegeNCES,0)),INDEX(AllCollegeSAT50, MATCH(N663,AllCollegeNCES,0)))</f>
        <v>0</v>
      </c>
      <c r="AD663">
        <f>INDEX(CustomWeightsGPA,MATCH(W663&amp;":"&amp;N663,CustomWeightsIndex,0))</f>
        <v>0</v>
      </c>
      <c r="AE663">
        <f>INDEX(CustomWeightsSAT,MATCH(W663&amp;":"&amp;N663,CustomWeightsIndex,0))</f>
        <v>0</v>
      </c>
      <c r="AF663">
        <f>INDEX(CustomWeightsIntercept,MATCH(W663&amp;":"&amp;N663,CustomWeightsIndex,0))</f>
        <v>0</v>
      </c>
      <c r="AG663">
        <f>AD663*S663+AE663*T663+AF663</f>
        <v>0</v>
      </c>
      <c r="AH663">
        <f>INDEX(CoefficientsGPA,MATCH(W663&amp;":"&amp;R663,CoefficientsIndex,0))</f>
        <v>0</v>
      </c>
      <c r="AI663">
        <f>INDEX(CoefficientsSAT,MATCH(W663&amp;":"&amp;R663,CoefficientsIndex,0))</f>
        <v>0</v>
      </c>
      <c r="AJ663">
        <f>INDEX(CoefficientsIntercept,MATCH(W663&amp;":"&amp;R663,CoefficientsIndex,0))</f>
        <v>0</v>
      </c>
      <c r="AK663">
        <f>AH663*S663+(T663-AC663)*AI663+AJ663</f>
        <v>0</v>
      </c>
      <c r="AL663">
        <f>IF(ISNUMBER(AG663),AG663,AK663)</f>
        <v>0</v>
      </c>
      <c r="AM663">
        <f>IF(ISNUMBER(AL663),IF(ISNUMBER(AH663),IF(AND(AH663=1,AI663=1,AJ663=1),100,MIN(99,ROUND(100*EXP(AL663)/(1+EXP(AL663)),2))),MIN(99,ROUND(100*EXP(AL663)/(1+EXP(AL663)),2))),IF(ISTEXT(R663),IF(LEFT(R663,1)="2",100,"N/A"),"N/A"))</f>
        <v>0</v>
      </c>
      <c r="AN663">
        <f>IF(ISNUMBER(AM663),IF(AM663&gt;=99,IF(OR(U663=10,U663=11),MatchLabel,SureThingLabel),IF(AM663&gt;=95,SecureLabel,IF(AM663&gt;=80,SafetyLabel,IF(AM663&gt;=50,MatchLabel,IF(AM663&gt;=20,ReachLabel,IF(AM663&gt;=10,LongshotLabel,HailMaryLabel)))))),"Other")</f>
        <v>0</v>
      </c>
      <c r="AO663">
        <f>IF(OR(I663="accepted",I663="cond. accept",I663="summer admit"),IF(J663="yes","CHOICE!","Accepted!"),IF(I663="guar. transfer","Guar. Xfer",IF(I663="denied","Denied",IF(K663=1,"Waitlist",IF(L663=1,"Deferred",IF(G663="pending","Pending",IF(OR(G663="initial materials submitted",G663="mid-year submitted",G663="final submitted"),"Submitted",IF(H663="interest","Interest","?"))))))))</f>
        <v>0</v>
      </c>
      <c r="AP663">
        <f>IF(OR(AN663=ReachLabel,AN663=LongshotLabel,AN663=HailMaryLabel),1,0)</f>
        <v>0</v>
      </c>
      <c r="AQ663">
        <f>IF(OR(AP663=1,AN663=MatchLabel),1,0)</f>
        <v>0</v>
      </c>
      <c r="AR663">
        <f>IF(OR(AN663=MatchLabel,AN663=SafetyLabel,AN663=SecureLabel,AN663=SureThingLabel),1,0)</f>
        <v>0</v>
      </c>
      <c r="AS663">
        <f>IF(OR(W663="H",W663="B",W663="I",W663="M"),IF(ISNUMBER(AB663),ROUND(AB663,2),0),IF(ISNUMBER(AA663),ROUND(AA663,2),0))</f>
        <v>0</v>
      </c>
      <c r="AT663">
        <f>IF(AS663&gt;=X663,1,0)</f>
        <v>0</v>
      </c>
      <c r="AU663">
        <f>IF(AS663&gt;=Y663,1,0)</f>
        <v>0</v>
      </c>
      <c r="AV663">
        <f>IF(AS663&lt;(X663-0.10),1,0)</f>
        <v>0</v>
      </c>
      <c r="AW663">
        <f>1-AM663/100</f>
        <v>0</v>
      </c>
      <c r="AX663">
        <f>IF(AQ663=1,AW663,1)</f>
        <v>0</v>
      </c>
      <c r="AY663">
        <f>IF(AP663=1,AW663,1)</f>
        <v>0</v>
      </c>
      <c r="AZ663">
        <f>IF(AND(AT663=1,ISNUMBER(AW663)),$AW663,1)</f>
        <v>0</v>
      </c>
      <c r="BA663">
        <f>IF(AND(AU663=1,ISNUMBER(AW663)),$AW663,1)</f>
        <v>0</v>
      </c>
      <c r="BB663">
        <f>IF(ISNUMBER(AB663),INDEX(AllCollegeMoney, MATCH(N663,AllCollegeNCES,0)),0)</f>
        <v>0</v>
      </c>
      <c r="BC663">
        <f>IF(AND(AT663=1,ISNUMBER(AW663),BB663=1),$AW663,1)</f>
        <v>0</v>
      </c>
      <c r="BD663">
        <f>IF(AND(AU663=1,ISNUMBER(AW663),BB663=1),$AW663,1)</f>
        <v>0</v>
      </c>
      <c r="BE663">
        <f>IF(ISNUMBER(AB663),INDEX(AllCollegeILPub, MATCH(N663,AllCollegeNCES,0)),0)</f>
        <v>0</v>
      </c>
      <c r="BF663">
        <f>IF(AN663=ReachLabel,AS663,0)</f>
        <v>0</v>
      </c>
      <c r="BG663">
        <f>IF(AN663=MatchLabel,AS663,0)</f>
        <v>0</v>
      </c>
      <c r="BH663">
        <f>IF(AN663=SafetyLabel,AS663,0)</f>
        <v>0</v>
      </c>
      <c r="BI663">
        <f>IF(AN663=SecureLabel,AS663,0)</f>
        <v>0</v>
      </c>
      <c r="BJ663">
        <f>IF(AN663=SureThingLabel,AS663,0)</f>
        <v>0</v>
      </c>
      <c r="BK663">
        <f>MAX(BF663:BJ663)</f>
        <v>0</v>
      </c>
      <c r="BL663">
        <f>MAX(BG663:BJ663)</f>
        <v>0</v>
      </c>
      <c r="BM663">
        <f>MAX(BH663:BJ663)</f>
        <v>0</v>
      </c>
      <c r="BN663">
        <f>IF(AND(AN663=ReachLabel,BB663=1),AS663,0)</f>
        <v>0</v>
      </c>
      <c r="BO663">
        <f>IF(AND(AN663=MatchLabel,BB663=1),AS663,0)</f>
        <v>0</v>
      </c>
      <c r="BP663">
        <f>IF(AND(AN663=SafetyLabel,BB663=1),AS663,0)</f>
        <v>0</v>
      </c>
      <c r="BQ663">
        <f>IF(AND(AN663=SecureLabel,BB663=1),AS663,0)</f>
        <v>0</v>
      </c>
      <c r="BR663">
        <f>IF(AND(AN663=SureThingLabel,BB663=1),AS663,0)</f>
        <v>0</v>
      </c>
      <c r="BS663">
        <f>MAX(BN663:BR663)</f>
        <v>0</v>
      </c>
      <c r="BT663">
        <f>MAX(BO663:BR663)</f>
        <v>0</v>
      </c>
      <c r="BU663">
        <f>MAX(BP663:BR663)</f>
        <v>0</v>
      </c>
      <c r="BV663">
        <f>IF(ISNUMBER(AB663),INDEX(AllCollegeChicago, MATCH(N663,AllCollegeNCES,0))*BB663,0)</f>
        <v>0</v>
      </c>
      <c r="BW663">
        <f>IF(ISNUMBER(AB663),INDEX(AllCollegeMoneyCode, MATCH(N663,AllCollegeNCES,0)),"?")</f>
        <v>0</v>
      </c>
      <c r="BX663">
        <f>IF(OR(BW663="---",BW663="--",BW663="+/--",BW663="+/---"),1,0)</f>
        <v>0</v>
      </c>
      <c r="BY663">
        <f>BB663*AR663*AT663</f>
        <v>0</v>
      </c>
    </row>
    <row r="664" spans="1:77">
      <c r="A664" t="s">
        <v>96</v>
      </c>
      <c r="B664">
        <v>24512354</v>
      </c>
      <c r="C664" t="s">
        <v>133</v>
      </c>
      <c r="D664" t="s">
        <v>134</v>
      </c>
      <c r="E664" t="s">
        <v>446</v>
      </c>
      <c r="F664" t="s">
        <v>478</v>
      </c>
      <c r="G664" t="s">
        <v>479</v>
      </c>
      <c r="H664" t="s">
        <v>449</v>
      </c>
      <c r="I664" t="s">
        <v>450</v>
      </c>
      <c r="J664" t="s">
        <v>450</v>
      </c>
      <c r="K664">
        <v>0</v>
      </c>
      <c r="L664" t="s">
        <v>446</v>
      </c>
      <c r="M664" t="s">
        <v>446</v>
      </c>
      <c r="N664">
        <v>168546</v>
      </c>
      <c r="O664">
        <f>INDEX(Counselor,MATCH(B664,KidIDs,0))</f>
        <v>0</v>
      </c>
      <c r="P664">
        <f>INDEX(Advisors,MATCH(B664,KidIDs,0))</f>
        <v>0</v>
      </c>
      <c r="Q664">
        <f>INDEX(Cohort,MATCH(B664,KidIDs,0))</f>
        <v>0</v>
      </c>
      <c r="R664">
        <f>INDEX(AllCollegeBarrons,MATCH(N664,AllCollegeNCES,0))</f>
        <v>0</v>
      </c>
      <c r="S664">
        <f>INDEX(KidGPAs,MATCH(B664,KidIDs,0))</f>
        <v>0</v>
      </c>
      <c r="T664">
        <f>INDEX(KidSATs,MATCH(B664,KidIDs,0))</f>
        <v>0</v>
      </c>
      <c r="U664">
        <f>INDEX(Strats,MATCH(B664,KidIDs,0))</f>
        <v>0</v>
      </c>
      <c r="V664">
        <f>INDEX(KidRace,MATCH(B664,KidIDs,0))</f>
        <v>0</v>
      </c>
      <c r="W664">
        <f>IF(OR(V664="M",V664="I"),"H",IF(V664="P","A",V664))</f>
        <v>0</v>
      </c>
      <c r="X664">
        <f>INDEX(StudentTargets,MATCH(B664,KidIDs,0))</f>
        <v>0</v>
      </c>
      <c r="Y664">
        <f>INDEX(ReachStudentTargets,MATCH(B664,KidIDs,0))</f>
        <v>0</v>
      </c>
      <c r="Z664">
        <f>IF(OR(M664="Posse"),1,0)</f>
        <v>0</v>
      </c>
      <c r="AA664">
        <f>IF(ISNUMBER(INDEX(AllCollegeGR, MATCH(N664,AllCollegeNCES,0))),ROUND(INDEX(AllCollegeGR, MATCH(N664,AllCollegeNCES,0))+Z664*IF(INDEX(AllCollegeGR, MATCH(N664,AllCollegeNCES,0))&gt;0.7,(1-INDEX(AllCollegeGR, MATCH(N664,AllCollegeNCES,0)))/2,0.15),2),INDEX(AllCollegeGR, MATCH(N664,AllCollegeNCES,0)))</f>
        <v>0</v>
      </c>
      <c r="AB664">
        <f>IF(ISNUMBER(INDEX(AllCollegeAAHGR, MATCH(N664,AllCollegeNCES,0))),ROUND(INDEX(AllCollegeAAHGR, MATCH(N664,AllCollegeNCES,0))+Z664*IF(INDEX(AllCollegeAAHGR, MATCH(N664,AllCollegeNCES,0))&gt;0.7,(1-INDEX(AllCollegeAAHGR, MATCH(N664,AllCollegeNCES,0)))/2,0.15),2),INDEX(AllCollegeAAHGR, MATCH(N664,AllCollegeNCES,0)))</f>
        <v>0</v>
      </c>
      <c r="AC664">
        <f>IF(OR(W664="H",W664="B"),INDEX(AllCollegeSAT25, MATCH(N664,AllCollegeNCES,0)),INDEX(AllCollegeSAT50, MATCH(N664,AllCollegeNCES,0)))</f>
        <v>0</v>
      </c>
      <c r="AD664">
        <f>INDEX(CustomWeightsGPA,MATCH(W664&amp;":"&amp;N664,CustomWeightsIndex,0))</f>
        <v>0</v>
      </c>
      <c r="AE664">
        <f>INDEX(CustomWeightsSAT,MATCH(W664&amp;":"&amp;N664,CustomWeightsIndex,0))</f>
        <v>0</v>
      </c>
      <c r="AF664">
        <f>INDEX(CustomWeightsIntercept,MATCH(W664&amp;":"&amp;N664,CustomWeightsIndex,0))</f>
        <v>0</v>
      </c>
      <c r="AG664">
        <f>AD664*S664+AE664*T664+AF664</f>
        <v>0</v>
      </c>
      <c r="AH664">
        <f>INDEX(CoefficientsGPA,MATCH(W664&amp;":"&amp;R664,CoefficientsIndex,0))</f>
        <v>0</v>
      </c>
      <c r="AI664">
        <f>INDEX(CoefficientsSAT,MATCH(W664&amp;":"&amp;R664,CoefficientsIndex,0))</f>
        <v>0</v>
      </c>
      <c r="AJ664">
        <f>INDEX(CoefficientsIntercept,MATCH(W664&amp;":"&amp;R664,CoefficientsIndex,0))</f>
        <v>0</v>
      </c>
      <c r="AK664">
        <f>AH664*S664+(T664-AC664)*AI664+AJ664</f>
        <v>0</v>
      </c>
      <c r="AL664">
        <f>IF(ISNUMBER(AG664),AG664,AK664)</f>
        <v>0</v>
      </c>
      <c r="AM664">
        <f>IF(ISNUMBER(AL664),IF(ISNUMBER(AH664),IF(AND(AH664=1,AI664=1,AJ664=1),100,MIN(99,ROUND(100*EXP(AL664)/(1+EXP(AL664)),2))),MIN(99,ROUND(100*EXP(AL664)/(1+EXP(AL664)),2))),IF(ISTEXT(R664),IF(LEFT(R664,1)="2",100,"N/A"),"N/A"))</f>
        <v>0</v>
      </c>
      <c r="AN664">
        <f>IF(ISNUMBER(AM664),IF(AM664&gt;=99,IF(OR(U664=10,U664=11),MatchLabel,SureThingLabel),IF(AM664&gt;=95,SecureLabel,IF(AM664&gt;=80,SafetyLabel,IF(AM664&gt;=50,MatchLabel,IF(AM664&gt;=20,ReachLabel,IF(AM664&gt;=10,LongshotLabel,HailMaryLabel)))))),"Other")</f>
        <v>0</v>
      </c>
      <c r="AO664">
        <f>IF(OR(I664="accepted",I664="cond. accept",I664="summer admit"),IF(J664="yes","CHOICE!","Accepted!"),IF(I664="guar. transfer","Guar. Xfer",IF(I664="denied","Denied",IF(K664=1,"Waitlist",IF(L664=1,"Deferred",IF(G664="pending","Pending",IF(OR(G664="initial materials submitted",G664="mid-year submitted",G664="final submitted"),"Submitted",IF(H664="interest","Interest","?"))))))))</f>
        <v>0</v>
      </c>
      <c r="AP664">
        <f>IF(OR(AN664=ReachLabel,AN664=LongshotLabel,AN664=HailMaryLabel),1,0)</f>
        <v>0</v>
      </c>
      <c r="AQ664">
        <f>IF(OR(AP664=1,AN664=MatchLabel),1,0)</f>
        <v>0</v>
      </c>
      <c r="AR664">
        <f>IF(OR(AN664=MatchLabel,AN664=SafetyLabel,AN664=SecureLabel,AN664=SureThingLabel),1,0)</f>
        <v>0</v>
      </c>
      <c r="AS664">
        <f>IF(OR(W664="H",W664="B",W664="I",W664="M"),IF(ISNUMBER(AB664),ROUND(AB664,2),0),IF(ISNUMBER(AA664),ROUND(AA664,2),0))</f>
        <v>0</v>
      </c>
      <c r="AT664">
        <f>IF(AS664&gt;=X664,1,0)</f>
        <v>0</v>
      </c>
      <c r="AU664">
        <f>IF(AS664&gt;=Y664,1,0)</f>
        <v>0</v>
      </c>
      <c r="AV664">
        <f>IF(AS664&lt;(X664-0.10),1,0)</f>
        <v>0</v>
      </c>
      <c r="AW664">
        <f>1-AM664/100</f>
        <v>0</v>
      </c>
      <c r="AX664">
        <f>IF(AQ664=1,AW664,1)</f>
        <v>0</v>
      </c>
      <c r="AY664">
        <f>IF(AP664=1,AW664,1)</f>
        <v>0</v>
      </c>
      <c r="AZ664">
        <f>IF(AND(AT664=1,ISNUMBER(AW664)),$AW664,1)</f>
        <v>0</v>
      </c>
      <c r="BA664">
        <f>IF(AND(AU664=1,ISNUMBER(AW664)),$AW664,1)</f>
        <v>0</v>
      </c>
      <c r="BB664">
        <f>IF(ISNUMBER(AB664),INDEX(AllCollegeMoney, MATCH(N664,AllCollegeNCES,0)),0)</f>
        <v>0</v>
      </c>
      <c r="BC664">
        <f>IF(AND(AT664=1,ISNUMBER(AW664),BB664=1),$AW664,1)</f>
        <v>0</v>
      </c>
      <c r="BD664">
        <f>IF(AND(AU664=1,ISNUMBER(AW664),BB664=1),$AW664,1)</f>
        <v>0</v>
      </c>
      <c r="BE664">
        <f>IF(ISNUMBER(AB664),INDEX(AllCollegeILPub, MATCH(N664,AllCollegeNCES,0)),0)</f>
        <v>0</v>
      </c>
      <c r="BF664">
        <f>IF(AN664=ReachLabel,AS664,0)</f>
        <v>0</v>
      </c>
      <c r="BG664">
        <f>IF(AN664=MatchLabel,AS664,0)</f>
        <v>0</v>
      </c>
      <c r="BH664">
        <f>IF(AN664=SafetyLabel,AS664,0)</f>
        <v>0</v>
      </c>
      <c r="BI664">
        <f>IF(AN664=SecureLabel,AS664,0)</f>
        <v>0</v>
      </c>
      <c r="BJ664">
        <f>IF(AN664=SureThingLabel,AS664,0)</f>
        <v>0</v>
      </c>
      <c r="BK664">
        <f>MAX(BF664:BJ664)</f>
        <v>0</v>
      </c>
      <c r="BL664">
        <f>MAX(BG664:BJ664)</f>
        <v>0</v>
      </c>
      <c r="BM664">
        <f>MAX(BH664:BJ664)</f>
        <v>0</v>
      </c>
      <c r="BN664">
        <f>IF(AND(AN664=ReachLabel,BB664=1),AS664,0)</f>
        <v>0</v>
      </c>
      <c r="BO664">
        <f>IF(AND(AN664=MatchLabel,BB664=1),AS664,0)</f>
        <v>0</v>
      </c>
      <c r="BP664">
        <f>IF(AND(AN664=SafetyLabel,BB664=1),AS664,0)</f>
        <v>0</v>
      </c>
      <c r="BQ664">
        <f>IF(AND(AN664=SecureLabel,BB664=1),AS664,0)</f>
        <v>0</v>
      </c>
      <c r="BR664">
        <f>IF(AND(AN664=SureThingLabel,BB664=1),AS664,0)</f>
        <v>0</v>
      </c>
      <c r="BS664">
        <f>MAX(BN664:BR664)</f>
        <v>0</v>
      </c>
      <c r="BT664">
        <f>MAX(BO664:BR664)</f>
        <v>0</v>
      </c>
      <c r="BU664">
        <f>MAX(BP664:BR664)</f>
        <v>0</v>
      </c>
      <c r="BV664">
        <f>IF(ISNUMBER(AB664),INDEX(AllCollegeChicago, MATCH(N664,AllCollegeNCES,0))*BB664,0)</f>
        <v>0</v>
      </c>
      <c r="BW664">
        <f>IF(ISNUMBER(AB664),INDEX(AllCollegeMoneyCode, MATCH(N664,AllCollegeNCES,0)),"?")</f>
        <v>0</v>
      </c>
      <c r="BX664">
        <f>IF(OR(BW664="---",BW664="--",BW664="+/--",BW664="+/---"),1,0)</f>
        <v>0</v>
      </c>
      <c r="BY664">
        <f>BB664*AR664*AT664</f>
        <v>0</v>
      </c>
    </row>
    <row r="665" spans="1:77">
      <c r="A665" t="s">
        <v>96</v>
      </c>
      <c r="B665">
        <v>24512354</v>
      </c>
      <c r="C665" t="s">
        <v>133</v>
      </c>
      <c r="D665" t="s">
        <v>134</v>
      </c>
      <c r="E665" t="s">
        <v>446</v>
      </c>
      <c r="F665" t="s">
        <v>465</v>
      </c>
      <c r="G665" t="s">
        <v>479</v>
      </c>
      <c r="H665" t="s">
        <v>449</v>
      </c>
      <c r="I665" t="s">
        <v>450</v>
      </c>
      <c r="J665" t="s">
        <v>450</v>
      </c>
      <c r="K665">
        <v>0</v>
      </c>
      <c r="L665" t="s">
        <v>446</v>
      </c>
      <c r="M665" t="s">
        <v>446</v>
      </c>
      <c r="N665">
        <v>145600</v>
      </c>
      <c r="O665">
        <f>INDEX(Counselor,MATCH(B665,KidIDs,0))</f>
        <v>0</v>
      </c>
      <c r="P665">
        <f>INDEX(Advisors,MATCH(B665,KidIDs,0))</f>
        <v>0</v>
      </c>
      <c r="Q665">
        <f>INDEX(Cohort,MATCH(B665,KidIDs,0))</f>
        <v>0</v>
      </c>
      <c r="R665">
        <f>INDEX(AllCollegeBarrons,MATCH(N665,AllCollegeNCES,0))</f>
        <v>0</v>
      </c>
      <c r="S665">
        <f>INDEX(KidGPAs,MATCH(B665,KidIDs,0))</f>
        <v>0</v>
      </c>
      <c r="T665">
        <f>INDEX(KidSATs,MATCH(B665,KidIDs,0))</f>
        <v>0</v>
      </c>
      <c r="U665">
        <f>INDEX(Strats,MATCH(B665,KidIDs,0))</f>
        <v>0</v>
      </c>
      <c r="V665">
        <f>INDEX(KidRace,MATCH(B665,KidIDs,0))</f>
        <v>0</v>
      </c>
      <c r="W665">
        <f>IF(OR(V665="M",V665="I"),"H",IF(V665="P","A",V665))</f>
        <v>0</v>
      </c>
      <c r="X665">
        <f>INDEX(StudentTargets,MATCH(B665,KidIDs,0))</f>
        <v>0</v>
      </c>
      <c r="Y665">
        <f>INDEX(ReachStudentTargets,MATCH(B665,KidIDs,0))</f>
        <v>0</v>
      </c>
      <c r="Z665">
        <f>IF(OR(M665="Posse"),1,0)</f>
        <v>0</v>
      </c>
      <c r="AA665">
        <f>IF(ISNUMBER(INDEX(AllCollegeGR, MATCH(N665,AllCollegeNCES,0))),ROUND(INDEX(AllCollegeGR, MATCH(N665,AllCollegeNCES,0))+Z665*IF(INDEX(AllCollegeGR, MATCH(N665,AllCollegeNCES,0))&gt;0.7,(1-INDEX(AllCollegeGR, MATCH(N665,AllCollegeNCES,0)))/2,0.15),2),INDEX(AllCollegeGR, MATCH(N665,AllCollegeNCES,0)))</f>
        <v>0</v>
      </c>
      <c r="AB665">
        <f>IF(ISNUMBER(INDEX(AllCollegeAAHGR, MATCH(N665,AllCollegeNCES,0))),ROUND(INDEX(AllCollegeAAHGR, MATCH(N665,AllCollegeNCES,0))+Z665*IF(INDEX(AllCollegeAAHGR, MATCH(N665,AllCollegeNCES,0))&gt;0.7,(1-INDEX(AllCollegeAAHGR, MATCH(N665,AllCollegeNCES,0)))/2,0.15),2),INDEX(AllCollegeAAHGR, MATCH(N665,AllCollegeNCES,0)))</f>
        <v>0</v>
      </c>
      <c r="AC665">
        <f>IF(OR(W665="H",W665="B"),INDEX(AllCollegeSAT25, MATCH(N665,AllCollegeNCES,0)),INDEX(AllCollegeSAT50, MATCH(N665,AllCollegeNCES,0)))</f>
        <v>0</v>
      </c>
      <c r="AD665">
        <f>INDEX(CustomWeightsGPA,MATCH(W665&amp;":"&amp;N665,CustomWeightsIndex,0))</f>
        <v>0</v>
      </c>
      <c r="AE665">
        <f>INDEX(CustomWeightsSAT,MATCH(W665&amp;":"&amp;N665,CustomWeightsIndex,0))</f>
        <v>0</v>
      </c>
      <c r="AF665">
        <f>INDEX(CustomWeightsIntercept,MATCH(W665&amp;":"&amp;N665,CustomWeightsIndex,0))</f>
        <v>0</v>
      </c>
      <c r="AG665">
        <f>AD665*S665+AE665*T665+AF665</f>
        <v>0</v>
      </c>
      <c r="AH665">
        <f>INDEX(CoefficientsGPA,MATCH(W665&amp;":"&amp;R665,CoefficientsIndex,0))</f>
        <v>0</v>
      </c>
      <c r="AI665">
        <f>INDEX(CoefficientsSAT,MATCH(W665&amp;":"&amp;R665,CoefficientsIndex,0))</f>
        <v>0</v>
      </c>
      <c r="AJ665">
        <f>INDEX(CoefficientsIntercept,MATCH(W665&amp;":"&amp;R665,CoefficientsIndex,0))</f>
        <v>0</v>
      </c>
      <c r="AK665">
        <f>AH665*S665+(T665-AC665)*AI665+AJ665</f>
        <v>0</v>
      </c>
      <c r="AL665">
        <f>IF(ISNUMBER(AG665),AG665,AK665)</f>
        <v>0</v>
      </c>
      <c r="AM665">
        <f>IF(ISNUMBER(AL665),IF(ISNUMBER(AH665),IF(AND(AH665=1,AI665=1,AJ665=1),100,MIN(99,ROUND(100*EXP(AL665)/(1+EXP(AL665)),2))),MIN(99,ROUND(100*EXP(AL665)/(1+EXP(AL665)),2))),IF(ISTEXT(R665),IF(LEFT(R665,1)="2",100,"N/A"),"N/A"))</f>
        <v>0</v>
      </c>
      <c r="AN665">
        <f>IF(ISNUMBER(AM665),IF(AM665&gt;=99,IF(OR(U665=10,U665=11),MatchLabel,SureThingLabel),IF(AM665&gt;=95,SecureLabel,IF(AM665&gt;=80,SafetyLabel,IF(AM665&gt;=50,MatchLabel,IF(AM665&gt;=20,ReachLabel,IF(AM665&gt;=10,LongshotLabel,HailMaryLabel)))))),"Other")</f>
        <v>0</v>
      </c>
      <c r="AO665">
        <f>IF(OR(I665="accepted",I665="cond. accept",I665="summer admit"),IF(J665="yes","CHOICE!","Accepted!"),IF(I665="guar. transfer","Guar. Xfer",IF(I665="denied","Denied",IF(K665=1,"Waitlist",IF(L665=1,"Deferred",IF(G665="pending","Pending",IF(OR(G665="initial materials submitted",G665="mid-year submitted",G665="final submitted"),"Submitted",IF(H665="interest","Interest","?"))))))))</f>
        <v>0</v>
      </c>
      <c r="AP665">
        <f>IF(OR(AN665=ReachLabel,AN665=LongshotLabel,AN665=HailMaryLabel),1,0)</f>
        <v>0</v>
      </c>
      <c r="AQ665">
        <f>IF(OR(AP665=1,AN665=MatchLabel),1,0)</f>
        <v>0</v>
      </c>
      <c r="AR665">
        <f>IF(OR(AN665=MatchLabel,AN665=SafetyLabel,AN665=SecureLabel,AN665=SureThingLabel),1,0)</f>
        <v>0</v>
      </c>
      <c r="AS665">
        <f>IF(OR(W665="H",W665="B",W665="I",W665="M"),IF(ISNUMBER(AB665),ROUND(AB665,2),0),IF(ISNUMBER(AA665),ROUND(AA665,2),0))</f>
        <v>0</v>
      </c>
      <c r="AT665">
        <f>IF(AS665&gt;=X665,1,0)</f>
        <v>0</v>
      </c>
      <c r="AU665">
        <f>IF(AS665&gt;=Y665,1,0)</f>
        <v>0</v>
      </c>
      <c r="AV665">
        <f>IF(AS665&lt;(X665-0.10),1,0)</f>
        <v>0</v>
      </c>
      <c r="AW665">
        <f>1-AM665/100</f>
        <v>0</v>
      </c>
      <c r="AX665">
        <f>IF(AQ665=1,AW665,1)</f>
        <v>0</v>
      </c>
      <c r="AY665">
        <f>IF(AP665=1,AW665,1)</f>
        <v>0</v>
      </c>
      <c r="AZ665">
        <f>IF(AND(AT665=1,ISNUMBER(AW665)),$AW665,1)</f>
        <v>0</v>
      </c>
      <c r="BA665">
        <f>IF(AND(AU665=1,ISNUMBER(AW665)),$AW665,1)</f>
        <v>0</v>
      </c>
      <c r="BB665">
        <f>IF(ISNUMBER(AB665),INDEX(AllCollegeMoney, MATCH(N665,AllCollegeNCES,0)),0)</f>
        <v>0</v>
      </c>
      <c r="BC665">
        <f>IF(AND(AT665=1,ISNUMBER(AW665),BB665=1),$AW665,1)</f>
        <v>0</v>
      </c>
      <c r="BD665">
        <f>IF(AND(AU665=1,ISNUMBER(AW665),BB665=1),$AW665,1)</f>
        <v>0</v>
      </c>
      <c r="BE665">
        <f>IF(ISNUMBER(AB665),INDEX(AllCollegeILPub, MATCH(N665,AllCollegeNCES,0)),0)</f>
        <v>0</v>
      </c>
      <c r="BF665">
        <f>IF(AN665=ReachLabel,AS665,0)</f>
        <v>0</v>
      </c>
      <c r="BG665">
        <f>IF(AN665=MatchLabel,AS665,0)</f>
        <v>0</v>
      </c>
      <c r="BH665">
        <f>IF(AN665=SafetyLabel,AS665,0)</f>
        <v>0</v>
      </c>
      <c r="BI665">
        <f>IF(AN665=SecureLabel,AS665,0)</f>
        <v>0</v>
      </c>
      <c r="BJ665">
        <f>IF(AN665=SureThingLabel,AS665,0)</f>
        <v>0</v>
      </c>
      <c r="BK665">
        <f>MAX(BF665:BJ665)</f>
        <v>0</v>
      </c>
      <c r="BL665">
        <f>MAX(BG665:BJ665)</f>
        <v>0</v>
      </c>
      <c r="BM665">
        <f>MAX(BH665:BJ665)</f>
        <v>0</v>
      </c>
      <c r="BN665">
        <f>IF(AND(AN665=ReachLabel,BB665=1),AS665,0)</f>
        <v>0</v>
      </c>
      <c r="BO665">
        <f>IF(AND(AN665=MatchLabel,BB665=1),AS665,0)</f>
        <v>0</v>
      </c>
      <c r="BP665">
        <f>IF(AND(AN665=SafetyLabel,BB665=1),AS665,0)</f>
        <v>0</v>
      </c>
      <c r="BQ665">
        <f>IF(AND(AN665=SecureLabel,BB665=1),AS665,0)</f>
        <v>0</v>
      </c>
      <c r="BR665">
        <f>IF(AND(AN665=SureThingLabel,BB665=1),AS665,0)</f>
        <v>0</v>
      </c>
      <c r="BS665">
        <f>MAX(BN665:BR665)</f>
        <v>0</v>
      </c>
      <c r="BT665">
        <f>MAX(BO665:BR665)</f>
        <v>0</v>
      </c>
      <c r="BU665">
        <f>MAX(BP665:BR665)</f>
        <v>0</v>
      </c>
      <c r="BV665">
        <f>IF(ISNUMBER(AB665),INDEX(AllCollegeChicago, MATCH(N665,AllCollegeNCES,0))*BB665,0)</f>
        <v>0</v>
      </c>
      <c r="BW665">
        <f>IF(ISNUMBER(AB665),INDEX(AllCollegeMoneyCode, MATCH(N665,AllCollegeNCES,0)),"?")</f>
        <v>0</v>
      </c>
      <c r="BX665">
        <f>IF(OR(BW665="---",BW665="--",BW665="+/--",BW665="+/---"),1,0)</f>
        <v>0</v>
      </c>
      <c r="BY665">
        <f>BB665*AR665*AT665</f>
        <v>0</v>
      </c>
    </row>
    <row r="666" spans="1:77">
      <c r="A666" t="s">
        <v>96</v>
      </c>
      <c r="B666">
        <v>24512354</v>
      </c>
      <c r="C666" t="s">
        <v>133</v>
      </c>
      <c r="D666" t="s">
        <v>134</v>
      </c>
      <c r="E666" t="s">
        <v>446</v>
      </c>
      <c r="F666" t="s">
        <v>519</v>
      </c>
      <c r="G666" t="s">
        <v>448</v>
      </c>
      <c r="H666" t="s">
        <v>449</v>
      </c>
      <c r="I666" t="s">
        <v>450</v>
      </c>
      <c r="J666" t="s">
        <v>450</v>
      </c>
      <c r="K666">
        <v>0</v>
      </c>
      <c r="L666" t="s">
        <v>446</v>
      </c>
      <c r="M666" t="s">
        <v>446</v>
      </c>
      <c r="N666">
        <v>145813</v>
      </c>
      <c r="O666">
        <f>INDEX(Counselor,MATCH(B666,KidIDs,0))</f>
        <v>0</v>
      </c>
      <c r="P666">
        <f>INDEX(Advisors,MATCH(B666,KidIDs,0))</f>
        <v>0</v>
      </c>
      <c r="Q666">
        <f>INDEX(Cohort,MATCH(B666,KidIDs,0))</f>
        <v>0</v>
      </c>
      <c r="R666">
        <f>INDEX(AllCollegeBarrons,MATCH(N666,AllCollegeNCES,0))</f>
        <v>0</v>
      </c>
      <c r="S666">
        <f>INDEX(KidGPAs,MATCH(B666,KidIDs,0))</f>
        <v>0</v>
      </c>
      <c r="T666">
        <f>INDEX(KidSATs,MATCH(B666,KidIDs,0))</f>
        <v>0</v>
      </c>
      <c r="U666">
        <f>INDEX(Strats,MATCH(B666,KidIDs,0))</f>
        <v>0</v>
      </c>
      <c r="V666">
        <f>INDEX(KidRace,MATCH(B666,KidIDs,0))</f>
        <v>0</v>
      </c>
      <c r="W666">
        <f>IF(OR(V666="M",V666="I"),"H",IF(V666="P","A",V666))</f>
        <v>0</v>
      </c>
      <c r="X666">
        <f>INDEX(StudentTargets,MATCH(B666,KidIDs,0))</f>
        <v>0</v>
      </c>
      <c r="Y666">
        <f>INDEX(ReachStudentTargets,MATCH(B666,KidIDs,0))</f>
        <v>0</v>
      </c>
      <c r="Z666">
        <f>IF(OR(M666="Posse"),1,0)</f>
        <v>0</v>
      </c>
      <c r="AA666">
        <f>IF(ISNUMBER(INDEX(AllCollegeGR, MATCH(N666,AllCollegeNCES,0))),ROUND(INDEX(AllCollegeGR, MATCH(N666,AllCollegeNCES,0))+Z666*IF(INDEX(AllCollegeGR, MATCH(N666,AllCollegeNCES,0))&gt;0.7,(1-INDEX(AllCollegeGR, MATCH(N666,AllCollegeNCES,0)))/2,0.15),2),INDEX(AllCollegeGR, MATCH(N666,AllCollegeNCES,0)))</f>
        <v>0</v>
      </c>
      <c r="AB666">
        <f>IF(ISNUMBER(INDEX(AllCollegeAAHGR, MATCH(N666,AllCollegeNCES,0))),ROUND(INDEX(AllCollegeAAHGR, MATCH(N666,AllCollegeNCES,0))+Z666*IF(INDEX(AllCollegeAAHGR, MATCH(N666,AllCollegeNCES,0))&gt;0.7,(1-INDEX(AllCollegeAAHGR, MATCH(N666,AllCollegeNCES,0)))/2,0.15),2),INDEX(AllCollegeAAHGR, MATCH(N666,AllCollegeNCES,0)))</f>
        <v>0</v>
      </c>
      <c r="AC666">
        <f>IF(OR(W666="H",W666="B"),INDEX(AllCollegeSAT25, MATCH(N666,AllCollegeNCES,0)),INDEX(AllCollegeSAT50, MATCH(N666,AllCollegeNCES,0)))</f>
        <v>0</v>
      </c>
      <c r="AD666">
        <f>INDEX(CustomWeightsGPA,MATCH(W666&amp;":"&amp;N666,CustomWeightsIndex,0))</f>
        <v>0</v>
      </c>
      <c r="AE666">
        <f>INDEX(CustomWeightsSAT,MATCH(W666&amp;":"&amp;N666,CustomWeightsIndex,0))</f>
        <v>0</v>
      </c>
      <c r="AF666">
        <f>INDEX(CustomWeightsIntercept,MATCH(W666&amp;":"&amp;N666,CustomWeightsIndex,0))</f>
        <v>0</v>
      </c>
      <c r="AG666">
        <f>AD666*S666+AE666*T666+AF666</f>
        <v>0</v>
      </c>
      <c r="AH666">
        <f>INDEX(CoefficientsGPA,MATCH(W666&amp;":"&amp;R666,CoefficientsIndex,0))</f>
        <v>0</v>
      </c>
      <c r="AI666">
        <f>INDEX(CoefficientsSAT,MATCH(W666&amp;":"&amp;R666,CoefficientsIndex,0))</f>
        <v>0</v>
      </c>
      <c r="AJ666">
        <f>INDEX(CoefficientsIntercept,MATCH(W666&amp;":"&amp;R666,CoefficientsIndex,0))</f>
        <v>0</v>
      </c>
      <c r="AK666">
        <f>AH666*S666+(T666-AC666)*AI666+AJ666</f>
        <v>0</v>
      </c>
      <c r="AL666">
        <f>IF(ISNUMBER(AG666),AG666,AK666)</f>
        <v>0</v>
      </c>
      <c r="AM666">
        <f>IF(ISNUMBER(AL666),IF(ISNUMBER(AH666),IF(AND(AH666=1,AI666=1,AJ666=1),100,MIN(99,ROUND(100*EXP(AL666)/(1+EXP(AL666)),2))),MIN(99,ROUND(100*EXP(AL666)/(1+EXP(AL666)),2))),IF(ISTEXT(R666),IF(LEFT(R666,1)="2",100,"N/A"),"N/A"))</f>
        <v>0</v>
      </c>
      <c r="AN666">
        <f>IF(ISNUMBER(AM666),IF(AM666&gt;=99,IF(OR(U666=10,U666=11),MatchLabel,SureThingLabel),IF(AM666&gt;=95,SecureLabel,IF(AM666&gt;=80,SafetyLabel,IF(AM666&gt;=50,MatchLabel,IF(AM666&gt;=20,ReachLabel,IF(AM666&gt;=10,LongshotLabel,HailMaryLabel)))))),"Other")</f>
        <v>0</v>
      </c>
      <c r="AO666">
        <f>IF(OR(I666="accepted",I666="cond. accept",I666="summer admit"),IF(J666="yes","CHOICE!","Accepted!"),IF(I666="guar. transfer","Guar. Xfer",IF(I666="denied","Denied",IF(K666=1,"Waitlist",IF(L666=1,"Deferred",IF(G666="pending","Pending",IF(OR(G666="initial materials submitted",G666="mid-year submitted",G666="final submitted"),"Submitted",IF(H666="interest","Interest","?"))))))))</f>
        <v>0</v>
      </c>
      <c r="AP666">
        <f>IF(OR(AN666=ReachLabel,AN666=LongshotLabel,AN666=HailMaryLabel),1,0)</f>
        <v>0</v>
      </c>
      <c r="AQ666">
        <f>IF(OR(AP666=1,AN666=MatchLabel),1,0)</f>
        <v>0</v>
      </c>
      <c r="AR666">
        <f>IF(OR(AN666=MatchLabel,AN666=SafetyLabel,AN666=SecureLabel,AN666=SureThingLabel),1,0)</f>
        <v>0</v>
      </c>
      <c r="AS666">
        <f>IF(OR(W666="H",W666="B",W666="I",W666="M"),IF(ISNUMBER(AB666),ROUND(AB666,2),0),IF(ISNUMBER(AA666),ROUND(AA666,2),0))</f>
        <v>0</v>
      </c>
      <c r="AT666">
        <f>IF(AS666&gt;=X666,1,0)</f>
        <v>0</v>
      </c>
      <c r="AU666">
        <f>IF(AS666&gt;=Y666,1,0)</f>
        <v>0</v>
      </c>
      <c r="AV666">
        <f>IF(AS666&lt;(X666-0.10),1,0)</f>
        <v>0</v>
      </c>
      <c r="AW666">
        <f>1-AM666/100</f>
        <v>0</v>
      </c>
      <c r="AX666">
        <f>IF(AQ666=1,AW666,1)</f>
        <v>0</v>
      </c>
      <c r="AY666">
        <f>IF(AP666=1,AW666,1)</f>
        <v>0</v>
      </c>
      <c r="AZ666">
        <f>IF(AND(AT666=1,ISNUMBER(AW666)),$AW666,1)</f>
        <v>0</v>
      </c>
      <c r="BA666">
        <f>IF(AND(AU666=1,ISNUMBER(AW666)),$AW666,1)</f>
        <v>0</v>
      </c>
      <c r="BB666">
        <f>IF(ISNUMBER(AB666),INDEX(AllCollegeMoney, MATCH(N666,AllCollegeNCES,0)),0)</f>
        <v>0</v>
      </c>
      <c r="BC666">
        <f>IF(AND(AT666=1,ISNUMBER(AW666),BB666=1),$AW666,1)</f>
        <v>0</v>
      </c>
      <c r="BD666">
        <f>IF(AND(AU666=1,ISNUMBER(AW666),BB666=1),$AW666,1)</f>
        <v>0</v>
      </c>
      <c r="BE666">
        <f>IF(ISNUMBER(AB666),INDEX(AllCollegeILPub, MATCH(N666,AllCollegeNCES,0)),0)</f>
        <v>0</v>
      </c>
      <c r="BF666">
        <f>IF(AN666=ReachLabel,AS666,0)</f>
        <v>0</v>
      </c>
      <c r="BG666">
        <f>IF(AN666=MatchLabel,AS666,0)</f>
        <v>0</v>
      </c>
      <c r="BH666">
        <f>IF(AN666=SafetyLabel,AS666,0)</f>
        <v>0</v>
      </c>
      <c r="BI666">
        <f>IF(AN666=SecureLabel,AS666,0)</f>
        <v>0</v>
      </c>
      <c r="BJ666">
        <f>IF(AN666=SureThingLabel,AS666,0)</f>
        <v>0</v>
      </c>
      <c r="BK666">
        <f>MAX(BF666:BJ666)</f>
        <v>0</v>
      </c>
      <c r="BL666">
        <f>MAX(BG666:BJ666)</f>
        <v>0</v>
      </c>
      <c r="BM666">
        <f>MAX(BH666:BJ666)</f>
        <v>0</v>
      </c>
      <c r="BN666">
        <f>IF(AND(AN666=ReachLabel,BB666=1),AS666,0)</f>
        <v>0</v>
      </c>
      <c r="BO666">
        <f>IF(AND(AN666=MatchLabel,BB666=1),AS666,0)</f>
        <v>0</v>
      </c>
      <c r="BP666">
        <f>IF(AND(AN666=SafetyLabel,BB666=1),AS666,0)</f>
        <v>0</v>
      </c>
      <c r="BQ666">
        <f>IF(AND(AN666=SecureLabel,BB666=1),AS666,0)</f>
        <v>0</v>
      </c>
      <c r="BR666">
        <f>IF(AND(AN666=SureThingLabel,BB666=1),AS666,0)</f>
        <v>0</v>
      </c>
      <c r="BS666">
        <f>MAX(BN666:BR666)</f>
        <v>0</v>
      </c>
      <c r="BT666">
        <f>MAX(BO666:BR666)</f>
        <v>0</v>
      </c>
      <c r="BU666">
        <f>MAX(BP666:BR666)</f>
        <v>0</v>
      </c>
      <c r="BV666">
        <f>IF(ISNUMBER(AB666),INDEX(AllCollegeChicago, MATCH(N666,AllCollegeNCES,0))*BB666,0)</f>
        <v>0</v>
      </c>
      <c r="BW666">
        <f>IF(ISNUMBER(AB666),INDEX(AllCollegeMoneyCode, MATCH(N666,AllCollegeNCES,0)),"?")</f>
        <v>0</v>
      </c>
      <c r="BX666">
        <f>IF(OR(BW666="---",BW666="--",BW666="+/--",BW666="+/---"),1,0)</f>
        <v>0</v>
      </c>
      <c r="BY666">
        <f>BB666*AR666*AT666</f>
        <v>0</v>
      </c>
    </row>
    <row r="667" spans="1:77">
      <c r="A667" t="s">
        <v>96</v>
      </c>
      <c r="B667">
        <v>24512354</v>
      </c>
      <c r="C667" t="s">
        <v>133</v>
      </c>
      <c r="D667" t="s">
        <v>134</v>
      </c>
      <c r="E667" t="s">
        <v>446</v>
      </c>
      <c r="F667" t="s">
        <v>529</v>
      </c>
      <c r="G667" t="s">
        <v>448</v>
      </c>
      <c r="H667" t="s">
        <v>449</v>
      </c>
      <c r="I667" t="s">
        <v>450</v>
      </c>
      <c r="J667" t="s">
        <v>450</v>
      </c>
      <c r="K667">
        <v>0</v>
      </c>
      <c r="L667" t="s">
        <v>446</v>
      </c>
      <c r="M667" t="s">
        <v>446</v>
      </c>
      <c r="N667">
        <v>145691</v>
      </c>
      <c r="O667">
        <f>INDEX(Counselor,MATCH(B667,KidIDs,0))</f>
        <v>0</v>
      </c>
      <c r="P667">
        <f>INDEX(Advisors,MATCH(B667,KidIDs,0))</f>
        <v>0</v>
      </c>
      <c r="Q667">
        <f>INDEX(Cohort,MATCH(B667,KidIDs,0))</f>
        <v>0</v>
      </c>
      <c r="R667">
        <f>INDEX(AllCollegeBarrons,MATCH(N667,AllCollegeNCES,0))</f>
        <v>0</v>
      </c>
      <c r="S667">
        <f>INDEX(KidGPAs,MATCH(B667,KidIDs,0))</f>
        <v>0</v>
      </c>
      <c r="T667">
        <f>INDEX(KidSATs,MATCH(B667,KidIDs,0))</f>
        <v>0</v>
      </c>
      <c r="U667">
        <f>INDEX(Strats,MATCH(B667,KidIDs,0))</f>
        <v>0</v>
      </c>
      <c r="V667">
        <f>INDEX(KidRace,MATCH(B667,KidIDs,0))</f>
        <v>0</v>
      </c>
      <c r="W667">
        <f>IF(OR(V667="M",V667="I"),"H",IF(V667="P","A",V667))</f>
        <v>0</v>
      </c>
      <c r="X667">
        <f>INDEX(StudentTargets,MATCH(B667,KidIDs,0))</f>
        <v>0</v>
      </c>
      <c r="Y667">
        <f>INDEX(ReachStudentTargets,MATCH(B667,KidIDs,0))</f>
        <v>0</v>
      </c>
      <c r="Z667">
        <f>IF(OR(M667="Posse"),1,0)</f>
        <v>0</v>
      </c>
      <c r="AA667">
        <f>IF(ISNUMBER(INDEX(AllCollegeGR, MATCH(N667,AllCollegeNCES,0))),ROUND(INDEX(AllCollegeGR, MATCH(N667,AllCollegeNCES,0))+Z667*IF(INDEX(AllCollegeGR, MATCH(N667,AllCollegeNCES,0))&gt;0.7,(1-INDEX(AllCollegeGR, MATCH(N667,AllCollegeNCES,0)))/2,0.15),2),INDEX(AllCollegeGR, MATCH(N667,AllCollegeNCES,0)))</f>
        <v>0</v>
      </c>
      <c r="AB667">
        <f>IF(ISNUMBER(INDEX(AllCollegeAAHGR, MATCH(N667,AllCollegeNCES,0))),ROUND(INDEX(AllCollegeAAHGR, MATCH(N667,AllCollegeNCES,0))+Z667*IF(INDEX(AllCollegeAAHGR, MATCH(N667,AllCollegeNCES,0))&gt;0.7,(1-INDEX(AllCollegeAAHGR, MATCH(N667,AllCollegeNCES,0)))/2,0.15),2),INDEX(AllCollegeAAHGR, MATCH(N667,AllCollegeNCES,0)))</f>
        <v>0</v>
      </c>
      <c r="AC667">
        <f>IF(OR(W667="H",W667="B"),INDEX(AllCollegeSAT25, MATCH(N667,AllCollegeNCES,0)),INDEX(AllCollegeSAT50, MATCH(N667,AllCollegeNCES,0)))</f>
        <v>0</v>
      </c>
      <c r="AD667">
        <f>INDEX(CustomWeightsGPA,MATCH(W667&amp;":"&amp;N667,CustomWeightsIndex,0))</f>
        <v>0</v>
      </c>
      <c r="AE667">
        <f>INDEX(CustomWeightsSAT,MATCH(W667&amp;":"&amp;N667,CustomWeightsIndex,0))</f>
        <v>0</v>
      </c>
      <c r="AF667">
        <f>INDEX(CustomWeightsIntercept,MATCH(W667&amp;":"&amp;N667,CustomWeightsIndex,0))</f>
        <v>0</v>
      </c>
      <c r="AG667">
        <f>AD667*S667+AE667*T667+AF667</f>
        <v>0</v>
      </c>
      <c r="AH667">
        <f>INDEX(CoefficientsGPA,MATCH(W667&amp;":"&amp;R667,CoefficientsIndex,0))</f>
        <v>0</v>
      </c>
      <c r="AI667">
        <f>INDEX(CoefficientsSAT,MATCH(W667&amp;":"&amp;R667,CoefficientsIndex,0))</f>
        <v>0</v>
      </c>
      <c r="AJ667">
        <f>INDEX(CoefficientsIntercept,MATCH(W667&amp;":"&amp;R667,CoefficientsIndex,0))</f>
        <v>0</v>
      </c>
      <c r="AK667">
        <f>AH667*S667+(T667-AC667)*AI667+AJ667</f>
        <v>0</v>
      </c>
      <c r="AL667">
        <f>IF(ISNUMBER(AG667),AG667,AK667)</f>
        <v>0</v>
      </c>
      <c r="AM667">
        <f>IF(ISNUMBER(AL667),IF(ISNUMBER(AH667),IF(AND(AH667=1,AI667=1,AJ667=1),100,MIN(99,ROUND(100*EXP(AL667)/(1+EXP(AL667)),2))),MIN(99,ROUND(100*EXP(AL667)/(1+EXP(AL667)),2))),IF(ISTEXT(R667),IF(LEFT(R667,1)="2",100,"N/A"),"N/A"))</f>
        <v>0</v>
      </c>
      <c r="AN667">
        <f>IF(ISNUMBER(AM667),IF(AM667&gt;=99,IF(OR(U667=10,U667=11),MatchLabel,SureThingLabel),IF(AM667&gt;=95,SecureLabel,IF(AM667&gt;=80,SafetyLabel,IF(AM667&gt;=50,MatchLabel,IF(AM667&gt;=20,ReachLabel,IF(AM667&gt;=10,LongshotLabel,HailMaryLabel)))))),"Other")</f>
        <v>0</v>
      </c>
      <c r="AO667">
        <f>IF(OR(I667="accepted",I667="cond. accept",I667="summer admit"),IF(J667="yes","CHOICE!","Accepted!"),IF(I667="guar. transfer","Guar. Xfer",IF(I667="denied","Denied",IF(K667=1,"Waitlist",IF(L667=1,"Deferred",IF(G667="pending","Pending",IF(OR(G667="initial materials submitted",G667="mid-year submitted",G667="final submitted"),"Submitted",IF(H667="interest","Interest","?"))))))))</f>
        <v>0</v>
      </c>
      <c r="AP667">
        <f>IF(OR(AN667=ReachLabel,AN667=LongshotLabel,AN667=HailMaryLabel),1,0)</f>
        <v>0</v>
      </c>
      <c r="AQ667">
        <f>IF(OR(AP667=1,AN667=MatchLabel),1,0)</f>
        <v>0</v>
      </c>
      <c r="AR667">
        <f>IF(OR(AN667=MatchLabel,AN667=SafetyLabel,AN667=SecureLabel,AN667=SureThingLabel),1,0)</f>
        <v>0</v>
      </c>
      <c r="AS667">
        <f>IF(OR(W667="H",W667="B",W667="I",W667="M"),IF(ISNUMBER(AB667),ROUND(AB667,2),0),IF(ISNUMBER(AA667),ROUND(AA667,2),0))</f>
        <v>0</v>
      </c>
      <c r="AT667">
        <f>IF(AS667&gt;=X667,1,0)</f>
        <v>0</v>
      </c>
      <c r="AU667">
        <f>IF(AS667&gt;=Y667,1,0)</f>
        <v>0</v>
      </c>
      <c r="AV667">
        <f>IF(AS667&lt;(X667-0.10),1,0)</f>
        <v>0</v>
      </c>
      <c r="AW667">
        <f>1-AM667/100</f>
        <v>0</v>
      </c>
      <c r="AX667">
        <f>IF(AQ667=1,AW667,1)</f>
        <v>0</v>
      </c>
      <c r="AY667">
        <f>IF(AP667=1,AW667,1)</f>
        <v>0</v>
      </c>
      <c r="AZ667">
        <f>IF(AND(AT667=1,ISNUMBER(AW667)),$AW667,1)</f>
        <v>0</v>
      </c>
      <c r="BA667">
        <f>IF(AND(AU667=1,ISNUMBER(AW667)),$AW667,1)</f>
        <v>0</v>
      </c>
      <c r="BB667">
        <f>IF(ISNUMBER(AB667),INDEX(AllCollegeMoney, MATCH(N667,AllCollegeNCES,0)),0)</f>
        <v>0</v>
      </c>
      <c r="BC667">
        <f>IF(AND(AT667=1,ISNUMBER(AW667),BB667=1),$AW667,1)</f>
        <v>0</v>
      </c>
      <c r="BD667">
        <f>IF(AND(AU667=1,ISNUMBER(AW667),BB667=1),$AW667,1)</f>
        <v>0</v>
      </c>
      <c r="BE667">
        <f>IF(ISNUMBER(AB667),INDEX(AllCollegeILPub, MATCH(N667,AllCollegeNCES,0)),0)</f>
        <v>0</v>
      </c>
      <c r="BF667">
        <f>IF(AN667=ReachLabel,AS667,0)</f>
        <v>0</v>
      </c>
      <c r="BG667">
        <f>IF(AN667=MatchLabel,AS667,0)</f>
        <v>0</v>
      </c>
      <c r="BH667">
        <f>IF(AN667=SafetyLabel,AS667,0)</f>
        <v>0</v>
      </c>
      <c r="BI667">
        <f>IF(AN667=SecureLabel,AS667,0)</f>
        <v>0</v>
      </c>
      <c r="BJ667">
        <f>IF(AN667=SureThingLabel,AS667,0)</f>
        <v>0</v>
      </c>
      <c r="BK667">
        <f>MAX(BF667:BJ667)</f>
        <v>0</v>
      </c>
      <c r="BL667">
        <f>MAX(BG667:BJ667)</f>
        <v>0</v>
      </c>
      <c r="BM667">
        <f>MAX(BH667:BJ667)</f>
        <v>0</v>
      </c>
      <c r="BN667">
        <f>IF(AND(AN667=ReachLabel,BB667=1),AS667,0)</f>
        <v>0</v>
      </c>
      <c r="BO667">
        <f>IF(AND(AN667=MatchLabel,BB667=1),AS667,0)</f>
        <v>0</v>
      </c>
      <c r="BP667">
        <f>IF(AND(AN667=SafetyLabel,BB667=1),AS667,0)</f>
        <v>0</v>
      </c>
      <c r="BQ667">
        <f>IF(AND(AN667=SecureLabel,BB667=1),AS667,0)</f>
        <v>0</v>
      </c>
      <c r="BR667">
        <f>IF(AND(AN667=SureThingLabel,BB667=1),AS667,0)</f>
        <v>0</v>
      </c>
      <c r="BS667">
        <f>MAX(BN667:BR667)</f>
        <v>0</v>
      </c>
      <c r="BT667">
        <f>MAX(BO667:BR667)</f>
        <v>0</v>
      </c>
      <c r="BU667">
        <f>MAX(BP667:BR667)</f>
        <v>0</v>
      </c>
      <c r="BV667">
        <f>IF(ISNUMBER(AB667),INDEX(AllCollegeChicago, MATCH(N667,AllCollegeNCES,0))*BB667,0)</f>
        <v>0</v>
      </c>
      <c r="BW667">
        <f>IF(ISNUMBER(AB667),INDEX(AllCollegeMoneyCode, MATCH(N667,AllCollegeNCES,0)),"?")</f>
        <v>0</v>
      </c>
      <c r="BX667">
        <f>IF(OR(BW667="---",BW667="--",BW667="+/--",BW667="+/---"),1,0)</f>
        <v>0</v>
      </c>
      <c r="BY667">
        <f>BB667*AR667*AT667</f>
        <v>0</v>
      </c>
    </row>
    <row r="668" spans="1:77">
      <c r="A668" t="s">
        <v>96</v>
      </c>
      <c r="B668">
        <v>24597473</v>
      </c>
      <c r="C668" t="s">
        <v>342</v>
      </c>
      <c r="D668" t="s">
        <v>343</v>
      </c>
      <c r="E668" t="s">
        <v>446</v>
      </c>
      <c r="F668" t="s">
        <v>484</v>
      </c>
      <c r="G668" t="s">
        <v>448</v>
      </c>
      <c r="H668" t="s">
        <v>449</v>
      </c>
      <c r="I668" t="s">
        <v>450</v>
      </c>
      <c r="J668" t="s">
        <v>450</v>
      </c>
      <c r="K668">
        <v>0</v>
      </c>
      <c r="L668" t="s">
        <v>446</v>
      </c>
      <c r="M668" t="s">
        <v>446</v>
      </c>
      <c r="N668">
        <v>213385</v>
      </c>
      <c r="O668">
        <f>INDEX(Counselor,MATCH(B668,KidIDs,0))</f>
        <v>0</v>
      </c>
      <c r="P668">
        <f>INDEX(Advisors,MATCH(B668,KidIDs,0))</f>
        <v>0</v>
      </c>
      <c r="Q668">
        <f>INDEX(Cohort,MATCH(B668,KidIDs,0))</f>
        <v>0</v>
      </c>
      <c r="R668">
        <f>INDEX(AllCollegeBarrons,MATCH(N668,AllCollegeNCES,0))</f>
        <v>0</v>
      </c>
      <c r="S668">
        <f>INDEX(KidGPAs,MATCH(B668,KidIDs,0))</f>
        <v>0</v>
      </c>
      <c r="T668">
        <f>INDEX(KidSATs,MATCH(B668,KidIDs,0))</f>
        <v>0</v>
      </c>
      <c r="U668">
        <f>INDEX(Strats,MATCH(B668,KidIDs,0))</f>
        <v>0</v>
      </c>
      <c r="V668">
        <f>INDEX(KidRace,MATCH(B668,KidIDs,0))</f>
        <v>0</v>
      </c>
      <c r="W668">
        <f>IF(OR(V668="M",V668="I"),"H",IF(V668="P","A",V668))</f>
        <v>0</v>
      </c>
      <c r="X668">
        <f>INDEX(StudentTargets,MATCH(B668,KidIDs,0))</f>
        <v>0</v>
      </c>
      <c r="Y668">
        <f>INDEX(ReachStudentTargets,MATCH(B668,KidIDs,0))</f>
        <v>0</v>
      </c>
      <c r="Z668">
        <f>IF(OR(M668="Posse"),1,0)</f>
        <v>0</v>
      </c>
      <c r="AA668">
        <f>IF(ISNUMBER(INDEX(AllCollegeGR, MATCH(N668,AllCollegeNCES,0))),ROUND(INDEX(AllCollegeGR, MATCH(N668,AllCollegeNCES,0))+Z668*IF(INDEX(AllCollegeGR, MATCH(N668,AllCollegeNCES,0))&gt;0.7,(1-INDEX(AllCollegeGR, MATCH(N668,AllCollegeNCES,0)))/2,0.15),2),INDEX(AllCollegeGR, MATCH(N668,AllCollegeNCES,0)))</f>
        <v>0</v>
      </c>
      <c r="AB668">
        <f>IF(ISNUMBER(INDEX(AllCollegeAAHGR, MATCH(N668,AllCollegeNCES,0))),ROUND(INDEX(AllCollegeAAHGR, MATCH(N668,AllCollegeNCES,0))+Z668*IF(INDEX(AllCollegeAAHGR, MATCH(N668,AllCollegeNCES,0))&gt;0.7,(1-INDEX(AllCollegeAAHGR, MATCH(N668,AllCollegeNCES,0)))/2,0.15),2),INDEX(AllCollegeAAHGR, MATCH(N668,AllCollegeNCES,0)))</f>
        <v>0</v>
      </c>
      <c r="AC668">
        <f>IF(OR(W668="H",W668="B"),INDEX(AllCollegeSAT25, MATCH(N668,AllCollegeNCES,0)),INDEX(AllCollegeSAT50, MATCH(N668,AllCollegeNCES,0)))</f>
        <v>0</v>
      </c>
      <c r="AD668">
        <f>INDEX(CustomWeightsGPA,MATCH(W668&amp;":"&amp;N668,CustomWeightsIndex,0))</f>
        <v>0</v>
      </c>
      <c r="AE668">
        <f>INDEX(CustomWeightsSAT,MATCH(W668&amp;":"&amp;N668,CustomWeightsIndex,0))</f>
        <v>0</v>
      </c>
      <c r="AF668">
        <f>INDEX(CustomWeightsIntercept,MATCH(W668&amp;":"&amp;N668,CustomWeightsIndex,0))</f>
        <v>0</v>
      </c>
      <c r="AG668">
        <f>AD668*S668+AE668*T668+AF668</f>
        <v>0</v>
      </c>
      <c r="AH668">
        <f>INDEX(CoefficientsGPA,MATCH(W668&amp;":"&amp;R668,CoefficientsIndex,0))</f>
        <v>0</v>
      </c>
      <c r="AI668">
        <f>INDEX(CoefficientsSAT,MATCH(W668&amp;":"&amp;R668,CoefficientsIndex,0))</f>
        <v>0</v>
      </c>
      <c r="AJ668">
        <f>INDEX(CoefficientsIntercept,MATCH(W668&amp;":"&amp;R668,CoefficientsIndex,0))</f>
        <v>0</v>
      </c>
      <c r="AK668">
        <f>AH668*S668+(T668-AC668)*AI668+AJ668</f>
        <v>0</v>
      </c>
      <c r="AL668">
        <f>IF(ISNUMBER(AG668),AG668,AK668)</f>
        <v>0</v>
      </c>
      <c r="AM668">
        <f>IF(ISNUMBER(AL668),IF(ISNUMBER(AH668),IF(AND(AH668=1,AI668=1,AJ668=1),100,MIN(99,ROUND(100*EXP(AL668)/(1+EXP(AL668)),2))),MIN(99,ROUND(100*EXP(AL668)/(1+EXP(AL668)),2))),IF(ISTEXT(R668),IF(LEFT(R668,1)="2",100,"N/A"),"N/A"))</f>
        <v>0</v>
      </c>
      <c r="AN668">
        <f>IF(ISNUMBER(AM668),IF(AM668&gt;=99,IF(OR(U668=10,U668=11),MatchLabel,SureThingLabel),IF(AM668&gt;=95,SecureLabel,IF(AM668&gt;=80,SafetyLabel,IF(AM668&gt;=50,MatchLabel,IF(AM668&gt;=20,ReachLabel,IF(AM668&gt;=10,LongshotLabel,HailMaryLabel)))))),"Other")</f>
        <v>0</v>
      </c>
      <c r="AO668">
        <f>IF(OR(I668="accepted",I668="cond. accept",I668="summer admit"),IF(J668="yes","CHOICE!","Accepted!"),IF(I668="guar. transfer","Guar. Xfer",IF(I668="denied","Denied",IF(K668=1,"Waitlist",IF(L668=1,"Deferred",IF(G668="pending","Pending",IF(OR(G668="initial materials submitted",G668="mid-year submitted",G668="final submitted"),"Submitted",IF(H668="interest","Interest","?"))))))))</f>
        <v>0</v>
      </c>
      <c r="AP668">
        <f>IF(OR(AN668=ReachLabel,AN668=LongshotLabel,AN668=HailMaryLabel),1,0)</f>
        <v>0</v>
      </c>
      <c r="AQ668">
        <f>IF(OR(AP668=1,AN668=MatchLabel),1,0)</f>
        <v>0</v>
      </c>
      <c r="AR668">
        <f>IF(OR(AN668=MatchLabel,AN668=SafetyLabel,AN668=SecureLabel,AN668=SureThingLabel),1,0)</f>
        <v>0</v>
      </c>
      <c r="AS668">
        <f>IF(OR(W668="H",W668="B",W668="I",W668="M"),IF(ISNUMBER(AB668),ROUND(AB668,2),0),IF(ISNUMBER(AA668),ROUND(AA668,2),0))</f>
        <v>0</v>
      </c>
      <c r="AT668">
        <f>IF(AS668&gt;=X668,1,0)</f>
        <v>0</v>
      </c>
      <c r="AU668">
        <f>IF(AS668&gt;=Y668,1,0)</f>
        <v>0</v>
      </c>
      <c r="AV668">
        <f>IF(AS668&lt;(X668-0.10),1,0)</f>
        <v>0</v>
      </c>
      <c r="AW668">
        <f>1-AM668/100</f>
        <v>0</v>
      </c>
      <c r="AX668">
        <f>IF(AQ668=1,AW668,1)</f>
        <v>0</v>
      </c>
      <c r="AY668">
        <f>IF(AP668=1,AW668,1)</f>
        <v>0</v>
      </c>
      <c r="AZ668">
        <f>IF(AND(AT668=1,ISNUMBER(AW668)),$AW668,1)</f>
        <v>0</v>
      </c>
      <c r="BA668">
        <f>IF(AND(AU668=1,ISNUMBER(AW668)),$AW668,1)</f>
        <v>0</v>
      </c>
      <c r="BB668">
        <f>IF(ISNUMBER(AB668),INDEX(AllCollegeMoney, MATCH(N668,AllCollegeNCES,0)),0)</f>
        <v>0</v>
      </c>
      <c r="BC668">
        <f>IF(AND(AT668=1,ISNUMBER(AW668),BB668=1),$AW668,1)</f>
        <v>0</v>
      </c>
      <c r="BD668">
        <f>IF(AND(AU668=1,ISNUMBER(AW668),BB668=1),$AW668,1)</f>
        <v>0</v>
      </c>
      <c r="BE668">
        <f>IF(ISNUMBER(AB668),INDEX(AllCollegeILPub, MATCH(N668,AllCollegeNCES,0)),0)</f>
        <v>0</v>
      </c>
      <c r="BF668">
        <f>IF(AN668=ReachLabel,AS668,0)</f>
        <v>0</v>
      </c>
      <c r="BG668">
        <f>IF(AN668=MatchLabel,AS668,0)</f>
        <v>0</v>
      </c>
      <c r="BH668">
        <f>IF(AN668=SafetyLabel,AS668,0)</f>
        <v>0</v>
      </c>
      <c r="BI668">
        <f>IF(AN668=SecureLabel,AS668,0)</f>
        <v>0</v>
      </c>
      <c r="BJ668">
        <f>IF(AN668=SureThingLabel,AS668,0)</f>
        <v>0</v>
      </c>
      <c r="BK668">
        <f>MAX(BF668:BJ668)</f>
        <v>0</v>
      </c>
      <c r="BL668">
        <f>MAX(BG668:BJ668)</f>
        <v>0</v>
      </c>
      <c r="BM668">
        <f>MAX(BH668:BJ668)</f>
        <v>0</v>
      </c>
      <c r="BN668">
        <f>IF(AND(AN668=ReachLabel,BB668=1),AS668,0)</f>
        <v>0</v>
      </c>
      <c r="BO668">
        <f>IF(AND(AN668=MatchLabel,BB668=1),AS668,0)</f>
        <v>0</v>
      </c>
      <c r="BP668">
        <f>IF(AND(AN668=SafetyLabel,BB668=1),AS668,0)</f>
        <v>0</v>
      </c>
      <c r="BQ668">
        <f>IF(AND(AN668=SecureLabel,BB668=1),AS668,0)</f>
        <v>0</v>
      </c>
      <c r="BR668">
        <f>IF(AND(AN668=SureThingLabel,BB668=1),AS668,0)</f>
        <v>0</v>
      </c>
      <c r="BS668">
        <f>MAX(BN668:BR668)</f>
        <v>0</v>
      </c>
      <c r="BT668">
        <f>MAX(BO668:BR668)</f>
        <v>0</v>
      </c>
      <c r="BU668">
        <f>MAX(BP668:BR668)</f>
        <v>0</v>
      </c>
      <c r="BV668">
        <f>IF(ISNUMBER(AB668),INDEX(AllCollegeChicago, MATCH(N668,AllCollegeNCES,0))*BB668,0)</f>
        <v>0</v>
      </c>
      <c r="BW668">
        <f>IF(ISNUMBER(AB668),INDEX(AllCollegeMoneyCode, MATCH(N668,AllCollegeNCES,0)),"?")</f>
        <v>0</v>
      </c>
      <c r="BX668">
        <f>IF(OR(BW668="---",BW668="--",BW668="+/--",BW668="+/---"),1,0)</f>
        <v>0</v>
      </c>
      <c r="BY668">
        <f>BB668*AR668*AT668</f>
        <v>0</v>
      </c>
    </row>
    <row r="669" spans="1:77">
      <c r="A669" t="s">
        <v>96</v>
      </c>
      <c r="B669">
        <v>24597473</v>
      </c>
      <c r="C669" t="s">
        <v>342</v>
      </c>
      <c r="D669" t="s">
        <v>343</v>
      </c>
      <c r="E669" t="s">
        <v>446</v>
      </c>
      <c r="F669" t="s">
        <v>500</v>
      </c>
      <c r="G669" t="s">
        <v>448</v>
      </c>
      <c r="H669" t="s">
        <v>449</v>
      </c>
      <c r="I669" t="s">
        <v>450</v>
      </c>
      <c r="J669" t="s">
        <v>450</v>
      </c>
      <c r="K669">
        <v>0</v>
      </c>
      <c r="L669" t="s">
        <v>446</v>
      </c>
      <c r="M669" t="s">
        <v>446</v>
      </c>
      <c r="N669">
        <v>153384</v>
      </c>
      <c r="O669">
        <f>INDEX(Counselor,MATCH(B669,KidIDs,0))</f>
        <v>0</v>
      </c>
      <c r="P669">
        <f>INDEX(Advisors,MATCH(B669,KidIDs,0))</f>
        <v>0</v>
      </c>
      <c r="Q669">
        <f>INDEX(Cohort,MATCH(B669,KidIDs,0))</f>
        <v>0</v>
      </c>
      <c r="R669">
        <f>INDEX(AllCollegeBarrons,MATCH(N669,AllCollegeNCES,0))</f>
        <v>0</v>
      </c>
      <c r="S669">
        <f>INDEX(KidGPAs,MATCH(B669,KidIDs,0))</f>
        <v>0</v>
      </c>
      <c r="T669">
        <f>INDEX(KidSATs,MATCH(B669,KidIDs,0))</f>
        <v>0</v>
      </c>
      <c r="U669">
        <f>INDEX(Strats,MATCH(B669,KidIDs,0))</f>
        <v>0</v>
      </c>
      <c r="V669">
        <f>INDEX(KidRace,MATCH(B669,KidIDs,0))</f>
        <v>0</v>
      </c>
      <c r="W669">
        <f>IF(OR(V669="M",V669="I"),"H",IF(V669="P","A",V669))</f>
        <v>0</v>
      </c>
      <c r="X669">
        <f>INDEX(StudentTargets,MATCH(B669,KidIDs,0))</f>
        <v>0</v>
      </c>
      <c r="Y669">
        <f>INDEX(ReachStudentTargets,MATCH(B669,KidIDs,0))</f>
        <v>0</v>
      </c>
      <c r="Z669">
        <f>IF(OR(M669="Posse"),1,0)</f>
        <v>0</v>
      </c>
      <c r="AA669">
        <f>IF(ISNUMBER(INDEX(AllCollegeGR, MATCH(N669,AllCollegeNCES,0))),ROUND(INDEX(AllCollegeGR, MATCH(N669,AllCollegeNCES,0))+Z669*IF(INDEX(AllCollegeGR, MATCH(N669,AllCollegeNCES,0))&gt;0.7,(1-INDEX(AllCollegeGR, MATCH(N669,AllCollegeNCES,0)))/2,0.15),2),INDEX(AllCollegeGR, MATCH(N669,AllCollegeNCES,0)))</f>
        <v>0</v>
      </c>
      <c r="AB669">
        <f>IF(ISNUMBER(INDEX(AllCollegeAAHGR, MATCH(N669,AllCollegeNCES,0))),ROUND(INDEX(AllCollegeAAHGR, MATCH(N669,AllCollegeNCES,0))+Z669*IF(INDEX(AllCollegeAAHGR, MATCH(N669,AllCollegeNCES,0))&gt;0.7,(1-INDEX(AllCollegeAAHGR, MATCH(N669,AllCollegeNCES,0)))/2,0.15),2),INDEX(AllCollegeAAHGR, MATCH(N669,AllCollegeNCES,0)))</f>
        <v>0</v>
      </c>
      <c r="AC669">
        <f>IF(OR(W669="H",W669="B"),INDEX(AllCollegeSAT25, MATCH(N669,AllCollegeNCES,0)),INDEX(AllCollegeSAT50, MATCH(N669,AllCollegeNCES,0)))</f>
        <v>0</v>
      </c>
      <c r="AD669">
        <f>INDEX(CustomWeightsGPA,MATCH(W669&amp;":"&amp;N669,CustomWeightsIndex,0))</f>
        <v>0</v>
      </c>
      <c r="AE669">
        <f>INDEX(CustomWeightsSAT,MATCH(W669&amp;":"&amp;N669,CustomWeightsIndex,0))</f>
        <v>0</v>
      </c>
      <c r="AF669">
        <f>INDEX(CustomWeightsIntercept,MATCH(W669&amp;":"&amp;N669,CustomWeightsIndex,0))</f>
        <v>0</v>
      </c>
      <c r="AG669">
        <f>AD669*S669+AE669*T669+AF669</f>
        <v>0</v>
      </c>
      <c r="AH669">
        <f>INDEX(CoefficientsGPA,MATCH(W669&amp;":"&amp;R669,CoefficientsIndex,0))</f>
        <v>0</v>
      </c>
      <c r="AI669">
        <f>INDEX(CoefficientsSAT,MATCH(W669&amp;":"&amp;R669,CoefficientsIndex,0))</f>
        <v>0</v>
      </c>
      <c r="AJ669">
        <f>INDEX(CoefficientsIntercept,MATCH(W669&amp;":"&amp;R669,CoefficientsIndex,0))</f>
        <v>0</v>
      </c>
      <c r="AK669">
        <f>AH669*S669+(T669-AC669)*AI669+AJ669</f>
        <v>0</v>
      </c>
      <c r="AL669">
        <f>IF(ISNUMBER(AG669),AG669,AK669)</f>
        <v>0</v>
      </c>
      <c r="AM669">
        <f>IF(ISNUMBER(AL669),IF(ISNUMBER(AH669),IF(AND(AH669=1,AI669=1,AJ669=1),100,MIN(99,ROUND(100*EXP(AL669)/(1+EXP(AL669)),2))),MIN(99,ROUND(100*EXP(AL669)/(1+EXP(AL669)),2))),IF(ISTEXT(R669),IF(LEFT(R669,1)="2",100,"N/A"),"N/A"))</f>
        <v>0</v>
      </c>
      <c r="AN669">
        <f>IF(ISNUMBER(AM669),IF(AM669&gt;=99,IF(OR(U669=10,U669=11),MatchLabel,SureThingLabel),IF(AM669&gt;=95,SecureLabel,IF(AM669&gt;=80,SafetyLabel,IF(AM669&gt;=50,MatchLabel,IF(AM669&gt;=20,ReachLabel,IF(AM669&gt;=10,LongshotLabel,HailMaryLabel)))))),"Other")</f>
        <v>0</v>
      </c>
      <c r="AO669">
        <f>IF(OR(I669="accepted",I669="cond. accept",I669="summer admit"),IF(J669="yes","CHOICE!","Accepted!"),IF(I669="guar. transfer","Guar. Xfer",IF(I669="denied","Denied",IF(K669=1,"Waitlist",IF(L669=1,"Deferred",IF(G669="pending","Pending",IF(OR(G669="initial materials submitted",G669="mid-year submitted",G669="final submitted"),"Submitted",IF(H669="interest","Interest","?"))))))))</f>
        <v>0</v>
      </c>
      <c r="AP669">
        <f>IF(OR(AN669=ReachLabel,AN669=LongshotLabel,AN669=HailMaryLabel),1,0)</f>
        <v>0</v>
      </c>
      <c r="AQ669">
        <f>IF(OR(AP669=1,AN669=MatchLabel),1,0)</f>
        <v>0</v>
      </c>
      <c r="AR669">
        <f>IF(OR(AN669=MatchLabel,AN669=SafetyLabel,AN669=SecureLabel,AN669=SureThingLabel),1,0)</f>
        <v>0</v>
      </c>
      <c r="AS669">
        <f>IF(OR(W669="H",W669="B",W669="I",W669="M"),IF(ISNUMBER(AB669),ROUND(AB669,2),0),IF(ISNUMBER(AA669),ROUND(AA669,2),0))</f>
        <v>0</v>
      </c>
      <c r="AT669">
        <f>IF(AS669&gt;=X669,1,0)</f>
        <v>0</v>
      </c>
      <c r="AU669">
        <f>IF(AS669&gt;=Y669,1,0)</f>
        <v>0</v>
      </c>
      <c r="AV669">
        <f>IF(AS669&lt;(X669-0.10),1,0)</f>
        <v>0</v>
      </c>
      <c r="AW669">
        <f>1-AM669/100</f>
        <v>0</v>
      </c>
      <c r="AX669">
        <f>IF(AQ669=1,AW669,1)</f>
        <v>0</v>
      </c>
      <c r="AY669">
        <f>IF(AP669=1,AW669,1)</f>
        <v>0</v>
      </c>
      <c r="AZ669">
        <f>IF(AND(AT669=1,ISNUMBER(AW669)),$AW669,1)</f>
        <v>0</v>
      </c>
      <c r="BA669">
        <f>IF(AND(AU669=1,ISNUMBER(AW669)),$AW669,1)</f>
        <v>0</v>
      </c>
      <c r="BB669">
        <f>IF(ISNUMBER(AB669),INDEX(AllCollegeMoney, MATCH(N669,AllCollegeNCES,0)),0)</f>
        <v>0</v>
      </c>
      <c r="BC669">
        <f>IF(AND(AT669=1,ISNUMBER(AW669),BB669=1),$AW669,1)</f>
        <v>0</v>
      </c>
      <c r="BD669">
        <f>IF(AND(AU669=1,ISNUMBER(AW669),BB669=1),$AW669,1)</f>
        <v>0</v>
      </c>
      <c r="BE669">
        <f>IF(ISNUMBER(AB669),INDEX(AllCollegeILPub, MATCH(N669,AllCollegeNCES,0)),0)</f>
        <v>0</v>
      </c>
      <c r="BF669">
        <f>IF(AN669=ReachLabel,AS669,0)</f>
        <v>0</v>
      </c>
      <c r="BG669">
        <f>IF(AN669=MatchLabel,AS669,0)</f>
        <v>0</v>
      </c>
      <c r="BH669">
        <f>IF(AN669=SafetyLabel,AS669,0)</f>
        <v>0</v>
      </c>
      <c r="BI669">
        <f>IF(AN669=SecureLabel,AS669,0)</f>
        <v>0</v>
      </c>
      <c r="BJ669">
        <f>IF(AN669=SureThingLabel,AS669,0)</f>
        <v>0</v>
      </c>
      <c r="BK669">
        <f>MAX(BF669:BJ669)</f>
        <v>0</v>
      </c>
      <c r="BL669">
        <f>MAX(BG669:BJ669)</f>
        <v>0</v>
      </c>
      <c r="BM669">
        <f>MAX(BH669:BJ669)</f>
        <v>0</v>
      </c>
      <c r="BN669">
        <f>IF(AND(AN669=ReachLabel,BB669=1),AS669,0)</f>
        <v>0</v>
      </c>
      <c r="BO669">
        <f>IF(AND(AN669=MatchLabel,BB669=1),AS669,0)</f>
        <v>0</v>
      </c>
      <c r="BP669">
        <f>IF(AND(AN669=SafetyLabel,BB669=1),AS669,0)</f>
        <v>0</v>
      </c>
      <c r="BQ669">
        <f>IF(AND(AN669=SecureLabel,BB669=1),AS669,0)</f>
        <v>0</v>
      </c>
      <c r="BR669">
        <f>IF(AND(AN669=SureThingLabel,BB669=1),AS669,0)</f>
        <v>0</v>
      </c>
      <c r="BS669">
        <f>MAX(BN669:BR669)</f>
        <v>0</v>
      </c>
      <c r="BT669">
        <f>MAX(BO669:BR669)</f>
        <v>0</v>
      </c>
      <c r="BU669">
        <f>MAX(BP669:BR669)</f>
        <v>0</v>
      </c>
      <c r="BV669">
        <f>IF(ISNUMBER(AB669),INDEX(AllCollegeChicago, MATCH(N669,AllCollegeNCES,0))*BB669,0)</f>
        <v>0</v>
      </c>
      <c r="BW669">
        <f>IF(ISNUMBER(AB669),INDEX(AllCollegeMoneyCode, MATCH(N669,AllCollegeNCES,0)),"?")</f>
        <v>0</v>
      </c>
      <c r="BX669">
        <f>IF(OR(BW669="---",BW669="--",BW669="+/--",BW669="+/---"),1,0)</f>
        <v>0</v>
      </c>
      <c r="BY669">
        <f>BB669*AR669*AT669</f>
        <v>0</v>
      </c>
    </row>
    <row r="670" spans="1:77">
      <c r="A670" t="s">
        <v>96</v>
      </c>
      <c r="B670">
        <v>24597473</v>
      </c>
      <c r="C670" t="s">
        <v>342</v>
      </c>
      <c r="D670" t="s">
        <v>343</v>
      </c>
      <c r="E670" t="s">
        <v>446</v>
      </c>
      <c r="F670" t="s">
        <v>475</v>
      </c>
      <c r="G670" t="s">
        <v>448</v>
      </c>
      <c r="H670" t="s">
        <v>449</v>
      </c>
      <c r="I670" t="s">
        <v>450</v>
      </c>
      <c r="J670" t="s">
        <v>450</v>
      </c>
      <c r="K670">
        <v>0</v>
      </c>
      <c r="L670" t="s">
        <v>446</v>
      </c>
      <c r="M670" t="s">
        <v>446</v>
      </c>
      <c r="N670">
        <v>145637</v>
      </c>
      <c r="O670">
        <f>INDEX(Counselor,MATCH(B670,KidIDs,0))</f>
        <v>0</v>
      </c>
      <c r="P670">
        <f>INDEX(Advisors,MATCH(B670,KidIDs,0))</f>
        <v>0</v>
      </c>
      <c r="Q670">
        <f>INDEX(Cohort,MATCH(B670,KidIDs,0))</f>
        <v>0</v>
      </c>
      <c r="R670">
        <f>INDEX(AllCollegeBarrons,MATCH(N670,AllCollegeNCES,0))</f>
        <v>0</v>
      </c>
      <c r="S670">
        <f>INDEX(KidGPAs,MATCH(B670,KidIDs,0))</f>
        <v>0</v>
      </c>
      <c r="T670">
        <f>INDEX(KidSATs,MATCH(B670,KidIDs,0))</f>
        <v>0</v>
      </c>
      <c r="U670">
        <f>INDEX(Strats,MATCH(B670,KidIDs,0))</f>
        <v>0</v>
      </c>
      <c r="V670">
        <f>INDEX(KidRace,MATCH(B670,KidIDs,0))</f>
        <v>0</v>
      </c>
      <c r="W670">
        <f>IF(OR(V670="M",V670="I"),"H",IF(V670="P","A",V670))</f>
        <v>0</v>
      </c>
      <c r="X670">
        <f>INDEX(StudentTargets,MATCH(B670,KidIDs,0))</f>
        <v>0</v>
      </c>
      <c r="Y670">
        <f>INDEX(ReachStudentTargets,MATCH(B670,KidIDs,0))</f>
        <v>0</v>
      </c>
      <c r="Z670">
        <f>IF(OR(M670="Posse"),1,0)</f>
        <v>0</v>
      </c>
      <c r="AA670">
        <f>IF(ISNUMBER(INDEX(AllCollegeGR, MATCH(N670,AllCollegeNCES,0))),ROUND(INDEX(AllCollegeGR, MATCH(N670,AllCollegeNCES,0))+Z670*IF(INDEX(AllCollegeGR, MATCH(N670,AllCollegeNCES,0))&gt;0.7,(1-INDEX(AllCollegeGR, MATCH(N670,AllCollegeNCES,0)))/2,0.15),2),INDEX(AllCollegeGR, MATCH(N670,AllCollegeNCES,0)))</f>
        <v>0</v>
      </c>
      <c r="AB670">
        <f>IF(ISNUMBER(INDEX(AllCollegeAAHGR, MATCH(N670,AllCollegeNCES,0))),ROUND(INDEX(AllCollegeAAHGR, MATCH(N670,AllCollegeNCES,0))+Z670*IF(INDEX(AllCollegeAAHGR, MATCH(N670,AllCollegeNCES,0))&gt;0.7,(1-INDEX(AllCollegeAAHGR, MATCH(N670,AllCollegeNCES,0)))/2,0.15),2),INDEX(AllCollegeAAHGR, MATCH(N670,AllCollegeNCES,0)))</f>
        <v>0</v>
      </c>
      <c r="AC670">
        <f>IF(OR(W670="H",W670="B"),INDEX(AllCollegeSAT25, MATCH(N670,AllCollegeNCES,0)),INDEX(AllCollegeSAT50, MATCH(N670,AllCollegeNCES,0)))</f>
        <v>0</v>
      </c>
      <c r="AD670">
        <f>INDEX(CustomWeightsGPA,MATCH(W670&amp;":"&amp;N670,CustomWeightsIndex,0))</f>
        <v>0</v>
      </c>
      <c r="AE670">
        <f>INDEX(CustomWeightsSAT,MATCH(W670&amp;":"&amp;N670,CustomWeightsIndex,0))</f>
        <v>0</v>
      </c>
      <c r="AF670">
        <f>INDEX(CustomWeightsIntercept,MATCH(W670&amp;":"&amp;N670,CustomWeightsIndex,0))</f>
        <v>0</v>
      </c>
      <c r="AG670">
        <f>AD670*S670+AE670*T670+AF670</f>
        <v>0</v>
      </c>
      <c r="AH670">
        <f>INDEX(CoefficientsGPA,MATCH(W670&amp;":"&amp;R670,CoefficientsIndex,0))</f>
        <v>0</v>
      </c>
      <c r="AI670">
        <f>INDEX(CoefficientsSAT,MATCH(W670&amp;":"&amp;R670,CoefficientsIndex,0))</f>
        <v>0</v>
      </c>
      <c r="AJ670">
        <f>INDEX(CoefficientsIntercept,MATCH(W670&amp;":"&amp;R670,CoefficientsIndex,0))</f>
        <v>0</v>
      </c>
      <c r="AK670">
        <f>AH670*S670+(T670-AC670)*AI670+AJ670</f>
        <v>0</v>
      </c>
      <c r="AL670">
        <f>IF(ISNUMBER(AG670),AG670,AK670)</f>
        <v>0</v>
      </c>
      <c r="AM670">
        <f>IF(ISNUMBER(AL670),IF(ISNUMBER(AH670),IF(AND(AH670=1,AI670=1,AJ670=1),100,MIN(99,ROUND(100*EXP(AL670)/(1+EXP(AL670)),2))),MIN(99,ROUND(100*EXP(AL670)/(1+EXP(AL670)),2))),IF(ISTEXT(R670),IF(LEFT(R670,1)="2",100,"N/A"),"N/A"))</f>
        <v>0</v>
      </c>
      <c r="AN670">
        <f>IF(ISNUMBER(AM670),IF(AM670&gt;=99,IF(OR(U670=10,U670=11),MatchLabel,SureThingLabel),IF(AM670&gt;=95,SecureLabel,IF(AM670&gt;=80,SafetyLabel,IF(AM670&gt;=50,MatchLabel,IF(AM670&gt;=20,ReachLabel,IF(AM670&gt;=10,LongshotLabel,HailMaryLabel)))))),"Other")</f>
        <v>0</v>
      </c>
      <c r="AO670">
        <f>IF(OR(I670="accepted",I670="cond. accept",I670="summer admit"),IF(J670="yes","CHOICE!","Accepted!"),IF(I670="guar. transfer","Guar. Xfer",IF(I670="denied","Denied",IF(K670=1,"Waitlist",IF(L670=1,"Deferred",IF(G670="pending","Pending",IF(OR(G670="initial materials submitted",G670="mid-year submitted",G670="final submitted"),"Submitted",IF(H670="interest","Interest","?"))))))))</f>
        <v>0</v>
      </c>
      <c r="AP670">
        <f>IF(OR(AN670=ReachLabel,AN670=LongshotLabel,AN670=HailMaryLabel),1,0)</f>
        <v>0</v>
      </c>
      <c r="AQ670">
        <f>IF(OR(AP670=1,AN670=MatchLabel),1,0)</f>
        <v>0</v>
      </c>
      <c r="AR670">
        <f>IF(OR(AN670=MatchLabel,AN670=SafetyLabel,AN670=SecureLabel,AN670=SureThingLabel),1,0)</f>
        <v>0</v>
      </c>
      <c r="AS670">
        <f>IF(OR(W670="H",W670="B",W670="I",W670="M"),IF(ISNUMBER(AB670),ROUND(AB670,2),0),IF(ISNUMBER(AA670),ROUND(AA670,2),0))</f>
        <v>0</v>
      </c>
      <c r="AT670">
        <f>IF(AS670&gt;=X670,1,0)</f>
        <v>0</v>
      </c>
      <c r="AU670">
        <f>IF(AS670&gt;=Y670,1,0)</f>
        <v>0</v>
      </c>
      <c r="AV670">
        <f>IF(AS670&lt;(X670-0.10),1,0)</f>
        <v>0</v>
      </c>
      <c r="AW670">
        <f>1-AM670/100</f>
        <v>0</v>
      </c>
      <c r="AX670">
        <f>IF(AQ670=1,AW670,1)</f>
        <v>0</v>
      </c>
      <c r="AY670">
        <f>IF(AP670=1,AW670,1)</f>
        <v>0</v>
      </c>
      <c r="AZ670">
        <f>IF(AND(AT670=1,ISNUMBER(AW670)),$AW670,1)</f>
        <v>0</v>
      </c>
      <c r="BA670">
        <f>IF(AND(AU670=1,ISNUMBER(AW670)),$AW670,1)</f>
        <v>0</v>
      </c>
      <c r="BB670">
        <f>IF(ISNUMBER(AB670),INDEX(AllCollegeMoney, MATCH(N670,AllCollegeNCES,0)),0)</f>
        <v>0</v>
      </c>
      <c r="BC670">
        <f>IF(AND(AT670=1,ISNUMBER(AW670),BB670=1),$AW670,1)</f>
        <v>0</v>
      </c>
      <c r="BD670">
        <f>IF(AND(AU670=1,ISNUMBER(AW670),BB670=1),$AW670,1)</f>
        <v>0</v>
      </c>
      <c r="BE670">
        <f>IF(ISNUMBER(AB670),INDEX(AllCollegeILPub, MATCH(N670,AllCollegeNCES,0)),0)</f>
        <v>0</v>
      </c>
      <c r="BF670">
        <f>IF(AN670=ReachLabel,AS670,0)</f>
        <v>0</v>
      </c>
      <c r="BG670">
        <f>IF(AN670=MatchLabel,AS670,0)</f>
        <v>0</v>
      </c>
      <c r="BH670">
        <f>IF(AN670=SafetyLabel,AS670,0)</f>
        <v>0</v>
      </c>
      <c r="BI670">
        <f>IF(AN670=SecureLabel,AS670,0)</f>
        <v>0</v>
      </c>
      <c r="BJ670">
        <f>IF(AN670=SureThingLabel,AS670,0)</f>
        <v>0</v>
      </c>
      <c r="BK670">
        <f>MAX(BF670:BJ670)</f>
        <v>0</v>
      </c>
      <c r="BL670">
        <f>MAX(BG670:BJ670)</f>
        <v>0</v>
      </c>
      <c r="BM670">
        <f>MAX(BH670:BJ670)</f>
        <v>0</v>
      </c>
      <c r="BN670">
        <f>IF(AND(AN670=ReachLabel,BB670=1),AS670,0)</f>
        <v>0</v>
      </c>
      <c r="BO670">
        <f>IF(AND(AN670=MatchLabel,BB670=1),AS670,0)</f>
        <v>0</v>
      </c>
      <c r="BP670">
        <f>IF(AND(AN670=SafetyLabel,BB670=1),AS670,0)</f>
        <v>0</v>
      </c>
      <c r="BQ670">
        <f>IF(AND(AN670=SecureLabel,BB670=1),AS670,0)</f>
        <v>0</v>
      </c>
      <c r="BR670">
        <f>IF(AND(AN670=SureThingLabel,BB670=1),AS670,0)</f>
        <v>0</v>
      </c>
      <c r="BS670">
        <f>MAX(BN670:BR670)</f>
        <v>0</v>
      </c>
      <c r="BT670">
        <f>MAX(BO670:BR670)</f>
        <v>0</v>
      </c>
      <c r="BU670">
        <f>MAX(BP670:BR670)</f>
        <v>0</v>
      </c>
      <c r="BV670">
        <f>IF(ISNUMBER(AB670),INDEX(AllCollegeChicago, MATCH(N670,AllCollegeNCES,0))*BB670,0)</f>
        <v>0</v>
      </c>
      <c r="BW670">
        <f>IF(ISNUMBER(AB670),INDEX(AllCollegeMoneyCode, MATCH(N670,AllCollegeNCES,0)),"?")</f>
        <v>0</v>
      </c>
      <c r="BX670">
        <f>IF(OR(BW670="---",BW670="--",BW670="+/--",BW670="+/---"),1,0)</f>
        <v>0</v>
      </c>
      <c r="BY670">
        <f>BB670*AR670*AT670</f>
        <v>0</v>
      </c>
    </row>
    <row r="671" spans="1:77">
      <c r="A671" t="s">
        <v>96</v>
      </c>
      <c r="B671">
        <v>24597473</v>
      </c>
      <c r="C671" t="s">
        <v>342</v>
      </c>
      <c r="D671" t="s">
        <v>343</v>
      </c>
      <c r="E671" t="s">
        <v>446</v>
      </c>
      <c r="F671" t="s">
        <v>513</v>
      </c>
      <c r="G671" t="s">
        <v>448</v>
      </c>
      <c r="H671" t="s">
        <v>449</v>
      </c>
      <c r="I671" t="s">
        <v>450</v>
      </c>
      <c r="J671" t="s">
        <v>450</v>
      </c>
      <c r="K671">
        <v>0</v>
      </c>
      <c r="L671" t="s">
        <v>446</v>
      </c>
      <c r="M671" t="s">
        <v>446</v>
      </c>
      <c r="N671">
        <v>195526</v>
      </c>
      <c r="O671">
        <f>INDEX(Counselor,MATCH(B671,KidIDs,0))</f>
        <v>0</v>
      </c>
      <c r="P671">
        <f>INDEX(Advisors,MATCH(B671,KidIDs,0))</f>
        <v>0</v>
      </c>
      <c r="Q671">
        <f>INDEX(Cohort,MATCH(B671,KidIDs,0))</f>
        <v>0</v>
      </c>
      <c r="R671">
        <f>INDEX(AllCollegeBarrons,MATCH(N671,AllCollegeNCES,0))</f>
        <v>0</v>
      </c>
      <c r="S671">
        <f>INDEX(KidGPAs,MATCH(B671,KidIDs,0))</f>
        <v>0</v>
      </c>
      <c r="T671">
        <f>INDEX(KidSATs,MATCH(B671,KidIDs,0))</f>
        <v>0</v>
      </c>
      <c r="U671">
        <f>INDEX(Strats,MATCH(B671,KidIDs,0))</f>
        <v>0</v>
      </c>
      <c r="V671">
        <f>INDEX(KidRace,MATCH(B671,KidIDs,0))</f>
        <v>0</v>
      </c>
      <c r="W671">
        <f>IF(OR(V671="M",V671="I"),"H",IF(V671="P","A",V671))</f>
        <v>0</v>
      </c>
      <c r="X671">
        <f>INDEX(StudentTargets,MATCH(B671,KidIDs,0))</f>
        <v>0</v>
      </c>
      <c r="Y671">
        <f>INDEX(ReachStudentTargets,MATCH(B671,KidIDs,0))</f>
        <v>0</v>
      </c>
      <c r="Z671">
        <f>IF(OR(M671="Posse"),1,0)</f>
        <v>0</v>
      </c>
      <c r="AA671">
        <f>IF(ISNUMBER(INDEX(AllCollegeGR, MATCH(N671,AllCollegeNCES,0))),ROUND(INDEX(AllCollegeGR, MATCH(N671,AllCollegeNCES,0))+Z671*IF(INDEX(AllCollegeGR, MATCH(N671,AllCollegeNCES,0))&gt;0.7,(1-INDEX(AllCollegeGR, MATCH(N671,AllCollegeNCES,0)))/2,0.15),2),INDEX(AllCollegeGR, MATCH(N671,AllCollegeNCES,0)))</f>
        <v>0</v>
      </c>
      <c r="AB671">
        <f>IF(ISNUMBER(INDEX(AllCollegeAAHGR, MATCH(N671,AllCollegeNCES,0))),ROUND(INDEX(AllCollegeAAHGR, MATCH(N671,AllCollegeNCES,0))+Z671*IF(INDEX(AllCollegeAAHGR, MATCH(N671,AllCollegeNCES,0))&gt;0.7,(1-INDEX(AllCollegeAAHGR, MATCH(N671,AllCollegeNCES,0)))/2,0.15),2),INDEX(AllCollegeAAHGR, MATCH(N671,AllCollegeNCES,0)))</f>
        <v>0</v>
      </c>
      <c r="AC671">
        <f>IF(OR(W671="H",W671="B"),INDEX(AllCollegeSAT25, MATCH(N671,AllCollegeNCES,0)),INDEX(AllCollegeSAT50, MATCH(N671,AllCollegeNCES,0)))</f>
        <v>0</v>
      </c>
      <c r="AD671">
        <f>INDEX(CustomWeightsGPA,MATCH(W671&amp;":"&amp;N671,CustomWeightsIndex,0))</f>
        <v>0</v>
      </c>
      <c r="AE671">
        <f>INDEX(CustomWeightsSAT,MATCH(W671&amp;":"&amp;N671,CustomWeightsIndex,0))</f>
        <v>0</v>
      </c>
      <c r="AF671">
        <f>INDEX(CustomWeightsIntercept,MATCH(W671&amp;":"&amp;N671,CustomWeightsIndex,0))</f>
        <v>0</v>
      </c>
      <c r="AG671">
        <f>AD671*S671+AE671*T671+AF671</f>
        <v>0</v>
      </c>
      <c r="AH671">
        <f>INDEX(CoefficientsGPA,MATCH(W671&amp;":"&amp;R671,CoefficientsIndex,0))</f>
        <v>0</v>
      </c>
      <c r="AI671">
        <f>INDEX(CoefficientsSAT,MATCH(W671&amp;":"&amp;R671,CoefficientsIndex,0))</f>
        <v>0</v>
      </c>
      <c r="AJ671">
        <f>INDEX(CoefficientsIntercept,MATCH(W671&amp;":"&amp;R671,CoefficientsIndex,0))</f>
        <v>0</v>
      </c>
      <c r="AK671">
        <f>AH671*S671+(T671-AC671)*AI671+AJ671</f>
        <v>0</v>
      </c>
      <c r="AL671">
        <f>IF(ISNUMBER(AG671),AG671,AK671)</f>
        <v>0</v>
      </c>
      <c r="AM671">
        <f>IF(ISNUMBER(AL671),IF(ISNUMBER(AH671),IF(AND(AH671=1,AI671=1,AJ671=1),100,MIN(99,ROUND(100*EXP(AL671)/(1+EXP(AL671)),2))),MIN(99,ROUND(100*EXP(AL671)/(1+EXP(AL671)),2))),IF(ISTEXT(R671),IF(LEFT(R671,1)="2",100,"N/A"),"N/A"))</f>
        <v>0</v>
      </c>
      <c r="AN671">
        <f>IF(ISNUMBER(AM671),IF(AM671&gt;=99,IF(OR(U671=10,U671=11),MatchLabel,SureThingLabel),IF(AM671&gt;=95,SecureLabel,IF(AM671&gt;=80,SafetyLabel,IF(AM671&gt;=50,MatchLabel,IF(AM671&gt;=20,ReachLabel,IF(AM671&gt;=10,LongshotLabel,HailMaryLabel)))))),"Other")</f>
        <v>0</v>
      </c>
      <c r="AO671">
        <f>IF(OR(I671="accepted",I671="cond. accept",I671="summer admit"),IF(J671="yes","CHOICE!","Accepted!"),IF(I671="guar. transfer","Guar. Xfer",IF(I671="denied","Denied",IF(K671=1,"Waitlist",IF(L671=1,"Deferred",IF(G671="pending","Pending",IF(OR(G671="initial materials submitted",G671="mid-year submitted",G671="final submitted"),"Submitted",IF(H671="interest","Interest","?"))))))))</f>
        <v>0</v>
      </c>
      <c r="AP671">
        <f>IF(OR(AN671=ReachLabel,AN671=LongshotLabel,AN671=HailMaryLabel),1,0)</f>
        <v>0</v>
      </c>
      <c r="AQ671">
        <f>IF(OR(AP671=1,AN671=MatchLabel),1,0)</f>
        <v>0</v>
      </c>
      <c r="AR671">
        <f>IF(OR(AN671=MatchLabel,AN671=SafetyLabel,AN671=SecureLabel,AN671=SureThingLabel),1,0)</f>
        <v>0</v>
      </c>
      <c r="AS671">
        <f>IF(OR(W671="H",W671="B",W671="I",W671="M"),IF(ISNUMBER(AB671),ROUND(AB671,2),0),IF(ISNUMBER(AA671),ROUND(AA671,2),0))</f>
        <v>0</v>
      </c>
      <c r="AT671">
        <f>IF(AS671&gt;=X671,1,0)</f>
        <v>0</v>
      </c>
      <c r="AU671">
        <f>IF(AS671&gt;=Y671,1,0)</f>
        <v>0</v>
      </c>
      <c r="AV671">
        <f>IF(AS671&lt;(X671-0.10),1,0)</f>
        <v>0</v>
      </c>
      <c r="AW671">
        <f>1-AM671/100</f>
        <v>0</v>
      </c>
      <c r="AX671">
        <f>IF(AQ671=1,AW671,1)</f>
        <v>0</v>
      </c>
      <c r="AY671">
        <f>IF(AP671=1,AW671,1)</f>
        <v>0</v>
      </c>
      <c r="AZ671">
        <f>IF(AND(AT671=1,ISNUMBER(AW671)),$AW671,1)</f>
        <v>0</v>
      </c>
      <c r="BA671">
        <f>IF(AND(AU671=1,ISNUMBER(AW671)),$AW671,1)</f>
        <v>0</v>
      </c>
      <c r="BB671">
        <f>IF(ISNUMBER(AB671),INDEX(AllCollegeMoney, MATCH(N671,AllCollegeNCES,0)),0)</f>
        <v>0</v>
      </c>
      <c r="BC671">
        <f>IF(AND(AT671=1,ISNUMBER(AW671),BB671=1),$AW671,1)</f>
        <v>0</v>
      </c>
      <c r="BD671">
        <f>IF(AND(AU671=1,ISNUMBER(AW671),BB671=1),$AW671,1)</f>
        <v>0</v>
      </c>
      <c r="BE671">
        <f>IF(ISNUMBER(AB671),INDEX(AllCollegeILPub, MATCH(N671,AllCollegeNCES,0)),0)</f>
        <v>0</v>
      </c>
      <c r="BF671">
        <f>IF(AN671=ReachLabel,AS671,0)</f>
        <v>0</v>
      </c>
      <c r="BG671">
        <f>IF(AN671=MatchLabel,AS671,0)</f>
        <v>0</v>
      </c>
      <c r="BH671">
        <f>IF(AN671=SafetyLabel,AS671,0)</f>
        <v>0</v>
      </c>
      <c r="BI671">
        <f>IF(AN671=SecureLabel,AS671,0)</f>
        <v>0</v>
      </c>
      <c r="BJ671">
        <f>IF(AN671=SureThingLabel,AS671,0)</f>
        <v>0</v>
      </c>
      <c r="BK671">
        <f>MAX(BF671:BJ671)</f>
        <v>0</v>
      </c>
      <c r="BL671">
        <f>MAX(BG671:BJ671)</f>
        <v>0</v>
      </c>
      <c r="BM671">
        <f>MAX(BH671:BJ671)</f>
        <v>0</v>
      </c>
      <c r="BN671">
        <f>IF(AND(AN671=ReachLabel,BB671=1),AS671,0)</f>
        <v>0</v>
      </c>
      <c r="BO671">
        <f>IF(AND(AN671=MatchLabel,BB671=1),AS671,0)</f>
        <v>0</v>
      </c>
      <c r="BP671">
        <f>IF(AND(AN671=SafetyLabel,BB671=1),AS671,0)</f>
        <v>0</v>
      </c>
      <c r="BQ671">
        <f>IF(AND(AN671=SecureLabel,BB671=1),AS671,0)</f>
        <v>0</v>
      </c>
      <c r="BR671">
        <f>IF(AND(AN671=SureThingLabel,BB671=1),AS671,0)</f>
        <v>0</v>
      </c>
      <c r="BS671">
        <f>MAX(BN671:BR671)</f>
        <v>0</v>
      </c>
      <c r="BT671">
        <f>MAX(BO671:BR671)</f>
        <v>0</v>
      </c>
      <c r="BU671">
        <f>MAX(BP671:BR671)</f>
        <v>0</v>
      </c>
      <c r="BV671">
        <f>IF(ISNUMBER(AB671),INDEX(AllCollegeChicago, MATCH(N671,AllCollegeNCES,0))*BB671,0)</f>
        <v>0</v>
      </c>
      <c r="BW671">
        <f>IF(ISNUMBER(AB671),INDEX(AllCollegeMoneyCode, MATCH(N671,AllCollegeNCES,0)),"?")</f>
        <v>0</v>
      </c>
      <c r="BX671">
        <f>IF(OR(BW671="---",BW671="--",BW671="+/--",BW671="+/---"),1,0)</f>
        <v>0</v>
      </c>
      <c r="BY671">
        <f>BB671*AR671*AT671</f>
        <v>0</v>
      </c>
    </row>
    <row r="672" spans="1:77">
      <c r="A672" t="s">
        <v>96</v>
      </c>
      <c r="B672">
        <v>24597473</v>
      </c>
      <c r="C672" t="s">
        <v>342</v>
      </c>
      <c r="D672" t="s">
        <v>343</v>
      </c>
      <c r="E672" t="s">
        <v>446</v>
      </c>
      <c r="F672" t="s">
        <v>486</v>
      </c>
      <c r="G672" t="s">
        <v>448</v>
      </c>
      <c r="H672" t="s">
        <v>449</v>
      </c>
      <c r="I672" t="s">
        <v>450</v>
      </c>
      <c r="J672" t="s">
        <v>450</v>
      </c>
      <c r="K672">
        <v>0</v>
      </c>
      <c r="L672" t="s">
        <v>446</v>
      </c>
      <c r="M672" t="s">
        <v>446</v>
      </c>
      <c r="N672">
        <v>206589</v>
      </c>
      <c r="O672">
        <f>INDEX(Counselor,MATCH(B672,KidIDs,0))</f>
        <v>0</v>
      </c>
      <c r="P672">
        <f>INDEX(Advisors,MATCH(B672,KidIDs,0))</f>
        <v>0</v>
      </c>
      <c r="Q672">
        <f>INDEX(Cohort,MATCH(B672,KidIDs,0))</f>
        <v>0</v>
      </c>
      <c r="R672">
        <f>INDEX(AllCollegeBarrons,MATCH(N672,AllCollegeNCES,0))</f>
        <v>0</v>
      </c>
      <c r="S672">
        <f>INDEX(KidGPAs,MATCH(B672,KidIDs,0))</f>
        <v>0</v>
      </c>
      <c r="T672">
        <f>INDEX(KidSATs,MATCH(B672,KidIDs,0))</f>
        <v>0</v>
      </c>
      <c r="U672">
        <f>INDEX(Strats,MATCH(B672,KidIDs,0))</f>
        <v>0</v>
      </c>
      <c r="V672">
        <f>INDEX(KidRace,MATCH(B672,KidIDs,0))</f>
        <v>0</v>
      </c>
      <c r="W672">
        <f>IF(OR(V672="M",V672="I"),"H",IF(V672="P","A",V672))</f>
        <v>0</v>
      </c>
      <c r="X672">
        <f>INDEX(StudentTargets,MATCH(B672,KidIDs,0))</f>
        <v>0</v>
      </c>
      <c r="Y672">
        <f>INDEX(ReachStudentTargets,MATCH(B672,KidIDs,0))</f>
        <v>0</v>
      </c>
      <c r="Z672">
        <f>IF(OR(M672="Posse"),1,0)</f>
        <v>0</v>
      </c>
      <c r="AA672">
        <f>IF(ISNUMBER(INDEX(AllCollegeGR, MATCH(N672,AllCollegeNCES,0))),ROUND(INDEX(AllCollegeGR, MATCH(N672,AllCollegeNCES,0))+Z672*IF(INDEX(AllCollegeGR, MATCH(N672,AllCollegeNCES,0))&gt;0.7,(1-INDEX(AllCollegeGR, MATCH(N672,AllCollegeNCES,0)))/2,0.15),2),INDEX(AllCollegeGR, MATCH(N672,AllCollegeNCES,0)))</f>
        <v>0</v>
      </c>
      <c r="AB672">
        <f>IF(ISNUMBER(INDEX(AllCollegeAAHGR, MATCH(N672,AllCollegeNCES,0))),ROUND(INDEX(AllCollegeAAHGR, MATCH(N672,AllCollegeNCES,0))+Z672*IF(INDEX(AllCollegeAAHGR, MATCH(N672,AllCollegeNCES,0))&gt;0.7,(1-INDEX(AllCollegeAAHGR, MATCH(N672,AllCollegeNCES,0)))/2,0.15),2),INDEX(AllCollegeAAHGR, MATCH(N672,AllCollegeNCES,0)))</f>
        <v>0</v>
      </c>
      <c r="AC672">
        <f>IF(OR(W672="H",W672="B"),INDEX(AllCollegeSAT25, MATCH(N672,AllCollegeNCES,0)),INDEX(AllCollegeSAT50, MATCH(N672,AllCollegeNCES,0)))</f>
        <v>0</v>
      </c>
      <c r="AD672">
        <f>INDEX(CustomWeightsGPA,MATCH(W672&amp;":"&amp;N672,CustomWeightsIndex,0))</f>
        <v>0</v>
      </c>
      <c r="AE672">
        <f>INDEX(CustomWeightsSAT,MATCH(W672&amp;":"&amp;N672,CustomWeightsIndex,0))</f>
        <v>0</v>
      </c>
      <c r="AF672">
        <f>INDEX(CustomWeightsIntercept,MATCH(W672&amp;":"&amp;N672,CustomWeightsIndex,0))</f>
        <v>0</v>
      </c>
      <c r="AG672">
        <f>AD672*S672+AE672*T672+AF672</f>
        <v>0</v>
      </c>
      <c r="AH672">
        <f>INDEX(CoefficientsGPA,MATCH(W672&amp;":"&amp;R672,CoefficientsIndex,0))</f>
        <v>0</v>
      </c>
      <c r="AI672">
        <f>INDEX(CoefficientsSAT,MATCH(W672&amp;":"&amp;R672,CoefficientsIndex,0))</f>
        <v>0</v>
      </c>
      <c r="AJ672">
        <f>INDEX(CoefficientsIntercept,MATCH(W672&amp;":"&amp;R672,CoefficientsIndex,0))</f>
        <v>0</v>
      </c>
      <c r="AK672">
        <f>AH672*S672+(T672-AC672)*AI672+AJ672</f>
        <v>0</v>
      </c>
      <c r="AL672">
        <f>IF(ISNUMBER(AG672),AG672,AK672)</f>
        <v>0</v>
      </c>
      <c r="AM672">
        <f>IF(ISNUMBER(AL672),IF(ISNUMBER(AH672),IF(AND(AH672=1,AI672=1,AJ672=1),100,MIN(99,ROUND(100*EXP(AL672)/(1+EXP(AL672)),2))),MIN(99,ROUND(100*EXP(AL672)/(1+EXP(AL672)),2))),IF(ISTEXT(R672),IF(LEFT(R672,1)="2",100,"N/A"),"N/A"))</f>
        <v>0</v>
      </c>
      <c r="AN672">
        <f>IF(ISNUMBER(AM672),IF(AM672&gt;=99,IF(OR(U672=10,U672=11),MatchLabel,SureThingLabel),IF(AM672&gt;=95,SecureLabel,IF(AM672&gt;=80,SafetyLabel,IF(AM672&gt;=50,MatchLabel,IF(AM672&gt;=20,ReachLabel,IF(AM672&gt;=10,LongshotLabel,HailMaryLabel)))))),"Other")</f>
        <v>0</v>
      </c>
      <c r="AO672">
        <f>IF(OR(I672="accepted",I672="cond. accept",I672="summer admit"),IF(J672="yes","CHOICE!","Accepted!"),IF(I672="guar. transfer","Guar. Xfer",IF(I672="denied","Denied",IF(K672=1,"Waitlist",IF(L672=1,"Deferred",IF(G672="pending","Pending",IF(OR(G672="initial materials submitted",G672="mid-year submitted",G672="final submitted"),"Submitted",IF(H672="interest","Interest","?"))))))))</f>
        <v>0</v>
      </c>
      <c r="AP672">
        <f>IF(OR(AN672=ReachLabel,AN672=LongshotLabel,AN672=HailMaryLabel),1,0)</f>
        <v>0</v>
      </c>
      <c r="AQ672">
        <f>IF(OR(AP672=1,AN672=MatchLabel),1,0)</f>
        <v>0</v>
      </c>
      <c r="AR672">
        <f>IF(OR(AN672=MatchLabel,AN672=SafetyLabel,AN672=SecureLabel,AN672=SureThingLabel),1,0)</f>
        <v>0</v>
      </c>
      <c r="AS672">
        <f>IF(OR(W672="H",W672="B",W672="I",W672="M"),IF(ISNUMBER(AB672),ROUND(AB672,2),0),IF(ISNUMBER(AA672),ROUND(AA672,2),0))</f>
        <v>0</v>
      </c>
      <c r="AT672">
        <f>IF(AS672&gt;=X672,1,0)</f>
        <v>0</v>
      </c>
      <c r="AU672">
        <f>IF(AS672&gt;=Y672,1,0)</f>
        <v>0</v>
      </c>
      <c r="AV672">
        <f>IF(AS672&lt;(X672-0.10),1,0)</f>
        <v>0</v>
      </c>
      <c r="AW672">
        <f>1-AM672/100</f>
        <v>0</v>
      </c>
      <c r="AX672">
        <f>IF(AQ672=1,AW672,1)</f>
        <v>0</v>
      </c>
      <c r="AY672">
        <f>IF(AP672=1,AW672,1)</f>
        <v>0</v>
      </c>
      <c r="AZ672">
        <f>IF(AND(AT672=1,ISNUMBER(AW672)),$AW672,1)</f>
        <v>0</v>
      </c>
      <c r="BA672">
        <f>IF(AND(AU672=1,ISNUMBER(AW672)),$AW672,1)</f>
        <v>0</v>
      </c>
      <c r="BB672">
        <f>IF(ISNUMBER(AB672),INDEX(AllCollegeMoney, MATCH(N672,AllCollegeNCES,0)),0)</f>
        <v>0</v>
      </c>
      <c r="BC672">
        <f>IF(AND(AT672=1,ISNUMBER(AW672),BB672=1),$AW672,1)</f>
        <v>0</v>
      </c>
      <c r="BD672">
        <f>IF(AND(AU672=1,ISNUMBER(AW672),BB672=1),$AW672,1)</f>
        <v>0</v>
      </c>
      <c r="BE672">
        <f>IF(ISNUMBER(AB672),INDEX(AllCollegeILPub, MATCH(N672,AllCollegeNCES,0)),0)</f>
        <v>0</v>
      </c>
      <c r="BF672">
        <f>IF(AN672=ReachLabel,AS672,0)</f>
        <v>0</v>
      </c>
      <c r="BG672">
        <f>IF(AN672=MatchLabel,AS672,0)</f>
        <v>0</v>
      </c>
      <c r="BH672">
        <f>IF(AN672=SafetyLabel,AS672,0)</f>
        <v>0</v>
      </c>
      <c r="BI672">
        <f>IF(AN672=SecureLabel,AS672,0)</f>
        <v>0</v>
      </c>
      <c r="BJ672">
        <f>IF(AN672=SureThingLabel,AS672,0)</f>
        <v>0</v>
      </c>
      <c r="BK672">
        <f>MAX(BF672:BJ672)</f>
        <v>0</v>
      </c>
      <c r="BL672">
        <f>MAX(BG672:BJ672)</f>
        <v>0</v>
      </c>
      <c r="BM672">
        <f>MAX(BH672:BJ672)</f>
        <v>0</v>
      </c>
      <c r="BN672">
        <f>IF(AND(AN672=ReachLabel,BB672=1),AS672,0)</f>
        <v>0</v>
      </c>
      <c r="BO672">
        <f>IF(AND(AN672=MatchLabel,BB672=1),AS672,0)</f>
        <v>0</v>
      </c>
      <c r="BP672">
        <f>IF(AND(AN672=SafetyLabel,BB672=1),AS672,0)</f>
        <v>0</v>
      </c>
      <c r="BQ672">
        <f>IF(AND(AN672=SecureLabel,BB672=1),AS672,0)</f>
        <v>0</v>
      </c>
      <c r="BR672">
        <f>IF(AND(AN672=SureThingLabel,BB672=1),AS672,0)</f>
        <v>0</v>
      </c>
      <c r="BS672">
        <f>MAX(BN672:BR672)</f>
        <v>0</v>
      </c>
      <c r="BT672">
        <f>MAX(BO672:BR672)</f>
        <v>0</v>
      </c>
      <c r="BU672">
        <f>MAX(BP672:BR672)</f>
        <v>0</v>
      </c>
      <c r="BV672">
        <f>IF(ISNUMBER(AB672),INDEX(AllCollegeChicago, MATCH(N672,AllCollegeNCES,0))*BB672,0)</f>
        <v>0</v>
      </c>
      <c r="BW672">
        <f>IF(ISNUMBER(AB672),INDEX(AllCollegeMoneyCode, MATCH(N672,AllCollegeNCES,0)),"?")</f>
        <v>0</v>
      </c>
      <c r="BX672">
        <f>IF(OR(BW672="---",BW672="--",BW672="+/--",BW672="+/---"),1,0)</f>
        <v>0</v>
      </c>
      <c r="BY672">
        <f>BB672*AR672*AT672</f>
        <v>0</v>
      </c>
    </row>
    <row r="673" spans="1:77">
      <c r="A673" t="s">
        <v>96</v>
      </c>
      <c r="B673">
        <v>24597473</v>
      </c>
      <c r="C673" t="s">
        <v>342</v>
      </c>
      <c r="D673" t="s">
        <v>343</v>
      </c>
      <c r="E673" t="s">
        <v>446</v>
      </c>
      <c r="F673" t="s">
        <v>485</v>
      </c>
      <c r="G673" t="s">
        <v>448</v>
      </c>
      <c r="H673" t="s">
        <v>449</v>
      </c>
      <c r="I673" t="s">
        <v>450</v>
      </c>
      <c r="J673" t="s">
        <v>450</v>
      </c>
      <c r="K673">
        <v>0</v>
      </c>
      <c r="L673" t="s">
        <v>446</v>
      </c>
      <c r="M673" t="s">
        <v>446</v>
      </c>
      <c r="N673">
        <v>212009</v>
      </c>
      <c r="O673">
        <f>INDEX(Counselor,MATCH(B673,KidIDs,0))</f>
        <v>0</v>
      </c>
      <c r="P673">
        <f>INDEX(Advisors,MATCH(B673,KidIDs,0))</f>
        <v>0</v>
      </c>
      <c r="Q673">
        <f>INDEX(Cohort,MATCH(B673,KidIDs,0))</f>
        <v>0</v>
      </c>
      <c r="R673">
        <f>INDEX(AllCollegeBarrons,MATCH(N673,AllCollegeNCES,0))</f>
        <v>0</v>
      </c>
      <c r="S673">
        <f>INDEX(KidGPAs,MATCH(B673,KidIDs,0))</f>
        <v>0</v>
      </c>
      <c r="T673">
        <f>INDEX(KidSATs,MATCH(B673,KidIDs,0))</f>
        <v>0</v>
      </c>
      <c r="U673">
        <f>INDEX(Strats,MATCH(B673,KidIDs,0))</f>
        <v>0</v>
      </c>
      <c r="V673">
        <f>INDEX(KidRace,MATCH(B673,KidIDs,0))</f>
        <v>0</v>
      </c>
      <c r="W673">
        <f>IF(OR(V673="M",V673="I"),"H",IF(V673="P","A",V673))</f>
        <v>0</v>
      </c>
      <c r="X673">
        <f>INDEX(StudentTargets,MATCH(B673,KidIDs,0))</f>
        <v>0</v>
      </c>
      <c r="Y673">
        <f>INDEX(ReachStudentTargets,MATCH(B673,KidIDs,0))</f>
        <v>0</v>
      </c>
      <c r="Z673">
        <f>IF(OR(M673="Posse"),1,0)</f>
        <v>0</v>
      </c>
      <c r="AA673">
        <f>IF(ISNUMBER(INDEX(AllCollegeGR, MATCH(N673,AllCollegeNCES,0))),ROUND(INDEX(AllCollegeGR, MATCH(N673,AllCollegeNCES,0))+Z673*IF(INDEX(AllCollegeGR, MATCH(N673,AllCollegeNCES,0))&gt;0.7,(1-INDEX(AllCollegeGR, MATCH(N673,AllCollegeNCES,0)))/2,0.15),2),INDEX(AllCollegeGR, MATCH(N673,AllCollegeNCES,0)))</f>
        <v>0</v>
      </c>
      <c r="AB673">
        <f>IF(ISNUMBER(INDEX(AllCollegeAAHGR, MATCH(N673,AllCollegeNCES,0))),ROUND(INDEX(AllCollegeAAHGR, MATCH(N673,AllCollegeNCES,0))+Z673*IF(INDEX(AllCollegeAAHGR, MATCH(N673,AllCollegeNCES,0))&gt;0.7,(1-INDEX(AllCollegeAAHGR, MATCH(N673,AllCollegeNCES,0)))/2,0.15),2),INDEX(AllCollegeAAHGR, MATCH(N673,AllCollegeNCES,0)))</f>
        <v>0</v>
      </c>
      <c r="AC673">
        <f>IF(OR(W673="H",W673="B"),INDEX(AllCollegeSAT25, MATCH(N673,AllCollegeNCES,0)),INDEX(AllCollegeSAT50, MATCH(N673,AllCollegeNCES,0)))</f>
        <v>0</v>
      </c>
      <c r="AD673">
        <f>INDEX(CustomWeightsGPA,MATCH(W673&amp;":"&amp;N673,CustomWeightsIndex,0))</f>
        <v>0</v>
      </c>
      <c r="AE673">
        <f>INDEX(CustomWeightsSAT,MATCH(W673&amp;":"&amp;N673,CustomWeightsIndex,0))</f>
        <v>0</v>
      </c>
      <c r="AF673">
        <f>INDEX(CustomWeightsIntercept,MATCH(W673&amp;":"&amp;N673,CustomWeightsIndex,0))</f>
        <v>0</v>
      </c>
      <c r="AG673">
        <f>AD673*S673+AE673*T673+AF673</f>
        <v>0</v>
      </c>
      <c r="AH673">
        <f>INDEX(CoefficientsGPA,MATCH(W673&amp;":"&amp;R673,CoefficientsIndex,0))</f>
        <v>0</v>
      </c>
      <c r="AI673">
        <f>INDEX(CoefficientsSAT,MATCH(W673&amp;":"&amp;R673,CoefficientsIndex,0))</f>
        <v>0</v>
      </c>
      <c r="AJ673">
        <f>INDEX(CoefficientsIntercept,MATCH(W673&amp;":"&amp;R673,CoefficientsIndex,0))</f>
        <v>0</v>
      </c>
      <c r="AK673">
        <f>AH673*S673+(T673-AC673)*AI673+AJ673</f>
        <v>0</v>
      </c>
      <c r="AL673">
        <f>IF(ISNUMBER(AG673),AG673,AK673)</f>
        <v>0</v>
      </c>
      <c r="AM673">
        <f>IF(ISNUMBER(AL673),IF(ISNUMBER(AH673),IF(AND(AH673=1,AI673=1,AJ673=1),100,MIN(99,ROUND(100*EXP(AL673)/(1+EXP(AL673)),2))),MIN(99,ROUND(100*EXP(AL673)/(1+EXP(AL673)),2))),IF(ISTEXT(R673),IF(LEFT(R673,1)="2",100,"N/A"),"N/A"))</f>
        <v>0</v>
      </c>
      <c r="AN673">
        <f>IF(ISNUMBER(AM673),IF(AM673&gt;=99,IF(OR(U673=10,U673=11),MatchLabel,SureThingLabel),IF(AM673&gt;=95,SecureLabel,IF(AM673&gt;=80,SafetyLabel,IF(AM673&gt;=50,MatchLabel,IF(AM673&gt;=20,ReachLabel,IF(AM673&gt;=10,LongshotLabel,HailMaryLabel)))))),"Other")</f>
        <v>0</v>
      </c>
      <c r="AO673">
        <f>IF(OR(I673="accepted",I673="cond. accept",I673="summer admit"),IF(J673="yes","CHOICE!","Accepted!"),IF(I673="guar. transfer","Guar. Xfer",IF(I673="denied","Denied",IF(K673=1,"Waitlist",IF(L673=1,"Deferred",IF(G673="pending","Pending",IF(OR(G673="initial materials submitted",G673="mid-year submitted",G673="final submitted"),"Submitted",IF(H673="interest","Interest","?"))))))))</f>
        <v>0</v>
      </c>
      <c r="AP673">
        <f>IF(OR(AN673=ReachLabel,AN673=LongshotLabel,AN673=HailMaryLabel),1,0)</f>
        <v>0</v>
      </c>
      <c r="AQ673">
        <f>IF(OR(AP673=1,AN673=MatchLabel),1,0)</f>
        <v>0</v>
      </c>
      <c r="AR673">
        <f>IF(OR(AN673=MatchLabel,AN673=SafetyLabel,AN673=SecureLabel,AN673=SureThingLabel),1,0)</f>
        <v>0</v>
      </c>
      <c r="AS673">
        <f>IF(OR(W673="H",W673="B",W673="I",W673="M"),IF(ISNUMBER(AB673),ROUND(AB673,2),0),IF(ISNUMBER(AA673),ROUND(AA673,2),0))</f>
        <v>0</v>
      </c>
      <c r="AT673">
        <f>IF(AS673&gt;=X673,1,0)</f>
        <v>0</v>
      </c>
      <c r="AU673">
        <f>IF(AS673&gt;=Y673,1,0)</f>
        <v>0</v>
      </c>
      <c r="AV673">
        <f>IF(AS673&lt;(X673-0.10),1,0)</f>
        <v>0</v>
      </c>
      <c r="AW673">
        <f>1-AM673/100</f>
        <v>0</v>
      </c>
      <c r="AX673">
        <f>IF(AQ673=1,AW673,1)</f>
        <v>0</v>
      </c>
      <c r="AY673">
        <f>IF(AP673=1,AW673,1)</f>
        <v>0</v>
      </c>
      <c r="AZ673">
        <f>IF(AND(AT673=1,ISNUMBER(AW673)),$AW673,1)</f>
        <v>0</v>
      </c>
      <c r="BA673">
        <f>IF(AND(AU673=1,ISNUMBER(AW673)),$AW673,1)</f>
        <v>0</v>
      </c>
      <c r="BB673">
        <f>IF(ISNUMBER(AB673),INDEX(AllCollegeMoney, MATCH(N673,AllCollegeNCES,0)),0)</f>
        <v>0</v>
      </c>
      <c r="BC673">
        <f>IF(AND(AT673=1,ISNUMBER(AW673),BB673=1),$AW673,1)</f>
        <v>0</v>
      </c>
      <c r="BD673">
        <f>IF(AND(AU673=1,ISNUMBER(AW673),BB673=1),$AW673,1)</f>
        <v>0</v>
      </c>
      <c r="BE673">
        <f>IF(ISNUMBER(AB673),INDEX(AllCollegeILPub, MATCH(N673,AllCollegeNCES,0)),0)</f>
        <v>0</v>
      </c>
      <c r="BF673">
        <f>IF(AN673=ReachLabel,AS673,0)</f>
        <v>0</v>
      </c>
      <c r="BG673">
        <f>IF(AN673=MatchLabel,AS673,0)</f>
        <v>0</v>
      </c>
      <c r="BH673">
        <f>IF(AN673=SafetyLabel,AS673,0)</f>
        <v>0</v>
      </c>
      <c r="BI673">
        <f>IF(AN673=SecureLabel,AS673,0)</f>
        <v>0</v>
      </c>
      <c r="BJ673">
        <f>IF(AN673=SureThingLabel,AS673,0)</f>
        <v>0</v>
      </c>
      <c r="BK673">
        <f>MAX(BF673:BJ673)</f>
        <v>0</v>
      </c>
      <c r="BL673">
        <f>MAX(BG673:BJ673)</f>
        <v>0</v>
      </c>
      <c r="BM673">
        <f>MAX(BH673:BJ673)</f>
        <v>0</v>
      </c>
      <c r="BN673">
        <f>IF(AND(AN673=ReachLabel,BB673=1),AS673,0)</f>
        <v>0</v>
      </c>
      <c r="BO673">
        <f>IF(AND(AN673=MatchLabel,BB673=1),AS673,0)</f>
        <v>0</v>
      </c>
      <c r="BP673">
        <f>IF(AND(AN673=SafetyLabel,BB673=1),AS673,0)</f>
        <v>0</v>
      </c>
      <c r="BQ673">
        <f>IF(AND(AN673=SecureLabel,BB673=1),AS673,0)</f>
        <v>0</v>
      </c>
      <c r="BR673">
        <f>IF(AND(AN673=SureThingLabel,BB673=1),AS673,0)</f>
        <v>0</v>
      </c>
      <c r="BS673">
        <f>MAX(BN673:BR673)</f>
        <v>0</v>
      </c>
      <c r="BT673">
        <f>MAX(BO673:BR673)</f>
        <v>0</v>
      </c>
      <c r="BU673">
        <f>MAX(BP673:BR673)</f>
        <v>0</v>
      </c>
      <c r="BV673">
        <f>IF(ISNUMBER(AB673),INDEX(AllCollegeChicago, MATCH(N673,AllCollegeNCES,0))*BB673,0)</f>
        <v>0</v>
      </c>
      <c r="BW673">
        <f>IF(ISNUMBER(AB673),INDEX(AllCollegeMoneyCode, MATCH(N673,AllCollegeNCES,0)),"?")</f>
        <v>0</v>
      </c>
      <c r="BX673">
        <f>IF(OR(BW673="---",BW673="--",BW673="+/--",BW673="+/---"),1,0)</f>
        <v>0</v>
      </c>
      <c r="BY673">
        <f>BB673*AR673*AT673</f>
        <v>0</v>
      </c>
    </row>
    <row r="674" spans="1:77">
      <c r="A674" t="s">
        <v>96</v>
      </c>
      <c r="B674">
        <v>24597473</v>
      </c>
      <c r="C674" t="s">
        <v>342</v>
      </c>
      <c r="D674" t="s">
        <v>343</v>
      </c>
      <c r="E674" t="s">
        <v>446</v>
      </c>
      <c r="F674" t="s">
        <v>597</v>
      </c>
      <c r="G674" t="s">
        <v>479</v>
      </c>
      <c r="H674" t="s">
        <v>449</v>
      </c>
      <c r="I674" t="s">
        <v>450</v>
      </c>
      <c r="J674" t="s">
        <v>450</v>
      </c>
      <c r="K674">
        <v>0</v>
      </c>
      <c r="L674" t="s">
        <v>446</v>
      </c>
      <c r="M674" t="s">
        <v>446</v>
      </c>
      <c r="N674">
        <v>192819</v>
      </c>
      <c r="O674">
        <f>INDEX(Counselor,MATCH(B674,KidIDs,0))</f>
        <v>0</v>
      </c>
      <c r="P674">
        <f>INDEX(Advisors,MATCH(B674,KidIDs,0))</f>
        <v>0</v>
      </c>
      <c r="Q674">
        <f>INDEX(Cohort,MATCH(B674,KidIDs,0))</f>
        <v>0</v>
      </c>
      <c r="R674">
        <f>INDEX(AllCollegeBarrons,MATCH(N674,AllCollegeNCES,0))</f>
        <v>0</v>
      </c>
      <c r="S674">
        <f>INDEX(KidGPAs,MATCH(B674,KidIDs,0))</f>
        <v>0</v>
      </c>
      <c r="T674">
        <f>INDEX(KidSATs,MATCH(B674,KidIDs,0))</f>
        <v>0</v>
      </c>
      <c r="U674">
        <f>INDEX(Strats,MATCH(B674,KidIDs,0))</f>
        <v>0</v>
      </c>
      <c r="V674">
        <f>INDEX(KidRace,MATCH(B674,KidIDs,0))</f>
        <v>0</v>
      </c>
      <c r="W674">
        <f>IF(OR(V674="M",V674="I"),"H",IF(V674="P","A",V674))</f>
        <v>0</v>
      </c>
      <c r="X674">
        <f>INDEX(StudentTargets,MATCH(B674,KidIDs,0))</f>
        <v>0</v>
      </c>
      <c r="Y674">
        <f>INDEX(ReachStudentTargets,MATCH(B674,KidIDs,0))</f>
        <v>0</v>
      </c>
      <c r="Z674">
        <f>IF(OR(M674="Posse"),1,0)</f>
        <v>0</v>
      </c>
      <c r="AA674">
        <f>IF(ISNUMBER(INDEX(AllCollegeGR, MATCH(N674,AllCollegeNCES,0))),ROUND(INDEX(AllCollegeGR, MATCH(N674,AllCollegeNCES,0))+Z674*IF(INDEX(AllCollegeGR, MATCH(N674,AllCollegeNCES,0))&gt;0.7,(1-INDEX(AllCollegeGR, MATCH(N674,AllCollegeNCES,0)))/2,0.15),2),INDEX(AllCollegeGR, MATCH(N674,AllCollegeNCES,0)))</f>
        <v>0</v>
      </c>
      <c r="AB674">
        <f>IF(ISNUMBER(INDEX(AllCollegeAAHGR, MATCH(N674,AllCollegeNCES,0))),ROUND(INDEX(AllCollegeAAHGR, MATCH(N674,AllCollegeNCES,0))+Z674*IF(INDEX(AllCollegeAAHGR, MATCH(N674,AllCollegeNCES,0))&gt;0.7,(1-INDEX(AllCollegeAAHGR, MATCH(N674,AllCollegeNCES,0)))/2,0.15),2),INDEX(AllCollegeAAHGR, MATCH(N674,AllCollegeNCES,0)))</f>
        <v>0</v>
      </c>
      <c r="AC674">
        <f>IF(OR(W674="H",W674="B"),INDEX(AllCollegeSAT25, MATCH(N674,AllCollegeNCES,0)),INDEX(AllCollegeSAT50, MATCH(N674,AllCollegeNCES,0)))</f>
        <v>0</v>
      </c>
      <c r="AD674">
        <f>INDEX(CustomWeightsGPA,MATCH(W674&amp;":"&amp;N674,CustomWeightsIndex,0))</f>
        <v>0</v>
      </c>
      <c r="AE674">
        <f>INDEX(CustomWeightsSAT,MATCH(W674&amp;":"&amp;N674,CustomWeightsIndex,0))</f>
        <v>0</v>
      </c>
      <c r="AF674">
        <f>INDEX(CustomWeightsIntercept,MATCH(W674&amp;":"&amp;N674,CustomWeightsIndex,0))</f>
        <v>0</v>
      </c>
      <c r="AG674">
        <f>AD674*S674+AE674*T674+AF674</f>
        <v>0</v>
      </c>
      <c r="AH674">
        <f>INDEX(CoefficientsGPA,MATCH(W674&amp;":"&amp;R674,CoefficientsIndex,0))</f>
        <v>0</v>
      </c>
      <c r="AI674">
        <f>INDEX(CoefficientsSAT,MATCH(W674&amp;":"&amp;R674,CoefficientsIndex,0))</f>
        <v>0</v>
      </c>
      <c r="AJ674">
        <f>INDEX(CoefficientsIntercept,MATCH(W674&amp;":"&amp;R674,CoefficientsIndex,0))</f>
        <v>0</v>
      </c>
      <c r="AK674">
        <f>AH674*S674+(T674-AC674)*AI674+AJ674</f>
        <v>0</v>
      </c>
      <c r="AL674">
        <f>IF(ISNUMBER(AG674),AG674,AK674)</f>
        <v>0</v>
      </c>
      <c r="AM674">
        <f>IF(ISNUMBER(AL674),IF(ISNUMBER(AH674),IF(AND(AH674=1,AI674=1,AJ674=1),100,MIN(99,ROUND(100*EXP(AL674)/(1+EXP(AL674)),2))),MIN(99,ROUND(100*EXP(AL674)/(1+EXP(AL674)),2))),IF(ISTEXT(R674),IF(LEFT(R674,1)="2",100,"N/A"),"N/A"))</f>
        <v>0</v>
      </c>
      <c r="AN674">
        <f>IF(ISNUMBER(AM674),IF(AM674&gt;=99,IF(OR(U674=10,U674=11),MatchLabel,SureThingLabel),IF(AM674&gt;=95,SecureLabel,IF(AM674&gt;=80,SafetyLabel,IF(AM674&gt;=50,MatchLabel,IF(AM674&gt;=20,ReachLabel,IF(AM674&gt;=10,LongshotLabel,HailMaryLabel)))))),"Other")</f>
        <v>0</v>
      </c>
      <c r="AO674">
        <f>IF(OR(I674="accepted",I674="cond. accept",I674="summer admit"),IF(J674="yes","CHOICE!","Accepted!"),IF(I674="guar. transfer","Guar. Xfer",IF(I674="denied","Denied",IF(K674=1,"Waitlist",IF(L674=1,"Deferred",IF(G674="pending","Pending",IF(OR(G674="initial materials submitted",G674="mid-year submitted",G674="final submitted"),"Submitted",IF(H674="interest","Interest","?"))))))))</f>
        <v>0</v>
      </c>
      <c r="AP674">
        <f>IF(OR(AN674=ReachLabel,AN674=LongshotLabel,AN674=HailMaryLabel),1,0)</f>
        <v>0</v>
      </c>
      <c r="AQ674">
        <f>IF(OR(AP674=1,AN674=MatchLabel),1,0)</f>
        <v>0</v>
      </c>
      <c r="AR674">
        <f>IF(OR(AN674=MatchLabel,AN674=SafetyLabel,AN674=SecureLabel,AN674=SureThingLabel),1,0)</f>
        <v>0</v>
      </c>
      <c r="AS674">
        <f>IF(OR(W674="H",W674="B",W674="I",W674="M"),IF(ISNUMBER(AB674),ROUND(AB674,2),0),IF(ISNUMBER(AA674),ROUND(AA674,2),0))</f>
        <v>0</v>
      </c>
      <c r="AT674">
        <f>IF(AS674&gt;=X674,1,0)</f>
        <v>0</v>
      </c>
      <c r="AU674">
        <f>IF(AS674&gt;=Y674,1,0)</f>
        <v>0</v>
      </c>
      <c r="AV674">
        <f>IF(AS674&lt;(X674-0.10),1,0)</f>
        <v>0</v>
      </c>
      <c r="AW674">
        <f>1-AM674/100</f>
        <v>0</v>
      </c>
      <c r="AX674">
        <f>IF(AQ674=1,AW674,1)</f>
        <v>0</v>
      </c>
      <c r="AY674">
        <f>IF(AP674=1,AW674,1)</f>
        <v>0</v>
      </c>
      <c r="AZ674">
        <f>IF(AND(AT674=1,ISNUMBER(AW674)),$AW674,1)</f>
        <v>0</v>
      </c>
      <c r="BA674">
        <f>IF(AND(AU674=1,ISNUMBER(AW674)),$AW674,1)</f>
        <v>0</v>
      </c>
      <c r="BB674">
        <f>IF(ISNUMBER(AB674),INDEX(AllCollegeMoney, MATCH(N674,AllCollegeNCES,0)),0)</f>
        <v>0</v>
      </c>
      <c r="BC674">
        <f>IF(AND(AT674=1,ISNUMBER(AW674),BB674=1),$AW674,1)</f>
        <v>0</v>
      </c>
      <c r="BD674">
        <f>IF(AND(AU674=1,ISNUMBER(AW674),BB674=1),$AW674,1)</f>
        <v>0</v>
      </c>
      <c r="BE674">
        <f>IF(ISNUMBER(AB674),INDEX(AllCollegeILPub, MATCH(N674,AllCollegeNCES,0)),0)</f>
        <v>0</v>
      </c>
      <c r="BF674">
        <f>IF(AN674=ReachLabel,AS674,0)</f>
        <v>0</v>
      </c>
      <c r="BG674">
        <f>IF(AN674=MatchLabel,AS674,0)</f>
        <v>0</v>
      </c>
      <c r="BH674">
        <f>IF(AN674=SafetyLabel,AS674,0)</f>
        <v>0</v>
      </c>
      <c r="BI674">
        <f>IF(AN674=SecureLabel,AS674,0)</f>
        <v>0</v>
      </c>
      <c r="BJ674">
        <f>IF(AN674=SureThingLabel,AS674,0)</f>
        <v>0</v>
      </c>
      <c r="BK674">
        <f>MAX(BF674:BJ674)</f>
        <v>0</v>
      </c>
      <c r="BL674">
        <f>MAX(BG674:BJ674)</f>
        <v>0</v>
      </c>
      <c r="BM674">
        <f>MAX(BH674:BJ674)</f>
        <v>0</v>
      </c>
      <c r="BN674">
        <f>IF(AND(AN674=ReachLabel,BB674=1),AS674,0)</f>
        <v>0</v>
      </c>
      <c r="BO674">
        <f>IF(AND(AN674=MatchLabel,BB674=1),AS674,0)</f>
        <v>0</v>
      </c>
      <c r="BP674">
        <f>IF(AND(AN674=SafetyLabel,BB674=1),AS674,0)</f>
        <v>0</v>
      </c>
      <c r="BQ674">
        <f>IF(AND(AN674=SecureLabel,BB674=1),AS674,0)</f>
        <v>0</v>
      </c>
      <c r="BR674">
        <f>IF(AND(AN674=SureThingLabel,BB674=1),AS674,0)</f>
        <v>0</v>
      </c>
      <c r="BS674">
        <f>MAX(BN674:BR674)</f>
        <v>0</v>
      </c>
      <c r="BT674">
        <f>MAX(BO674:BR674)</f>
        <v>0</v>
      </c>
      <c r="BU674">
        <f>MAX(BP674:BR674)</f>
        <v>0</v>
      </c>
      <c r="BV674">
        <f>IF(ISNUMBER(AB674),INDEX(AllCollegeChicago, MATCH(N674,AllCollegeNCES,0))*BB674,0)</f>
        <v>0</v>
      </c>
      <c r="BW674">
        <f>IF(ISNUMBER(AB674),INDEX(AllCollegeMoneyCode, MATCH(N674,AllCollegeNCES,0)),"?")</f>
        <v>0</v>
      </c>
      <c r="BX674">
        <f>IF(OR(BW674="---",BW674="--",BW674="+/--",BW674="+/---"),1,0)</f>
        <v>0</v>
      </c>
      <c r="BY674">
        <f>BB674*AR674*AT674</f>
        <v>0</v>
      </c>
    </row>
    <row r="675" spans="1:77">
      <c r="A675" t="s">
        <v>96</v>
      </c>
      <c r="B675">
        <v>24597473</v>
      </c>
      <c r="C675" t="s">
        <v>342</v>
      </c>
      <c r="D675" t="s">
        <v>343</v>
      </c>
      <c r="E675" t="s">
        <v>446</v>
      </c>
      <c r="F675" t="s">
        <v>471</v>
      </c>
      <c r="G675" t="s">
        <v>479</v>
      </c>
      <c r="H675" t="s">
        <v>449</v>
      </c>
      <c r="I675" t="s">
        <v>450</v>
      </c>
      <c r="J675" t="s">
        <v>450</v>
      </c>
      <c r="K675">
        <v>0</v>
      </c>
      <c r="L675" t="s">
        <v>446</v>
      </c>
      <c r="M675" t="s">
        <v>446</v>
      </c>
      <c r="N675">
        <v>202523</v>
      </c>
      <c r="O675">
        <f>INDEX(Counselor,MATCH(B675,KidIDs,0))</f>
        <v>0</v>
      </c>
      <c r="P675">
        <f>INDEX(Advisors,MATCH(B675,KidIDs,0))</f>
        <v>0</v>
      </c>
      <c r="Q675">
        <f>INDEX(Cohort,MATCH(B675,KidIDs,0))</f>
        <v>0</v>
      </c>
      <c r="R675">
        <f>INDEX(AllCollegeBarrons,MATCH(N675,AllCollegeNCES,0))</f>
        <v>0</v>
      </c>
      <c r="S675">
        <f>INDEX(KidGPAs,MATCH(B675,KidIDs,0))</f>
        <v>0</v>
      </c>
      <c r="T675">
        <f>INDEX(KidSATs,MATCH(B675,KidIDs,0))</f>
        <v>0</v>
      </c>
      <c r="U675">
        <f>INDEX(Strats,MATCH(B675,KidIDs,0))</f>
        <v>0</v>
      </c>
      <c r="V675">
        <f>INDEX(KidRace,MATCH(B675,KidIDs,0))</f>
        <v>0</v>
      </c>
      <c r="W675">
        <f>IF(OR(V675="M",V675="I"),"H",IF(V675="P","A",V675))</f>
        <v>0</v>
      </c>
      <c r="X675">
        <f>INDEX(StudentTargets,MATCH(B675,KidIDs,0))</f>
        <v>0</v>
      </c>
      <c r="Y675">
        <f>INDEX(ReachStudentTargets,MATCH(B675,KidIDs,0))</f>
        <v>0</v>
      </c>
      <c r="Z675">
        <f>IF(OR(M675="Posse"),1,0)</f>
        <v>0</v>
      </c>
      <c r="AA675">
        <f>IF(ISNUMBER(INDEX(AllCollegeGR, MATCH(N675,AllCollegeNCES,0))),ROUND(INDEX(AllCollegeGR, MATCH(N675,AllCollegeNCES,0))+Z675*IF(INDEX(AllCollegeGR, MATCH(N675,AllCollegeNCES,0))&gt;0.7,(1-INDEX(AllCollegeGR, MATCH(N675,AllCollegeNCES,0)))/2,0.15),2),INDEX(AllCollegeGR, MATCH(N675,AllCollegeNCES,0)))</f>
        <v>0</v>
      </c>
      <c r="AB675">
        <f>IF(ISNUMBER(INDEX(AllCollegeAAHGR, MATCH(N675,AllCollegeNCES,0))),ROUND(INDEX(AllCollegeAAHGR, MATCH(N675,AllCollegeNCES,0))+Z675*IF(INDEX(AllCollegeAAHGR, MATCH(N675,AllCollegeNCES,0))&gt;0.7,(1-INDEX(AllCollegeAAHGR, MATCH(N675,AllCollegeNCES,0)))/2,0.15),2),INDEX(AllCollegeAAHGR, MATCH(N675,AllCollegeNCES,0)))</f>
        <v>0</v>
      </c>
      <c r="AC675">
        <f>IF(OR(W675="H",W675="B"),INDEX(AllCollegeSAT25, MATCH(N675,AllCollegeNCES,0)),INDEX(AllCollegeSAT50, MATCH(N675,AllCollegeNCES,0)))</f>
        <v>0</v>
      </c>
      <c r="AD675">
        <f>INDEX(CustomWeightsGPA,MATCH(W675&amp;":"&amp;N675,CustomWeightsIndex,0))</f>
        <v>0</v>
      </c>
      <c r="AE675">
        <f>INDEX(CustomWeightsSAT,MATCH(W675&amp;":"&amp;N675,CustomWeightsIndex,0))</f>
        <v>0</v>
      </c>
      <c r="AF675">
        <f>INDEX(CustomWeightsIntercept,MATCH(W675&amp;":"&amp;N675,CustomWeightsIndex,0))</f>
        <v>0</v>
      </c>
      <c r="AG675">
        <f>AD675*S675+AE675*T675+AF675</f>
        <v>0</v>
      </c>
      <c r="AH675">
        <f>INDEX(CoefficientsGPA,MATCH(W675&amp;":"&amp;R675,CoefficientsIndex,0))</f>
        <v>0</v>
      </c>
      <c r="AI675">
        <f>INDEX(CoefficientsSAT,MATCH(W675&amp;":"&amp;R675,CoefficientsIndex,0))</f>
        <v>0</v>
      </c>
      <c r="AJ675">
        <f>INDEX(CoefficientsIntercept,MATCH(W675&amp;":"&amp;R675,CoefficientsIndex,0))</f>
        <v>0</v>
      </c>
      <c r="AK675">
        <f>AH675*S675+(T675-AC675)*AI675+AJ675</f>
        <v>0</v>
      </c>
      <c r="AL675">
        <f>IF(ISNUMBER(AG675),AG675,AK675)</f>
        <v>0</v>
      </c>
      <c r="AM675">
        <f>IF(ISNUMBER(AL675),IF(ISNUMBER(AH675),IF(AND(AH675=1,AI675=1,AJ675=1),100,MIN(99,ROUND(100*EXP(AL675)/(1+EXP(AL675)),2))),MIN(99,ROUND(100*EXP(AL675)/(1+EXP(AL675)),2))),IF(ISTEXT(R675),IF(LEFT(R675,1)="2",100,"N/A"),"N/A"))</f>
        <v>0</v>
      </c>
      <c r="AN675">
        <f>IF(ISNUMBER(AM675),IF(AM675&gt;=99,IF(OR(U675=10,U675=11),MatchLabel,SureThingLabel),IF(AM675&gt;=95,SecureLabel,IF(AM675&gt;=80,SafetyLabel,IF(AM675&gt;=50,MatchLabel,IF(AM675&gt;=20,ReachLabel,IF(AM675&gt;=10,LongshotLabel,HailMaryLabel)))))),"Other")</f>
        <v>0</v>
      </c>
      <c r="AO675">
        <f>IF(OR(I675="accepted",I675="cond. accept",I675="summer admit"),IF(J675="yes","CHOICE!","Accepted!"),IF(I675="guar. transfer","Guar. Xfer",IF(I675="denied","Denied",IF(K675=1,"Waitlist",IF(L675=1,"Deferred",IF(G675="pending","Pending",IF(OR(G675="initial materials submitted",G675="mid-year submitted",G675="final submitted"),"Submitted",IF(H675="interest","Interest","?"))))))))</f>
        <v>0</v>
      </c>
      <c r="AP675">
        <f>IF(OR(AN675=ReachLabel,AN675=LongshotLabel,AN675=HailMaryLabel),1,0)</f>
        <v>0</v>
      </c>
      <c r="AQ675">
        <f>IF(OR(AP675=1,AN675=MatchLabel),1,0)</f>
        <v>0</v>
      </c>
      <c r="AR675">
        <f>IF(OR(AN675=MatchLabel,AN675=SafetyLabel,AN675=SecureLabel,AN675=SureThingLabel),1,0)</f>
        <v>0</v>
      </c>
      <c r="AS675">
        <f>IF(OR(W675="H",W675="B",W675="I",W675="M"),IF(ISNUMBER(AB675),ROUND(AB675,2),0),IF(ISNUMBER(AA675),ROUND(AA675,2),0))</f>
        <v>0</v>
      </c>
      <c r="AT675">
        <f>IF(AS675&gt;=X675,1,0)</f>
        <v>0</v>
      </c>
      <c r="AU675">
        <f>IF(AS675&gt;=Y675,1,0)</f>
        <v>0</v>
      </c>
      <c r="AV675">
        <f>IF(AS675&lt;(X675-0.10),1,0)</f>
        <v>0</v>
      </c>
      <c r="AW675">
        <f>1-AM675/100</f>
        <v>0</v>
      </c>
      <c r="AX675">
        <f>IF(AQ675=1,AW675,1)</f>
        <v>0</v>
      </c>
      <c r="AY675">
        <f>IF(AP675=1,AW675,1)</f>
        <v>0</v>
      </c>
      <c r="AZ675">
        <f>IF(AND(AT675=1,ISNUMBER(AW675)),$AW675,1)</f>
        <v>0</v>
      </c>
      <c r="BA675">
        <f>IF(AND(AU675=1,ISNUMBER(AW675)),$AW675,1)</f>
        <v>0</v>
      </c>
      <c r="BB675">
        <f>IF(ISNUMBER(AB675),INDEX(AllCollegeMoney, MATCH(N675,AllCollegeNCES,0)),0)</f>
        <v>0</v>
      </c>
      <c r="BC675">
        <f>IF(AND(AT675=1,ISNUMBER(AW675),BB675=1),$AW675,1)</f>
        <v>0</v>
      </c>
      <c r="BD675">
        <f>IF(AND(AU675=1,ISNUMBER(AW675),BB675=1),$AW675,1)</f>
        <v>0</v>
      </c>
      <c r="BE675">
        <f>IF(ISNUMBER(AB675),INDEX(AllCollegeILPub, MATCH(N675,AllCollegeNCES,0)),0)</f>
        <v>0</v>
      </c>
      <c r="BF675">
        <f>IF(AN675=ReachLabel,AS675,0)</f>
        <v>0</v>
      </c>
      <c r="BG675">
        <f>IF(AN675=MatchLabel,AS675,0)</f>
        <v>0</v>
      </c>
      <c r="BH675">
        <f>IF(AN675=SafetyLabel,AS675,0)</f>
        <v>0</v>
      </c>
      <c r="BI675">
        <f>IF(AN675=SecureLabel,AS675,0)</f>
        <v>0</v>
      </c>
      <c r="BJ675">
        <f>IF(AN675=SureThingLabel,AS675,0)</f>
        <v>0</v>
      </c>
      <c r="BK675">
        <f>MAX(BF675:BJ675)</f>
        <v>0</v>
      </c>
      <c r="BL675">
        <f>MAX(BG675:BJ675)</f>
        <v>0</v>
      </c>
      <c r="BM675">
        <f>MAX(BH675:BJ675)</f>
        <v>0</v>
      </c>
      <c r="BN675">
        <f>IF(AND(AN675=ReachLabel,BB675=1),AS675,0)</f>
        <v>0</v>
      </c>
      <c r="BO675">
        <f>IF(AND(AN675=MatchLabel,BB675=1),AS675,0)</f>
        <v>0</v>
      </c>
      <c r="BP675">
        <f>IF(AND(AN675=SafetyLabel,BB675=1),AS675,0)</f>
        <v>0</v>
      </c>
      <c r="BQ675">
        <f>IF(AND(AN675=SecureLabel,BB675=1),AS675,0)</f>
        <v>0</v>
      </c>
      <c r="BR675">
        <f>IF(AND(AN675=SureThingLabel,BB675=1),AS675,0)</f>
        <v>0</v>
      </c>
      <c r="BS675">
        <f>MAX(BN675:BR675)</f>
        <v>0</v>
      </c>
      <c r="BT675">
        <f>MAX(BO675:BR675)</f>
        <v>0</v>
      </c>
      <c r="BU675">
        <f>MAX(BP675:BR675)</f>
        <v>0</v>
      </c>
      <c r="BV675">
        <f>IF(ISNUMBER(AB675),INDEX(AllCollegeChicago, MATCH(N675,AllCollegeNCES,0))*BB675,0)</f>
        <v>0</v>
      </c>
      <c r="BW675">
        <f>IF(ISNUMBER(AB675),INDEX(AllCollegeMoneyCode, MATCH(N675,AllCollegeNCES,0)),"?")</f>
        <v>0</v>
      </c>
      <c r="BX675">
        <f>IF(OR(BW675="---",BW675="--",BW675="+/--",BW675="+/---"),1,0)</f>
        <v>0</v>
      </c>
      <c r="BY675">
        <f>BB675*AR675*AT675</f>
        <v>0</v>
      </c>
    </row>
    <row r="676" spans="1:77">
      <c r="A676" t="s">
        <v>96</v>
      </c>
      <c r="B676">
        <v>24597473</v>
      </c>
      <c r="C676" t="s">
        <v>342</v>
      </c>
      <c r="D676" t="s">
        <v>343</v>
      </c>
      <c r="E676" t="s">
        <v>446</v>
      </c>
      <c r="F676" t="s">
        <v>489</v>
      </c>
      <c r="G676" t="s">
        <v>479</v>
      </c>
      <c r="H676" t="s">
        <v>449</v>
      </c>
      <c r="I676" t="s">
        <v>450</v>
      </c>
      <c r="J676" t="s">
        <v>450</v>
      </c>
      <c r="K676">
        <v>0</v>
      </c>
      <c r="L676" t="s">
        <v>446</v>
      </c>
      <c r="M676" t="s">
        <v>446</v>
      </c>
      <c r="N676">
        <v>170301</v>
      </c>
      <c r="O676">
        <f>INDEX(Counselor,MATCH(B676,KidIDs,0))</f>
        <v>0</v>
      </c>
      <c r="P676">
        <f>INDEX(Advisors,MATCH(B676,KidIDs,0))</f>
        <v>0</v>
      </c>
      <c r="Q676">
        <f>INDEX(Cohort,MATCH(B676,KidIDs,0))</f>
        <v>0</v>
      </c>
      <c r="R676">
        <f>INDEX(AllCollegeBarrons,MATCH(N676,AllCollegeNCES,0))</f>
        <v>0</v>
      </c>
      <c r="S676">
        <f>INDEX(KidGPAs,MATCH(B676,KidIDs,0))</f>
        <v>0</v>
      </c>
      <c r="T676">
        <f>INDEX(KidSATs,MATCH(B676,KidIDs,0))</f>
        <v>0</v>
      </c>
      <c r="U676">
        <f>INDEX(Strats,MATCH(B676,KidIDs,0))</f>
        <v>0</v>
      </c>
      <c r="V676">
        <f>INDEX(KidRace,MATCH(B676,KidIDs,0))</f>
        <v>0</v>
      </c>
      <c r="W676">
        <f>IF(OR(V676="M",V676="I"),"H",IF(V676="P","A",V676))</f>
        <v>0</v>
      </c>
      <c r="X676">
        <f>INDEX(StudentTargets,MATCH(B676,KidIDs,0))</f>
        <v>0</v>
      </c>
      <c r="Y676">
        <f>INDEX(ReachStudentTargets,MATCH(B676,KidIDs,0))</f>
        <v>0</v>
      </c>
      <c r="Z676">
        <f>IF(OR(M676="Posse"),1,0)</f>
        <v>0</v>
      </c>
      <c r="AA676">
        <f>IF(ISNUMBER(INDEX(AllCollegeGR, MATCH(N676,AllCollegeNCES,0))),ROUND(INDEX(AllCollegeGR, MATCH(N676,AllCollegeNCES,0))+Z676*IF(INDEX(AllCollegeGR, MATCH(N676,AllCollegeNCES,0))&gt;0.7,(1-INDEX(AllCollegeGR, MATCH(N676,AllCollegeNCES,0)))/2,0.15),2),INDEX(AllCollegeGR, MATCH(N676,AllCollegeNCES,0)))</f>
        <v>0</v>
      </c>
      <c r="AB676">
        <f>IF(ISNUMBER(INDEX(AllCollegeAAHGR, MATCH(N676,AllCollegeNCES,0))),ROUND(INDEX(AllCollegeAAHGR, MATCH(N676,AllCollegeNCES,0))+Z676*IF(INDEX(AllCollegeAAHGR, MATCH(N676,AllCollegeNCES,0))&gt;0.7,(1-INDEX(AllCollegeAAHGR, MATCH(N676,AllCollegeNCES,0)))/2,0.15),2),INDEX(AllCollegeAAHGR, MATCH(N676,AllCollegeNCES,0)))</f>
        <v>0</v>
      </c>
      <c r="AC676">
        <f>IF(OR(W676="H",W676="B"),INDEX(AllCollegeSAT25, MATCH(N676,AllCollegeNCES,0)),INDEX(AllCollegeSAT50, MATCH(N676,AllCollegeNCES,0)))</f>
        <v>0</v>
      </c>
      <c r="AD676">
        <f>INDEX(CustomWeightsGPA,MATCH(W676&amp;":"&amp;N676,CustomWeightsIndex,0))</f>
        <v>0</v>
      </c>
      <c r="AE676">
        <f>INDEX(CustomWeightsSAT,MATCH(W676&amp;":"&amp;N676,CustomWeightsIndex,0))</f>
        <v>0</v>
      </c>
      <c r="AF676">
        <f>INDEX(CustomWeightsIntercept,MATCH(W676&amp;":"&amp;N676,CustomWeightsIndex,0))</f>
        <v>0</v>
      </c>
      <c r="AG676">
        <f>AD676*S676+AE676*T676+AF676</f>
        <v>0</v>
      </c>
      <c r="AH676">
        <f>INDEX(CoefficientsGPA,MATCH(W676&amp;":"&amp;R676,CoefficientsIndex,0))</f>
        <v>0</v>
      </c>
      <c r="AI676">
        <f>INDEX(CoefficientsSAT,MATCH(W676&amp;":"&amp;R676,CoefficientsIndex,0))</f>
        <v>0</v>
      </c>
      <c r="AJ676">
        <f>INDEX(CoefficientsIntercept,MATCH(W676&amp;":"&amp;R676,CoefficientsIndex,0))</f>
        <v>0</v>
      </c>
      <c r="AK676">
        <f>AH676*S676+(T676-AC676)*AI676+AJ676</f>
        <v>0</v>
      </c>
      <c r="AL676">
        <f>IF(ISNUMBER(AG676),AG676,AK676)</f>
        <v>0</v>
      </c>
      <c r="AM676">
        <f>IF(ISNUMBER(AL676),IF(ISNUMBER(AH676),IF(AND(AH676=1,AI676=1,AJ676=1),100,MIN(99,ROUND(100*EXP(AL676)/(1+EXP(AL676)),2))),MIN(99,ROUND(100*EXP(AL676)/(1+EXP(AL676)),2))),IF(ISTEXT(R676),IF(LEFT(R676,1)="2",100,"N/A"),"N/A"))</f>
        <v>0</v>
      </c>
      <c r="AN676">
        <f>IF(ISNUMBER(AM676),IF(AM676&gt;=99,IF(OR(U676=10,U676=11),MatchLabel,SureThingLabel),IF(AM676&gt;=95,SecureLabel,IF(AM676&gt;=80,SafetyLabel,IF(AM676&gt;=50,MatchLabel,IF(AM676&gt;=20,ReachLabel,IF(AM676&gt;=10,LongshotLabel,HailMaryLabel)))))),"Other")</f>
        <v>0</v>
      </c>
      <c r="AO676">
        <f>IF(OR(I676="accepted",I676="cond. accept",I676="summer admit"),IF(J676="yes","CHOICE!","Accepted!"),IF(I676="guar. transfer","Guar. Xfer",IF(I676="denied","Denied",IF(K676=1,"Waitlist",IF(L676=1,"Deferred",IF(G676="pending","Pending",IF(OR(G676="initial materials submitted",G676="mid-year submitted",G676="final submitted"),"Submitted",IF(H676="interest","Interest","?"))))))))</f>
        <v>0</v>
      </c>
      <c r="AP676">
        <f>IF(OR(AN676=ReachLabel,AN676=LongshotLabel,AN676=HailMaryLabel),1,0)</f>
        <v>0</v>
      </c>
      <c r="AQ676">
        <f>IF(OR(AP676=1,AN676=MatchLabel),1,0)</f>
        <v>0</v>
      </c>
      <c r="AR676">
        <f>IF(OR(AN676=MatchLabel,AN676=SafetyLabel,AN676=SecureLabel,AN676=SureThingLabel),1,0)</f>
        <v>0</v>
      </c>
      <c r="AS676">
        <f>IF(OR(W676="H",W676="B",W676="I",W676="M"),IF(ISNUMBER(AB676),ROUND(AB676,2),0),IF(ISNUMBER(AA676),ROUND(AA676,2),0))</f>
        <v>0</v>
      </c>
      <c r="AT676">
        <f>IF(AS676&gt;=X676,1,0)</f>
        <v>0</v>
      </c>
      <c r="AU676">
        <f>IF(AS676&gt;=Y676,1,0)</f>
        <v>0</v>
      </c>
      <c r="AV676">
        <f>IF(AS676&lt;(X676-0.10),1,0)</f>
        <v>0</v>
      </c>
      <c r="AW676">
        <f>1-AM676/100</f>
        <v>0</v>
      </c>
      <c r="AX676">
        <f>IF(AQ676=1,AW676,1)</f>
        <v>0</v>
      </c>
      <c r="AY676">
        <f>IF(AP676=1,AW676,1)</f>
        <v>0</v>
      </c>
      <c r="AZ676">
        <f>IF(AND(AT676=1,ISNUMBER(AW676)),$AW676,1)</f>
        <v>0</v>
      </c>
      <c r="BA676">
        <f>IF(AND(AU676=1,ISNUMBER(AW676)),$AW676,1)</f>
        <v>0</v>
      </c>
      <c r="BB676">
        <f>IF(ISNUMBER(AB676),INDEX(AllCollegeMoney, MATCH(N676,AllCollegeNCES,0)),0)</f>
        <v>0</v>
      </c>
      <c r="BC676">
        <f>IF(AND(AT676=1,ISNUMBER(AW676),BB676=1),$AW676,1)</f>
        <v>0</v>
      </c>
      <c r="BD676">
        <f>IF(AND(AU676=1,ISNUMBER(AW676),BB676=1),$AW676,1)</f>
        <v>0</v>
      </c>
      <c r="BE676">
        <f>IF(ISNUMBER(AB676),INDEX(AllCollegeILPub, MATCH(N676,AllCollegeNCES,0)),0)</f>
        <v>0</v>
      </c>
      <c r="BF676">
        <f>IF(AN676=ReachLabel,AS676,0)</f>
        <v>0</v>
      </c>
      <c r="BG676">
        <f>IF(AN676=MatchLabel,AS676,0)</f>
        <v>0</v>
      </c>
      <c r="BH676">
        <f>IF(AN676=SafetyLabel,AS676,0)</f>
        <v>0</v>
      </c>
      <c r="BI676">
        <f>IF(AN676=SecureLabel,AS676,0)</f>
        <v>0</v>
      </c>
      <c r="BJ676">
        <f>IF(AN676=SureThingLabel,AS676,0)</f>
        <v>0</v>
      </c>
      <c r="BK676">
        <f>MAX(BF676:BJ676)</f>
        <v>0</v>
      </c>
      <c r="BL676">
        <f>MAX(BG676:BJ676)</f>
        <v>0</v>
      </c>
      <c r="BM676">
        <f>MAX(BH676:BJ676)</f>
        <v>0</v>
      </c>
      <c r="BN676">
        <f>IF(AND(AN676=ReachLabel,BB676=1),AS676,0)</f>
        <v>0</v>
      </c>
      <c r="BO676">
        <f>IF(AND(AN676=MatchLabel,BB676=1),AS676,0)</f>
        <v>0</v>
      </c>
      <c r="BP676">
        <f>IF(AND(AN676=SafetyLabel,BB676=1),AS676,0)</f>
        <v>0</v>
      </c>
      <c r="BQ676">
        <f>IF(AND(AN676=SecureLabel,BB676=1),AS676,0)</f>
        <v>0</v>
      </c>
      <c r="BR676">
        <f>IF(AND(AN676=SureThingLabel,BB676=1),AS676,0)</f>
        <v>0</v>
      </c>
      <c r="BS676">
        <f>MAX(BN676:BR676)</f>
        <v>0</v>
      </c>
      <c r="BT676">
        <f>MAX(BO676:BR676)</f>
        <v>0</v>
      </c>
      <c r="BU676">
        <f>MAX(BP676:BR676)</f>
        <v>0</v>
      </c>
      <c r="BV676">
        <f>IF(ISNUMBER(AB676),INDEX(AllCollegeChicago, MATCH(N676,AllCollegeNCES,0))*BB676,0)</f>
        <v>0</v>
      </c>
      <c r="BW676">
        <f>IF(ISNUMBER(AB676),INDEX(AllCollegeMoneyCode, MATCH(N676,AllCollegeNCES,0)),"?")</f>
        <v>0</v>
      </c>
      <c r="BX676">
        <f>IF(OR(BW676="---",BW676="--",BW676="+/--",BW676="+/---"),1,0)</f>
        <v>0</v>
      </c>
      <c r="BY676">
        <f>BB676*AR676*AT676</f>
        <v>0</v>
      </c>
    </row>
    <row r="677" spans="1:77">
      <c r="A677" t="s">
        <v>96</v>
      </c>
      <c r="B677">
        <v>24597473</v>
      </c>
      <c r="C677" t="s">
        <v>342</v>
      </c>
      <c r="D677" t="s">
        <v>343</v>
      </c>
      <c r="E677" t="s">
        <v>446</v>
      </c>
      <c r="F677" t="s">
        <v>478</v>
      </c>
      <c r="G677" t="s">
        <v>479</v>
      </c>
      <c r="H677" t="s">
        <v>449</v>
      </c>
      <c r="I677" t="s">
        <v>450</v>
      </c>
      <c r="J677" t="s">
        <v>450</v>
      </c>
      <c r="K677">
        <v>0</v>
      </c>
      <c r="L677" t="s">
        <v>446</v>
      </c>
      <c r="M677" t="s">
        <v>446</v>
      </c>
      <c r="N677">
        <v>168546</v>
      </c>
      <c r="O677">
        <f>INDEX(Counselor,MATCH(B677,KidIDs,0))</f>
        <v>0</v>
      </c>
      <c r="P677">
        <f>INDEX(Advisors,MATCH(B677,KidIDs,0))</f>
        <v>0</v>
      </c>
      <c r="Q677">
        <f>INDEX(Cohort,MATCH(B677,KidIDs,0))</f>
        <v>0</v>
      </c>
      <c r="R677">
        <f>INDEX(AllCollegeBarrons,MATCH(N677,AllCollegeNCES,0))</f>
        <v>0</v>
      </c>
      <c r="S677">
        <f>INDEX(KidGPAs,MATCH(B677,KidIDs,0))</f>
        <v>0</v>
      </c>
      <c r="T677">
        <f>INDEX(KidSATs,MATCH(B677,KidIDs,0))</f>
        <v>0</v>
      </c>
      <c r="U677">
        <f>INDEX(Strats,MATCH(B677,KidIDs,0))</f>
        <v>0</v>
      </c>
      <c r="V677">
        <f>INDEX(KidRace,MATCH(B677,KidIDs,0))</f>
        <v>0</v>
      </c>
      <c r="W677">
        <f>IF(OR(V677="M",V677="I"),"H",IF(V677="P","A",V677))</f>
        <v>0</v>
      </c>
      <c r="X677">
        <f>INDEX(StudentTargets,MATCH(B677,KidIDs,0))</f>
        <v>0</v>
      </c>
      <c r="Y677">
        <f>INDEX(ReachStudentTargets,MATCH(B677,KidIDs,0))</f>
        <v>0</v>
      </c>
      <c r="Z677">
        <f>IF(OR(M677="Posse"),1,0)</f>
        <v>0</v>
      </c>
      <c r="AA677">
        <f>IF(ISNUMBER(INDEX(AllCollegeGR, MATCH(N677,AllCollegeNCES,0))),ROUND(INDEX(AllCollegeGR, MATCH(N677,AllCollegeNCES,0))+Z677*IF(INDEX(AllCollegeGR, MATCH(N677,AllCollegeNCES,0))&gt;0.7,(1-INDEX(AllCollegeGR, MATCH(N677,AllCollegeNCES,0)))/2,0.15),2),INDEX(AllCollegeGR, MATCH(N677,AllCollegeNCES,0)))</f>
        <v>0</v>
      </c>
      <c r="AB677">
        <f>IF(ISNUMBER(INDEX(AllCollegeAAHGR, MATCH(N677,AllCollegeNCES,0))),ROUND(INDEX(AllCollegeAAHGR, MATCH(N677,AllCollegeNCES,0))+Z677*IF(INDEX(AllCollegeAAHGR, MATCH(N677,AllCollegeNCES,0))&gt;0.7,(1-INDEX(AllCollegeAAHGR, MATCH(N677,AllCollegeNCES,0)))/2,0.15),2),INDEX(AllCollegeAAHGR, MATCH(N677,AllCollegeNCES,0)))</f>
        <v>0</v>
      </c>
      <c r="AC677">
        <f>IF(OR(W677="H",W677="B"),INDEX(AllCollegeSAT25, MATCH(N677,AllCollegeNCES,0)),INDEX(AllCollegeSAT50, MATCH(N677,AllCollegeNCES,0)))</f>
        <v>0</v>
      </c>
      <c r="AD677">
        <f>INDEX(CustomWeightsGPA,MATCH(W677&amp;":"&amp;N677,CustomWeightsIndex,0))</f>
        <v>0</v>
      </c>
      <c r="AE677">
        <f>INDEX(CustomWeightsSAT,MATCH(W677&amp;":"&amp;N677,CustomWeightsIndex,0))</f>
        <v>0</v>
      </c>
      <c r="AF677">
        <f>INDEX(CustomWeightsIntercept,MATCH(W677&amp;":"&amp;N677,CustomWeightsIndex,0))</f>
        <v>0</v>
      </c>
      <c r="AG677">
        <f>AD677*S677+AE677*T677+AF677</f>
        <v>0</v>
      </c>
      <c r="AH677">
        <f>INDEX(CoefficientsGPA,MATCH(W677&amp;":"&amp;R677,CoefficientsIndex,0))</f>
        <v>0</v>
      </c>
      <c r="AI677">
        <f>INDEX(CoefficientsSAT,MATCH(W677&amp;":"&amp;R677,CoefficientsIndex,0))</f>
        <v>0</v>
      </c>
      <c r="AJ677">
        <f>INDEX(CoefficientsIntercept,MATCH(W677&amp;":"&amp;R677,CoefficientsIndex,0))</f>
        <v>0</v>
      </c>
      <c r="AK677">
        <f>AH677*S677+(T677-AC677)*AI677+AJ677</f>
        <v>0</v>
      </c>
      <c r="AL677">
        <f>IF(ISNUMBER(AG677),AG677,AK677)</f>
        <v>0</v>
      </c>
      <c r="AM677">
        <f>IF(ISNUMBER(AL677),IF(ISNUMBER(AH677),IF(AND(AH677=1,AI677=1,AJ677=1),100,MIN(99,ROUND(100*EXP(AL677)/(1+EXP(AL677)),2))),MIN(99,ROUND(100*EXP(AL677)/(1+EXP(AL677)),2))),IF(ISTEXT(R677),IF(LEFT(R677,1)="2",100,"N/A"),"N/A"))</f>
        <v>0</v>
      </c>
      <c r="AN677">
        <f>IF(ISNUMBER(AM677),IF(AM677&gt;=99,IF(OR(U677=10,U677=11),MatchLabel,SureThingLabel),IF(AM677&gt;=95,SecureLabel,IF(AM677&gt;=80,SafetyLabel,IF(AM677&gt;=50,MatchLabel,IF(AM677&gt;=20,ReachLabel,IF(AM677&gt;=10,LongshotLabel,HailMaryLabel)))))),"Other")</f>
        <v>0</v>
      </c>
      <c r="AO677">
        <f>IF(OR(I677="accepted",I677="cond. accept",I677="summer admit"),IF(J677="yes","CHOICE!","Accepted!"),IF(I677="guar. transfer","Guar. Xfer",IF(I677="denied","Denied",IF(K677=1,"Waitlist",IF(L677=1,"Deferred",IF(G677="pending","Pending",IF(OR(G677="initial materials submitted",G677="mid-year submitted",G677="final submitted"),"Submitted",IF(H677="interest","Interest","?"))))))))</f>
        <v>0</v>
      </c>
      <c r="AP677">
        <f>IF(OR(AN677=ReachLabel,AN677=LongshotLabel,AN677=HailMaryLabel),1,0)</f>
        <v>0</v>
      </c>
      <c r="AQ677">
        <f>IF(OR(AP677=1,AN677=MatchLabel),1,0)</f>
        <v>0</v>
      </c>
      <c r="AR677">
        <f>IF(OR(AN677=MatchLabel,AN677=SafetyLabel,AN677=SecureLabel,AN677=SureThingLabel),1,0)</f>
        <v>0</v>
      </c>
      <c r="AS677">
        <f>IF(OR(W677="H",W677="B",W677="I",W677="M"),IF(ISNUMBER(AB677),ROUND(AB677,2),0),IF(ISNUMBER(AA677),ROUND(AA677,2),0))</f>
        <v>0</v>
      </c>
      <c r="AT677">
        <f>IF(AS677&gt;=X677,1,0)</f>
        <v>0</v>
      </c>
      <c r="AU677">
        <f>IF(AS677&gt;=Y677,1,0)</f>
        <v>0</v>
      </c>
      <c r="AV677">
        <f>IF(AS677&lt;(X677-0.10),1,0)</f>
        <v>0</v>
      </c>
      <c r="AW677">
        <f>1-AM677/100</f>
        <v>0</v>
      </c>
      <c r="AX677">
        <f>IF(AQ677=1,AW677,1)</f>
        <v>0</v>
      </c>
      <c r="AY677">
        <f>IF(AP677=1,AW677,1)</f>
        <v>0</v>
      </c>
      <c r="AZ677">
        <f>IF(AND(AT677=1,ISNUMBER(AW677)),$AW677,1)</f>
        <v>0</v>
      </c>
      <c r="BA677">
        <f>IF(AND(AU677=1,ISNUMBER(AW677)),$AW677,1)</f>
        <v>0</v>
      </c>
      <c r="BB677">
        <f>IF(ISNUMBER(AB677),INDEX(AllCollegeMoney, MATCH(N677,AllCollegeNCES,0)),0)</f>
        <v>0</v>
      </c>
      <c r="BC677">
        <f>IF(AND(AT677=1,ISNUMBER(AW677),BB677=1),$AW677,1)</f>
        <v>0</v>
      </c>
      <c r="BD677">
        <f>IF(AND(AU677=1,ISNUMBER(AW677),BB677=1),$AW677,1)</f>
        <v>0</v>
      </c>
      <c r="BE677">
        <f>IF(ISNUMBER(AB677),INDEX(AllCollegeILPub, MATCH(N677,AllCollegeNCES,0)),0)</f>
        <v>0</v>
      </c>
      <c r="BF677">
        <f>IF(AN677=ReachLabel,AS677,0)</f>
        <v>0</v>
      </c>
      <c r="BG677">
        <f>IF(AN677=MatchLabel,AS677,0)</f>
        <v>0</v>
      </c>
      <c r="BH677">
        <f>IF(AN677=SafetyLabel,AS677,0)</f>
        <v>0</v>
      </c>
      <c r="BI677">
        <f>IF(AN677=SecureLabel,AS677,0)</f>
        <v>0</v>
      </c>
      <c r="BJ677">
        <f>IF(AN677=SureThingLabel,AS677,0)</f>
        <v>0</v>
      </c>
      <c r="BK677">
        <f>MAX(BF677:BJ677)</f>
        <v>0</v>
      </c>
      <c r="BL677">
        <f>MAX(BG677:BJ677)</f>
        <v>0</v>
      </c>
      <c r="BM677">
        <f>MAX(BH677:BJ677)</f>
        <v>0</v>
      </c>
      <c r="BN677">
        <f>IF(AND(AN677=ReachLabel,BB677=1),AS677,0)</f>
        <v>0</v>
      </c>
      <c r="BO677">
        <f>IF(AND(AN677=MatchLabel,BB677=1),AS677,0)</f>
        <v>0</v>
      </c>
      <c r="BP677">
        <f>IF(AND(AN677=SafetyLabel,BB677=1),AS677,0)</f>
        <v>0</v>
      </c>
      <c r="BQ677">
        <f>IF(AND(AN677=SecureLabel,BB677=1),AS677,0)</f>
        <v>0</v>
      </c>
      <c r="BR677">
        <f>IF(AND(AN677=SureThingLabel,BB677=1),AS677,0)</f>
        <v>0</v>
      </c>
      <c r="BS677">
        <f>MAX(BN677:BR677)</f>
        <v>0</v>
      </c>
      <c r="BT677">
        <f>MAX(BO677:BR677)</f>
        <v>0</v>
      </c>
      <c r="BU677">
        <f>MAX(BP677:BR677)</f>
        <v>0</v>
      </c>
      <c r="BV677">
        <f>IF(ISNUMBER(AB677),INDEX(AllCollegeChicago, MATCH(N677,AllCollegeNCES,0))*BB677,0)</f>
        <v>0</v>
      </c>
      <c r="BW677">
        <f>IF(ISNUMBER(AB677),INDEX(AllCollegeMoneyCode, MATCH(N677,AllCollegeNCES,0)),"?")</f>
        <v>0</v>
      </c>
      <c r="BX677">
        <f>IF(OR(BW677="---",BW677="--",BW677="+/--",BW677="+/---"),1,0)</f>
        <v>0</v>
      </c>
      <c r="BY677">
        <f>BB677*AR677*AT677</f>
        <v>0</v>
      </c>
    </row>
    <row r="678" spans="1:77">
      <c r="A678" t="s">
        <v>96</v>
      </c>
      <c r="B678">
        <v>24597473</v>
      </c>
      <c r="C678" t="s">
        <v>342</v>
      </c>
      <c r="D678" t="s">
        <v>343</v>
      </c>
      <c r="E678" t="s">
        <v>446</v>
      </c>
      <c r="F678" t="s">
        <v>477</v>
      </c>
      <c r="G678" t="s">
        <v>479</v>
      </c>
      <c r="H678" t="s">
        <v>449</v>
      </c>
      <c r="I678" t="s">
        <v>450</v>
      </c>
      <c r="J678" t="s">
        <v>450</v>
      </c>
      <c r="K678">
        <v>0</v>
      </c>
      <c r="L678" t="s">
        <v>446</v>
      </c>
      <c r="M678" t="s">
        <v>446</v>
      </c>
      <c r="N678">
        <v>146427</v>
      </c>
      <c r="O678">
        <f>INDEX(Counselor,MATCH(B678,KidIDs,0))</f>
        <v>0</v>
      </c>
      <c r="P678">
        <f>INDEX(Advisors,MATCH(B678,KidIDs,0))</f>
        <v>0</v>
      </c>
      <c r="Q678">
        <f>INDEX(Cohort,MATCH(B678,KidIDs,0))</f>
        <v>0</v>
      </c>
      <c r="R678">
        <f>INDEX(AllCollegeBarrons,MATCH(N678,AllCollegeNCES,0))</f>
        <v>0</v>
      </c>
      <c r="S678">
        <f>INDEX(KidGPAs,MATCH(B678,KidIDs,0))</f>
        <v>0</v>
      </c>
      <c r="T678">
        <f>INDEX(KidSATs,MATCH(B678,KidIDs,0))</f>
        <v>0</v>
      </c>
      <c r="U678">
        <f>INDEX(Strats,MATCH(B678,KidIDs,0))</f>
        <v>0</v>
      </c>
      <c r="V678">
        <f>INDEX(KidRace,MATCH(B678,KidIDs,0))</f>
        <v>0</v>
      </c>
      <c r="W678">
        <f>IF(OR(V678="M",V678="I"),"H",IF(V678="P","A",V678))</f>
        <v>0</v>
      </c>
      <c r="X678">
        <f>INDEX(StudentTargets,MATCH(B678,KidIDs,0))</f>
        <v>0</v>
      </c>
      <c r="Y678">
        <f>INDEX(ReachStudentTargets,MATCH(B678,KidIDs,0))</f>
        <v>0</v>
      </c>
      <c r="Z678">
        <f>IF(OR(M678="Posse"),1,0)</f>
        <v>0</v>
      </c>
      <c r="AA678">
        <f>IF(ISNUMBER(INDEX(AllCollegeGR, MATCH(N678,AllCollegeNCES,0))),ROUND(INDEX(AllCollegeGR, MATCH(N678,AllCollegeNCES,0))+Z678*IF(INDEX(AllCollegeGR, MATCH(N678,AllCollegeNCES,0))&gt;0.7,(1-INDEX(AllCollegeGR, MATCH(N678,AllCollegeNCES,0)))/2,0.15),2),INDEX(AllCollegeGR, MATCH(N678,AllCollegeNCES,0)))</f>
        <v>0</v>
      </c>
      <c r="AB678">
        <f>IF(ISNUMBER(INDEX(AllCollegeAAHGR, MATCH(N678,AllCollegeNCES,0))),ROUND(INDEX(AllCollegeAAHGR, MATCH(N678,AllCollegeNCES,0))+Z678*IF(INDEX(AllCollegeAAHGR, MATCH(N678,AllCollegeNCES,0))&gt;0.7,(1-INDEX(AllCollegeAAHGR, MATCH(N678,AllCollegeNCES,0)))/2,0.15),2),INDEX(AllCollegeAAHGR, MATCH(N678,AllCollegeNCES,0)))</f>
        <v>0</v>
      </c>
      <c r="AC678">
        <f>IF(OR(W678="H",W678="B"),INDEX(AllCollegeSAT25, MATCH(N678,AllCollegeNCES,0)),INDEX(AllCollegeSAT50, MATCH(N678,AllCollegeNCES,0)))</f>
        <v>0</v>
      </c>
      <c r="AD678">
        <f>INDEX(CustomWeightsGPA,MATCH(W678&amp;":"&amp;N678,CustomWeightsIndex,0))</f>
        <v>0</v>
      </c>
      <c r="AE678">
        <f>INDEX(CustomWeightsSAT,MATCH(W678&amp;":"&amp;N678,CustomWeightsIndex,0))</f>
        <v>0</v>
      </c>
      <c r="AF678">
        <f>INDEX(CustomWeightsIntercept,MATCH(W678&amp;":"&amp;N678,CustomWeightsIndex,0))</f>
        <v>0</v>
      </c>
      <c r="AG678">
        <f>AD678*S678+AE678*T678+AF678</f>
        <v>0</v>
      </c>
      <c r="AH678">
        <f>INDEX(CoefficientsGPA,MATCH(W678&amp;":"&amp;R678,CoefficientsIndex,0))</f>
        <v>0</v>
      </c>
      <c r="AI678">
        <f>INDEX(CoefficientsSAT,MATCH(W678&amp;":"&amp;R678,CoefficientsIndex,0))</f>
        <v>0</v>
      </c>
      <c r="AJ678">
        <f>INDEX(CoefficientsIntercept,MATCH(W678&amp;":"&amp;R678,CoefficientsIndex,0))</f>
        <v>0</v>
      </c>
      <c r="AK678">
        <f>AH678*S678+(T678-AC678)*AI678+AJ678</f>
        <v>0</v>
      </c>
      <c r="AL678">
        <f>IF(ISNUMBER(AG678),AG678,AK678)</f>
        <v>0</v>
      </c>
      <c r="AM678">
        <f>IF(ISNUMBER(AL678),IF(ISNUMBER(AH678),IF(AND(AH678=1,AI678=1,AJ678=1),100,MIN(99,ROUND(100*EXP(AL678)/(1+EXP(AL678)),2))),MIN(99,ROUND(100*EXP(AL678)/(1+EXP(AL678)),2))),IF(ISTEXT(R678),IF(LEFT(R678,1)="2",100,"N/A"),"N/A"))</f>
        <v>0</v>
      </c>
      <c r="AN678">
        <f>IF(ISNUMBER(AM678),IF(AM678&gt;=99,IF(OR(U678=10,U678=11),MatchLabel,SureThingLabel),IF(AM678&gt;=95,SecureLabel,IF(AM678&gt;=80,SafetyLabel,IF(AM678&gt;=50,MatchLabel,IF(AM678&gt;=20,ReachLabel,IF(AM678&gt;=10,LongshotLabel,HailMaryLabel)))))),"Other")</f>
        <v>0</v>
      </c>
      <c r="AO678">
        <f>IF(OR(I678="accepted",I678="cond. accept",I678="summer admit"),IF(J678="yes","CHOICE!","Accepted!"),IF(I678="guar. transfer","Guar. Xfer",IF(I678="denied","Denied",IF(K678=1,"Waitlist",IF(L678=1,"Deferred",IF(G678="pending","Pending",IF(OR(G678="initial materials submitted",G678="mid-year submitted",G678="final submitted"),"Submitted",IF(H678="interest","Interest","?"))))))))</f>
        <v>0</v>
      </c>
      <c r="AP678">
        <f>IF(OR(AN678=ReachLabel,AN678=LongshotLabel,AN678=HailMaryLabel),1,0)</f>
        <v>0</v>
      </c>
      <c r="AQ678">
        <f>IF(OR(AP678=1,AN678=MatchLabel),1,0)</f>
        <v>0</v>
      </c>
      <c r="AR678">
        <f>IF(OR(AN678=MatchLabel,AN678=SafetyLabel,AN678=SecureLabel,AN678=SureThingLabel),1,0)</f>
        <v>0</v>
      </c>
      <c r="AS678">
        <f>IF(OR(W678="H",W678="B",W678="I",W678="M"),IF(ISNUMBER(AB678),ROUND(AB678,2),0),IF(ISNUMBER(AA678),ROUND(AA678,2),0))</f>
        <v>0</v>
      </c>
      <c r="AT678">
        <f>IF(AS678&gt;=X678,1,0)</f>
        <v>0</v>
      </c>
      <c r="AU678">
        <f>IF(AS678&gt;=Y678,1,0)</f>
        <v>0</v>
      </c>
      <c r="AV678">
        <f>IF(AS678&lt;(X678-0.10),1,0)</f>
        <v>0</v>
      </c>
      <c r="AW678">
        <f>1-AM678/100</f>
        <v>0</v>
      </c>
      <c r="AX678">
        <f>IF(AQ678=1,AW678,1)</f>
        <v>0</v>
      </c>
      <c r="AY678">
        <f>IF(AP678=1,AW678,1)</f>
        <v>0</v>
      </c>
      <c r="AZ678">
        <f>IF(AND(AT678=1,ISNUMBER(AW678)),$AW678,1)</f>
        <v>0</v>
      </c>
      <c r="BA678">
        <f>IF(AND(AU678=1,ISNUMBER(AW678)),$AW678,1)</f>
        <v>0</v>
      </c>
      <c r="BB678">
        <f>IF(ISNUMBER(AB678),INDEX(AllCollegeMoney, MATCH(N678,AllCollegeNCES,0)),0)</f>
        <v>0</v>
      </c>
      <c r="BC678">
        <f>IF(AND(AT678=1,ISNUMBER(AW678),BB678=1),$AW678,1)</f>
        <v>0</v>
      </c>
      <c r="BD678">
        <f>IF(AND(AU678=1,ISNUMBER(AW678),BB678=1),$AW678,1)</f>
        <v>0</v>
      </c>
      <c r="BE678">
        <f>IF(ISNUMBER(AB678),INDEX(AllCollegeILPub, MATCH(N678,AllCollegeNCES,0)),0)</f>
        <v>0</v>
      </c>
      <c r="BF678">
        <f>IF(AN678=ReachLabel,AS678,0)</f>
        <v>0</v>
      </c>
      <c r="BG678">
        <f>IF(AN678=MatchLabel,AS678,0)</f>
        <v>0</v>
      </c>
      <c r="BH678">
        <f>IF(AN678=SafetyLabel,AS678,0)</f>
        <v>0</v>
      </c>
      <c r="BI678">
        <f>IF(AN678=SecureLabel,AS678,0)</f>
        <v>0</v>
      </c>
      <c r="BJ678">
        <f>IF(AN678=SureThingLabel,AS678,0)</f>
        <v>0</v>
      </c>
      <c r="BK678">
        <f>MAX(BF678:BJ678)</f>
        <v>0</v>
      </c>
      <c r="BL678">
        <f>MAX(BG678:BJ678)</f>
        <v>0</v>
      </c>
      <c r="BM678">
        <f>MAX(BH678:BJ678)</f>
        <v>0</v>
      </c>
      <c r="BN678">
        <f>IF(AND(AN678=ReachLabel,BB678=1),AS678,0)</f>
        <v>0</v>
      </c>
      <c r="BO678">
        <f>IF(AND(AN678=MatchLabel,BB678=1),AS678,0)</f>
        <v>0</v>
      </c>
      <c r="BP678">
        <f>IF(AND(AN678=SafetyLabel,BB678=1),AS678,0)</f>
        <v>0</v>
      </c>
      <c r="BQ678">
        <f>IF(AND(AN678=SecureLabel,BB678=1),AS678,0)</f>
        <v>0</v>
      </c>
      <c r="BR678">
        <f>IF(AND(AN678=SureThingLabel,BB678=1),AS678,0)</f>
        <v>0</v>
      </c>
      <c r="BS678">
        <f>MAX(BN678:BR678)</f>
        <v>0</v>
      </c>
      <c r="BT678">
        <f>MAX(BO678:BR678)</f>
        <v>0</v>
      </c>
      <c r="BU678">
        <f>MAX(BP678:BR678)</f>
        <v>0</v>
      </c>
      <c r="BV678">
        <f>IF(ISNUMBER(AB678),INDEX(AllCollegeChicago, MATCH(N678,AllCollegeNCES,0))*BB678,0)</f>
        <v>0</v>
      </c>
      <c r="BW678">
        <f>IF(ISNUMBER(AB678),INDEX(AllCollegeMoneyCode, MATCH(N678,AllCollegeNCES,0)),"?")</f>
        <v>0</v>
      </c>
      <c r="BX678">
        <f>IF(OR(BW678="---",BW678="--",BW678="+/--",BW678="+/---"),1,0)</f>
        <v>0</v>
      </c>
      <c r="BY678">
        <f>BB678*AR678*AT678</f>
        <v>0</v>
      </c>
    </row>
    <row r="679" spans="1:77">
      <c r="A679" t="s">
        <v>96</v>
      </c>
      <c r="B679">
        <v>24597473</v>
      </c>
      <c r="C679" t="s">
        <v>342</v>
      </c>
      <c r="D679" t="s">
        <v>343</v>
      </c>
      <c r="E679" t="s">
        <v>446</v>
      </c>
      <c r="F679" t="s">
        <v>501</v>
      </c>
      <c r="G679" t="s">
        <v>479</v>
      </c>
      <c r="H679" t="s">
        <v>449</v>
      </c>
      <c r="I679" t="s">
        <v>450</v>
      </c>
      <c r="J679" t="s">
        <v>450</v>
      </c>
      <c r="K679">
        <v>0</v>
      </c>
      <c r="L679" t="s">
        <v>446</v>
      </c>
      <c r="M679" t="s">
        <v>446</v>
      </c>
      <c r="N679">
        <v>144740</v>
      </c>
      <c r="O679">
        <f>INDEX(Counselor,MATCH(B679,KidIDs,0))</f>
        <v>0</v>
      </c>
      <c r="P679">
        <f>INDEX(Advisors,MATCH(B679,KidIDs,0))</f>
        <v>0</v>
      </c>
      <c r="Q679">
        <f>INDEX(Cohort,MATCH(B679,KidIDs,0))</f>
        <v>0</v>
      </c>
      <c r="R679">
        <f>INDEX(AllCollegeBarrons,MATCH(N679,AllCollegeNCES,0))</f>
        <v>0</v>
      </c>
      <c r="S679">
        <f>INDEX(KidGPAs,MATCH(B679,KidIDs,0))</f>
        <v>0</v>
      </c>
      <c r="T679">
        <f>INDEX(KidSATs,MATCH(B679,KidIDs,0))</f>
        <v>0</v>
      </c>
      <c r="U679">
        <f>INDEX(Strats,MATCH(B679,KidIDs,0))</f>
        <v>0</v>
      </c>
      <c r="V679">
        <f>INDEX(KidRace,MATCH(B679,KidIDs,0))</f>
        <v>0</v>
      </c>
      <c r="W679">
        <f>IF(OR(V679="M",V679="I"),"H",IF(V679="P","A",V679))</f>
        <v>0</v>
      </c>
      <c r="X679">
        <f>INDEX(StudentTargets,MATCH(B679,KidIDs,0))</f>
        <v>0</v>
      </c>
      <c r="Y679">
        <f>INDEX(ReachStudentTargets,MATCH(B679,KidIDs,0))</f>
        <v>0</v>
      </c>
      <c r="Z679">
        <f>IF(OR(M679="Posse"),1,0)</f>
        <v>0</v>
      </c>
      <c r="AA679">
        <f>IF(ISNUMBER(INDEX(AllCollegeGR, MATCH(N679,AllCollegeNCES,0))),ROUND(INDEX(AllCollegeGR, MATCH(N679,AllCollegeNCES,0))+Z679*IF(INDEX(AllCollegeGR, MATCH(N679,AllCollegeNCES,0))&gt;0.7,(1-INDEX(AllCollegeGR, MATCH(N679,AllCollegeNCES,0)))/2,0.15),2),INDEX(AllCollegeGR, MATCH(N679,AllCollegeNCES,0)))</f>
        <v>0</v>
      </c>
      <c r="AB679">
        <f>IF(ISNUMBER(INDEX(AllCollegeAAHGR, MATCH(N679,AllCollegeNCES,0))),ROUND(INDEX(AllCollegeAAHGR, MATCH(N679,AllCollegeNCES,0))+Z679*IF(INDEX(AllCollegeAAHGR, MATCH(N679,AllCollegeNCES,0))&gt;0.7,(1-INDEX(AllCollegeAAHGR, MATCH(N679,AllCollegeNCES,0)))/2,0.15),2),INDEX(AllCollegeAAHGR, MATCH(N679,AllCollegeNCES,0)))</f>
        <v>0</v>
      </c>
      <c r="AC679">
        <f>IF(OR(W679="H",W679="B"),INDEX(AllCollegeSAT25, MATCH(N679,AllCollegeNCES,0)),INDEX(AllCollegeSAT50, MATCH(N679,AllCollegeNCES,0)))</f>
        <v>0</v>
      </c>
      <c r="AD679">
        <f>INDEX(CustomWeightsGPA,MATCH(W679&amp;":"&amp;N679,CustomWeightsIndex,0))</f>
        <v>0</v>
      </c>
      <c r="AE679">
        <f>INDEX(CustomWeightsSAT,MATCH(W679&amp;":"&amp;N679,CustomWeightsIndex,0))</f>
        <v>0</v>
      </c>
      <c r="AF679">
        <f>INDEX(CustomWeightsIntercept,MATCH(W679&amp;":"&amp;N679,CustomWeightsIndex,0))</f>
        <v>0</v>
      </c>
      <c r="AG679">
        <f>AD679*S679+AE679*T679+AF679</f>
        <v>0</v>
      </c>
      <c r="AH679">
        <f>INDEX(CoefficientsGPA,MATCH(W679&amp;":"&amp;R679,CoefficientsIndex,0))</f>
        <v>0</v>
      </c>
      <c r="AI679">
        <f>INDEX(CoefficientsSAT,MATCH(W679&amp;":"&amp;R679,CoefficientsIndex,0))</f>
        <v>0</v>
      </c>
      <c r="AJ679">
        <f>INDEX(CoefficientsIntercept,MATCH(W679&amp;":"&amp;R679,CoefficientsIndex,0))</f>
        <v>0</v>
      </c>
      <c r="AK679">
        <f>AH679*S679+(T679-AC679)*AI679+AJ679</f>
        <v>0</v>
      </c>
      <c r="AL679">
        <f>IF(ISNUMBER(AG679),AG679,AK679)</f>
        <v>0</v>
      </c>
      <c r="AM679">
        <f>IF(ISNUMBER(AL679),IF(ISNUMBER(AH679),IF(AND(AH679=1,AI679=1,AJ679=1),100,MIN(99,ROUND(100*EXP(AL679)/(1+EXP(AL679)),2))),MIN(99,ROUND(100*EXP(AL679)/(1+EXP(AL679)),2))),IF(ISTEXT(R679),IF(LEFT(R679,1)="2",100,"N/A"),"N/A"))</f>
        <v>0</v>
      </c>
      <c r="AN679">
        <f>IF(ISNUMBER(AM679),IF(AM679&gt;=99,IF(OR(U679=10,U679=11),MatchLabel,SureThingLabel),IF(AM679&gt;=95,SecureLabel,IF(AM679&gt;=80,SafetyLabel,IF(AM679&gt;=50,MatchLabel,IF(AM679&gt;=20,ReachLabel,IF(AM679&gt;=10,LongshotLabel,HailMaryLabel)))))),"Other")</f>
        <v>0</v>
      </c>
      <c r="AO679">
        <f>IF(OR(I679="accepted",I679="cond. accept",I679="summer admit"),IF(J679="yes","CHOICE!","Accepted!"),IF(I679="guar. transfer","Guar. Xfer",IF(I679="denied","Denied",IF(K679=1,"Waitlist",IF(L679=1,"Deferred",IF(G679="pending","Pending",IF(OR(G679="initial materials submitted",G679="mid-year submitted",G679="final submitted"),"Submitted",IF(H679="interest","Interest","?"))))))))</f>
        <v>0</v>
      </c>
      <c r="AP679">
        <f>IF(OR(AN679=ReachLabel,AN679=LongshotLabel,AN679=HailMaryLabel),1,0)</f>
        <v>0</v>
      </c>
      <c r="AQ679">
        <f>IF(OR(AP679=1,AN679=MatchLabel),1,0)</f>
        <v>0</v>
      </c>
      <c r="AR679">
        <f>IF(OR(AN679=MatchLabel,AN679=SafetyLabel,AN679=SecureLabel,AN679=SureThingLabel),1,0)</f>
        <v>0</v>
      </c>
      <c r="AS679">
        <f>IF(OR(W679="H",W679="B",W679="I",W679="M"),IF(ISNUMBER(AB679),ROUND(AB679,2),0),IF(ISNUMBER(AA679),ROUND(AA679,2),0))</f>
        <v>0</v>
      </c>
      <c r="AT679">
        <f>IF(AS679&gt;=X679,1,0)</f>
        <v>0</v>
      </c>
      <c r="AU679">
        <f>IF(AS679&gt;=Y679,1,0)</f>
        <v>0</v>
      </c>
      <c r="AV679">
        <f>IF(AS679&lt;(X679-0.10),1,0)</f>
        <v>0</v>
      </c>
      <c r="AW679">
        <f>1-AM679/100</f>
        <v>0</v>
      </c>
      <c r="AX679">
        <f>IF(AQ679=1,AW679,1)</f>
        <v>0</v>
      </c>
      <c r="AY679">
        <f>IF(AP679=1,AW679,1)</f>
        <v>0</v>
      </c>
      <c r="AZ679">
        <f>IF(AND(AT679=1,ISNUMBER(AW679)),$AW679,1)</f>
        <v>0</v>
      </c>
      <c r="BA679">
        <f>IF(AND(AU679=1,ISNUMBER(AW679)),$AW679,1)</f>
        <v>0</v>
      </c>
      <c r="BB679">
        <f>IF(ISNUMBER(AB679),INDEX(AllCollegeMoney, MATCH(N679,AllCollegeNCES,0)),0)</f>
        <v>0</v>
      </c>
      <c r="BC679">
        <f>IF(AND(AT679=1,ISNUMBER(AW679),BB679=1),$AW679,1)</f>
        <v>0</v>
      </c>
      <c r="BD679">
        <f>IF(AND(AU679=1,ISNUMBER(AW679),BB679=1),$AW679,1)</f>
        <v>0</v>
      </c>
      <c r="BE679">
        <f>IF(ISNUMBER(AB679),INDEX(AllCollegeILPub, MATCH(N679,AllCollegeNCES,0)),0)</f>
        <v>0</v>
      </c>
      <c r="BF679">
        <f>IF(AN679=ReachLabel,AS679,0)</f>
        <v>0</v>
      </c>
      <c r="BG679">
        <f>IF(AN679=MatchLabel,AS679,0)</f>
        <v>0</v>
      </c>
      <c r="BH679">
        <f>IF(AN679=SafetyLabel,AS679,0)</f>
        <v>0</v>
      </c>
      <c r="BI679">
        <f>IF(AN679=SecureLabel,AS679,0)</f>
        <v>0</v>
      </c>
      <c r="BJ679">
        <f>IF(AN679=SureThingLabel,AS679,0)</f>
        <v>0</v>
      </c>
      <c r="BK679">
        <f>MAX(BF679:BJ679)</f>
        <v>0</v>
      </c>
      <c r="BL679">
        <f>MAX(BG679:BJ679)</f>
        <v>0</v>
      </c>
      <c r="BM679">
        <f>MAX(BH679:BJ679)</f>
        <v>0</v>
      </c>
      <c r="BN679">
        <f>IF(AND(AN679=ReachLabel,BB679=1),AS679,0)</f>
        <v>0</v>
      </c>
      <c r="BO679">
        <f>IF(AND(AN679=MatchLabel,BB679=1),AS679,0)</f>
        <v>0</v>
      </c>
      <c r="BP679">
        <f>IF(AND(AN679=SafetyLabel,BB679=1),AS679,0)</f>
        <v>0</v>
      </c>
      <c r="BQ679">
        <f>IF(AND(AN679=SecureLabel,BB679=1),AS679,0)</f>
        <v>0</v>
      </c>
      <c r="BR679">
        <f>IF(AND(AN679=SureThingLabel,BB679=1),AS679,0)</f>
        <v>0</v>
      </c>
      <c r="BS679">
        <f>MAX(BN679:BR679)</f>
        <v>0</v>
      </c>
      <c r="BT679">
        <f>MAX(BO679:BR679)</f>
        <v>0</v>
      </c>
      <c r="BU679">
        <f>MAX(BP679:BR679)</f>
        <v>0</v>
      </c>
      <c r="BV679">
        <f>IF(ISNUMBER(AB679),INDEX(AllCollegeChicago, MATCH(N679,AllCollegeNCES,0))*BB679,0)</f>
        <v>0</v>
      </c>
      <c r="BW679">
        <f>IF(ISNUMBER(AB679),INDEX(AllCollegeMoneyCode, MATCH(N679,AllCollegeNCES,0)),"?")</f>
        <v>0</v>
      </c>
      <c r="BX679">
        <f>IF(OR(BW679="---",BW679="--",BW679="+/--",BW679="+/---"),1,0)</f>
        <v>0</v>
      </c>
      <c r="BY679">
        <f>BB679*AR679*AT679</f>
        <v>0</v>
      </c>
    </row>
    <row r="680" spans="1:77">
      <c r="A680" t="s">
        <v>96</v>
      </c>
      <c r="B680">
        <v>24597473</v>
      </c>
      <c r="C680" t="s">
        <v>342</v>
      </c>
      <c r="D680" t="s">
        <v>343</v>
      </c>
      <c r="E680" t="s">
        <v>446</v>
      </c>
      <c r="F680" t="s">
        <v>517</v>
      </c>
      <c r="G680" t="s">
        <v>448</v>
      </c>
      <c r="H680" t="s">
        <v>449</v>
      </c>
      <c r="I680" t="s">
        <v>450</v>
      </c>
      <c r="J680" t="s">
        <v>450</v>
      </c>
      <c r="K680">
        <v>0</v>
      </c>
      <c r="L680" t="s">
        <v>446</v>
      </c>
      <c r="M680" t="s">
        <v>446</v>
      </c>
      <c r="N680">
        <v>143048</v>
      </c>
      <c r="O680">
        <f>INDEX(Counselor,MATCH(B680,KidIDs,0))</f>
        <v>0</v>
      </c>
      <c r="P680">
        <f>INDEX(Advisors,MATCH(B680,KidIDs,0))</f>
        <v>0</v>
      </c>
      <c r="Q680">
        <f>INDEX(Cohort,MATCH(B680,KidIDs,0))</f>
        <v>0</v>
      </c>
      <c r="R680">
        <f>INDEX(AllCollegeBarrons,MATCH(N680,AllCollegeNCES,0))</f>
        <v>0</v>
      </c>
      <c r="S680">
        <f>INDEX(KidGPAs,MATCH(B680,KidIDs,0))</f>
        <v>0</v>
      </c>
      <c r="T680">
        <f>INDEX(KidSATs,MATCH(B680,KidIDs,0))</f>
        <v>0</v>
      </c>
      <c r="U680">
        <f>INDEX(Strats,MATCH(B680,KidIDs,0))</f>
        <v>0</v>
      </c>
      <c r="V680">
        <f>INDEX(KidRace,MATCH(B680,KidIDs,0))</f>
        <v>0</v>
      </c>
      <c r="W680">
        <f>IF(OR(V680="M",V680="I"),"H",IF(V680="P","A",V680))</f>
        <v>0</v>
      </c>
      <c r="X680">
        <f>INDEX(StudentTargets,MATCH(B680,KidIDs,0))</f>
        <v>0</v>
      </c>
      <c r="Y680">
        <f>INDEX(ReachStudentTargets,MATCH(B680,KidIDs,0))</f>
        <v>0</v>
      </c>
      <c r="Z680">
        <f>IF(OR(M680="Posse"),1,0)</f>
        <v>0</v>
      </c>
      <c r="AA680">
        <f>IF(ISNUMBER(INDEX(AllCollegeGR, MATCH(N680,AllCollegeNCES,0))),ROUND(INDEX(AllCollegeGR, MATCH(N680,AllCollegeNCES,0))+Z680*IF(INDEX(AllCollegeGR, MATCH(N680,AllCollegeNCES,0))&gt;0.7,(1-INDEX(AllCollegeGR, MATCH(N680,AllCollegeNCES,0)))/2,0.15),2),INDEX(AllCollegeGR, MATCH(N680,AllCollegeNCES,0)))</f>
        <v>0</v>
      </c>
      <c r="AB680">
        <f>IF(ISNUMBER(INDEX(AllCollegeAAHGR, MATCH(N680,AllCollegeNCES,0))),ROUND(INDEX(AllCollegeAAHGR, MATCH(N680,AllCollegeNCES,0))+Z680*IF(INDEX(AllCollegeAAHGR, MATCH(N680,AllCollegeNCES,0))&gt;0.7,(1-INDEX(AllCollegeAAHGR, MATCH(N680,AllCollegeNCES,0)))/2,0.15),2),INDEX(AllCollegeAAHGR, MATCH(N680,AllCollegeNCES,0)))</f>
        <v>0</v>
      </c>
      <c r="AC680">
        <f>IF(OR(W680="H",W680="B"),INDEX(AllCollegeSAT25, MATCH(N680,AllCollegeNCES,0)),INDEX(AllCollegeSAT50, MATCH(N680,AllCollegeNCES,0)))</f>
        <v>0</v>
      </c>
      <c r="AD680">
        <f>INDEX(CustomWeightsGPA,MATCH(W680&amp;":"&amp;N680,CustomWeightsIndex,0))</f>
        <v>0</v>
      </c>
      <c r="AE680">
        <f>INDEX(CustomWeightsSAT,MATCH(W680&amp;":"&amp;N680,CustomWeightsIndex,0))</f>
        <v>0</v>
      </c>
      <c r="AF680">
        <f>INDEX(CustomWeightsIntercept,MATCH(W680&amp;":"&amp;N680,CustomWeightsIndex,0))</f>
        <v>0</v>
      </c>
      <c r="AG680">
        <f>AD680*S680+AE680*T680+AF680</f>
        <v>0</v>
      </c>
      <c r="AH680">
        <f>INDEX(CoefficientsGPA,MATCH(W680&amp;":"&amp;R680,CoefficientsIndex,0))</f>
        <v>0</v>
      </c>
      <c r="AI680">
        <f>INDEX(CoefficientsSAT,MATCH(W680&amp;":"&amp;R680,CoefficientsIndex,0))</f>
        <v>0</v>
      </c>
      <c r="AJ680">
        <f>INDEX(CoefficientsIntercept,MATCH(W680&amp;":"&amp;R680,CoefficientsIndex,0))</f>
        <v>0</v>
      </c>
      <c r="AK680">
        <f>AH680*S680+(T680-AC680)*AI680+AJ680</f>
        <v>0</v>
      </c>
      <c r="AL680">
        <f>IF(ISNUMBER(AG680),AG680,AK680)</f>
        <v>0</v>
      </c>
      <c r="AM680">
        <f>IF(ISNUMBER(AL680),IF(ISNUMBER(AH680),IF(AND(AH680=1,AI680=1,AJ680=1),100,MIN(99,ROUND(100*EXP(AL680)/(1+EXP(AL680)),2))),MIN(99,ROUND(100*EXP(AL680)/(1+EXP(AL680)),2))),IF(ISTEXT(R680),IF(LEFT(R680,1)="2",100,"N/A"),"N/A"))</f>
        <v>0</v>
      </c>
      <c r="AN680">
        <f>IF(ISNUMBER(AM680),IF(AM680&gt;=99,IF(OR(U680=10,U680=11),MatchLabel,SureThingLabel),IF(AM680&gt;=95,SecureLabel,IF(AM680&gt;=80,SafetyLabel,IF(AM680&gt;=50,MatchLabel,IF(AM680&gt;=20,ReachLabel,IF(AM680&gt;=10,LongshotLabel,HailMaryLabel)))))),"Other")</f>
        <v>0</v>
      </c>
      <c r="AO680">
        <f>IF(OR(I680="accepted",I680="cond. accept",I680="summer admit"),IF(J680="yes","CHOICE!","Accepted!"),IF(I680="guar. transfer","Guar. Xfer",IF(I680="denied","Denied",IF(K680=1,"Waitlist",IF(L680=1,"Deferred",IF(G680="pending","Pending",IF(OR(G680="initial materials submitted",G680="mid-year submitted",G680="final submitted"),"Submitted",IF(H680="interest","Interest","?"))))))))</f>
        <v>0</v>
      </c>
      <c r="AP680">
        <f>IF(OR(AN680=ReachLabel,AN680=LongshotLabel,AN680=HailMaryLabel),1,0)</f>
        <v>0</v>
      </c>
      <c r="AQ680">
        <f>IF(OR(AP680=1,AN680=MatchLabel),1,0)</f>
        <v>0</v>
      </c>
      <c r="AR680">
        <f>IF(OR(AN680=MatchLabel,AN680=SafetyLabel,AN680=SecureLabel,AN680=SureThingLabel),1,0)</f>
        <v>0</v>
      </c>
      <c r="AS680">
        <f>IF(OR(W680="H",W680="B",W680="I",W680="M"),IF(ISNUMBER(AB680),ROUND(AB680,2),0),IF(ISNUMBER(AA680),ROUND(AA680,2),0))</f>
        <v>0</v>
      </c>
      <c r="AT680">
        <f>IF(AS680&gt;=X680,1,0)</f>
        <v>0</v>
      </c>
      <c r="AU680">
        <f>IF(AS680&gt;=Y680,1,0)</f>
        <v>0</v>
      </c>
      <c r="AV680">
        <f>IF(AS680&lt;(X680-0.10),1,0)</f>
        <v>0</v>
      </c>
      <c r="AW680">
        <f>1-AM680/100</f>
        <v>0</v>
      </c>
      <c r="AX680">
        <f>IF(AQ680=1,AW680,1)</f>
        <v>0</v>
      </c>
      <c r="AY680">
        <f>IF(AP680=1,AW680,1)</f>
        <v>0</v>
      </c>
      <c r="AZ680">
        <f>IF(AND(AT680=1,ISNUMBER(AW680)),$AW680,1)</f>
        <v>0</v>
      </c>
      <c r="BA680">
        <f>IF(AND(AU680=1,ISNUMBER(AW680)),$AW680,1)</f>
        <v>0</v>
      </c>
      <c r="BB680">
        <f>IF(ISNUMBER(AB680),INDEX(AllCollegeMoney, MATCH(N680,AllCollegeNCES,0)),0)</f>
        <v>0</v>
      </c>
      <c r="BC680">
        <f>IF(AND(AT680=1,ISNUMBER(AW680),BB680=1),$AW680,1)</f>
        <v>0</v>
      </c>
      <c r="BD680">
        <f>IF(AND(AU680=1,ISNUMBER(AW680),BB680=1),$AW680,1)</f>
        <v>0</v>
      </c>
      <c r="BE680">
        <f>IF(ISNUMBER(AB680),INDEX(AllCollegeILPub, MATCH(N680,AllCollegeNCES,0)),0)</f>
        <v>0</v>
      </c>
      <c r="BF680">
        <f>IF(AN680=ReachLabel,AS680,0)</f>
        <v>0</v>
      </c>
      <c r="BG680">
        <f>IF(AN680=MatchLabel,AS680,0)</f>
        <v>0</v>
      </c>
      <c r="BH680">
        <f>IF(AN680=SafetyLabel,AS680,0)</f>
        <v>0</v>
      </c>
      <c r="BI680">
        <f>IF(AN680=SecureLabel,AS680,0)</f>
        <v>0</v>
      </c>
      <c r="BJ680">
        <f>IF(AN680=SureThingLabel,AS680,0)</f>
        <v>0</v>
      </c>
      <c r="BK680">
        <f>MAX(BF680:BJ680)</f>
        <v>0</v>
      </c>
      <c r="BL680">
        <f>MAX(BG680:BJ680)</f>
        <v>0</v>
      </c>
      <c r="BM680">
        <f>MAX(BH680:BJ680)</f>
        <v>0</v>
      </c>
      <c r="BN680">
        <f>IF(AND(AN680=ReachLabel,BB680=1),AS680,0)</f>
        <v>0</v>
      </c>
      <c r="BO680">
        <f>IF(AND(AN680=MatchLabel,BB680=1),AS680,0)</f>
        <v>0</v>
      </c>
      <c r="BP680">
        <f>IF(AND(AN680=SafetyLabel,BB680=1),AS680,0)</f>
        <v>0</v>
      </c>
      <c r="BQ680">
        <f>IF(AND(AN680=SecureLabel,BB680=1),AS680,0)</f>
        <v>0</v>
      </c>
      <c r="BR680">
        <f>IF(AND(AN680=SureThingLabel,BB680=1),AS680,0)</f>
        <v>0</v>
      </c>
      <c r="BS680">
        <f>MAX(BN680:BR680)</f>
        <v>0</v>
      </c>
      <c r="BT680">
        <f>MAX(BO680:BR680)</f>
        <v>0</v>
      </c>
      <c r="BU680">
        <f>MAX(BP680:BR680)</f>
        <v>0</v>
      </c>
      <c r="BV680">
        <f>IF(ISNUMBER(AB680),INDEX(AllCollegeChicago, MATCH(N680,AllCollegeNCES,0))*BB680,0)</f>
        <v>0</v>
      </c>
      <c r="BW680">
        <f>IF(ISNUMBER(AB680),INDEX(AllCollegeMoneyCode, MATCH(N680,AllCollegeNCES,0)),"?")</f>
        <v>0</v>
      </c>
      <c r="BX680">
        <f>IF(OR(BW680="---",BW680="--",BW680="+/--",BW680="+/---"),1,0)</f>
        <v>0</v>
      </c>
      <c r="BY680">
        <f>BB680*AR680*AT680</f>
        <v>0</v>
      </c>
    </row>
    <row r="681" spans="1:77">
      <c r="A681" t="s">
        <v>96</v>
      </c>
      <c r="B681">
        <v>24597473</v>
      </c>
      <c r="C681" t="s">
        <v>342</v>
      </c>
      <c r="D681" t="s">
        <v>343</v>
      </c>
      <c r="E681" t="s">
        <v>446</v>
      </c>
      <c r="F681" t="s">
        <v>529</v>
      </c>
      <c r="G681" t="s">
        <v>479</v>
      </c>
      <c r="H681" t="s">
        <v>449</v>
      </c>
      <c r="I681" t="s">
        <v>450</v>
      </c>
      <c r="J681" t="s">
        <v>450</v>
      </c>
      <c r="K681">
        <v>0</v>
      </c>
      <c r="L681" t="s">
        <v>446</v>
      </c>
      <c r="M681" t="s">
        <v>446</v>
      </c>
      <c r="N681">
        <v>145691</v>
      </c>
      <c r="O681">
        <f>INDEX(Counselor,MATCH(B681,KidIDs,0))</f>
        <v>0</v>
      </c>
      <c r="P681">
        <f>INDEX(Advisors,MATCH(B681,KidIDs,0))</f>
        <v>0</v>
      </c>
      <c r="Q681">
        <f>INDEX(Cohort,MATCH(B681,KidIDs,0))</f>
        <v>0</v>
      </c>
      <c r="R681">
        <f>INDEX(AllCollegeBarrons,MATCH(N681,AllCollegeNCES,0))</f>
        <v>0</v>
      </c>
      <c r="S681">
        <f>INDEX(KidGPAs,MATCH(B681,KidIDs,0))</f>
        <v>0</v>
      </c>
      <c r="T681">
        <f>INDEX(KidSATs,MATCH(B681,KidIDs,0))</f>
        <v>0</v>
      </c>
      <c r="U681">
        <f>INDEX(Strats,MATCH(B681,KidIDs,0))</f>
        <v>0</v>
      </c>
      <c r="V681">
        <f>INDEX(KidRace,MATCH(B681,KidIDs,0))</f>
        <v>0</v>
      </c>
      <c r="W681">
        <f>IF(OR(V681="M",V681="I"),"H",IF(V681="P","A",V681))</f>
        <v>0</v>
      </c>
      <c r="X681">
        <f>INDEX(StudentTargets,MATCH(B681,KidIDs,0))</f>
        <v>0</v>
      </c>
      <c r="Y681">
        <f>INDEX(ReachStudentTargets,MATCH(B681,KidIDs,0))</f>
        <v>0</v>
      </c>
      <c r="Z681">
        <f>IF(OR(M681="Posse"),1,0)</f>
        <v>0</v>
      </c>
      <c r="AA681">
        <f>IF(ISNUMBER(INDEX(AllCollegeGR, MATCH(N681,AllCollegeNCES,0))),ROUND(INDEX(AllCollegeGR, MATCH(N681,AllCollegeNCES,0))+Z681*IF(INDEX(AllCollegeGR, MATCH(N681,AllCollegeNCES,0))&gt;0.7,(1-INDEX(AllCollegeGR, MATCH(N681,AllCollegeNCES,0)))/2,0.15),2),INDEX(AllCollegeGR, MATCH(N681,AllCollegeNCES,0)))</f>
        <v>0</v>
      </c>
      <c r="AB681">
        <f>IF(ISNUMBER(INDEX(AllCollegeAAHGR, MATCH(N681,AllCollegeNCES,0))),ROUND(INDEX(AllCollegeAAHGR, MATCH(N681,AllCollegeNCES,0))+Z681*IF(INDEX(AllCollegeAAHGR, MATCH(N681,AllCollegeNCES,0))&gt;0.7,(1-INDEX(AllCollegeAAHGR, MATCH(N681,AllCollegeNCES,0)))/2,0.15),2),INDEX(AllCollegeAAHGR, MATCH(N681,AllCollegeNCES,0)))</f>
        <v>0</v>
      </c>
      <c r="AC681">
        <f>IF(OR(W681="H",W681="B"),INDEX(AllCollegeSAT25, MATCH(N681,AllCollegeNCES,0)),INDEX(AllCollegeSAT50, MATCH(N681,AllCollegeNCES,0)))</f>
        <v>0</v>
      </c>
      <c r="AD681">
        <f>INDEX(CustomWeightsGPA,MATCH(W681&amp;":"&amp;N681,CustomWeightsIndex,0))</f>
        <v>0</v>
      </c>
      <c r="AE681">
        <f>INDEX(CustomWeightsSAT,MATCH(W681&amp;":"&amp;N681,CustomWeightsIndex,0))</f>
        <v>0</v>
      </c>
      <c r="AF681">
        <f>INDEX(CustomWeightsIntercept,MATCH(W681&amp;":"&amp;N681,CustomWeightsIndex,0))</f>
        <v>0</v>
      </c>
      <c r="AG681">
        <f>AD681*S681+AE681*T681+AF681</f>
        <v>0</v>
      </c>
      <c r="AH681">
        <f>INDEX(CoefficientsGPA,MATCH(W681&amp;":"&amp;R681,CoefficientsIndex,0))</f>
        <v>0</v>
      </c>
      <c r="AI681">
        <f>INDEX(CoefficientsSAT,MATCH(W681&amp;":"&amp;R681,CoefficientsIndex,0))</f>
        <v>0</v>
      </c>
      <c r="AJ681">
        <f>INDEX(CoefficientsIntercept,MATCH(W681&amp;":"&amp;R681,CoefficientsIndex,0))</f>
        <v>0</v>
      </c>
      <c r="AK681">
        <f>AH681*S681+(T681-AC681)*AI681+AJ681</f>
        <v>0</v>
      </c>
      <c r="AL681">
        <f>IF(ISNUMBER(AG681),AG681,AK681)</f>
        <v>0</v>
      </c>
      <c r="AM681">
        <f>IF(ISNUMBER(AL681),IF(ISNUMBER(AH681),IF(AND(AH681=1,AI681=1,AJ681=1),100,MIN(99,ROUND(100*EXP(AL681)/(1+EXP(AL681)),2))),MIN(99,ROUND(100*EXP(AL681)/(1+EXP(AL681)),2))),IF(ISTEXT(R681),IF(LEFT(R681,1)="2",100,"N/A"),"N/A"))</f>
        <v>0</v>
      </c>
      <c r="AN681">
        <f>IF(ISNUMBER(AM681),IF(AM681&gt;=99,IF(OR(U681=10,U681=11),MatchLabel,SureThingLabel),IF(AM681&gt;=95,SecureLabel,IF(AM681&gt;=80,SafetyLabel,IF(AM681&gt;=50,MatchLabel,IF(AM681&gt;=20,ReachLabel,IF(AM681&gt;=10,LongshotLabel,HailMaryLabel)))))),"Other")</f>
        <v>0</v>
      </c>
      <c r="AO681">
        <f>IF(OR(I681="accepted",I681="cond. accept",I681="summer admit"),IF(J681="yes","CHOICE!","Accepted!"),IF(I681="guar. transfer","Guar. Xfer",IF(I681="denied","Denied",IF(K681=1,"Waitlist",IF(L681=1,"Deferred",IF(G681="pending","Pending",IF(OR(G681="initial materials submitted",G681="mid-year submitted",G681="final submitted"),"Submitted",IF(H681="interest","Interest","?"))))))))</f>
        <v>0</v>
      </c>
      <c r="AP681">
        <f>IF(OR(AN681=ReachLabel,AN681=LongshotLabel,AN681=HailMaryLabel),1,0)</f>
        <v>0</v>
      </c>
      <c r="AQ681">
        <f>IF(OR(AP681=1,AN681=MatchLabel),1,0)</f>
        <v>0</v>
      </c>
      <c r="AR681">
        <f>IF(OR(AN681=MatchLabel,AN681=SafetyLabel,AN681=SecureLabel,AN681=SureThingLabel),1,0)</f>
        <v>0</v>
      </c>
      <c r="AS681">
        <f>IF(OR(W681="H",W681="B",W681="I",W681="M"),IF(ISNUMBER(AB681),ROUND(AB681,2),0),IF(ISNUMBER(AA681),ROUND(AA681,2),0))</f>
        <v>0</v>
      </c>
      <c r="AT681">
        <f>IF(AS681&gt;=X681,1,0)</f>
        <v>0</v>
      </c>
      <c r="AU681">
        <f>IF(AS681&gt;=Y681,1,0)</f>
        <v>0</v>
      </c>
      <c r="AV681">
        <f>IF(AS681&lt;(X681-0.10),1,0)</f>
        <v>0</v>
      </c>
      <c r="AW681">
        <f>1-AM681/100</f>
        <v>0</v>
      </c>
      <c r="AX681">
        <f>IF(AQ681=1,AW681,1)</f>
        <v>0</v>
      </c>
      <c r="AY681">
        <f>IF(AP681=1,AW681,1)</f>
        <v>0</v>
      </c>
      <c r="AZ681">
        <f>IF(AND(AT681=1,ISNUMBER(AW681)),$AW681,1)</f>
        <v>0</v>
      </c>
      <c r="BA681">
        <f>IF(AND(AU681=1,ISNUMBER(AW681)),$AW681,1)</f>
        <v>0</v>
      </c>
      <c r="BB681">
        <f>IF(ISNUMBER(AB681),INDEX(AllCollegeMoney, MATCH(N681,AllCollegeNCES,0)),0)</f>
        <v>0</v>
      </c>
      <c r="BC681">
        <f>IF(AND(AT681=1,ISNUMBER(AW681),BB681=1),$AW681,1)</f>
        <v>0</v>
      </c>
      <c r="BD681">
        <f>IF(AND(AU681=1,ISNUMBER(AW681),BB681=1),$AW681,1)</f>
        <v>0</v>
      </c>
      <c r="BE681">
        <f>IF(ISNUMBER(AB681),INDEX(AllCollegeILPub, MATCH(N681,AllCollegeNCES,0)),0)</f>
        <v>0</v>
      </c>
      <c r="BF681">
        <f>IF(AN681=ReachLabel,AS681,0)</f>
        <v>0</v>
      </c>
      <c r="BG681">
        <f>IF(AN681=MatchLabel,AS681,0)</f>
        <v>0</v>
      </c>
      <c r="BH681">
        <f>IF(AN681=SafetyLabel,AS681,0)</f>
        <v>0</v>
      </c>
      <c r="BI681">
        <f>IF(AN681=SecureLabel,AS681,0)</f>
        <v>0</v>
      </c>
      <c r="BJ681">
        <f>IF(AN681=SureThingLabel,AS681,0)</f>
        <v>0</v>
      </c>
      <c r="BK681">
        <f>MAX(BF681:BJ681)</f>
        <v>0</v>
      </c>
      <c r="BL681">
        <f>MAX(BG681:BJ681)</f>
        <v>0</v>
      </c>
      <c r="BM681">
        <f>MAX(BH681:BJ681)</f>
        <v>0</v>
      </c>
      <c r="BN681">
        <f>IF(AND(AN681=ReachLabel,BB681=1),AS681,0)</f>
        <v>0</v>
      </c>
      <c r="BO681">
        <f>IF(AND(AN681=MatchLabel,BB681=1),AS681,0)</f>
        <v>0</v>
      </c>
      <c r="BP681">
        <f>IF(AND(AN681=SafetyLabel,BB681=1),AS681,0)</f>
        <v>0</v>
      </c>
      <c r="BQ681">
        <f>IF(AND(AN681=SecureLabel,BB681=1),AS681,0)</f>
        <v>0</v>
      </c>
      <c r="BR681">
        <f>IF(AND(AN681=SureThingLabel,BB681=1),AS681,0)</f>
        <v>0</v>
      </c>
      <c r="BS681">
        <f>MAX(BN681:BR681)</f>
        <v>0</v>
      </c>
      <c r="BT681">
        <f>MAX(BO681:BR681)</f>
        <v>0</v>
      </c>
      <c r="BU681">
        <f>MAX(BP681:BR681)</f>
        <v>0</v>
      </c>
      <c r="BV681">
        <f>IF(ISNUMBER(AB681),INDEX(AllCollegeChicago, MATCH(N681,AllCollegeNCES,0))*BB681,0)</f>
        <v>0</v>
      </c>
      <c r="BW681">
        <f>IF(ISNUMBER(AB681),INDEX(AllCollegeMoneyCode, MATCH(N681,AllCollegeNCES,0)),"?")</f>
        <v>0</v>
      </c>
      <c r="BX681">
        <f>IF(OR(BW681="---",BW681="--",BW681="+/--",BW681="+/---"),1,0)</f>
        <v>0</v>
      </c>
      <c r="BY681">
        <f>BB681*AR681*AT681</f>
        <v>0</v>
      </c>
    </row>
    <row r="682" spans="1:77">
      <c r="A682" t="s">
        <v>96</v>
      </c>
      <c r="B682">
        <v>24597473</v>
      </c>
      <c r="C682" t="s">
        <v>342</v>
      </c>
      <c r="D682" t="s">
        <v>343</v>
      </c>
      <c r="E682" t="s">
        <v>446</v>
      </c>
      <c r="F682" t="s">
        <v>536</v>
      </c>
      <c r="G682" t="s">
        <v>479</v>
      </c>
      <c r="H682" t="s">
        <v>449</v>
      </c>
      <c r="I682" t="s">
        <v>450</v>
      </c>
      <c r="J682" t="s">
        <v>450</v>
      </c>
      <c r="K682">
        <v>0</v>
      </c>
      <c r="L682" t="s">
        <v>446</v>
      </c>
      <c r="M682" t="s">
        <v>446</v>
      </c>
      <c r="N682">
        <v>239628</v>
      </c>
      <c r="O682">
        <f>INDEX(Counselor,MATCH(B682,KidIDs,0))</f>
        <v>0</v>
      </c>
      <c r="P682">
        <f>INDEX(Advisors,MATCH(B682,KidIDs,0))</f>
        <v>0</v>
      </c>
      <c r="Q682">
        <f>INDEX(Cohort,MATCH(B682,KidIDs,0))</f>
        <v>0</v>
      </c>
      <c r="R682">
        <f>INDEX(AllCollegeBarrons,MATCH(N682,AllCollegeNCES,0))</f>
        <v>0</v>
      </c>
      <c r="S682">
        <f>INDEX(KidGPAs,MATCH(B682,KidIDs,0))</f>
        <v>0</v>
      </c>
      <c r="T682">
        <f>INDEX(KidSATs,MATCH(B682,KidIDs,0))</f>
        <v>0</v>
      </c>
      <c r="U682">
        <f>INDEX(Strats,MATCH(B682,KidIDs,0))</f>
        <v>0</v>
      </c>
      <c r="V682">
        <f>INDEX(KidRace,MATCH(B682,KidIDs,0))</f>
        <v>0</v>
      </c>
      <c r="W682">
        <f>IF(OR(V682="M",V682="I"),"H",IF(V682="P","A",V682))</f>
        <v>0</v>
      </c>
      <c r="X682">
        <f>INDEX(StudentTargets,MATCH(B682,KidIDs,0))</f>
        <v>0</v>
      </c>
      <c r="Y682">
        <f>INDEX(ReachStudentTargets,MATCH(B682,KidIDs,0))</f>
        <v>0</v>
      </c>
      <c r="Z682">
        <f>IF(OR(M682="Posse"),1,0)</f>
        <v>0</v>
      </c>
      <c r="AA682">
        <f>IF(ISNUMBER(INDEX(AllCollegeGR, MATCH(N682,AllCollegeNCES,0))),ROUND(INDEX(AllCollegeGR, MATCH(N682,AllCollegeNCES,0))+Z682*IF(INDEX(AllCollegeGR, MATCH(N682,AllCollegeNCES,0))&gt;0.7,(1-INDEX(AllCollegeGR, MATCH(N682,AllCollegeNCES,0)))/2,0.15),2),INDEX(AllCollegeGR, MATCH(N682,AllCollegeNCES,0)))</f>
        <v>0</v>
      </c>
      <c r="AB682">
        <f>IF(ISNUMBER(INDEX(AllCollegeAAHGR, MATCH(N682,AllCollegeNCES,0))),ROUND(INDEX(AllCollegeAAHGR, MATCH(N682,AllCollegeNCES,0))+Z682*IF(INDEX(AllCollegeAAHGR, MATCH(N682,AllCollegeNCES,0))&gt;0.7,(1-INDEX(AllCollegeAAHGR, MATCH(N682,AllCollegeNCES,0)))/2,0.15),2),INDEX(AllCollegeAAHGR, MATCH(N682,AllCollegeNCES,0)))</f>
        <v>0</v>
      </c>
      <c r="AC682">
        <f>IF(OR(W682="H",W682="B"),INDEX(AllCollegeSAT25, MATCH(N682,AllCollegeNCES,0)),INDEX(AllCollegeSAT50, MATCH(N682,AllCollegeNCES,0)))</f>
        <v>0</v>
      </c>
      <c r="AD682">
        <f>INDEX(CustomWeightsGPA,MATCH(W682&amp;":"&amp;N682,CustomWeightsIndex,0))</f>
        <v>0</v>
      </c>
      <c r="AE682">
        <f>INDEX(CustomWeightsSAT,MATCH(W682&amp;":"&amp;N682,CustomWeightsIndex,0))</f>
        <v>0</v>
      </c>
      <c r="AF682">
        <f>INDEX(CustomWeightsIntercept,MATCH(W682&amp;":"&amp;N682,CustomWeightsIndex,0))</f>
        <v>0</v>
      </c>
      <c r="AG682">
        <f>AD682*S682+AE682*T682+AF682</f>
        <v>0</v>
      </c>
      <c r="AH682">
        <f>INDEX(CoefficientsGPA,MATCH(W682&amp;":"&amp;R682,CoefficientsIndex,0))</f>
        <v>0</v>
      </c>
      <c r="AI682">
        <f>INDEX(CoefficientsSAT,MATCH(W682&amp;":"&amp;R682,CoefficientsIndex,0))</f>
        <v>0</v>
      </c>
      <c r="AJ682">
        <f>INDEX(CoefficientsIntercept,MATCH(W682&amp;":"&amp;R682,CoefficientsIndex,0))</f>
        <v>0</v>
      </c>
      <c r="AK682">
        <f>AH682*S682+(T682-AC682)*AI682+AJ682</f>
        <v>0</v>
      </c>
      <c r="AL682">
        <f>IF(ISNUMBER(AG682),AG682,AK682)</f>
        <v>0</v>
      </c>
      <c r="AM682">
        <f>IF(ISNUMBER(AL682),IF(ISNUMBER(AH682),IF(AND(AH682=1,AI682=1,AJ682=1),100,MIN(99,ROUND(100*EXP(AL682)/(1+EXP(AL682)),2))),MIN(99,ROUND(100*EXP(AL682)/(1+EXP(AL682)),2))),IF(ISTEXT(R682),IF(LEFT(R682,1)="2",100,"N/A"),"N/A"))</f>
        <v>0</v>
      </c>
      <c r="AN682">
        <f>IF(ISNUMBER(AM682),IF(AM682&gt;=99,IF(OR(U682=10,U682=11),MatchLabel,SureThingLabel),IF(AM682&gt;=95,SecureLabel,IF(AM682&gt;=80,SafetyLabel,IF(AM682&gt;=50,MatchLabel,IF(AM682&gt;=20,ReachLabel,IF(AM682&gt;=10,LongshotLabel,HailMaryLabel)))))),"Other")</f>
        <v>0</v>
      </c>
      <c r="AO682">
        <f>IF(OR(I682="accepted",I682="cond. accept",I682="summer admit"),IF(J682="yes","CHOICE!","Accepted!"),IF(I682="guar. transfer","Guar. Xfer",IF(I682="denied","Denied",IF(K682=1,"Waitlist",IF(L682=1,"Deferred",IF(G682="pending","Pending",IF(OR(G682="initial materials submitted",G682="mid-year submitted",G682="final submitted"),"Submitted",IF(H682="interest","Interest","?"))))))))</f>
        <v>0</v>
      </c>
      <c r="AP682">
        <f>IF(OR(AN682=ReachLabel,AN682=LongshotLabel,AN682=HailMaryLabel),1,0)</f>
        <v>0</v>
      </c>
      <c r="AQ682">
        <f>IF(OR(AP682=1,AN682=MatchLabel),1,0)</f>
        <v>0</v>
      </c>
      <c r="AR682">
        <f>IF(OR(AN682=MatchLabel,AN682=SafetyLabel,AN682=SecureLabel,AN682=SureThingLabel),1,0)</f>
        <v>0</v>
      </c>
      <c r="AS682">
        <f>IF(OR(W682="H",W682="B",W682="I",W682="M"),IF(ISNUMBER(AB682),ROUND(AB682,2),0),IF(ISNUMBER(AA682),ROUND(AA682,2),0))</f>
        <v>0</v>
      </c>
      <c r="AT682">
        <f>IF(AS682&gt;=X682,1,0)</f>
        <v>0</v>
      </c>
      <c r="AU682">
        <f>IF(AS682&gt;=Y682,1,0)</f>
        <v>0</v>
      </c>
      <c r="AV682">
        <f>IF(AS682&lt;(X682-0.10),1,0)</f>
        <v>0</v>
      </c>
      <c r="AW682">
        <f>1-AM682/100</f>
        <v>0</v>
      </c>
      <c r="AX682">
        <f>IF(AQ682=1,AW682,1)</f>
        <v>0</v>
      </c>
      <c r="AY682">
        <f>IF(AP682=1,AW682,1)</f>
        <v>0</v>
      </c>
      <c r="AZ682">
        <f>IF(AND(AT682=1,ISNUMBER(AW682)),$AW682,1)</f>
        <v>0</v>
      </c>
      <c r="BA682">
        <f>IF(AND(AU682=1,ISNUMBER(AW682)),$AW682,1)</f>
        <v>0</v>
      </c>
      <c r="BB682">
        <f>IF(ISNUMBER(AB682),INDEX(AllCollegeMoney, MATCH(N682,AllCollegeNCES,0)),0)</f>
        <v>0</v>
      </c>
      <c r="BC682">
        <f>IF(AND(AT682=1,ISNUMBER(AW682),BB682=1),$AW682,1)</f>
        <v>0</v>
      </c>
      <c r="BD682">
        <f>IF(AND(AU682=1,ISNUMBER(AW682),BB682=1),$AW682,1)</f>
        <v>0</v>
      </c>
      <c r="BE682">
        <f>IF(ISNUMBER(AB682),INDEX(AllCollegeILPub, MATCH(N682,AllCollegeNCES,0)),0)</f>
        <v>0</v>
      </c>
      <c r="BF682">
        <f>IF(AN682=ReachLabel,AS682,0)</f>
        <v>0</v>
      </c>
      <c r="BG682">
        <f>IF(AN682=MatchLabel,AS682,0)</f>
        <v>0</v>
      </c>
      <c r="BH682">
        <f>IF(AN682=SafetyLabel,AS682,0)</f>
        <v>0</v>
      </c>
      <c r="BI682">
        <f>IF(AN682=SecureLabel,AS682,0)</f>
        <v>0</v>
      </c>
      <c r="BJ682">
        <f>IF(AN682=SureThingLabel,AS682,0)</f>
        <v>0</v>
      </c>
      <c r="BK682">
        <f>MAX(BF682:BJ682)</f>
        <v>0</v>
      </c>
      <c r="BL682">
        <f>MAX(BG682:BJ682)</f>
        <v>0</v>
      </c>
      <c r="BM682">
        <f>MAX(BH682:BJ682)</f>
        <v>0</v>
      </c>
      <c r="BN682">
        <f>IF(AND(AN682=ReachLabel,BB682=1),AS682,0)</f>
        <v>0</v>
      </c>
      <c r="BO682">
        <f>IF(AND(AN682=MatchLabel,BB682=1),AS682,0)</f>
        <v>0</v>
      </c>
      <c r="BP682">
        <f>IF(AND(AN682=SafetyLabel,BB682=1),AS682,0)</f>
        <v>0</v>
      </c>
      <c r="BQ682">
        <f>IF(AND(AN682=SecureLabel,BB682=1),AS682,0)</f>
        <v>0</v>
      </c>
      <c r="BR682">
        <f>IF(AND(AN682=SureThingLabel,BB682=1),AS682,0)</f>
        <v>0</v>
      </c>
      <c r="BS682">
        <f>MAX(BN682:BR682)</f>
        <v>0</v>
      </c>
      <c r="BT682">
        <f>MAX(BO682:BR682)</f>
        <v>0</v>
      </c>
      <c r="BU682">
        <f>MAX(BP682:BR682)</f>
        <v>0</v>
      </c>
      <c r="BV682">
        <f>IF(ISNUMBER(AB682),INDEX(AllCollegeChicago, MATCH(N682,AllCollegeNCES,0))*BB682,0)</f>
        <v>0</v>
      </c>
      <c r="BW682">
        <f>IF(ISNUMBER(AB682),INDEX(AllCollegeMoneyCode, MATCH(N682,AllCollegeNCES,0)),"?")</f>
        <v>0</v>
      </c>
      <c r="BX682">
        <f>IF(OR(BW682="---",BW682="--",BW682="+/--",BW682="+/---"),1,0)</f>
        <v>0</v>
      </c>
      <c r="BY682">
        <f>BB682*AR682*AT682</f>
        <v>0</v>
      </c>
    </row>
    <row r="683" spans="1:77">
      <c r="A683" t="s">
        <v>96</v>
      </c>
      <c r="B683">
        <v>24597473</v>
      </c>
      <c r="C683" t="s">
        <v>342</v>
      </c>
      <c r="D683" t="s">
        <v>343</v>
      </c>
      <c r="E683" t="s">
        <v>446</v>
      </c>
      <c r="F683" t="s">
        <v>598</v>
      </c>
      <c r="G683" t="s">
        <v>479</v>
      </c>
      <c r="H683" t="s">
        <v>449</v>
      </c>
      <c r="I683" t="s">
        <v>450</v>
      </c>
      <c r="J683" t="s">
        <v>450</v>
      </c>
      <c r="K683">
        <v>0</v>
      </c>
      <c r="L683" t="s">
        <v>446</v>
      </c>
      <c r="M683" t="s">
        <v>446</v>
      </c>
      <c r="N683">
        <v>170037</v>
      </c>
      <c r="O683">
        <f>INDEX(Counselor,MATCH(B683,KidIDs,0))</f>
        <v>0</v>
      </c>
      <c r="P683">
        <f>INDEX(Advisors,MATCH(B683,KidIDs,0))</f>
        <v>0</v>
      </c>
      <c r="Q683">
        <f>INDEX(Cohort,MATCH(B683,KidIDs,0))</f>
        <v>0</v>
      </c>
      <c r="R683">
        <f>INDEX(AllCollegeBarrons,MATCH(N683,AllCollegeNCES,0))</f>
        <v>0</v>
      </c>
      <c r="S683">
        <f>INDEX(KidGPAs,MATCH(B683,KidIDs,0))</f>
        <v>0</v>
      </c>
      <c r="T683">
        <f>INDEX(KidSATs,MATCH(B683,KidIDs,0))</f>
        <v>0</v>
      </c>
      <c r="U683">
        <f>INDEX(Strats,MATCH(B683,KidIDs,0))</f>
        <v>0</v>
      </c>
      <c r="V683">
        <f>INDEX(KidRace,MATCH(B683,KidIDs,0))</f>
        <v>0</v>
      </c>
      <c r="W683">
        <f>IF(OR(V683="M",V683="I"),"H",IF(V683="P","A",V683))</f>
        <v>0</v>
      </c>
      <c r="X683">
        <f>INDEX(StudentTargets,MATCH(B683,KidIDs,0))</f>
        <v>0</v>
      </c>
      <c r="Y683">
        <f>INDEX(ReachStudentTargets,MATCH(B683,KidIDs,0))</f>
        <v>0</v>
      </c>
      <c r="Z683">
        <f>IF(OR(M683="Posse"),1,0)</f>
        <v>0</v>
      </c>
      <c r="AA683">
        <f>IF(ISNUMBER(INDEX(AllCollegeGR, MATCH(N683,AllCollegeNCES,0))),ROUND(INDEX(AllCollegeGR, MATCH(N683,AllCollegeNCES,0))+Z683*IF(INDEX(AllCollegeGR, MATCH(N683,AllCollegeNCES,0))&gt;0.7,(1-INDEX(AllCollegeGR, MATCH(N683,AllCollegeNCES,0)))/2,0.15),2),INDEX(AllCollegeGR, MATCH(N683,AllCollegeNCES,0)))</f>
        <v>0</v>
      </c>
      <c r="AB683">
        <f>IF(ISNUMBER(INDEX(AllCollegeAAHGR, MATCH(N683,AllCollegeNCES,0))),ROUND(INDEX(AllCollegeAAHGR, MATCH(N683,AllCollegeNCES,0))+Z683*IF(INDEX(AllCollegeAAHGR, MATCH(N683,AllCollegeNCES,0))&gt;0.7,(1-INDEX(AllCollegeAAHGR, MATCH(N683,AllCollegeNCES,0)))/2,0.15),2),INDEX(AllCollegeAAHGR, MATCH(N683,AllCollegeNCES,0)))</f>
        <v>0</v>
      </c>
      <c r="AC683">
        <f>IF(OR(W683="H",W683="B"),INDEX(AllCollegeSAT25, MATCH(N683,AllCollegeNCES,0)),INDEX(AllCollegeSAT50, MATCH(N683,AllCollegeNCES,0)))</f>
        <v>0</v>
      </c>
      <c r="AD683">
        <f>INDEX(CustomWeightsGPA,MATCH(W683&amp;":"&amp;N683,CustomWeightsIndex,0))</f>
        <v>0</v>
      </c>
      <c r="AE683">
        <f>INDEX(CustomWeightsSAT,MATCH(W683&amp;":"&amp;N683,CustomWeightsIndex,0))</f>
        <v>0</v>
      </c>
      <c r="AF683">
        <f>INDEX(CustomWeightsIntercept,MATCH(W683&amp;":"&amp;N683,CustomWeightsIndex,0))</f>
        <v>0</v>
      </c>
      <c r="AG683">
        <f>AD683*S683+AE683*T683+AF683</f>
        <v>0</v>
      </c>
      <c r="AH683">
        <f>INDEX(CoefficientsGPA,MATCH(W683&amp;":"&amp;R683,CoefficientsIndex,0))</f>
        <v>0</v>
      </c>
      <c r="AI683">
        <f>INDEX(CoefficientsSAT,MATCH(W683&amp;":"&amp;R683,CoefficientsIndex,0))</f>
        <v>0</v>
      </c>
      <c r="AJ683">
        <f>INDEX(CoefficientsIntercept,MATCH(W683&amp;":"&amp;R683,CoefficientsIndex,0))</f>
        <v>0</v>
      </c>
      <c r="AK683">
        <f>AH683*S683+(T683-AC683)*AI683+AJ683</f>
        <v>0</v>
      </c>
      <c r="AL683">
        <f>IF(ISNUMBER(AG683),AG683,AK683)</f>
        <v>0</v>
      </c>
      <c r="AM683">
        <f>IF(ISNUMBER(AL683),IF(ISNUMBER(AH683),IF(AND(AH683=1,AI683=1,AJ683=1),100,MIN(99,ROUND(100*EXP(AL683)/(1+EXP(AL683)),2))),MIN(99,ROUND(100*EXP(AL683)/(1+EXP(AL683)),2))),IF(ISTEXT(R683),IF(LEFT(R683,1)="2",100,"N/A"),"N/A"))</f>
        <v>0</v>
      </c>
      <c r="AN683">
        <f>IF(ISNUMBER(AM683),IF(AM683&gt;=99,IF(OR(U683=10,U683=11),MatchLabel,SureThingLabel),IF(AM683&gt;=95,SecureLabel,IF(AM683&gt;=80,SafetyLabel,IF(AM683&gt;=50,MatchLabel,IF(AM683&gt;=20,ReachLabel,IF(AM683&gt;=10,LongshotLabel,HailMaryLabel)))))),"Other")</f>
        <v>0</v>
      </c>
      <c r="AO683">
        <f>IF(OR(I683="accepted",I683="cond. accept",I683="summer admit"),IF(J683="yes","CHOICE!","Accepted!"),IF(I683="guar. transfer","Guar. Xfer",IF(I683="denied","Denied",IF(K683=1,"Waitlist",IF(L683=1,"Deferred",IF(G683="pending","Pending",IF(OR(G683="initial materials submitted",G683="mid-year submitted",G683="final submitted"),"Submitted",IF(H683="interest","Interest","?"))))))))</f>
        <v>0</v>
      </c>
      <c r="AP683">
        <f>IF(OR(AN683=ReachLabel,AN683=LongshotLabel,AN683=HailMaryLabel),1,0)</f>
        <v>0</v>
      </c>
      <c r="AQ683">
        <f>IF(OR(AP683=1,AN683=MatchLabel),1,0)</f>
        <v>0</v>
      </c>
      <c r="AR683">
        <f>IF(OR(AN683=MatchLabel,AN683=SafetyLabel,AN683=SecureLabel,AN683=SureThingLabel),1,0)</f>
        <v>0</v>
      </c>
      <c r="AS683">
        <f>IF(OR(W683="H",W683="B",W683="I",W683="M"),IF(ISNUMBER(AB683),ROUND(AB683,2),0),IF(ISNUMBER(AA683),ROUND(AA683,2),0))</f>
        <v>0</v>
      </c>
      <c r="AT683">
        <f>IF(AS683&gt;=X683,1,0)</f>
        <v>0</v>
      </c>
      <c r="AU683">
        <f>IF(AS683&gt;=Y683,1,0)</f>
        <v>0</v>
      </c>
      <c r="AV683">
        <f>IF(AS683&lt;(X683-0.10),1,0)</f>
        <v>0</v>
      </c>
      <c r="AW683">
        <f>1-AM683/100</f>
        <v>0</v>
      </c>
      <c r="AX683">
        <f>IF(AQ683=1,AW683,1)</f>
        <v>0</v>
      </c>
      <c r="AY683">
        <f>IF(AP683=1,AW683,1)</f>
        <v>0</v>
      </c>
      <c r="AZ683">
        <f>IF(AND(AT683=1,ISNUMBER(AW683)),$AW683,1)</f>
        <v>0</v>
      </c>
      <c r="BA683">
        <f>IF(AND(AU683=1,ISNUMBER(AW683)),$AW683,1)</f>
        <v>0</v>
      </c>
      <c r="BB683">
        <f>IF(ISNUMBER(AB683),INDEX(AllCollegeMoney, MATCH(N683,AllCollegeNCES,0)),0)</f>
        <v>0</v>
      </c>
      <c r="BC683">
        <f>IF(AND(AT683=1,ISNUMBER(AW683),BB683=1),$AW683,1)</f>
        <v>0</v>
      </c>
      <c r="BD683">
        <f>IF(AND(AU683=1,ISNUMBER(AW683),BB683=1),$AW683,1)</f>
        <v>0</v>
      </c>
      <c r="BE683">
        <f>IF(ISNUMBER(AB683),INDEX(AllCollegeILPub, MATCH(N683,AllCollegeNCES,0)),0)</f>
        <v>0</v>
      </c>
      <c r="BF683">
        <f>IF(AN683=ReachLabel,AS683,0)</f>
        <v>0</v>
      </c>
      <c r="BG683">
        <f>IF(AN683=MatchLabel,AS683,0)</f>
        <v>0</v>
      </c>
      <c r="BH683">
        <f>IF(AN683=SafetyLabel,AS683,0)</f>
        <v>0</v>
      </c>
      <c r="BI683">
        <f>IF(AN683=SecureLabel,AS683,0)</f>
        <v>0</v>
      </c>
      <c r="BJ683">
        <f>IF(AN683=SureThingLabel,AS683,0)</f>
        <v>0</v>
      </c>
      <c r="BK683">
        <f>MAX(BF683:BJ683)</f>
        <v>0</v>
      </c>
      <c r="BL683">
        <f>MAX(BG683:BJ683)</f>
        <v>0</v>
      </c>
      <c r="BM683">
        <f>MAX(BH683:BJ683)</f>
        <v>0</v>
      </c>
      <c r="BN683">
        <f>IF(AND(AN683=ReachLabel,BB683=1),AS683,0)</f>
        <v>0</v>
      </c>
      <c r="BO683">
        <f>IF(AND(AN683=MatchLabel,BB683=1),AS683,0)</f>
        <v>0</v>
      </c>
      <c r="BP683">
        <f>IF(AND(AN683=SafetyLabel,BB683=1),AS683,0)</f>
        <v>0</v>
      </c>
      <c r="BQ683">
        <f>IF(AND(AN683=SecureLabel,BB683=1),AS683,0)</f>
        <v>0</v>
      </c>
      <c r="BR683">
        <f>IF(AND(AN683=SureThingLabel,BB683=1),AS683,0)</f>
        <v>0</v>
      </c>
      <c r="BS683">
        <f>MAX(BN683:BR683)</f>
        <v>0</v>
      </c>
      <c r="BT683">
        <f>MAX(BO683:BR683)</f>
        <v>0</v>
      </c>
      <c r="BU683">
        <f>MAX(BP683:BR683)</f>
        <v>0</v>
      </c>
      <c r="BV683">
        <f>IF(ISNUMBER(AB683),INDEX(AllCollegeChicago, MATCH(N683,AllCollegeNCES,0))*BB683,0)</f>
        <v>0</v>
      </c>
      <c r="BW683">
        <f>IF(ISNUMBER(AB683),INDEX(AllCollegeMoneyCode, MATCH(N683,AllCollegeNCES,0)),"?")</f>
        <v>0</v>
      </c>
      <c r="BX683">
        <f>IF(OR(BW683="---",BW683="--",BW683="+/--",BW683="+/---"),1,0)</f>
        <v>0</v>
      </c>
      <c r="BY683">
        <f>BB683*AR683*AT683</f>
        <v>0</v>
      </c>
    </row>
    <row r="684" spans="1:77">
      <c r="A684" t="s">
        <v>96</v>
      </c>
      <c r="B684">
        <v>24597473</v>
      </c>
      <c r="C684" t="s">
        <v>342</v>
      </c>
      <c r="D684" t="s">
        <v>343</v>
      </c>
      <c r="E684" t="s">
        <v>446</v>
      </c>
      <c r="F684" t="s">
        <v>562</v>
      </c>
      <c r="G684" t="s">
        <v>479</v>
      </c>
      <c r="H684" t="s">
        <v>449</v>
      </c>
      <c r="I684" t="s">
        <v>450</v>
      </c>
      <c r="J684" t="s">
        <v>450</v>
      </c>
      <c r="K684">
        <v>0</v>
      </c>
      <c r="L684" t="s">
        <v>446</v>
      </c>
      <c r="M684" t="s">
        <v>446</v>
      </c>
      <c r="N684">
        <v>144281</v>
      </c>
      <c r="O684">
        <f>INDEX(Counselor,MATCH(B684,KidIDs,0))</f>
        <v>0</v>
      </c>
      <c r="P684">
        <f>INDEX(Advisors,MATCH(B684,KidIDs,0))</f>
        <v>0</v>
      </c>
      <c r="Q684">
        <f>INDEX(Cohort,MATCH(B684,KidIDs,0))</f>
        <v>0</v>
      </c>
      <c r="R684">
        <f>INDEX(AllCollegeBarrons,MATCH(N684,AllCollegeNCES,0))</f>
        <v>0</v>
      </c>
      <c r="S684">
        <f>INDEX(KidGPAs,MATCH(B684,KidIDs,0))</f>
        <v>0</v>
      </c>
      <c r="T684">
        <f>INDEX(KidSATs,MATCH(B684,KidIDs,0))</f>
        <v>0</v>
      </c>
      <c r="U684">
        <f>INDEX(Strats,MATCH(B684,KidIDs,0))</f>
        <v>0</v>
      </c>
      <c r="V684">
        <f>INDEX(KidRace,MATCH(B684,KidIDs,0))</f>
        <v>0</v>
      </c>
      <c r="W684">
        <f>IF(OR(V684="M",V684="I"),"H",IF(V684="P","A",V684))</f>
        <v>0</v>
      </c>
      <c r="X684">
        <f>INDEX(StudentTargets,MATCH(B684,KidIDs,0))</f>
        <v>0</v>
      </c>
      <c r="Y684">
        <f>INDEX(ReachStudentTargets,MATCH(B684,KidIDs,0))</f>
        <v>0</v>
      </c>
      <c r="Z684">
        <f>IF(OR(M684="Posse"),1,0)</f>
        <v>0</v>
      </c>
      <c r="AA684">
        <f>IF(ISNUMBER(INDEX(AllCollegeGR, MATCH(N684,AllCollegeNCES,0))),ROUND(INDEX(AllCollegeGR, MATCH(N684,AllCollegeNCES,0))+Z684*IF(INDEX(AllCollegeGR, MATCH(N684,AllCollegeNCES,0))&gt;0.7,(1-INDEX(AllCollegeGR, MATCH(N684,AllCollegeNCES,0)))/2,0.15),2),INDEX(AllCollegeGR, MATCH(N684,AllCollegeNCES,0)))</f>
        <v>0</v>
      </c>
      <c r="AB684">
        <f>IF(ISNUMBER(INDEX(AllCollegeAAHGR, MATCH(N684,AllCollegeNCES,0))),ROUND(INDEX(AllCollegeAAHGR, MATCH(N684,AllCollegeNCES,0))+Z684*IF(INDEX(AllCollegeAAHGR, MATCH(N684,AllCollegeNCES,0))&gt;0.7,(1-INDEX(AllCollegeAAHGR, MATCH(N684,AllCollegeNCES,0)))/2,0.15),2),INDEX(AllCollegeAAHGR, MATCH(N684,AllCollegeNCES,0)))</f>
        <v>0</v>
      </c>
      <c r="AC684">
        <f>IF(OR(W684="H",W684="B"),INDEX(AllCollegeSAT25, MATCH(N684,AllCollegeNCES,0)),INDEX(AllCollegeSAT50, MATCH(N684,AllCollegeNCES,0)))</f>
        <v>0</v>
      </c>
      <c r="AD684">
        <f>INDEX(CustomWeightsGPA,MATCH(W684&amp;":"&amp;N684,CustomWeightsIndex,0))</f>
        <v>0</v>
      </c>
      <c r="AE684">
        <f>INDEX(CustomWeightsSAT,MATCH(W684&amp;":"&amp;N684,CustomWeightsIndex,0))</f>
        <v>0</v>
      </c>
      <c r="AF684">
        <f>INDEX(CustomWeightsIntercept,MATCH(W684&amp;":"&amp;N684,CustomWeightsIndex,0))</f>
        <v>0</v>
      </c>
      <c r="AG684">
        <f>AD684*S684+AE684*T684+AF684</f>
        <v>0</v>
      </c>
      <c r="AH684">
        <f>INDEX(CoefficientsGPA,MATCH(W684&amp;":"&amp;R684,CoefficientsIndex,0))</f>
        <v>0</v>
      </c>
      <c r="AI684">
        <f>INDEX(CoefficientsSAT,MATCH(W684&amp;":"&amp;R684,CoefficientsIndex,0))</f>
        <v>0</v>
      </c>
      <c r="AJ684">
        <f>INDEX(CoefficientsIntercept,MATCH(W684&amp;":"&amp;R684,CoefficientsIndex,0))</f>
        <v>0</v>
      </c>
      <c r="AK684">
        <f>AH684*S684+(T684-AC684)*AI684+AJ684</f>
        <v>0</v>
      </c>
      <c r="AL684">
        <f>IF(ISNUMBER(AG684),AG684,AK684)</f>
        <v>0</v>
      </c>
      <c r="AM684">
        <f>IF(ISNUMBER(AL684),IF(ISNUMBER(AH684),IF(AND(AH684=1,AI684=1,AJ684=1),100,MIN(99,ROUND(100*EXP(AL684)/(1+EXP(AL684)),2))),MIN(99,ROUND(100*EXP(AL684)/(1+EXP(AL684)),2))),IF(ISTEXT(R684),IF(LEFT(R684,1)="2",100,"N/A"),"N/A"))</f>
        <v>0</v>
      </c>
      <c r="AN684">
        <f>IF(ISNUMBER(AM684),IF(AM684&gt;=99,IF(OR(U684=10,U684=11),MatchLabel,SureThingLabel),IF(AM684&gt;=95,SecureLabel,IF(AM684&gt;=80,SafetyLabel,IF(AM684&gt;=50,MatchLabel,IF(AM684&gt;=20,ReachLabel,IF(AM684&gt;=10,LongshotLabel,HailMaryLabel)))))),"Other")</f>
        <v>0</v>
      </c>
      <c r="AO684">
        <f>IF(OR(I684="accepted",I684="cond. accept",I684="summer admit"),IF(J684="yes","CHOICE!","Accepted!"),IF(I684="guar. transfer","Guar. Xfer",IF(I684="denied","Denied",IF(K684=1,"Waitlist",IF(L684=1,"Deferred",IF(G684="pending","Pending",IF(OR(G684="initial materials submitted",G684="mid-year submitted",G684="final submitted"),"Submitted",IF(H684="interest","Interest","?"))))))))</f>
        <v>0</v>
      </c>
      <c r="AP684">
        <f>IF(OR(AN684=ReachLabel,AN684=LongshotLabel,AN684=HailMaryLabel),1,0)</f>
        <v>0</v>
      </c>
      <c r="AQ684">
        <f>IF(OR(AP684=1,AN684=MatchLabel),1,0)</f>
        <v>0</v>
      </c>
      <c r="AR684">
        <f>IF(OR(AN684=MatchLabel,AN684=SafetyLabel,AN684=SecureLabel,AN684=SureThingLabel),1,0)</f>
        <v>0</v>
      </c>
      <c r="AS684">
        <f>IF(OR(W684="H",W684="B",W684="I",W684="M"),IF(ISNUMBER(AB684),ROUND(AB684,2),0),IF(ISNUMBER(AA684),ROUND(AA684,2),0))</f>
        <v>0</v>
      </c>
      <c r="AT684">
        <f>IF(AS684&gt;=X684,1,0)</f>
        <v>0</v>
      </c>
      <c r="AU684">
        <f>IF(AS684&gt;=Y684,1,0)</f>
        <v>0</v>
      </c>
      <c r="AV684">
        <f>IF(AS684&lt;(X684-0.10),1,0)</f>
        <v>0</v>
      </c>
      <c r="AW684">
        <f>1-AM684/100</f>
        <v>0</v>
      </c>
      <c r="AX684">
        <f>IF(AQ684=1,AW684,1)</f>
        <v>0</v>
      </c>
      <c r="AY684">
        <f>IF(AP684=1,AW684,1)</f>
        <v>0</v>
      </c>
      <c r="AZ684">
        <f>IF(AND(AT684=1,ISNUMBER(AW684)),$AW684,1)</f>
        <v>0</v>
      </c>
      <c r="BA684">
        <f>IF(AND(AU684=1,ISNUMBER(AW684)),$AW684,1)</f>
        <v>0</v>
      </c>
      <c r="BB684">
        <f>IF(ISNUMBER(AB684),INDEX(AllCollegeMoney, MATCH(N684,AllCollegeNCES,0)),0)</f>
        <v>0</v>
      </c>
      <c r="BC684">
        <f>IF(AND(AT684=1,ISNUMBER(AW684),BB684=1),$AW684,1)</f>
        <v>0</v>
      </c>
      <c r="BD684">
        <f>IF(AND(AU684=1,ISNUMBER(AW684),BB684=1),$AW684,1)</f>
        <v>0</v>
      </c>
      <c r="BE684">
        <f>IF(ISNUMBER(AB684),INDEX(AllCollegeILPub, MATCH(N684,AllCollegeNCES,0)),0)</f>
        <v>0</v>
      </c>
      <c r="BF684">
        <f>IF(AN684=ReachLabel,AS684,0)</f>
        <v>0</v>
      </c>
      <c r="BG684">
        <f>IF(AN684=MatchLabel,AS684,0)</f>
        <v>0</v>
      </c>
      <c r="BH684">
        <f>IF(AN684=SafetyLabel,AS684,0)</f>
        <v>0</v>
      </c>
      <c r="BI684">
        <f>IF(AN684=SecureLabel,AS684,0)</f>
        <v>0</v>
      </c>
      <c r="BJ684">
        <f>IF(AN684=SureThingLabel,AS684,0)</f>
        <v>0</v>
      </c>
      <c r="BK684">
        <f>MAX(BF684:BJ684)</f>
        <v>0</v>
      </c>
      <c r="BL684">
        <f>MAX(BG684:BJ684)</f>
        <v>0</v>
      </c>
      <c r="BM684">
        <f>MAX(BH684:BJ684)</f>
        <v>0</v>
      </c>
      <c r="BN684">
        <f>IF(AND(AN684=ReachLabel,BB684=1),AS684,0)</f>
        <v>0</v>
      </c>
      <c r="BO684">
        <f>IF(AND(AN684=MatchLabel,BB684=1),AS684,0)</f>
        <v>0</v>
      </c>
      <c r="BP684">
        <f>IF(AND(AN684=SafetyLabel,BB684=1),AS684,0)</f>
        <v>0</v>
      </c>
      <c r="BQ684">
        <f>IF(AND(AN684=SecureLabel,BB684=1),AS684,0)</f>
        <v>0</v>
      </c>
      <c r="BR684">
        <f>IF(AND(AN684=SureThingLabel,BB684=1),AS684,0)</f>
        <v>0</v>
      </c>
      <c r="BS684">
        <f>MAX(BN684:BR684)</f>
        <v>0</v>
      </c>
      <c r="BT684">
        <f>MAX(BO684:BR684)</f>
        <v>0</v>
      </c>
      <c r="BU684">
        <f>MAX(BP684:BR684)</f>
        <v>0</v>
      </c>
      <c r="BV684">
        <f>IF(ISNUMBER(AB684),INDEX(AllCollegeChicago, MATCH(N684,AllCollegeNCES,0))*BB684,0)</f>
        <v>0</v>
      </c>
      <c r="BW684">
        <f>IF(ISNUMBER(AB684),INDEX(AllCollegeMoneyCode, MATCH(N684,AllCollegeNCES,0)),"?")</f>
        <v>0</v>
      </c>
      <c r="BX684">
        <f>IF(OR(BW684="---",BW684="--",BW684="+/--",BW684="+/---"),1,0)</f>
        <v>0</v>
      </c>
      <c r="BY684">
        <f>BB684*AR684*AT684</f>
        <v>0</v>
      </c>
    </row>
    <row r="685" spans="1:77">
      <c r="A685" t="s">
        <v>96</v>
      </c>
      <c r="B685">
        <v>30051791</v>
      </c>
      <c r="C685" t="s">
        <v>172</v>
      </c>
      <c r="D685" t="s">
        <v>173</v>
      </c>
      <c r="E685" t="s">
        <v>446</v>
      </c>
      <c r="F685" t="s">
        <v>493</v>
      </c>
      <c r="G685" t="s">
        <v>448</v>
      </c>
      <c r="H685" t="s">
        <v>449</v>
      </c>
      <c r="I685" t="s">
        <v>450</v>
      </c>
      <c r="J685" t="s">
        <v>450</v>
      </c>
      <c r="K685">
        <v>0</v>
      </c>
      <c r="L685" t="s">
        <v>446</v>
      </c>
      <c r="M685" t="s">
        <v>446</v>
      </c>
      <c r="N685">
        <v>147767</v>
      </c>
      <c r="O685">
        <f>INDEX(Counselor,MATCH(B685,KidIDs,0))</f>
        <v>0</v>
      </c>
      <c r="P685">
        <f>INDEX(Advisors,MATCH(B685,KidIDs,0))</f>
        <v>0</v>
      </c>
      <c r="Q685">
        <f>INDEX(Cohort,MATCH(B685,KidIDs,0))</f>
        <v>0</v>
      </c>
      <c r="R685">
        <f>INDEX(AllCollegeBarrons,MATCH(N685,AllCollegeNCES,0))</f>
        <v>0</v>
      </c>
      <c r="S685">
        <f>INDEX(KidGPAs,MATCH(B685,KidIDs,0))</f>
        <v>0</v>
      </c>
      <c r="T685">
        <f>INDEX(KidSATs,MATCH(B685,KidIDs,0))</f>
        <v>0</v>
      </c>
      <c r="U685">
        <f>INDEX(Strats,MATCH(B685,KidIDs,0))</f>
        <v>0</v>
      </c>
      <c r="V685">
        <f>INDEX(KidRace,MATCH(B685,KidIDs,0))</f>
        <v>0</v>
      </c>
      <c r="W685">
        <f>IF(OR(V685="M",V685="I"),"H",IF(V685="P","A",V685))</f>
        <v>0</v>
      </c>
      <c r="X685">
        <f>INDEX(StudentTargets,MATCH(B685,KidIDs,0))</f>
        <v>0</v>
      </c>
      <c r="Y685">
        <f>INDEX(ReachStudentTargets,MATCH(B685,KidIDs,0))</f>
        <v>0</v>
      </c>
      <c r="Z685">
        <f>IF(OR(M685="Posse"),1,0)</f>
        <v>0</v>
      </c>
      <c r="AA685">
        <f>IF(ISNUMBER(INDEX(AllCollegeGR, MATCH(N685,AllCollegeNCES,0))),ROUND(INDEX(AllCollegeGR, MATCH(N685,AllCollegeNCES,0))+Z685*IF(INDEX(AllCollegeGR, MATCH(N685,AllCollegeNCES,0))&gt;0.7,(1-INDEX(AllCollegeGR, MATCH(N685,AllCollegeNCES,0)))/2,0.15),2),INDEX(AllCollegeGR, MATCH(N685,AllCollegeNCES,0)))</f>
        <v>0</v>
      </c>
      <c r="AB685">
        <f>IF(ISNUMBER(INDEX(AllCollegeAAHGR, MATCH(N685,AllCollegeNCES,0))),ROUND(INDEX(AllCollegeAAHGR, MATCH(N685,AllCollegeNCES,0))+Z685*IF(INDEX(AllCollegeAAHGR, MATCH(N685,AllCollegeNCES,0))&gt;0.7,(1-INDEX(AllCollegeAAHGR, MATCH(N685,AllCollegeNCES,0)))/2,0.15),2),INDEX(AllCollegeAAHGR, MATCH(N685,AllCollegeNCES,0)))</f>
        <v>0</v>
      </c>
      <c r="AC685">
        <f>IF(OR(W685="H",W685="B"),INDEX(AllCollegeSAT25, MATCH(N685,AllCollegeNCES,0)),INDEX(AllCollegeSAT50, MATCH(N685,AllCollegeNCES,0)))</f>
        <v>0</v>
      </c>
      <c r="AD685">
        <f>INDEX(CustomWeightsGPA,MATCH(W685&amp;":"&amp;N685,CustomWeightsIndex,0))</f>
        <v>0</v>
      </c>
      <c r="AE685">
        <f>INDEX(CustomWeightsSAT,MATCH(W685&amp;":"&amp;N685,CustomWeightsIndex,0))</f>
        <v>0</v>
      </c>
      <c r="AF685">
        <f>INDEX(CustomWeightsIntercept,MATCH(W685&amp;":"&amp;N685,CustomWeightsIndex,0))</f>
        <v>0</v>
      </c>
      <c r="AG685">
        <f>AD685*S685+AE685*T685+AF685</f>
        <v>0</v>
      </c>
      <c r="AH685">
        <f>INDEX(CoefficientsGPA,MATCH(W685&amp;":"&amp;R685,CoefficientsIndex,0))</f>
        <v>0</v>
      </c>
      <c r="AI685">
        <f>INDEX(CoefficientsSAT,MATCH(W685&amp;":"&amp;R685,CoefficientsIndex,0))</f>
        <v>0</v>
      </c>
      <c r="AJ685">
        <f>INDEX(CoefficientsIntercept,MATCH(W685&amp;":"&amp;R685,CoefficientsIndex,0))</f>
        <v>0</v>
      </c>
      <c r="AK685">
        <f>AH685*S685+(T685-AC685)*AI685+AJ685</f>
        <v>0</v>
      </c>
      <c r="AL685">
        <f>IF(ISNUMBER(AG685),AG685,AK685)</f>
        <v>0</v>
      </c>
      <c r="AM685">
        <f>IF(ISNUMBER(AL685),IF(ISNUMBER(AH685),IF(AND(AH685=1,AI685=1,AJ685=1),100,MIN(99,ROUND(100*EXP(AL685)/(1+EXP(AL685)),2))),MIN(99,ROUND(100*EXP(AL685)/(1+EXP(AL685)),2))),IF(ISTEXT(R685),IF(LEFT(R685,1)="2",100,"N/A"),"N/A"))</f>
        <v>0</v>
      </c>
      <c r="AN685">
        <f>IF(ISNUMBER(AM685),IF(AM685&gt;=99,IF(OR(U685=10,U685=11),MatchLabel,SureThingLabel),IF(AM685&gt;=95,SecureLabel,IF(AM685&gt;=80,SafetyLabel,IF(AM685&gt;=50,MatchLabel,IF(AM685&gt;=20,ReachLabel,IF(AM685&gt;=10,LongshotLabel,HailMaryLabel)))))),"Other")</f>
        <v>0</v>
      </c>
      <c r="AO685">
        <f>IF(OR(I685="accepted",I685="cond. accept",I685="summer admit"),IF(J685="yes","CHOICE!","Accepted!"),IF(I685="guar. transfer","Guar. Xfer",IF(I685="denied","Denied",IF(K685=1,"Waitlist",IF(L685=1,"Deferred",IF(G685="pending","Pending",IF(OR(G685="initial materials submitted",G685="mid-year submitted",G685="final submitted"),"Submitted",IF(H685="interest","Interest","?"))))))))</f>
        <v>0</v>
      </c>
      <c r="AP685">
        <f>IF(OR(AN685=ReachLabel,AN685=LongshotLabel,AN685=HailMaryLabel),1,0)</f>
        <v>0</v>
      </c>
      <c r="AQ685">
        <f>IF(OR(AP685=1,AN685=MatchLabel),1,0)</f>
        <v>0</v>
      </c>
      <c r="AR685">
        <f>IF(OR(AN685=MatchLabel,AN685=SafetyLabel,AN685=SecureLabel,AN685=SureThingLabel),1,0)</f>
        <v>0</v>
      </c>
      <c r="AS685">
        <f>IF(OR(W685="H",W685="B",W685="I",W685="M"),IF(ISNUMBER(AB685),ROUND(AB685,2),0),IF(ISNUMBER(AA685),ROUND(AA685,2),0))</f>
        <v>0</v>
      </c>
      <c r="AT685">
        <f>IF(AS685&gt;=X685,1,0)</f>
        <v>0</v>
      </c>
      <c r="AU685">
        <f>IF(AS685&gt;=Y685,1,0)</f>
        <v>0</v>
      </c>
      <c r="AV685">
        <f>IF(AS685&lt;(X685-0.10),1,0)</f>
        <v>0</v>
      </c>
      <c r="AW685">
        <f>1-AM685/100</f>
        <v>0</v>
      </c>
      <c r="AX685">
        <f>IF(AQ685=1,AW685,1)</f>
        <v>0</v>
      </c>
      <c r="AY685">
        <f>IF(AP685=1,AW685,1)</f>
        <v>0</v>
      </c>
      <c r="AZ685">
        <f>IF(AND(AT685=1,ISNUMBER(AW685)),$AW685,1)</f>
        <v>0</v>
      </c>
      <c r="BA685">
        <f>IF(AND(AU685=1,ISNUMBER(AW685)),$AW685,1)</f>
        <v>0</v>
      </c>
      <c r="BB685">
        <f>IF(ISNUMBER(AB685),INDEX(AllCollegeMoney, MATCH(N685,AllCollegeNCES,0)),0)</f>
        <v>0</v>
      </c>
      <c r="BC685">
        <f>IF(AND(AT685=1,ISNUMBER(AW685),BB685=1),$AW685,1)</f>
        <v>0</v>
      </c>
      <c r="BD685">
        <f>IF(AND(AU685=1,ISNUMBER(AW685),BB685=1),$AW685,1)</f>
        <v>0</v>
      </c>
      <c r="BE685">
        <f>IF(ISNUMBER(AB685),INDEX(AllCollegeILPub, MATCH(N685,AllCollegeNCES,0)),0)</f>
        <v>0</v>
      </c>
      <c r="BF685">
        <f>IF(AN685=ReachLabel,AS685,0)</f>
        <v>0</v>
      </c>
      <c r="BG685">
        <f>IF(AN685=MatchLabel,AS685,0)</f>
        <v>0</v>
      </c>
      <c r="BH685">
        <f>IF(AN685=SafetyLabel,AS685,0)</f>
        <v>0</v>
      </c>
      <c r="BI685">
        <f>IF(AN685=SecureLabel,AS685,0)</f>
        <v>0</v>
      </c>
      <c r="BJ685">
        <f>IF(AN685=SureThingLabel,AS685,0)</f>
        <v>0</v>
      </c>
      <c r="BK685">
        <f>MAX(BF685:BJ685)</f>
        <v>0</v>
      </c>
      <c r="BL685">
        <f>MAX(BG685:BJ685)</f>
        <v>0</v>
      </c>
      <c r="BM685">
        <f>MAX(BH685:BJ685)</f>
        <v>0</v>
      </c>
      <c r="BN685">
        <f>IF(AND(AN685=ReachLabel,BB685=1),AS685,0)</f>
        <v>0</v>
      </c>
      <c r="BO685">
        <f>IF(AND(AN685=MatchLabel,BB685=1),AS685,0)</f>
        <v>0</v>
      </c>
      <c r="BP685">
        <f>IF(AND(AN685=SafetyLabel,BB685=1),AS685,0)</f>
        <v>0</v>
      </c>
      <c r="BQ685">
        <f>IF(AND(AN685=SecureLabel,BB685=1),AS685,0)</f>
        <v>0</v>
      </c>
      <c r="BR685">
        <f>IF(AND(AN685=SureThingLabel,BB685=1),AS685,0)</f>
        <v>0</v>
      </c>
      <c r="BS685">
        <f>MAX(BN685:BR685)</f>
        <v>0</v>
      </c>
      <c r="BT685">
        <f>MAX(BO685:BR685)</f>
        <v>0</v>
      </c>
      <c r="BU685">
        <f>MAX(BP685:BR685)</f>
        <v>0</v>
      </c>
      <c r="BV685">
        <f>IF(ISNUMBER(AB685),INDEX(AllCollegeChicago, MATCH(N685,AllCollegeNCES,0))*BB685,0)</f>
        <v>0</v>
      </c>
      <c r="BW685">
        <f>IF(ISNUMBER(AB685),INDEX(AllCollegeMoneyCode, MATCH(N685,AllCollegeNCES,0)),"?")</f>
        <v>0</v>
      </c>
      <c r="BX685">
        <f>IF(OR(BW685="---",BW685="--",BW685="+/--",BW685="+/---"),1,0)</f>
        <v>0</v>
      </c>
      <c r="BY685">
        <f>BB685*AR685*AT685</f>
        <v>0</v>
      </c>
    </row>
    <row r="686" spans="1:77">
      <c r="A686" t="s">
        <v>96</v>
      </c>
      <c r="B686">
        <v>30051791</v>
      </c>
      <c r="C686" t="s">
        <v>172</v>
      </c>
      <c r="D686" t="s">
        <v>173</v>
      </c>
      <c r="E686" t="s">
        <v>446</v>
      </c>
      <c r="F686" t="s">
        <v>599</v>
      </c>
      <c r="G686" t="s">
        <v>448</v>
      </c>
      <c r="H686" t="s">
        <v>449</v>
      </c>
      <c r="I686" t="s">
        <v>450</v>
      </c>
      <c r="J686" t="s">
        <v>450</v>
      </c>
      <c r="K686">
        <v>0</v>
      </c>
      <c r="L686" t="s">
        <v>446</v>
      </c>
      <c r="M686" t="s">
        <v>446</v>
      </c>
      <c r="N686">
        <v>130697</v>
      </c>
      <c r="O686">
        <f>INDEX(Counselor,MATCH(B686,KidIDs,0))</f>
        <v>0</v>
      </c>
      <c r="P686">
        <f>INDEX(Advisors,MATCH(B686,KidIDs,0))</f>
        <v>0</v>
      </c>
      <c r="Q686">
        <f>INDEX(Cohort,MATCH(B686,KidIDs,0))</f>
        <v>0</v>
      </c>
      <c r="R686">
        <f>INDEX(AllCollegeBarrons,MATCH(N686,AllCollegeNCES,0))</f>
        <v>0</v>
      </c>
      <c r="S686">
        <f>INDEX(KidGPAs,MATCH(B686,KidIDs,0))</f>
        <v>0</v>
      </c>
      <c r="T686">
        <f>INDEX(KidSATs,MATCH(B686,KidIDs,0))</f>
        <v>0</v>
      </c>
      <c r="U686">
        <f>INDEX(Strats,MATCH(B686,KidIDs,0))</f>
        <v>0</v>
      </c>
      <c r="V686">
        <f>INDEX(KidRace,MATCH(B686,KidIDs,0))</f>
        <v>0</v>
      </c>
      <c r="W686">
        <f>IF(OR(V686="M",V686="I"),"H",IF(V686="P","A",V686))</f>
        <v>0</v>
      </c>
      <c r="X686">
        <f>INDEX(StudentTargets,MATCH(B686,KidIDs,0))</f>
        <v>0</v>
      </c>
      <c r="Y686">
        <f>INDEX(ReachStudentTargets,MATCH(B686,KidIDs,0))</f>
        <v>0</v>
      </c>
      <c r="Z686">
        <f>IF(OR(M686="Posse"),1,0)</f>
        <v>0</v>
      </c>
      <c r="AA686">
        <f>IF(ISNUMBER(INDEX(AllCollegeGR, MATCH(N686,AllCollegeNCES,0))),ROUND(INDEX(AllCollegeGR, MATCH(N686,AllCollegeNCES,0))+Z686*IF(INDEX(AllCollegeGR, MATCH(N686,AllCollegeNCES,0))&gt;0.7,(1-INDEX(AllCollegeGR, MATCH(N686,AllCollegeNCES,0)))/2,0.15),2),INDEX(AllCollegeGR, MATCH(N686,AllCollegeNCES,0)))</f>
        <v>0</v>
      </c>
      <c r="AB686">
        <f>IF(ISNUMBER(INDEX(AllCollegeAAHGR, MATCH(N686,AllCollegeNCES,0))),ROUND(INDEX(AllCollegeAAHGR, MATCH(N686,AllCollegeNCES,0))+Z686*IF(INDEX(AllCollegeAAHGR, MATCH(N686,AllCollegeNCES,0))&gt;0.7,(1-INDEX(AllCollegeAAHGR, MATCH(N686,AllCollegeNCES,0)))/2,0.15),2),INDEX(AllCollegeAAHGR, MATCH(N686,AllCollegeNCES,0)))</f>
        <v>0</v>
      </c>
      <c r="AC686">
        <f>IF(OR(W686="H",W686="B"),INDEX(AllCollegeSAT25, MATCH(N686,AllCollegeNCES,0)),INDEX(AllCollegeSAT50, MATCH(N686,AllCollegeNCES,0)))</f>
        <v>0</v>
      </c>
      <c r="AD686">
        <f>INDEX(CustomWeightsGPA,MATCH(W686&amp;":"&amp;N686,CustomWeightsIndex,0))</f>
        <v>0</v>
      </c>
      <c r="AE686">
        <f>INDEX(CustomWeightsSAT,MATCH(W686&amp;":"&amp;N686,CustomWeightsIndex,0))</f>
        <v>0</v>
      </c>
      <c r="AF686">
        <f>INDEX(CustomWeightsIntercept,MATCH(W686&amp;":"&amp;N686,CustomWeightsIndex,0))</f>
        <v>0</v>
      </c>
      <c r="AG686">
        <f>AD686*S686+AE686*T686+AF686</f>
        <v>0</v>
      </c>
      <c r="AH686">
        <f>INDEX(CoefficientsGPA,MATCH(W686&amp;":"&amp;R686,CoefficientsIndex,0))</f>
        <v>0</v>
      </c>
      <c r="AI686">
        <f>INDEX(CoefficientsSAT,MATCH(W686&amp;":"&amp;R686,CoefficientsIndex,0))</f>
        <v>0</v>
      </c>
      <c r="AJ686">
        <f>INDEX(CoefficientsIntercept,MATCH(W686&amp;":"&amp;R686,CoefficientsIndex,0))</f>
        <v>0</v>
      </c>
      <c r="AK686">
        <f>AH686*S686+(T686-AC686)*AI686+AJ686</f>
        <v>0</v>
      </c>
      <c r="AL686">
        <f>IF(ISNUMBER(AG686),AG686,AK686)</f>
        <v>0</v>
      </c>
      <c r="AM686">
        <f>IF(ISNUMBER(AL686),IF(ISNUMBER(AH686),IF(AND(AH686=1,AI686=1,AJ686=1),100,MIN(99,ROUND(100*EXP(AL686)/(1+EXP(AL686)),2))),MIN(99,ROUND(100*EXP(AL686)/(1+EXP(AL686)),2))),IF(ISTEXT(R686),IF(LEFT(R686,1)="2",100,"N/A"),"N/A"))</f>
        <v>0</v>
      </c>
      <c r="AN686">
        <f>IF(ISNUMBER(AM686),IF(AM686&gt;=99,IF(OR(U686=10,U686=11),MatchLabel,SureThingLabel),IF(AM686&gt;=95,SecureLabel,IF(AM686&gt;=80,SafetyLabel,IF(AM686&gt;=50,MatchLabel,IF(AM686&gt;=20,ReachLabel,IF(AM686&gt;=10,LongshotLabel,HailMaryLabel)))))),"Other")</f>
        <v>0</v>
      </c>
      <c r="AO686">
        <f>IF(OR(I686="accepted",I686="cond. accept",I686="summer admit"),IF(J686="yes","CHOICE!","Accepted!"),IF(I686="guar. transfer","Guar. Xfer",IF(I686="denied","Denied",IF(K686=1,"Waitlist",IF(L686=1,"Deferred",IF(G686="pending","Pending",IF(OR(G686="initial materials submitted",G686="mid-year submitted",G686="final submitted"),"Submitted",IF(H686="interest","Interest","?"))))))))</f>
        <v>0</v>
      </c>
      <c r="AP686">
        <f>IF(OR(AN686=ReachLabel,AN686=LongshotLabel,AN686=HailMaryLabel),1,0)</f>
        <v>0</v>
      </c>
      <c r="AQ686">
        <f>IF(OR(AP686=1,AN686=MatchLabel),1,0)</f>
        <v>0</v>
      </c>
      <c r="AR686">
        <f>IF(OR(AN686=MatchLabel,AN686=SafetyLabel,AN686=SecureLabel,AN686=SureThingLabel),1,0)</f>
        <v>0</v>
      </c>
      <c r="AS686">
        <f>IF(OR(W686="H",W686="B",W686="I",W686="M"),IF(ISNUMBER(AB686),ROUND(AB686,2),0),IF(ISNUMBER(AA686),ROUND(AA686,2),0))</f>
        <v>0</v>
      </c>
      <c r="AT686">
        <f>IF(AS686&gt;=X686,1,0)</f>
        <v>0</v>
      </c>
      <c r="AU686">
        <f>IF(AS686&gt;=Y686,1,0)</f>
        <v>0</v>
      </c>
      <c r="AV686">
        <f>IF(AS686&lt;(X686-0.10),1,0)</f>
        <v>0</v>
      </c>
      <c r="AW686">
        <f>1-AM686/100</f>
        <v>0</v>
      </c>
      <c r="AX686">
        <f>IF(AQ686=1,AW686,1)</f>
        <v>0</v>
      </c>
      <c r="AY686">
        <f>IF(AP686=1,AW686,1)</f>
        <v>0</v>
      </c>
      <c r="AZ686">
        <f>IF(AND(AT686=1,ISNUMBER(AW686)),$AW686,1)</f>
        <v>0</v>
      </c>
      <c r="BA686">
        <f>IF(AND(AU686=1,ISNUMBER(AW686)),$AW686,1)</f>
        <v>0</v>
      </c>
      <c r="BB686">
        <f>IF(ISNUMBER(AB686),INDEX(AllCollegeMoney, MATCH(N686,AllCollegeNCES,0)),0)</f>
        <v>0</v>
      </c>
      <c r="BC686">
        <f>IF(AND(AT686=1,ISNUMBER(AW686),BB686=1),$AW686,1)</f>
        <v>0</v>
      </c>
      <c r="BD686">
        <f>IF(AND(AU686=1,ISNUMBER(AW686),BB686=1),$AW686,1)</f>
        <v>0</v>
      </c>
      <c r="BE686">
        <f>IF(ISNUMBER(AB686),INDEX(AllCollegeILPub, MATCH(N686,AllCollegeNCES,0)),0)</f>
        <v>0</v>
      </c>
      <c r="BF686">
        <f>IF(AN686=ReachLabel,AS686,0)</f>
        <v>0</v>
      </c>
      <c r="BG686">
        <f>IF(AN686=MatchLabel,AS686,0)</f>
        <v>0</v>
      </c>
      <c r="BH686">
        <f>IF(AN686=SafetyLabel,AS686,0)</f>
        <v>0</v>
      </c>
      <c r="BI686">
        <f>IF(AN686=SecureLabel,AS686,0)</f>
        <v>0</v>
      </c>
      <c r="BJ686">
        <f>IF(AN686=SureThingLabel,AS686,0)</f>
        <v>0</v>
      </c>
      <c r="BK686">
        <f>MAX(BF686:BJ686)</f>
        <v>0</v>
      </c>
      <c r="BL686">
        <f>MAX(BG686:BJ686)</f>
        <v>0</v>
      </c>
      <c r="BM686">
        <f>MAX(BH686:BJ686)</f>
        <v>0</v>
      </c>
      <c r="BN686">
        <f>IF(AND(AN686=ReachLabel,BB686=1),AS686,0)</f>
        <v>0</v>
      </c>
      <c r="BO686">
        <f>IF(AND(AN686=MatchLabel,BB686=1),AS686,0)</f>
        <v>0</v>
      </c>
      <c r="BP686">
        <f>IF(AND(AN686=SafetyLabel,BB686=1),AS686,0)</f>
        <v>0</v>
      </c>
      <c r="BQ686">
        <f>IF(AND(AN686=SecureLabel,BB686=1),AS686,0)</f>
        <v>0</v>
      </c>
      <c r="BR686">
        <f>IF(AND(AN686=SureThingLabel,BB686=1),AS686,0)</f>
        <v>0</v>
      </c>
      <c r="BS686">
        <f>MAX(BN686:BR686)</f>
        <v>0</v>
      </c>
      <c r="BT686">
        <f>MAX(BO686:BR686)</f>
        <v>0</v>
      </c>
      <c r="BU686">
        <f>MAX(BP686:BR686)</f>
        <v>0</v>
      </c>
      <c r="BV686">
        <f>IF(ISNUMBER(AB686),INDEX(AllCollegeChicago, MATCH(N686,AllCollegeNCES,0))*BB686,0)</f>
        <v>0</v>
      </c>
      <c r="BW686">
        <f>IF(ISNUMBER(AB686),INDEX(AllCollegeMoneyCode, MATCH(N686,AllCollegeNCES,0)),"?")</f>
        <v>0</v>
      </c>
      <c r="BX686">
        <f>IF(OR(BW686="---",BW686="--",BW686="+/--",BW686="+/---"),1,0)</f>
        <v>0</v>
      </c>
      <c r="BY686">
        <f>BB686*AR686*AT686</f>
        <v>0</v>
      </c>
    </row>
    <row r="687" spans="1:77">
      <c r="A687" t="s">
        <v>96</v>
      </c>
      <c r="B687">
        <v>30051791</v>
      </c>
      <c r="C687" t="s">
        <v>172</v>
      </c>
      <c r="D687" t="s">
        <v>173</v>
      </c>
      <c r="E687" t="s">
        <v>446</v>
      </c>
      <c r="F687" t="s">
        <v>482</v>
      </c>
      <c r="G687" t="s">
        <v>448</v>
      </c>
      <c r="H687" t="s">
        <v>449</v>
      </c>
      <c r="I687" t="s">
        <v>450</v>
      </c>
      <c r="J687" t="s">
        <v>450</v>
      </c>
      <c r="K687">
        <v>0</v>
      </c>
      <c r="L687" t="s">
        <v>446</v>
      </c>
      <c r="M687" t="s">
        <v>446</v>
      </c>
      <c r="N687">
        <v>170976</v>
      </c>
      <c r="O687">
        <f>INDEX(Counselor,MATCH(B687,KidIDs,0))</f>
        <v>0</v>
      </c>
      <c r="P687">
        <f>INDEX(Advisors,MATCH(B687,KidIDs,0))</f>
        <v>0</v>
      </c>
      <c r="Q687">
        <f>INDEX(Cohort,MATCH(B687,KidIDs,0))</f>
        <v>0</v>
      </c>
      <c r="R687">
        <f>INDEX(AllCollegeBarrons,MATCH(N687,AllCollegeNCES,0))</f>
        <v>0</v>
      </c>
      <c r="S687">
        <f>INDEX(KidGPAs,MATCH(B687,KidIDs,0))</f>
        <v>0</v>
      </c>
      <c r="T687">
        <f>INDEX(KidSATs,MATCH(B687,KidIDs,0))</f>
        <v>0</v>
      </c>
      <c r="U687">
        <f>INDEX(Strats,MATCH(B687,KidIDs,0))</f>
        <v>0</v>
      </c>
      <c r="V687">
        <f>INDEX(KidRace,MATCH(B687,KidIDs,0))</f>
        <v>0</v>
      </c>
      <c r="W687">
        <f>IF(OR(V687="M",V687="I"),"H",IF(V687="P","A",V687))</f>
        <v>0</v>
      </c>
      <c r="X687">
        <f>INDEX(StudentTargets,MATCH(B687,KidIDs,0))</f>
        <v>0</v>
      </c>
      <c r="Y687">
        <f>INDEX(ReachStudentTargets,MATCH(B687,KidIDs,0))</f>
        <v>0</v>
      </c>
      <c r="Z687">
        <f>IF(OR(M687="Posse"),1,0)</f>
        <v>0</v>
      </c>
      <c r="AA687">
        <f>IF(ISNUMBER(INDEX(AllCollegeGR, MATCH(N687,AllCollegeNCES,0))),ROUND(INDEX(AllCollegeGR, MATCH(N687,AllCollegeNCES,0))+Z687*IF(INDEX(AllCollegeGR, MATCH(N687,AllCollegeNCES,0))&gt;0.7,(1-INDEX(AllCollegeGR, MATCH(N687,AllCollegeNCES,0)))/2,0.15),2),INDEX(AllCollegeGR, MATCH(N687,AllCollegeNCES,0)))</f>
        <v>0</v>
      </c>
      <c r="AB687">
        <f>IF(ISNUMBER(INDEX(AllCollegeAAHGR, MATCH(N687,AllCollegeNCES,0))),ROUND(INDEX(AllCollegeAAHGR, MATCH(N687,AllCollegeNCES,0))+Z687*IF(INDEX(AllCollegeAAHGR, MATCH(N687,AllCollegeNCES,0))&gt;0.7,(1-INDEX(AllCollegeAAHGR, MATCH(N687,AllCollegeNCES,0)))/2,0.15),2),INDEX(AllCollegeAAHGR, MATCH(N687,AllCollegeNCES,0)))</f>
        <v>0</v>
      </c>
      <c r="AC687">
        <f>IF(OR(W687="H",W687="B"),INDEX(AllCollegeSAT25, MATCH(N687,AllCollegeNCES,0)),INDEX(AllCollegeSAT50, MATCH(N687,AllCollegeNCES,0)))</f>
        <v>0</v>
      </c>
      <c r="AD687">
        <f>INDEX(CustomWeightsGPA,MATCH(W687&amp;":"&amp;N687,CustomWeightsIndex,0))</f>
        <v>0</v>
      </c>
      <c r="AE687">
        <f>INDEX(CustomWeightsSAT,MATCH(W687&amp;":"&amp;N687,CustomWeightsIndex,0))</f>
        <v>0</v>
      </c>
      <c r="AF687">
        <f>INDEX(CustomWeightsIntercept,MATCH(W687&amp;":"&amp;N687,CustomWeightsIndex,0))</f>
        <v>0</v>
      </c>
      <c r="AG687">
        <f>AD687*S687+AE687*T687+AF687</f>
        <v>0</v>
      </c>
      <c r="AH687">
        <f>INDEX(CoefficientsGPA,MATCH(W687&amp;":"&amp;R687,CoefficientsIndex,0))</f>
        <v>0</v>
      </c>
      <c r="AI687">
        <f>INDEX(CoefficientsSAT,MATCH(W687&amp;":"&amp;R687,CoefficientsIndex,0))</f>
        <v>0</v>
      </c>
      <c r="AJ687">
        <f>INDEX(CoefficientsIntercept,MATCH(W687&amp;":"&amp;R687,CoefficientsIndex,0))</f>
        <v>0</v>
      </c>
      <c r="AK687">
        <f>AH687*S687+(T687-AC687)*AI687+AJ687</f>
        <v>0</v>
      </c>
      <c r="AL687">
        <f>IF(ISNUMBER(AG687),AG687,AK687)</f>
        <v>0</v>
      </c>
      <c r="AM687">
        <f>IF(ISNUMBER(AL687),IF(ISNUMBER(AH687),IF(AND(AH687=1,AI687=1,AJ687=1),100,MIN(99,ROUND(100*EXP(AL687)/(1+EXP(AL687)),2))),MIN(99,ROUND(100*EXP(AL687)/(1+EXP(AL687)),2))),IF(ISTEXT(R687),IF(LEFT(R687,1)="2",100,"N/A"),"N/A"))</f>
        <v>0</v>
      </c>
      <c r="AN687">
        <f>IF(ISNUMBER(AM687),IF(AM687&gt;=99,IF(OR(U687=10,U687=11),MatchLabel,SureThingLabel),IF(AM687&gt;=95,SecureLabel,IF(AM687&gt;=80,SafetyLabel,IF(AM687&gt;=50,MatchLabel,IF(AM687&gt;=20,ReachLabel,IF(AM687&gt;=10,LongshotLabel,HailMaryLabel)))))),"Other")</f>
        <v>0</v>
      </c>
      <c r="AO687">
        <f>IF(OR(I687="accepted",I687="cond. accept",I687="summer admit"),IF(J687="yes","CHOICE!","Accepted!"),IF(I687="guar. transfer","Guar. Xfer",IF(I687="denied","Denied",IF(K687=1,"Waitlist",IF(L687=1,"Deferred",IF(G687="pending","Pending",IF(OR(G687="initial materials submitted",G687="mid-year submitted",G687="final submitted"),"Submitted",IF(H687="interest","Interest","?"))))))))</f>
        <v>0</v>
      </c>
      <c r="AP687">
        <f>IF(OR(AN687=ReachLabel,AN687=LongshotLabel,AN687=HailMaryLabel),1,0)</f>
        <v>0</v>
      </c>
      <c r="AQ687">
        <f>IF(OR(AP687=1,AN687=MatchLabel),1,0)</f>
        <v>0</v>
      </c>
      <c r="AR687">
        <f>IF(OR(AN687=MatchLabel,AN687=SafetyLabel,AN687=SecureLabel,AN687=SureThingLabel),1,0)</f>
        <v>0</v>
      </c>
      <c r="AS687">
        <f>IF(OR(W687="H",W687="B",W687="I",W687="M"),IF(ISNUMBER(AB687),ROUND(AB687,2),0),IF(ISNUMBER(AA687),ROUND(AA687,2),0))</f>
        <v>0</v>
      </c>
      <c r="AT687">
        <f>IF(AS687&gt;=X687,1,0)</f>
        <v>0</v>
      </c>
      <c r="AU687">
        <f>IF(AS687&gt;=Y687,1,0)</f>
        <v>0</v>
      </c>
      <c r="AV687">
        <f>IF(AS687&lt;(X687-0.10),1,0)</f>
        <v>0</v>
      </c>
      <c r="AW687">
        <f>1-AM687/100</f>
        <v>0</v>
      </c>
      <c r="AX687">
        <f>IF(AQ687=1,AW687,1)</f>
        <v>0</v>
      </c>
      <c r="AY687">
        <f>IF(AP687=1,AW687,1)</f>
        <v>0</v>
      </c>
      <c r="AZ687">
        <f>IF(AND(AT687=1,ISNUMBER(AW687)),$AW687,1)</f>
        <v>0</v>
      </c>
      <c r="BA687">
        <f>IF(AND(AU687=1,ISNUMBER(AW687)),$AW687,1)</f>
        <v>0</v>
      </c>
      <c r="BB687">
        <f>IF(ISNUMBER(AB687),INDEX(AllCollegeMoney, MATCH(N687,AllCollegeNCES,0)),0)</f>
        <v>0</v>
      </c>
      <c r="BC687">
        <f>IF(AND(AT687=1,ISNUMBER(AW687),BB687=1),$AW687,1)</f>
        <v>0</v>
      </c>
      <c r="BD687">
        <f>IF(AND(AU687=1,ISNUMBER(AW687),BB687=1),$AW687,1)</f>
        <v>0</v>
      </c>
      <c r="BE687">
        <f>IF(ISNUMBER(AB687),INDEX(AllCollegeILPub, MATCH(N687,AllCollegeNCES,0)),0)</f>
        <v>0</v>
      </c>
      <c r="BF687">
        <f>IF(AN687=ReachLabel,AS687,0)</f>
        <v>0</v>
      </c>
      <c r="BG687">
        <f>IF(AN687=MatchLabel,AS687,0)</f>
        <v>0</v>
      </c>
      <c r="BH687">
        <f>IF(AN687=SafetyLabel,AS687,0)</f>
        <v>0</v>
      </c>
      <c r="BI687">
        <f>IF(AN687=SecureLabel,AS687,0)</f>
        <v>0</v>
      </c>
      <c r="BJ687">
        <f>IF(AN687=SureThingLabel,AS687,0)</f>
        <v>0</v>
      </c>
      <c r="BK687">
        <f>MAX(BF687:BJ687)</f>
        <v>0</v>
      </c>
      <c r="BL687">
        <f>MAX(BG687:BJ687)</f>
        <v>0</v>
      </c>
      <c r="BM687">
        <f>MAX(BH687:BJ687)</f>
        <v>0</v>
      </c>
      <c r="BN687">
        <f>IF(AND(AN687=ReachLabel,BB687=1),AS687,0)</f>
        <v>0</v>
      </c>
      <c r="BO687">
        <f>IF(AND(AN687=MatchLabel,BB687=1),AS687,0)</f>
        <v>0</v>
      </c>
      <c r="BP687">
        <f>IF(AND(AN687=SafetyLabel,BB687=1),AS687,0)</f>
        <v>0</v>
      </c>
      <c r="BQ687">
        <f>IF(AND(AN687=SecureLabel,BB687=1),AS687,0)</f>
        <v>0</v>
      </c>
      <c r="BR687">
        <f>IF(AND(AN687=SureThingLabel,BB687=1),AS687,0)</f>
        <v>0</v>
      </c>
      <c r="BS687">
        <f>MAX(BN687:BR687)</f>
        <v>0</v>
      </c>
      <c r="BT687">
        <f>MAX(BO687:BR687)</f>
        <v>0</v>
      </c>
      <c r="BU687">
        <f>MAX(BP687:BR687)</f>
        <v>0</v>
      </c>
      <c r="BV687">
        <f>IF(ISNUMBER(AB687),INDEX(AllCollegeChicago, MATCH(N687,AllCollegeNCES,0))*BB687,0)</f>
        <v>0</v>
      </c>
      <c r="BW687">
        <f>IF(ISNUMBER(AB687),INDEX(AllCollegeMoneyCode, MATCH(N687,AllCollegeNCES,0)),"?")</f>
        <v>0</v>
      </c>
      <c r="BX687">
        <f>IF(OR(BW687="---",BW687="--",BW687="+/--",BW687="+/---"),1,0)</f>
        <v>0</v>
      </c>
      <c r="BY687">
        <f>BB687*AR687*AT687</f>
        <v>0</v>
      </c>
    </row>
    <row r="688" spans="1:77">
      <c r="A688" t="s">
        <v>96</v>
      </c>
      <c r="B688">
        <v>30051791</v>
      </c>
      <c r="C688" t="s">
        <v>172</v>
      </c>
      <c r="D688" t="s">
        <v>173</v>
      </c>
      <c r="E688" t="s">
        <v>446</v>
      </c>
      <c r="F688" t="s">
        <v>470</v>
      </c>
      <c r="G688" t="s">
        <v>448</v>
      </c>
      <c r="H688" t="s">
        <v>449</v>
      </c>
      <c r="I688" t="s">
        <v>450</v>
      </c>
      <c r="J688" t="s">
        <v>450</v>
      </c>
      <c r="K688">
        <v>0</v>
      </c>
      <c r="L688" t="s">
        <v>446</v>
      </c>
      <c r="M688" t="s">
        <v>446</v>
      </c>
      <c r="N688">
        <v>240444</v>
      </c>
      <c r="O688">
        <f>INDEX(Counselor,MATCH(B688,KidIDs,0))</f>
        <v>0</v>
      </c>
      <c r="P688">
        <f>INDEX(Advisors,MATCH(B688,KidIDs,0))</f>
        <v>0</v>
      </c>
      <c r="Q688">
        <f>INDEX(Cohort,MATCH(B688,KidIDs,0))</f>
        <v>0</v>
      </c>
      <c r="R688">
        <f>INDEX(AllCollegeBarrons,MATCH(N688,AllCollegeNCES,0))</f>
        <v>0</v>
      </c>
      <c r="S688">
        <f>INDEX(KidGPAs,MATCH(B688,KidIDs,0))</f>
        <v>0</v>
      </c>
      <c r="T688">
        <f>INDEX(KidSATs,MATCH(B688,KidIDs,0))</f>
        <v>0</v>
      </c>
      <c r="U688">
        <f>INDEX(Strats,MATCH(B688,KidIDs,0))</f>
        <v>0</v>
      </c>
      <c r="V688">
        <f>INDEX(KidRace,MATCH(B688,KidIDs,0))</f>
        <v>0</v>
      </c>
      <c r="W688">
        <f>IF(OR(V688="M",V688="I"),"H",IF(V688="P","A",V688))</f>
        <v>0</v>
      </c>
      <c r="X688">
        <f>INDEX(StudentTargets,MATCH(B688,KidIDs,0))</f>
        <v>0</v>
      </c>
      <c r="Y688">
        <f>INDEX(ReachStudentTargets,MATCH(B688,KidIDs,0))</f>
        <v>0</v>
      </c>
      <c r="Z688">
        <f>IF(OR(M688="Posse"),1,0)</f>
        <v>0</v>
      </c>
      <c r="AA688">
        <f>IF(ISNUMBER(INDEX(AllCollegeGR, MATCH(N688,AllCollegeNCES,0))),ROUND(INDEX(AllCollegeGR, MATCH(N688,AllCollegeNCES,0))+Z688*IF(INDEX(AllCollegeGR, MATCH(N688,AllCollegeNCES,0))&gt;0.7,(1-INDEX(AllCollegeGR, MATCH(N688,AllCollegeNCES,0)))/2,0.15),2),INDEX(AllCollegeGR, MATCH(N688,AllCollegeNCES,0)))</f>
        <v>0</v>
      </c>
      <c r="AB688">
        <f>IF(ISNUMBER(INDEX(AllCollegeAAHGR, MATCH(N688,AllCollegeNCES,0))),ROUND(INDEX(AllCollegeAAHGR, MATCH(N688,AllCollegeNCES,0))+Z688*IF(INDEX(AllCollegeAAHGR, MATCH(N688,AllCollegeNCES,0))&gt;0.7,(1-INDEX(AllCollegeAAHGR, MATCH(N688,AllCollegeNCES,0)))/2,0.15),2),INDEX(AllCollegeAAHGR, MATCH(N688,AllCollegeNCES,0)))</f>
        <v>0</v>
      </c>
      <c r="AC688">
        <f>IF(OR(W688="H",W688="B"),INDEX(AllCollegeSAT25, MATCH(N688,AllCollegeNCES,0)),INDEX(AllCollegeSAT50, MATCH(N688,AllCollegeNCES,0)))</f>
        <v>0</v>
      </c>
      <c r="AD688">
        <f>INDEX(CustomWeightsGPA,MATCH(W688&amp;":"&amp;N688,CustomWeightsIndex,0))</f>
        <v>0</v>
      </c>
      <c r="AE688">
        <f>INDEX(CustomWeightsSAT,MATCH(W688&amp;":"&amp;N688,CustomWeightsIndex,0))</f>
        <v>0</v>
      </c>
      <c r="AF688">
        <f>INDEX(CustomWeightsIntercept,MATCH(W688&amp;":"&amp;N688,CustomWeightsIndex,0))</f>
        <v>0</v>
      </c>
      <c r="AG688">
        <f>AD688*S688+AE688*T688+AF688</f>
        <v>0</v>
      </c>
      <c r="AH688">
        <f>INDEX(CoefficientsGPA,MATCH(W688&amp;":"&amp;R688,CoefficientsIndex,0))</f>
        <v>0</v>
      </c>
      <c r="AI688">
        <f>INDEX(CoefficientsSAT,MATCH(W688&amp;":"&amp;R688,CoefficientsIndex,0))</f>
        <v>0</v>
      </c>
      <c r="AJ688">
        <f>INDEX(CoefficientsIntercept,MATCH(W688&amp;":"&amp;R688,CoefficientsIndex,0))</f>
        <v>0</v>
      </c>
      <c r="AK688">
        <f>AH688*S688+(T688-AC688)*AI688+AJ688</f>
        <v>0</v>
      </c>
      <c r="AL688">
        <f>IF(ISNUMBER(AG688),AG688,AK688)</f>
        <v>0</v>
      </c>
      <c r="AM688">
        <f>IF(ISNUMBER(AL688),IF(ISNUMBER(AH688),IF(AND(AH688=1,AI688=1,AJ688=1),100,MIN(99,ROUND(100*EXP(AL688)/(1+EXP(AL688)),2))),MIN(99,ROUND(100*EXP(AL688)/(1+EXP(AL688)),2))),IF(ISTEXT(R688),IF(LEFT(R688,1)="2",100,"N/A"),"N/A"))</f>
        <v>0</v>
      </c>
      <c r="AN688">
        <f>IF(ISNUMBER(AM688),IF(AM688&gt;=99,IF(OR(U688=10,U688=11),MatchLabel,SureThingLabel),IF(AM688&gt;=95,SecureLabel,IF(AM688&gt;=80,SafetyLabel,IF(AM688&gt;=50,MatchLabel,IF(AM688&gt;=20,ReachLabel,IF(AM688&gt;=10,LongshotLabel,HailMaryLabel)))))),"Other")</f>
        <v>0</v>
      </c>
      <c r="AO688">
        <f>IF(OR(I688="accepted",I688="cond. accept",I688="summer admit"),IF(J688="yes","CHOICE!","Accepted!"),IF(I688="guar. transfer","Guar. Xfer",IF(I688="denied","Denied",IF(K688=1,"Waitlist",IF(L688=1,"Deferred",IF(G688="pending","Pending",IF(OR(G688="initial materials submitted",G688="mid-year submitted",G688="final submitted"),"Submitted",IF(H688="interest","Interest","?"))))))))</f>
        <v>0</v>
      </c>
      <c r="AP688">
        <f>IF(OR(AN688=ReachLabel,AN688=LongshotLabel,AN688=HailMaryLabel),1,0)</f>
        <v>0</v>
      </c>
      <c r="AQ688">
        <f>IF(OR(AP688=1,AN688=MatchLabel),1,0)</f>
        <v>0</v>
      </c>
      <c r="AR688">
        <f>IF(OR(AN688=MatchLabel,AN688=SafetyLabel,AN688=SecureLabel,AN688=SureThingLabel),1,0)</f>
        <v>0</v>
      </c>
      <c r="AS688">
        <f>IF(OR(W688="H",W688="B",W688="I",W688="M"),IF(ISNUMBER(AB688),ROUND(AB688,2),0),IF(ISNUMBER(AA688),ROUND(AA688,2),0))</f>
        <v>0</v>
      </c>
      <c r="AT688">
        <f>IF(AS688&gt;=X688,1,0)</f>
        <v>0</v>
      </c>
      <c r="AU688">
        <f>IF(AS688&gt;=Y688,1,0)</f>
        <v>0</v>
      </c>
      <c r="AV688">
        <f>IF(AS688&lt;(X688-0.10),1,0)</f>
        <v>0</v>
      </c>
      <c r="AW688">
        <f>1-AM688/100</f>
        <v>0</v>
      </c>
      <c r="AX688">
        <f>IF(AQ688=1,AW688,1)</f>
        <v>0</v>
      </c>
      <c r="AY688">
        <f>IF(AP688=1,AW688,1)</f>
        <v>0</v>
      </c>
      <c r="AZ688">
        <f>IF(AND(AT688=1,ISNUMBER(AW688)),$AW688,1)</f>
        <v>0</v>
      </c>
      <c r="BA688">
        <f>IF(AND(AU688=1,ISNUMBER(AW688)),$AW688,1)</f>
        <v>0</v>
      </c>
      <c r="BB688">
        <f>IF(ISNUMBER(AB688),INDEX(AllCollegeMoney, MATCH(N688,AllCollegeNCES,0)),0)</f>
        <v>0</v>
      </c>
      <c r="BC688">
        <f>IF(AND(AT688=1,ISNUMBER(AW688),BB688=1),$AW688,1)</f>
        <v>0</v>
      </c>
      <c r="BD688">
        <f>IF(AND(AU688=1,ISNUMBER(AW688),BB688=1),$AW688,1)</f>
        <v>0</v>
      </c>
      <c r="BE688">
        <f>IF(ISNUMBER(AB688),INDEX(AllCollegeILPub, MATCH(N688,AllCollegeNCES,0)),0)</f>
        <v>0</v>
      </c>
      <c r="BF688">
        <f>IF(AN688=ReachLabel,AS688,0)</f>
        <v>0</v>
      </c>
      <c r="BG688">
        <f>IF(AN688=MatchLabel,AS688,0)</f>
        <v>0</v>
      </c>
      <c r="BH688">
        <f>IF(AN688=SafetyLabel,AS688,0)</f>
        <v>0</v>
      </c>
      <c r="BI688">
        <f>IF(AN688=SecureLabel,AS688,0)</f>
        <v>0</v>
      </c>
      <c r="BJ688">
        <f>IF(AN688=SureThingLabel,AS688,0)</f>
        <v>0</v>
      </c>
      <c r="BK688">
        <f>MAX(BF688:BJ688)</f>
        <v>0</v>
      </c>
      <c r="BL688">
        <f>MAX(BG688:BJ688)</f>
        <v>0</v>
      </c>
      <c r="BM688">
        <f>MAX(BH688:BJ688)</f>
        <v>0</v>
      </c>
      <c r="BN688">
        <f>IF(AND(AN688=ReachLabel,BB688=1),AS688,0)</f>
        <v>0</v>
      </c>
      <c r="BO688">
        <f>IF(AND(AN688=MatchLabel,BB688=1),AS688,0)</f>
        <v>0</v>
      </c>
      <c r="BP688">
        <f>IF(AND(AN688=SafetyLabel,BB688=1),AS688,0)</f>
        <v>0</v>
      </c>
      <c r="BQ688">
        <f>IF(AND(AN688=SecureLabel,BB688=1),AS688,0)</f>
        <v>0</v>
      </c>
      <c r="BR688">
        <f>IF(AND(AN688=SureThingLabel,BB688=1),AS688,0)</f>
        <v>0</v>
      </c>
      <c r="BS688">
        <f>MAX(BN688:BR688)</f>
        <v>0</v>
      </c>
      <c r="BT688">
        <f>MAX(BO688:BR688)</f>
        <v>0</v>
      </c>
      <c r="BU688">
        <f>MAX(BP688:BR688)</f>
        <v>0</v>
      </c>
      <c r="BV688">
        <f>IF(ISNUMBER(AB688),INDEX(AllCollegeChicago, MATCH(N688,AllCollegeNCES,0))*BB688,0)</f>
        <v>0</v>
      </c>
      <c r="BW688">
        <f>IF(ISNUMBER(AB688),INDEX(AllCollegeMoneyCode, MATCH(N688,AllCollegeNCES,0)),"?")</f>
        <v>0</v>
      </c>
      <c r="BX688">
        <f>IF(OR(BW688="---",BW688="--",BW688="+/--",BW688="+/---"),1,0)</f>
        <v>0</v>
      </c>
      <c r="BY688">
        <f>BB688*AR688*AT688</f>
        <v>0</v>
      </c>
    </row>
    <row r="689" spans="1:77">
      <c r="A689" t="s">
        <v>96</v>
      </c>
      <c r="B689">
        <v>30051791</v>
      </c>
      <c r="C689" t="s">
        <v>172</v>
      </c>
      <c r="D689" t="s">
        <v>173</v>
      </c>
      <c r="E689" t="s">
        <v>446</v>
      </c>
      <c r="F689" t="s">
        <v>513</v>
      </c>
      <c r="G689" t="s">
        <v>448</v>
      </c>
      <c r="H689" t="s">
        <v>449</v>
      </c>
      <c r="I689" t="s">
        <v>450</v>
      </c>
      <c r="J689" t="s">
        <v>450</v>
      </c>
      <c r="K689">
        <v>0</v>
      </c>
      <c r="L689" t="s">
        <v>446</v>
      </c>
      <c r="M689" t="s">
        <v>446</v>
      </c>
      <c r="N689">
        <v>195526</v>
      </c>
      <c r="O689">
        <f>INDEX(Counselor,MATCH(B689,KidIDs,0))</f>
        <v>0</v>
      </c>
      <c r="P689">
        <f>INDEX(Advisors,MATCH(B689,KidIDs,0))</f>
        <v>0</v>
      </c>
      <c r="Q689">
        <f>INDEX(Cohort,MATCH(B689,KidIDs,0))</f>
        <v>0</v>
      </c>
      <c r="R689">
        <f>INDEX(AllCollegeBarrons,MATCH(N689,AllCollegeNCES,0))</f>
        <v>0</v>
      </c>
      <c r="S689">
        <f>INDEX(KidGPAs,MATCH(B689,KidIDs,0))</f>
        <v>0</v>
      </c>
      <c r="T689">
        <f>INDEX(KidSATs,MATCH(B689,KidIDs,0))</f>
        <v>0</v>
      </c>
      <c r="U689">
        <f>INDEX(Strats,MATCH(B689,KidIDs,0))</f>
        <v>0</v>
      </c>
      <c r="V689">
        <f>INDEX(KidRace,MATCH(B689,KidIDs,0))</f>
        <v>0</v>
      </c>
      <c r="W689">
        <f>IF(OR(V689="M",V689="I"),"H",IF(V689="P","A",V689))</f>
        <v>0</v>
      </c>
      <c r="X689">
        <f>INDEX(StudentTargets,MATCH(B689,KidIDs,0))</f>
        <v>0</v>
      </c>
      <c r="Y689">
        <f>INDEX(ReachStudentTargets,MATCH(B689,KidIDs,0))</f>
        <v>0</v>
      </c>
      <c r="Z689">
        <f>IF(OR(M689="Posse"),1,0)</f>
        <v>0</v>
      </c>
      <c r="AA689">
        <f>IF(ISNUMBER(INDEX(AllCollegeGR, MATCH(N689,AllCollegeNCES,0))),ROUND(INDEX(AllCollegeGR, MATCH(N689,AllCollegeNCES,0))+Z689*IF(INDEX(AllCollegeGR, MATCH(N689,AllCollegeNCES,0))&gt;0.7,(1-INDEX(AllCollegeGR, MATCH(N689,AllCollegeNCES,0)))/2,0.15),2),INDEX(AllCollegeGR, MATCH(N689,AllCollegeNCES,0)))</f>
        <v>0</v>
      </c>
      <c r="AB689">
        <f>IF(ISNUMBER(INDEX(AllCollegeAAHGR, MATCH(N689,AllCollegeNCES,0))),ROUND(INDEX(AllCollegeAAHGR, MATCH(N689,AllCollegeNCES,0))+Z689*IF(INDEX(AllCollegeAAHGR, MATCH(N689,AllCollegeNCES,0))&gt;0.7,(1-INDEX(AllCollegeAAHGR, MATCH(N689,AllCollegeNCES,0)))/2,0.15),2),INDEX(AllCollegeAAHGR, MATCH(N689,AllCollegeNCES,0)))</f>
        <v>0</v>
      </c>
      <c r="AC689">
        <f>IF(OR(W689="H",W689="B"),INDEX(AllCollegeSAT25, MATCH(N689,AllCollegeNCES,0)),INDEX(AllCollegeSAT50, MATCH(N689,AllCollegeNCES,0)))</f>
        <v>0</v>
      </c>
      <c r="AD689">
        <f>INDEX(CustomWeightsGPA,MATCH(W689&amp;":"&amp;N689,CustomWeightsIndex,0))</f>
        <v>0</v>
      </c>
      <c r="AE689">
        <f>INDEX(CustomWeightsSAT,MATCH(W689&amp;":"&amp;N689,CustomWeightsIndex,0))</f>
        <v>0</v>
      </c>
      <c r="AF689">
        <f>INDEX(CustomWeightsIntercept,MATCH(W689&amp;":"&amp;N689,CustomWeightsIndex,0))</f>
        <v>0</v>
      </c>
      <c r="AG689">
        <f>AD689*S689+AE689*T689+AF689</f>
        <v>0</v>
      </c>
      <c r="AH689">
        <f>INDEX(CoefficientsGPA,MATCH(W689&amp;":"&amp;R689,CoefficientsIndex,0))</f>
        <v>0</v>
      </c>
      <c r="AI689">
        <f>INDEX(CoefficientsSAT,MATCH(W689&amp;":"&amp;R689,CoefficientsIndex,0))</f>
        <v>0</v>
      </c>
      <c r="AJ689">
        <f>INDEX(CoefficientsIntercept,MATCH(W689&amp;":"&amp;R689,CoefficientsIndex,0))</f>
        <v>0</v>
      </c>
      <c r="AK689">
        <f>AH689*S689+(T689-AC689)*AI689+AJ689</f>
        <v>0</v>
      </c>
      <c r="AL689">
        <f>IF(ISNUMBER(AG689),AG689,AK689)</f>
        <v>0</v>
      </c>
      <c r="AM689">
        <f>IF(ISNUMBER(AL689),IF(ISNUMBER(AH689),IF(AND(AH689=1,AI689=1,AJ689=1),100,MIN(99,ROUND(100*EXP(AL689)/(1+EXP(AL689)),2))),MIN(99,ROUND(100*EXP(AL689)/(1+EXP(AL689)),2))),IF(ISTEXT(R689),IF(LEFT(R689,1)="2",100,"N/A"),"N/A"))</f>
        <v>0</v>
      </c>
      <c r="AN689">
        <f>IF(ISNUMBER(AM689),IF(AM689&gt;=99,IF(OR(U689=10,U689=11),MatchLabel,SureThingLabel),IF(AM689&gt;=95,SecureLabel,IF(AM689&gt;=80,SafetyLabel,IF(AM689&gt;=50,MatchLabel,IF(AM689&gt;=20,ReachLabel,IF(AM689&gt;=10,LongshotLabel,HailMaryLabel)))))),"Other")</f>
        <v>0</v>
      </c>
      <c r="AO689">
        <f>IF(OR(I689="accepted",I689="cond. accept",I689="summer admit"),IF(J689="yes","CHOICE!","Accepted!"),IF(I689="guar. transfer","Guar. Xfer",IF(I689="denied","Denied",IF(K689=1,"Waitlist",IF(L689=1,"Deferred",IF(G689="pending","Pending",IF(OR(G689="initial materials submitted",G689="mid-year submitted",G689="final submitted"),"Submitted",IF(H689="interest","Interest","?"))))))))</f>
        <v>0</v>
      </c>
      <c r="AP689">
        <f>IF(OR(AN689=ReachLabel,AN689=LongshotLabel,AN689=HailMaryLabel),1,0)</f>
        <v>0</v>
      </c>
      <c r="AQ689">
        <f>IF(OR(AP689=1,AN689=MatchLabel),1,0)</f>
        <v>0</v>
      </c>
      <c r="AR689">
        <f>IF(OR(AN689=MatchLabel,AN689=SafetyLabel,AN689=SecureLabel,AN689=SureThingLabel),1,0)</f>
        <v>0</v>
      </c>
      <c r="AS689">
        <f>IF(OR(W689="H",W689="B",W689="I",W689="M"),IF(ISNUMBER(AB689),ROUND(AB689,2),0),IF(ISNUMBER(AA689),ROUND(AA689,2),0))</f>
        <v>0</v>
      </c>
      <c r="AT689">
        <f>IF(AS689&gt;=X689,1,0)</f>
        <v>0</v>
      </c>
      <c r="AU689">
        <f>IF(AS689&gt;=Y689,1,0)</f>
        <v>0</v>
      </c>
      <c r="AV689">
        <f>IF(AS689&lt;(X689-0.10),1,0)</f>
        <v>0</v>
      </c>
      <c r="AW689">
        <f>1-AM689/100</f>
        <v>0</v>
      </c>
      <c r="AX689">
        <f>IF(AQ689=1,AW689,1)</f>
        <v>0</v>
      </c>
      <c r="AY689">
        <f>IF(AP689=1,AW689,1)</f>
        <v>0</v>
      </c>
      <c r="AZ689">
        <f>IF(AND(AT689=1,ISNUMBER(AW689)),$AW689,1)</f>
        <v>0</v>
      </c>
      <c r="BA689">
        <f>IF(AND(AU689=1,ISNUMBER(AW689)),$AW689,1)</f>
        <v>0</v>
      </c>
      <c r="BB689">
        <f>IF(ISNUMBER(AB689),INDEX(AllCollegeMoney, MATCH(N689,AllCollegeNCES,0)),0)</f>
        <v>0</v>
      </c>
      <c r="BC689">
        <f>IF(AND(AT689=1,ISNUMBER(AW689),BB689=1),$AW689,1)</f>
        <v>0</v>
      </c>
      <c r="BD689">
        <f>IF(AND(AU689=1,ISNUMBER(AW689),BB689=1),$AW689,1)</f>
        <v>0</v>
      </c>
      <c r="BE689">
        <f>IF(ISNUMBER(AB689),INDEX(AllCollegeILPub, MATCH(N689,AllCollegeNCES,0)),0)</f>
        <v>0</v>
      </c>
      <c r="BF689">
        <f>IF(AN689=ReachLabel,AS689,0)</f>
        <v>0</v>
      </c>
      <c r="BG689">
        <f>IF(AN689=MatchLabel,AS689,0)</f>
        <v>0</v>
      </c>
      <c r="BH689">
        <f>IF(AN689=SafetyLabel,AS689,0)</f>
        <v>0</v>
      </c>
      <c r="BI689">
        <f>IF(AN689=SecureLabel,AS689,0)</f>
        <v>0</v>
      </c>
      <c r="BJ689">
        <f>IF(AN689=SureThingLabel,AS689,0)</f>
        <v>0</v>
      </c>
      <c r="BK689">
        <f>MAX(BF689:BJ689)</f>
        <v>0</v>
      </c>
      <c r="BL689">
        <f>MAX(BG689:BJ689)</f>
        <v>0</v>
      </c>
      <c r="BM689">
        <f>MAX(BH689:BJ689)</f>
        <v>0</v>
      </c>
      <c r="BN689">
        <f>IF(AND(AN689=ReachLabel,BB689=1),AS689,0)</f>
        <v>0</v>
      </c>
      <c r="BO689">
        <f>IF(AND(AN689=MatchLabel,BB689=1),AS689,0)</f>
        <v>0</v>
      </c>
      <c r="BP689">
        <f>IF(AND(AN689=SafetyLabel,BB689=1),AS689,0)</f>
        <v>0</v>
      </c>
      <c r="BQ689">
        <f>IF(AND(AN689=SecureLabel,BB689=1),AS689,0)</f>
        <v>0</v>
      </c>
      <c r="BR689">
        <f>IF(AND(AN689=SureThingLabel,BB689=1),AS689,0)</f>
        <v>0</v>
      </c>
      <c r="BS689">
        <f>MAX(BN689:BR689)</f>
        <v>0</v>
      </c>
      <c r="BT689">
        <f>MAX(BO689:BR689)</f>
        <v>0</v>
      </c>
      <c r="BU689">
        <f>MAX(BP689:BR689)</f>
        <v>0</v>
      </c>
      <c r="BV689">
        <f>IF(ISNUMBER(AB689),INDEX(AllCollegeChicago, MATCH(N689,AllCollegeNCES,0))*BB689,0)</f>
        <v>0</v>
      </c>
      <c r="BW689">
        <f>IF(ISNUMBER(AB689),INDEX(AllCollegeMoneyCode, MATCH(N689,AllCollegeNCES,0)),"?")</f>
        <v>0</v>
      </c>
      <c r="BX689">
        <f>IF(OR(BW689="---",BW689="--",BW689="+/--",BW689="+/---"),1,0)</f>
        <v>0</v>
      </c>
      <c r="BY689">
        <f>BB689*AR689*AT689</f>
        <v>0</v>
      </c>
    </row>
    <row r="690" spans="1:77">
      <c r="A690" t="s">
        <v>96</v>
      </c>
      <c r="B690">
        <v>30051791</v>
      </c>
      <c r="C690" t="s">
        <v>172</v>
      </c>
      <c r="D690" t="s">
        <v>173</v>
      </c>
      <c r="E690" t="s">
        <v>446</v>
      </c>
      <c r="F690" t="s">
        <v>471</v>
      </c>
      <c r="G690" t="s">
        <v>448</v>
      </c>
      <c r="H690" t="s">
        <v>449</v>
      </c>
      <c r="I690" t="s">
        <v>450</v>
      </c>
      <c r="J690" t="s">
        <v>450</v>
      </c>
      <c r="K690">
        <v>0</v>
      </c>
      <c r="L690" t="s">
        <v>446</v>
      </c>
      <c r="M690" t="s">
        <v>446</v>
      </c>
      <c r="N690">
        <v>202523</v>
      </c>
      <c r="O690">
        <f>INDEX(Counselor,MATCH(B690,KidIDs,0))</f>
        <v>0</v>
      </c>
      <c r="P690">
        <f>INDEX(Advisors,MATCH(B690,KidIDs,0))</f>
        <v>0</v>
      </c>
      <c r="Q690">
        <f>INDEX(Cohort,MATCH(B690,KidIDs,0))</f>
        <v>0</v>
      </c>
      <c r="R690">
        <f>INDEX(AllCollegeBarrons,MATCH(N690,AllCollegeNCES,0))</f>
        <v>0</v>
      </c>
      <c r="S690">
        <f>INDEX(KidGPAs,MATCH(B690,KidIDs,0))</f>
        <v>0</v>
      </c>
      <c r="T690">
        <f>INDEX(KidSATs,MATCH(B690,KidIDs,0))</f>
        <v>0</v>
      </c>
      <c r="U690">
        <f>INDEX(Strats,MATCH(B690,KidIDs,0))</f>
        <v>0</v>
      </c>
      <c r="V690">
        <f>INDEX(KidRace,MATCH(B690,KidIDs,0))</f>
        <v>0</v>
      </c>
      <c r="W690">
        <f>IF(OR(V690="M",V690="I"),"H",IF(V690="P","A",V690))</f>
        <v>0</v>
      </c>
      <c r="X690">
        <f>INDEX(StudentTargets,MATCH(B690,KidIDs,0))</f>
        <v>0</v>
      </c>
      <c r="Y690">
        <f>INDEX(ReachStudentTargets,MATCH(B690,KidIDs,0))</f>
        <v>0</v>
      </c>
      <c r="Z690">
        <f>IF(OR(M690="Posse"),1,0)</f>
        <v>0</v>
      </c>
      <c r="AA690">
        <f>IF(ISNUMBER(INDEX(AllCollegeGR, MATCH(N690,AllCollegeNCES,0))),ROUND(INDEX(AllCollegeGR, MATCH(N690,AllCollegeNCES,0))+Z690*IF(INDEX(AllCollegeGR, MATCH(N690,AllCollegeNCES,0))&gt;0.7,(1-INDEX(AllCollegeGR, MATCH(N690,AllCollegeNCES,0)))/2,0.15),2),INDEX(AllCollegeGR, MATCH(N690,AllCollegeNCES,0)))</f>
        <v>0</v>
      </c>
      <c r="AB690">
        <f>IF(ISNUMBER(INDEX(AllCollegeAAHGR, MATCH(N690,AllCollegeNCES,0))),ROUND(INDEX(AllCollegeAAHGR, MATCH(N690,AllCollegeNCES,0))+Z690*IF(INDEX(AllCollegeAAHGR, MATCH(N690,AllCollegeNCES,0))&gt;0.7,(1-INDEX(AllCollegeAAHGR, MATCH(N690,AllCollegeNCES,0)))/2,0.15),2),INDEX(AllCollegeAAHGR, MATCH(N690,AllCollegeNCES,0)))</f>
        <v>0</v>
      </c>
      <c r="AC690">
        <f>IF(OR(W690="H",W690="B"),INDEX(AllCollegeSAT25, MATCH(N690,AllCollegeNCES,0)),INDEX(AllCollegeSAT50, MATCH(N690,AllCollegeNCES,0)))</f>
        <v>0</v>
      </c>
      <c r="AD690">
        <f>INDEX(CustomWeightsGPA,MATCH(W690&amp;":"&amp;N690,CustomWeightsIndex,0))</f>
        <v>0</v>
      </c>
      <c r="AE690">
        <f>INDEX(CustomWeightsSAT,MATCH(W690&amp;":"&amp;N690,CustomWeightsIndex,0))</f>
        <v>0</v>
      </c>
      <c r="AF690">
        <f>INDEX(CustomWeightsIntercept,MATCH(W690&amp;":"&amp;N690,CustomWeightsIndex,0))</f>
        <v>0</v>
      </c>
      <c r="AG690">
        <f>AD690*S690+AE690*T690+AF690</f>
        <v>0</v>
      </c>
      <c r="AH690">
        <f>INDEX(CoefficientsGPA,MATCH(W690&amp;":"&amp;R690,CoefficientsIndex,0))</f>
        <v>0</v>
      </c>
      <c r="AI690">
        <f>INDEX(CoefficientsSAT,MATCH(W690&amp;":"&amp;R690,CoefficientsIndex,0))</f>
        <v>0</v>
      </c>
      <c r="AJ690">
        <f>INDEX(CoefficientsIntercept,MATCH(W690&amp;":"&amp;R690,CoefficientsIndex,0))</f>
        <v>0</v>
      </c>
      <c r="AK690">
        <f>AH690*S690+(T690-AC690)*AI690+AJ690</f>
        <v>0</v>
      </c>
      <c r="AL690">
        <f>IF(ISNUMBER(AG690),AG690,AK690)</f>
        <v>0</v>
      </c>
      <c r="AM690">
        <f>IF(ISNUMBER(AL690),IF(ISNUMBER(AH690),IF(AND(AH690=1,AI690=1,AJ690=1),100,MIN(99,ROUND(100*EXP(AL690)/(1+EXP(AL690)),2))),MIN(99,ROUND(100*EXP(AL690)/(1+EXP(AL690)),2))),IF(ISTEXT(R690),IF(LEFT(R690,1)="2",100,"N/A"),"N/A"))</f>
        <v>0</v>
      </c>
      <c r="AN690">
        <f>IF(ISNUMBER(AM690),IF(AM690&gt;=99,IF(OR(U690=10,U690=11),MatchLabel,SureThingLabel),IF(AM690&gt;=95,SecureLabel,IF(AM690&gt;=80,SafetyLabel,IF(AM690&gt;=50,MatchLabel,IF(AM690&gt;=20,ReachLabel,IF(AM690&gt;=10,LongshotLabel,HailMaryLabel)))))),"Other")</f>
        <v>0</v>
      </c>
      <c r="AO690">
        <f>IF(OR(I690="accepted",I690="cond. accept",I690="summer admit"),IF(J690="yes","CHOICE!","Accepted!"),IF(I690="guar. transfer","Guar. Xfer",IF(I690="denied","Denied",IF(K690=1,"Waitlist",IF(L690=1,"Deferred",IF(G690="pending","Pending",IF(OR(G690="initial materials submitted",G690="mid-year submitted",G690="final submitted"),"Submitted",IF(H690="interest","Interest","?"))))))))</f>
        <v>0</v>
      </c>
      <c r="AP690">
        <f>IF(OR(AN690=ReachLabel,AN690=LongshotLabel,AN690=HailMaryLabel),1,0)</f>
        <v>0</v>
      </c>
      <c r="AQ690">
        <f>IF(OR(AP690=1,AN690=MatchLabel),1,0)</f>
        <v>0</v>
      </c>
      <c r="AR690">
        <f>IF(OR(AN690=MatchLabel,AN690=SafetyLabel,AN690=SecureLabel,AN690=SureThingLabel),1,0)</f>
        <v>0</v>
      </c>
      <c r="AS690">
        <f>IF(OR(W690="H",W690="B",W690="I",W690="M"),IF(ISNUMBER(AB690),ROUND(AB690,2),0),IF(ISNUMBER(AA690),ROUND(AA690,2),0))</f>
        <v>0</v>
      </c>
      <c r="AT690">
        <f>IF(AS690&gt;=X690,1,0)</f>
        <v>0</v>
      </c>
      <c r="AU690">
        <f>IF(AS690&gt;=Y690,1,0)</f>
        <v>0</v>
      </c>
      <c r="AV690">
        <f>IF(AS690&lt;(X690-0.10),1,0)</f>
        <v>0</v>
      </c>
      <c r="AW690">
        <f>1-AM690/100</f>
        <v>0</v>
      </c>
      <c r="AX690">
        <f>IF(AQ690=1,AW690,1)</f>
        <v>0</v>
      </c>
      <c r="AY690">
        <f>IF(AP690=1,AW690,1)</f>
        <v>0</v>
      </c>
      <c r="AZ690">
        <f>IF(AND(AT690=1,ISNUMBER(AW690)),$AW690,1)</f>
        <v>0</v>
      </c>
      <c r="BA690">
        <f>IF(AND(AU690=1,ISNUMBER(AW690)),$AW690,1)</f>
        <v>0</v>
      </c>
      <c r="BB690">
        <f>IF(ISNUMBER(AB690),INDEX(AllCollegeMoney, MATCH(N690,AllCollegeNCES,0)),0)</f>
        <v>0</v>
      </c>
      <c r="BC690">
        <f>IF(AND(AT690=1,ISNUMBER(AW690),BB690=1),$AW690,1)</f>
        <v>0</v>
      </c>
      <c r="BD690">
        <f>IF(AND(AU690=1,ISNUMBER(AW690),BB690=1),$AW690,1)</f>
        <v>0</v>
      </c>
      <c r="BE690">
        <f>IF(ISNUMBER(AB690),INDEX(AllCollegeILPub, MATCH(N690,AllCollegeNCES,0)),0)</f>
        <v>0</v>
      </c>
      <c r="BF690">
        <f>IF(AN690=ReachLabel,AS690,0)</f>
        <v>0</v>
      </c>
      <c r="BG690">
        <f>IF(AN690=MatchLabel,AS690,0)</f>
        <v>0</v>
      </c>
      <c r="BH690">
        <f>IF(AN690=SafetyLabel,AS690,0)</f>
        <v>0</v>
      </c>
      <c r="BI690">
        <f>IF(AN690=SecureLabel,AS690,0)</f>
        <v>0</v>
      </c>
      <c r="BJ690">
        <f>IF(AN690=SureThingLabel,AS690,0)</f>
        <v>0</v>
      </c>
      <c r="BK690">
        <f>MAX(BF690:BJ690)</f>
        <v>0</v>
      </c>
      <c r="BL690">
        <f>MAX(BG690:BJ690)</f>
        <v>0</v>
      </c>
      <c r="BM690">
        <f>MAX(BH690:BJ690)</f>
        <v>0</v>
      </c>
      <c r="BN690">
        <f>IF(AND(AN690=ReachLabel,BB690=1),AS690,0)</f>
        <v>0</v>
      </c>
      <c r="BO690">
        <f>IF(AND(AN690=MatchLabel,BB690=1),AS690,0)</f>
        <v>0</v>
      </c>
      <c r="BP690">
        <f>IF(AND(AN690=SafetyLabel,BB690=1),AS690,0)</f>
        <v>0</v>
      </c>
      <c r="BQ690">
        <f>IF(AND(AN690=SecureLabel,BB690=1),AS690,0)</f>
        <v>0</v>
      </c>
      <c r="BR690">
        <f>IF(AND(AN690=SureThingLabel,BB690=1),AS690,0)</f>
        <v>0</v>
      </c>
      <c r="BS690">
        <f>MAX(BN690:BR690)</f>
        <v>0</v>
      </c>
      <c r="BT690">
        <f>MAX(BO690:BR690)</f>
        <v>0</v>
      </c>
      <c r="BU690">
        <f>MAX(BP690:BR690)</f>
        <v>0</v>
      </c>
      <c r="BV690">
        <f>IF(ISNUMBER(AB690),INDEX(AllCollegeChicago, MATCH(N690,AllCollegeNCES,0))*BB690,0)</f>
        <v>0</v>
      </c>
      <c r="BW690">
        <f>IF(ISNUMBER(AB690),INDEX(AllCollegeMoneyCode, MATCH(N690,AllCollegeNCES,0)),"?")</f>
        <v>0</v>
      </c>
      <c r="BX690">
        <f>IF(OR(BW690="---",BW690="--",BW690="+/--",BW690="+/---"),1,0)</f>
        <v>0</v>
      </c>
      <c r="BY690">
        <f>BB690*AR690*AT690</f>
        <v>0</v>
      </c>
    </row>
    <row r="691" spans="1:77">
      <c r="A691" t="s">
        <v>96</v>
      </c>
      <c r="B691">
        <v>30051791</v>
      </c>
      <c r="C691" t="s">
        <v>172</v>
      </c>
      <c r="D691" t="s">
        <v>173</v>
      </c>
      <c r="E691" t="s">
        <v>446</v>
      </c>
      <c r="F691" t="s">
        <v>472</v>
      </c>
      <c r="G691" t="s">
        <v>448</v>
      </c>
      <c r="H691" t="s">
        <v>449</v>
      </c>
      <c r="I691" t="s">
        <v>450</v>
      </c>
      <c r="J691" t="s">
        <v>450</v>
      </c>
      <c r="K691">
        <v>0</v>
      </c>
      <c r="L691" t="s">
        <v>446</v>
      </c>
      <c r="M691" t="s">
        <v>446</v>
      </c>
      <c r="N691">
        <v>212674</v>
      </c>
      <c r="O691">
        <f>INDEX(Counselor,MATCH(B691,KidIDs,0))</f>
        <v>0</v>
      </c>
      <c r="P691">
        <f>INDEX(Advisors,MATCH(B691,KidIDs,0))</f>
        <v>0</v>
      </c>
      <c r="Q691">
        <f>INDEX(Cohort,MATCH(B691,KidIDs,0))</f>
        <v>0</v>
      </c>
      <c r="R691">
        <f>INDEX(AllCollegeBarrons,MATCH(N691,AllCollegeNCES,0))</f>
        <v>0</v>
      </c>
      <c r="S691">
        <f>INDEX(KidGPAs,MATCH(B691,KidIDs,0))</f>
        <v>0</v>
      </c>
      <c r="T691">
        <f>INDEX(KidSATs,MATCH(B691,KidIDs,0))</f>
        <v>0</v>
      </c>
      <c r="U691">
        <f>INDEX(Strats,MATCH(B691,KidIDs,0))</f>
        <v>0</v>
      </c>
      <c r="V691">
        <f>INDEX(KidRace,MATCH(B691,KidIDs,0))</f>
        <v>0</v>
      </c>
      <c r="W691">
        <f>IF(OR(V691="M",V691="I"),"H",IF(V691="P","A",V691))</f>
        <v>0</v>
      </c>
      <c r="X691">
        <f>INDEX(StudentTargets,MATCH(B691,KidIDs,0))</f>
        <v>0</v>
      </c>
      <c r="Y691">
        <f>INDEX(ReachStudentTargets,MATCH(B691,KidIDs,0))</f>
        <v>0</v>
      </c>
      <c r="Z691">
        <f>IF(OR(M691="Posse"),1,0)</f>
        <v>0</v>
      </c>
      <c r="AA691">
        <f>IF(ISNUMBER(INDEX(AllCollegeGR, MATCH(N691,AllCollegeNCES,0))),ROUND(INDEX(AllCollegeGR, MATCH(N691,AllCollegeNCES,0))+Z691*IF(INDEX(AllCollegeGR, MATCH(N691,AllCollegeNCES,0))&gt;0.7,(1-INDEX(AllCollegeGR, MATCH(N691,AllCollegeNCES,0)))/2,0.15),2),INDEX(AllCollegeGR, MATCH(N691,AllCollegeNCES,0)))</f>
        <v>0</v>
      </c>
      <c r="AB691">
        <f>IF(ISNUMBER(INDEX(AllCollegeAAHGR, MATCH(N691,AllCollegeNCES,0))),ROUND(INDEX(AllCollegeAAHGR, MATCH(N691,AllCollegeNCES,0))+Z691*IF(INDEX(AllCollegeAAHGR, MATCH(N691,AllCollegeNCES,0))&gt;0.7,(1-INDEX(AllCollegeAAHGR, MATCH(N691,AllCollegeNCES,0)))/2,0.15),2),INDEX(AllCollegeAAHGR, MATCH(N691,AllCollegeNCES,0)))</f>
        <v>0</v>
      </c>
      <c r="AC691">
        <f>IF(OR(W691="H",W691="B"),INDEX(AllCollegeSAT25, MATCH(N691,AllCollegeNCES,0)),INDEX(AllCollegeSAT50, MATCH(N691,AllCollegeNCES,0)))</f>
        <v>0</v>
      </c>
      <c r="AD691">
        <f>INDEX(CustomWeightsGPA,MATCH(W691&amp;":"&amp;N691,CustomWeightsIndex,0))</f>
        <v>0</v>
      </c>
      <c r="AE691">
        <f>INDEX(CustomWeightsSAT,MATCH(W691&amp;":"&amp;N691,CustomWeightsIndex,0))</f>
        <v>0</v>
      </c>
      <c r="AF691">
        <f>INDEX(CustomWeightsIntercept,MATCH(W691&amp;":"&amp;N691,CustomWeightsIndex,0))</f>
        <v>0</v>
      </c>
      <c r="AG691">
        <f>AD691*S691+AE691*T691+AF691</f>
        <v>0</v>
      </c>
      <c r="AH691">
        <f>INDEX(CoefficientsGPA,MATCH(W691&amp;":"&amp;R691,CoefficientsIndex,0))</f>
        <v>0</v>
      </c>
      <c r="AI691">
        <f>INDEX(CoefficientsSAT,MATCH(W691&amp;":"&amp;R691,CoefficientsIndex,0))</f>
        <v>0</v>
      </c>
      <c r="AJ691">
        <f>INDEX(CoefficientsIntercept,MATCH(W691&amp;":"&amp;R691,CoefficientsIndex,0))</f>
        <v>0</v>
      </c>
      <c r="AK691">
        <f>AH691*S691+(T691-AC691)*AI691+AJ691</f>
        <v>0</v>
      </c>
      <c r="AL691">
        <f>IF(ISNUMBER(AG691),AG691,AK691)</f>
        <v>0</v>
      </c>
      <c r="AM691">
        <f>IF(ISNUMBER(AL691),IF(ISNUMBER(AH691),IF(AND(AH691=1,AI691=1,AJ691=1),100,MIN(99,ROUND(100*EXP(AL691)/(1+EXP(AL691)),2))),MIN(99,ROUND(100*EXP(AL691)/(1+EXP(AL691)),2))),IF(ISTEXT(R691),IF(LEFT(R691,1)="2",100,"N/A"),"N/A"))</f>
        <v>0</v>
      </c>
      <c r="AN691">
        <f>IF(ISNUMBER(AM691),IF(AM691&gt;=99,IF(OR(U691=10,U691=11),MatchLabel,SureThingLabel),IF(AM691&gt;=95,SecureLabel,IF(AM691&gt;=80,SafetyLabel,IF(AM691&gt;=50,MatchLabel,IF(AM691&gt;=20,ReachLabel,IF(AM691&gt;=10,LongshotLabel,HailMaryLabel)))))),"Other")</f>
        <v>0</v>
      </c>
      <c r="AO691">
        <f>IF(OR(I691="accepted",I691="cond. accept",I691="summer admit"),IF(J691="yes","CHOICE!","Accepted!"),IF(I691="guar. transfer","Guar. Xfer",IF(I691="denied","Denied",IF(K691=1,"Waitlist",IF(L691=1,"Deferred",IF(G691="pending","Pending",IF(OR(G691="initial materials submitted",G691="mid-year submitted",G691="final submitted"),"Submitted",IF(H691="interest","Interest","?"))))))))</f>
        <v>0</v>
      </c>
      <c r="AP691">
        <f>IF(OR(AN691=ReachLabel,AN691=LongshotLabel,AN691=HailMaryLabel),1,0)</f>
        <v>0</v>
      </c>
      <c r="AQ691">
        <f>IF(OR(AP691=1,AN691=MatchLabel),1,0)</f>
        <v>0</v>
      </c>
      <c r="AR691">
        <f>IF(OR(AN691=MatchLabel,AN691=SafetyLabel,AN691=SecureLabel,AN691=SureThingLabel),1,0)</f>
        <v>0</v>
      </c>
      <c r="AS691">
        <f>IF(OR(W691="H",W691="B",W691="I",W691="M"),IF(ISNUMBER(AB691),ROUND(AB691,2),0),IF(ISNUMBER(AA691),ROUND(AA691,2),0))</f>
        <v>0</v>
      </c>
      <c r="AT691">
        <f>IF(AS691&gt;=X691,1,0)</f>
        <v>0</v>
      </c>
      <c r="AU691">
        <f>IF(AS691&gt;=Y691,1,0)</f>
        <v>0</v>
      </c>
      <c r="AV691">
        <f>IF(AS691&lt;(X691-0.10),1,0)</f>
        <v>0</v>
      </c>
      <c r="AW691">
        <f>1-AM691/100</f>
        <v>0</v>
      </c>
      <c r="AX691">
        <f>IF(AQ691=1,AW691,1)</f>
        <v>0</v>
      </c>
      <c r="AY691">
        <f>IF(AP691=1,AW691,1)</f>
        <v>0</v>
      </c>
      <c r="AZ691">
        <f>IF(AND(AT691=1,ISNUMBER(AW691)),$AW691,1)</f>
        <v>0</v>
      </c>
      <c r="BA691">
        <f>IF(AND(AU691=1,ISNUMBER(AW691)),$AW691,1)</f>
        <v>0</v>
      </c>
      <c r="BB691">
        <f>IF(ISNUMBER(AB691),INDEX(AllCollegeMoney, MATCH(N691,AllCollegeNCES,0)),0)</f>
        <v>0</v>
      </c>
      <c r="BC691">
        <f>IF(AND(AT691=1,ISNUMBER(AW691),BB691=1),$AW691,1)</f>
        <v>0</v>
      </c>
      <c r="BD691">
        <f>IF(AND(AU691=1,ISNUMBER(AW691),BB691=1),$AW691,1)</f>
        <v>0</v>
      </c>
      <c r="BE691">
        <f>IF(ISNUMBER(AB691),INDEX(AllCollegeILPub, MATCH(N691,AllCollegeNCES,0)),0)</f>
        <v>0</v>
      </c>
      <c r="BF691">
        <f>IF(AN691=ReachLabel,AS691,0)</f>
        <v>0</v>
      </c>
      <c r="BG691">
        <f>IF(AN691=MatchLabel,AS691,0)</f>
        <v>0</v>
      </c>
      <c r="BH691">
        <f>IF(AN691=SafetyLabel,AS691,0)</f>
        <v>0</v>
      </c>
      <c r="BI691">
        <f>IF(AN691=SecureLabel,AS691,0)</f>
        <v>0</v>
      </c>
      <c r="BJ691">
        <f>IF(AN691=SureThingLabel,AS691,0)</f>
        <v>0</v>
      </c>
      <c r="BK691">
        <f>MAX(BF691:BJ691)</f>
        <v>0</v>
      </c>
      <c r="BL691">
        <f>MAX(BG691:BJ691)</f>
        <v>0</v>
      </c>
      <c r="BM691">
        <f>MAX(BH691:BJ691)</f>
        <v>0</v>
      </c>
      <c r="BN691">
        <f>IF(AND(AN691=ReachLabel,BB691=1),AS691,0)</f>
        <v>0</v>
      </c>
      <c r="BO691">
        <f>IF(AND(AN691=MatchLabel,BB691=1),AS691,0)</f>
        <v>0</v>
      </c>
      <c r="BP691">
        <f>IF(AND(AN691=SafetyLabel,BB691=1),AS691,0)</f>
        <v>0</v>
      </c>
      <c r="BQ691">
        <f>IF(AND(AN691=SecureLabel,BB691=1),AS691,0)</f>
        <v>0</v>
      </c>
      <c r="BR691">
        <f>IF(AND(AN691=SureThingLabel,BB691=1),AS691,0)</f>
        <v>0</v>
      </c>
      <c r="BS691">
        <f>MAX(BN691:BR691)</f>
        <v>0</v>
      </c>
      <c r="BT691">
        <f>MAX(BO691:BR691)</f>
        <v>0</v>
      </c>
      <c r="BU691">
        <f>MAX(BP691:BR691)</f>
        <v>0</v>
      </c>
      <c r="BV691">
        <f>IF(ISNUMBER(AB691),INDEX(AllCollegeChicago, MATCH(N691,AllCollegeNCES,0))*BB691,0)</f>
        <v>0</v>
      </c>
      <c r="BW691">
        <f>IF(ISNUMBER(AB691),INDEX(AllCollegeMoneyCode, MATCH(N691,AllCollegeNCES,0)),"?")</f>
        <v>0</v>
      </c>
      <c r="BX691">
        <f>IF(OR(BW691="---",BW691="--",BW691="+/--",BW691="+/---"),1,0)</f>
        <v>0</v>
      </c>
      <c r="BY691">
        <f>BB691*AR691*AT691</f>
        <v>0</v>
      </c>
    </row>
    <row r="692" spans="1:77">
      <c r="A692" t="s">
        <v>96</v>
      </c>
      <c r="B692">
        <v>30051791</v>
      </c>
      <c r="C692" t="s">
        <v>172</v>
      </c>
      <c r="D692" t="s">
        <v>173</v>
      </c>
      <c r="E692" t="s">
        <v>446</v>
      </c>
      <c r="F692" t="s">
        <v>485</v>
      </c>
      <c r="G692" t="s">
        <v>448</v>
      </c>
      <c r="H692" t="s">
        <v>449</v>
      </c>
      <c r="I692" t="s">
        <v>450</v>
      </c>
      <c r="J692" t="s">
        <v>450</v>
      </c>
      <c r="K692">
        <v>0</v>
      </c>
      <c r="L692" t="s">
        <v>446</v>
      </c>
      <c r="M692" t="s">
        <v>446</v>
      </c>
      <c r="N692">
        <v>212009</v>
      </c>
      <c r="O692">
        <f>INDEX(Counselor,MATCH(B692,KidIDs,0))</f>
        <v>0</v>
      </c>
      <c r="P692">
        <f>INDEX(Advisors,MATCH(B692,KidIDs,0))</f>
        <v>0</v>
      </c>
      <c r="Q692">
        <f>INDEX(Cohort,MATCH(B692,KidIDs,0))</f>
        <v>0</v>
      </c>
      <c r="R692">
        <f>INDEX(AllCollegeBarrons,MATCH(N692,AllCollegeNCES,0))</f>
        <v>0</v>
      </c>
      <c r="S692">
        <f>INDEX(KidGPAs,MATCH(B692,KidIDs,0))</f>
        <v>0</v>
      </c>
      <c r="T692">
        <f>INDEX(KidSATs,MATCH(B692,KidIDs,0))</f>
        <v>0</v>
      </c>
      <c r="U692">
        <f>INDEX(Strats,MATCH(B692,KidIDs,0))</f>
        <v>0</v>
      </c>
      <c r="V692">
        <f>INDEX(KidRace,MATCH(B692,KidIDs,0))</f>
        <v>0</v>
      </c>
      <c r="W692">
        <f>IF(OR(V692="M",V692="I"),"H",IF(V692="P","A",V692))</f>
        <v>0</v>
      </c>
      <c r="X692">
        <f>INDEX(StudentTargets,MATCH(B692,KidIDs,0))</f>
        <v>0</v>
      </c>
      <c r="Y692">
        <f>INDEX(ReachStudentTargets,MATCH(B692,KidIDs,0))</f>
        <v>0</v>
      </c>
      <c r="Z692">
        <f>IF(OR(M692="Posse"),1,0)</f>
        <v>0</v>
      </c>
      <c r="AA692">
        <f>IF(ISNUMBER(INDEX(AllCollegeGR, MATCH(N692,AllCollegeNCES,0))),ROUND(INDEX(AllCollegeGR, MATCH(N692,AllCollegeNCES,0))+Z692*IF(INDEX(AllCollegeGR, MATCH(N692,AllCollegeNCES,0))&gt;0.7,(1-INDEX(AllCollegeGR, MATCH(N692,AllCollegeNCES,0)))/2,0.15),2),INDEX(AllCollegeGR, MATCH(N692,AllCollegeNCES,0)))</f>
        <v>0</v>
      </c>
      <c r="AB692">
        <f>IF(ISNUMBER(INDEX(AllCollegeAAHGR, MATCH(N692,AllCollegeNCES,0))),ROUND(INDEX(AllCollegeAAHGR, MATCH(N692,AllCollegeNCES,0))+Z692*IF(INDEX(AllCollegeAAHGR, MATCH(N692,AllCollegeNCES,0))&gt;0.7,(1-INDEX(AllCollegeAAHGR, MATCH(N692,AllCollegeNCES,0)))/2,0.15),2),INDEX(AllCollegeAAHGR, MATCH(N692,AllCollegeNCES,0)))</f>
        <v>0</v>
      </c>
      <c r="AC692">
        <f>IF(OR(W692="H",W692="B"),INDEX(AllCollegeSAT25, MATCH(N692,AllCollegeNCES,0)),INDEX(AllCollegeSAT50, MATCH(N692,AllCollegeNCES,0)))</f>
        <v>0</v>
      </c>
      <c r="AD692">
        <f>INDEX(CustomWeightsGPA,MATCH(W692&amp;":"&amp;N692,CustomWeightsIndex,0))</f>
        <v>0</v>
      </c>
      <c r="AE692">
        <f>INDEX(CustomWeightsSAT,MATCH(W692&amp;":"&amp;N692,CustomWeightsIndex,0))</f>
        <v>0</v>
      </c>
      <c r="AF692">
        <f>INDEX(CustomWeightsIntercept,MATCH(W692&amp;":"&amp;N692,CustomWeightsIndex,0))</f>
        <v>0</v>
      </c>
      <c r="AG692">
        <f>AD692*S692+AE692*T692+AF692</f>
        <v>0</v>
      </c>
      <c r="AH692">
        <f>INDEX(CoefficientsGPA,MATCH(W692&amp;":"&amp;R692,CoefficientsIndex,0))</f>
        <v>0</v>
      </c>
      <c r="AI692">
        <f>INDEX(CoefficientsSAT,MATCH(W692&amp;":"&amp;R692,CoefficientsIndex,0))</f>
        <v>0</v>
      </c>
      <c r="AJ692">
        <f>INDEX(CoefficientsIntercept,MATCH(W692&amp;":"&amp;R692,CoefficientsIndex,0))</f>
        <v>0</v>
      </c>
      <c r="AK692">
        <f>AH692*S692+(T692-AC692)*AI692+AJ692</f>
        <v>0</v>
      </c>
      <c r="AL692">
        <f>IF(ISNUMBER(AG692),AG692,AK692)</f>
        <v>0</v>
      </c>
      <c r="AM692">
        <f>IF(ISNUMBER(AL692),IF(ISNUMBER(AH692),IF(AND(AH692=1,AI692=1,AJ692=1),100,MIN(99,ROUND(100*EXP(AL692)/(1+EXP(AL692)),2))),MIN(99,ROUND(100*EXP(AL692)/(1+EXP(AL692)),2))),IF(ISTEXT(R692),IF(LEFT(R692,1)="2",100,"N/A"),"N/A"))</f>
        <v>0</v>
      </c>
      <c r="AN692">
        <f>IF(ISNUMBER(AM692),IF(AM692&gt;=99,IF(OR(U692=10,U692=11),MatchLabel,SureThingLabel),IF(AM692&gt;=95,SecureLabel,IF(AM692&gt;=80,SafetyLabel,IF(AM692&gt;=50,MatchLabel,IF(AM692&gt;=20,ReachLabel,IF(AM692&gt;=10,LongshotLabel,HailMaryLabel)))))),"Other")</f>
        <v>0</v>
      </c>
      <c r="AO692">
        <f>IF(OR(I692="accepted",I692="cond. accept",I692="summer admit"),IF(J692="yes","CHOICE!","Accepted!"),IF(I692="guar. transfer","Guar. Xfer",IF(I692="denied","Denied",IF(K692=1,"Waitlist",IF(L692=1,"Deferred",IF(G692="pending","Pending",IF(OR(G692="initial materials submitted",G692="mid-year submitted",G692="final submitted"),"Submitted",IF(H692="interest","Interest","?"))))))))</f>
        <v>0</v>
      </c>
      <c r="AP692">
        <f>IF(OR(AN692=ReachLabel,AN692=LongshotLabel,AN692=HailMaryLabel),1,0)</f>
        <v>0</v>
      </c>
      <c r="AQ692">
        <f>IF(OR(AP692=1,AN692=MatchLabel),1,0)</f>
        <v>0</v>
      </c>
      <c r="AR692">
        <f>IF(OR(AN692=MatchLabel,AN692=SafetyLabel,AN692=SecureLabel,AN692=SureThingLabel),1,0)</f>
        <v>0</v>
      </c>
      <c r="AS692">
        <f>IF(OR(W692="H",W692="B",W692="I",W692="M"),IF(ISNUMBER(AB692),ROUND(AB692,2),0),IF(ISNUMBER(AA692),ROUND(AA692,2),0))</f>
        <v>0</v>
      </c>
      <c r="AT692">
        <f>IF(AS692&gt;=X692,1,0)</f>
        <v>0</v>
      </c>
      <c r="AU692">
        <f>IF(AS692&gt;=Y692,1,0)</f>
        <v>0</v>
      </c>
      <c r="AV692">
        <f>IF(AS692&lt;(X692-0.10),1,0)</f>
        <v>0</v>
      </c>
      <c r="AW692">
        <f>1-AM692/100</f>
        <v>0</v>
      </c>
      <c r="AX692">
        <f>IF(AQ692=1,AW692,1)</f>
        <v>0</v>
      </c>
      <c r="AY692">
        <f>IF(AP692=1,AW692,1)</f>
        <v>0</v>
      </c>
      <c r="AZ692">
        <f>IF(AND(AT692=1,ISNUMBER(AW692)),$AW692,1)</f>
        <v>0</v>
      </c>
      <c r="BA692">
        <f>IF(AND(AU692=1,ISNUMBER(AW692)),$AW692,1)</f>
        <v>0</v>
      </c>
      <c r="BB692">
        <f>IF(ISNUMBER(AB692),INDEX(AllCollegeMoney, MATCH(N692,AllCollegeNCES,0)),0)</f>
        <v>0</v>
      </c>
      <c r="BC692">
        <f>IF(AND(AT692=1,ISNUMBER(AW692),BB692=1),$AW692,1)</f>
        <v>0</v>
      </c>
      <c r="BD692">
        <f>IF(AND(AU692=1,ISNUMBER(AW692),BB692=1),$AW692,1)</f>
        <v>0</v>
      </c>
      <c r="BE692">
        <f>IF(ISNUMBER(AB692),INDEX(AllCollegeILPub, MATCH(N692,AllCollegeNCES,0)),0)</f>
        <v>0</v>
      </c>
      <c r="BF692">
        <f>IF(AN692=ReachLabel,AS692,0)</f>
        <v>0</v>
      </c>
      <c r="BG692">
        <f>IF(AN692=MatchLabel,AS692,0)</f>
        <v>0</v>
      </c>
      <c r="BH692">
        <f>IF(AN692=SafetyLabel,AS692,0)</f>
        <v>0</v>
      </c>
      <c r="BI692">
        <f>IF(AN692=SecureLabel,AS692,0)</f>
        <v>0</v>
      </c>
      <c r="BJ692">
        <f>IF(AN692=SureThingLabel,AS692,0)</f>
        <v>0</v>
      </c>
      <c r="BK692">
        <f>MAX(BF692:BJ692)</f>
        <v>0</v>
      </c>
      <c r="BL692">
        <f>MAX(BG692:BJ692)</f>
        <v>0</v>
      </c>
      <c r="BM692">
        <f>MAX(BH692:BJ692)</f>
        <v>0</v>
      </c>
      <c r="BN692">
        <f>IF(AND(AN692=ReachLabel,BB692=1),AS692,0)</f>
        <v>0</v>
      </c>
      <c r="BO692">
        <f>IF(AND(AN692=MatchLabel,BB692=1),AS692,0)</f>
        <v>0</v>
      </c>
      <c r="BP692">
        <f>IF(AND(AN692=SafetyLabel,BB692=1),AS692,0)</f>
        <v>0</v>
      </c>
      <c r="BQ692">
        <f>IF(AND(AN692=SecureLabel,BB692=1),AS692,0)</f>
        <v>0</v>
      </c>
      <c r="BR692">
        <f>IF(AND(AN692=SureThingLabel,BB692=1),AS692,0)</f>
        <v>0</v>
      </c>
      <c r="BS692">
        <f>MAX(BN692:BR692)</f>
        <v>0</v>
      </c>
      <c r="BT692">
        <f>MAX(BO692:BR692)</f>
        <v>0</v>
      </c>
      <c r="BU692">
        <f>MAX(BP692:BR692)</f>
        <v>0</v>
      </c>
      <c r="BV692">
        <f>IF(ISNUMBER(AB692),INDEX(AllCollegeChicago, MATCH(N692,AllCollegeNCES,0))*BB692,0)</f>
        <v>0</v>
      </c>
      <c r="BW692">
        <f>IF(ISNUMBER(AB692),INDEX(AllCollegeMoneyCode, MATCH(N692,AllCollegeNCES,0)),"?")</f>
        <v>0</v>
      </c>
      <c r="BX692">
        <f>IF(OR(BW692="---",BW692="--",BW692="+/--",BW692="+/---"),1,0)</f>
        <v>0</v>
      </c>
      <c r="BY692">
        <f>BB692*AR692*AT692</f>
        <v>0</v>
      </c>
    </row>
    <row r="693" spans="1:77">
      <c r="A693" t="s">
        <v>96</v>
      </c>
      <c r="B693">
        <v>30051791</v>
      </c>
      <c r="C693" t="s">
        <v>172</v>
      </c>
      <c r="D693" t="s">
        <v>173</v>
      </c>
      <c r="E693" t="s">
        <v>446</v>
      </c>
      <c r="F693" t="s">
        <v>487</v>
      </c>
      <c r="G693" t="s">
        <v>448</v>
      </c>
      <c r="H693" t="s">
        <v>449</v>
      </c>
      <c r="I693" t="s">
        <v>450</v>
      </c>
      <c r="J693" t="s">
        <v>450</v>
      </c>
      <c r="K693">
        <v>0</v>
      </c>
      <c r="L693" t="s">
        <v>446</v>
      </c>
      <c r="M693" t="s">
        <v>446</v>
      </c>
      <c r="N693">
        <v>174844</v>
      </c>
      <c r="O693">
        <f>INDEX(Counselor,MATCH(B693,KidIDs,0))</f>
        <v>0</v>
      </c>
      <c r="P693">
        <f>INDEX(Advisors,MATCH(B693,KidIDs,0))</f>
        <v>0</v>
      </c>
      <c r="Q693">
        <f>INDEX(Cohort,MATCH(B693,KidIDs,0))</f>
        <v>0</v>
      </c>
      <c r="R693">
        <f>INDEX(AllCollegeBarrons,MATCH(N693,AllCollegeNCES,0))</f>
        <v>0</v>
      </c>
      <c r="S693">
        <f>INDEX(KidGPAs,MATCH(B693,KidIDs,0))</f>
        <v>0</v>
      </c>
      <c r="T693">
        <f>INDEX(KidSATs,MATCH(B693,KidIDs,0))</f>
        <v>0</v>
      </c>
      <c r="U693">
        <f>INDEX(Strats,MATCH(B693,KidIDs,0))</f>
        <v>0</v>
      </c>
      <c r="V693">
        <f>INDEX(KidRace,MATCH(B693,KidIDs,0))</f>
        <v>0</v>
      </c>
      <c r="W693">
        <f>IF(OR(V693="M",V693="I"),"H",IF(V693="P","A",V693))</f>
        <v>0</v>
      </c>
      <c r="X693">
        <f>INDEX(StudentTargets,MATCH(B693,KidIDs,0))</f>
        <v>0</v>
      </c>
      <c r="Y693">
        <f>INDEX(ReachStudentTargets,MATCH(B693,KidIDs,0))</f>
        <v>0</v>
      </c>
      <c r="Z693">
        <f>IF(OR(M693="Posse"),1,0)</f>
        <v>0</v>
      </c>
      <c r="AA693">
        <f>IF(ISNUMBER(INDEX(AllCollegeGR, MATCH(N693,AllCollegeNCES,0))),ROUND(INDEX(AllCollegeGR, MATCH(N693,AllCollegeNCES,0))+Z693*IF(INDEX(AllCollegeGR, MATCH(N693,AllCollegeNCES,0))&gt;0.7,(1-INDEX(AllCollegeGR, MATCH(N693,AllCollegeNCES,0)))/2,0.15),2),INDEX(AllCollegeGR, MATCH(N693,AllCollegeNCES,0)))</f>
        <v>0</v>
      </c>
      <c r="AB693">
        <f>IF(ISNUMBER(INDEX(AllCollegeAAHGR, MATCH(N693,AllCollegeNCES,0))),ROUND(INDEX(AllCollegeAAHGR, MATCH(N693,AllCollegeNCES,0))+Z693*IF(INDEX(AllCollegeAAHGR, MATCH(N693,AllCollegeNCES,0))&gt;0.7,(1-INDEX(AllCollegeAAHGR, MATCH(N693,AllCollegeNCES,0)))/2,0.15),2),INDEX(AllCollegeAAHGR, MATCH(N693,AllCollegeNCES,0)))</f>
        <v>0</v>
      </c>
      <c r="AC693">
        <f>IF(OR(W693="H",W693="B"),INDEX(AllCollegeSAT25, MATCH(N693,AllCollegeNCES,0)),INDEX(AllCollegeSAT50, MATCH(N693,AllCollegeNCES,0)))</f>
        <v>0</v>
      </c>
      <c r="AD693">
        <f>INDEX(CustomWeightsGPA,MATCH(W693&amp;":"&amp;N693,CustomWeightsIndex,0))</f>
        <v>0</v>
      </c>
      <c r="AE693">
        <f>INDEX(CustomWeightsSAT,MATCH(W693&amp;":"&amp;N693,CustomWeightsIndex,0))</f>
        <v>0</v>
      </c>
      <c r="AF693">
        <f>INDEX(CustomWeightsIntercept,MATCH(W693&amp;":"&amp;N693,CustomWeightsIndex,0))</f>
        <v>0</v>
      </c>
      <c r="AG693">
        <f>AD693*S693+AE693*T693+AF693</f>
        <v>0</v>
      </c>
      <c r="AH693">
        <f>INDEX(CoefficientsGPA,MATCH(W693&amp;":"&amp;R693,CoefficientsIndex,0))</f>
        <v>0</v>
      </c>
      <c r="AI693">
        <f>INDEX(CoefficientsSAT,MATCH(W693&amp;":"&amp;R693,CoefficientsIndex,0))</f>
        <v>0</v>
      </c>
      <c r="AJ693">
        <f>INDEX(CoefficientsIntercept,MATCH(W693&amp;":"&amp;R693,CoefficientsIndex,0))</f>
        <v>0</v>
      </c>
      <c r="AK693">
        <f>AH693*S693+(T693-AC693)*AI693+AJ693</f>
        <v>0</v>
      </c>
      <c r="AL693">
        <f>IF(ISNUMBER(AG693),AG693,AK693)</f>
        <v>0</v>
      </c>
      <c r="AM693">
        <f>IF(ISNUMBER(AL693),IF(ISNUMBER(AH693),IF(AND(AH693=1,AI693=1,AJ693=1),100,MIN(99,ROUND(100*EXP(AL693)/(1+EXP(AL693)),2))),MIN(99,ROUND(100*EXP(AL693)/(1+EXP(AL693)),2))),IF(ISTEXT(R693),IF(LEFT(R693,1)="2",100,"N/A"),"N/A"))</f>
        <v>0</v>
      </c>
      <c r="AN693">
        <f>IF(ISNUMBER(AM693),IF(AM693&gt;=99,IF(OR(U693=10,U693=11),MatchLabel,SureThingLabel),IF(AM693&gt;=95,SecureLabel,IF(AM693&gt;=80,SafetyLabel,IF(AM693&gt;=50,MatchLabel,IF(AM693&gt;=20,ReachLabel,IF(AM693&gt;=10,LongshotLabel,HailMaryLabel)))))),"Other")</f>
        <v>0</v>
      </c>
      <c r="AO693">
        <f>IF(OR(I693="accepted",I693="cond. accept",I693="summer admit"),IF(J693="yes","CHOICE!","Accepted!"),IF(I693="guar. transfer","Guar. Xfer",IF(I693="denied","Denied",IF(K693=1,"Waitlist",IF(L693=1,"Deferred",IF(G693="pending","Pending",IF(OR(G693="initial materials submitted",G693="mid-year submitted",G693="final submitted"),"Submitted",IF(H693="interest","Interest","?"))))))))</f>
        <v>0</v>
      </c>
      <c r="AP693">
        <f>IF(OR(AN693=ReachLabel,AN693=LongshotLabel,AN693=HailMaryLabel),1,0)</f>
        <v>0</v>
      </c>
      <c r="AQ693">
        <f>IF(OR(AP693=1,AN693=MatchLabel),1,0)</f>
        <v>0</v>
      </c>
      <c r="AR693">
        <f>IF(OR(AN693=MatchLabel,AN693=SafetyLabel,AN693=SecureLabel,AN693=SureThingLabel),1,0)</f>
        <v>0</v>
      </c>
      <c r="AS693">
        <f>IF(OR(W693="H",W693="B",W693="I",W693="M"),IF(ISNUMBER(AB693),ROUND(AB693,2),0),IF(ISNUMBER(AA693),ROUND(AA693,2),0))</f>
        <v>0</v>
      </c>
      <c r="AT693">
        <f>IF(AS693&gt;=X693,1,0)</f>
        <v>0</v>
      </c>
      <c r="AU693">
        <f>IF(AS693&gt;=Y693,1,0)</f>
        <v>0</v>
      </c>
      <c r="AV693">
        <f>IF(AS693&lt;(X693-0.10),1,0)</f>
        <v>0</v>
      </c>
      <c r="AW693">
        <f>1-AM693/100</f>
        <v>0</v>
      </c>
      <c r="AX693">
        <f>IF(AQ693=1,AW693,1)</f>
        <v>0</v>
      </c>
      <c r="AY693">
        <f>IF(AP693=1,AW693,1)</f>
        <v>0</v>
      </c>
      <c r="AZ693">
        <f>IF(AND(AT693=1,ISNUMBER(AW693)),$AW693,1)</f>
        <v>0</v>
      </c>
      <c r="BA693">
        <f>IF(AND(AU693=1,ISNUMBER(AW693)),$AW693,1)</f>
        <v>0</v>
      </c>
      <c r="BB693">
        <f>IF(ISNUMBER(AB693),INDEX(AllCollegeMoney, MATCH(N693,AllCollegeNCES,0)),0)</f>
        <v>0</v>
      </c>
      <c r="BC693">
        <f>IF(AND(AT693=1,ISNUMBER(AW693),BB693=1),$AW693,1)</f>
        <v>0</v>
      </c>
      <c r="BD693">
        <f>IF(AND(AU693=1,ISNUMBER(AW693),BB693=1),$AW693,1)</f>
        <v>0</v>
      </c>
      <c r="BE693">
        <f>IF(ISNUMBER(AB693),INDEX(AllCollegeILPub, MATCH(N693,AllCollegeNCES,0)),0)</f>
        <v>0</v>
      </c>
      <c r="BF693">
        <f>IF(AN693=ReachLabel,AS693,0)</f>
        <v>0</v>
      </c>
      <c r="BG693">
        <f>IF(AN693=MatchLabel,AS693,0)</f>
        <v>0</v>
      </c>
      <c r="BH693">
        <f>IF(AN693=SafetyLabel,AS693,0)</f>
        <v>0</v>
      </c>
      <c r="BI693">
        <f>IF(AN693=SecureLabel,AS693,0)</f>
        <v>0</v>
      </c>
      <c r="BJ693">
        <f>IF(AN693=SureThingLabel,AS693,0)</f>
        <v>0</v>
      </c>
      <c r="BK693">
        <f>MAX(BF693:BJ693)</f>
        <v>0</v>
      </c>
      <c r="BL693">
        <f>MAX(BG693:BJ693)</f>
        <v>0</v>
      </c>
      <c r="BM693">
        <f>MAX(BH693:BJ693)</f>
        <v>0</v>
      </c>
      <c r="BN693">
        <f>IF(AND(AN693=ReachLabel,BB693=1),AS693,0)</f>
        <v>0</v>
      </c>
      <c r="BO693">
        <f>IF(AND(AN693=MatchLabel,BB693=1),AS693,0)</f>
        <v>0</v>
      </c>
      <c r="BP693">
        <f>IF(AND(AN693=SafetyLabel,BB693=1),AS693,0)</f>
        <v>0</v>
      </c>
      <c r="BQ693">
        <f>IF(AND(AN693=SecureLabel,BB693=1),AS693,0)</f>
        <v>0</v>
      </c>
      <c r="BR693">
        <f>IF(AND(AN693=SureThingLabel,BB693=1),AS693,0)</f>
        <v>0</v>
      </c>
      <c r="BS693">
        <f>MAX(BN693:BR693)</f>
        <v>0</v>
      </c>
      <c r="BT693">
        <f>MAX(BO693:BR693)</f>
        <v>0</v>
      </c>
      <c r="BU693">
        <f>MAX(BP693:BR693)</f>
        <v>0</v>
      </c>
      <c r="BV693">
        <f>IF(ISNUMBER(AB693),INDEX(AllCollegeChicago, MATCH(N693,AllCollegeNCES,0))*BB693,0)</f>
        <v>0</v>
      </c>
      <c r="BW693">
        <f>IF(ISNUMBER(AB693),INDEX(AllCollegeMoneyCode, MATCH(N693,AllCollegeNCES,0)),"?")</f>
        <v>0</v>
      </c>
      <c r="BX693">
        <f>IF(OR(BW693="---",BW693="--",BW693="+/--",BW693="+/---"),1,0)</f>
        <v>0</v>
      </c>
      <c r="BY693">
        <f>BB693*AR693*AT693</f>
        <v>0</v>
      </c>
    </row>
    <row r="694" spans="1:77">
      <c r="A694" t="s">
        <v>96</v>
      </c>
      <c r="B694">
        <v>30051791</v>
      </c>
      <c r="C694" t="s">
        <v>172</v>
      </c>
      <c r="D694" t="s">
        <v>173</v>
      </c>
      <c r="E694" t="s">
        <v>446</v>
      </c>
      <c r="F694" t="s">
        <v>475</v>
      </c>
      <c r="G694" t="s">
        <v>448</v>
      </c>
      <c r="H694" t="s">
        <v>449</v>
      </c>
      <c r="I694" t="s">
        <v>450</v>
      </c>
      <c r="J694" t="s">
        <v>450</v>
      </c>
      <c r="K694">
        <v>0</v>
      </c>
      <c r="L694" t="s">
        <v>446</v>
      </c>
      <c r="M694" t="s">
        <v>446</v>
      </c>
      <c r="N694">
        <v>145637</v>
      </c>
      <c r="O694">
        <f>INDEX(Counselor,MATCH(B694,KidIDs,0))</f>
        <v>0</v>
      </c>
      <c r="P694">
        <f>INDEX(Advisors,MATCH(B694,KidIDs,0))</f>
        <v>0</v>
      </c>
      <c r="Q694">
        <f>INDEX(Cohort,MATCH(B694,KidIDs,0))</f>
        <v>0</v>
      </c>
      <c r="R694">
        <f>INDEX(AllCollegeBarrons,MATCH(N694,AllCollegeNCES,0))</f>
        <v>0</v>
      </c>
      <c r="S694">
        <f>INDEX(KidGPAs,MATCH(B694,KidIDs,0))</f>
        <v>0</v>
      </c>
      <c r="T694">
        <f>INDEX(KidSATs,MATCH(B694,KidIDs,0))</f>
        <v>0</v>
      </c>
      <c r="U694">
        <f>INDEX(Strats,MATCH(B694,KidIDs,0))</f>
        <v>0</v>
      </c>
      <c r="V694">
        <f>INDEX(KidRace,MATCH(B694,KidIDs,0))</f>
        <v>0</v>
      </c>
      <c r="W694">
        <f>IF(OR(V694="M",V694="I"),"H",IF(V694="P","A",V694))</f>
        <v>0</v>
      </c>
      <c r="X694">
        <f>INDEX(StudentTargets,MATCH(B694,KidIDs,0))</f>
        <v>0</v>
      </c>
      <c r="Y694">
        <f>INDEX(ReachStudentTargets,MATCH(B694,KidIDs,0))</f>
        <v>0</v>
      </c>
      <c r="Z694">
        <f>IF(OR(M694="Posse"),1,0)</f>
        <v>0</v>
      </c>
      <c r="AA694">
        <f>IF(ISNUMBER(INDEX(AllCollegeGR, MATCH(N694,AllCollegeNCES,0))),ROUND(INDEX(AllCollegeGR, MATCH(N694,AllCollegeNCES,0))+Z694*IF(INDEX(AllCollegeGR, MATCH(N694,AllCollegeNCES,0))&gt;0.7,(1-INDEX(AllCollegeGR, MATCH(N694,AllCollegeNCES,0)))/2,0.15),2),INDEX(AllCollegeGR, MATCH(N694,AllCollegeNCES,0)))</f>
        <v>0</v>
      </c>
      <c r="AB694">
        <f>IF(ISNUMBER(INDEX(AllCollegeAAHGR, MATCH(N694,AllCollegeNCES,0))),ROUND(INDEX(AllCollegeAAHGR, MATCH(N694,AllCollegeNCES,0))+Z694*IF(INDEX(AllCollegeAAHGR, MATCH(N694,AllCollegeNCES,0))&gt;0.7,(1-INDEX(AllCollegeAAHGR, MATCH(N694,AllCollegeNCES,0)))/2,0.15),2),INDEX(AllCollegeAAHGR, MATCH(N694,AllCollegeNCES,0)))</f>
        <v>0</v>
      </c>
      <c r="AC694">
        <f>IF(OR(W694="H",W694="B"),INDEX(AllCollegeSAT25, MATCH(N694,AllCollegeNCES,0)),INDEX(AllCollegeSAT50, MATCH(N694,AllCollegeNCES,0)))</f>
        <v>0</v>
      </c>
      <c r="AD694">
        <f>INDEX(CustomWeightsGPA,MATCH(W694&amp;":"&amp;N694,CustomWeightsIndex,0))</f>
        <v>0</v>
      </c>
      <c r="AE694">
        <f>INDEX(CustomWeightsSAT,MATCH(W694&amp;":"&amp;N694,CustomWeightsIndex,0))</f>
        <v>0</v>
      </c>
      <c r="AF694">
        <f>INDEX(CustomWeightsIntercept,MATCH(W694&amp;":"&amp;N694,CustomWeightsIndex,0))</f>
        <v>0</v>
      </c>
      <c r="AG694">
        <f>AD694*S694+AE694*T694+AF694</f>
        <v>0</v>
      </c>
      <c r="AH694">
        <f>INDEX(CoefficientsGPA,MATCH(W694&amp;":"&amp;R694,CoefficientsIndex,0))</f>
        <v>0</v>
      </c>
      <c r="AI694">
        <f>INDEX(CoefficientsSAT,MATCH(W694&amp;":"&amp;R694,CoefficientsIndex,0))</f>
        <v>0</v>
      </c>
      <c r="AJ694">
        <f>INDEX(CoefficientsIntercept,MATCH(W694&amp;":"&amp;R694,CoefficientsIndex,0))</f>
        <v>0</v>
      </c>
      <c r="AK694">
        <f>AH694*S694+(T694-AC694)*AI694+AJ694</f>
        <v>0</v>
      </c>
      <c r="AL694">
        <f>IF(ISNUMBER(AG694),AG694,AK694)</f>
        <v>0</v>
      </c>
      <c r="AM694">
        <f>IF(ISNUMBER(AL694),IF(ISNUMBER(AH694),IF(AND(AH694=1,AI694=1,AJ694=1),100,MIN(99,ROUND(100*EXP(AL694)/(1+EXP(AL694)),2))),MIN(99,ROUND(100*EXP(AL694)/(1+EXP(AL694)),2))),IF(ISTEXT(R694),IF(LEFT(R694,1)="2",100,"N/A"),"N/A"))</f>
        <v>0</v>
      </c>
      <c r="AN694">
        <f>IF(ISNUMBER(AM694),IF(AM694&gt;=99,IF(OR(U694=10,U694=11),MatchLabel,SureThingLabel),IF(AM694&gt;=95,SecureLabel,IF(AM694&gt;=80,SafetyLabel,IF(AM694&gt;=50,MatchLabel,IF(AM694&gt;=20,ReachLabel,IF(AM694&gt;=10,LongshotLabel,HailMaryLabel)))))),"Other")</f>
        <v>0</v>
      </c>
      <c r="AO694">
        <f>IF(OR(I694="accepted",I694="cond. accept",I694="summer admit"),IF(J694="yes","CHOICE!","Accepted!"),IF(I694="guar. transfer","Guar. Xfer",IF(I694="denied","Denied",IF(K694=1,"Waitlist",IF(L694=1,"Deferred",IF(G694="pending","Pending",IF(OR(G694="initial materials submitted",G694="mid-year submitted",G694="final submitted"),"Submitted",IF(H694="interest","Interest","?"))))))))</f>
        <v>0</v>
      </c>
      <c r="AP694">
        <f>IF(OR(AN694=ReachLabel,AN694=LongshotLabel,AN694=HailMaryLabel),1,0)</f>
        <v>0</v>
      </c>
      <c r="AQ694">
        <f>IF(OR(AP694=1,AN694=MatchLabel),1,0)</f>
        <v>0</v>
      </c>
      <c r="AR694">
        <f>IF(OR(AN694=MatchLabel,AN694=SafetyLabel,AN694=SecureLabel,AN694=SureThingLabel),1,0)</f>
        <v>0</v>
      </c>
      <c r="AS694">
        <f>IF(OR(W694="H",W694="B",W694="I",W694="M"),IF(ISNUMBER(AB694),ROUND(AB694,2),0),IF(ISNUMBER(AA694),ROUND(AA694,2),0))</f>
        <v>0</v>
      </c>
      <c r="AT694">
        <f>IF(AS694&gt;=X694,1,0)</f>
        <v>0</v>
      </c>
      <c r="AU694">
        <f>IF(AS694&gt;=Y694,1,0)</f>
        <v>0</v>
      </c>
      <c r="AV694">
        <f>IF(AS694&lt;(X694-0.10),1,0)</f>
        <v>0</v>
      </c>
      <c r="AW694">
        <f>1-AM694/100</f>
        <v>0</v>
      </c>
      <c r="AX694">
        <f>IF(AQ694=1,AW694,1)</f>
        <v>0</v>
      </c>
      <c r="AY694">
        <f>IF(AP694=1,AW694,1)</f>
        <v>0</v>
      </c>
      <c r="AZ694">
        <f>IF(AND(AT694=1,ISNUMBER(AW694)),$AW694,1)</f>
        <v>0</v>
      </c>
      <c r="BA694">
        <f>IF(AND(AU694=1,ISNUMBER(AW694)),$AW694,1)</f>
        <v>0</v>
      </c>
      <c r="BB694">
        <f>IF(ISNUMBER(AB694),INDEX(AllCollegeMoney, MATCH(N694,AllCollegeNCES,0)),0)</f>
        <v>0</v>
      </c>
      <c r="BC694">
        <f>IF(AND(AT694=1,ISNUMBER(AW694),BB694=1),$AW694,1)</f>
        <v>0</v>
      </c>
      <c r="BD694">
        <f>IF(AND(AU694=1,ISNUMBER(AW694),BB694=1),$AW694,1)</f>
        <v>0</v>
      </c>
      <c r="BE694">
        <f>IF(ISNUMBER(AB694),INDEX(AllCollegeILPub, MATCH(N694,AllCollegeNCES,0)),0)</f>
        <v>0</v>
      </c>
      <c r="BF694">
        <f>IF(AN694=ReachLabel,AS694,0)</f>
        <v>0</v>
      </c>
      <c r="BG694">
        <f>IF(AN694=MatchLabel,AS694,0)</f>
        <v>0</v>
      </c>
      <c r="BH694">
        <f>IF(AN694=SafetyLabel,AS694,0)</f>
        <v>0</v>
      </c>
      <c r="BI694">
        <f>IF(AN694=SecureLabel,AS694,0)</f>
        <v>0</v>
      </c>
      <c r="BJ694">
        <f>IF(AN694=SureThingLabel,AS694,0)</f>
        <v>0</v>
      </c>
      <c r="BK694">
        <f>MAX(BF694:BJ694)</f>
        <v>0</v>
      </c>
      <c r="BL694">
        <f>MAX(BG694:BJ694)</f>
        <v>0</v>
      </c>
      <c r="BM694">
        <f>MAX(BH694:BJ694)</f>
        <v>0</v>
      </c>
      <c r="BN694">
        <f>IF(AND(AN694=ReachLabel,BB694=1),AS694,0)</f>
        <v>0</v>
      </c>
      <c r="BO694">
        <f>IF(AND(AN694=MatchLabel,BB694=1),AS694,0)</f>
        <v>0</v>
      </c>
      <c r="BP694">
        <f>IF(AND(AN694=SafetyLabel,BB694=1),AS694,0)</f>
        <v>0</v>
      </c>
      <c r="BQ694">
        <f>IF(AND(AN694=SecureLabel,BB694=1),AS694,0)</f>
        <v>0</v>
      </c>
      <c r="BR694">
        <f>IF(AND(AN694=SureThingLabel,BB694=1),AS694,0)</f>
        <v>0</v>
      </c>
      <c r="BS694">
        <f>MAX(BN694:BR694)</f>
        <v>0</v>
      </c>
      <c r="BT694">
        <f>MAX(BO694:BR694)</f>
        <v>0</v>
      </c>
      <c r="BU694">
        <f>MAX(BP694:BR694)</f>
        <v>0</v>
      </c>
      <c r="BV694">
        <f>IF(ISNUMBER(AB694),INDEX(AllCollegeChicago, MATCH(N694,AllCollegeNCES,0))*BB694,0)</f>
        <v>0</v>
      </c>
      <c r="BW694">
        <f>IF(ISNUMBER(AB694),INDEX(AllCollegeMoneyCode, MATCH(N694,AllCollegeNCES,0)),"?")</f>
        <v>0</v>
      </c>
      <c r="BX694">
        <f>IF(OR(BW694="---",BW694="--",BW694="+/--",BW694="+/---"),1,0)</f>
        <v>0</v>
      </c>
      <c r="BY694">
        <f>BB694*AR694*AT694</f>
        <v>0</v>
      </c>
    </row>
    <row r="695" spans="1:77">
      <c r="A695" t="s">
        <v>96</v>
      </c>
      <c r="B695">
        <v>30051791</v>
      </c>
      <c r="C695" t="s">
        <v>172</v>
      </c>
      <c r="D695" t="s">
        <v>173</v>
      </c>
      <c r="E695" t="s">
        <v>446</v>
      </c>
      <c r="F695" t="s">
        <v>477</v>
      </c>
      <c r="G695" t="s">
        <v>448</v>
      </c>
      <c r="H695" t="s">
        <v>449</v>
      </c>
      <c r="I695" t="s">
        <v>450</v>
      </c>
      <c r="J695" t="s">
        <v>450</v>
      </c>
      <c r="K695">
        <v>0</v>
      </c>
      <c r="L695" t="s">
        <v>446</v>
      </c>
      <c r="M695" t="s">
        <v>446</v>
      </c>
      <c r="N695">
        <v>146427</v>
      </c>
      <c r="O695">
        <f>INDEX(Counselor,MATCH(B695,KidIDs,0))</f>
        <v>0</v>
      </c>
      <c r="P695">
        <f>INDEX(Advisors,MATCH(B695,KidIDs,0))</f>
        <v>0</v>
      </c>
      <c r="Q695">
        <f>INDEX(Cohort,MATCH(B695,KidIDs,0))</f>
        <v>0</v>
      </c>
      <c r="R695">
        <f>INDEX(AllCollegeBarrons,MATCH(N695,AllCollegeNCES,0))</f>
        <v>0</v>
      </c>
      <c r="S695">
        <f>INDEX(KidGPAs,MATCH(B695,KidIDs,0))</f>
        <v>0</v>
      </c>
      <c r="T695">
        <f>INDEX(KidSATs,MATCH(B695,KidIDs,0))</f>
        <v>0</v>
      </c>
      <c r="U695">
        <f>INDEX(Strats,MATCH(B695,KidIDs,0))</f>
        <v>0</v>
      </c>
      <c r="V695">
        <f>INDEX(KidRace,MATCH(B695,KidIDs,0))</f>
        <v>0</v>
      </c>
      <c r="W695">
        <f>IF(OR(V695="M",V695="I"),"H",IF(V695="P","A",V695))</f>
        <v>0</v>
      </c>
      <c r="X695">
        <f>INDEX(StudentTargets,MATCH(B695,KidIDs,0))</f>
        <v>0</v>
      </c>
      <c r="Y695">
        <f>INDEX(ReachStudentTargets,MATCH(B695,KidIDs,0))</f>
        <v>0</v>
      </c>
      <c r="Z695">
        <f>IF(OR(M695="Posse"),1,0)</f>
        <v>0</v>
      </c>
      <c r="AA695">
        <f>IF(ISNUMBER(INDEX(AllCollegeGR, MATCH(N695,AllCollegeNCES,0))),ROUND(INDEX(AllCollegeGR, MATCH(N695,AllCollegeNCES,0))+Z695*IF(INDEX(AllCollegeGR, MATCH(N695,AllCollegeNCES,0))&gt;0.7,(1-INDEX(AllCollegeGR, MATCH(N695,AllCollegeNCES,0)))/2,0.15),2),INDEX(AllCollegeGR, MATCH(N695,AllCollegeNCES,0)))</f>
        <v>0</v>
      </c>
      <c r="AB695">
        <f>IF(ISNUMBER(INDEX(AllCollegeAAHGR, MATCH(N695,AllCollegeNCES,0))),ROUND(INDEX(AllCollegeAAHGR, MATCH(N695,AllCollegeNCES,0))+Z695*IF(INDEX(AllCollegeAAHGR, MATCH(N695,AllCollegeNCES,0))&gt;0.7,(1-INDEX(AllCollegeAAHGR, MATCH(N695,AllCollegeNCES,0)))/2,0.15),2),INDEX(AllCollegeAAHGR, MATCH(N695,AllCollegeNCES,0)))</f>
        <v>0</v>
      </c>
      <c r="AC695">
        <f>IF(OR(W695="H",W695="B"),INDEX(AllCollegeSAT25, MATCH(N695,AllCollegeNCES,0)),INDEX(AllCollegeSAT50, MATCH(N695,AllCollegeNCES,0)))</f>
        <v>0</v>
      </c>
      <c r="AD695">
        <f>INDEX(CustomWeightsGPA,MATCH(W695&amp;":"&amp;N695,CustomWeightsIndex,0))</f>
        <v>0</v>
      </c>
      <c r="AE695">
        <f>INDEX(CustomWeightsSAT,MATCH(W695&amp;":"&amp;N695,CustomWeightsIndex,0))</f>
        <v>0</v>
      </c>
      <c r="AF695">
        <f>INDEX(CustomWeightsIntercept,MATCH(W695&amp;":"&amp;N695,CustomWeightsIndex,0))</f>
        <v>0</v>
      </c>
      <c r="AG695">
        <f>AD695*S695+AE695*T695+AF695</f>
        <v>0</v>
      </c>
      <c r="AH695">
        <f>INDEX(CoefficientsGPA,MATCH(W695&amp;":"&amp;R695,CoefficientsIndex,0))</f>
        <v>0</v>
      </c>
      <c r="AI695">
        <f>INDEX(CoefficientsSAT,MATCH(W695&amp;":"&amp;R695,CoefficientsIndex,0))</f>
        <v>0</v>
      </c>
      <c r="AJ695">
        <f>INDEX(CoefficientsIntercept,MATCH(W695&amp;":"&amp;R695,CoefficientsIndex,0))</f>
        <v>0</v>
      </c>
      <c r="AK695">
        <f>AH695*S695+(T695-AC695)*AI695+AJ695</f>
        <v>0</v>
      </c>
      <c r="AL695">
        <f>IF(ISNUMBER(AG695),AG695,AK695)</f>
        <v>0</v>
      </c>
      <c r="AM695">
        <f>IF(ISNUMBER(AL695),IF(ISNUMBER(AH695),IF(AND(AH695=1,AI695=1,AJ695=1),100,MIN(99,ROUND(100*EXP(AL695)/(1+EXP(AL695)),2))),MIN(99,ROUND(100*EXP(AL695)/(1+EXP(AL695)),2))),IF(ISTEXT(R695),IF(LEFT(R695,1)="2",100,"N/A"),"N/A"))</f>
        <v>0</v>
      </c>
      <c r="AN695">
        <f>IF(ISNUMBER(AM695),IF(AM695&gt;=99,IF(OR(U695=10,U695=11),MatchLabel,SureThingLabel),IF(AM695&gt;=95,SecureLabel,IF(AM695&gt;=80,SafetyLabel,IF(AM695&gt;=50,MatchLabel,IF(AM695&gt;=20,ReachLabel,IF(AM695&gt;=10,LongshotLabel,HailMaryLabel)))))),"Other")</f>
        <v>0</v>
      </c>
      <c r="AO695">
        <f>IF(OR(I695="accepted",I695="cond. accept",I695="summer admit"),IF(J695="yes","CHOICE!","Accepted!"),IF(I695="guar. transfer","Guar. Xfer",IF(I695="denied","Denied",IF(K695=1,"Waitlist",IF(L695=1,"Deferred",IF(G695="pending","Pending",IF(OR(G695="initial materials submitted",G695="mid-year submitted",G695="final submitted"),"Submitted",IF(H695="interest","Interest","?"))))))))</f>
        <v>0</v>
      </c>
      <c r="AP695">
        <f>IF(OR(AN695=ReachLabel,AN695=LongshotLabel,AN695=HailMaryLabel),1,0)</f>
        <v>0</v>
      </c>
      <c r="AQ695">
        <f>IF(OR(AP695=1,AN695=MatchLabel),1,0)</f>
        <v>0</v>
      </c>
      <c r="AR695">
        <f>IF(OR(AN695=MatchLabel,AN695=SafetyLabel,AN695=SecureLabel,AN695=SureThingLabel),1,0)</f>
        <v>0</v>
      </c>
      <c r="AS695">
        <f>IF(OR(W695="H",W695="B",W695="I",W695="M"),IF(ISNUMBER(AB695),ROUND(AB695,2),0),IF(ISNUMBER(AA695),ROUND(AA695,2),0))</f>
        <v>0</v>
      </c>
      <c r="AT695">
        <f>IF(AS695&gt;=X695,1,0)</f>
        <v>0</v>
      </c>
      <c r="AU695">
        <f>IF(AS695&gt;=Y695,1,0)</f>
        <v>0</v>
      </c>
      <c r="AV695">
        <f>IF(AS695&lt;(X695-0.10),1,0)</f>
        <v>0</v>
      </c>
      <c r="AW695">
        <f>1-AM695/100</f>
        <v>0</v>
      </c>
      <c r="AX695">
        <f>IF(AQ695=1,AW695,1)</f>
        <v>0</v>
      </c>
      <c r="AY695">
        <f>IF(AP695=1,AW695,1)</f>
        <v>0</v>
      </c>
      <c r="AZ695">
        <f>IF(AND(AT695=1,ISNUMBER(AW695)),$AW695,1)</f>
        <v>0</v>
      </c>
      <c r="BA695">
        <f>IF(AND(AU695=1,ISNUMBER(AW695)),$AW695,1)</f>
        <v>0</v>
      </c>
      <c r="BB695">
        <f>IF(ISNUMBER(AB695),INDEX(AllCollegeMoney, MATCH(N695,AllCollegeNCES,0)),0)</f>
        <v>0</v>
      </c>
      <c r="BC695">
        <f>IF(AND(AT695=1,ISNUMBER(AW695),BB695=1),$AW695,1)</f>
        <v>0</v>
      </c>
      <c r="BD695">
        <f>IF(AND(AU695=1,ISNUMBER(AW695),BB695=1),$AW695,1)</f>
        <v>0</v>
      </c>
      <c r="BE695">
        <f>IF(ISNUMBER(AB695),INDEX(AllCollegeILPub, MATCH(N695,AllCollegeNCES,0)),0)</f>
        <v>0</v>
      </c>
      <c r="BF695">
        <f>IF(AN695=ReachLabel,AS695,0)</f>
        <v>0</v>
      </c>
      <c r="BG695">
        <f>IF(AN695=MatchLabel,AS695,0)</f>
        <v>0</v>
      </c>
      <c r="BH695">
        <f>IF(AN695=SafetyLabel,AS695,0)</f>
        <v>0</v>
      </c>
      <c r="BI695">
        <f>IF(AN695=SecureLabel,AS695,0)</f>
        <v>0</v>
      </c>
      <c r="BJ695">
        <f>IF(AN695=SureThingLabel,AS695,0)</f>
        <v>0</v>
      </c>
      <c r="BK695">
        <f>MAX(BF695:BJ695)</f>
        <v>0</v>
      </c>
      <c r="BL695">
        <f>MAX(BG695:BJ695)</f>
        <v>0</v>
      </c>
      <c r="BM695">
        <f>MAX(BH695:BJ695)</f>
        <v>0</v>
      </c>
      <c r="BN695">
        <f>IF(AND(AN695=ReachLabel,BB695=1),AS695,0)</f>
        <v>0</v>
      </c>
      <c r="BO695">
        <f>IF(AND(AN695=MatchLabel,BB695=1),AS695,0)</f>
        <v>0</v>
      </c>
      <c r="BP695">
        <f>IF(AND(AN695=SafetyLabel,BB695=1),AS695,0)</f>
        <v>0</v>
      </c>
      <c r="BQ695">
        <f>IF(AND(AN695=SecureLabel,BB695=1),AS695,0)</f>
        <v>0</v>
      </c>
      <c r="BR695">
        <f>IF(AND(AN695=SureThingLabel,BB695=1),AS695,0)</f>
        <v>0</v>
      </c>
      <c r="BS695">
        <f>MAX(BN695:BR695)</f>
        <v>0</v>
      </c>
      <c r="BT695">
        <f>MAX(BO695:BR695)</f>
        <v>0</v>
      </c>
      <c r="BU695">
        <f>MAX(BP695:BR695)</f>
        <v>0</v>
      </c>
      <c r="BV695">
        <f>IF(ISNUMBER(AB695),INDEX(AllCollegeChicago, MATCH(N695,AllCollegeNCES,0))*BB695,0)</f>
        <v>0</v>
      </c>
      <c r="BW695">
        <f>IF(ISNUMBER(AB695),INDEX(AllCollegeMoneyCode, MATCH(N695,AllCollegeNCES,0)),"?")</f>
        <v>0</v>
      </c>
      <c r="BX695">
        <f>IF(OR(BW695="---",BW695="--",BW695="+/--",BW695="+/---"),1,0)</f>
        <v>0</v>
      </c>
      <c r="BY695">
        <f>BB695*AR695*AT695</f>
        <v>0</v>
      </c>
    </row>
    <row r="696" spans="1:77">
      <c r="A696" t="s">
        <v>96</v>
      </c>
      <c r="B696">
        <v>30051791</v>
      </c>
      <c r="C696" t="s">
        <v>172</v>
      </c>
      <c r="D696" t="s">
        <v>173</v>
      </c>
      <c r="E696" t="s">
        <v>446</v>
      </c>
      <c r="F696" t="s">
        <v>489</v>
      </c>
      <c r="G696" t="s">
        <v>479</v>
      </c>
      <c r="H696" t="s">
        <v>449</v>
      </c>
      <c r="I696" t="s">
        <v>450</v>
      </c>
      <c r="J696" t="s">
        <v>450</v>
      </c>
      <c r="K696">
        <v>0</v>
      </c>
      <c r="L696" t="s">
        <v>446</v>
      </c>
      <c r="M696" t="s">
        <v>446</v>
      </c>
      <c r="N696">
        <v>170301</v>
      </c>
      <c r="O696">
        <f>INDEX(Counselor,MATCH(B696,KidIDs,0))</f>
        <v>0</v>
      </c>
      <c r="P696">
        <f>INDEX(Advisors,MATCH(B696,KidIDs,0))</f>
        <v>0</v>
      </c>
      <c r="Q696">
        <f>INDEX(Cohort,MATCH(B696,KidIDs,0))</f>
        <v>0</v>
      </c>
      <c r="R696">
        <f>INDEX(AllCollegeBarrons,MATCH(N696,AllCollegeNCES,0))</f>
        <v>0</v>
      </c>
      <c r="S696">
        <f>INDEX(KidGPAs,MATCH(B696,KidIDs,0))</f>
        <v>0</v>
      </c>
      <c r="T696">
        <f>INDEX(KidSATs,MATCH(B696,KidIDs,0))</f>
        <v>0</v>
      </c>
      <c r="U696">
        <f>INDEX(Strats,MATCH(B696,KidIDs,0))</f>
        <v>0</v>
      </c>
      <c r="V696">
        <f>INDEX(KidRace,MATCH(B696,KidIDs,0))</f>
        <v>0</v>
      </c>
      <c r="W696">
        <f>IF(OR(V696="M",V696="I"),"H",IF(V696="P","A",V696))</f>
        <v>0</v>
      </c>
      <c r="X696">
        <f>INDEX(StudentTargets,MATCH(B696,KidIDs,0))</f>
        <v>0</v>
      </c>
      <c r="Y696">
        <f>INDEX(ReachStudentTargets,MATCH(B696,KidIDs,0))</f>
        <v>0</v>
      </c>
      <c r="Z696">
        <f>IF(OR(M696="Posse"),1,0)</f>
        <v>0</v>
      </c>
      <c r="AA696">
        <f>IF(ISNUMBER(INDEX(AllCollegeGR, MATCH(N696,AllCollegeNCES,0))),ROUND(INDEX(AllCollegeGR, MATCH(N696,AllCollegeNCES,0))+Z696*IF(INDEX(AllCollegeGR, MATCH(N696,AllCollegeNCES,0))&gt;0.7,(1-INDEX(AllCollegeGR, MATCH(N696,AllCollegeNCES,0)))/2,0.15),2),INDEX(AllCollegeGR, MATCH(N696,AllCollegeNCES,0)))</f>
        <v>0</v>
      </c>
      <c r="AB696">
        <f>IF(ISNUMBER(INDEX(AllCollegeAAHGR, MATCH(N696,AllCollegeNCES,0))),ROUND(INDEX(AllCollegeAAHGR, MATCH(N696,AllCollegeNCES,0))+Z696*IF(INDEX(AllCollegeAAHGR, MATCH(N696,AllCollegeNCES,0))&gt;0.7,(1-INDEX(AllCollegeAAHGR, MATCH(N696,AllCollegeNCES,0)))/2,0.15),2),INDEX(AllCollegeAAHGR, MATCH(N696,AllCollegeNCES,0)))</f>
        <v>0</v>
      </c>
      <c r="AC696">
        <f>IF(OR(W696="H",W696="B"),INDEX(AllCollegeSAT25, MATCH(N696,AllCollegeNCES,0)),INDEX(AllCollegeSAT50, MATCH(N696,AllCollegeNCES,0)))</f>
        <v>0</v>
      </c>
      <c r="AD696">
        <f>INDEX(CustomWeightsGPA,MATCH(W696&amp;":"&amp;N696,CustomWeightsIndex,0))</f>
        <v>0</v>
      </c>
      <c r="AE696">
        <f>INDEX(CustomWeightsSAT,MATCH(W696&amp;":"&amp;N696,CustomWeightsIndex,0))</f>
        <v>0</v>
      </c>
      <c r="AF696">
        <f>INDEX(CustomWeightsIntercept,MATCH(W696&amp;":"&amp;N696,CustomWeightsIndex,0))</f>
        <v>0</v>
      </c>
      <c r="AG696">
        <f>AD696*S696+AE696*T696+AF696</f>
        <v>0</v>
      </c>
      <c r="AH696">
        <f>INDEX(CoefficientsGPA,MATCH(W696&amp;":"&amp;R696,CoefficientsIndex,0))</f>
        <v>0</v>
      </c>
      <c r="AI696">
        <f>INDEX(CoefficientsSAT,MATCH(W696&amp;":"&amp;R696,CoefficientsIndex,0))</f>
        <v>0</v>
      </c>
      <c r="AJ696">
        <f>INDEX(CoefficientsIntercept,MATCH(W696&amp;":"&amp;R696,CoefficientsIndex,0))</f>
        <v>0</v>
      </c>
      <c r="AK696">
        <f>AH696*S696+(T696-AC696)*AI696+AJ696</f>
        <v>0</v>
      </c>
      <c r="AL696">
        <f>IF(ISNUMBER(AG696),AG696,AK696)</f>
        <v>0</v>
      </c>
      <c r="AM696">
        <f>IF(ISNUMBER(AL696),IF(ISNUMBER(AH696),IF(AND(AH696=1,AI696=1,AJ696=1),100,MIN(99,ROUND(100*EXP(AL696)/(1+EXP(AL696)),2))),MIN(99,ROUND(100*EXP(AL696)/(1+EXP(AL696)),2))),IF(ISTEXT(R696),IF(LEFT(R696,1)="2",100,"N/A"),"N/A"))</f>
        <v>0</v>
      </c>
      <c r="AN696">
        <f>IF(ISNUMBER(AM696),IF(AM696&gt;=99,IF(OR(U696=10,U696=11),MatchLabel,SureThingLabel),IF(AM696&gt;=95,SecureLabel,IF(AM696&gt;=80,SafetyLabel,IF(AM696&gt;=50,MatchLabel,IF(AM696&gt;=20,ReachLabel,IF(AM696&gt;=10,LongshotLabel,HailMaryLabel)))))),"Other")</f>
        <v>0</v>
      </c>
      <c r="AO696">
        <f>IF(OR(I696="accepted",I696="cond. accept",I696="summer admit"),IF(J696="yes","CHOICE!","Accepted!"),IF(I696="guar. transfer","Guar. Xfer",IF(I696="denied","Denied",IF(K696=1,"Waitlist",IF(L696=1,"Deferred",IF(G696="pending","Pending",IF(OR(G696="initial materials submitted",G696="mid-year submitted",G696="final submitted"),"Submitted",IF(H696="interest","Interest","?"))))))))</f>
        <v>0</v>
      </c>
      <c r="AP696">
        <f>IF(OR(AN696=ReachLabel,AN696=LongshotLabel,AN696=HailMaryLabel),1,0)</f>
        <v>0</v>
      </c>
      <c r="AQ696">
        <f>IF(OR(AP696=1,AN696=MatchLabel),1,0)</f>
        <v>0</v>
      </c>
      <c r="AR696">
        <f>IF(OR(AN696=MatchLabel,AN696=SafetyLabel,AN696=SecureLabel,AN696=SureThingLabel),1,0)</f>
        <v>0</v>
      </c>
      <c r="AS696">
        <f>IF(OR(W696="H",W696="B",W696="I",W696="M"),IF(ISNUMBER(AB696),ROUND(AB696,2),0),IF(ISNUMBER(AA696),ROUND(AA696,2),0))</f>
        <v>0</v>
      </c>
      <c r="AT696">
        <f>IF(AS696&gt;=X696,1,0)</f>
        <v>0</v>
      </c>
      <c r="AU696">
        <f>IF(AS696&gt;=Y696,1,0)</f>
        <v>0</v>
      </c>
      <c r="AV696">
        <f>IF(AS696&lt;(X696-0.10),1,0)</f>
        <v>0</v>
      </c>
      <c r="AW696">
        <f>1-AM696/100</f>
        <v>0</v>
      </c>
      <c r="AX696">
        <f>IF(AQ696=1,AW696,1)</f>
        <v>0</v>
      </c>
      <c r="AY696">
        <f>IF(AP696=1,AW696,1)</f>
        <v>0</v>
      </c>
      <c r="AZ696">
        <f>IF(AND(AT696=1,ISNUMBER(AW696)),$AW696,1)</f>
        <v>0</v>
      </c>
      <c r="BA696">
        <f>IF(AND(AU696=1,ISNUMBER(AW696)),$AW696,1)</f>
        <v>0</v>
      </c>
      <c r="BB696">
        <f>IF(ISNUMBER(AB696),INDEX(AllCollegeMoney, MATCH(N696,AllCollegeNCES,0)),0)</f>
        <v>0</v>
      </c>
      <c r="BC696">
        <f>IF(AND(AT696=1,ISNUMBER(AW696),BB696=1),$AW696,1)</f>
        <v>0</v>
      </c>
      <c r="BD696">
        <f>IF(AND(AU696=1,ISNUMBER(AW696),BB696=1),$AW696,1)</f>
        <v>0</v>
      </c>
      <c r="BE696">
        <f>IF(ISNUMBER(AB696),INDEX(AllCollegeILPub, MATCH(N696,AllCollegeNCES,0)),0)</f>
        <v>0</v>
      </c>
      <c r="BF696">
        <f>IF(AN696=ReachLabel,AS696,0)</f>
        <v>0</v>
      </c>
      <c r="BG696">
        <f>IF(AN696=MatchLabel,AS696,0)</f>
        <v>0</v>
      </c>
      <c r="BH696">
        <f>IF(AN696=SafetyLabel,AS696,0)</f>
        <v>0</v>
      </c>
      <c r="BI696">
        <f>IF(AN696=SecureLabel,AS696,0)</f>
        <v>0</v>
      </c>
      <c r="BJ696">
        <f>IF(AN696=SureThingLabel,AS696,0)</f>
        <v>0</v>
      </c>
      <c r="BK696">
        <f>MAX(BF696:BJ696)</f>
        <v>0</v>
      </c>
      <c r="BL696">
        <f>MAX(BG696:BJ696)</f>
        <v>0</v>
      </c>
      <c r="BM696">
        <f>MAX(BH696:BJ696)</f>
        <v>0</v>
      </c>
      <c r="BN696">
        <f>IF(AND(AN696=ReachLabel,BB696=1),AS696,0)</f>
        <v>0</v>
      </c>
      <c r="BO696">
        <f>IF(AND(AN696=MatchLabel,BB696=1),AS696,0)</f>
        <v>0</v>
      </c>
      <c r="BP696">
        <f>IF(AND(AN696=SafetyLabel,BB696=1),AS696,0)</f>
        <v>0</v>
      </c>
      <c r="BQ696">
        <f>IF(AND(AN696=SecureLabel,BB696=1),AS696,0)</f>
        <v>0</v>
      </c>
      <c r="BR696">
        <f>IF(AND(AN696=SureThingLabel,BB696=1),AS696,0)</f>
        <v>0</v>
      </c>
      <c r="BS696">
        <f>MAX(BN696:BR696)</f>
        <v>0</v>
      </c>
      <c r="BT696">
        <f>MAX(BO696:BR696)</f>
        <v>0</v>
      </c>
      <c r="BU696">
        <f>MAX(BP696:BR696)</f>
        <v>0</v>
      </c>
      <c r="BV696">
        <f>IF(ISNUMBER(AB696),INDEX(AllCollegeChicago, MATCH(N696,AllCollegeNCES,0))*BB696,0)</f>
        <v>0</v>
      </c>
      <c r="BW696">
        <f>IF(ISNUMBER(AB696),INDEX(AllCollegeMoneyCode, MATCH(N696,AllCollegeNCES,0)),"?")</f>
        <v>0</v>
      </c>
      <c r="BX696">
        <f>IF(OR(BW696="---",BW696="--",BW696="+/--",BW696="+/---"),1,0)</f>
        <v>0</v>
      </c>
      <c r="BY696">
        <f>BB696*AR696*AT696</f>
        <v>0</v>
      </c>
    </row>
    <row r="697" spans="1:77">
      <c r="A697" t="s">
        <v>96</v>
      </c>
      <c r="B697">
        <v>30084672</v>
      </c>
      <c r="C697" t="s">
        <v>203</v>
      </c>
      <c r="D697" t="s">
        <v>204</v>
      </c>
      <c r="E697" t="s">
        <v>446</v>
      </c>
      <c r="F697" t="s">
        <v>504</v>
      </c>
      <c r="G697" t="s">
        <v>448</v>
      </c>
      <c r="H697" t="s">
        <v>449</v>
      </c>
      <c r="I697" t="s">
        <v>450</v>
      </c>
      <c r="J697" t="s">
        <v>450</v>
      </c>
      <c r="K697">
        <v>0</v>
      </c>
      <c r="L697" t="s">
        <v>446</v>
      </c>
      <c r="M697" t="s">
        <v>446</v>
      </c>
      <c r="N697">
        <v>144351</v>
      </c>
      <c r="O697">
        <f>INDEX(Counselor,MATCH(B697,KidIDs,0))</f>
        <v>0</v>
      </c>
      <c r="P697">
        <f>INDEX(Advisors,MATCH(B697,KidIDs,0))</f>
        <v>0</v>
      </c>
      <c r="Q697">
        <f>INDEX(Cohort,MATCH(B697,KidIDs,0))</f>
        <v>0</v>
      </c>
      <c r="R697">
        <f>INDEX(AllCollegeBarrons,MATCH(N697,AllCollegeNCES,0))</f>
        <v>0</v>
      </c>
      <c r="S697">
        <f>INDEX(KidGPAs,MATCH(B697,KidIDs,0))</f>
        <v>0</v>
      </c>
      <c r="T697">
        <f>INDEX(KidSATs,MATCH(B697,KidIDs,0))</f>
        <v>0</v>
      </c>
      <c r="U697">
        <f>INDEX(Strats,MATCH(B697,KidIDs,0))</f>
        <v>0</v>
      </c>
      <c r="V697">
        <f>INDEX(KidRace,MATCH(B697,KidIDs,0))</f>
        <v>0</v>
      </c>
      <c r="W697">
        <f>IF(OR(V697="M",V697="I"),"H",IF(V697="P","A",V697))</f>
        <v>0</v>
      </c>
      <c r="X697">
        <f>INDEX(StudentTargets,MATCH(B697,KidIDs,0))</f>
        <v>0</v>
      </c>
      <c r="Y697">
        <f>INDEX(ReachStudentTargets,MATCH(B697,KidIDs,0))</f>
        <v>0</v>
      </c>
      <c r="Z697">
        <f>IF(OR(M697="Posse"),1,0)</f>
        <v>0</v>
      </c>
      <c r="AA697">
        <f>IF(ISNUMBER(INDEX(AllCollegeGR, MATCH(N697,AllCollegeNCES,0))),ROUND(INDEX(AllCollegeGR, MATCH(N697,AllCollegeNCES,0))+Z697*IF(INDEX(AllCollegeGR, MATCH(N697,AllCollegeNCES,0))&gt;0.7,(1-INDEX(AllCollegeGR, MATCH(N697,AllCollegeNCES,0)))/2,0.15),2),INDEX(AllCollegeGR, MATCH(N697,AllCollegeNCES,0)))</f>
        <v>0</v>
      </c>
      <c r="AB697">
        <f>IF(ISNUMBER(INDEX(AllCollegeAAHGR, MATCH(N697,AllCollegeNCES,0))),ROUND(INDEX(AllCollegeAAHGR, MATCH(N697,AllCollegeNCES,0))+Z697*IF(INDEX(AllCollegeAAHGR, MATCH(N697,AllCollegeNCES,0))&gt;0.7,(1-INDEX(AllCollegeAAHGR, MATCH(N697,AllCollegeNCES,0)))/2,0.15),2),INDEX(AllCollegeAAHGR, MATCH(N697,AllCollegeNCES,0)))</f>
        <v>0</v>
      </c>
      <c r="AC697">
        <f>IF(OR(W697="H",W697="B"),INDEX(AllCollegeSAT25, MATCH(N697,AllCollegeNCES,0)),INDEX(AllCollegeSAT50, MATCH(N697,AllCollegeNCES,0)))</f>
        <v>0</v>
      </c>
      <c r="AD697">
        <f>INDEX(CustomWeightsGPA,MATCH(W697&amp;":"&amp;N697,CustomWeightsIndex,0))</f>
        <v>0</v>
      </c>
      <c r="AE697">
        <f>INDEX(CustomWeightsSAT,MATCH(W697&amp;":"&amp;N697,CustomWeightsIndex,0))</f>
        <v>0</v>
      </c>
      <c r="AF697">
        <f>INDEX(CustomWeightsIntercept,MATCH(W697&amp;":"&amp;N697,CustomWeightsIndex,0))</f>
        <v>0</v>
      </c>
      <c r="AG697">
        <f>AD697*S697+AE697*T697+AF697</f>
        <v>0</v>
      </c>
      <c r="AH697">
        <f>INDEX(CoefficientsGPA,MATCH(W697&amp;":"&amp;R697,CoefficientsIndex,0))</f>
        <v>0</v>
      </c>
      <c r="AI697">
        <f>INDEX(CoefficientsSAT,MATCH(W697&amp;":"&amp;R697,CoefficientsIndex,0))</f>
        <v>0</v>
      </c>
      <c r="AJ697">
        <f>INDEX(CoefficientsIntercept,MATCH(W697&amp;":"&amp;R697,CoefficientsIndex,0))</f>
        <v>0</v>
      </c>
      <c r="AK697">
        <f>AH697*S697+(T697-AC697)*AI697+AJ697</f>
        <v>0</v>
      </c>
      <c r="AL697">
        <f>IF(ISNUMBER(AG697),AG697,AK697)</f>
        <v>0</v>
      </c>
      <c r="AM697">
        <f>IF(ISNUMBER(AL697),IF(ISNUMBER(AH697),IF(AND(AH697=1,AI697=1,AJ697=1),100,MIN(99,ROUND(100*EXP(AL697)/(1+EXP(AL697)),2))),MIN(99,ROUND(100*EXP(AL697)/(1+EXP(AL697)),2))),IF(ISTEXT(R697),IF(LEFT(R697,1)="2",100,"N/A"),"N/A"))</f>
        <v>0</v>
      </c>
      <c r="AN697">
        <f>IF(ISNUMBER(AM697),IF(AM697&gt;=99,IF(OR(U697=10,U697=11),MatchLabel,SureThingLabel),IF(AM697&gt;=95,SecureLabel,IF(AM697&gt;=80,SafetyLabel,IF(AM697&gt;=50,MatchLabel,IF(AM697&gt;=20,ReachLabel,IF(AM697&gt;=10,LongshotLabel,HailMaryLabel)))))),"Other")</f>
        <v>0</v>
      </c>
      <c r="AO697">
        <f>IF(OR(I697="accepted",I697="cond. accept",I697="summer admit"),IF(J697="yes","CHOICE!","Accepted!"),IF(I697="guar. transfer","Guar. Xfer",IF(I697="denied","Denied",IF(K697=1,"Waitlist",IF(L697=1,"Deferred",IF(G697="pending","Pending",IF(OR(G697="initial materials submitted",G697="mid-year submitted",G697="final submitted"),"Submitted",IF(H697="interest","Interest","?"))))))))</f>
        <v>0</v>
      </c>
      <c r="AP697">
        <f>IF(OR(AN697=ReachLabel,AN697=LongshotLabel,AN697=HailMaryLabel),1,0)</f>
        <v>0</v>
      </c>
      <c r="AQ697">
        <f>IF(OR(AP697=1,AN697=MatchLabel),1,0)</f>
        <v>0</v>
      </c>
      <c r="AR697">
        <f>IF(OR(AN697=MatchLabel,AN697=SafetyLabel,AN697=SecureLabel,AN697=SureThingLabel),1,0)</f>
        <v>0</v>
      </c>
      <c r="AS697">
        <f>IF(OR(W697="H",W697="B",W697="I",W697="M"),IF(ISNUMBER(AB697),ROUND(AB697,2),0),IF(ISNUMBER(AA697),ROUND(AA697,2),0))</f>
        <v>0</v>
      </c>
      <c r="AT697">
        <f>IF(AS697&gt;=X697,1,0)</f>
        <v>0</v>
      </c>
      <c r="AU697">
        <f>IF(AS697&gt;=Y697,1,0)</f>
        <v>0</v>
      </c>
      <c r="AV697">
        <f>IF(AS697&lt;(X697-0.10),1,0)</f>
        <v>0</v>
      </c>
      <c r="AW697">
        <f>1-AM697/100</f>
        <v>0</v>
      </c>
      <c r="AX697">
        <f>IF(AQ697=1,AW697,1)</f>
        <v>0</v>
      </c>
      <c r="AY697">
        <f>IF(AP697=1,AW697,1)</f>
        <v>0</v>
      </c>
      <c r="AZ697">
        <f>IF(AND(AT697=1,ISNUMBER(AW697)),$AW697,1)</f>
        <v>0</v>
      </c>
      <c r="BA697">
        <f>IF(AND(AU697=1,ISNUMBER(AW697)),$AW697,1)</f>
        <v>0</v>
      </c>
      <c r="BB697">
        <f>IF(ISNUMBER(AB697),INDEX(AllCollegeMoney, MATCH(N697,AllCollegeNCES,0)),0)</f>
        <v>0</v>
      </c>
      <c r="BC697">
        <f>IF(AND(AT697=1,ISNUMBER(AW697),BB697=1),$AW697,1)</f>
        <v>0</v>
      </c>
      <c r="BD697">
        <f>IF(AND(AU697=1,ISNUMBER(AW697),BB697=1),$AW697,1)</f>
        <v>0</v>
      </c>
      <c r="BE697">
        <f>IF(ISNUMBER(AB697),INDEX(AllCollegeILPub, MATCH(N697,AllCollegeNCES,0)),0)</f>
        <v>0</v>
      </c>
      <c r="BF697">
        <f>IF(AN697=ReachLabel,AS697,0)</f>
        <v>0</v>
      </c>
      <c r="BG697">
        <f>IF(AN697=MatchLabel,AS697,0)</f>
        <v>0</v>
      </c>
      <c r="BH697">
        <f>IF(AN697=SafetyLabel,AS697,0)</f>
        <v>0</v>
      </c>
      <c r="BI697">
        <f>IF(AN697=SecureLabel,AS697,0)</f>
        <v>0</v>
      </c>
      <c r="BJ697">
        <f>IF(AN697=SureThingLabel,AS697,0)</f>
        <v>0</v>
      </c>
      <c r="BK697">
        <f>MAX(BF697:BJ697)</f>
        <v>0</v>
      </c>
      <c r="BL697">
        <f>MAX(BG697:BJ697)</f>
        <v>0</v>
      </c>
      <c r="BM697">
        <f>MAX(BH697:BJ697)</f>
        <v>0</v>
      </c>
      <c r="BN697">
        <f>IF(AND(AN697=ReachLabel,BB697=1),AS697,0)</f>
        <v>0</v>
      </c>
      <c r="BO697">
        <f>IF(AND(AN697=MatchLabel,BB697=1),AS697,0)</f>
        <v>0</v>
      </c>
      <c r="BP697">
        <f>IF(AND(AN697=SafetyLabel,BB697=1),AS697,0)</f>
        <v>0</v>
      </c>
      <c r="BQ697">
        <f>IF(AND(AN697=SecureLabel,BB697=1),AS697,0)</f>
        <v>0</v>
      </c>
      <c r="BR697">
        <f>IF(AND(AN697=SureThingLabel,BB697=1),AS697,0)</f>
        <v>0</v>
      </c>
      <c r="BS697">
        <f>MAX(BN697:BR697)</f>
        <v>0</v>
      </c>
      <c r="BT697">
        <f>MAX(BO697:BR697)</f>
        <v>0</v>
      </c>
      <c r="BU697">
        <f>MAX(BP697:BR697)</f>
        <v>0</v>
      </c>
      <c r="BV697">
        <f>IF(ISNUMBER(AB697),INDEX(AllCollegeChicago, MATCH(N697,AllCollegeNCES,0))*BB697,0)</f>
        <v>0</v>
      </c>
      <c r="BW697">
        <f>IF(ISNUMBER(AB697),INDEX(AllCollegeMoneyCode, MATCH(N697,AllCollegeNCES,0)),"?")</f>
        <v>0</v>
      </c>
      <c r="BX697">
        <f>IF(OR(BW697="---",BW697="--",BW697="+/--",BW697="+/---"),1,0)</f>
        <v>0</v>
      </c>
      <c r="BY697">
        <f>BB697*AR697*AT697</f>
        <v>0</v>
      </c>
    </row>
    <row r="698" spans="1:77">
      <c r="A698" t="s">
        <v>96</v>
      </c>
      <c r="B698">
        <v>30115187</v>
      </c>
      <c r="C698" t="s">
        <v>138</v>
      </c>
      <c r="D698" t="s">
        <v>139</v>
      </c>
      <c r="E698" t="s">
        <v>446</v>
      </c>
      <c r="F698" t="s">
        <v>470</v>
      </c>
      <c r="G698" t="s">
        <v>448</v>
      </c>
      <c r="H698" t="s">
        <v>449</v>
      </c>
      <c r="I698" t="s">
        <v>450</v>
      </c>
      <c r="J698" t="s">
        <v>450</v>
      </c>
      <c r="K698">
        <v>0</v>
      </c>
      <c r="L698" t="s">
        <v>446</v>
      </c>
      <c r="M698" t="s">
        <v>446</v>
      </c>
      <c r="N698">
        <v>240444</v>
      </c>
      <c r="O698">
        <f>INDEX(Counselor,MATCH(B698,KidIDs,0))</f>
        <v>0</v>
      </c>
      <c r="P698">
        <f>INDEX(Advisors,MATCH(B698,KidIDs,0))</f>
        <v>0</v>
      </c>
      <c r="Q698">
        <f>INDEX(Cohort,MATCH(B698,KidIDs,0))</f>
        <v>0</v>
      </c>
      <c r="R698">
        <f>INDEX(AllCollegeBarrons,MATCH(N698,AllCollegeNCES,0))</f>
        <v>0</v>
      </c>
      <c r="S698">
        <f>INDEX(KidGPAs,MATCH(B698,KidIDs,0))</f>
        <v>0</v>
      </c>
      <c r="T698">
        <f>INDEX(KidSATs,MATCH(B698,KidIDs,0))</f>
        <v>0</v>
      </c>
      <c r="U698">
        <f>INDEX(Strats,MATCH(B698,KidIDs,0))</f>
        <v>0</v>
      </c>
      <c r="V698">
        <f>INDEX(KidRace,MATCH(B698,KidIDs,0))</f>
        <v>0</v>
      </c>
      <c r="W698">
        <f>IF(OR(V698="M",V698="I"),"H",IF(V698="P","A",V698))</f>
        <v>0</v>
      </c>
      <c r="X698">
        <f>INDEX(StudentTargets,MATCH(B698,KidIDs,0))</f>
        <v>0</v>
      </c>
      <c r="Y698">
        <f>INDEX(ReachStudentTargets,MATCH(B698,KidIDs,0))</f>
        <v>0</v>
      </c>
      <c r="Z698">
        <f>IF(OR(M698="Posse"),1,0)</f>
        <v>0</v>
      </c>
      <c r="AA698">
        <f>IF(ISNUMBER(INDEX(AllCollegeGR, MATCH(N698,AllCollegeNCES,0))),ROUND(INDEX(AllCollegeGR, MATCH(N698,AllCollegeNCES,0))+Z698*IF(INDEX(AllCollegeGR, MATCH(N698,AllCollegeNCES,0))&gt;0.7,(1-INDEX(AllCollegeGR, MATCH(N698,AllCollegeNCES,0)))/2,0.15),2),INDEX(AllCollegeGR, MATCH(N698,AllCollegeNCES,0)))</f>
        <v>0</v>
      </c>
      <c r="AB698">
        <f>IF(ISNUMBER(INDEX(AllCollegeAAHGR, MATCH(N698,AllCollegeNCES,0))),ROUND(INDEX(AllCollegeAAHGR, MATCH(N698,AllCollegeNCES,0))+Z698*IF(INDEX(AllCollegeAAHGR, MATCH(N698,AllCollegeNCES,0))&gt;0.7,(1-INDEX(AllCollegeAAHGR, MATCH(N698,AllCollegeNCES,0)))/2,0.15),2),INDEX(AllCollegeAAHGR, MATCH(N698,AllCollegeNCES,0)))</f>
        <v>0</v>
      </c>
      <c r="AC698">
        <f>IF(OR(W698="H",W698="B"),INDEX(AllCollegeSAT25, MATCH(N698,AllCollegeNCES,0)),INDEX(AllCollegeSAT50, MATCH(N698,AllCollegeNCES,0)))</f>
        <v>0</v>
      </c>
      <c r="AD698">
        <f>INDEX(CustomWeightsGPA,MATCH(W698&amp;":"&amp;N698,CustomWeightsIndex,0))</f>
        <v>0</v>
      </c>
      <c r="AE698">
        <f>INDEX(CustomWeightsSAT,MATCH(W698&amp;":"&amp;N698,CustomWeightsIndex,0))</f>
        <v>0</v>
      </c>
      <c r="AF698">
        <f>INDEX(CustomWeightsIntercept,MATCH(W698&amp;":"&amp;N698,CustomWeightsIndex,0))</f>
        <v>0</v>
      </c>
      <c r="AG698">
        <f>AD698*S698+AE698*T698+AF698</f>
        <v>0</v>
      </c>
      <c r="AH698">
        <f>INDEX(CoefficientsGPA,MATCH(W698&amp;":"&amp;R698,CoefficientsIndex,0))</f>
        <v>0</v>
      </c>
      <c r="AI698">
        <f>INDEX(CoefficientsSAT,MATCH(W698&amp;":"&amp;R698,CoefficientsIndex,0))</f>
        <v>0</v>
      </c>
      <c r="AJ698">
        <f>INDEX(CoefficientsIntercept,MATCH(W698&amp;":"&amp;R698,CoefficientsIndex,0))</f>
        <v>0</v>
      </c>
      <c r="AK698">
        <f>AH698*S698+(T698-AC698)*AI698+AJ698</f>
        <v>0</v>
      </c>
      <c r="AL698">
        <f>IF(ISNUMBER(AG698),AG698,AK698)</f>
        <v>0</v>
      </c>
      <c r="AM698">
        <f>IF(ISNUMBER(AL698),IF(ISNUMBER(AH698),IF(AND(AH698=1,AI698=1,AJ698=1),100,MIN(99,ROUND(100*EXP(AL698)/(1+EXP(AL698)),2))),MIN(99,ROUND(100*EXP(AL698)/(1+EXP(AL698)),2))),IF(ISTEXT(R698),IF(LEFT(R698,1)="2",100,"N/A"),"N/A"))</f>
        <v>0</v>
      </c>
      <c r="AN698">
        <f>IF(ISNUMBER(AM698),IF(AM698&gt;=99,IF(OR(U698=10,U698=11),MatchLabel,SureThingLabel),IF(AM698&gt;=95,SecureLabel,IF(AM698&gt;=80,SafetyLabel,IF(AM698&gt;=50,MatchLabel,IF(AM698&gt;=20,ReachLabel,IF(AM698&gt;=10,LongshotLabel,HailMaryLabel)))))),"Other")</f>
        <v>0</v>
      </c>
      <c r="AO698">
        <f>IF(OR(I698="accepted",I698="cond. accept",I698="summer admit"),IF(J698="yes","CHOICE!","Accepted!"),IF(I698="guar. transfer","Guar. Xfer",IF(I698="denied","Denied",IF(K698=1,"Waitlist",IF(L698=1,"Deferred",IF(G698="pending","Pending",IF(OR(G698="initial materials submitted",G698="mid-year submitted",G698="final submitted"),"Submitted",IF(H698="interest","Interest","?"))))))))</f>
        <v>0</v>
      </c>
      <c r="AP698">
        <f>IF(OR(AN698=ReachLabel,AN698=LongshotLabel,AN698=HailMaryLabel),1,0)</f>
        <v>0</v>
      </c>
      <c r="AQ698">
        <f>IF(OR(AP698=1,AN698=MatchLabel),1,0)</f>
        <v>0</v>
      </c>
      <c r="AR698">
        <f>IF(OR(AN698=MatchLabel,AN698=SafetyLabel,AN698=SecureLabel,AN698=SureThingLabel),1,0)</f>
        <v>0</v>
      </c>
      <c r="AS698">
        <f>IF(OR(W698="H",W698="B",W698="I",W698="M"),IF(ISNUMBER(AB698),ROUND(AB698,2),0),IF(ISNUMBER(AA698),ROUND(AA698,2),0))</f>
        <v>0</v>
      </c>
      <c r="AT698">
        <f>IF(AS698&gt;=X698,1,0)</f>
        <v>0</v>
      </c>
      <c r="AU698">
        <f>IF(AS698&gt;=Y698,1,0)</f>
        <v>0</v>
      </c>
      <c r="AV698">
        <f>IF(AS698&lt;(X698-0.10),1,0)</f>
        <v>0</v>
      </c>
      <c r="AW698">
        <f>1-AM698/100</f>
        <v>0</v>
      </c>
      <c r="AX698">
        <f>IF(AQ698=1,AW698,1)</f>
        <v>0</v>
      </c>
      <c r="AY698">
        <f>IF(AP698=1,AW698,1)</f>
        <v>0</v>
      </c>
      <c r="AZ698">
        <f>IF(AND(AT698=1,ISNUMBER(AW698)),$AW698,1)</f>
        <v>0</v>
      </c>
      <c r="BA698">
        <f>IF(AND(AU698=1,ISNUMBER(AW698)),$AW698,1)</f>
        <v>0</v>
      </c>
      <c r="BB698">
        <f>IF(ISNUMBER(AB698),INDEX(AllCollegeMoney, MATCH(N698,AllCollegeNCES,0)),0)</f>
        <v>0</v>
      </c>
      <c r="BC698">
        <f>IF(AND(AT698=1,ISNUMBER(AW698),BB698=1),$AW698,1)</f>
        <v>0</v>
      </c>
      <c r="BD698">
        <f>IF(AND(AU698=1,ISNUMBER(AW698),BB698=1),$AW698,1)</f>
        <v>0</v>
      </c>
      <c r="BE698">
        <f>IF(ISNUMBER(AB698),INDEX(AllCollegeILPub, MATCH(N698,AllCollegeNCES,0)),0)</f>
        <v>0</v>
      </c>
      <c r="BF698">
        <f>IF(AN698=ReachLabel,AS698,0)</f>
        <v>0</v>
      </c>
      <c r="BG698">
        <f>IF(AN698=MatchLabel,AS698,0)</f>
        <v>0</v>
      </c>
      <c r="BH698">
        <f>IF(AN698=SafetyLabel,AS698,0)</f>
        <v>0</v>
      </c>
      <c r="BI698">
        <f>IF(AN698=SecureLabel,AS698,0)</f>
        <v>0</v>
      </c>
      <c r="BJ698">
        <f>IF(AN698=SureThingLabel,AS698,0)</f>
        <v>0</v>
      </c>
      <c r="BK698">
        <f>MAX(BF698:BJ698)</f>
        <v>0</v>
      </c>
      <c r="BL698">
        <f>MAX(BG698:BJ698)</f>
        <v>0</v>
      </c>
      <c r="BM698">
        <f>MAX(BH698:BJ698)</f>
        <v>0</v>
      </c>
      <c r="BN698">
        <f>IF(AND(AN698=ReachLabel,BB698=1),AS698,0)</f>
        <v>0</v>
      </c>
      <c r="BO698">
        <f>IF(AND(AN698=MatchLabel,BB698=1),AS698,0)</f>
        <v>0</v>
      </c>
      <c r="BP698">
        <f>IF(AND(AN698=SafetyLabel,BB698=1),AS698,0)</f>
        <v>0</v>
      </c>
      <c r="BQ698">
        <f>IF(AND(AN698=SecureLabel,BB698=1),AS698,0)</f>
        <v>0</v>
      </c>
      <c r="BR698">
        <f>IF(AND(AN698=SureThingLabel,BB698=1),AS698,0)</f>
        <v>0</v>
      </c>
      <c r="BS698">
        <f>MAX(BN698:BR698)</f>
        <v>0</v>
      </c>
      <c r="BT698">
        <f>MAX(BO698:BR698)</f>
        <v>0</v>
      </c>
      <c r="BU698">
        <f>MAX(BP698:BR698)</f>
        <v>0</v>
      </c>
      <c r="BV698">
        <f>IF(ISNUMBER(AB698),INDEX(AllCollegeChicago, MATCH(N698,AllCollegeNCES,0))*BB698,0)</f>
        <v>0</v>
      </c>
      <c r="BW698">
        <f>IF(ISNUMBER(AB698),INDEX(AllCollegeMoneyCode, MATCH(N698,AllCollegeNCES,0)),"?")</f>
        <v>0</v>
      </c>
      <c r="BX698">
        <f>IF(OR(BW698="---",BW698="--",BW698="+/--",BW698="+/---"),1,0)</f>
        <v>0</v>
      </c>
      <c r="BY698">
        <f>BB698*AR698*AT698</f>
        <v>0</v>
      </c>
    </row>
    <row r="699" spans="1:77">
      <c r="A699" t="s">
        <v>96</v>
      </c>
      <c r="B699">
        <v>30115187</v>
      </c>
      <c r="C699" t="s">
        <v>138</v>
      </c>
      <c r="D699" t="s">
        <v>139</v>
      </c>
      <c r="E699" t="s">
        <v>446</v>
      </c>
      <c r="F699" t="s">
        <v>472</v>
      </c>
      <c r="G699" t="s">
        <v>479</v>
      </c>
      <c r="H699" t="s">
        <v>449</v>
      </c>
      <c r="I699" t="s">
        <v>450</v>
      </c>
      <c r="J699" t="s">
        <v>450</v>
      </c>
      <c r="K699">
        <v>0</v>
      </c>
      <c r="L699" t="s">
        <v>446</v>
      </c>
      <c r="M699" t="s">
        <v>446</v>
      </c>
      <c r="N699">
        <v>212674</v>
      </c>
      <c r="O699">
        <f>INDEX(Counselor,MATCH(B699,KidIDs,0))</f>
        <v>0</v>
      </c>
      <c r="P699">
        <f>INDEX(Advisors,MATCH(B699,KidIDs,0))</f>
        <v>0</v>
      </c>
      <c r="Q699">
        <f>INDEX(Cohort,MATCH(B699,KidIDs,0))</f>
        <v>0</v>
      </c>
      <c r="R699">
        <f>INDEX(AllCollegeBarrons,MATCH(N699,AllCollegeNCES,0))</f>
        <v>0</v>
      </c>
      <c r="S699">
        <f>INDEX(KidGPAs,MATCH(B699,KidIDs,0))</f>
        <v>0</v>
      </c>
      <c r="T699">
        <f>INDEX(KidSATs,MATCH(B699,KidIDs,0))</f>
        <v>0</v>
      </c>
      <c r="U699">
        <f>INDEX(Strats,MATCH(B699,KidIDs,0))</f>
        <v>0</v>
      </c>
      <c r="V699">
        <f>INDEX(KidRace,MATCH(B699,KidIDs,0))</f>
        <v>0</v>
      </c>
      <c r="W699">
        <f>IF(OR(V699="M",V699="I"),"H",IF(V699="P","A",V699))</f>
        <v>0</v>
      </c>
      <c r="X699">
        <f>INDEX(StudentTargets,MATCH(B699,KidIDs,0))</f>
        <v>0</v>
      </c>
      <c r="Y699">
        <f>INDEX(ReachStudentTargets,MATCH(B699,KidIDs,0))</f>
        <v>0</v>
      </c>
      <c r="Z699">
        <f>IF(OR(M699="Posse"),1,0)</f>
        <v>0</v>
      </c>
      <c r="AA699">
        <f>IF(ISNUMBER(INDEX(AllCollegeGR, MATCH(N699,AllCollegeNCES,0))),ROUND(INDEX(AllCollegeGR, MATCH(N699,AllCollegeNCES,0))+Z699*IF(INDEX(AllCollegeGR, MATCH(N699,AllCollegeNCES,0))&gt;0.7,(1-INDEX(AllCollegeGR, MATCH(N699,AllCollegeNCES,0)))/2,0.15),2),INDEX(AllCollegeGR, MATCH(N699,AllCollegeNCES,0)))</f>
        <v>0</v>
      </c>
      <c r="AB699">
        <f>IF(ISNUMBER(INDEX(AllCollegeAAHGR, MATCH(N699,AllCollegeNCES,0))),ROUND(INDEX(AllCollegeAAHGR, MATCH(N699,AllCollegeNCES,0))+Z699*IF(INDEX(AllCollegeAAHGR, MATCH(N699,AllCollegeNCES,0))&gt;0.7,(1-INDEX(AllCollegeAAHGR, MATCH(N699,AllCollegeNCES,0)))/2,0.15),2),INDEX(AllCollegeAAHGR, MATCH(N699,AllCollegeNCES,0)))</f>
        <v>0</v>
      </c>
      <c r="AC699">
        <f>IF(OR(W699="H",W699="B"),INDEX(AllCollegeSAT25, MATCH(N699,AllCollegeNCES,0)),INDEX(AllCollegeSAT50, MATCH(N699,AllCollegeNCES,0)))</f>
        <v>0</v>
      </c>
      <c r="AD699">
        <f>INDEX(CustomWeightsGPA,MATCH(W699&amp;":"&amp;N699,CustomWeightsIndex,0))</f>
        <v>0</v>
      </c>
      <c r="AE699">
        <f>INDEX(CustomWeightsSAT,MATCH(W699&amp;":"&amp;N699,CustomWeightsIndex,0))</f>
        <v>0</v>
      </c>
      <c r="AF699">
        <f>INDEX(CustomWeightsIntercept,MATCH(W699&amp;":"&amp;N699,CustomWeightsIndex,0))</f>
        <v>0</v>
      </c>
      <c r="AG699">
        <f>AD699*S699+AE699*T699+AF699</f>
        <v>0</v>
      </c>
      <c r="AH699">
        <f>INDEX(CoefficientsGPA,MATCH(W699&amp;":"&amp;R699,CoefficientsIndex,0))</f>
        <v>0</v>
      </c>
      <c r="AI699">
        <f>INDEX(CoefficientsSAT,MATCH(W699&amp;":"&amp;R699,CoefficientsIndex,0))</f>
        <v>0</v>
      </c>
      <c r="AJ699">
        <f>INDEX(CoefficientsIntercept,MATCH(W699&amp;":"&amp;R699,CoefficientsIndex,0))</f>
        <v>0</v>
      </c>
      <c r="AK699">
        <f>AH699*S699+(T699-AC699)*AI699+AJ699</f>
        <v>0</v>
      </c>
      <c r="AL699">
        <f>IF(ISNUMBER(AG699),AG699,AK699)</f>
        <v>0</v>
      </c>
      <c r="AM699">
        <f>IF(ISNUMBER(AL699),IF(ISNUMBER(AH699),IF(AND(AH699=1,AI699=1,AJ699=1),100,MIN(99,ROUND(100*EXP(AL699)/(1+EXP(AL699)),2))),MIN(99,ROUND(100*EXP(AL699)/(1+EXP(AL699)),2))),IF(ISTEXT(R699),IF(LEFT(R699,1)="2",100,"N/A"),"N/A"))</f>
        <v>0</v>
      </c>
      <c r="AN699">
        <f>IF(ISNUMBER(AM699),IF(AM699&gt;=99,IF(OR(U699=10,U699=11),MatchLabel,SureThingLabel),IF(AM699&gt;=95,SecureLabel,IF(AM699&gt;=80,SafetyLabel,IF(AM699&gt;=50,MatchLabel,IF(AM699&gt;=20,ReachLabel,IF(AM699&gt;=10,LongshotLabel,HailMaryLabel)))))),"Other")</f>
        <v>0</v>
      </c>
      <c r="AO699">
        <f>IF(OR(I699="accepted",I699="cond. accept",I699="summer admit"),IF(J699="yes","CHOICE!","Accepted!"),IF(I699="guar. transfer","Guar. Xfer",IF(I699="denied","Denied",IF(K699=1,"Waitlist",IF(L699=1,"Deferred",IF(G699="pending","Pending",IF(OR(G699="initial materials submitted",G699="mid-year submitted",G699="final submitted"),"Submitted",IF(H699="interest","Interest","?"))))))))</f>
        <v>0</v>
      </c>
      <c r="AP699">
        <f>IF(OR(AN699=ReachLabel,AN699=LongshotLabel,AN699=HailMaryLabel),1,0)</f>
        <v>0</v>
      </c>
      <c r="AQ699">
        <f>IF(OR(AP699=1,AN699=MatchLabel),1,0)</f>
        <v>0</v>
      </c>
      <c r="AR699">
        <f>IF(OR(AN699=MatchLabel,AN699=SafetyLabel,AN699=SecureLabel,AN699=SureThingLabel),1,0)</f>
        <v>0</v>
      </c>
      <c r="AS699">
        <f>IF(OR(W699="H",W699="B",W699="I",W699="M"),IF(ISNUMBER(AB699),ROUND(AB699,2),0),IF(ISNUMBER(AA699),ROUND(AA699,2),0))</f>
        <v>0</v>
      </c>
      <c r="AT699">
        <f>IF(AS699&gt;=X699,1,0)</f>
        <v>0</v>
      </c>
      <c r="AU699">
        <f>IF(AS699&gt;=Y699,1,0)</f>
        <v>0</v>
      </c>
      <c r="AV699">
        <f>IF(AS699&lt;(X699-0.10),1,0)</f>
        <v>0</v>
      </c>
      <c r="AW699">
        <f>1-AM699/100</f>
        <v>0</v>
      </c>
      <c r="AX699">
        <f>IF(AQ699=1,AW699,1)</f>
        <v>0</v>
      </c>
      <c r="AY699">
        <f>IF(AP699=1,AW699,1)</f>
        <v>0</v>
      </c>
      <c r="AZ699">
        <f>IF(AND(AT699=1,ISNUMBER(AW699)),$AW699,1)</f>
        <v>0</v>
      </c>
      <c r="BA699">
        <f>IF(AND(AU699=1,ISNUMBER(AW699)),$AW699,1)</f>
        <v>0</v>
      </c>
      <c r="BB699">
        <f>IF(ISNUMBER(AB699),INDEX(AllCollegeMoney, MATCH(N699,AllCollegeNCES,0)),0)</f>
        <v>0</v>
      </c>
      <c r="BC699">
        <f>IF(AND(AT699=1,ISNUMBER(AW699),BB699=1),$AW699,1)</f>
        <v>0</v>
      </c>
      <c r="BD699">
        <f>IF(AND(AU699=1,ISNUMBER(AW699),BB699=1),$AW699,1)</f>
        <v>0</v>
      </c>
      <c r="BE699">
        <f>IF(ISNUMBER(AB699),INDEX(AllCollegeILPub, MATCH(N699,AllCollegeNCES,0)),0)</f>
        <v>0</v>
      </c>
      <c r="BF699">
        <f>IF(AN699=ReachLabel,AS699,0)</f>
        <v>0</v>
      </c>
      <c r="BG699">
        <f>IF(AN699=MatchLabel,AS699,0)</f>
        <v>0</v>
      </c>
      <c r="BH699">
        <f>IF(AN699=SafetyLabel,AS699,0)</f>
        <v>0</v>
      </c>
      <c r="BI699">
        <f>IF(AN699=SecureLabel,AS699,0)</f>
        <v>0</v>
      </c>
      <c r="BJ699">
        <f>IF(AN699=SureThingLabel,AS699,0)</f>
        <v>0</v>
      </c>
      <c r="BK699">
        <f>MAX(BF699:BJ699)</f>
        <v>0</v>
      </c>
      <c r="BL699">
        <f>MAX(BG699:BJ699)</f>
        <v>0</v>
      </c>
      <c r="BM699">
        <f>MAX(BH699:BJ699)</f>
        <v>0</v>
      </c>
      <c r="BN699">
        <f>IF(AND(AN699=ReachLabel,BB699=1),AS699,0)</f>
        <v>0</v>
      </c>
      <c r="BO699">
        <f>IF(AND(AN699=MatchLabel,BB699=1),AS699,0)</f>
        <v>0</v>
      </c>
      <c r="BP699">
        <f>IF(AND(AN699=SafetyLabel,BB699=1),AS699,0)</f>
        <v>0</v>
      </c>
      <c r="BQ699">
        <f>IF(AND(AN699=SecureLabel,BB699=1),AS699,0)</f>
        <v>0</v>
      </c>
      <c r="BR699">
        <f>IF(AND(AN699=SureThingLabel,BB699=1),AS699,0)</f>
        <v>0</v>
      </c>
      <c r="BS699">
        <f>MAX(BN699:BR699)</f>
        <v>0</v>
      </c>
      <c r="BT699">
        <f>MAX(BO699:BR699)</f>
        <v>0</v>
      </c>
      <c r="BU699">
        <f>MAX(BP699:BR699)</f>
        <v>0</v>
      </c>
      <c r="BV699">
        <f>IF(ISNUMBER(AB699),INDEX(AllCollegeChicago, MATCH(N699,AllCollegeNCES,0))*BB699,0)</f>
        <v>0</v>
      </c>
      <c r="BW699">
        <f>IF(ISNUMBER(AB699),INDEX(AllCollegeMoneyCode, MATCH(N699,AllCollegeNCES,0)),"?")</f>
        <v>0</v>
      </c>
      <c r="BX699">
        <f>IF(OR(BW699="---",BW699="--",BW699="+/--",BW699="+/---"),1,0)</f>
        <v>0</v>
      </c>
      <c r="BY699">
        <f>BB699*AR699*AT699</f>
        <v>0</v>
      </c>
    </row>
    <row r="700" spans="1:77">
      <c r="A700" t="s">
        <v>96</v>
      </c>
      <c r="B700">
        <v>30115187</v>
      </c>
      <c r="C700" t="s">
        <v>138</v>
      </c>
      <c r="D700" t="s">
        <v>139</v>
      </c>
      <c r="E700" t="s">
        <v>446</v>
      </c>
      <c r="F700" t="s">
        <v>600</v>
      </c>
      <c r="G700" t="s">
        <v>448</v>
      </c>
      <c r="H700" t="s">
        <v>449</v>
      </c>
      <c r="I700" t="s">
        <v>450</v>
      </c>
      <c r="J700" t="s">
        <v>450</v>
      </c>
      <c r="K700">
        <v>0</v>
      </c>
      <c r="L700" t="s">
        <v>446</v>
      </c>
      <c r="M700" t="s">
        <v>446</v>
      </c>
      <c r="N700">
        <v>122612</v>
      </c>
      <c r="O700">
        <f>INDEX(Counselor,MATCH(B700,KidIDs,0))</f>
        <v>0</v>
      </c>
      <c r="P700">
        <f>INDEX(Advisors,MATCH(B700,KidIDs,0))</f>
        <v>0</v>
      </c>
      <c r="Q700">
        <f>INDEX(Cohort,MATCH(B700,KidIDs,0))</f>
        <v>0</v>
      </c>
      <c r="R700">
        <f>INDEX(AllCollegeBarrons,MATCH(N700,AllCollegeNCES,0))</f>
        <v>0</v>
      </c>
      <c r="S700">
        <f>INDEX(KidGPAs,MATCH(B700,KidIDs,0))</f>
        <v>0</v>
      </c>
      <c r="T700">
        <f>INDEX(KidSATs,MATCH(B700,KidIDs,0))</f>
        <v>0</v>
      </c>
      <c r="U700">
        <f>INDEX(Strats,MATCH(B700,KidIDs,0))</f>
        <v>0</v>
      </c>
      <c r="V700">
        <f>INDEX(KidRace,MATCH(B700,KidIDs,0))</f>
        <v>0</v>
      </c>
      <c r="W700">
        <f>IF(OR(V700="M",V700="I"),"H",IF(V700="P","A",V700))</f>
        <v>0</v>
      </c>
      <c r="X700">
        <f>INDEX(StudentTargets,MATCH(B700,KidIDs,0))</f>
        <v>0</v>
      </c>
      <c r="Y700">
        <f>INDEX(ReachStudentTargets,MATCH(B700,KidIDs,0))</f>
        <v>0</v>
      </c>
      <c r="Z700">
        <f>IF(OR(M700="Posse"),1,0)</f>
        <v>0</v>
      </c>
      <c r="AA700">
        <f>IF(ISNUMBER(INDEX(AllCollegeGR, MATCH(N700,AllCollegeNCES,0))),ROUND(INDEX(AllCollegeGR, MATCH(N700,AllCollegeNCES,0))+Z700*IF(INDEX(AllCollegeGR, MATCH(N700,AllCollegeNCES,0))&gt;0.7,(1-INDEX(AllCollegeGR, MATCH(N700,AllCollegeNCES,0)))/2,0.15),2),INDEX(AllCollegeGR, MATCH(N700,AllCollegeNCES,0)))</f>
        <v>0</v>
      </c>
      <c r="AB700">
        <f>IF(ISNUMBER(INDEX(AllCollegeAAHGR, MATCH(N700,AllCollegeNCES,0))),ROUND(INDEX(AllCollegeAAHGR, MATCH(N700,AllCollegeNCES,0))+Z700*IF(INDEX(AllCollegeAAHGR, MATCH(N700,AllCollegeNCES,0))&gt;0.7,(1-INDEX(AllCollegeAAHGR, MATCH(N700,AllCollegeNCES,0)))/2,0.15),2),INDEX(AllCollegeAAHGR, MATCH(N700,AllCollegeNCES,0)))</f>
        <v>0</v>
      </c>
      <c r="AC700">
        <f>IF(OR(W700="H",W700="B"),INDEX(AllCollegeSAT25, MATCH(N700,AllCollegeNCES,0)),INDEX(AllCollegeSAT50, MATCH(N700,AllCollegeNCES,0)))</f>
        <v>0</v>
      </c>
      <c r="AD700">
        <f>INDEX(CustomWeightsGPA,MATCH(W700&amp;":"&amp;N700,CustomWeightsIndex,0))</f>
        <v>0</v>
      </c>
      <c r="AE700">
        <f>INDEX(CustomWeightsSAT,MATCH(W700&amp;":"&amp;N700,CustomWeightsIndex,0))</f>
        <v>0</v>
      </c>
      <c r="AF700">
        <f>INDEX(CustomWeightsIntercept,MATCH(W700&amp;":"&amp;N700,CustomWeightsIndex,0))</f>
        <v>0</v>
      </c>
      <c r="AG700">
        <f>AD700*S700+AE700*T700+AF700</f>
        <v>0</v>
      </c>
      <c r="AH700">
        <f>INDEX(CoefficientsGPA,MATCH(W700&amp;":"&amp;R700,CoefficientsIndex,0))</f>
        <v>0</v>
      </c>
      <c r="AI700">
        <f>INDEX(CoefficientsSAT,MATCH(W700&amp;":"&amp;R700,CoefficientsIndex,0))</f>
        <v>0</v>
      </c>
      <c r="AJ700">
        <f>INDEX(CoefficientsIntercept,MATCH(W700&amp;":"&amp;R700,CoefficientsIndex,0))</f>
        <v>0</v>
      </c>
      <c r="AK700">
        <f>AH700*S700+(T700-AC700)*AI700+AJ700</f>
        <v>0</v>
      </c>
      <c r="AL700">
        <f>IF(ISNUMBER(AG700),AG700,AK700)</f>
        <v>0</v>
      </c>
      <c r="AM700">
        <f>IF(ISNUMBER(AL700),IF(ISNUMBER(AH700),IF(AND(AH700=1,AI700=1,AJ700=1),100,MIN(99,ROUND(100*EXP(AL700)/(1+EXP(AL700)),2))),MIN(99,ROUND(100*EXP(AL700)/(1+EXP(AL700)),2))),IF(ISTEXT(R700),IF(LEFT(R700,1)="2",100,"N/A"),"N/A"))</f>
        <v>0</v>
      </c>
      <c r="AN700">
        <f>IF(ISNUMBER(AM700),IF(AM700&gt;=99,IF(OR(U700=10,U700=11),MatchLabel,SureThingLabel),IF(AM700&gt;=95,SecureLabel,IF(AM700&gt;=80,SafetyLabel,IF(AM700&gt;=50,MatchLabel,IF(AM700&gt;=20,ReachLabel,IF(AM700&gt;=10,LongshotLabel,HailMaryLabel)))))),"Other")</f>
        <v>0</v>
      </c>
      <c r="AO700">
        <f>IF(OR(I700="accepted",I700="cond. accept",I700="summer admit"),IF(J700="yes","CHOICE!","Accepted!"),IF(I700="guar. transfer","Guar. Xfer",IF(I700="denied","Denied",IF(K700=1,"Waitlist",IF(L700=1,"Deferred",IF(G700="pending","Pending",IF(OR(G700="initial materials submitted",G700="mid-year submitted",G700="final submitted"),"Submitted",IF(H700="interest","Interest","?"))))))))</f>
        <v>0</v>
      </c>
      <c r="AP700">
        <f>IF(OR(AN700=ReachLabel,AN700=LongshotLabel,AN700=HailMaryLabel),1,0)</f>
        <v>0</v>
      </c>
      <c r="AQ700">
        <f>IF(OR(AP700=1,AN700=MatchLabel),1,0)</f>
        <v>0</v>
      </c>
      <c r="AR700">
        <f>IF(OR(AN700=MatchLabel,AN700=SafetyLabel,AN700=SecureLabel,AN700=SureThingLabel),1,0)</f>
        <v>0</v>
      </c>
      <c r="AS700">
        <f>IF(OR(W700="H",W700="B",W700="I",W700="M"),IF(ISNUMBER(AB700),ROUND(AB700,2),0),IF(ISNUMBER(AA700),ROUND(AA700,2),0))</f>
        <v>0</v>
      </c>
      <c r="AT700">
        <f>IF(AS700&gt;=X700,1,0)</f>
        <v>0</v>
      </c>
      <c r="AU700">
        <f>IF(AS700&gt;=Y700,1,0)</f>
        <v>0</v>
      </c>
      <c r="AV700">
        <f>IF(AS700&lt;(X700-0.10),1,0)</f>
        <v>0</v>
      </c>
      <c r="AW700">
        <f>1-AM700/100</f>
        <v>0</v>
      </c>
      <c r="AX700">
        <f>IF(AQ700=1,AW700,1)</f>
        <v>0</v>
      </c>
      <c r="AY700">
        <f>IF(AP700=1,AW700,1)</f>
        <v>0</v>
      </c>
      <c r="AZ700">
        <f>IF(AND(AT700=1,ISNUMBER(AW700)),$AW700,1)</f>
        <v>0</v>
      </c>
      <c r="BA700">
        <f>IF(AND(AU700=1,ISNUMBER(AW700)),$AW700,1)</f>
        <v>0</v>
      </c>
      <c r="BB700">
        <f>IF(ISNUMBER(AB700),INDEX(AllCollegeMoney, MATCH(N700,AllCollegeNCES,0)),0)</f>
        <v>0</v>
      </c>
      <c r="BC700">
        <f>IF(AND(AT700=1,ISNUMBER(AW700),BB700=1),$AW700,1)</f>
        <v>0</v>
      </c>
      <c r="BD700">
        <f>IF(AND(AU700=1,ISNUMBER(AW700),BB700=1),$AW700,1)</f>
        <v>0</v>
      </c>
      <c r="BE700">
        <f>IF(ISNUMBER(AB700),INDEX(AllCollegeILPub, MATCH(N700,AllCollegeNCES,0)),0)</f>
        <v>0</v>
      </c>
      <c r="BF700">
        <f>IF(AN700=ReachLabel,AS700,0)</f>
        <v>0</v>
      </c>
      <c r="BG700">
        <f>IF(AN700=MatchLabel,AS700,0)</f>
        <v>0</v>
      </c>
      <c r="BH700">
        <f>IF(AN700=SafetyLabel,AS700,0)</f>
        <v>0</v>
      </c>
      <c r="BI700">
        <f>IF(AN700=SecureLabel,AS700,0)</f>
        <v>0</v>
      </c>
      <c r="BJ700">
        <f>IF(AN700=SureThingLabel,AS700,0)</f>
        <v>0</v>
      </c>
      <c r="BK700">
        <f>MAX(BF700:BJ700)</f>
        <v>0</v>
      </c>
      <c r="BL700">
        <f>MAX(BG700:BJ700)</f>
        <v>0</v>
      </c>
      <c r="BM700">
        <f>MAX(BH700:BJ700)</f>
        <v>0</v>
      </c>
      <c r="BN700">
        <f>IF(AND(AN700=ReachLabel,BB700=1),AS700,0)</f>
        <v>0</v>
      </c>
      <c r="BO700">
        <f>IF(AND(AN700=MatchLabel,BB700=1),AS700,0)</f>
        <v>0</v>
      </c>
      <c r="BP700">
        <f>IF(AND(AN700=SafetyLabel,BB700=1),AS700,0)</f>
        <v>0</v>
      </c>
      <c r="BQ700">
        <f>IF(AND(AN700=SecureLabel,BB700=1),AS700,0)</f>
        <v>0</v>
      </c>
      <c r="BR700">
        <f>IF(AND(AN700=SureThingLabel,BB700=1),AS700,0)</f>
        <v>0</v>
      </c>
      <c r="BS700">
        <f>MAX(BN700:BR700)</f>
        <v>0</v>
      </c>
      <c r="BT700">
        <f>MAX(BO700:BR700)</f>
        <v>0</v>
      </c>
      <c r="BU700">
        <f>MAX(BP700:BR700)</f>
        <v>0</v>
      </c>
      <c r="BV700">
        <f>IF(ISNUMBER(AB700),INDEX(AllCollegeChicago, MATCH(N700,AllCollegeNCES,0))*BB700,0)</f>
        <v>0</v>
      </c>
      <c r="BW700">
        <f>IF(ISNUMBER(AB700),INDEX(AllCollegeMoneyCode, MATCH(N700,AllCollegeNCES,0)),"?")</f>
        <v>0</v>
      </c>
      <c r="BX700">
        <f>IF(OR(BW700="---",BW700="--",BW700="+/--",BW700="+/---"),1,0)</f>
        <v>0</v>
      </c>
      <c r="BY700">
        <f>BB700*AR700*AT700</f>
        <v>0</v>
      </c>
    </row>
    <row r="701" spans="1:77">
      <c r="A701" t="s">
        <v>96</v>
      </c>
      <c r="B701">
        <v>30115187</v>
      </c>
      <c r="C701" t="s">
        <v>138</v>
      </c>
      <c r="D701" t="s">
        <v>139</v>
      </c>
      <c r="E701" t="s">
        <v>446</v>
      </c>
      <c r="F701" t="s">
        <v>486</v>
      </c>
      <c r="G701" t="s">
        <v>448</v>
      </c>
      <c r="H701" t="s">
        <v>449</v>
      </c>
      <c r="I701" t="s">
        <v>450</v>
      </c>
      <c r="J701" t="s">
        <v>450</v>
      </c>
      <c r="K701">
        <v>0</v>
      </c>
      <c r="L701" t="s">
        <v>446</v>
      </c>
      <c r="M701" t="s">
        <v>446</v>
      </c>
      <c r="N701">
        <v>206589</v>
      </c>
      <c r="O701">
        <f>INDEX(Counselor,MATCH(B701,KidIDs,0))</f>
        <v>0</v>
      </c>
      <c r="P701">
        <f>INDEX(Advisors,MATCH(B701,KidIDs,0))</f>
        <v>0</v>
      </c>
      <c r="Q701">
        <f>INDEX(Cohort,MATCH(B701,KidIDs,0))</f>
        <v>0</v>
      </c>
      <c r="R701">
        <f>INDEX(AllCollegeBarrons,MATCH(N701,AllCollegeNCES,0))</f>
        <v>0</v>
      </c>
      <c r="S701">
        <f>INDEX(KidGPAs,MATCH(B701,KidIDs,0))</f>
        <v>0</v>
      </c>
      <c r="T701">
        <f>INDEX(KidSATs,MATCH(B701,KidIDs,0))</f>
        <v>0</v>
      </c>
      <c r="U701">
        <f>INDEX(Strats,MATCH(B701,KidIDs,0))</f>
        <v>0</v>
      </c>
      <c r="V701">
        <f>INDEX(KidRace,MATCH(B701,KidIDs,0))</f>
        <v>0</v>
      </c>
      <c r="W701">
        <f>IF(OR(V701="M",V701="I"),"H",IF(V701="P","A",V701))</f>
        <v>0</v>
      </c>
      <c r="X701">
        <f>INDEX(StudentTargets,MATCH(B701,KidIDs,0))</f>
        <v>0</v>
      </c>
      <c r="Y701">
        <f>INDEX(ReachStudentTargets,MATCH(B701,KidIDs,0))</f>
        <v>0</v>
      </c>
      <c r="Z701">
        <f>IF(OR(M701="Posse"),1,0)</f>
        <v>0</v>
      </c>
      <c r="AA701">
        <f>IF(ISNUMBER(INDEX(AllCollegeGR, MATCH(N701,AllCollegeNCES,0))),ROUND(INDEX(AllCollegeGR, MATCH(N701,AllCollegeNCES,0))+Z701*IF(INDEX(AllCollegeGR, MATCH(N701,AllCollegeNCES,0))&gt;0.7,(1-INDEX(AllCollegeGR, MATCH(N701,AllCollegeNCES,0)))/2,0.15),2),INDEX(AllCollegeGR, MATCH(N701,AllCollegeNCES,0)))</f>
        <v>0</v>
      </c>
      <c r="AB701">
        <f>IF(ISNUMBER(INDEX(AllCollegeAAHGR, MATCH(N701,AllCollegeNCES,0))),ROUND(INDEX(AllCollegeAAHGR, MATCH(N701,AllCollegeNCES,0))+Z701*IF(INDEX(AllCollegeAAHGR, MATCH(N701,AllCollegeNCES,0))&gt;0.7,(1-INDEX(AllCollegeAAHGR, MATCH(N701,AllCollegeNCES,0)))/2,0.15),2),INDEX(AllCollegeAAHGR, MATCH(N701,AllCollegeNCES,0)))</f>
        <v>0</v>
      </c>
      <c r="AC701">
        <f>IF(OR(W701="H",W701="B"),INDEX(AllCollegeSAT25, MATCH(N701,AllCollegeNCES,0)),INDEX(AllCollegeSAT50, MATCH(N701,AllCollegeNCES,0)))</f>
        <v>0</v>
      </c>
      <c r="AD701">
        <f>INDEX(CustomWeightsGPA,MATCH(W701&amp;":"&amp;N701,CustomWeightsIndex,0))</f>
        <v>0</v>
      </c>
      <c r="AE701">
        <f>INDEX(CustomWeightsSAT,MATCH(W701&amp;":"&amp;N701,CustomWeightsIndex,0))</f>
        <v>0</v>
      </c>
      <c r="AF701">
        <f>INDEX(CustomWeightsIntercept,MATCH(W701&amp;":"&amp;N701,CustomWeightsIndex,0))</f>
        <v>0</v>
      </c>
      <c r="AG701">
        <f>AD701*S701+AE701*T701+AF701</f>
        <v>0</v>
      </c>
      <c r="AH701">
        <f>INDEX(CoefficientsGPA,MATCH(W701&amp;":"&amp;R701,CoefficientsIndex,0))</f>
        <v>0</v>
      </c>
      <c r="AI701">
        <f>INDEX(CoefficientsSAT,MATCH(W701&amp;":"&amp;R701,CoefficientsIndex,0))</f>
        <v>0</v>
      </c>
      <c r="AJ701">
        <f>INDEX(CoefficientsIntercept,MATCH(W701&amp;":"&amp;R701,CoefficientsIndex,0))</f>
        <v>0</v>
      </c>
      <c r="AK701">
        <f>AH701*S701+(T701-AC701)*AI701+AJ701</f>
        <v>0</v>
      </c>
      <c r="AL701">
        <f>IF(ISNUMBER(AG701),AG701,AK701)</f>
        <v>0</v>
      </c>
      <c r="AM701">
        <f>IF(ISNUMBER(AL701),IF(ISNUMBER(AH701),IF(AND(AH701=1,AI701=1,AJ701=1),100,MIN(99,ROUND(100*EXP(AL701)/(1+EXP(AL701)),2))),MIN(99,ROUND(100*EXP(AL701)/(1+EXP(AL701)),2))),IF(ISTEXT(R701),IF(LEFT(R701,1)="2",100,"N/A"),"N/A"))</f>
        <v>0</v>
      </c>
      <c r="AN701">
        <f>IF(ISNUMBER(AM701),IF(AM701&gt;=99,IF(OR(U701=10,U701=11),MatchLabel,SureThingLabel),IF(AM701&gt;=95,SecureLabel,IF(AM701&gt;=80,SafetyLabel,IF(AM701&gt;=50,MatchLabel,IF(AM701&gt;=20,ReachLabel,IF(AM701&gt;=10,LongshotLabel,HailMaryLabel)))))),"Other")</f>
        <v>0</v>
      </c>
      <c r="AO701">
        <f>IF(OR(I701="accepted",I701="cond. accept",I701="summer admit"),IF(J701="yes","CHOICE!","Accepted!"),IF(I701="guar. transfer","Guar. Xfer",IF(I701="denied","Denied",IF(K701=1,"Waitlist",IF(L701=1,"Deferred",IF(G701="pending","Pending",IF(OR(G701="initial materials submitted",G701="mid-year submitted",G701="final submitted"),"Submitted",IF(H701="interest","Interest","?"))))))))</f>
        <v>0</v>
      </c>
      <c r="AP701">
        <f>IF(OR(AN701=ReachLabel,AN701=LongshotLabel,AN701=HailMaryLabel),1,0)</f>
        <v>0</v>
      </c>
      <c r="AQ701">
        <f>IF(OR(AP701=1,AN701=MatchLabel),1,0)</f>
        <v>0</v>
      </c>
      <c r="AR701">
        <f>IF(OR(AN701=MatchLabel,AN701=SafetyLabel,AN701=SecureLabel,AN701=SureThingLabel),1,0)</f>
        <v>0</v>
      </c>
      <c r="AS701">
        <f>IF(OR(W701="H",W701="B",W701="I",W701="M"),IF(ISNUMBER(AB701),ROUND(AB701,2),0),IF(ISNUMBER(AA701),ROUND(AA701,2),0))</f>
        <v>0</v>
      </c>
      <c r="AT701">
        <f>IF(AS701&gt;=X701,1,0)</f>
        <v>0</v>
      </c>
      <c r="AU701">
        <f>IF(AS701&gt;=Y701,1,0)</f>
        <v>0</v>
      </c>
      <c r="AV701">
        <f>IF(AS701&lt;(X701-0.10),1,0)</f>
        <v>0</v>
      </c>
      <c r="AW701">
        <f>1-AM701/100</f>
        <v>0</v>
      </c>
      <c r="AX701">
        <f>IF(AQ701=1,AW701,1)</f>
        <v>0</v>
      </c>
      <c r="AY701">
        <f>IF(AP701=1,AW701,1)</f>
        <v>0</v>
      </c>
      <c r="AZ701">
        <f>IF(AND(AT701=1,ISNUMBER(AW701)),$AW701,1)</f>
        <v>0</v>
      </c>
      <c r="BA701">
        <f>IF(AND(AU701=1,ISNUMBER(AW701)),$AW701,1)</f>
        <v>0</v>
      </c>
      <c r="BB701">
        <f>IF(ISNUMBER(AB701),INDEX(AllCollegeMoney, MATCH(N701,AllCollegeNCES,0)),0)</f>
        <v>0</v>
      </c>
      <c r="BC701">
        <f>IF(AND(AT701=1,ISNUMBER(AW701),BB701=1),$AW701,1)</f>
        <v>0</v>
      </c>
      <c r="BD701">
        <f>IF(AND(AU701=1,ISNUMBER(AW701),BB701=1),$AW701,1)</f>
        <v>0</v>
      </c>
      <c r="BE701">
        <f>IF(ISNUMBER(AB701),INDEX(AllCollegeILPub, MATCH(N701,AllCollegeNCES,0)),0)</f>
        <v>0</v>
      </c>
      <c r="BF701">
        <f>IF(AN701=ReachLabel,AS701,0)</f>
        <v>0</v>
      </c>
      <c r="BG701">
        <f>IF(AN701=MatchLabel,AS701,0)</f>
        <v>0</v>
      </c>
      <c r="BH701">
        <f>IF(AN701=SafetyLabel,AS701,0)</f>
        <v>0</v>
      </c>
      <c r="BI701">
        <f>IF(AN701=SecureLabel,AS701,0)</f>
        <v>0</v>
      </c>
      <c r="BJ701">
        <f>IF(AN701=SureThingLabel,AS701,0)</f>
        <v>0</v>
      </c>
      <c r="BK701">
        <f>MAX(BF701:BJ701)</f>
        <v>0</v>
      </c>
      <c r="BL701">
        <f>MAX(BG701:BJ701)</f>
        <v>0</v>
      </c>
      <c r="BM701">
        <f>MAX(BH701:BJ701)</f>
        <v>0</v>
      </c>
      <c r="BN701">
        <f>IF(AND(AN701=ReachLabel,BB701=1),AS701,0)</f>
        <v>0</v>
      </c>
      <c r="BO701">
        <f>IF(AND(AN701=MatchLabel,BB701=1),AS701,0)</f>
        <v>0</v>
      </c>
      <c r="BP701">
        <f>IF(AND(AN701=SafetyLabel,BB701=1),AS701,0)</f>
        <v>0</v>
      </c>
      <c r="BQ701">
        <f>IF(AND(AN701=SecureLabel,BB701=1),AS701,0)</f>
        <v>0</v>
      </c>
      <c r="BR701">
        <f>IF(AND(AN701=SureThingLabel,BB701=1),AS701,0)</f>
        <v>0</v>
      </c>
      <c r="BS701">
        <f>MAX(BN701:BR701)</f>
        <v>0</v>
      </c>
      <c r="BT701">
        <f>MAX(BO701:BR701)</f>
        <v>0</v>
      </c>
      <c r="BU701">
        <f>MAX(BP701:BR701)</f>
        <v>0</v>
      </c>
      <c r="BV701">
        <f>IF(ISNUMBER(AB701),INDEX(AllCollegeChicago, MATCH(N701,AllCollegeNCES,0))*BB701,0)</f>
        <v>0</v>
      </c>
      <c r="BW701">
        <f>IF(ISNUMBER(AB701),INDEX(AllCollegeMoneyCode, MATCH(N701,AllCollegeNCES,0)),"?")</f>
        <v>0</v>
      </c>
      <c r="BX701">
        <f>IF(OR(BW701="---",BW701="--",BW701="+/--",BW701="+/---"),1,0)</f>
        <v>0</v>
      </c>
      <c r="BY701">
        <f>BB701*AR701*AT701</f>
        <v>0</v>
      </c>
    </row>
    <row r="702" spans="1:77">
      <c r="A702" t="s">
        <v>96</v>
      </c>
      <c r="B702">
        <v>30115187</v>
      </c>
      <c r="C702" t="s">
        <v>138</v>
      </c>
      <c r="D702" t="s">
        <v>139</v>
      </c>
      <c r="E702" t="s">
        <v>446</v>
      </c>
      <c r="F702" t="s">
        <v>601</v>
      </c>
      <c r="G702" t="s">
        <v>448</v>
      </c>
      <c r="H702" t="s">
        <v>449</v>
      </c>
      <c r="I702" t="s">
        <v>450</v>
      </c>
      <c r="J702" t="s">
        <v>450</v>
      </c>
      <c r="K702">
        <v>0</v>
      </c>
      <c r="L702" t="s">
        <v>446</v>
      </c>
      <c r="M702" t="s">
        <v>446</v>
      </c>
      <c r="N702">
        <v>195030</v>
      </c>
      <c r="O702">
        <f>INDEX(Counselor,MATCH(B702,KidIDs,0))</f>
        <v>0</v>
      </c>
      <c r="P702">
        <f>INDEX(Advisors,MATCH(B702,KidIDs,0))</f>
        <v>0</v>
      </c>
      <c r="Q702">
        <f>INDEX(Cohort,MATCH(B702,KidIDs,0))</f>
        <v>0</v>
      </c>
      <c r="R702">
        <f>INDEX(AllCollegeBarrons,MATCH(N702,AllCollegeNCES,0))</f>
        <v>0</v>
      </c>
      <c r="S702">
        <f>INDEX(KidGPAs,MATCH(B702,KidIDs,0))</f>
        <v>0</v>
      </c>
      <c r="T702">
        <f>INDEX(KidSATs,MATCH(B702,KidIDs,0))</f>
        <v>0</v>
      </c>
      <c r="U702">
        <f>INDEX(Strats,MATCH(B702,KidIDs,0))</f>
        <v>0</v>
      </c>
      <c r="V702">
        <f>INDEX(KidRace,MATCH(B702,KidIDs,0))</f>
        <v>0</v>
      </c>
      <c r="W702">
        <f>IF(OR(V702="M",V702="I"),"H",IF(V702="P","A",V702))</f>
        <v>0</v>
      </c>
      <c r="X702">
        <f>INDEX(StudentTargets,MATCH(B702,KidIDs,0))</f>
        <v>0</v>
      </c>
      <c r="Y702">
        <f>INDEX(ReachStudentTargets,MATCH(B702,KidIDs,0))</f>
        <v>0</v>
      </c>
      <c r="Z702">
        <f>IF(OR(M702="Posse"),1,0)</f>
        <v>0</v>
      </c>
      <c r="AA702">
        <f>IF(ISNUMBER(INDEX(AllCollegeGR, MATCH(N702,AllCollegeNCES,0))),ROUND(INDEX(AllCollegeGR, MATCH(N702,AllCollegeNCES,0))+Z702*IF(INDEX(AllCollegeGR, MATCH(N702,AllCollegeNCES,0))&gt;0.7,(1-INDEX(AllCollegeGR, MATCH(N702,AllCollegeNCES,0)))/2,0.15),2),INDEX(AllCollegeGR, MATCH(N702,AllCollegeNCES,0)))</f>
        <v>0</v>
      </c>
      <c r="AB702">
        <f>IF(ISNUMBER(INDEX(AllCollegeAAHGR, MATCH(N702,AllCollegeNCES,0))),ROUND(INDEX(AllCollegeAAHGR, MATCH(N702,AllCollegeNCES,0))+Z702*IF(INDEX(AllCollegeAAHGR, MATCH(N702,AllCollegeNCES,0))&gt;0.7,(1-INDEX(AllCollegeAAHGR, MATCH(N702,AllCollegeNCES,0)))/2,0.15),2),INDEX(AllCollegeAAHGR, MATCH(N702,AllCollegeNCES,0)))</f>
        <v>0</v>
      </c>
      <c r="AC702">
        <f>IF(OR(W702="H",W702="B"),INDEX(AllCollegeSAT25, MATCH(N702,AllCollegeNCES,0)),INDEX(AllCollegeSAT50, MATCH(N702,AllCollegeNCES,0)))</f>
        <v>0</v>
      </c>
      <c r="AD702">
        <f>INDEX(CustomWeightsGPA,MATCH(W702&amp;":"&amp;N702,CustomWeightsIndex,0))</f>
        <v>0</v>
      </c>
      <c r="AE702">
        <f>INDEX(CustomWeightsSAT,MATCH(W702&amp;":"&amp;N702,CustomWeightsIndex,0))</f>
        <v>0</v>
      </c>
      <c r="AF702">
        <f>INDEX(CustomWeightsIntercept,MATCH(W702&amp;":"&amp;N702,CustomWeightsIndex,0))</f>
        <v>0</v>
      </c>
      <c r="AG702">
        <f>AD702*S702+AE702*T702+AF702</f>
        <v>0</v>
      </c>
      <c r="AH702">
        <f>INDEX(CoefficientsGPA,MATCH(W702&amp;":"&amp;R702,CoefficientsIndex,0))</f>
        <v>0</v>
      </c>
      <c r="AI702">
        <f>INDEX(CoefficientsSAT,MATCH(W702&amp;":"&amp;R702,CoefficientsIndex,0))</f>
        <v>0</v>
      </c>
      <c r="AJ702">
        <f>INDEX(CoefficientsIntercept,MATCH(W702&amp;":"&amp;R702,CoefficientsIndex,0))</f>
        <v>0</v>
      </c>
      <c r="AK702">
        <f>AH702*S702+(T702-AC702)*AI702+AJ702</f>
        <v>0</v>
      </c>
      <c r="AL702">
        <f>IF(ISNUMBER(AG702),AG702,AK702)</f>
        <v>0</v>
      </c>
      <c r="AM702">
        <f>IF(ISNUMBER(AL702),IF(ISNUMBER(AH702),IF(AND(AH702=1,AI702=1,AJ702=1),100,MIN(99,ROUND(100*EXP(AL702)/(1+EXP(AL702)),2))),MIN(99,ROUND(100*EXP(AL702)/(1+EXP(AL702)),2))),IF(ISTEXT(R702),IF(LEFT(R702,1)="2",100,"N/A"),"N/A"))</f>
        <v>0</v>
      </c>
      <c r="AN702">
        <f>IF(ISNUMBER(AM702),IF(AM702&gt;=99,IF(OR(U702=10,U702=11),MatchLabel,SureThingLabel),IF(AM702&gt;=95,SecureLabel,IF(AM702&gt;=80,SafetyLabel,IF(AM702&gt;=50,MatchLabel,IF(AM702&gt;=20,ReachLabel,IF(AM702&gt;=10,LongshotLabel,HailMaryLabel)))))),"Other")</f>
        <v>0</v>
      </c>
      <c r="AO702">
        <f>IF(OR(I702="accepted",I702="cond. accept",I702="summer admit"),IF(J702="yes","CHOICE!","Accepted!"),IF(I702="guar. transfer","Guar. Xfer",IF(I702="denied","Denied",IF(K702=1,"Waitlist",IF(L702=1,"Deferred",IF(G702="pending","Pending",IF(OR(G702="initial materials submitted",G702="mid-year submitted",G702="final submitted"),"Submitted",IF(H702="interest","Interest","?"))))))))</f>
        <v>0</v>
      </c>
      <c r="AP702">
        <f>IF(OR(AN702=ReachLabel,AN702=LongshotLabel,AN702=HailMaryLabel),1,0)</f>
        <v>0</v>
      </c>
      <c r="AQ702">
        <f>IF(OR(AP702=1,AN702=MatchLabel),1,0)</f>
        <v>0</v>
      </c>
      <c r="AR702">
        <f>IF(OR(AN702=MatchLabel,AN702=SafetyLabel,AN702=SecureLabel,AN702=SureThingLabel),1,0)</f>
        <v>0</v>
      </c>
      <c r="AS702">
        <f>IF(OR(W702="H",W702="B",W702="I",W702="M"),IF(ISNUMBER(AB702),ROUND(AB702,2),0),IF(ISNUMBER(AA702),ROUND(AA702,2),0))</f>
        <v>0</v>
      </c>
      <c r="AT702">
        <f>IF(AS702&gt;=X702,1,0)</f>
        <v>0</v>
      </c>
      <c r="AU702">
        <f>IF(AS702&gt;=Y702,1,0)</f>
        <v>0</v>
      </c>
      <c r="AV702">
        <f>IF(AS702&lt;(X702-0.10),1,0)</f>
        <v>0</v>
      </c>
      <c r="AW702">
        <f>1-AM702/100</f>
        <v>0</v>
      </c>
      <c r="AX702">
        <f>IF(AQ702=1,AW702,1)</f>
        <v>0</v>
      </c>
      <c r="AY702">
        <f>IF(AP702=1,AW702,1)</f>
        <v>0</v>
      </c>
      <c r="AZ702">
        <f>IF(AND(AT702=1,ISNUMBER(AW702)),$AW702,1)</f>
        <v>0</v>
      </c>
      <c r="BA702">
        <f>IF(AND(AU702=1,ISNUMBER(AW702)),$AW702,1)</f>
        <v>0</v>
      </c>
      <c r="BB702">
        <f>IF(ISNUMBER(AB702),INDEX(AllCollegeMoney, MATCH(N702,AllCollegeNCES,0)),0)</f>
        <v>0</v>
      </c>
      <c r="BC702">
        <f>IF(AND(AT702=1,ISNUMBER(AW702),BB702=1),$AW702,1)</f>
        <v>0</v>
      </c>
      <c r="BD702">
        <f>IF(AND(AU702=1,ISNUMBER(AW702),BB702=1),$AW702,1)</f>
        <v>0</v>
      </c>
      <c r="BE702">
        <f>IF(ISNUMBER(AB702),INDEX(AllCollegeILPub, MATCH(N702,AllCollegeNCES,0)),0)</f>
        <v>0</v>
      </c>
      <c r="BF702">
        <f>IF(AN702=ReachLabel,AS702,0)</f>
        <v>0</v>
      </c>
      <c r="BG702">
        <f>IF(AN702=MatchLabel,AS702,0)</f>
        <v>0</v>
      </c>
      <c r="BH702">
        <f>IF(AN702=SafetyLabel,AS702,0)</f>
        <v>0</v>
      </c>
      <c r="BI702">
        <f>IF(AN702=SecureLabel,AS702,0)</f>
        <v>0</v>
      </c>
      <c r="BJ702">
        <f>IF(AN702=SureThingLabel,AS702,0)</f>
        <v>0</v>
      </c>
      <c r="BK702">
        <f>MAX(BF702:BJ702)</f>
        <v>0</v>
      </c>
      <c r="BL702">
        <f>MAX(BG702:BJ702)</f>
        <v>0</v>
      </c>
      <c r="BM702">
        <f>MAX(BH702:BJ702)</f>
        <v>0</v>
      </c>
      <c r="BN702">
        <f>IF(AND(AN702=ReachLabel,BB702=1),AS702,0)</f>
        <v>0</v>
      </c>
      <c r="BO702">
        <f>IF(AND(AN702=MatchLabel,BB702=1),AS702,0)</f>
        <v>0</v>
      </c>
      <c r="BP702">
        <f>IF(AND(AN702=SafetyLabel,BB702=1),AS702,0)</f>
        <v>0</v>
      </c>
      <c r="BQ702">
        <f>IF(AND(AN702=SecureLabel,BB702=1),AS702,0)</f>
        <v>0</v>
      </c>
      <c r="BR702">
        <f>IF(AND(AN702=SureThingLabel,BB702=1),AS702,0)</f>
        <v>0</v>
      </c>
      <c r="BS702">
        <f>MAX(BN702:BR702)</f>
        <v>0</v>
      </c>
      <c r="BT702">
        <f>MAX(BO702:BR702)</f>
        <v>0</v>
      </c>
      <c r="BU702">
        <f>MAX(BP702:BR702)</f>
        <v>0</v>
      </c>
      <c r="BV702">
        <f>IF(ISNUMBER(AB702),INDEX(AllCollegeChicago, MATCH(N702,AllCollegeNCES,0))*BB702,0)</f>
        <v>0</v>
      </c>
      <c r="BW702">
        <f>IF(ISNUMBER(AB702),INDEX(AllCollegeMoneyCode, MATCH(N702,AllCollegeNCES,0)),"?")</f>
        <v>0</v>
      </c>
      <c r="BX702">
        <f>IF(OR(BW702="---",BW702="--",BW702="+/--",BW702="+/---"),1,0)</f>
        <v>0</v>
      </c>
      <c r="BY702">
        <f>BB702*AR702*AT702</f>
        <v>0</v>
      </c>
    </row>
    <row r="703" spans="1:77">
      <c r="A703" t="s">
        <v>96</v>
      </c>
      <c r="B703">
        <v>30115187</v>
      </c>
      <c r="C703" t="s">
        <v>138</v>
      </c>
      <c r="D703" t="s">
        <v>139</v>
      </c>
      <c r="E703" t="s">
        <v>446</v>
      </c>
      <c r="F703" t="s">
        <v>475</v>
      </c>
      <c r="G703" t="s">
        <v>479</v>
      </c>
      <c r="H703" t="s">
        <v>449</v>
      </c>
      <c r="I703" t="s">
        <v>450</v>
      </c>
      <c r="J703" t="s">
        <v>450</v>
      </c>
      <c r="K703">
        <v>0</v>
      </c>
      <c r="L703" t="s">
        <v>446</v>
      </c>
      <c r="M703" t="s">
        <v>446</v>
      </c>
      <c r="N703">
        <v>145637</v>
      </c>
      <c r="O703">
        <f>INDEX(Counselor,MATCH(B703,KidIDs,0))</f>
        <v>0</v>
      </c>
      <c r="P703">
        <f>INDEX(Advisors,MATCH(B703,KidIDs,0))</f>
        <v>0</v>
      </c>
      <c r="Q703">
        <f>INDEX(Cohort,MATCH(B703,KidIDs,0))</f>
        <v>0</v>
      </c>
      <c r="R703">
        <f>INDEX(AllCollegeBarrons,MATCH(N703,AllCollegeNCES,0))</f>
        <v>0</v>
      </c>
      <c r="S703">
        <f>INDEX(KidGPAs,MATCH(B703,KidIDs,0))</f>
        <v>0</v>
      </c>
      <c r="T703">
        <f>INDEX(KidSATs,MATCH(B703,KidIDs,0))</f>
        <v>0</v>
      </c>
      <c r="U703">
        <f>INDEX(Strats,MATCH(B703,KidIDs,0))</f>
        <v>0</v>
      </c>
      <c r="V703">
        <f>INDEX(KidRace,MATCH(B703,KidIDs,0))</f>
        <v>0</v>
      </c>
      <c r="W703">
        <f>IF(OR(V703="M",V703="I"),"H",IF(V703="P","A",V703))</f>
        <v>0</v>
      </c>
      <c r="X703">
        <f>INDEX(StudentTargets,MATCH(B703,KidIDs,0))</f>
        <v>0</v>
      </c>
      <c r="Y703">
        <f>INDEX(ReachStudentTargets,MATCH(B703,KidIDs,0))</f>
        <v>0</v>
      </c>
      <c r="Z703">
        <f>IF(OR(M703="Posse"),1,0)</f>
        <v>0</v>
      </c>
      <c r="AA703">
        <f>IF(ISNUMBER(INDEX(AllCollegeGR, MATCH(N703,AllCollegeNCES,0))),ROUND(INDEX(AllCollegeGR, MATCH(N703,AllCollegeNCES,0))+Z703*IF(INDEX(AllCollegeGR, MATCH(N703,AllCollegeNCES,0))&gt;0.7,(1-INDEX(AllCollegeGR, MATCH(N703,AllCollegeNCES,0)))/2,0.15),2),INDEX(AllCollegeGR, MATCH(N703,AllCollegeNCES,0)))</f>
        <v>0</v>
      </c>
      <c r="AB703">
        <f>IF(ISNUMBER(INDEX(AllCollegeAAHGR, MATCH(N703,AllCollegeNCES,0))),ROUND(INDEX(AllCollegeAAHGR, MATCH(N703,AllCollegeNCES,0))+Z703*IF(INDEX(AllCollegeAAHGR, MATCH(N703,AllCollegeNCES,0))&gt;0.7,(1-INDEX(AllCollegeAAHGR, MATCH(N703,AllCollegeNCES,0)))/2,0.15),2),INDEX(AllCollegeAAHGR, MATCH(N703,AllCollegeNCES,0)))</f>
        <v>0</v>
      </c>
      <c r="AC703">
        <f>IF(OR(W703="H",W703="B"),INDEX(AllCollegeSAT25, MATCH(N703,AllCollegeNCES,0)),INDEX(AllCollegeSAT50, MATCH(N703,AllCollegeNCES,0)))</f>
        <v>0</v>
      </c>
      <c r="AD703">
        <f>INDEX(CustomWeightsGPA,MATCH(W703&amp;":"&amp;N703,CustomWeightsIndex,0))</f>
        <v>0</v>
      </c>
      <c r="AE703">
        <f>INDEX(CustomWeightsSAT,MATCH(W703&amp;":"&amp;N703,CustomWeightsIndex,0))</f>
        <v>0</v>
      </c>
      <c r="AF703">
        <f>INDEX(CustomWeightsIntercept,MATCH(W703&amp;":"&amp;N703,CustomWeightsIndex,0))</f>
        <v>0</v>
      </c>
      <c r="AG703">
        <f>AD703*S703+AE703*T703+AF703</f>
        <v>0</v>
      </c>
      <c r="AH703">
        <f>INDEX(CoefficientsGPA,MATCH(W703&amp;":"&amp;R703,CoefficientsIndex,0))</f>
        <v>0</v>
      </c>
      <c r="AI703">
        <f>INDEX(CoefficientsSAT,MATCH(W703&amp;":"&amp;R703,CoefficientsIndex,0))</f>
        <v>0</v>
      </c>
      <c r="AJ703">
        <f>INDEX(CoefficientsIntercept,MATCH(W703&amp;":"&amp;R703,CoefficientsIndex,0))</f>
        <v>0</v>
      </c>
      <c r="AK703">
        <f>AH703*S703+(T703-AC703)*AI703+AJ703</f>
        <v>0</v>
      </c>
      <c r="AL703">
        <f>IF(ISNUMBER(AG703),AG703,AK703)</f>
        <v>0</v>
      </c>
      <c r="AM703">
        <f>IF(ISNUMBER(AL703),IF(ISNUMBER(AH703),IF(AND(AH703=1,AI703=1,AJ703=1),100,MIN(99,ROUND(100*EXP(AL703)/(1+EXP(AL703)),2))),MIN(99,ROUND(100*EXP(AL703)/(1+EXP(AL703)),2))),IF(ISTEXT(R703),IF(LEFT(R703,1)="2",100,"N/A"),"N/A"))</f>
        <v>0</v>
      </c>
      <c r="AN703">
        <f>IF(ISNUMBER(AM703),IF(AM703&gt;=99,IF(OR(U703=10,U703=11),MatchLabel,SureThingLabel),IF(AM703&gt;=95,SecureLabel,IF(AM703&gt;=80,SafetyLabel,IF(AM703&gt;=50,MatchLabel,IF(AM703&gt;=20,ReachLabel,IF(AM703&gt;=10,LongshotLabel,HailMaryLabel)))))),"Other")</f>
        <v>0</v>
      </c>
      <c r="AO703">
        <f>IF(OR(I703="accepted",I703="cond. accept",I703="summer admit"),IF(J703="yes","CHOICE!","Accepted!"),IF(I703="guar. transfer","Guar. Xfer",IF(I703="denied","Denied",IF(K703=1,"Waitlist",IF(L703=1,"Deferred",IF(G703="pending","Pending",IF(OR(G703="initial materials submitted",G703="mid-year submitted",G703="final submitted"),"Submitted",IF(H703="interest","Interest","?"))))))))</f>
        <v>0</v>
      </c>
      <c r="AP703">
        <f>IF(OR(AN703=ReachLabel,AN703=LongshotLabel,AN703=HailMaryLabel),1,0)</f>
        <v>0</v>
      </c>
      <c r="AQ703">
        <f>IF(OR(AP703=1,AN703=MatchLabel),1,0)</f>
        <v>0</v>
      </c>
      <c r="AR703">
        <f>IF(OR(AN703=MatchLabel,AN703=SafetyLabel,AN703=SecureLabel,AN703=SureThingLabel),1,0)</f>
        <v>0</v>
      </c>
      <c r="AS703">
        <f>IF(OR(W703="H",W703="B",W703="I",W703="M"),IF(ISNUMBER(AB703),ROUND(AB703,2),0),IF(ISNUMBER(AA703),ROUND(AA703,2),0))</f>
        <v>0</v>
      </c>
      <c r="AT703">
        <f>IF(AS703&gt;=X703,1,0)</f>
        <v>0</v>
      </c>
      <c r="AU703">
        <f>IF(AS703&gt;=Y703,1,0)</f>
        <v>0</v>
      </c>
      <c r="AV703">
        <f>IF(AS703&lt;(X703-0.10),1,0)</f>
        <v>0</v>
      </c>
      <c r="AW703">
        <f>1-AM703/100</f>
        <v>0</v>
      </c>
      <c r="AX703">
        <f>IF(AQ703=1,AW703,1)</f>
        <v>0</v>
      </c>
      <c r="AY703">
        <f>IF(AP703=1,AW703,1)</f>
        <v>0</v>
      </c>
      <c r="AZ703">
        <f>IF(AND(AT703=1,ISNUMBER(AW703)),$AW703,1)</f>
        <v>0</v>
      </c>
      <c r="BA703">
        <f>IF(AND(AU703=1,ISNUMBER(AW703)),$AW703,1)</f>
        <v>0</v>
      </c>
      <c r="BB703">
        <f>IF(ISNUMBER(AB703),INDEX(AllCollegeMoney, MATCH(N703,AllCollegeNCES,0)),0)</f>
        <v>0</v>
      </c>
      <c r="BC703">
        <f>IF(AND(AT703=1,ISNUMBER(AW703),BB703=1),$AW703,1)</f>
        <v>0</v>
      </c>
      <c r="BD703">
        <f>IF(AND(AU703=1,ISNUMBER(AW703),BB703=1),$AW703,1)</f>
        <v>0</v>
      </c>
      <c r="BE703">
        <f>IF(ISNUMBER(AB703),INDEX(AllCollegeILPub, MATCH(N703,AllCollegeNCES,0)),0)</f>
        <v>0</v>
      </c>
      <c r="BF703">
        <f>IF(AN703=ReachLabel,AS703,0)</f>
        <v>0</v>
      </c>
      <c r="BG703">
        <f>IF(AN703=MatchLabel,AS703,0)</f>
        <v>0</v>
      </c>
      <c r="BH703">
        <f>IF(AN703=SafetyLabel,AS703,0)</f>
        <v>0</v>
      </c>
      <c r="BI703">
        <f>IF(AN703=SecureLabel,AS703,0)</f>
        <v>0</v>
      </c>
      <c r="BJ703">
        <f>IF(AN703=SureThingLabel,AS703,0)</f>
        <v>0</v>
      </c>
      <c r="BK703">
        <f>MAX(BF703:BJ703)</f>
        <v>0</v>
      </c>
      <c r="BL703">
        <f>MAX(BG703:BJ703)</f>
        <v>0</v>
      </c>
      <c r="BM703">
        <f>MAX(BH703:BJ703)</f>
        <v>0</v>
      </c>
      <c r="BN703">
        <f>IF(AND(AN703=ReachLabel,BB703=1),AS703,0)</f>
        <v>0</v>
      </c>
      <c r="BO703">
        <f>IF(AND(AN703=MatchLabel,BB703=1),AS703,0)</f>
        <v>0</v>
      </c>
      <c r="BP703">
        <f>IF(AND(AN703=SafetyLabel,BB703=1),AS703,0)</f>
        <v>0</v>
      </c>
      <c r="BQ703">
        <f>IF(AND(AN703=SecureLabel,BB703=1),AS703,0)</f>
        <v>0</v>
      </c>
      <c r="BR703">
        <f>IF(AND(AN703=SureThingLabel,BB703=1),AS703,0)</f>
        <v>0</v>
      </c>
      <c r="BS703">
        <f>MAX(BN703:BR703)</f>
        <v>0</v>
      </c>
      <c r="BT703">
        <f>MAX(BO703:BR703)</f>
        <v>0</v>
      </c>
      <c r="BU703">
        <f>MAX(BP703:BR703)</f>
        <v>0</v>
      </c>
      <c r="BV703">
        <f>IF(ISNUMBER(AB703),INDEX(AllCollegeChicago, MATCH(N703,AllCollegeNCES,0))*BB703,0)</f>
        <v>0</v>
      </c>
      <c r="BW703">
        <f>IF(ISNUMBER(AB703),INDEX(AllCollegeMoneyCode, MATCH(N703,AllCollegeNCES,0)),"?")</f>
        <v>0</v>
      </c>
      <c r="BX703">
        <f>IF(OR(BW703="---",BW703="--",BW703="+/--",BW703="+/---"),1,0)</f>
        <v>0</v>
      </c>
      <c r="BY703">
        <f>BB703*AR703*AT703</f>
        <v>0</v>
      </c>
    </row>
    <row r="704" spans="1:77">
      <c r="A704" t="s">
        <v>96</v>
      </c>
      <c r="B704">
        <v>30115187</v>
      </c>
      <c r="C704" t="s">
        <v>138</v>
      </c>
      <c r="D704" t="s">
        <v>139</v>
      </c>
      <c r="E704" t="s">
        <v>446</v>
      </c>
      <c r="F704" t="s">
        <v>477</v>
      </c>
      <c r="G704" t="s">
        <v>448</v>
      </c>
      <c r="H704" t="s">
        <v>449</v>
      </c>
      <c r="I704" t="s">
        <v>450</v>
      </c>
      <c r="J704" t="s">
        <v>450</v>
      </c>
      <c r="K704">
        <v>0</v>
      </c>
      <c r="L704" t="s">
        <v>446</v>
      </c>
      <c r="M704" t="s">
        <v>446</v>
      </c>
      <c r="N704">
        <v>146427</v>
      </c>
      <c r="O704">
        <f>INDEX(Counselor,MATCH(B704,KidIDs,0))</f>
        <v>0</v>
      </c>
      <c r="P704">
        <f>INDEX(Advisors,MATCH(B704,KidIDs,0))</f>
        <v>0</v>
      </c>
      <c r="Q704">
        <f>INDEX(Cohort,MATCH(B704,KidIDs,0))</f>
        <v>0</v>
      </c>
      <c r="R704">
        <f>INDEX(AllCollegeBarrons,MATCH(N704,AllCollegeNCES,0))</f>
        <v>0</v>
      </c>
      <c r="S704">
        <f>INDEX(KidGPAs,MATCH(B704,KidIDs,0))</f>
        <v>0</v>
      </c>
      <c r="T704">
        <f>INDEX(KidSATs,MATCH(B704,KidIDs,0))</f>
        <v>0</v>
      </c>
      <c r="U704">
        <f>INDEX(Strats,MATCH(B704,KidIDs,0))</f>
        <v>0</v>
      </c>
      <c r="V704">
        <f>INDEX(KidRace,MATCH(B704,KidIDs,0))</f>
        <v>0</v>
      </c>
      <c r="W704">
        <f>IF(OR(V704="M",V704="I"),"H",IF(V704="P","A",V704))</f>
        <v>0</v>
      </c>
      <c r="X704">
        <f>INDEX(StudentTargets,MATCH(B704,KidIDs,0))</f>
        <v>0</v>
      </c>
      <c r="Y704">
        <f>INDEX(ReachStudentTargets,MATCH(B704,KidIDs,0))</f>
        <v>0</v>
      </c>
      <c r="Z704">
        <f>IF(OR(M704="Posse"),1,0)</f>
        <v>0</v>
      </c>
      <c r="AA704">
        <f>IF(ISNUMBER(INDEX(AllCollegeGR, MATCH(N704,AllCollegeNCES,0))),ROUND(INDEX(AllCollegeGR, MATCH(N704,AllCollegeNCES,0))+Z704*IF(INDEX(AllCollegeGR, MATCH(N704,AllCollegeNCES,0))&gt;0.7,(1-INDEX(AllCollegeGR, MATCH(N704,AllCollegeNCES,0)))/2,0.15),2),INDEX(AllCollegeGR, MATCH(N704,AllCollegeNCES,0)))</f>
        <v>0</v>
      </c>
      <c r="AB704">
        <f>IF(ISNUMBER(INDEX(AllCollegeAAHGR, MATCH(N704,AllCollegeNCES,0))),ROUND(INDEX(AllCollegeAAHGR, MATCH(N704,AllCollegeNCES,0))+Z704*IF(INDEX(AllCollegeAAHGR, MATCH(N704,AllCollegeNCES,0))&gt;0.7,(1-INDEX(AllCollegeAAHGR, MATCH(N704,AllCollegeNCES,0)))/2,0.15),2),INDEX(AllCollegeAAHGR, MATCH(N704,AllCollegeNCES,0)))</f>
        <v>0</v>
      </c>
      <c r="AC704">
        <f>IF(OR(W704="H",W704="B"),INDEX(AllCollegeSAT25, MATCH(N704,AllCollegeNCES,0)),INDEX(AllCollegeSAT50, MATCH(N704,AllCollegeNCES,0)))</f>
        <v>0</v>
      </c>
      <c r="AD704">
        <f>INDEX(CustomWeightsGPA,MATCH(W704&amp;":"&amp;N704,CustomWeightsIndex,0))</f>
        <v>0</v>
      </c>
      <c r="AE704">
        <f>INDEX(CustomWeightsSAT,MATCH(W704&amp;":"&amp;N704,CustomWeightsIndex,0))</f>
        <v>0</v>
      </c>
      <c r="AF704">
        <f>INDEX(CustomWeightsIntercept,MATCH(W704&amp;":"&amp;N704,CustomWeightsIndex,0))</f>
        <v>0</v>
      </c>
      <c r="AG704">
        <f>AD704*S704+AE704*T704+AF704</f>
        <v>0</v>
      </c>
      <c r="AH704">
        <f>INDEX(CoefficientsGPA,MATCH(W704&amp;":"&amp;R704,CoefficientsIndex,0))</f>
        <v>0</v>
      </c>
      <c r="AI704">
        <f>INDEX(CoefficientsSAT,MATCH(W704&amp;":"&amp;R704,CoefficientsIndex,0))</f>
        <v>0</v>
      </c>
      <c r="AJ704">
        <f>INDEX(CoefficientsIntercept,MATCH(W704&amp;":"&amp;R704,CoefficientsIndex,0))</f>
        <v>0</v>
      </c>
      <c r="AK704">
        <f>AH704*S704+(T704-AC704)*AI704+AJ704</f>
        <v>0</v>
      </c>
      <c r="AL704">
        <f>IF(ISNUMBER(AG704),AG704,AK704)</f>
        <v>0</v>
      </c>
      <c r="AM704">
        <f>IF(ISNUMBER(AL704),IF(ISNUMBER(AH704),IF(AND(AH704=1,AI704=1,AJ704=1),100,MIN(99,ROUND(100*EXP(AL704)/(1+EXP(AL704)),2))),MIN(99,ROUND(100*EXP(AL704)/(1+EXP(AL704)),2))),IF(ISTEXT(R704),IF(LEFT(R704,1)="2",100,"N/A"),"N/A"))</f>
        <v>0</v>
      </c>
      <c r="AN704">
        <f>IF(ISNUMBER(AM704),IF(AM704&gt;=99,IF(OR(U704=10,U704=11),MatchLabel,SureThingLabel),IF(AM704&gt;=95,SecureLabel,IF(AM704&gt;=80,SafetyLabel,IF(AM704&gt;=50,MatchLabel,IF(AM704&gt;=20,ReachLabel,IF(AM704&gt;=10,LongshotLabel,HailMaryLabel)))))),"Other")</f>
        <v>0</v>
      </c>
      <c r="AO704">
        <f>IF(OR(I704="accepted",I704="cond. accept",I704="summer admit"),IF(J704="yes","CHOICE!","Accepted!"),IF(I704="guar. transfer","Guar. Xfer",IF(I704="denied","Denied",IF(K704=1,"Waitlist",IF(L704=1,"Deferred",IF(G704="pending","Pending",IF(OR(G704="initial materials submitted",G704="mid-year submitted",G704="final submitted"),"Submitted",IF(H704="interest","Interest","?"))))))))</f>
        <v>0</v>
      </c>
      <c r="AP704">
        <f>IF(OR(AN704=ReachLabel,AN704=LongshotLabel,AN704=HailMaryLabel),1,0)</f>
        <v>0</v>
      </c>
      <c r="AQ704">
        <f>IF(OR(AP704=1,AN704=MatchLabel),1,0)</f>
        <v>0</v>
      </c>
      <c r="AR704">
        <f>IF(OR(AN704=MatchLabel,AN704=SafetyLabel,AN704=SecureLabel,AN704=SureThingLabel),1,0)</f>
        <v>0</v>
      </c>
      <c r="AS704">
        <f>IF(OR(W704="H",W704="B",W704="I",W704="M"),IF(ISNUMBER(AB704),ROUND(AB704,2),0),IF(ISNUMBER(AA704),ROUND(AA704,2),0))</f>
        <v>0</v>
      </c>
      <c r="AT704">
        <f>IF(AS704&gt;=X704,1,0)</f>
        <v>0</v>
      </c>
      <c r="AU704">
        <f>IF(AS704&gt;=Y704,1,0)</f>
        <v>0</v>
      </c>
      <c r="AV704">
        <f>IF(AS704&lt;(X704-0.10),1,0)</f>
        <v>0</v>
      </c>
      <c r="AW704">
        <f>1-AM704/100</f>
        <v>0</v>
      </c>
      <c r="AX704">
        <f>IF(AQ704=1,AW704,1)</f>
        <v>0</v>
      </c>
      <c r="AY704">
        <f>IF(AP704=1,AW704,1)</f>
        <v>0</v>
      </c>
      <c r="AZ704">
        <f>IF(AND(AT704=1,ISNUMBER(AW704)),$AW704,1)</f>
        <v>0</v>
      </c>
      <c r="BA704">
        <f>IF(AND(AU704=1,ISNUMBER(AW704)),$AW704,1)</f>
        <v>0</v>
      </c>
      <c r="BB704">
        <f>IF(ISNUMBER(AB704),INDEX(AllCollegeMoney, MATCH(N704,AllCollegeNCES,0)),0)</f>
        <v>0</v>
      </c>
      <c r="BC704">
        <f>IF(AND(AT704=1,ISNUMBER(AW704),BB704=1),$AW704,1)</f>
        <v>0</v>
      </c>
      <c r="BD704">
        <f>IF(AND(AU704=1,ISNUMBER(AW704),BB704=1),$AW704,1)</f>
        <v>0</v>
      </c>
      <c r="BE704">
        <f>IF(ISNUMBER(AB704),INDEX(AllCollegeILPub, MATCH(N704,AllCollegeNCES,0)),0)</f>
        <v>0</v>
      </c>
      <c r="BF704">
        <f>IF(AN704=ReachLabel,AS704,0)</f>
        <v>0</v>
      </c>
      <c r="BG704">
        <f>IF(AN704=MatchLabel,AS704,0)</f>
        <v>0</v>
      </c>
      <c r="BH704">
        <f>IF(AN704=SafetyLabel,AS704,0)</f>
        <v>0</v>
      </c>
      <c r="BI704">
        <f>IF(AN704=SecureLabel,AS704,0)</f>
        <v>0</v>
      </c>
      <c r="BJ704">
        <f>IF(AN704=SureThingLabel,AS704,0)</f>
        <v>0</v>
      </c>
      <c r="BK704">
        <f>MAX(BF704:BJ704)</f>
        <v>0</v>
      </c>
      <c r="BL704">
        <f>MAX(BG704:BJ704)</f>
        <v>0</v>
      </c>
      <c r="BM704">
        <f>MAX(BH704:BJ704)</f>
        <v>0</v>
      </c>
      <c r="BN704">
        <f>IF(AND(AN704=ReachLabel,BB704=1),AS704,0)</f>
        <v>0</v>
      </c>
      <c r="BO704">
        <f>IF(AND(AN704=MatchLabel,BB704=1),AS704,0)</f>
        <v>0</v>
      </c>
      <c r="BP704">
        <f>IF(AND(AN704=SafetyLabel,BB704=1),AS704,0)</f>
        <v>0</v>
      </c>
      <c r="BQ704">
        <f>IF(AND(AN704=SecureLabel,BB704=1),AS704,0)</f>
        <v>0</v>
      </c>
      <c r="BR704">
        <f>IF(AND(AN704=SureThingLabel,BB704=1),AS704,0)</f>
        <v>0</v>
      </c>
      <c r="BS704">
        <f>MAX(BN704:BR704)</f>
        <v>0</v>
      </c>
      <c r="BT704">
        <f>MAX(BO704:BR704)</f>
        <v>0</v>
      </c>
      <c r="BU704">
        <f>MAX(BP704:BR704)</f>
        <v>0</v>
      </c>
      <c r="BV704">
        <f>IF(ISNUMBER(AB704),INDEX(AllCollegeChicago, MATCH(N704,AllCollegeNCES,0))*BB704,0)</f>
        <v>0</v>
      </c>
      <c r="BW704">
        <f>IF(ISNUMBER(AB704),INDEX(AllCollegeMoneyCode, MATCH(N704,AllCollegeNCES,0)),"?")</f>
        <v>0</v>
      </c>
      <c r="BX704">
        <f>IF(OR(BW704="---",BW704="--",BW704="+/--",BW704="+/---"),1,0)</f>
        <v>0</v>
      </c>
      <c r="BY704">
        <f>BB704*AR704*AT704</f>
        <v>0</v>
      </c>
    </row>
    <row r="705" spans="1:77">
      <c r="A705" t="s">
        <v>96</v>
      </c>
      <c r="B705">
        <v>30115187</v>
      </c>
      <c r="C705" t="s">
        <v>138</v>
      </c>
      <c r="D705" t="s">
        <v>139</v>
      </c>
      <c r="E705" t="s">
        <v>446</v>
      </c>
      <c r="F705" t="s">
        <v>602</v>
      </c>
      <c r="G705" t="s">
        <v>479</v>
      </c>
      <c r="H705" t="s">
        <v>449</v>
      </c>
      <c r="I705" t="s">
        <v>450</v>
      </c>
      <c r="J705" t="s">
        <v>450</v>
      </c>
      <c r="K705">
        <v>0</v>
      </c>
      <c r="L705" t="s">
        <v>446</v>
      </c>
      <c r="M705" t="s">
        <v>446</v>
      </c>
      <c r="N705">
        <v>209551</v>
      </c>
      <c r="O705">
        <f>INDEX(Counselor,MATCH(B705,KidIDs,0))</f>
        <v>0</v>
      </c>
      <c r="P705">
        <f>INDEX(Advisors,MATCH(B705,KidIDs,0))</f>
        <v>0</v>
      </c>
      <c r="Q705">
        <f>INDEX(Cohort,MATCH(B705,KidIDs,0))</f>
        <v>0</v>
      </c>
      <c r="R705">
        <f>INDEX(AllCollegeBarrons,MATCH(N705,AllCollegeNCES,0))</f>
        <v>0</v>
      </c>
      <c r="S705">
        <f>INDEX(KidGPAs,MATCH(B705,KidIDs,0))</f>
        <v>0</v>
      </c>
      <c r="T705">
        <f>INDEX(KidSATs,MATCH(B705,KidIDs,0))</f>
        <v>0</v>
      </c>
      <c r="U705">
        <f>INDEX(Strats,MATCH(B705,KidIDs,0))</f>
        <v>0</v>
      </c>
      <c r="V705">
        <f>INDEX(KidRace,MATCH(B705,KidIDs,0))</f>
        <v>0</v>
      </c>
      <c r="W705">
        <f>IF(OR(V705="M",V705="I"),"H",IF(V705="P","A",V705))</f>
        <v>0</v>
      </c>
      <c r="X705">
        <f>INDEX(StudentTargets,MATCH(B705,KidIDs,0))</f>
        <v>0</v>
      </c>
      <c r="Y705">
        <f>INDEX(ReachStudentTargets,MATCH(B705,KidIDs,0))</f>
        <v>0</v>
      </c>
      <c r="Z705">
        <f>IF(OR(M705="Posse"),1,0)</f>
        <v>0</v>
      </c>
      <c r="AA705">
        <f>IF(ISNUMBER(INDEX(AllCollegeGR, MATCH(N705,AllCollegeNCES,0))),ROUND(INDEX(AllCollegeGR, MATCH(N705,AllCollegeNCES,0))+Z705*IF(INDEX(AllCollegeGR, MATCH(N705,AllCollegeNCES,0))&gt;0.7,(1-INDEX(AllCollegeGR, MATCH(N705,AllCollegeNCES,0)))/2,0.15),2),INDEX(AllCollegeGR, MATCH(N705,AllCollegeNCES,0)))</f>
        <v>0</v>
      </c>
      <c r="AB705">
        <f>IF(ISNUMBER(INDEX(AllCollegeAAHGR, MATCH(N705,AllCollegeNCES,0))),ROUND(INDEX(AllCollegeAAHGR, MATCH(N705,AllCollegeNCES,0))+Z705*IF(INDEX(AllCollegeAAHGR, MATCH(N705,AllCollegeNCES,0))&gt;0.7,(1-INDEX(AllCollegeAAHGR, MATCH(N705,AllCollegeNCES,0)))/2,0.15),2),INDEX(AllCollegeAAHGR, MATCH(N705,AllCollegeNCES,0)))</f>
        <v>0</v>
      </c>
      <c r="AC705">
        <f>IF(OR(W705="H",W705="B"),INDEX(AllCollegeSAT25, MATCH(N705,AllCollegeNCES,0)),INDEX(AllCollegeSAT50, MATCH(N705,AllCollegeNCES,0)))</f>
        <v>0</v>
      </c>
      <c r="AD705">
        <f>INDEX(CustomWeightsGPA,MATCH(W705&amp;":"&amp;N705,CustomWeightsIndex,0))</f>
        <v>0</v>
      </c>
      <c r="AE705">
        <f>INDEX(CustomWeightsSAT,MATCH(W705&amp;":"&amp;N705,CustomWeightsIndex,0))</f>
        <v>0</v>
      </c>
      <c r="AF705">
        <f>INDEX(CustomWeightsIntercept,MATCH(W705&amp;":"&amp;N705,CustomWeightsIndex,0))</f>
        <v>0</v>
      </c>
      <c r="AG705">
        <f>AD705*S705+AE705*T705+AF705</f>
        <v>0</v>
      </c>
      <c r="AH705">
        <f>INDEX(CoefficientsGPA,MATCH(W705&amp;":"&amp;R705,CoefficientsIndex,0))</f>
        <v>0</v>
      </c>
      <c r="AI705">
        <f>INDEX(CoefficientsSAT,MATCH(W705&amp;":"&amp;R705,CoefficientsIndex,0))</f>
        <v>0</v>
      </c>
      <c r="AJ705">
        <f>INDEX(CoefficientsIntercept,MATCH(W705&amp;":"&amp;R705,CoefficientsIndex,0))</f>
        <v>0</v>
      </c>
      <c r="AK705">
        <f>AH705*S705+(T705-AC705)*AI705+AJ705</f>
        <v>0</v>
      </c>
      <c r="AL705">
        <f>IF(ISNUMBER(AG705),AG705,AK705)</f>
        <v>0</v>
      </c>
      <c r="AM705">
        <f>IF(ISNUMBER(AL705),IF(ISNUMBER(AH705),IF(AND(AH705=1,AI705=1,AJ705=1),100,MIN(99,ROUND(100*EXP(AL705)/(1+EXP(AL705)),2))),MIN(99,ROUND(100*EXP(AL705)/(1+EXP(AL705)),2))),IF(ISTEXT(R705),IF(LEFT(R705,1)="2",100,"N/A"),"N/A"))</f>
        <v>0</v>
      </c>
      <c r="AN705">
        <f>IF(ISNUMBER(AM705),IF(AM705&gt;=99,IF(OR(U705=10,U705=11),MatchLabel,SureThingLabel),IF(AM705&gt;=95,SecureLabel,IF(AM705&gt;=80,SafetyLabel,IF(AM705&gt;=50,MatchLabel,IF(AM705&gt;=20,ReachLabel,IF(AM705&gt;=10,LongshotLabel,HailMaryLabel)))))),"Other")</f>
        <v>0</v>
      </c>
      <c r="AO705">
        <f>IF(OR(I705="accepted",I705="cond. accept",I705="summer admit"),IF(J705="yes","CHOICE!","Accepted!"),IF(I705="guar. transfer","Guar. Xfer",IF(I705="denied","Denied",IF(K705=1,"Waitlist",IF(L705=1,"Deferred",IF(G705="pending","Pending",IF(OR(G705="initial materials submitted",G705="mid-year submitted",G705="final submitted"),"Submitted",IF(H705="interest","Interest","?"))))))))</f>
        <v>0</v>
      </c>
      <c r="AP705">
        <f>IF(OR(AN705=ReachLabel,AN705=LongshotLabel,AN705=HailMaryLabel),1,0)</f>
        <v>0</v>
      </c>
      <c r="AQ705">
        <f>IF(OR(AP705=1,AN705=MatchLabel),1,0)</f>
        <v>0</v>
      </c>
      <c r="AR705">
        <f>IF(OR(AN705=MatchLabel,AN705=SafetyLabel,AN705=SecureLabel,AN705=SureThingLabel),1,0)</f>
        <v>0</v>
      </c>
      <c r="AS705">
        <f>IF(OR(W705="H",W705="B",W705="I",W705="M"),IF(ISNUMBER(AB705),ROUND(AB705,2),0),IF(ISNUMBER(AA705),ROUND(AA705,2),0))</f>
        <v>0</v>
      </c>
      <c r="AT705">
        <f>IF(AS705&gt;=X705,1,0)</f>
        <v>0</v>
      </c>
      <c r="AU705">
        <f>IF(AS705&gt;=Y705,1,0)</f>
        <v>0</v>
      </c>
      <c r="AV705">
        <f>IF(AS705&lt;(X705-0.10),1,0)</f>
        <v>0</v>
      </c>
      <c r="AW705">
        <f>1-AM705/100</f>
        <v>0</v>
      </c>
      <c r="AX705">
        <f>IF(AQ705=1,AW705,1)</f>
        <v>0</v>
      </c>
      <c r="AY705">
        <f>IF(AP705=1,AW705,1)</f>
        <v>0</v>
      </c>
      <c r="AZ705">
        <f>IF(AND(AT705=1,ISNUMBER(AW705)),$AW705,1)</f>
        <v>0</v>
      </c>
      <c r="BA705">
        <f>IF(AND(AU705=1,ISNUMBER(AW705)),$AW705,1)</f>
        <v>0</v>
      </c>
      <c r="BB705">
        <f>IF(ISNUMBER(AB705),INDEX(AllCollegeMoney, MATCH(N705,AllCollegeNCES,0)),0)</f>
        <v>0</v>
      </c>
      <c r="BC705">
        <f>IF(AND(AT705=1,ISNUMBER(AW705),BB705=1),$AW705,1)</f>
        <v>0</v>
      </c>
      <c r="BD705">
        <f>IF(AND(AU705=1,ISNUMBER(AW705),BB705=1),$AW705,1)</f>
        <v>0</v>
      </c>
      <c r="BE705">
        <f>IF(ISNUMBER(AB705),INDEX(AllCollegeILPub, MATCH(N705,AllCollegeNCES,0)),0)</f>
        <v>0</v>
      </c>
      <c r="BF705">
        <f>IF(AN705=ReachLabel,AS705,0)</f>
        <v>0</v>
      </c>
      <c r="BG705">
        <f>IF(AN705=MatchLabel,AS705,0)</f>
        <v>0</v>
      </c>
      <c r="BH705">
        <f>IF(AN705=SafetyLabel,AS705,0)</f>
        <v>0</v>
      </c>
      <c r="BI705">
        <f>IF(AN705=SecureLabel,AS705,0)</f>
        <v>0</v>
      </c>
      <c r="BJ705">
        <f>IF(AN705=SureThingLabel,AS705,0)</f>
        <v>0</v>
      </c>
      <c r="BK705">
        <f>MAX(BF705:BJ705)</f>
        <v>0</v>
      </c>
      <c r="BL705">
        <f>MAX(BG705:BJ705)</f>
        <v>0</v>
      </c>
      <c r="BM705">
        <f>MAX(BH705:BJ705)</f>
        <v>0</v>
      </c>
      <c r="BN705">
        <f>IF(AND(AN705=ReachLabel,BB705=1),AS705,0)</f>
        <v>0</v>
      </c>
      <c r="BO705">
        <f>IF(AND(AN705=MatchLabel,BB705=1),AS705,0)</f>
        <v>0</v>
      </c>
      <c r="BP705">
        <f>IF(AND(AN705=SafetyLabel,BB705=1),AS705,0)</f>
        <v>0</v>
      </c>
      <c r="BQ705">
        <f>IF(AND(AN705=SecureLabel,BB705=1),AS705,0)</f>
        <v>0</v>
      </c>
      <c r="BR705">
        <f>IF(AND(AN705=SureThingLabel,BB705=1),AS705,0)</f>
        <v>0</v>
      </c>
      <c r="BS705">
        <f>MAX(BN705:BR705)</f>
        <v>0</v>
      </c>
      <c r="BT705">
        <f>MAX(BO705:BR705)</f>
        <v>0</v>
      </c>
      <c r="BU705">
        <f>MAX(BP705:BR705)</f>
        <v>0</v>
      </c>
      <c r="BV705">
        <f>IF(ISNUMBER(AB705),INDEX(AllCollegeChicago, MATCH(N705,AllCollegeNCES,0))*BB705,0)</f>
        <v>0</v>
      </c>
      <c r="BW705">
        <f>IF(ISNUMBER(AB705),INDEX(AllCollegeMoneyCode, MATCH(N705,AllCollegeNCES,0)),"?")</f>
        <v>0</v>
      </c>
      <c r="BX705">
        <f>IF(OR(BW705="---",BW705="--",BW705="+/--",BW705="+/---"),1,0)</f>
        <v>0</v>
      </c>
      <c r="BY705">
        <f>BB705*AR705*AT705</f>
        <v>0</v>
      </c>
    </row>
    <row r="706" spans="1:77">
      <c r="A706" t="s">
        <v>96</v>
      </c>
      <c r="B706">
        <v>30115187</v>
      </c>
      <c r="C706" t="s">
        <v>138</v>
      </c>
      <c r="D706" t="s">
        <v>139</v>
      </c>
      <c r="E706" t="s">
        <v>446</v>
      </c>
      <c r="F706" t="s">
        <v>489</v>
      </c>
      <c r="G706" t="s">
        <v>479</v>
      </c>
      <c r="H706" t="s">
        <v>449</v>
      </c>
      <c r="I706" t="s">
        <v>450</v>
      </c>
      <c r="J706" t="s">
        <v>450</v>
      </c>
      <c r="K706">
        <v>0</v>
      </c>
      <c r="L706" t="s">
        <v>446</v>
      </c>
      <c r="M706" t="s">
        <v>446</v>
      </c>
      <c r="N706">
        <v>170301</v>
      </c>
      <c r="O706">
        <f>INDEX(Counselor,MATCH(B706,KidIDs,0))</f>
        <v>0</v>
      </c>
      <c r="P706">
        <f>INDEX(Advisors,MATCH(B706,KidIDs,0))</f>
        <v>0</v>
      </c>
      <c r="Q706">
        <f>INDEX(Cohort,MATCH(B706,KidIDs,0))</f>
        <v>0</v>
      </c>
      <c r="R706">
        <f>INDEX(AllCollegeBarrons,MATCH(N706,AllCollegeNCES,0))</f>
        <v>0</v>
      </c>
      <c r="S706">
        <f>INDEX(KidGPAs,MATCH(B706,KidIDs,0))</f>
        <v>0</v>
      </c>
      <c r="T706">
        <f>INDEX(KidSATs,MATCH(B706,KidIDs,0))</f>
        <v>0</v>
      </c>
      <c r="U706">
        <f>INDEX(Strats,MATCH(B706,KidIDs,0))</f>
        <v>0</v>
      </c>
      <c r="V706">
        <f>INDEX(KidRace,MATCH(B706,KidIDs,0))</f>
        <v>0</v>
      </c>
      <c r="W706">
        <f>IF(OR(V706="M",V706="I"),"H",IF(V706="P","A",V706))</f>
        <v>0</v>
      </c>
      <c r="X706">
        <f>INDEX(StudentTargets,MATCH(B706,KidIDs,0))</f>
        <v>0</v>
      </c>
      <c r="Y706">
        <f>INDEX(ReachStudentTargets,MATCH(B706,KidIDs,0))</f>
        <v>0</v>
      </c>
      <c r="Z706">
        <f>IF(OR(M706="Posse"),1,0)</f>
        <v>0</v>
      </c>
      <c r="AA706">
        <f>IF(ISNUMBER(INDEX(AllCollegeGR, MATCH(N706,AllCollegeNCES,0))),ROUND(INDEX(AllCollegeGR, MATCH(N706,AllCollegeNCES,0))+Z706*IF(INDEX(AllCollegeGR, MATCH(N706,AllCollegeNCES,0))&gt;0.7,(1-INDEX(AllCollegeGR, MATCH(N706,AllCollegeNCES,0)))/2,0.15),2),INDEX(AllCollegeGR, MATCH(N706,AllCollegeNCES,0)))</f>
        <v>0</v>
      </c>
      <c r="AB706">
        <f>IF(ISNUMBER(INDEX(AllCollegeAAHGR, MATCH(N706,AllCollegeNCES,0))),ROUND(INDEX(AllCollegeAAHGR, MATCH(N706,AllCollegeNCES,0))+Z706*IF(INDEX(AllCollegeAAHGR, MATCH(N706,AllCollegeNCES,0))&gt;0.7,(1-INDEX(AllCollegeAAHGR, MATCH(N706,AllCollegeNCES,0)))/2,0.15),2),INDEX(AllCollegeAAHGR, MATCH(N706,AllCollegeNCES,0)))</f>
        <v>0</v>
      </c>
      <c r="AC706">
        <f>IF(OR(W706="H",W706="B"),INDEX(AllCollegeSAT25, MATCH(N706,AllCollegeNCES,0)),INDEX(AllCollegeSAT50, MATCH(N706,AllCollegeNCES,0)))</f>
        <v>0</v>
      </c>
      <c r="AD706">
        <f>INDEX(CustomWeightsGPA,MATCH(W706&amp;":"&amp;N706,CustomWeightsIndex,0))</f>
        <v>0</v>
      </c>
      <c r="AE706">
        <f>INDEX(CustomWeightsSAT,MATCH(W706&amp;":"&amp;N706,CustomWeightsIndex,0))</f>
        <v>0</v>
      </c>
      <c r="AF706">
        <f>INDEX(CustomWeightsIntercept,MATCH(W706&amp;":"&amp;N706,CustomWeightsIndex,0))</f>
        <v>0</v>
      </c>
      <c r="AG706">
        <f>AD706*S706+AE706*T706+AF706</f>
        <v>0</v>
      </c>
      <c r="AH706">
        <f>INDEX(CoefficientsGPA,MATCH(W706&amp;":"&amp;R706,CoefficientsIndex,0))</f>
        <v>0</v>
      </c>
      <c r="AI706">
        <f>INDEX(CoefficientsSAT,MATCH(W706&amp;":"&amp;R706,CoefficientsIndex,0))</f>
        <v>0</v>
      </c>
      <c r="AJ706">
        <f>INDEX(CoefficientsIntercept,MATCH(W706&amp;":"&amp;R706,CoefficientsIndex,0))</f>
        <v>0</v>
      </c>
      <c r="AK706">
        <f>AH706*S706+(T706-AC706)*AI706+AJ706</f>
        <v>0</v>
      </c>
      <c r="AL706">
        <f>IF(ISNUMBER(AG706),AG706,AK706)</f>
        <v>0</v>
      </c>
      <c r="AM706">
        <f>IF(ISNUMBER(AL706),IF(ISNUMBER(AH706),IF(AND(AH706=1,AI706=1,AJ706=1),100,MIN(99,ROUND(100*EXP(AL706)/(1+EXP(AL706)),2))),MIN(99,ROUND(100*EXP(AL706)/(1+EXP(AL706)),2))),IF(ISTEXT(R706),IF(LEFT(R706,1)="2",100,"N/A"),"N/A"))</f>
        <v>0</v>
      </c>
      <c r="AN706">
        <f>IF(ISNUMBER(AM706),IF(AM706&gt;=99,IF(OR(U706=10,U706=11),MatchLabel,SureThingLabel),IF(AM706&gt;=95,SecureLabel,IF(AM706&gt;=80,SafetyLabel,IF(AM706&gt;=50,MatchLabel,IF(AM706&gt;=20,ReachLabel,IF(AM706&gt;=10,LongshotLabel,HailMaryLabel)))))),"Other")</f>
        <v>0</v>
      </c>
      <c r="AO706">
        <f>IF(OR(I706="accepted",I706="cond. accept",I706="summer admit"),IF(J706="yes","CHOICE!","Accepted!"),IF(I706="guar. transfer","Guar. Xfer",IF(I706="denied","Denied",IF(K706=1,"Waitlist",IF(L706=1,"Deferred",IF(G706="pending","Pending",IF(OR(G706="initial materials submitted",G706="mid-year submitted",G706="final submitted"),"Submitted",IF(H706="interest","Interest","?"))))))))</f>
        <v>0</v>
      </c>
      <c r="AP706">
        <f>IF(OR(AN706=ReachLabel,AN706=LongshotLabel,AN706=HailMaryLabel),1,0)</f>
        <v>0</v>
      </c>
      <c r="AQ706">
        <f>IF(OR(AP706=1,AN706=MatchLabel),1,0)</f>
        <v>0</v>
      </c>
      <c r="AR706">
        <f>IF(OR(AN706=MatchLabel,AN706=SafetyLabel,AN706=SecureLabel,AN706=SureThingLabel),1,0)</f>
        <v>0</v>
      </c>
      <c r="AS706">
        <f>IF(OR(W706="H",W706="B",W706="I",W706="M"),IF(ISNUMBER(AB706),ROUND(AB706,2),0),IF(ISNUMBER(AA706),ROUND(AA706,2),0))</f>
        <v>0</v>
      </c>
      <c r="AT706">
        <f>IF(AS706&gt;=X706,1,0)</f>
        <v>0</v>
      </c>
      <c r="AU706">
        <f>IF(AS706&gt;=Y706,1,0)</f>
        <v>0</v>
      </c>
      <c r="AV706">
        <f>IF(AS706&lt;(X706-0.10),1,0)</f>
        <v>0</v>
      </c>
      <c r="AW706">
        <f>1-AM706/100</f>
        <v>0</v>
      </c>
      <c r="AX706">
        <f>IF(AQ706=1,AW706,1)</f>
        <v>0</v>
      </c>
      <c r="AY706">
        <f>IF(AP706=1,AW706,1)</f>
        <v>0</v>
      </c>
      <c r="AZ706">
        <f>IF(AND(AT706=1,ISNUMBER(AW706)),$AW706,1)</f>
        <v>0</v>
      </c>
      <c r="BA706">
        <f>IF(AND(AU706=1,ISNUMBER(AW706)),$AW706,1)</f>
        <v>0</v>
      </c>
      <c r="BB706">
        <f>IF(ISNUMBER(AB706),INDEX(AllCollegeMoney, MATCH(N706,AllCollegeNCES,0)),0)</f>
        <v>0</v>
      </c>
      <c r="BC706">
        <f>IF(AND(AT706=1,ISNUMBER(AW706),BB706=1),$AW706,1)</f>
        <v>0</v>
      </c>
      <c r="BD706">
        <f>IF(AND(AU706=1,ISNUMBER(AW706),BB706=1),$AW706,1)</f>
        <v>0</v>
      </c>
      <c r="BE706">
        <f>IF(ISNUMBER(AB706),INDEX(AllCollegeILPub, MATCH(N706,AllCollegeNCES,0)),0)</f>
        <v>0</v>
      </c>
      <c r="BF706">
        <f>IF(AN706=ReachLabel,AS706,0)</f>
        <v>0</v>
      </c>
      <c r="BG706">
        <f>IF(AN706=MatchLabel,AS706,0)</f>
        <v>0</v>
      </c>
      <c r="BH706">
        <f>IF(AN706=SafetyLabel,AS706,0)</f>
        <v>0</v>
      </c>
      <c r="BI706">
        <f>IF(AN706=SecureLabel,AS706,0)</f>
        <v>0</v>
      </c>
      <c r="BJ706">
        <f>IF(AN706=SureThingLabel,AS706,0)</f>
        <v>0</v>
      </c>
      <c r="BK706">
        <f>MAX(BF706:BJ706)</f>
        <v>0</v>
      </c>
      <c r="BL706">
        <f>MAX(BG706:BJ706)</f>
        <v>0</v>
      </c>
      <c r="BM706">
        <f>MAX(BH706:BJ706)</f>
        <v>0</v>
      </c>
      <c r="BN706">
        <f>IF(AND(AN706=ReachLabel,BB706=1),AS706,0)</f>
        <v>0</v>
      </c>
      <c r="BO706">
        <f>IF(AND(AN706=MatchLabel,BB706=1),AS706,0)</f>
        <v>0</v>
      </c>
      <c r="BP706">
        <f>IF(AND(AN706=SafetyLabel,BB706=1),AS706,0)</f>
        <v>0</v>
      </c>
      <c r="BQ706">
        <f>IF(AND(AN706=SecureLabel,BB706=1),AS706,0)</f>
        <v>0</v>
      </c>
      <c r="BR706">
        <f>IF(AND(AN706=SureThingLabel,BB706=1),AS706,0)</f>
        <v>0</v>
      </c>
      <c r="BS706">
        <f>MAX(BN706:BR706)</f>
        <v>0</v>
      </c>
      <c r="BT706">
        <f>MAX(BO706:BR706)</f>
        <v>0</v>
      </c>
      <c r="BU706">
        <f>MAX(BP706:BR706)</f>
        <v>0</v>
      </c>
      <c r="BV706">
        <f>IF(ISNUMBER(AB706),INDEX(AllCollegeChicago, MATCH(N706,AllCollegeNCES,0))*BB706,0)</f>
        <v>0</v>
      </c>
      <c r="BW706">
        <f>IF(ISNUMBER(AB706),INDEX(AllCollegeMoneyCode, MATCH(N706,AllCollegeNCES,0)),"?")</f>
        <v>0</v>
      </c>
      <c r="BX706">
        <f>IF(OR(BW706="---",BW706="--",BW706="+/--",BW706="+/---"),1,0)</f>
        <v>0</v>
      </c>
      <c r="BY706">
        <f>BB706*AR706*AT706</f>
        <v>0</v>
      </c>
    </row>
    <row r="707" spans="1:77">
      <c r="A707" t="s">
        <v>96</v>
      </c>
      <c r="B707">
        <v>30115187</v>
      </c>
      <c r="C707" t="s">
        <v>138</v>
      </c>
      <c r="D707" t="s">
        <v>139</v>
      </c>
      <c r="E707" t="s">
        <v>446</v>
      </c>
      <c r="F707" t="s">
        <v>465</v>
      </c>
      <c r="G707" t="s">
        <v>448</v>
      </c>
      <c r="H707" t="s">
        <v>449</v>
      </c>
      <c r="I707" t="s">
        <v>450</v>
      </c>
      <c r="J707" t="s">
        <v>450</v>
      </c>
      <c r="K707">
        <v>0</v>
      </c>
      <c r="L707" t="s">
        <v>446</v>
      </c>
      <c r="M707" t="s">
        <v>446</v>
      </c>
      <c r="N707">
        <v>145600</v>
      </c>
      <c r="O707">
        <f>INDEX(Counselor,MATCH(B707,KidIDs,0))</f>
        <v>0</v>
      </c>
      <c r="P707">
        <f>INDEX(Advisors,MATCH(B707,KidIDs,0))</f>
        <v>0</v>
      </c>
      <c r="Q707">
        <f>INDEX(Cohort,MATCH(B707,KidIDs,0))</f>
        <v>0</v>
      </c>
      <c r="R707">
        <f>INDEX(AllCollegeBarrons,MATCH(N707,AllCollegeNCES,0))</f>
        <v>0</v>
      </c>
      <c r="S707">
        <f>INDEX(KidGPAs,MATCH(B707,KidIDs,0))</f>
        <v>0</v>
      </c>
      <c r="T707">
        <f>INDEX(KidSATs,MATCH(B707,KidIDs,0))</f>
        <v>0</v>
      </c>
      <c r="U707">
        <f>INDEX(Strats,MATCH(B707,KidIDs,0))</f>
        <v>0</v>
      </c>
      <c r="V707">
        <f>INDEX(KidRace,MATCH(B707,KidIDs,0))</f>
        <v>0</v>
      </c>
      <c r="W707">
        <f>IF(OR(V707="M",V707="I"),"H",IF(V707="P","A",V707))</f>
        <v>0</v>
      </c>
      <c r="X707">
        <f>INDEX(StudentTargets,MATCH(B707,KidIDs,0))</f>
        <v>0</v>
      </c>
      <c r="Y707">
        <f>INDEX(ReachStudentTargets,MATCH(B707,KidIDs,0))</f>
        <v>0</v>
      </c>
      <c r="Z707">
        <f>IF(OR(M707="Posse"),1,0)</f>
        <v>0</v>
      </c>
      <c r="AA707">
        <f>IF(ISNUMBER(INDEX(AllCollegeGR, MATCH(N707,AllCollegeNCES,0))),ROUND(INDEX(AllCollegeGR, MATCH(N707,AllCollegeNCES,0))+Z707*IF(INDEX(AllCollegeGR, MATCH(N707,AllCollegeNCES,0))&gt;0.7,(1-INDEX(AllCollegeGR, MATCH(N707,AllCollegeNCES,0)))/2,0.15),2),INDEX(AllCollegeGR, MATCH(N707,AllCollegeNCES,0)))</f>
        <v>0</v>
      </c>
      <c r="AB707">
        <f>IF(ISNUMBER(INDEX(AllCollegeAAHGR, MATCH(N707,AllCollegeNCES,0))),ROUND(INDEX(AllCollegeAAHGR, MATCH(N707,AllCollegeNCES,0))+Z707*IF(INDEX(AllCollegeAAHGR, MATCH(N707,AllCollegeNCES,0))&gt;0.7,(1-INDEX(AllCollegeAAHGR, MATCH(N707,AllCollegeNCES,0)))/2,0.15),2),INDEX(AllCollegeAAHGR, MATCH(N707,AllCollegeNCES,0)))</f>
        <v>0</v>
      </c>
      <c r="AC707">
        <f>IF(OR(W707="H",W707="B"),INDEX(AllCollegeSAT25, MATCH(N707,AllCollegeNCES,0)),INDEX(AllCollegeSAT50, MATCH(N707,AllCollegeNCES,0)))</f>
        <v>0</v>
      </c>
      <c r="AD707">
        <f>INDEX(CustomWeightsGPA,MATCH(W707&amp;":"&amp;N707,CustomWeightsIndex,0))</f>
        <v>0</v>
      </c>
      <c r="AE707">
        <f>INDEX(CustomWeightsSAT,MATCH(W707&amp;":"&amp;N707,CustomWeightsIndex,0))</f>
        <v>0</v>
      </c>
      <c r="AF707">
        <f>INDEX(CustomWeightsIntercept,MATCH(W707&amp;":"&amp;N707,CustomWeightsIndex,0))</f>
        <v>0</v>
      </c>
      <c r="AG707">
        <f>AD707*S707+AE707*T707+AF707</f>
        <v>0</v>
      </c>
      <c r="AH707">
        <f>INDEX(CoefficientsGPA,MATCH(W707&amp;":"&amp;R707,CoefficientsIndex,0))</f>
        <v>0</v>
      </c>
      <c r="AI707">
        <f>INDEX(CoefficientsSAT,MATCH(W707&amp;":"&amp;R707,CoefficientsIndex,0))</f>
        <v>0</v>
      </c>
      <c r="AJ707">
        <f>INDEX(CoefficientsIntercept,MATCH(W707&amp;":"&amp;R707,CoefficientsIndex,0))</f>
        <v>0</v>
      </c>
      <c r="AK707">
        <f>AH707*S707+(T707-AC707)*AI707+AJ707</f>
        <v>0</v>
      </c>
      <c r="AL707">
        <f>IF(ISNUMBER(AG707),AG707,AK707)</f>
        <v>0</v>
      </c>
      <c r="AM707">
        <f>IF(ISNUMBER(AL707),IF(ISNUMBER(AH707),IF(AND(AH707=1,AI707=1,AJ707=1),100,MIN(99,ROUND(100*EXP(AL707)/(1+EXP(AL707)),2))),MIN(99,ROUND(100*EXP(AL707)/(1+EXP(AL707)),2))),IF(ISTEXT(R707),IF(LEFT(R707,1)="2",100,"N/A"),"N/A"))</f>
        <v>0</v>
      </c>
      <c r="AN707">
        <f>IF(ISNUMBER(AM707),IF(AM707&gt;=99,IF(OR(U707=10,U707=11),MatchLabel,SureThingLabel),IF(AM707&gt;=95,SecureLabel,IF(AM707&gt;=80,SafetyLabel,IF(AM707&gt;=50,MatchLabel,IF(AM707&gt;=20,ReachLabel,IF(AM707&gt;=10,LongshotLabel,HailMaryLabel)))))),"Other")</f>
        <v>0</v>
      </c>
      <c r="AO707">
        <f>IF(OR(I707="accepted",I707="cond. accept",I707="summer admit"),IF(J707="yes","CHOICE!","Accepted!"),IF(I707="guar. transfer","Guar. Xfer",IF(I707="denied","Denied",IF(K707=1,"Waitlist",IF(L707=1,"Deferred",IF(G707="pending","Pending",IF(OR(G707="initial materials submitted",G707="mid-year submitted",G707="final submitted"),"Submitted",IF(H707="interest","Interest","?"))))))))</f>
        <v>0</v>
      </c>
      <c r="AP707">
        <f>IF(OR(AN707=ReachLabel,AN707=LongshotLabel,AN707=HailMaryLabel),1,0)</f>
        <v>0</v>
      </c>
      <c r="AQ707">
        <f>IF(OR(AP707=1,AN707=MatchLabel),1,0)</f>
        <v>0</v>
      </c>
      <c r="AR707">
        <f>IF(OR(AN707=MatchLabel,AN707=SafetyLabel,AN707=SecureLabel,AN707=SureThingLabel),1,0)</f>
        <v>0</v>
      </c>
      <c r="AS707">
        <f>IF(OR(W707="H",W707="B",W707="I",W707="M"),IF(ISNUMBER(AB707),ROUND(AB707,2),0),IF(ISNUMBER(AA707),ROUND(AA707,2),0))</f>
        <v>0</v>
      </c>
      <c r="AT707">
        <f>IF(AS707&gt;=X707,1,0)</f>
        <v>0</v>
      </c>
      <c r="AU707">
        <f>IF(AS707&gt;=Y707,1,0)</f>
        <v>0</v>
      </c>
      <c r="AV707">
        <f>IF(AS707&lt;(X707-0.10),1,0)</f>
        <v>0</v>
      </c>
      <c r="AW707">
        <f>1-AM707/100</f>
        <v>0</v>
      </c>
      <c r="AX707">
        <f>IF(AQ707=1,AW707,1)</f>
        <v>0</v>
      </c>
      <c r="AY707">
        <f>IF(AP707=1,AW707,1)</f>
        <v>0</v>
      </c>
      <c r="AZ707">
        <f>IF(AND(AT707=1,ISNUMBER(AW707)),$AW707,1)</f>
        <v>0</v>
      </c>
      <c r="BA707">
        <f>IF(AND(AU707=1,ISNUMBER(AW707)),$AW707,1)</f>
        <v>0</v>
      </c>
      <c r="BB707">
        <f>IF(ISNUMBER(AB707),INDEX(AllCollegeMoney, MATCH(N707,AllCollegeNCES,0)),0)</f>
        <v>0</v>
      </c>
      <c r="BC707">
        <f>IF(AND(AT707=1,ISNUMBER(AW707),BB707=1),$AW707,1)</f>
        <v>0</v>
      </c>
      <c r="BD707">
        <f>IF(AND(AU707=1,ISNUMBER(AW707),BB707=1),$AW707,1)</f>
        <v>0</v>
      </c>
      <c r="BE707">
        <f>IF(ISNUMBER(AB707),INDEX(AllCollegeILPub, MATCH(N707,AllCollegeNCES,0)),0)</f>
        <v>0</v>
      </c>
      <c r="BF707">
        <f>IF(AN707=ReachLabel,AS707,0)</f>
        <v>0</v>
      </c>
      <c r="BG707">
        <f>IF(AN707=MatchLabel,AS707,0)</f>
        <v>0</v>
      </c>
      <c r="BH707">
        <f>IF(AN707=SafetyLabel,AS707,0)</f>
        <v>0</v>
      </c>
      <c r="BI707">
        <f>IF(AN707=SecureLabel,AS707,0)</f>
        <v>0</v>
      </c>
      <c r="BJ707">
        <f>IF(AN707=SureThingLabel,AS707,0)</f>
        <v>0</v>
      </c>
      <c r="BK707">
        <f>MAX(BF707:BJ707)</f>
        <v>0</v>
      </c>
      <c r="BL707">
        <f>MAX(BG707:BJ707)</f>
        <v>0</v>
      </c>
      <c r="BM707">
        <f>MAX(BH707:BJ707)</f>
        <v>0</v>
      </c>
      <c r="BN707">
        <f>IF(AND(AN707=ReachLabel,BB707=1),AS707,0)</f>
        <v>0</v>
      </c>
      <c r="BO707">
        <f>IF(AND(AN707=MatchLabel,BB707=1),AS707,0)</f>
        <v>0</v>
      </c>
      <c r="BP707">
        <f>IF(AND(AN707=SafetyLabel,BB707=1),AS707,0)</f>
        <v>0</v>
      </c>
      <c r="BQ707">
        <f>IF(AND(AN707=SecureLabel,BB707=1),AS707,0)</f>
        <v>0</v>
      </c>
      <c r="BR707">
        <f>IF(AND(AN707=SureThingLabel,BB707=1),AS707,0)</f>
        <v>0</v>
      </c>
      <c r="BS707">
        <f>MAX(BN707:BR707)</f>
        <v>0</v>
      </c>
      <c r="BT707">
        <f>MAX(BO707:BR707)</f>
        <v>0</v>
      </c>
      <c r="BU707">
        <f>MAX(BP707:BR707)</f>
        <v>0</v>
      </c>
      <c r="BV707">
        <f>IF(ISNUMBER(AB707),INDEX(AllCollegeChicago, MATCH(N707,AllCollegeNCES,0))*BB707,0)</f>
        <v>0</v>
      </c>
      <c r="BW707">
        <f>IF(ISNUMBER(AB707),INDEX(AllCollegeMoneyCode, MATCH(N707,AllCollegeNCES,0)),"?")</f>
        <v>0</v>
      </c>
      <c r="BX707">
        <f>IF(OR(BW707="---",BW707="--",BW707="+/--",BW707="+/---"),1,0)</f>
        <v>0</v>
      </c>
      <c r="BY707">
        <f>BB707*AR707*AT707</f>
        <v>0</v>
      </c>
    </row>
    <row r="708" spans="1:77">
      <c r="A708" t="s">
        <v>96</v>
      </c>
      <c r="B708">
        <v>30115187</v>
      </c>
      <c r="C708" t="s">
        <v>138</v>
      </c>
      <c r="D708" t="s">
        <v>139</v>
      </c>
      <c r="E708" t="s">
        <v>446</v>
      </c>
      <c r="F708" t="s">
        <v>603</v>
      </c>
      <c r="G708" t="s">
        <v>479</v>
      </c>
      <c r="H708" t="s">
        <v>449</v>
      </c>
      <c r="I708" t="s">
        <v>450</v>
      </c>
      <c r="J708" t="s">
        <v>450</v>
      </c>
      <c r="K708">
        <v>0</v>
      </c>
      <c r="L708" t="s">
        <v>446</v>
      </c>
      <c r="M708" t="s">
        <v>446</v>
      </c>
      <c r="N708">
        <v>137847</v>
      </c>
      <c r="O708">
        <f>INDEX(Counselor,MATCH(B708,KidIDs,0))</f>
        <v>0</v>
      </c>
      <c r="P708">
        <f>INDEX(Advisors,MATCH(B708,KidIDs,0))</f>
        <v>0</v>
      </c>
      <c r="Q708">
        <f>INDEX(Cohort,MATCH(B708,KidIDs,0))</f>
        <v>0</v>
      </c>
      <c r="R708">
        <f>INDEX(AllCollegeBarrons,MATCH(N708,AllCollegeNCES,0))</f>
        <v>0</v>
      </c>
      <c r="S708">
        <f>INDEX(KidGPAs,MATCH(B708,KidIDs,0))</f>
        <v>0</v>
      </c>
      <c r="T708">
        <f>INDEX(KidSATs,MATCH(B708,KidIDs,0))</f>
        <v>0</v>
      </c>
      <c r="U708">
        <f>INDEX(Strats,MATCH(B708,KidIDs,0))</f>
        <v>0</v>
      </c>
      <c r="V708">
        <f>INDEX(KidRace,MATCH(B708,KidIDs,0))</f>
        <v>0</v>
      </c>
      <c r="W708">
        <f>IF(OR(V708="M",V708="I"),"H",IF(V708="P","A",V708))</f>
        <v>0</v>
      </c>
      <c r="X708">
        <f>INDEX(StudentTargets,MATCH(B708,KidIDs,0))</f>
        <v>0</v>
      </c>
      <c r="Y708">
        <f>INDEX(ReachStudentTargets,MATCH(B708,KidIDs,0))</f>
        <v>0</v>
      </c>
      <c r="Z708">
        <f>IF(OR(M708="Posse"),1,0)</f>
        <v>0</v>
      </c>
      <c r="AA708">
        <f>IF(ISNUMBER(INDEX(AllCollegeGR, MATCH(N708,AllCollegeNCES,0))),ROUND(INDEX(AllCollegeGR, MATCH(N708,AllCollegeNCES,0))+Z708*IF(INDEX(AllCollegeGR, MATCH(N708,AllCollegeNCES,0))&gt;0.7,(1-INDEX(AllCollegeGR, MATCH(N708,AllCollegeNCES,0)))/2,0.15),2),INDEX(AllCollegeGR, MATCH(N708,AllCollegeNCES,0)))</f>
        <v>0</v>
      </c>
      <c r="AB708">
        <f>IF(ISNUMBER(INDEX(AllCollegeAAHGR, MATCH(N708,AllCollegeNCES,0))),ROUND(INDEX(AllCollegeAAHGR, MATCH(N708,AllCollegeNCES,0))+Z708*IF(INDEX(AllCollegeAAHGR, MATCH(N708,AllCollegeNCES,0))&gt;0.7,(1-INDEX(AllCollegeAAHGR, MATCH(N708,AllCollegeNCES,0)))/2,0.15),2),INDEX(AllCollegeAAHGR, MATCH(N708,AllCollegeNCES,0)))</f>
        <v>0</v>
      </c>
      <c r="AC708">
        <f>IF(OR(W708="H",W708="B"),INDEX(AllCollegeSAT25, MATCH(N708,AllCollegeNCES,0)),INDEX(AllCollegeSAT50, MATCH(N708,AllCollegeNCES,0)))</f>
        <v>0</v>
      </c>
      <c r="AD708">
        <f>INDEX(CustomWeightsGPA,MATCH(W708&amp;":"&amp;N708,CustomWeightsIndex,0))</f>
        <v>0</v>
      </c>
      <c r="AE708">
        <f>INDEX(CustomWeightsSAT,MATCH(W708&amp;":"&amp;N708,CustomWeightsIndex,0))</f>
        <v>0</v>
      </c>
      <c r="AF708">
        <f>INDEX(CustomWeightsIntercept,MATCH(W708&amp;":"&amp;N708,CustomWeightsIndex,0))</f>
        <v>0</v>
      </c>
      <c r="AG708">
        <f>AD708*S708+AE708*T708+AF708</f>
        <v>0</v>
      </c>
      <c r="AH708">
        <f>INDEX(CoefficientsGPA,MATCH(W708&amp;":"&amp;R708,CoefficientsIndex,0))</f>
        <v>0</v>
      </c>
      <c r="AI708">
        <f>INDEX(CoefficientsSAT,MATCH(W708&amp;":"&amp;R708,CoefficientsIndex,0))</f>
        <v>0</v>
      </c>
      <c r="AJ708">
        <f>INDEX(CoefficientsIntercept,MATCH(W708&amp;":"&amp;R708,CoefficientsIndex,0))</f>
        <v>0</v>
      </c>
      <c r="AK708">
        <f>AH708*S708+(T708-AC708)*AI708+AJ708</f>
        <v>0</v>
      </c>
      <c r="AL708">
        <f>IF(ISNUMBER(AG708),AG708,AK708)</f>
        <v>0</v>
      </c>
      <c r="AM708">
        <f>IF(ISNUMBER(AL708),IF(ISNUMBER(AH708),IF(AND(AH708=1,AI708=1,AJ708=1),100,MIN(99,ROUND(100*EXP(AL708)/(1+EXP(AL708)),2))),MIN(99,ROUND(100*EXP(AL708)/(1+EXP(AL708)),2))),IF(ISTEXT(R708),IF(LEFT(R708,1)="2",100,"N/A"),"N/A"))</f>
        <v>0</v>
      </c>
      <c r="AN708">
        <f>IF(ISNUMBER(AM708),IF(AM708&gt;=99,IF(OR(U708=10,U708=11),MatchLabel,SureThingLabel),IF(AM708&gt;=95,SecureLabel,IF(AM708&gt;=80,SafetyLabel,IF(AM708&gt;=50,MatchLabel,IF(AM708&gt;=20,ReachLabel,IF(AM708&gt;=10,LongshotLabel,HailMaryLabel)))))),"Other")</f>
        <v>0</v>
      </c>
      <c r="AO708">
        <f>IF(OR(I708="accepted",I708="cond. accept",I708="summer admit"),IF(J708="yes","CHOICE!","Accepted!"),IF(I708="guar. transfer","Guar. Xfer",IF(I708="denied","Denied",IF(K708=1,"Waitlist",IF(L708=1,"Deferred",IF(G708="pending","Pending",IF(OR(G708="initial materials submitted",G708="mid-year submitted",G708="final submitted"),"Submitted",IF(H708="interest","Interest","?"))))))))</f>
        <v>0</v>
      </c>
      <c r="AP708">
        <f>IF(OR(AN708=ReachLabel,AN708=LongshotLabel,AN708=HailMaryLabel),1,0)</f>
        <v>0</v>
      </c>
      <c r="AQ708">
        <f>IF(OR(AP708=1,AN708=MatchLabel),1,0)</f>
        <v>0</v>
      </c>
      <c r="AR708">
        <f>IF(OR(AN708=MatchLabel,AN708=SafetyLabel,AN708=SecureLabel,AN708=SureThingLabel),1,0)</f>
        <v>0</v>
      </c>
      <c r="AS708">
        <f>IF(OR(W708="H",W708="B",W708="I",W708="M"),IF(ISNUMBER(AB708),ROUND(AB708,2),0),IF(ISNUMBER(AA708),ROUND(AA708,2),0))</f>
        <v>0</v>
      </c>
      <c r="AT708">
        <f>IF(AS708&gt;=X708,1,0)</f>
        <v>0</v>
      </c>
      <c r="AU708">
        <f>IF(AS708&gt;=Y708,1,0)</f>
        <v>0</v>
      </c>
      <c r="AV708">
        <f>IF(AS708&lt;(X708-0.10),1,0)</f>
        <v>0</v>
      </c>
      <c r="AW708">
        <f>1-AM708/100</f>
        <v>0</v>
      </c>
      <c r="AX708">
        <f>IF(AQ708=1,AW708,1)</f>
        <v>0</v>
      </c>
      <c r="AY708">
        <f>IF(AP708=1,AW708,1)</f>
        <v>0</v>
      </c>
      <c r="AZ708">
        <f>IF(AND(AT708=1,ISNUMBER(AW708)),$AW708,1)</f>
        <v>0</v>
      </c>
      <c r="BA708">
        <f>IF(AND(AU708=1,ISNUMBER(AW708)),$AW708,1)</f>
        <v>0</v>
      </c>
      <c r="BB708">
        <f>IF(ISNUMBER(AB708),INDEX(AllCollegeMoney, MATCH(N708,AllCollegeNCES,0)),0)</f>
        <v>0</v>
      </c>
      <c r="BC708">
        <f>IF(AND(AT708=1,ISNUMBER(AW708),BB708=1),$AW708,1)</f>
        <v>0</v>
      </c>
      <c r="BD708">
        <f>IF(AND(AU708=1,ISNUMBER(AW708),BB708=1),$AW708,1)</f>
        <v>0</v>
      </c>
      <c r="BE708">
        <f>IF(ISNUMBER(AB708),INDEX(AllCollegeILPub, MATCH(N708,AllCollegeNCES,0)),0)</f>
        <v>0</v>
      </c>
      <c r="BF708">
        <f>IF(AN708=ReachLabel,AS708,0)</f>
        <v>0</v>
      </c>
      <c r="BG708">
        <f>IF(AN708=MatchLabel,AS708,0)</f>
        <v>0</v>
      </c>
      <c r="BH708">
        <f>IF(AN708=SafetyLabel,AS708,0)</f>
        <v>0</v>
      </c>
      <c r="BI708">
        <f>IF(AN708=SecureLabel,AS708,0)</f>
        <v>0</v>
      </c>
      <c r="BJ708">
        <f>IF(AN708=SureThingLabel,AS708,0)</f>
        <v>0</v>
      </c>
      <c r="BK708">
        <f>MAX(BF708:BJ708)</f>
        <v>0</v>
      </c>
      <c r="BL708">
        <f>MAX(BG708:BJ708)</f>
        <v>0</v>
      </c>
      <c r="BM708">
        <f>MAX(BH708:BJ708)</f>
        <v>0</v>
      </c>
      <c r="BN708">
        <f>IF(AND(AN708=ReachLabel,BB708=1),AS708,0)</f>
        <v>0</v>
      </c>
      <c r="BO708">
        <f>IF(AND(AN708=MatchLabel,BB708=1),AS708,0)</f>
        <v>0</v>
      </c>
      <c r="BP708">
        <f>IF(AND(AN708=SafetyLabel,BB708=1),AS708,0)</f>
        <v>0</v>
      </c>
      <c r="BQ708">
        <f>IF(AND(AN708=SecureLabel,BB708=1),AS708,0)</f>
        <v>0</v>
      </c>
      <c r="BR708">
        <f>IF(AND(AN708=SureThingLabel,BB708=1),AS708,0)</f>
        <v>0</v>
      </c>
      <c r="BS708">
        <f>MAX(BN708:BR708)</f>
        <v>0</v>
      </c>
      <c r="BT708">
        <f>MAX(BO708:BR708)</f>
        <v>0</v>
      </c>
      <c r="BU708">
        <f>MAX(BP708:BR708)</f>
        <v>0</v>
      </c>
      <c r="BV708">
        <f>IF(ISNUMBER(AB708),INDEX(AllCollegeChicago, MATCH(N708,AllCollegeNCES,0))*BB708,0)</f>
        <v>0</v>
      </c>
      <c r="BW708">
        <f>IF(ISNUMBER(AB708),INDEX(AllCollegeMoneyCode, MATCH(N708,AllCollegeNCES,0)),"?")</f>
        <v>0</v>
      </c>
      <c r="BX708">
        <f>IF(OR(BW708="---",BW708="--",BW708="+/--",BW708="+/---"),1,0)</f>
        <v>0</v>
      </c>
      <c r="BY708">
        <f>BB708*AR708*AT708</f>
        <v>0</v>
      </c>
    </row>
    <row r="709" spans="1:77">
      <c r="A709" t="s">
        <v>96</v>
      </c>
      <c r="B709">
        <v>30144279</v>
      </c>
      <c r="C709" t="s">
        <v>339</v>
      </c>
      <c r="D709" t="s">
        <v>340</v>
      </c>
      <c r="E709" t="s">
        <v>446</v>
      </c>
      <c r="F709" t="s">
        <v>470</v>
      </c>
      <c r="G709" t="s">
        <v>448</v>
      </c>
      <c r="H709" t="s">
        <v>449</v>
      </c>
      <c r="I709" t="s">
        <v>450</v>
      </c>
      <c r="J709" t="s">
        <v>450</v>
      </c>
      <c r="K709">
        <v>0</v>
      </c>
      <c r="L709" t="s">
        <v>446</v>
      </c>
      <c r="M709" t="s">
        <v>446</v>
      </c>
      <c r="N709">
        <v>240444</v>
      </c>
      <c r="O709">
        <f>INDEX(Counselor,MATCH(B709,KidIDs,0))</f>
        <v>0</v>
      </c>
      <c r="P709">
        <f>INDEX(Advisors,MATCH(B709,KidIDs,0))</f>
        <v>0</v>
      </c>
      <c r="Q709">
        <f>INDEX(Cohort,MATCH(B709,KidIDs,0))</f>
        <v>0</v>
      </c>
      <c r="R709">
        <f>INDEX(AllCollegeBarrons,MATCH(N709,AllCollegeNCES,0))</f>
        <v>0</v>
      </c>
      <c r="S709">
        <f>INDEX(KidGPAs,MATCH(B709,KidIDs,0))</f>
        <v>0</v>
      </c>
      <c r="T709">
        <f>INDEX(KidSATs,MATCH(B709,KidIDs,0))</f>
        <v>0</v>
      </c>
      <c r="U709">
        <f>INDEX(Strats,MATCH(B709,KidIDs,0))</f>
        <v>0</v>
      </c>
      <c r="V709">
        <f>INDEX(KidRace,MATCH(B709,KidIDs,0))</f>
        <v>0</v>
      </c>
      <c r="W709">
        <f>IF(OR(V709="M",V709="I"),"H",IF(V709="P","A",V709))</f>
        <v>0</v>
      </c>
      <c r="X709">
        <f>INDEX(StudentTargets,MATCH(B709,KidIDs,0))</f>
        <v>0</v>
      </c>
      <c r="Y709">
        <f>INDEX(ReachStudentTargets,MATCH(B709,KidIDs,0))</f>
        <v>0</v>
      </c>
      <c r="Z709">
        <f>IF(OR(M709="Posse"),1,0)</f>
        <v>0</v>
      </c>
      <c r="AA709">
        <f>IF(ISNUMBER(INDEX(AllCollegeGR, MATCH(N709,AllCollegeNCES,0))),ROUND(INDEX(AllCollegeGR, MATCH(N709,AllCollegeNCES,0))+Z709*IF(INDEX(AllCollegeGR, MATCH(N709,AllCollegeNCES,0))&gt;0.7,(1-INDEX(AllCollegeGR, MATCH(N709,AllCollegeNCES,0)))/2,0.15),2),INDEX(AllCollegeGR, MATCH(N709,AllCollegeNCES,0)))</f>
        <v>0</v>
      </c>
      <c r="AB709">
        <f>IF(ISNUMBER(INDEX(AllCollegeAAHGR, MATCH(N709,AllCollegeNCES,0))),ROUND(INDEX(AllCollegeAAHGR, MATCH(N709,AllCollegeNCES,0))+Z709*IF(INDEX(AllCollegeAAHGR, MATCH(N709,AllCollegeNCES,0))&gt;0.7,(1-INDEX(AllCollegeAAHGR, MATCH(N709,AllCollegeNCES,0)))/2,0.15),2),INDEX(AllCollegeAAHGR, MATCH(N709,AllCollegeNCES,0)))</f>
        <v>0</v>
      </c>
      <c r="AC709">
        <f>IF(OR(W709="H",W709="B"),INDEX(AllCollegeSAT25, MATCH(N709,AllCollegeNCES,0)),INDEX(AllCollegeSAT50, MATCH(N709,AllCollegeNCES,0)))</f>
        <v>0</v>
      </c>
      <c r="AD709">
        <f>INDEX(CustomWeightsGPA,MATCH(W709&amp;":"&amp;N709,CustomWeightsIndex,0))</f>
        <v>0</v>
      </c>
      <c r="AE709">
        <f>INDEX(CustomWeightsSAT,MATCH(W709&amp;":"&amp;N709,CustomWeightsIndex,0))</f>
        <v>0</v>
      </c>
      <c r="AF709">
        <f>INDEX(CustomWeightsIntercept,MATCH(W709&amp;":"&amp;N709,CustomWeightsIndex,0))</f>
        <v>0</v>
      </c>
      <c r="AG709">
        <f>AD709*S709+AE709*T709+AF709</f>
        <v>0</v>
      </c>
      <c r="AH709">
        <f>INDEX(CoefficientsGPA,MATCH(W709&amp;":"&amp;R709,CoefficientsIndex,0))</f>
        <v>0</v>
      </c>
      <c r="AI709">
        <f>INDEX(CoefficientsSAT,MATCH(W709&amp;":"&amp;R709,CoefficientsIndex,0))</f>
        <v>0</v>
      </c>
      <c r="AJ709">
        <f>INDEX(CoefficientsIntercept,MATCH(W709&amp;":"&amp;R709,CoefficientsIndex,0))</f>
        <v>0</v>
      </c>
      <c r="AK709">
        <f>AH709*S709+(T709-AC709)*AI709+AJ709</f>
        <v>0</v>
      </c>
      <c r="AL709">
        <f>IF(ISNUMBER(AG709),AG709,AK709)</f>
        <v>0</v>
      </c>
      <c r="AM709">
        <f>IF(ISNUMBER(AL709),IF(ISNUMBER(AH709),IF(AND(AH709=1,AI709=1,AJ709=1),100,MIN(99,ROUND(100*EXP(AL709)/(1+EXP(AL709)),2))),MIN(99,ROUND(100*EXP(AL709)/(1+EXP(AL709)),2))),IF(ISTEXT(R709),IF(LEFT(R709,1)="2",100,"N/A"),"N/A"))</f>
        <v>0</v>
      </c>
      <c r="AN709">
        <f>IF(ISNUMBER(AM709),IF(AM709&gt;=99,IF(OR(U709=10,U709=11),MatchLabel,SureThingLabel),IF(AM709&gt;=95,SecureLabel,IF(AM709&gt;=80,SafetyLabel,IF(AM709&gt;=50,MatchLabel,IF(AM709&gt;=20,ReachLabel,IF(AM709&gt;=10,LongshotLabel,HailMaryLabel)))))),"Other")</f>
        <v>0</v>
      </c>
      <c r="AO709">
        <f>IF(OR(I709="accepted",I709="cond. accept",I709="summer admit"),IF(J709="yes","CHOICE!","Accepted!"),IF(I709="guar. transfer","Guar. Xfer",IF(I709="denied","Denied",IF(K709=1,"Waitlist",IF(L709=1,"Deferred",IF(G709="pending","Pending",IF(OR(G709="initial materials submitted",G709="mid-year submitted",G709="final submitted"),"Submitted",IF(H709="interest","Interest","?"))))))))</f>
        <v>0</v>
      </c>
      <c r="AP709">
        <f>IF(OR(AN709=ReachLabel,AN709=LongshotLabel,AN709=HailMaryLabel),1,0)</f>
        <v>0</v>
      </c>
      <c r="AQ709">
        <f>IF(OR(AP709=1,AN709=MatchLabel),1,0)</f>
        <v>0</v>
      </c>
      <c r="AR709">
        <f>IF(OR(AN709=MatchLabel,AN709=SafetyLabel,AN709=SecureLabel,AN709=SureThingLabel),1,0)</f>
        <v>0</v>
      </c>
      <c r="AS709">
        <f>IF(OR(W709="H",W709="B",W709="I",W709="M"),IF(ISNUMBER(AB709),ROUND(AB709,2),0),IF(ISNUMBER(AA709),ROUND(AA709,2),0))</f>
        <v>0</v>
      </c>
      <c r="AT709">
        <f>IF(AS709&gt;=X709,1,0)</f>
        <v>0</v>
      </c>
      <c r="AU709">
        <f>IF(AS709&gt;=Y709,1,0)</f>
        <v>0</v>
      </c>
      <c r="AV709">
        <f>IF(AS709&lt;(X709-0.10),1,0)</f>
        <v>0</v>
      </c>
      <c r="AW709">
        <f>1-AM709/100</f>
        <v>0</v>
      </c>
      <c r="AX709">
        <f>IF(AQ709=1,AW709,1)</f>
        <v>0</v>
      </c>
      <c r="AY709">
        <f>IF(AP709=1,AW709,1)</f>
        <v>0</v>
      </c>
      <c r="AZ709">
        <f>IF(AND(AT709=1,ISNUMBER(AW709)),$AW709,1)</f>
        <v>0</v>
      </c>
      <c r="BA709">
        <f>IF(AND(AU709=1,ISNUMBER(AW709)),$AW709,1)</f>
        <v>0</v>
      </c>
      <c r="BB709">
        <f>IF(ISNUMBER(AB709),INDEX(AllCollegeMoney, MATCH(N709,AllCollegeNCES,0)),0)</f>
        <v>0</v>
      </c>
      <c r="BC709">
        <f>IF(AND(AT709=1,ISNUMBER(AW709),BB709=1),$AW709,1)</f>
        <v>0</v>
      </c>
      <c r="BD709">
        <f>IF(AND(AU709=1,ISNUMBER(AW709),BB709=1),$AW709,1)</f>
        <v>0</v>
      </c>
      <c r="BE709">
        <f>IF(ISNUMBER(AB709),INDEX(AllCollegeILPub, MATCH(N709,AllCollegeNCES,0)),0)</f>
        <v>0</v>
      </c>
      <c r="BF709">
        <f>IF(AN709=ReachLabel,AS709,0)</f>
        <v>0</v>
      </c>
      <c r="BG709">
        <f>IF(AN709=MatchLabel,AS709,0)</f>
        <v>0</v>
      </c>
      <c r="BH709">
        <f>IF(AN709=SafetyLabel,AS709,0)</f>
        <v>0</v>
      </c>
      <c r="BI709">
        <f>IF(AN709=SecureLabel,AS709,0)</f>
        <v>0</v>
      </c>
      <c r="BJ709">
        <f>IF(AN709=SureThingLabel,AS709,0)</f>
        <v>0</v>
      </c>
      <c r="BK709">
        <f>MAX(BF709:BJ709)</f>
        <v>0</v>
      </c>
      <c r="BL709">
        <f>MAX(BG709:BJ709)</f>
        <v>0</v>
      </c>
      <c r="BM709">
        <f>MAX(BH709:BJ709)</f>
        <v>0</v>
      </c>
      <c r="BN709">
        <f>IF(AND(AN709=ReachLabel,BB709=1),AS709,0)</f>
        <v>0</v>
      </c>
      <c r="BO709">
        <f>IF(AND(AN709=MatchLabel,BB709=1),AS709,0)</f>
        <v>0</v>
      </c>
      <c r="BP709">
        <f>IF(AND(AN709=SafetyLabel,BB709=1),AS709,0)</f>
        <v>0</v>
      </c>
      <c r="BQ709">
        <f>IF(AND(AN709=SecureLabel,BB709=1),AS709,0)</f>
        <v>0</v>
      </c>
      <c r="BR709">
        <f>IF(AND(AN709=SureThingLabel,BB709=1),AS709,0)</f>
        <v>0</v>
      </c>
      <c r="BS709">
        <f>MAX(BN709:BR709)</f>
        <v>0</v>
      </c>
      <c r="BT709">
        <f>MAX(BO709:BR709)</f>
        <v>0</v>
      </c>
      <c r="BU709">
        <f>MAX(BP709:BR709)</f>
        <v>0</v>
      </c>
      <c r="BV709">
        <f>IF(ISNUMBER(AB709),INDEX(AllCollegeChicago, MATCH(N709,AllCollegeNCES,0))*BB709,0)</f>
        <v>0</v>
      </c>
      <c r="BW709">
        <f>IF(ISNUMBER(AB709),INDEX(AllCollegeMoneyCode, MATCH(N709,AllCollegeNCES,0)),"?")</f>
        <v>0</v>
      </c>
      <c r="BX709">
        <f>IF(OR(BW709="---",BW709="--",BW709="+/--",BW709="+/---"),1,0)</f>
        <v>0</v>
      </c>
      <c r="BY709">
        <f>BB709*AR709*AT709</f>
        <v>0</v>
      </c>
    </row>
    <row r="710" spans="1:77">
      <c r="A710" t="s">
        <v>96</v>
      </c>
      <c r="B710">
        <v>30144279</v>
      </c>
      <c r="C710" t="s">
        <v>339</v>
      </c>
      <c r="D710" t="s">
        <v>340</v>
      </c>
      <c r="E710" t="s">
        <v>446</v>
      </c>
      <c r="F710" t="s">
        <v>475</v>
      </c>
      <c r="G710" t="s">
        <v>448</v>
      </c>
      <c r="H710" t="s">
        <v>449</v>
      </c>
      <c r="I710" t="s">
        <v>450</v>
      </c>
      <c r="J710" t="s">
        <v>450</v>
      </c>
      <c r="K710">
        <v>0</v>
      </c>
      <c r="L710" t="s">
        <v>446</v>
      </c>
      <c r="M710" t="s">
        <v>446</v>
      </c>
      <c r="N710">
        <v>145637</v>
      </c>
      <c r="O710">
        <f>INDEX(Counselor,MATCH(B710,KidIDs,0))</f>
        <v>0</v>
      </c>
      <c r="P710">
        <f>INDEX(Advisors,MATCH(B710,KidIDs,0))</f>
        <v>0</v>
      </c>
      <c r="Q710">
        <f>INDEX(Cohort,MATCH(B710,KidIDs,0))</f>
        <v>0</v>
      </c>
      <c r="R710">
        <f>INDEX(AllCollegeBarrons,MATCH(N710,AllCollegeNCES,0))</f>
        <v>0</v>
      </c>
      <c r="S710">
        <f>INDEX(KidGPAs,MATCH(B710,KidIDs,0))</f>
        <v>0</v>
      </c>
      <c r="T710">
        <f>INDEX(KidSATs,MATCH(B710,KidIDs,0))</f>
        <v>0</v>
      </c>
      <c r="U710">
        <f>INDEX(Strats,MATCH(B710,KidIDs,0))</f>
        <v>0</v>
      </c>
      <c r="V710">
        <f>INDEX(KidRace,MATCH(B710,KidIDs,0))</f>
        <v>0</v>
      </c>
      <c r="W710">
        <f>IF(OR(V710="M",V710="I"),"H",IF(V710="P","A",V710))</f>
        <v>0</v>
      </c>
      <c r="X710">
        <f>INDEX(StudentTargets,MATCH(B710,KidIDs,0))</f>
        <v>0</v>
      </c>
      <c r="Y710">
        <f>INDEX(ReachStudentTargets,MATCH(B710,KidIDs,0))</f>
        <v>0</v>
      </c>
      <c r="Z710">
        <f>IF(OR(M710="Posse"),1,0)</f>
        <v>0</v>
      </c>
      <c r="AA710">
        <f>IF(ISNUMBER(INDEX(AllCollegeGR, MATCH(N710,AllCollegeNCES,0))),ROUND(INDEX(AllCollegeGR, MATCH(N710,AllCollegeNCES,0))+Z710*IF(INDEX(AllCollegeGR, MATCH(N710,AllCollegeNCES,0))&gt;0.7,(1-INDEX(AllCollegeGR, MATCH(N710,AllCollegeNCES,0)))/2,0.15),2),INDEX(AllCollegeGR, MATCH(N710,AllCollegeNCES,0)))</f>
        <v>0</v>
      </c>
      <c r="AB710">
        <f>IF(ISNUMBER(INDEX(AllCollegeAAHGR, MATCH(N710,AllCollegeNCES,0))),ROUND(INDEX(AllCollegeAAHGR, MATCH(N710,AllCollegeNCES,0))+Z710*IF(INDEX(AllCollegeAAHGR, MATCH(N710,AllCollegeNCES,0))&gt;0.7,(1-INDEX(AllCollegeAAHGR, MATCH(N710,AllCollegeNCES,0)))/2,0.15),2),INDEX(AllCollegeAAHGR, MATCH(N710,AllCollegeNCES,0)))</f>
        <v>0</v>
      </c>
      <c r="AC710">
        <f>IF(OR(W710="H",W710="B"),INDEX(AllCollegeSAT25, MATCH(N710,AllCollegeNCES,0)),INDEX(AllCollegeSAT50, MATCH(N710,AllCollegeNCES,0)))</f>
        <v>0</v>
      </c>
      <c r="AD710">
        <f>INDEX(CustomWeightsGPA,MATCH(W710&amp;":"&amp;N710,CustomWeightsIndex,0))</f>
        <v>0</v>
      </c>
      <c r="AE710">
        <f>INDEX(CustomWeightsSAT,MATCH(W710&amp;":"&amp;N710,CustomWeightsIndex,0))</f>
        <v>0</v>
      </c>
      <c r="AF710">
        <f>INDEX(CustomWeightsIntercept,MATCH(W710&amp;":"&amp;N710,CustomWeightsIndex,0))</f>
        <v>0</v>
      </c>
      <c r="AG710">
        <f>AD710*S710+AE710*T710+AF710</f>
        <v>0</v>
      </c>
      <c r="AH710">
        <f>INDEX(CoefficientsGPA,MATCH(W710&amp;":"&amp;R710,CoefficientsIndex,0))</f>
        <v>0</v>
      </c>
      <c r="AI710">
        <f>INDEX(CoefficientsSAT,MATCH(W710&amp;":"&amp;R710,CoefficientsIndex,0))</f>
        <v>0</v>
      </c>
      <c r="AJ710">
        <f>INDEX(CoefficientsIntercept,MATCH(W710&amp;":"&amp;R710,CoefficientsIndex,0))</f>
        <v>0</v>
      </c>
      <c r="AK710">
        <f>AH710*S710+(T710-AC710)*AI710+AJ710</f>
        <v>0</v>
      </c>
      <c r="AL710">
        <f>IF(ISNUMBER(AG710),AG710,AK710)</f>
        <v>0</v>
      </c>
      <c r="AM710">
        <f>IF(ISNUMBER(AL710),IF(ISNUMBER(AH710),IF(AND(AH710=1,AI710=1,AJ710=1),100,MIN(99,ROUND(100*EXP(AL710)/(1+EXP(AL710)),2))),MIN(99,ROUND(100*EXP(AL710)/(1+EXP(AL710)),2))),IF(ISTEXT(R710),IF(LEFT(R710,1)="2",100,"N/A"),"N/A"))</f>
        <v>0</v>
      </c>
      <c r="AN710">
        <f>IF(ISNUMBER(AM710),IF(AM710&gt;=99,IF(OR(U710=10,U710=11),MatchLabel,SureThingLabel),IF(AM710&gt;=95,SecureLabel,IF(AM710&gt;=80,SafetyLabel,IF(AM710&gt;=50,MatchLabel,IF(AM710&gt;=20,ReachLabel,IF(AM710&gt;=10,LongshotLabel,HailMaryLabel)))))),"Other")</f>
        <v>0</v>
      </c>
      <c r="AO710">
        <f>IF(OR(I710="accepted",I710="cond. accept",I710="summer admit"),IF(J710="yes","CHOICE!","Accepted!"),IF(I710="guar. transfer","Guar. Xfer",IF(I710="denied","Denied",IF(K710=1,"Waitlist",IF(L710=1,"Deferred",IF(G710="pending","Pending",IF(OR(G710="initial materials submitted",G710="mid-year submitted",G710="final submitted"),"Submitted",IF(H710="interest","Interest","?"))))))))</f>
        <v>0</v>
      </c>
      <c r="AP710">
        <f>IF(OR(AN710=ReachLabel,AN710=LongshotLabel,AN710=HailMaryLabel),1,0)</f>
        <v>0</v>
      </c>
      <c r="AQ710">
        <f>IF(OR(AP710=1,AN710=MatchLabel),1,0)</f>
        <v>0</v>
      </c>
      <c r="AR710">
        <f>IF(OR(AN710=MatchLabel,AN710=SafetyLabel,AN710=SecureLabel,AN710=SureThingLabel),1,0)</f>
        <v>0</v>
      </c>
      <c r="AS710">
        <f>IF(OR(W710="H",W710="B",W710="I",W710="M"),IF(ISNUMBER(AB710),ROUND(AB710,2),0),IF(ISNUMBER(AA710),ROUND(AA710,2),0))</f>
        <v>0</v>
      </c>
      <c r="AT710">
        <f>IF(AS710&gt;=X710,1,0)</f>
        <v>0</v>
      </c>
      <c r="AU710">
        <f>IF(AS710&gt;=Y710,1,0)</f>
        <v>0</v>
      </c>
      <c r="AV710">
        <f>IF(AS710&lt;(X710-0.10),1,0)</f>
        <v>0</v>
      </c>
      <c r="AW710">
        <f>1-AM710/100</f>
        <v>0</v>
      </c>
      <c r="AX710">
        <f>IF(AQ710=1,AW710,1)</f>
        <v>0</v>
      </c>
      <c r="AY710">
        <f>IF(AP710=1,AW710,1)</f>
        <v>0</v>
      </c>
      <c r="AZ710">
        <f>IF(AND(AT710=1,ISNUMBER(AW710)),$AW710,1)</f>
        <v>0</v>
      </c>
      <c r="BA710">
        <f>IF(AND(AU710=1,ISNUMBER(AW710)),$AW710,1)</f>
        <v>0</v>
      </c>
      <c r="BB710">
        <f>IF(ISNUMBER(AB710),INDEX(AllCollegeMoney, MATCH(N710,AllCollegeNCES,0)),0)</f>
        <v>0</v>
      </c>
      <c r="BC710">
        <f>IF(AND(AT710=1,ISNUMBER(AW710),BB710=1),$AW710,1)</f>
        <v>0</v>
      </c>
      <c r="BD710">
        <f>IF(AND(AU710=1,ISNUMBER(AW710),BB710=1),$AW710,1)</f>
        <v>0</v>
      </c>
      <c r="BE710">
        <f>IF(ISNUMBER(AB710),INDEX(AllCollegeILPub, MATCH(N710,AllCollegeNCES,0)),0)</f>
        <v>0</v>
      </c>
      <c r="BF710">
        <f>IF(AN710=ReachLabel,AS710,0)</f>
        <v>0</v>
      </c>
      <c r="BG710">
        <f>IF(AN710=MatchLabel,AS710,0)</f>
        <v>0</v>
      </c>
      <c r="BH710">
        <f>IF(AN710=SafetyLabel,AS710,0)</f>
        <v>0</v>
      </c>
      <c r="BI710">
        <f>IF(AN710=SecureLabel,AS710,0)</f>
        <v>0</v>
      </c>
      <c r="BJ710">
        <f>IF(AN710=SureThingLabel,AS710,0)</f>
        <v>0</v>
      </c>
      <c r="BK710">
        <f>MAX(BF710:BJ710)</f>
        <v>0</v>
      </c>
      <c r="BL710">
        <f>MAX(BG710:BJ710)</f>
        <v>0</v>
      </c>
      <c r="BM710">
        <f>MAX(BH710:BJ710)</f>
        <v>0</v>
      </c>
      <c r="BN710">
        <f>IF(AND(AN710=ReachLabel,BB710=1),AS710,0)</f>
        <v>0</v>
      </c>
      <c r="BO710">
        <f>IF(AND(AN710=MatchLabel,BB710=1),AS710,0)</f>
        <v>0</v>
      </c>
      <c r="BP710">
        <f>IF(AND(AN710=SafetyLabel,BB710=1),AS710,0)</f>
        <v>0</v>
      </c>
      <c r="BQ710">
        <f>IF(AND(AN710=SecureLabel,BB710=1),AS710,0)</f>
        <v>0</v>
      </c>
      <c r="BR710">
        <f>IF(AND(AN710=SureThingLabel,BB710=1),AS710,0)</f>
        <v>0</v>
      </c>
      <c r="BS710">
        <f>MAX(BN710:BR710)</f>
        <v>0</v>
      </c>
      <c r="BT710">
        <f>MAX(BO710:BR710)</f>
        <v>0</v>
      </c>
      <c r="BU710">
        <f>MAX(BP710:BR710)</f>
        <v>0</v>
      </c>
      <c r="BV710">
        <f>IF(ISNUMBER(AB710),INDEX(AllCollegeChicago, MATCH(N710,AllCollegeNCES,0))*BB710,0)</f>
        <v>0</v>
      </c>
      <c r="BW710">
        <f>IF(ISNUMBER(AB710),INDEX(AllCollegeMoneyCode, MATCH(N710,AllCollegeNCES,0)),"?")</f>
        <v>0</v>
      </c>
      <c r="BX710">
        <f>IF(OR(BW710="---",BW710="--",BW710="+/--",BW710="+/---"),1,0)</f>
        <v>0</v>
      </c>
      <c r="BY710">
        <f>BB710*AR710*AT710</f>
        <v>0</v>
      </c>
    </row>
    <row r="711" spans="1:77">
      <c r="A711" t="s">
        <v>96</v>
      </c>
      <c r="B711">
        <v>30144279</v>
      </c>
      <c r="C711" t="s">
        <v>339</v>
      </c>
      <c r="D711" t="s">
        <v>340</v>
      </c>
      <c r="E711" t="s">
        <v>446</v>
      </c>
      <c r="F711" t="s">
        <v>447</v>
      </c>
      <c r="G711" t="s">
        <v>448</v>
      </c>
      <c r="H711" t="s">
        <v>449</v>
      </c>
      <c r="I711" t="s">
        <v>450</v>
      </c>
      <c r="J711" t="s">
        <v>450</v>
      </c>
      <c r="K711">
        <v>0</v>
      </c>
      <c r="L711" t="s">
        <v>446</v>
      </c>
      <c r="M711" t="s">
        <v>446</v>
      </c>
      <c r="N711">
        <v>148496</v>
      </c>
      <c r="O711">
        <f>INDEX(Counselor,MATCH(B711,KidIDs,0))</f>
        <v>0</v>
      </c>
      <c r="P711">
        <f>INDEX(Advisors,MATCH(B711,KidIDs,0))</f>
        <v>0</v>
      </c>
      <c r="Q711">
        <f>INDEX(Cohort,MATCH(B711,KidIDs,0))</f>
        <v>0</v>
      </c>
      <c r="R711">
        <f>INDEX(AllCollegeBarrons,MATCH(N711,AllCollegeNCES,0))</f>
        <v>0</v>
      </c>
      <c r="S711">
        <f>INDEX(KidGPAs,MATCH(B711,KidIDs,0))</f>
        <v>0</v>
      </c>
      <c r="T711">
        <f>INDEX(KidSATs,MATCH(B711,KidIDs,0))</f>
        <v>0</v>
      </c>
      <c r="U711">
        <f>INDEX(Strats,MATCH(B711,KidIDs,0))</f>
        <v>0</v>
      </c>
      <c r="V711">
        <f>INDEX(KidRace,MATCH(B711,KidIDs,0))</f>
        <v>0</v>
      </c>
      <c r="W711">
        <f>IF(OR(V711="M",V711="I"),"H",IF(V711="P","A",V711))</f>
        <v>0</v>
      </c>
      <c r="X711">
        <f>INDEX(StudentTargets,MATCH(B711,KidIDs,0))</f>
        <v>0</v>
      </c>
      <c r="Y711">
        <f>INDEX(ReachStudentTargets,MATCH(B711,KidIDs,0))</f>
        <v>0</v>
      </c>
      <c r="Z711">
        <f>IF(OR(M711="Posse"),1,0)</f>
        <v>0</v>
      </c>
      <c r="AA711">
        <f>IF(ISNUMBER(INDEX(AllCollegeGR, MATCH(N711,AllCollegeNCES,0))),ROUND(INDEX(AllCollegeGR, MATCH(N711,AllCollegeNCES,0))+Z711*IF(INDEX(AllCollegeGR, MATCH(N711,AllCollegeNCES,0))&gt;0.7,(1-INDEX(AllCollegeGR, MATCH(N711,AllCollegeNCES,0)))/2,0.15),2),INDEX(AllCollegeGR, MATCH(N711,AllCollegeNCES,0)))</f>
        <v>0</v>
      </c>
      <c r="AB711">
        <f>IF(ISNUMBER(INDEX(AllCollegeAAHGR, MATCH(N711,AllCollegeNCES,0))),ROUND(INDEX(AllCollegeAAHGR, MATCH(N711,AllCollegeNCES,0))+Z711*IF(INDEX(AllCollegeAAHGR, MATCH(N711,AllCollegeNCES,0))&gt;0.7,(1-INDEX(AllCollegeAAHGR, MATCH(N711,AllCollegeNCES,0)))/2,0.15),2),INDEX(AllCollegeAAHGR, MATCH(N711,AllCollegeNCES,0)))</f>
        <v>0</v>
      </c>
      <c r="AC711">
        <f>IF(OR(W711="H",W711="B"),INDEX(AllCollegeSAT25, MATCH(N711,AllCollegeNCES,0)),INDEX(AllCollegeSAT50, MATCH(N711,AllCollegeNCES,0)))</f>
        <v>0</v>
      </c>
      <c r="AD711">
        <f>INDEX(CustomWeightsGPA,MATCH(W711&amp;":"&amp;N711,CustomWeightsIndex,0))</f>
        <v>0</v>
      </c>
      <c r="AE711">
        <f>INDEX(CustomWeightsSAT,MATCH(W711&amp;":"&amp;N711,CustomWeightsIndex,0))</f>
        <v>0</v>
      </c>
      <c r="AF711">
        <f>INDEX(CustomWeightsIntercept,MATCH(W711&amp;":"&amp;N711,CustomWeightsIndex,0))</f>
        <v>0</v>
      </c>
      <c r="AG711">
        <f>AD711*S711+AE711*T711+AF711</f>
        <v>0</v>
      </c>
      <c r="AH711">
        <f>INDEX(CoefficientsGPA,MATCH(W711&amp;":"&amp;R711,CoefficientsIndex,0))</f>
        <v>0</v>
      </c>
      <c r="AI711">
        <f>INDEX(CoefficientsSAT,MATCH(W711&amp;":"&amp;R711,CoefficientsIndex,0))</f>
        <v>0</v>
      </c>
      <c r="AJ711">
        <f>INDEX(CoefficientsIntercept,MATCH(W711&amp;":"&amp;R711,CoefficientsIndex,0))</f>
        <v>0</v>
      </c>
      <c r="AK711">
        <f>AH711*S711+(T711-AC711)*AI711+AJ711</f>
        <v>0</v>
      </c>
      <c r="AL711">
        <f>IF(ISNUMBER(AG711),AG711,AK711)</f>
        <v>0</v>
      </c>
      <c r="AM711">
        <f>IF(ISNUMBER(AL711),IF(ISNUMBER(AH711),IF(AND(AH711=1,AI711=1,AJ711=1),100,MIN(99,ROUND(100*EXP(AL711)/(1+EXP(AL711)),2))),MIN(99,ROUND(100*EXP(AL711)/(1+EXP(AL711)),2))),IF(ISTEXT(R711),IF(LEFT(R711,1)="2",100,"N/A"),"N/A"))</f>
        <v>0</v>
      </c>
      <c r="AN711">
        <f>IF(ISNUMBER(AM711),IF(AM711&gt;=99,IF(OR(U711=10,U711=11),MatchLabel,SureThingLabel),IF(AM711&gt;=95,SecureLabel,IF(AM711&gt;=80,SafetyLabel,IF(AM711&gt;=50,MatchLabel,IF(AM711&gt;=20,ReachLabel,IF(AM711&gt;=10,LongshotLabel,HailMaryLabel)))))),"Other")</f>
        <v>0</v>
      </c>
      <c r="AO711">
        <f>IF(OR(I711="accepted",I711="cond. accept",I711="summer admit"),IF(J711="yes","CHOICE!","Accepted!"),IF(I711="guar. transfer","Guar. Xfer",IF(I711="denied","Denied",IF(K711=1,"Waitlist",IF(L711=1,"Deferred",IF(G711="pending","Pending",IF(OR(G711="initial materials submitted",G711="mid-year submitted",G711="final submitted"),"Submitted",IF(H711="interest","Interest","?"))))))))</f>
        <v>0</v>
      </c>
      <c r="AP711">
        <f>IF(OR(AN711=ReachLabel,AN711=LongshotLabel,AN711=HailMaryLabel),1,0)</f>
        <v>0</v>
      </c>
      <c r="AQ711">
        <f>IF(OR(AP711=1,AN711=MatchLabel),1,0)</f>
        <v>0</v>
      </c>
      <c r="AR711">
        <f>IF(OR(AN711=MatchLabel,AN711=SafetyLabel,AN711=SecureLabel,AN711=SureThingLabel),1,0)</f>
        <v>0</v>
      </c>
      <c r="AS711">
        <f>IF(OR(W711="H",W711="B",W711="I",W711="M"),IF(ISNUMBER(AB711),ROUND(AB711,2),0),IF(ISNUMBER(AA711),ROUND(AA711,2),0))</f>
        <v>0</v>
      </c>
      <c r="AT711">
        <f>IF(AS711&gt;=X711,1,0)</f>
        <v>0</v>
      </c>
      <c r="AU711">
        <f>IF(AS711&gt;=Y711,1,0)</f>
        <v>0</v>
      </c>
      <c r="AV711">
        <f>IF(AS711&lt;(X711-0.10),1,0)</f>
        <v>0</v>
      </c>
      <c r="AW711">
        <f>1-AM711/100</f>
        <v>0</v>
      </c>
      <c r="AX711">
        <f>IF(AQ711=1,AW711,1)</f>
        <v>0</v>
      </c>
      <c r="AY711">
        <f>IF(AP711=1,AW711,1)</f>
        <v>0</v>
      </c>
      <c r="AZ711">
        <f>IF(AND(AT711=1,ISNUMBER(AW711)),$AW711,1)</f>
        <v>0</v>
      </c>
      <c r="BA711">
        <f>IF(AND(AU711=1,ISNUMBER(AW711)),$AW711,1)</f>
        <v>0</v>
      </c>
      <c r="BB711">
        <f>IF(ISNUMBER(AB711),INDEX(AllCollegeMoney, MATCH(N711,AllCollegeNCES,0)),0)</f>
        <v>0</v>
      </c>
      <c r="BC711">
        <f>IF(AND(AT711=1,ISNUMBER(AW711),BB711=1),$AW711,1)</f>
        <v>0</v>
      </c>
      <c r="BD711">
        <f>IF(AND(AU711=1,ISNUMBER(AW711),BB711=1),$AW711,1)</f>
        <v>0</v>
      </c>
      <c r="BE711">
        <f>IF(ISNUMBER(AB711),INDEX(AllCollegeILPub, MATCH(N711,AllCollegeNCES,0)),0)</f>
        <v>0</v>
      </c>
      <c r="BF711">
        <f>IF(AN711=ReachLabel,AS711,0)</f>
        <v>0</v>
      </c>
      <c r="BG711">
        <f>IF(AN711=MatchLabel,AS711,0)</f>
        <v>0</v>
      </c>
      <c r="BH711">
        <f>IF(AN711=SafetyLabel,AS711,0)</f>
        <v>0</v>
      </c>
      <c r="BI711">
        <f>IF(AN711=SecureLabel,AS711,0)</f>
        <v>0</v>
      </c>
      <c r="BJ711">
        <f>IF(AN711=SureThingLabel,AS711,0)</f>
        <v>0</v>
      </c>
      <c r="BK711">
        <f>MAX(BF711:BJ711)</f>
        <v>0</v>
      </c>
      <c r="BL711">
        <f>MAX(BG711:BJ711)</f>
        <v>0</v>
      </c>
      <c r="BM711">
        <f>MAX(BH711:BJ711)</f>
        <v>0</v>
      </c>
      <c r="BN711">
        <f>IF(AND(AN711=ReachLabel,BB711=1),AS711,0)</f>
        <v>0</v>
      </c>
      <c r="BO711">
        <f>IF(AND(AN711=MatchLabel,BB711=1),AS711,0)</f>
        <v>0</v>
      </c>
      <c r="BP711">
        <f>IF(AND(AN711=SafetyLabel,BB711=1),AS711,0)</f>
        <v>0</v>
      </c>
      <c r="BQ711">
        <f>IF(AND(AN711=SecureLabel,BB711=1),AS711,0)</f>
        <v>0</v>
      </c>
      <c r="BR711">
        <f>IF(AND(AN711=SureThingLabel,BB711=1),AS711,0)</f>
        <v>0</v>
      </c>
      <c r="BS711">
        <f>MAX(BN711:BR711)</f>
        <v>0</v>
      </c>
      <c r="BT711">
        <f>MAX(BO711:BR711)</f>
        <v>0</v>
      </c>
      <c r="BU711">
        <f>MAX(BP711:BR711)</f>
        <v>0</v>
      </c>
      <c r="BV711">
        <f>IF(ISNUMBER(AB711),INDEX(AllCollegeChicago, MATCH(N711,AllCollegeNCES,0))*BB711,0)</f>
        <v>0</v>
      </c>
      <c r="BW711">
        <f>IF(ISNUMBER(AB711),INDEX(AllCollegeMoneyCode, MATCH(N711,AllCollegeNCES,0)),"?")</f>
        <v>0</v>
      </c>
      <c r="BX711">
        <f>IF(OR(BW711="---",BW711="--",BW711="+/--",BW711="+/---"),1,0)</f>
        <v>0</v>
      </c>
      <c r="BY711">
        <f>BB711*AR711*AT711</f>
        <v>0</v>
      </c>
    </row>
    <row r="712" spans="1:77">
      <c r="A712" t="s">
        <v>96</v>
      </c>
      <c r="B712">
        <v>30144279</v>
      </c>
      <c r="C712" t="s">
        <v>339</v>
      </c>
      <c r="D712" t="s">
        <v>340</v>
      </c>
      <c r="E712" t="s">
        <v>446</v>
      </c>
      <c r="F712" t="s">
        <v>535</v>
      </c>
      <c r="G712" t="s">
        <v>448</v>
      </c>
      <c r="H712" t="s">
        <v>449</v>
      </c>
      <c r="I712" t="s">
        <v>450</v>
      </c>
      <c r="J712" t="s">
        <v>450</v>
      </c>
      <c r="K712">
        <v>0</v>
      </c>
      <c r="L712" t="s">
        <v>446</v>
      </c>
      <c r="M712" t="s">
        <v>446</v>
      </c>
      <c r="N712">
        <v>146719</v>
      </c>
      <c r="O712">
        <f>INDEX(Counselor,MATCH(B712,KidIDs,0))</f>
        <v>0</v>
      </c>
      <c r="P712">
        <f>INDEX(Advisors,MATCH(B712,KidIDs,0))</f>
        <v>0</v>
      </c>
      <c r="Q712">
        <f>INDEX(Cohort,MATCH(B712,KidIDs,0))</f>
        <v>0</v>
      </c>
      <c r="R712">
        <f>INDEX(AllCollegeBarrons,MATCH(N712,AllCollegeNCES,0))</f>
        <v>0</v>
      </c>
      <c r="S712">
        <f>INDEX(KidGPAs,MATCH(B712,KidIDs,0))</f>
        <v>0</v>
      </c>
      <c r="T712">
        <f>INDEX(KidSATs,MATCH(B712,KidIDs,0))</f>
        <v>0</v>
      </c>
      <c r="U712">
        <f>INDEX(Strats,MATCH(B712,KidIDs,0))</f>
        <v>0</v>
      </c>
      <c r="V712">
        <f>INDEX(KidRace,MATCH(B712,KidIDs,0))</f>
        <v>0</v>
      </c>
      <c r="W712">
        <f>IF(OR(V712="M",V712="I"),"H",IF(V712="P","A",V712))</f>
        <v>0</v>
      </c>
      <c r="X712">
        <f>INDEX(StudentTargets,MATCH(B712,KidIDs,0))</f>
        <v>0</v>
      </c>
      <c r="Y712">
        <f>INDEX(ReachStudentTargets,MATCH(B712,KidIDs,0))</f>
        <v>0</v>
      </c>
      <c r="Z712">
        <f>IF(OR(M712="Posse"),1,0)</f>
        <v>0</v>
      </c>
      <c r="AA712">
        <f>IF(ISNUMBER(INDEX(AllCollegeGR, MATCH(N712,AllCollegeNCES,0))),ROUND(INDEX(AllCollegeGR, MATCH(N712,AllCollegeNCES,0))+Z712*IF(INDEX(AllCollegeGR, MATCH(N712,AllCollegeNCES,0))&gt;0.7,(1-INDEX(AllCollegeGR, MATCH(N712,AllCollegeNCES,0)))/2,0.15),2),INDEX(AllCollegeGR, MATCH(N712,AllCollegeNCES,0)))</f>
        <v>0</v>
      </c>
      <c r="AB712">
        <f>IF(ISNUMBER(INDEX(AllCollegeAAHGR, MATCH(N712,AllCollegeNCES,0))),ROUND(INDEX(AllCollegeAAHGR, MATCH(N712,AllCollegeNCES,0))+Z712*IF(INDEX(AllCollegeAAHGR, MATCH(N712,AllCollegeNCES,0))&gt;0.7,(1-INDEX(AllCollegeAAHGR, MATCH(N712,AllCollegeNCES,0)))/2,0.15),2),INDEX(AllCollegeAAHGR, MATCH(N712,AllCollegeNCES,0)))</f>
        <v>0</v>
      </c>
      <c r="AC712">
        <f>IF(OR(W712="H",W712="B"),INDEX(AllCollegeSAT25, MATCH(N712,AllCollegeNCES,0)),INDEX(AllCollegeSAT50, MATCH(N712,AllCollegeNCES,0)))</f>
        <v>0</v>
      </c>
      <c r="AD712">
        <f>INDEX(CustomWeightsGPA,MATCH(W712&amp;":"&amp;N712,CustomWeightsIndex,0))</f>
        <v>0</v>
      </c>
      <c r="AE712">
        <f>INDEX(CustomWeightsSAT,MATCH(W712&amp;":"&amp;N712,CustomWeightsIndex,0))</f>
        <v>0</v>
      </c>
      <c r="AF712">
        <f>INDEX(CustomWeightsIntercept,MATCH(W712&amp;":"&amp;N712,CustomWeightsIndex,0))</f>
        <v>0</v>
      </c>
      <c r="AG712">
        <f>AD712*S712+AE712*T712+AF712</f>
        <v>0</v>
      </c>
      <c r="AH712">
        <f>INDEX(CoefficientsGPA,MATCH(W712&amp;":"&amp;R712,CoefficientsIndex,0))</f>
        <v>0</v>
      </c>
      <c r="AI712">
        <f>INDEX(CoefficientsSAT,MATCH(W712&amp;":"&amp;R712,CoefficientsIndex,0))</f>
        <v>0</v>
      </c>
      <c r="AJ712">
        <f>INDEX(CoefficientsIntercept,MATCH(W712&amp;":"&amp;R712,CoefficientsIndex,0))</f>
        <v>0</v>
      </c>
      <c r="AK712">
        <f>AH712*S712+(T712-AC712)*AI712+AJ712</f>
        <v>0</v>
      </c>
      <c r="AL712">
        <f>IF(ISNUMBER(AG712),AG712,AK712)</f>
        <v>0</v>
      </c>
      <c r="AM712">
        <f>IF(ISNUMBER(AL712),IF(ISNUMBER(AH712),IF(AND(AH712=1,AI712=1,AJ712=1),100,MIN(99,ROUND(100*EXP(AL712)/(1+EXP(AL712)),2))),MIN(99,ROUND(100*EXP(AL712)/(1+EXP(AL712)),2))),IF(ISTEXT(R712),IF(LEFT(R712,1)="2",100,"N/A"),"N/A"))</f>
        <v>0</v>
      </c>
      <c r="AN712">
        <f>IF(ISNUMBER(AM712),IF(AM712&gt;=99,IF(OR(U712=10,U712=11),MatchLabel,SureThingLabel),IF(AM712&gt;=95,SecureLabel,IF(AM712&gt;=80,SafetyLabel,IF(AM712&gt;=50,MatchLabel,IF(AM712&gt;=20,ReachLabel,IF(AM712&gt;=10,LongshotLabel,HailMaryLabel)))))),"Other")</f>
        <v>0</v>
      </c>
      <c r="AO712">
        <f>IF(OR(I712="accepted",I712="cond. accept",I712="summer admit"),IF(J712="yes","CHOICE!","Accepted!"),IF(I712="guar. transfer","Guar. Xfer",IF(I712="denied","Denied",IF(K712=1,"Waitlist",IF(L712=1,"Deferred",IF(G712="pending","Pending",IF(OR(G712="initial materials submitted",G712="mid-year submitted",G712="final submitted"),"Submitted",IF(H712="interest","Interest","?"))))))))</f>
        <v>0</v>
      </c>
      <c r="AP712">
        <f>IF(OR(AN712=ReachLabel,AN712=LongshotLabel,AN712=HailMaryLabel),1,0)</f>
        <v>0</v>
      </c>
      <c r="AQ712">
        <f>IF(OR(AP712=1,AN712=MatchLabel),1,0)</f>
        <v>0</v>
      </c>
      <c r="AR712">
        <f>IF(OR(AN712=MatchLabel,AN712=SafetyLabel,AN712=SecureLabel,AN712=SureThingLabel),1,0)</f>
        <v>0</v>
      </c>
      <c r="AS712">
        <f>IF(OR(W712="H",W712="B",W712="I",W712="M"),IF(ISNUMBER(AB712),ROUND(AB712,2),0),IF(ISNUMBER(AA712),ROUND(AA712,2),0))</f>
        <v>0</v>
      </c>
      <c r="AT712">
        <f>IF(AS712&gt;=X712,1,0)</f>
        <v>0</v>
      </c>
      <c r="AU712">
        <f>IF(AS712&gt;=Y712,1,0)</f>
        <v>0</v>
      </c>
      <c r="AV712">
        <f>IF(AS712&lt;(X712-0.10),1,0)</f>
        <v>0</v>
      </c>
      <c r="AW712">
        <f>1-AM712/100</f>
        <v>0</v>
      </c>
      <c r="AX712">
        <f>IF(AQ712=1,AW712,1)</f>
        <v>0</v>
      </c>
      <c r="AY712">
        <f>IF(AP712=1,AW712,1)</f>
        <v>0</v>
      </c>
      <c r="AZ712">
        <f>IF(AND(AT712=1,ISNUMBER(AW712)),$AW712,1)</f>
        <v>0</v>
      </c>
      <c r="BA712">
        <f>IF(AND(AU712=1,ISNUMBER(AW712)),$AW712,1)</f>
        <v>0</v>
      </c>
      <c r="BB712">
        <f>IF(ISNUMBER(AB712),INDEX(AllCollegeMoney, MATCH(N712,AllCollegeNCES,0)),0)</f>
        <v>0</v>
      </c>
      <c r="BC712">
        <f>IF(AND(AT712=1,ISNUMBER(AW712),BB712=1),$AW712,1)</f>
        <v>0</v>
      </c>
      <c r="BD712">
        <f>IF(AND(AU712=1,ISNUMBER(AW712),BB712=1),$AW712,1)</f>
        <v>0</v>
      </c>
      <c r="BE712">
        <f>IF(ISNUMBER(AB712),INDEX(AllCollegeILPub, MATCH(N712,AllCollegeNCES,0)),0)</f>
        <v>0</v>
      </c>
      <c r="BF712">
        <f>IF(AN712=ReachLabel,AS712,0)</f>
        <v>0</v>
      </c>
      <c r="BG712">
        <f>IF(AN712=MatchLabel,AS712,0)</f>
        <v>0</v>
      </c>
      <c r="BH712">
        <f>IF(AN712=SafetyLabel,AS712,0)</f>
        <v>0</v>
      </c>
      <c r="BI712">
        <f>IF(AN712=SecureLabel,AS712,0)</f>
        <v>0</v>
      </c>
      <c r="BJ712">
        <f>IF(AN712=SureThingLabel,AS712,0)</f>
        <v>0</v>
      </c>
      <c r="BK712">
        <f>MAX(BF712:BJ712)</f>
        <v>0</v>
      </c>
      <c r="BL712">
        <f>MAX(BG712:BJ712)</f>
        <v>0</v>
      </c>
      <c r="BM712">
        <f>MAX(BH712:BJ712)</f>
        <v>0</v>
      </c>
      <c r="BN712">
        <f>IF(AND(AN712=ReachLabel,BB712=1),AS712,0)</f>
        <v>0</v>
      </c>
      <c r="BO712">
        <f>IF(AND(AN712=MatchLabel,BB712=1),AS712,0)</f>
        <v>0</v>
      </c>
      <c r="BP712">
        <f>IF(AND(AN712=SafetyLabel,BB712=1),AS712,0)</f>
        <v>0</v>
      </c>
      <c r="BQ712">
        <f>IF(AND(AN712=SecureLabel,BB712=1),AS712,0)</f>
        <v>0</v>
      </c>
      <c r="BR712">
        <f>IF(AND(AN712=SureThingLabel,BB712=1),AS712,0)</f>
        <v>0</v>
      </c>
      <c r="BS712">
        <f>MAX(BN712:BR712)</f>
        <v>0</v>
      </c>
      <c r="BT712">
        <f>MAX(BO712:BR712)</f>
        <v>0</v>
      </c>
      <c r="BU712">
        <f>MAX(BP712:BR712)</f>
        <v>0</v>
      </c>
      <c r="BV712">
        <f>IF(ISNUMBER(AB712),INDEX(AllCollegeChicago, MATCH(N712,AllCollegeNCES,0))*BB712,0)</f>
        <v>0</v>
      </c>
      <c r="BW712">
        <f>IF(ISNUMBER(AB712),INDEX(AllCollegeMoneyCode, MATCH(N712,AllCollegeNCES,0)),"?")</f>
        <v>0</v>
      </c>
      <c r="BX712">
        <f>IF(OR(BW712="---",BW712="--",BW712="+/--",BW712="+/---"),1,0)</f>
        <v>0</v>
      </c>
      <c r="BY712">
        <f>BB712*AR712*AT712</f>
        <v>0</v>
      </c>
    </row>
    <row r="713" spans="1:77">
      <c r="A713" t="s">
        <v>96</v>
      </c>
      <c r="B713">
        <v>30144279</v>
      </c>
      <c r="C713" t="s">
        <v>339</v>
      </c>
      <c r="D713" t="s">
        <v>340</v>
      </c>
      <c r="E713" t="s">
        <v>446</v>
      </c>
      <c r="F713" t="s">
        <v>501</v>
      </c>
      <c r="G713" t="s">
        <v>448</v>
      </c>
      <c r="H713" t="s">
        <v>449</v>
      </c>
      <c r="I713" t="s">
        <v>450</v>
      </c>
      <c r="J713" t="s">
        <v>450</v>
      </c>
      <c r="K713">
        <v>0</v>
      </c>
      <c r="L713" t="s">
        <v>446</v>
      </c>
      <c r="M713" t="s">
        <v>446</v>
      </c>
      <c r="N713">
        <v>144740</v>
      </c>
      <c r="O713">
        <f>INDEX(Counselor,MATCH(B713,KidIDs,0))</f>
        <v>0</v>
      </c>
      <c r="P713">
        <f>INDEX(Advisors,MATCH(B713,KidIDs,0))</f>
        <v>0</v>
      </c>
      <c r="Q713">
        <f>INDEX(Cohort,MATCH(B713,KidIDs,0))</f>
        <v>0</v>
      </c>
      <c r="R713">
        <f>INDEX(AllCollegeBarrons,MATCH(N713,AllCollegeNCES,0))</f>
        <v>0</v>
      </c>
      <c r="S713">
        <f>INDEX(KidGPAs,MATCH(B713,KidIDs,0))</f>
        <v>0</v>
      </c>
      <c r="T713">
        <f>INDEX(KidSATs,MATCH(B713,KidIDs,0))</f>
        <v>0</v>
      </c>
      <c r="U713">
        <f>INDEX(Strats,MATCH(B713,KidIDs,0))</f>
        <v>0</v>
      </c>
      <c r="V713">
        <f>INDEX(KidRace,MATCH(B713,KidIDs,0))</f>
        <v>0</v>
      </c>
      <c r="W713">
        <f>IF(OR(V713="M",V713="I"),"H",IF(V713="P","A",V713))</f>
        <v>0</v>
      </c>
      <c r="X713">
        <f>INDEX(StudentTargets,MATCH(B713,KidIDs,0))</f>
        <v>0</v>
      </c>
      <c r="Y713">
        <f>INDEX(ReachStudentTargets,MATCH(B713,KidIDs,0))</f>
        <v>0</v>
      </c>
      <c r="Z713">
        <f>IF(OR(M713="Posse"),1,0)</f>
        <v>0</v>
      </c>
      <c r="AA713">
        <f>IF(ISNUMBER(INDEX(AllCollegeGR, MATCH(N713,AllCollegeNCES,0))),ROUND(INDEX(AllCollegeGR, MATCH(N713,AllCollegeNCES,0))+Z713*IF(INDEX(AllCollegeGR, MATCH(N713,AllCollegeNCES,0))&gt;0.7,(1-INDEX(AllCollegeGR, MATCH(N713,AllCollegeNCES,0)))/2,0.15),2),INDEX(AllCollegeGR, MATCH(N713,AllCollegeNCES,0)))</f>
        <v>0</v>
      </c>
      <c r="AB713">
        <f>IF(ISNUMBER(INDEX(AllCollegeAAHGR, MATCH(N713,AllCollegeNCES,0))),ROUND(INDEX(AllCollegeAAHGR, MATCH(N713,AllCollegeNCES,0))+Z713*IF(INDEX(AllCollegeAAHGR, MATCH(N713,AllCollegeNCES,0))&gt;0.7,(1-INDEX(AllCollegeAAHGR, MATCH(N713,AllCollegeNCES,0)))/2,0.15),2),INDEX(AllCollegeAAHGR, MATCH(N713,AllCollegeNCES,0)))</f>
        <v>0</v>
      </c>
      <c r="AC713">
        <f>IF(OR(W713="H",W713="B"),INDEX(AllCollegeSAT25, MATCH(N713,AllCollegeNCES,0)),INDEX(AllCollegeSAT50, MATCH(N713,AllCollegeNCES,0)))</f>
        <v>0</v>
      </c>
      <c r="AD713">
        <f>INDEX(CustomWeightsGPA,MATCH(W713&amp;":"&amp;N713,CustomWeightsIndex,0))</f>
        <v>0</v>
      </c>
      <c r="AE713">
        <f>INDEX(CustomWeightsSAT,MATCH(W713&amp;":"&amp;N713,CustomWeightsIndex,0))</f>
        <v>0</v>
      </c>
      <c r="AF713">
        <f>INDEX(CustomWeightsIntercept,MATCH(W713&amp;":"&amp;N713,CustomWeightsIndex,0))</f>
        <v>0</v>
      </c>
      <c r="AG713">
        <f>AD713*S713+AE713*T713+AF713</f>
        <v>0</v>
      </c>
      <c r="AH713">
        <f>INDEX(CoefficientsGPA,MATCH(W713&amp;":"&amp;R713,CoefficientsIndex,0))</f>
        <v>0</v>
      </c>
      <c r="AI713">
        <f>INDEX(CoefficientsSAT,MATCH(W713&amp;":"&amp;R713,CoefficientsIndex,0))</f>
        <v>0</v>
      </c>
      <c r="AJ713">
        <f>INDEX(CoefficientsIntercept,MATCH(W713&amp;":"&amp;R713,CoefficientsIndex,0))</f>
        <v>0</v>
      </c>
      <c r="AK713">
        <f>AH713*S713+(T713-AC713)*AI713+AJ713</f>
        <v>0</v>
      </c>
      <c r="AL713">
        <f>IF(ISNUMBER(AG713),AG713,AK713)</f>
        <v>0</v>
      </c>
      <c r="AM713">
        <f>IF(ISNUMBER(AL713),IF(ISNUMBER(AH713),IF(AND(AH713=1,AI713=1,AJ713=1),100,MIN(99,ROUND(100*EXP(AL713)/(1+EXP(AL713)),2))),MIN(99,ROUND(100*EXP(AL713)/(1+EXP(AL713)),2))),IF(ISTEXT(R713),IF(LEFT(R713,1)="2",100,"N/A"),"N/A"))</f>
        <v>0</v>
      </c>
      <c r="AN713">
        <f>IF(ISNUMBER(AM713),IF(AM713&gt;=99,IF(OR(U713=10,U713=11),MatchLabel,SureThingLabel),IF(AM713&gt;=95,SecureLabel,IF(AM713&gt;=80,SafetyLabel,IF(AM713&gt;=50,MatchLabel,IF(AM713&gt;=20,ReachLabel,IF(AM713&gt;=10,LongshotLabel,HailMaryLabel)))))),"Other")</f>
        <v>0</v>
      </c>
      <c r="AO713">
        <f>IF(OR(I713="accepted",I713="cond. accept",I713="summer admit"),IF(J713="yes","CHOICE!","Accepted!"),IF(I713="guar. transfer","Guar. Xfer",IF(I713="denied","Denied",IF(K713=1,"Waitlist",IF(L713=1,"Deferred",IF(G713="pending","Pending",IF(OR(G713="initial materials submitted",G713="mid-year submitted",G713="final submitted"),"Submitted",IF(H713="interest","Interest","?"))))))))</f>
        <v>0</v>
      </c>
      <c r="AP713">
        <f>IF(OR(AN713=ReachLabel,AN713=LongshotLabel,AN713=HailMaryLabel),1,0)</f>
        <v>0</v>
      </c>
      <c r="AQ713">
        <f>IF(OR(AP713=1,AN713=MatchLabel),1,0)</f>
        <v>0</v>
      </c>
      <c r="AR713">
        <f>IF(OR(AN713=MatchLabel,AN713=SafetyLabel,AN713=SecureLabel,AN713=SureThingLabel),1,0)</f>
        <v>0</v>
      </c>
      <c r="AS713">
        <f>IF(OR(W713="H",W713="B",W713="I",W713="M"),IF(ISNUMBER(AB713),ROUND(AB713,2),0),IF(ISNUMBER(AA713),ROUND(AA713,2),0))</f>
        <v>0</v>
      </c>
      <c r="AT713">
        <f>IF(AS713&gt;=X713,1,0)</f>
        <v>0</v>
      </c>
      <c r="AU713">
        <f>IF(AS713&gt;=Y713,1,0)</f>
        <v>0</v>
      </c>
      <c r="AV713">
        <f>IF(AS713&lt;(X713-0.10),1,0)</f>
        <v>0</v>
      </c>
      <c r="AW713">
        <f>1-AM713/100</f>
        <v>0</v>
      </c>
      <c r="AX713">
        <f>IF(AQ713=1,AW713,1)</f>
        <v>0</v>
      </c>
      <c r="AY713">
        <f>IF(AP713=1,AW713,1)</f>
        <v>0</v>
      </c>
      <c r="AZ713">
        <f>IF(AND(AT713=1,ISNUMBER(AW713)),$AW713,1)</f>
        <v>0</v>
      </c>
      <c r="BA713">
        <f>IF(AND(AU713=1,ISNUMBER(AW713)),$AW713,1)</f>
        <v>0</v>
      </c>
      <c r="BB713">
        <f>IF(ISNUMBER(AB713),INDEX(AllCollegeMoney, MATCH(N713,AllCollegeNCES,0)),0)</f>
        <v>0</v>
      </c>
      <c r="BC713">
        <f>IF(AND(AT713=1,ISNUMBER(AW713),BB713=1),$AW713,1)</f>
        <v>0</v>
      </c>
      <c r="BD713">
        <f>IF(AND(AU713=1,ISNUMBER(AW713),BB713=1),$AW713,1)</f>
        <v>0</v>
      </c>
      <c r="BE713">
        <f>IF(ISNUMBER(AB713),INDEX(AllCollegeILPub, MATCH(N713,AllCollegeNCES,0)),0)</f>
        <v>0</v>
      </c>
      <c r="BF713">
        <f>IF(AN713=ReachLabel,AS713,0)</f>
        <v>0</v>
      </c>
      <c r="BG713">
        <f>IF(AN713=MatchLabel,AS713,0)</f>
        <v>0</v>
      </c>
      <c r="BH713">
        <f>IF(AN713=SafetyLabel,AS713,0)</f>
        <v>0</v>
      </c>
      <c r="BI713">
        <f>IF(AN713=SecureLabel,AS713,0)</f>
        <v>0</v>
      </c>
      <c r="BJ713">
        <f>IF(AN713=SureThingLabel,AS713,0)</f>
        <v>0</v>
      </c>
      <c r="BK713">
        <f>MAX(BF713:BJ713)</f>
        <v>0</v>
      </c>
      <c r="BL713">
        <f>MAX(BG713:BJ713)</f>
        <v>0</v>
      </c>
      <c r="BM713">
        <f>MAX(BH713:BJ713)</f>
        <v>0</v>
      </c>
      <c r="BN713">
        <f>IF(AND(AN713=ReachLabel,BB713=1),AS713,0)</f>
        <v>0</v>
      </c>
      <c r="BO713">
        <f>IF(AND(AN713=MatchLabel,BB713=1),AS713,0)</f>
        <v>0</v>
      </c>
      <c r="BP713">
        <f>IF(AND(AN713=SafetyLabel,BB713=1),AS713,0)</f>
        <v>0</v>
      </c>
      <c r="BQ713">
        <f>IF(AND(AN713=SecureLabel,BB713=1),AS713,0)</f>
        <v>0</v>
      </c>
      <c r="BR713">
        <f>IF(AND(AN713=SureThingLabel,BB713=1),AS713,0)</f>
        <v>0</v>
      </c>
      <c r="BS713">
        <f>MAX(BN713:BR713)</f>
        <v>0</v>
      </c>
      <c r="BT713">
        <f>MAX(BO713:BR713)</f>
        <v>0</v>
      </c>
      <c r="BU713">
        <f>MAX(BP713:BR713)</f>
        <v>0</v>
      </c>
      <c r="BV713">
        <f>IF(ISNUMBER(AB713),INDEX(AllCollegeChicago, MATCH(N713,AllCollegeNCES,0))*BB713,0)</f>
        <v>0</v>
      </c>
      <c r="BW713">
        <f>IF(ISNUMBER(AB713),INDEX(AllCollegeMoneyCode, MATCH(N713,AllCollegeNCES,0)),"?")</f>
        <v>0</v>
      </c>
      <c r="BX713">
        <f>IF(OR(BW713="---",BW713="--",BW713="+/--",BW713="+/---"),1,0)</f>
        <v>0</v>
      </c>
      <c r="BY713">
        <f>BB713*AR713*AT713</f>
        <v>0</v>
      </c>
    </row>
    <row r="714" spans="1:77">
      <c r="A714" t="s">
        <v>96</v>
      </c>
      <c r="B714">
        <v>30144279</v>
      </c>
      <c r="C714" t="s">
        <v>339</v>
      </c>
      <c r="D714" t="s">
        <v>340</v>
      </c>
      <c r="E714" t="s">
        <v>446</v>
      </c>
      <c r="F714" t="s">
        <v>518</v>
      </c>
      <c r="G714" t="s">
        <v>448</v>
      </c>
      <c r="H714" t="s">
        <v>449</v>
      </c>
      <c r="I714" t="s">
        <v>450</v>
      </c>
      <c r="J714" t="s">
        <v>450</v>
      </c>
      <c r="K714">
        <v>0</v>
      </c>
      <c r="L714" t="s">
        <v>446</v>
      </c>
      <c r="M714" t="s">
        <v>446</v>
      </c>
      <c r="N714">
        <v>145725</v>
      </c>
      <c r="O714">
        <f>INDEX(Counselor,MATCH(B714,KidIDs,0))</f>
        <v>0</v>
      </c>
      <c r="P714">
        <f>INDEX(Advisors,MATCH(B714,KidIDs,0))</f>
        <v>0</v>
      </c>
      <c r="Q714">
        <f>INDEX(Cohort,MATCH(B714,KidIDs,0))</f>
        <v>0</v>
      </c>
      <c r="R714">
        <f>INDEX(AllCollegeBarrons,MATCH(N714,AllCollegeNCES,0))</f>
        <v>0</v>
      </c>
      <c r="S714">
        <f>INDEX(KidGPAs,MATCH(B714,KidIDs,0))</f>
        <v>0</v>
      </c>
      <c r="T714">
        <f>INDEX(KidSATs,MATCH(B714,KidIDs,0))</f>
        <v>0</v>
      </c>
      <c r="U714">
        <f>INDEX(Strats,MATCH(B714,KidIDs,0))</f>
        <v>0</v>
      </c>
      <c r="V714">
        <f>INDEX(KidRace,MATCH(B714,KidIDs,0))</f>
        <v>0</v>
      </c>
      <c r="W714">
        <f>IF(OR(V714="M",V714="I"),"H",IF(V714="P","A",V714))</f>
        <v>0</v>
      </c>
      <c r="X714">
        <f>INDEX(StudentTargets,MATCH(B714,KidIDs,0))</f>
        <v>0</v>
      </c>
      <c r="Y714">
        <f>INDEX(ReachStudentTargets,MATCH(B714,KidIDs,0))</f>
        <v>0</v>
      </c>
      <c r="Z714">
        <f>IF(OR(M714="Posse"),1,0)</f>
        <v>0</v>
      </c>
      <c r="AA714">
        <f>IF(ISNUMBER(INDEX(AllCollegeGR, MATCH(N714,AllCollegeNCES,0))),ROUND(INDEX(AllCollegeGR, MATCH(N714,AllCollegeNCES,0))+Z714*IF(INDEX(AllCollegeGR, MATCH(N714,AllCollegeNCES,0))&gt;0.7,(1-INDEX(AllCollegeGR, MATCH(N714,AllCollegeNCES,0)))/2,0.15),2),INDEX(AllCollegeGR, MATCH(N714,AllCollegeNCES,0)))</f>
        <v>0</v>
      </c>
      <c r="AB714">
        <f>IF(ISNUMBER(INDEX(AllCollegeAAHGR, MATCH(N714,AllCollegeNCES,0))),ROUND(INDEX(AllCollegeAAHGR, MATCH(N714,AllCollegeNCES,0))+Z714*IF(INDEX(AllCollegeAAHGR, MATCH(N714,AllCollegeNCES,0))&gt;0.7,(1-INDEX(AllCollegeAAHGR, MATCH(N714,AllCollegeNCES,0)))/2,0.15),2),INDEX(AllCollegeAAHGR, MATCH(N714,AllCollegeNCES,0)))</f>
        <v>0</v>
      </c>
      <c r="AC714">
        <f>IF(OR(W714="H",W714="B"),INDEX(AllCollegeSAT25, MATCH(N714,AllCollegeNCES,0)),INDEX(AllCollegeSAT50, MATCH(N714,AllCollegeNCES,0)))</f>
        <v>0</v>
      </c>
      <c r="AD714">
        <f>INDEX(CustomWeightsGPA,MATCH(W714&amp;":"&amp;N714,CustomWeightsIndex,0))</f>
        <v>0</v>
      </c>
      <c r="AE714">
        <f>INDEX(CustomWeightsSAT,MATCH(W714&amp;":"&amp;N714,CustomWeightsIndex,0))</f>
        <v>0</v>
      </c>
      <c r="AF714">
        <f>INDEX(CustomWeightsIntercept,MATCH(W714&amp;":"&amp;N714,CustomWeightsIndex,0))</f>
        <v>0</v>
      </c>
      <c r="AG714">
        <f>AD714*S714+AE714*T714+AF714</f>
        <v>0</v>
      </c>
      <c r="AH714">
        <f>INDEX(CoefficientsGPA,MATCH(W714&amp;":"&amp;R714,CoefficientsIndex,0))</f>
        <v>0</v>
      </c>
      <c r="AI714">
        <f>INDEX(CoefficientsSAT,MATCH(W714&amp;":"&amp;R714,CoefficientsIndex,0))</f>
        <v>0</v>
      </c>
      <c r="AJ714">
        <f>INDEX(CoefficientsIntercept,MATCH(W714&amp;":"&amp;R714,CoefficientsIndex,0))</f>
        <v>0</v>
      </c>
      <c r="AK714">
        <f>AH714*S714+(T714-AC714)*AI714+AJ714</f>
        <v>0</v>
      </c>
      <c r="AL714">
        <f>IF(ISNUMBER(AG714),AG714,AK714)</f>
        <v>0</v>
      </c>
      <c r="AM714">
        <f>IF(ISNUMBER(AL714),IF(ISNUMBER(AH714),IF(AND(AH714=1,AI714=1,AJ714=1),100,MIN(99,ROUND(100*EXP(AL714)/(1+EXP(AL714)),2))),MIN(99,ROUND(100*EXP(AL714)/(1+EXP(AL714)),2))),IF(ISTEXT(R714),IF(LEFT(R714,1)="2",100,"N/A"),"N/A"))</f>
        <v>0</v>
      </c>
      <c r="AN714">
        <f>IF(ISNUMBER(AM714),IF(AM714&gt;=99,IF(OR(U714=10,U714=11),MatchLabel,SureThingLabel),IF(AM714&gt;=95,SecureLabel,IF(AM714&gt;=80,SafetyLabel,IF(AM714&gt;=50,MatchLabel,IF(AM714&gt;=20,ReachLabel,IF(AM714&gt;=10,LongshotLabel,HailMaryLabel)))))),"Other")</f>
        <v>0</v>
      </c>
      <c r="AO714">
        <f>IF(OR(I714="accepted",I714="cond. accept",I714="summer admit"),IF(J714="yes","CHOICE!","Accepted!"),IF(I714="guar. transfer","Guar. Xfer",IF(I714="denied","Denied",IF(K714=1,"Waitlist",IF(L714=1,"Deferred",IF(G714="pending","Pending",IF(OR(G714="initial materials submitted",G714="mid-year submitted",G714="final submitted"),"Submitted",IF(H714="interest","Interest","?"))))))))</f>
        <v>0</v>
      </c>
      <c r="AP714">
        <f>IF(OR(AN714=ReachLabel,AN714=LongshotLabel,AN714=HailMaryLabel),1,0)</f>
        <v>0</v>
      </c>
      <c r="AQ714">
        <f>IF(OR(AP714=1,AN714=MatchLabel),1,0)</f>
        <v>0</v>
      </c>
      <c r="AR714">
        <f>IF(OR(AN714=MatchLabel,AN714=SafetyLabel,AN714=SecureLabel,AN714=SureThingLabel),1,0)</f>
        <v>0</v>
      </c>
      <c r="AS714">
        <f>IF(OR(W714="H",W714="B",W714="I",W714="M"),IF(ISNUMBER(AB714),ROUND(AB714,2),0),IF(ISNUMBER(AA714),ROUND(AA714,2),0))</f>
        <v>0</v>
      </c>
      <c r="AT714">
        <f>IF(AS714&gt;=X714,1,0)</f>
        <v>0</v>
      </c>
      <c r="AU714">
        <f>IF(AS714&gt;=Y714,1,0)</f>
        <v>0</v>
      </c>
      <c r="AV714">
        <f>IF(AS714&lt;(X714-0.10),1,0)</f>
        <v>0</v>
      </c>
      <c r="AW714">
        <f>1-AM714/100</f>
        <v>0</v>
      </c>
      <c r="AX714">
        <f>IF(AQ714=1,AW714,1)</f>
        <v>0</v>
      </c>
      <c r="AY714">
        <f>IF(AP714=1,AW714,1)</f>
        <v>0</v>
      </c>
      <c r="AZ714">
        <f>IF(AND(AT714=1,ISNUMBER(AW714)),$AW714,1)</f>
        <v>0</v>
      </c>
      <c r="BA714">
        <f>IF(AND(AU714=1,ISNUMBER(AW714)),$AW714,1)</f>
        <v>0</v>
      </c>
      <c r="BB714">
        <f>IF(ISNUMBER(AB714),INDEX(AllCollegeMoney, MATCH(N714,AllCollegeNCES,0)),0)</f>
        <v>0</v>
      </c>
      <c r="BC714">
        <f>IF(AND(AT714=1,ISNUMBER(AW714),BB714=1),$AW714,1)</f>
        <v>0</v>
      </c>
      <c r="BD714">
        <f>IF(AND(AU714=1,ISNUMBER(AW714),BB714=1),$AW714,1)</f>
        <v>0</v>
      </c>
      <c r="BE714">
        <f>IF(ISNUMBER(AB714),INDEX(AllCollegeILPub, MATCH(N714,AllCollegeNCES,0)),0)</f>
        <v>0</v>
      </c>
      <c r="BF714">
        <f>IF(AN714=ReachLabel,AS714,0)</f>
        <v>0</v>
      </c>
      <c r="BG714">
        <f>IF(AN714=MatchLabel,AS714,0)</f>
        <v>0</v>
      </c>
      <c r="BH714">
        <f>IF(AN714=SafetyLabel,AS714,0)</f>
        <v>0</v>
      </c>
      <c r="BI714">
        <f>IF(AN714=SecureLabel,AS714,0)</f>
        <v>0</v>
      </c>
      <c r="BJ714">
        <f>IF(AN714=SureThingLabel,AS714,0)</f>
        <v>0</v>
      </c>
      <c r="BK714">
        <f>MAX(BF714:BJ714)</f>
        <v>0</v>
      </c>
      <c r="BL714">
        <f>MAX(BG714:BJ714)</f>
        <v>0</v>
      </c>
      <c r="BM714">
        <f>MAX(BH714:BJ714)</f>
        <v>0</v>
      </c>
      <c r="BN714">
        <f>IF(AND(AN714=ReachLabel,BB714=1),AS714,0)</f>
        <v>0</v>
      </c>
      <c r="BO714">
        <f>IF(AND(AN714=MatchLabel,BB714=1),AS714,0)</f>
        <v>0</v>
      </c>
      <c r="BP714">
        <f>IF(AND(AN714=SafetyLabel,BB714=1),AS714,0)</f>
        <v>0</v>
      </c>
      <c r="BQ714">
        <f>IF(AND(AN714=SecureLabel,BB714=1),AS714,0)</f>
        <v>0</v>
      </c>
      <c r="BR714">
        <f>IF(AND(AN714=SureThingLabel,BB714=1),AS714,0)</f>
        <v>0</v>
      </c>
      <c r="BS714">
        <f>MAX(BN714:BR714)</f>
        <v>0</v>
      </c>
      <c r="BT714">
        <f>MAX(BO714:BR714)</f>
        <v>0</v>
      </c>
      <c r="BU714">
        <f>MAX(BP714:BR714)</f>
        <v>0</v>
      </c>
      <c r="BV714">
        <f>IF(ISNUMBER(AB714),INDEX(AllCollegeChicago, MATCH(N714,AllCollegeNCES,0))*BB714,0)</f>
        <v>0</v>
      </c>
      <c r="BW714">
        <f>IF(ISNUMBER(AB714),INDEX(AllCollegeMoneyCode, MATCH(N714,AllCollegeNCES,0)),"?")</f>
        <v>0</v>
      </c>
      <c r="BX714">
        <f>IF(OR(BW714="---",BW714="--",BW714="+/--",BW714="+/---"),1,0)</f>
        <v>0</v>
      </c>
      <c r="BY714">
        <f>BB714*AR714*AT714</f>
        <v>0</v>
      </c>
    </row>
    <row r="715" spans="1:77">
      <c r="A715" t="s">
        <v>96</v>
      </c>
      <c r="B715">
        <v>30144279</v>
      </c>
      <c r="C715" t="s">
        <v>339</v>
      </c>
      <c r="D715" t="s">
        <v>340</v>
      </c>
      <c r="E715" t="s">
        <v>446</v>
      </c>
      <c r="F715" t="s">
        <v>465</v>
      </c>
      <c r="G715" t="s">
        <v>448</v>
      </c>
      <c r="H715" t="s">
        <v>449</v>
      </c>
      <c r="I715" t="s">
        <v>450</v>
      </c>
      <c r="J715" t="s">
        <v>450</v>
      </c>
      <c r="K715">
        <v>0</v>
      </c>
      <c r="L715" t="s">
        <v>446</v>
      </c>
      <c r="M715" t="s">
        <v>446</v>
      </c>
      <c r="N715">
        <v>145600</v>
      </c>
      <c r="O715">
        <f>INDEX(Counselor,MATCH(B715,KidIDs,0))</f>
        <v>0</v>
      </c>
      <c r="P715">
        <f>INDEX(Advisors,MATCH(B715,KidIDs,0))</f>
        <v>0</v>
      </c>
      <c r="Q715">
        <f>INDEX(Cohort,MATCH(B715,KidIDs,0))</f>
        <v>0</v>
      </c>
      <c r="R715">
        <f>INDEX(AllCollegeBarrons,MATCH(N715,AllCollegeNCES,0))</f>
        <v>0</v>
      </c>
      <c r="S715">
        <f>INDEX(KidGPAs,MATCH(B715,KidIDs,0))</f>
        <v>0</v>
      </c>
      <c r="T715">
        <f>INDEX(KidSATs,MATCH(B715,KidIDs,0))</f>
        <v>0</v>
      </c>
      <c r="U715">
        <f>INDEX(Strats,MATCH(B715,KidIDs,0))</f>
        <v>0</v>
      </c>
      <c r="V715">
        <f>INDEX(KidRace,MATCH(B715,KidIDs,0))</f>
        <v>0</v>
      </c>
      <c r="W715">
        <f>IF(OR(V715="M",V715="I"),"H",IF(V715="P","A",V715))</f>
        <v>0</v>
      </c>
      <c r="X715">
        <f>INDEX(StudentTargets,MATCH(B715,KidIDs,0))</f>
        <v>0</v>
      </c>
      <c r="Y715">
        <f>INDEX(ReachStudentTargets,MATCH(B715,KidIDs,0))</f>
        <v>0</v>
      </c>
      <c r="Z715">
        <f>IF(OR(M715="Posse"),1,0)</f>
        <v>0</v>
      </c>
      <c r="AA715">
        <f>IF(ISNUMBER(INDEX(AllCollegeGR, MATCH(N715,AllCollegeNCES,0))),ROUND(INDEX(AllCollegeGR, MATCH(N715,AllCollegeNCES,0))+Z715*IF(INDEX(AllCollegeGR, MATCH(N715,AllCollegeNCES,0))&gt;0.7,(1-INDEX(AllCollegeGR, MATCH(N715,AllCollegeNCES,0)))/2,0.15),2),INDEX(AllCollegeGR, MATCH(N715,AllCollegeNCES,0)))</f>
        <v>0</v>
      </c>
      <c r="AB715">
        <f>IF(ISNUMBER(INDEX(AllCollegeAAHGR, MATCH(N715,AllCollegeNCES,0))),ROUND(INDEX(AllCollegeAAHGR, MATCH(N715,AllCollegeNCES,0))+Z715*IF(INDEX(AllCollegeAAHGR, MATCH(N715,AllCollegeNCES,0))&gt;0.7,(1-INDEX(AllCollegeAAHGR, MATCH(N715,AllCollegeNCES,0)))/2,0.15),2),INDEX(AllCollegeAAHGR, MATCH(N715,AllCollegeNCES,0)))</f>
        <v>0</v>
      </c>
      <c r="AC715">
        <f>IF(OR(W715="H",W715="B"),INDEX(AllCollegeSAT25, MATCH(N715,AllCollegeNCES,0)),INDEX(AllCollegeSAT50, MATCH(N715,AllCollegeNCES,0)))</f>
        <v>0</v>
      </c>
      <c r="AD715">
        <f>INDEX(CustomWeightsGPA,MATCH(W715&amp;":"&amp;N715,CustomWeightsIndex,0))</f>
        <v>0</v>
      </c>
      <c r="AE715">
        <f>INDEX(CustomWeightsSAT,MATCH(W715&amp;":"&amp;N715,CustomWeightsIndex,0))</f>
        <v>0</v>
      </c>
      <c r="AF715">
        <f>INDEX(CustomWeightsIntercept,MATCH(W715&amp;":"&amp;N715,CustomWeightsIndex,0))</f>
        <v>0</v>
      </c>
      <c r="AG715">
        <f>AD715*S715+AE715*T715+AF715</f>
        <v>0</v>
      </c>
      <c r="AH715">
        <f>INDEX(CoefficientsGPA,MATCH(W715&amp;":"&amp;R715,CoefficientsIndex,0))</f>
        <v>0</v>
      </c>
      <c r="AI715">
        <f>INDEX(CoefficientsSAT,MATCH(W715&amp;":"&amp;R715,CoefficientsIndex,0))</f>
        <v>0</v>
      </c>
      <c r="AJ715">
        <f>INDEX(CoefficientsIntercept,MATCH(W715&amp;":"&amp;R715,CoefficientsIndex,0))</f>
        <v>0</v>
      </c>
      <c r="AK715">
        <f>AH715*S715+(T715-AC715)*AI715+AJ715</f>
        <v>0</v>
      </c>
      <c r="AL715">
        <f>IF(ISNUMBER(AG715),AG715,AK715)</f>
        <v>0</v>
      </c>
      <c r="AM715">
        <f>IF(ISNUMBER(AL715),IF(ISNUMBER(AH715),IF(AND(AH715=1,AI715=1,AJ715=1),100,MIN(99,ROUND(100*EXP(AL715)/(1+EXP(AL715)),2))),MIN(99,ROUND(100*EXP(AL715)/(1+EXP(AL715)),2))),IF(ISTEXT(R715),IF(LEFT(R715,1)="2",100,"N/A"),"N/A"))</f>
        <v>0</v>
      </c>
      <c r="AN715">
        <f>IF(ISNUMBER(AM715),IF(AM715&gt;=99,IF(OR(U715=10,U715=11),MatchLabel,SureThingLabel),IF(AM715&gt;=95,SecureLabel,IF(AM715&gt;=80,SafetyLabel,IF(AM715&gt;=50,MatchLabel,IF(AM715&gt;=20,ReachLabel,IF(AM715&gt;=10,LongshotLabel,HailMaryLabel)))))),"Other")</f>
        <v>0</v>
      </c>
      <c r="AO715">
        <f>IF(OR(I715="accepted",I715="cond. accept",I715="summer admit"),IF(J715="yes","CHOICE!","Accepted!"),IF(I715="guar. transfer","Guar. Xfer",IF(I715="denied","Denied",IF(K715=1,"Waitlist",IF(L715=1,"Deferred",IF(G715="pending","Pending",IF(OR(G715="initial materials submitted",G715="mid-year submitted",G715="final submitted"),"Submitted",IF(H715="interest","Interest","?"))))))))</f>
        <v>0</v>
      </c>
      <c r="AP715">
        <f>IF(OR(AN715=ReachLabel,AN715=LongshotLabel,AN715=HailMaryLabel),1,0)</f>
        <v>0</v>
      </c>
      <c r="AQ715">
        <f>IF(OR(AP715=1,AN715=MatchLabel),1,0)</f>
        <v>0</v>
      </c>
      <c r="AR715">
        <f>IF(OR(AN715=MatchLabel,AN715=SafetyLabel,AN715=SecureLabel,AN715=SureThingLabel),1,0)</f>
        <v>0</v>
      </c>
      <c r="AS715">
        <f>IF(OR(W715="H",W715="B",W715="I",W715="M"),IF(ISNUMBER(AB715),ROUND(AB715,2),0),IF(ISNUMBER(AA715),ROUND(AA715,2),0))</f>
        <v>0</v>
      </c>
      <c r="AT715">
        <f>IF(AS715&gt;=X715,1,0)</f>
        <v>0</v>
      </c>
      <c r="AU715">
        <f>IF(AS715&gt;=Y715,1,0)</f>
        <v>0</v>
      </c>
      <c r="AV715">
        <f>IF(AS715&lt;(X715-0.10),1,0)</f>
        <v>0</v>
      </c>
      <c r="AW715">
        <f>1-AM715/100</f>
        <v>0</v>
      </c>
      <c r="AX715">
        <f>IF(AQ715=1,AW715,1)</f>
        <v>0</v>
      </c>
      <c r="AY715">
        <f>IF(AP715=1,AW715,1)</f>
        <v>0</v>
      </c>
      <c r="AZ715">
        <f>IF(AND(AT715=1,ISNUMBER(AW715)),$AW715,1)</f>
        <v>0</v>
      </c>
      <c r="BA715">
        <f>IF(AND(AU715=1,ISNUMBER(AW715)),$AW715,1)</f>
        <v>0</v>
      </c>
      <c r="BB715">
        <f>IF(ISNUMBER(AB715),INDEX(AllCollegeMoney, MATCH(N715,AllCollegeNCES,0)),0)</f>
        <v>0</v>
      </c>
      <c r="BC715">
        <f>IF(AND(AT715=1,ISNUMBER(AW715),BB715=1),$AW715,1)</f>
        <v>0</v>
      </c>
      <c r="BD715">
        <f>IF(AND(AU715=1,ISNUMBER(AW715),BB715=1),$AW715,1)</f>
        <v>0</v>
      </c>
      <c r="BE715">
        <f>IF(ISNUMBER(AB715),INDEX(AllCollegeILPub, MATCH(N715,AllCollegeNCES,0)),0)</f>
        <v>0</v>
      </c>
      <c r="BF715">
        <f>IF(AN715=ReachLabel,AS715,0)</f>
        <v>0</v>
      </c>
      <c r="BG715">
        <f>IF(AN715=MatchLabel,AS715,0)</f>
        <v>0</v>
      </c>
      <c r="BH715">
        <f>IF(AN715=SafetyLabel,AS715,0)</f>
        <v>0</v>
      </c>
      <c r="BI715">
        <f>IF(AN715=SecureLabel,AS715,0)</f>
        <v>0</v>
      </c>
      <c r="BJ715">
        <f>IF(AN715=SureThingLabel,AS715,0)</f>
        <v>0</v>
      </c>
      <c r="BK715">
        <f>MAX(BF715:BJ715)</f>
        <v>0</v>
      </c>
      <c r="BL715">
        <f>MAX(BG715:BJ715)</f>
        <v>0</v>
      </c>
      <c r="BM715">
        <f>MAX(BH715:BJ715)</f>
        <v>0</v>
      </c>
      <c r="BN715">
        <f>IF(AND(AN715=ReachLabel,BB715=1),AS715,0)</f>
        <v>0</v>
      </c>
      <c r="BO715">
        <f>IF(AND(AN715=MatchLabel,BB715=1),AS715,0)</f>
        <v>0</v>
      </c>
      <c r="BP715">
        <f>IF(AND(AN715=SafetyLabel,BB715=1),AS715,0)</f>
        <v>0</v>
      </c>
      <c r="BQ715">
        <f>IF(AND(AN715=SecureLabel,BB715=1),AS715,0)</f>
        <v>0</v>
      </c>
      <c r="BR715">
        <f>IF(AND(AN715=SureThingLabel,BB715=1),AS715,0)</f>
        <v>0</v>
      </c>
      <c r="BS715">
        <f>MAX(BN715:BR715)</f>
        <v>0</v>
      </c>
      <c r="BT715">
        <f>MAX(BO715:BR715)</f>
        <v>0</v>
      </c>
      <c r="BU715">
        <f>MAX(BP715:BR715)</f>
        <v>0</v>
      </c>
      <c r="BV715">
        <f>IF(ISNUMBER(AB715),INDEX(AllCollegeChicago, MATCH(N715,AllCollegeNCES,0))*BB715,0)</f>
        <v>0</v>
      </c>
      <c r="BW715">
        <f>IF(ISNUMBER(AB715),INDEX(AllCollegeMoneyCode, MATCH(N715,AllCollegeNCES,0)),"?")</f>
        <v>0</v>
      </c>
      <c r="BX715">
        <f>IF(OR(BW715="---",BW715="--",BW715="+/--",BW715="+/---"),1,0)</f>
        <v>0</v>
      </c>
      <c r="BY715">
        <f>BB715*AR715*AT715</f>
        <v>0</v>
      </c>
    </row>
    <row r="716" spans="1:77">
      <c r="A716" t="s">
        <v>96</v>
      </c>
      <c r="B716">
        <v>30144279</v>
      </c>
      <c r="C716" t="s">
        <v>339</v>
      </c>
      <c r="D716" t="s">
        <v>340</v>
      </c>
      <c r="E716" t="s">
        <v>446</v>
      </c>
      <c r="F716" t="s">
        <v>453</v>
      </c>
      <c r="G716" t="s">
        <v>448</v>
      </c>
      <c r="H716" t="s">
        <v>449</v>
      </c>
      <c r="I716" t="s">
        <v>450</v>
      </c>
      <c r="J716" t="s">
        <v>450</v>
      </c>
      <c r="K716">
        <v>0</v>
      </c>
      <c r="L716" t="s">
        <v>446</v>
      </c>
      <c r="M716" t="s">
        <v>454</v>
      </c>
      <c r="N716">
        <v>150774</v>
      </c>
      <c r="O716">
        <f>INDEX(Counselor,MATCH(B716,KidIDs,0))</f>
        <v>0</v>
      </c>
      <c r="P716">
        <f>INDEX(Advisors,MATCH(B716,KidIDs,0))</f>
        <v>0</v>
      </c>
      <c r="Q716">
        <f>INDEX(Cohort,MATCH(B716,KidIDs,0))</f>
        <v>0</v>
      </c>
      <c r="R716">
        <f>INDEX(AllCollegeBarrons,MATCH(N716,AllCollegeNCES,0))</f>
        <v>0</v>
      </c>
      <c r="S716">
        <f>INDEX(KidGPAs,MATCH(B716,KidIDs,0))</f>
        <v>0</v>
      </c>
      <c r="T716">
        <f>INDEX(KidSATs,MATCH(B716,KidIDs,0))</f>
        <v>0</v>
      </c>
      <c r="U716">
        <f>INDEX(Strats,MATCH(B716,KidIDs,0))</f>
        <v>0</v>
      </c>
      <c r="V716">
        <f>INDEX(KidRace,MATCH(B716,KidIDs,0))</f>
        <v>0</v>
      </c>
      <c r="W716">
        <f>IF(OR(V716="M",V716="I"),"H",IF(V716="P","A",V716))</f>
        <v>0</v>
      </c>
      <c r="X716">
        <f>INDEX(StudentTargets,MATCH(B716,KidIDs,0))</f>
        <v>0</v>
      </c>
      <c r="Y716">
        <f>INDEX(ReachStudentTargets,MATCH(B716,KidIDs,0))</f>
        <v>0</v>
      </c>
      <c r="Z716">
        <f>IF(OR(M716="Posse"),1,0)</f>
        <v>0</v>
      </c>
      <c r="AA716">
        <f>IF(ISNUMBER(INDEX(AllCollegeGR, MATCH(N716,AllCollegeNCES,0))),ROUND(INDEX(AllCollegeGR, MATCH(N716,AllCollegeNCES,0))+Z716*IF(INDEX(AllCollegeGR, MATCH(N716,AllCollegeNCES,0))&gt;0.7,(1-INDEX(AllCollegeGR, MATCH(N716,AllCollegeNCES,0)))/2,0.15),2),INDEX(AllCollegeGR, MATCH(N716,AllCollegeNCES,0)))</f>
        <v>0</v>
      </c>
      <c r="AB716">
        <f>IF(ISNUMBER(INDEX(AllCollegeAAHGR, MATCH(N716,AllCollegeNCES,0))),ROUND(INDEX(AllCollegeAAHGR, MATCH(N716,AllCollegeNCES,0))+Z716*IF(INDEX(AllCollegeAAHGR, MATCH(N716,AllCollegeNCES,0))&gt;0.7,(1-INDEX(AllCollegeAAHGR, MATCH(N716,AllCollegeNCES,0)))/2,0.15),2),INDEX(AllCollegeAAHGR, MATCH(N716,AllCollegeNCES,0)))</f>
        <v>0</v>
      </c>
      <c r="AC716">
        <f>IF(OR(W716="H",W716="B"),INDEX(AllCollegeSAT25, MATCH(N716,AllCollegeNCES,0)),INDEX(AllCollegeSAT50, MATCH(N716,AllCollegeNCES,0)))</f>
        <v>0</v>
      </c>
      <c r="AD716">
        <f>INDEX(CustomWeightsGPA,MATCH(W716&amp;":"&amp;N716,CustomWeightsIndex,0))</f>
        <v>0</v>
      </c>
      <c r="AE716">
        <f>INDEX(CustomWeightsSAT,MATCH(W716&amp;":"&amp;N716,CustomWeightsIndex,0))</f>
        <v>0</v>
      </c>
      <c r="AF716">
        <f>INDEX(CustomWeightsIntercept,MATCH(W716&amp;":"&amp;N716,CustomWeightsIndex,0))</f>
        <v>0</v>
      </c>
      <c r="AG716">
        <f>AD716*S716+AE716*T716+AF716</f>
        <v>0</v>
      </c>
      <c r="AH716">
        <f>INDEX(CoefficientsGPA,MATCH(W716&amp;":"&amp;R716,CoefficientsIndex,0))</f>
        <v>0</v>
      </c>
      <c r="AI716">
        <f>INDEX(CoefficientsSAT,MATCH(W716&amp;":"&amp;R716,CoefficientsIndex,0))</f>
        <v>0</v>
      </c>
      <c r="AJ716">
        <f>INDEX(CoefficientsIntercept,MATCH(W716&amp;":"&amp;R716,CoefficientsIndex,0))</f>
        <v>0</v>
      </c>
      <c r="AK716">
        <f>AH716*S716+(T716-AC716)*AI716+AJ716</f>
        <v>0</v>
      </c>
      <c r="AL716">
        <f>IF(ISNUMBER(AG716),AG716,AK716)</f>
        <v>0</v>
      </c>
      <c r="AM716">
        <f>IF(ISNUMBER(AL716),IF(ISNUMBER(AH716),IF(AND(AH716=1,AI716=1,AJ716=1),100,MIN(99,ROUND(100*EXP(AL716)/(1+EXP(AL716)),2))),MIN(99,ROUND(100*EXP(AL716)/(1+EXP(AL716)),2))),IF(ISTEXT(R716),IF(LEFT(R716,1)="2",100,"N/A"),"N/A"))</f>
        <v>0</v>
      </c>
      <c r="AN716">
        <f>IF(ISNUMBER(AM716),IF(AM716&gt;=99,IF(OR(U716=10,U716=11),MatchLabel,SureThingLabel),IF(AM716&gt;=95,SecureLabel,IF(AM716&gt;=80,SafetyLabel,IF(AM716&gt;=50,MatchLabel,IF(AM716&gt;=20,ReachLabel,IF(AM716&gt;=10,LongshotLabel,HailMaryLabel)))))),"Other")</f>
        <v>0</v>
      </c>
      <c r="AO716">
        <f>IF(OR(I716="accepted",I716="cond. accept",I716="summer admit"),IF(J716="yes","CHOICE!","Accepted!"),IF(I716="guar. transfer","Guar. Xfer",IF(I716="denied","Denied",IF(K716=1,"Waitlist",IF(L716=1,"Deferred",IF(G716="pending","Pending",IF(OR(G716="initial materials submitted",G716="mid-year submitted",G716="final submitted"),"Submitted",IF(H716="interest","Interest","?"))))))))</f>
        <v>0</v>
      </c>
      <c r="AP716">
        <f>IF(OR(AN716=ReachLabel,AN716=LongshotLabel,AN716=HailMaryLabel),1,0)</f>
        <v>0</v>
      </c>
      <c r="AQ716">
        <f>IF(OR(AP716=1,AN716=MatchLabel),1,0)</f>
        <v>0</v>
      </c>
      <c r="AR716">
        <f>IF(OR(AN716=MatchLabel,AN716=SafetyLabel,AN716=SecureLabel,AN716=SureThingLabel),1,0)</f>
        <v>0</v>
      </c>
      <c r="AS716">
        <f>IF(OR(W716="H",W716="B",W716="I",W716="M"),IF(ISNUMBER(AB716),ROUND(AB716,2),0),IF(ISNUMBER(AA716),ROUND(AA716,2),0))</f>
        <v>0</v>
      </c>
      <c r="AT716">
        <f>IF(AS716&gt;=X716,1,0)</f>
        <v>0</v>
      </c>
      <c r="AU716">
        <f>IF(AS716&gt;=Y716,1,0)</f>
        <v>0</v>
      </c>
      <c r="AV716">
        <f>IF(AS716&lt;(X716-0.10),1,0)</f>
        <v>0</v>
      </c>
      <c r="AW716">
        <f>1-AM716/100</f>
        <v>0</v>
      </c>
      <c r="AX716">
        <f>IF(AQ716=1,AW716,1)</f>
        <v>0</v>
      </c>
      <c r="AY716">
        <f>IF(AP716=1,AW716,1)</f>
        <v>0</v>
      </c>
      <c r="AZ716">
        <f>IF(AND(AT716=1,ISNUMBER(AW716)),$AW716,1)</f>
        <v>0</v>
      </c>
      <c r="BA716">
        <f>IF(AND(AU716=1,ISNUMBER(AW716)),$AW716,1)</f>
        <v>0</v>
      </c>
      <c r="BB716">
        <f>IF(ISNUMBER(AB716),INDEX(AllCollegeMoney, MATCH(N716,AllCollegeNCES,0)),0)</f>
        <v>0</v>
      </c>
      <c r="BC716">
        <f>IF(AND(AT716=1,ISNUMBER(AW716),BB716=1),$AW716,1)</f>
        <v>0</v>
      </c>
      <c r="BD716">
        <f>IF(AND(AU716=1,ISNUMBER(AW716),BB716=1),$AW716,1)</f>
        <v>0</v>
      </c>
      <c r="BE716">
        <f>IF(ISNUMBER(AB716),INDEX(AllCollegeILPub, MATCH(N716,AllCollegeNCES,0)),0)</f>
        <v>0</v>
      </c>
      <c r="BF716">
        <f>IF(AN716=ReachLabel,AS716,0)</f>
        <v>0</v>
      </c>
      <c r="BG716">
        <f>IF(AN716=MatchLabel,AS716,0)</f>
        <v>0</v>
      </c>
      <c r="BH716">
        <f>IF(AN716=SafetyLabel,AS716,0)</f>
        <v>0</v>
      </c>
      <c r="BI716">
        <f>IF(AN716=SecureLabel,AS716,0)</f>
        <v>0</v>
      </c>
      <c r="BJ716">
        <f>IF(AN716=SureThingLabel,AS716,0)</f>
        <v>0</v>
      </c>
      <c r="BK716">
        <f>MAX(BF716:BJ716)</f>
        <v>0</v>
      </c>
      <c r="BL716">
        <f>MAX(BG716:BJ716)</f>
        <v>0</v>
      </c>
      <c r="BM716">
        <f>MAX(BH716:BJ716)</f>
        <v>0</v>
      </c>
      <c r="BN716">
        <f>IF(AND(AN716=ReachLabel,BB716=1),AS716,0)</f>
        <v>0</v>
      </c>
      <c r="BO716">
        <f>IF(AND(AN716=MatchLabel,BB716=1),AS716,0)</f>
        <v>0</v>
      </c>
      <c r="BP716">
        <f>IF(AND(AN716=SafetyLabel,BB716=1),AS716,0)</f>
        <v>0</v>
      </c>
      <c r="BQ716">
        <f>IF(AND(AN716=SecureLabel,BB716=1),AS716,0)</f>
        <v>0</v>
      </c>
      <c r="BR716">
        <f>IF(AND(AN716=SureThingLabel,BB716=1),AS716,0)</f>
        <v>0</v>
      </c>
      <c r="BS716">
        <f>MAX(BN716:BR716)</f>
        <v>0</v>
      </c>
      <c r="BT716">
        <f>MAX(BO716:BR716)</f>
        <v>0</v>
      </c>
      <c r="BU716">
        <f>MAX(BP716:BR716)</f>
        <v>0</v>
      </c>
      <c r="BV716">
        <f>IF(ISNUMBER(AB716),INDEX(AllCollegeChicago, MATCH(N716,AllCollegeNCES,0))*BB716,0)</f>
        <v>0</v>
      </c>
      <c r="BW716">
        <f>IF(ISNUMBER(AB716),INDEX(AllCollegeMoneyCode, MATCH(N716,AllCollegeNCES,0)),"?")</f>
        <v>0</v>
      </c>
      <c r="BX716">
        <f>IF(OR(BW716="---",BW716="--",BW716="+/--",BW716="+/---"),1,0)</f>
        <v>0</v>
      </c>
      <c r="BY716">
        <f>BB716*AR716*AT716</f>
        <v>0</v>
      </c>
    </row>
    <row r="717" spans="1:77">
      <c r="A717" t="s">
        <v>96</v>
      </c>
      <c r="B717">
        <v>30280677</v>
      </c>
      <c r="C717" t="s">
        <v>312</v>
      </c>
      <c r="D717" t="s">
        <v>313</v>
      </c>
      <c r="E717" t="s">
        <v>446</v>
      </c>
      <c r="F717" t="s">
        <v>604</v>
      </c>
      <c r="G717" t="s">
        <v>448</v>
      </c>
      <c r="H717" t="s">
        <v>449</v>
      </c>
      <c r="I717" t="s">
        <v>450</v>
      </c>
      <c r="J717" t="s">
        <v>450</v>
      </c>
      <c r="K717">
        <v>0</v>
      </c>
      <c r="L717" t="s">
        <v>446</v>
      </c>
      <c r="M717" t="s">
        <v>446</v>
      </c>
      <c r="N717">
        <v>126614</v>
      </c>
      <c r="O717">
        <f>INDEX(Counselor,MATCH(B717,KidIDs,0))</f>
        <v>0</v>
      </c>
      <c r="P717">
        <f>INDEX(Advisors,MATCH(B717,KidIDs,0))</f>
        <v>0</v>
      </c>
      <c r="Q717">
        <f>INDEX(Cohort,MATCH(B717,KidIDs,0))</f>
        <v>0</v>
      </c>
      <c r="R717">
        <f>INDEX(AllCollegeBarrons,MATCH(N717,AllCollegeNCES,0))</f>
        <v>0</v>
      </c>
      <c r="S717">
        <f>INDEX(KidGPAs,MATCH(B717,KidIDs,0))</f>
        <v>0</v>
      </c>
      <c r="T717">
        <f>INDEX(KidSATs,MATCH(B717,KidIDs,0))</f>
        <v>0</v>
      </c>
      <c r="U717">
        <f>INDEX(Strats,MATCH(B717,KidIDs,0))</f>
        <v>0</v>
      </c>
      <c r="V717">
        <f>INDEX(KidRace,MATCH(B717,KidIDs,0))</f>
        <v>0</v>
      </c>
      <c r="W717">
        <f>IF(OR(V717="M",V717="I"),"H",IF(V717="P","A",V717))</f>
        <v>0</v>
      </c>
      <c r="X717">
        <f>INDEX(StudentTargets,MATCH(B717,KidIDs,0))</f>
        <v>0</v>
      </c>
      <c r="Y717">
        <f>INDEX(ReachStudentTargets,MATCH(B717,KidIDs,0))</f>
        <v>0</v>
      </c>
      <c r="Z717">
        <f>IF(OR(M717="Posse"),1,0)</f>
        <v>0</v>
      </c>
      <c r="AA717">
        <f>IF(ISNUMBER(INDEX(AllCollegeGR, MATCH(N717,AllCollegeNCES,0))),ROUND(INDEX(AllCollegeGR, MATCH(N717,AllCollegeNCES,0))+Z717*IF(INDEX(AllCollegeGR, MATCH(N717,AllCollegeNCES,0))&gt;0.7,(1-INDEX(AllCollegeGR, MATCH(N717,AllCollegeNCES,0)))/2,0.15),2),INDEX(AllCollegeGR, MATCH(N717,AllCollegeNCES,0)))</f>
        <v>0</v>
      </c>
      <c r="AB717">
        <f>IF(ISNUMBER(INDEX(AllCollegeAAHGR, MATCH(N717,AllCollegeNCES,0))),ROUND(INDEX(AllCollegeAAHGR, MATCH(N717,AllCollegeNCES,0))+Z717*IF(INDEX(AllCollegeAAHGR, MATCH(N717,AllCollegeNCES,0))&gt;0.7,(1-INDEX(AllCollegeAAHGR, MATCH(N717,AllCollegeNCES,0)))/2,0.15),2),INDEX(AllCollegeAAHGR, MATCH(N717,AllCollegeNCES,0)))</f>
        <v>0</v>
      </c>
      <c r="AC717">
        <f>IF(OR(W717="H",W717="B"),INDEX(AllCollegeSAT25, MATCH(N717,AllCollegeNCES,0)),INDEX(AllCollegeSAT50, MATCH(N717,AllCollegeNCES,0)))</f>
        <v>0</v>
      </c>
      <c r="AD717">
        <f>INDEX(CustomWeightsGPA,MATCH(W717&amp;":"&amp;N717,CustomWeightsIndex,0))</f>
        <v>0</v>
      </c>
      <c r="AE717">
        <f>INDEX(CustomWeightsSAT,MATCH(W717&amp;":"&amp;N717,CustomWeightsIndex,0))</f>
        <v>0</v>
      </c>
      <c r="AF717">
        <f>INDEX(CustomWeightsIntercept,MATCH(W717&amp;":"&amp;N717,CustomWeightsIndex,0))</f>
        <v>0</v>
      </c>
      <c r="AG717">
        <f>AD717*S717+AE717*T717+AF717</f>
        <v>0</v>
      </c>
      <c r="AH717">
        <f>INDEX(CoefficientsGPA,MATCH(W717&amp;":"&amp;R717,CoefficientsIndex,0))</f>
        <v>0</v>
      </c>
      <c r="AI717">
        <f>INDEX(CoefficientsSAT,MATCH(W717&amp;":"&amp;R717,CoefficientsIndex,0))</f>
        <v>0</v>
      </c>
      <c r="AJ717">
        <f>INDEX(CoefficientsIntercept,MATCH(W717&amp;":"&amp;R717,CoefficientsIndex,0))</f>
        <v>0</v>
      </c>
      <c r="AK717">
        <f>AH717*S717+(T717-AC717)*AI717+AJ717</f>
        <v>0</v>
      </c>
      <c r="AL717">
        <f>IF(ISNUMBER(AG717),AG717,AK717)</f>
        <v>0</v>
      </c>
      <c r="AM717">
        <f>IF(ISNUMBER(AL717),IF(ISNUMBER(AH717),IF(AND(AH717=1,AI717=1,AJ717=1),100,MIN(99,ROUND(100*EXP(AL717)/(1+EXP(AL717)),2))),MIN(99,ROUND(100*EXP(AL717)/(1+EXP(AL717)),2))),IF(ISTEXT(R717),IF(LEFT(R717,1)="2",100,"N/A"),"N/A"))</f>
        <v>0</v>
      </c>
      <c r="AN717">
        <f>IF(ISNUMBER(AM717),IF(AM717&gt;=99,IF(OR(U717=10,U717=11),MatchLabel,SureThingLabel),IF(AM717&gt;=95,SecureLabel,IF(AM717&gt;=80,SafetyLabel,IF(AM717&gt;=50,MatchLabel,IF(AM717&gt;=20,ReachLabel,IF(AM717&gt;=10,LongshotLabel,HailMaryLabel)))))),"Other")</f>
        <v>0</v>
      </c>
      <c r="AO717">
        <f>IF(OR(I717="accepted",I717="cond. accept",I717="summer admit"),IF(J717="yes","CHOICE!","Accepted!"),IF(I717="guar. transfer","Guar. Xfer",IF(I717="denied","Denied",IF(K717=1,"Waitlist",IF(L717=1,"Deferred",IF(G717="pending","Pending",IF(OR(G717="initial materials submitted",G717="mid-year submitted",G717="final submitted"),"Submitted",IF(H717="interest","Interest","?"))))))))</f>
        <v>0</v>
      </c>
      <c r="AP717">
        <f>IF(OR(AN717=ReachLabel,AN717=LongshotLabel,AN717=HailMaryLabel),1,0)</f>
        <v>0</v>
      </c>
      <c r="AQ717">
        <f>IF(OR(AP717=1,AN717=MatchLabel),1,0)</f>
        <v>0</v>
      </c>
      <c r="AR717">
        <f>IF(OR(AN717=MatchLabel,AN717=SafetyLabel,AN717=SecureLabel,AN717=SureThingLabel),1,0)</f>
        <v>0</v>
      </c>
      <c r="AS717">
        <f>IF(OR(W717="H",W717="B",W717="I",W717="M"),IF(ISNUMBER(AB717),ROUND(AB717,2),0),IF(ISNUMBER(AA717),ROUND(AA717,2),0))</f>
        <v>0</v>
      </c>
      <c r="AT717">
        <f>IF(AS717&gt;=X717,1,0)</f>
        <v>0</v>
      </c>
      <c r="AU717">
        <f>IF(AS717&gt;=Y717,1,0)</f>
        <v>0</v>
      </c>
      <c r="AV717">
        <f>IF(AS717&lt;(X717-0.10),1,0)</f>
        <v>0</v>
      </c>
      <c r="AW717">
        <f>1-AM717/100</f>
        <v>0</v>
      </c>
      <c r="AX717">
        <f>IF(AQ717=1,AW717,1)</f>
        <v>0</v>
      </c>
      <c r="AY717">
        <f>IF(AP717=1,AW717,1)</f>
        <v>0</v>
      </c>
      <c r="AZ717">
        <f>IF(AND(AT717=1,ISNUMBER(AW717)),$AW717,1)</f>
        <v>0</v>
      </c>
      <c r="BA717">
        <f>IF(AND(AU717=1,ISNUMBER(AW717)),$AW717,1)</f>
        <v>0</v>
      </c>
      <c r="BB717">
        <f>IF(ISNUMBER(AB717),INDEX(AllCollegeMoney, MATCH(N717,AllCollegeNCES,0)),0)</f>
        <v>0</v>
      </c>
      <c r="BC717">
        <f>IF(AND(AT717=1,ISNUMBER(AW717),BB717=1),$AW717,1)</f>
        <v>0</v>
      </c>
      <c r="BD717">
        <f>IF(AND(AU717=1,ISNUMBER(AW717),BB717=1),$AW717,1)</f>
        <v>0</v>
      </c>
      <c r="BE717">
        <f>IF(ISNUMBER(AB717),INDEX(AllCollegeILPub, MATCH(N717,AllCollegeNCES,0)),0)</f>
        <v>0</v>
      </c>
      <c r="BF717">
        <f>IF(AN717=ReachLabel,AS717,0)</f>
        <v>0</v>
      </c>
      <c r="BG717">
        <f>IF(AN717=MatchLabel,AS717,0)</f>
        <v>0</v>
      </c>
      <c r="BH717">
        <f>IF(AN717=SafetyLabel,AS717,0)</f>
        <v>0</v>
      </c>
      <c r="BI717">
        <f>IF(AN717=SecureLabel,AS717,0)</f>
        <v>0</v>
      </c>
      <c r="BJ717">
        <f>IF(AN717=SureThingLabel,AS717,0)</f>
        <v>0</v>
      </c>
      <c r="BK717">
        <f>MAX(BF717:BJ717)</f>
        <v>0</v>
      </c>
      <c r="BL717">
        <f>MAX(BG717:BJ717)</f>
        <v>0</v>
      </c>
      <c r="BM717">
        <f>MAX(BH717:BJ717)</f>
        <v>0</v>
      </c>
      <c r="BN717">
        <f>IF(AND(AN717=ReachLabel,BB717=1),AS717,0)</f>
        <v>0</v>
      </c>
      <c r="BO717">
        <f>IF(AND(AN717=MatchLabel,BB717=1),AS717,0)</f>
        <v>0</v>
      </c>
      <c r="BP717">
        <f>IF(AND(AN717=SafetyLabel,BB717=1),AS717,0)</f>
        <v>0</v>
      </c>
      <c r="BQ717">
        <f>IF(AND(AN717=SecureLabel,BB717=1),AS717,0)</f>
        <v>0</v>
      </c>
      <c r="BR717">
        <f>IF(AND(AN717=SureThingLabel,BB717=1),AS717,0)</f>
        <v>0</v>
      </c>
      <c r="BS717">
        <f>MAX(BN717:BR717)</f>
        <v>0</v>
      </c>
      <c r="BT717">
        <f>MAX(BO717:BR717)</f>
        <v>0</v>
      </c>
      <c r="BU717">
        <f>MAX(BP717:BR717)</f>
        <v>0</v>
      </c>
      <c r="BV717">
        <f>IF(ISNUMBER(AB717),INDEX(AllCollegeChicago, MATCH(N717,AllCollegeNCES,0))*BB717,0)</f>
        <v>0</v>
      </c>
      <c r="BW717">
        <f>IF(ISNUMBER(AB717),INDEX(AllCollegeMoneyCode, MATCH(N717,AllCollegeNCES,0)),"?")</f>
        <v>0</v>
      </c>
      <c r="BX717">
        <f>IF(OR(BW717="---",BW717="--",BW717="+/--",BW717="+/---"),1,0)</f>
        <v>0</v>
      </c>
      <c r="BY717">
        <f>BB717*AR717*AT717</f>
        <v>0</v>
      </c>
    </row>
    <row r="718" spans="1:77">
      <c r="A718" t="s">
        <v>96</v>
      </c>
      <c r="B718">
        <v>30280677</v>
      </c>
      <c r="C718" t="s">
        <v>312</v>
      </c>
      <c r="D718" t="s">
        <v>313</v>
      </c>
      <c r="E718" t="s">
        <v>446</v>
      </c>
      <c r="F718" t="s">
        <v>465</v>
      </c>
      <c r="G718" t="s">
        <v>448</v>
      </c>
      <c r="H718" t="s">
        <v>449</v>
      </c>
      <c r="I718" t="s">
        <v>450</v>
      </c>
      <c r="J718" t="s">
        <v>450</v>
      </c>
      <c r="K718">
        <v>0</v>
      </c>
      <c r="L718" t="s">
        <v>446</v>
      </c>
      <c r="M718" t="s">
        <v>446</v>
      </c>
      <c r="N718">
        <v>145600</v>
      </c>
      <c r="O718">
        <f>INDEX(Counselor,MATCH(B718,KidIDs,0))</f>
        <v>0</v>
      </c>
      <c r="P718">
        <f>INDEX(Advisors,MATCH(B718,KidIDs,0))</f>
        <v>0</v>
      </c>
      <c r="Q718">
        <f>INDEX(Cohort,MATCH(B718,KidIDs,0))</f>
        <v>0</v>
      </c>
      <c r="R718">
        <f>INDEX(AllCollegeBarrons,MATCH(N718,AllCollegeNCES,0))</f>
        <v>0</v>
      </c>
      <c r="S718">
        <f>INDEX(KidGPAs,MATCH(B718,KidIDs,0))</f>
        <v>0</v>
      </c>
      <c r="T718">
        <f>INDEX(KidSATs,MATCH(B718,KidIDs,0))</f>
        <v>0</v>
      </c>
      <c r="U718">
        <f>INDEX(Strats,MATCH(B718,KidIDs,0))</f>
        <v>0</v>
      </c>
      <c r="V718">
        <f>INDEX(KidRace,MATCH(B718,KidIDs,0))</f>
        <v>0</v>
      </c>
      <c r="W718">
        <f>IF(OR(V718="M",V718="I"),"H",IF(V718="P","A",V718))</f>
        <v>0</v>
      </c>
      <c r="X718">
        <f>INDEX(StudentTargets,MATCH(B718,KidIDs,0))</f>
        <v>0</v>
      </c>
      <c r="Y718">
        <f>INDEX(ReachStudentTargets,MATCH(B718,KidIDs,0))</f>
        <v>0</v>
      </c>
      <c r="Z718">
        <f>IF(OR(M718="Posse"),1,0)</f>
        <v>0</v>
      </c>
      <c r="AA718">
        <f>IF(ISNUMBER(INDEX(AllCollegeGR, MATCH(N718,AllCollegeNCES,0))),ROUND(INDEX(AllCollegeGR, MATCH(N718,AllCollegeNCES,0))+Z718*IF(INDEX(AllCollegeGR, MATCH(N718,AllCollegeNCES,0))&gt;0.7,(1-INDEX(AllCollegeGR, MATCH(N718,AllCollegeNCES,0)))/2,0.15),2),INDEX(AllCollegeGR, MATCH(N718,AllCollegeNCES,0)))</f>
        <v>0</v>
      </c>
      <c r="AB718">
        <f>IF(ISNUMBER(INDEX(AllCollegeAAHGR, MATCH(N718,AllCollegeNCES,0))),ROUND(INDEX(AllCollegeAAHGR, MATCH(N718,AllCollegeNCES,0))+Z718*IF(INDEX(AllCollegeAAHGR, MATCH(N718,AllCollegeNCES,0))&gt;0.7,(1-INDEX(AllCollegeAAHGR, MATCH(N718,AllCollegeNCES,0)))/2,0.15),2),INDEX(AllCollegeAAHGR, MATCH(N718,AllCollegeNCES,0)))</f>
        <v>0</v>
      </c>
      <c r="AC718">
        <f>IF(OR(W718="H",W718="B"),INDEX(AllCollegeSAT25, MATCH(N718,AllCollegeNCES,0)),INDEX(AllCollegeSAT50, MATCH(N718,AllCollegeNCES,0)))</f>
        <v>0</v>
      </c>
      <c r="AD718">
        <f>INDEX(CustomWeightsGPA,MATCH(W718&amp;":"&amp;N718,CustomWeightsIndex,0))</f>
        <v>0</v>
      </c>
      <c r="AE718">
        <f>INDEX(CustomWeightsSAT,MATCH(W718&amp;":"&amp;N718,CustomWeightsIndex,0))</f>
        <v>0</v>
      </c>
      <c r="AF718">
        <f>INDEX(CustomWeightsIntercept,MATCH(W718&amp;":"&amp;N718,CustomWeightsIndex,0))</f>
        <v>0</v>
      </c>
      <c r="AG718">
        <f>AD718*S718+AE718*T718+AF718</f>
        <v>0</v>
      </c>
      <c r="AH718">
        <f>INDEX(CoefficientsGPA,MATCH(W718&amp;":"&amp;R718,CoefficientsIndex,0))</f>
        <v>0</v>
      </c>
      <c r="AI718">
        <f>INDEX(CoefficientsSAT,MATCH(W718&amp;":"&amp;R718,CoefficientsIndex,0))</f>
        <v>0</v>
      </c>
      <c r="AJ718">
        <f>INDEX(CoefficientsIntercept,MATCH(W718&amp;":"&amp;R718,CoefficientsIndex,0))</f>
        <v>0</v>
      </c>
      <c r="AK718">
        <f>AH718*S718+(T718-AC718)*AI718+AJ718</f>
        <v>0</v>
      </c>
      <c r="AL718">
        <f>IF(ISNUMBER(AG718),AG718,AK718)</f>
        <v>0</v>
      </c>
      <c r="AM718">
        <f>IF(ISNUMBER(AL718),IF(ISNUMBER(AH718),IF(AND(AH718=1,AI718=1,AJ718=1),100,MIN(99,ROUND(100*EXP(AL718)/(1+EXP(AL718)),2))),MIN(99,ROUND(100*EXP(AL718)/(1+EXP(AL718)),2))),IF(ISTEXT(R718),IF(LEFT(R718,1)="2",100,"N/A"),"N/A"))</f>
        <v>0</v>
      </c>
      <c r="AN718">
        <f>IF(ISNUMBER(AM718),IF(AM718&gt;=99,IF(OR(U718=10,U718=11),MatchLabel,SureThingLabel),IF(AM718&gt;=95,SecureLabel,IF(AM718&gt;=80,SafetyLabel,IF(AM718&gt;=50,MatchLabel,IF(AM718&gt;=20,ReachLabel,IF(AM718&gt;=10,LongshotLabel,HailMaryLabel)))))),"Other")</f>
        <v>0</v>
      </c>
      <c r="AO718">
        <f>IF(OR(I718="accepted",I718="cond. accept",I718="summer admit"),IF(J718="yes","CHOICE!","Accepted!"),IF(I718="guar. transfer","Guar. Xfer",IF(I718="denied","Denied",IF(K718=1,"Waitlist",IF(L718=1,"Deferred",IF(G718="pending","Pending",IF(OR(G718="initial materials submitted",G718="mid-year submitted",G718="final submitted"),"Submitted",IF(H718="interest","Interest","?"))))))))</f>
        <v>0</v>
      </c>
      <c r="AP718">
        <f>IF(OR(AN718=ReachLabel,AN718=LongshotLabel,AN718=HailMaryLabel),1,0)</f>
        <v>0</v>
      </c>
      <c r="AQ718">
        <f>IF(OR(AP718=1,AN718=MatchLabel),1,0)</f>
        <v>0</v>
      </c>
      <c r="AR718">
        <f>IF(OR(AN718=MatchLabel,AN718=SafetyLabel,AN718=SecureLabel,AN718=SureThingLabel),1,0)</f>
        <v>0</v>
      </c>
      <c r="AS718">
        <f>IF(OR(W718="H",W718="B",W718="I",W718="M"),IF(ISNUMBER(AB718),ROUND(AB718,2),0),IF(ISNUMBER(AA718),ROUND(AA718,2),0))</f>
        <v>0</v>
      </c>
      <c r="AT718">
        <f>IF(AS718&gt;=X718,1,0)</f>
        <v>0</v>
      </c>
      <c r="AU718">
        <f>IF(AS718&gt;=Y718,1,0)</f>
        <v>0</v>
      </c>
      <c r="AV718">
        <f>IF(AS718&lt;(X718-0.10),1,0)</f>
        <v>0</v>
      </c>
      <c r="AW718">
        <f>1-AM718/100</f>
        <v>0</v>
      </c>
      <c r="AX718">
        <f>IF(AQ718=1,AW718,1)</f>
        <v>0</v>
      </c>
      <c r="AY718">
        <f>IF(AP718=1,AW718,1)</f>
        <v>0</v>
      </c>
      <c r="AZ718">
        <f>IF(AND(AT718=1,ISNUMBER(AW718)),$AW718,1)</f>
        <v>0</v>
      </c>
      <c r="BA718">
        <f>IF(AND(AU718=1,ISNUMBER(AW718)),$AW718,1)</f>
        <v>0</v>
      </c>
      <c r="BB718">
        <f>IF(ISNUMBER(AB718),INDEX(AllCollegeMoney, MATCH(N718,AllCollegeNCES,0)),0)</f>
        <v>0</v>
      </c>
      <c r="BC718">
        <f>IF(AND(AT718=1,ISNUMBER(AW718),BB718=1),$AW718,1)</f>
        <v>0</v>
      </c>
      <c r="BD718">
        <f>IF(AND(AU718=1,ISNUMBER(AW718),BB718=1),$AW718,1)</f>
        <v>0</v>
      </c>
      <c r="BE718">
        <f>IF(ISNUMBER(AB718),INDEX(AllCollegeILPub, MATCH(N718,AllCollegeNCES,0)),0)</f>
        <v>0</v>
      </c>
      <c r="BF718">
        <f>IF(AN718=ReachLabel,AS718,0)</f>
        <v>0</v>
      </c>
      <c r="BG718">
        <f>IF(AN718=MatchLabel,AS718,0)</f>
        <v>0</v>
      </c>
      <c r="BH718">
        <f>IF(AN718=SafetyLabel,AS718,0)</f>
        <v>0</v>
      </c>
      <c r="BI718">
        <f>IF(AN718=SecureLabel,AS718,0)</f>
        <v>0</v>
      </c>
      <c r="BJ718">
        <f>IF(AN718=SureThingLabel,AS718,0)</f>
        <v>0</v>
      </c>
      <c r="BK718">
        <f>MAX(BF718:BJ718)</f>
        <v>0</v>
      </c>
      <c r="BL718">
        <f>MAX(BG718:BJ718)</f>
        <v>0</v>
      </c>
      <c r="BM718">
        <f>MAX(BH718:BJ718)</f>
        <v>0</v>
      </c>
      <c r="BN718">
        <f>IF(AND(AN718=ReachLabel,BB718=1),AS718,0)</f>
        <v>0</v>
      </c>
      <c r="BO718">
        <f>IF(AND(AN718=MatchLabel,BB718=1),AS718,0)</f>
        <v>0</v>
      </c>
      <c r="BP718">
        <f>IF(AND(AN718=SafetyLabel,BB718=1),AS718,0)</f>
        <v>0</v>
      </c>
      <c r="BQ718">
        <f>IF(AND(AN718=SecureLabel,BB718=1),AS718,0)</f>
        <v>0</v>
      </c>
      <c r="BR718">
        <f>IF(AND(AN718=SureThingLabel,BB718=1),AS718,0)</f>
        <v>0</v>
      </c>
      <c r="BS718">
        <f>MAX(BN718:BR718)</f>
        <v>0</v>
      </c>
      <c r="BT718">
        <f>MAX(BO718:BR718)</f>
        <v>0</v>
      </c>
      <c r="BU718">
        <f>MAX(BP718:BR718)</f>
        <v>0</v>
      </c>
      <c r="BV718">
        <f>IF(ISNUMBER(AB718),INDEX(AllCollegeChicago, MATCH(N718,AllCollegeNCES,0))*BB718,0)</f>
        <v>0</v>
      </c>
      <c r="BW718">
        <f>IF(ISNUMBER(AB718),INDEX(AllCollegeMoneyCode, MATCH(N718,AllCollegeNCES,0)),"?")</f>
        <v>0</v>
      </c>
      <c r="BX718">
        <f>IF(OR(BW718="---",BW718="--",BW718="+/--",BW718="+/---"),1,0)</f>
        <v>0</v>
      </c>
      <c r="BY718">
        <f>BB718*AR718*AT718</f>
        <v>0</v>
      </c>
    </row>
    <row r="719" spans="1:77">
      <c r="A719" t="s">
        <v>96</v>
      </c>
      <c r="B719">
        <v>30280677</v>
      </c>
      <c r="C719" t="s">
        <v>312</v>
      </c>
      <c r="D719" t="s">
        <v>313</v>
      </c>
      <c r="E719" t="s">
        <v>446</v>
      </c>
      <c r="F719" t="s">
        <v>453</v>
      </c>
      <c r="G719" t="s">
        <v>448</v>
      </c>
      <c r="H719" t="s">
        <v>449</v>
      </c>
      <c r="I719" t="s">
        <v>450</v>
      </c>
      <c r="J719" t="s">
        <v>450</v>
      </c>
      <c r="K719">
        <v>0</v>
      </c>
      <c r="L719" t="s">
        <v>446</v>
      </c>
      <c r="M719" t="s">
        <v>454</v>
      </c>
      <c r="N719">
        <v>150774</v>
      </c>
      <c r="O719">
        <f>INDEX(Counselor,MATCH(B719,KidIDs,0))</f>
        <v>0</v>
      </c>
      <c r="P719">
        <f>INDEX(Advisors,MATCH(B719,KidIDs,0))</f>
        <v>0</v>
      </c>
      <c r="Q719">
        <f>INDEX(Cohort,MATCH(B719,KidIDs,0))</f>
        <v>0</v>
      </c>
      <c r="R719">
        <f>INDEX(AllCollegeBarrons,MATCH(N719,AllCollegeNCES,0))</f>
        <v>0</v>
      </c>
      <c r="S719">
        <f>INDEX(KidGPAs,MATCH(B719,KidIDs,0))</f>
        <v>0</v>
      </c>
      <c r="T719">
        <f>INDEX(KidSATs,MATCH(B719,KidIDs,0))</f>
        <v>0</v>
      </c>
      <c r="U719">
        <f>INDEX(Strats,MATCH(B719,KidIDs,0))</f>
        <v>0</v>
      </c>
      <c r="V719">
        <f>INDEX(KidRace,MATCH(B719,KidIDs,0))</f>
        <v>0</v>
      </c>
      <c r="W719">
        <f>IF(OR(V719="M",V719="I"),"H",IF(V719="P","A",V719))</f>
        <v>0</v>
      </c>
      <c r="X719">
        <f>INDEX(StudentTargets,MATCH(B719,KidIDs,0))</f>
        <v>0</v>
      </c>
      <c r="Y719">
        <f>INDEX(ReachStudentTargets,MATCH(B719,KidIDs,0))</f>
        <v>0</v>
      </c>
      <c r="Z719">
        <f>IF(OR(M719="Posse"),1,0)</f>
        <v>0</v>
      </c>
      <c r="AA719">
        <f>IF(ISNUMBER(INDEX(AllCollegeGR, MATCH(N719,AllCollegeNCES,0))),ROUND(INDEX(AllCollegeGR, MATCH(N719,AllCollegeNCES,0))+Z719*IF(INDEX(AllCollegeGR, MATCH(N719,AllCollegeNCES,0))&gt;0.7,(1-INDEX(AllCollegeGR, MATCH(N719,AllCollegeNCES,0)))/2,0.15),2),INDEX(AllCollegeGR, MATCH(N719,AllCollegeNCES,0)))</f>
        <v>0</v>
      </c>
      <c r="AB719">
        <f>IF(ISNUMBER(INDEX(AllCollegeAAHGR, MATCH(N719,AllCollegeNCES,0))),ROUND(INDEX(AllCollegeAAHGR, MATCH(N719,AllCollegeNCES,0))+Z719*IF(INDEX(AllCollegeAAHGR, MATCH(N719,AllCollegeNCES,0))&gt;0.7,(1-INDEX(AllCollegeAAHGR, MATCH(N719,AllCollegeNCES,0)))/2,0.15),2),INDEX(AllCollegeAAHGR, MATCH(N719,AllCollegeNCES,0)))</f>
        <v>0</v>
      </c>
      <c r="AC719">
        <f>IF(OR(W719="H",W719="B"),INDEX(AllCollegeSAT25, MATCH(N719,AllCollegeNCES,0)),INDEX(AllCollegeSAT50, MATCH(N719,AllCollegeNCES,0)))</f>
        <v>0</v>
      </c>
      <c r="AD719">
        <f>INDEX(CustomWeightsGPA,MATCH(W719&amp;":"&amp;N719,CustomWeightsIndex,0))</f>
        <v>0</v>
      </c>
      <c r="AE719">
        <f>INDEX(CustomWeightsSAT,MATCH(W719&amp;":"&amp;N719,CustomWeightsIndex,0))</f>
        <v>0</v>
      </c>
      <c r="AF719">
        <f>INDEX(CustomWeightsIntercept,MATCH(W719&amp;":"&amp;N719,CustomWeightsIndex,0))</f>
        <v>0</v>
      </c>
      <c r="AG719">
        <f>AD719*S719+AE719*T719+AF719</f>
        <v>0</v>
      </c>
      <c r="AH719">
        <f>INDEX(CoefficientsGPA,MATCH(W719&amp;":"&amp;R719,CoefficientsIndex,0))</f>
        <v>0</v>
      </c>
      <c r="AI719">
        <f>INDEX(CoefficientsSAT,MATCH(W719&amp;":"&amp;R719,CoefficientsIndex,0))</f>
        <v>0</v>
      </c>
      <c r="AJ719">
        <f>INDEX(CoefficientsIntercept,MATCH(W719&amp;":"&amp;R719,CoefficientsIndex,0))</f>
        <v>0</v>
      </c>
      <c r="AK719">
        <f>AH719*S719+(T719-AC719)*AI719+AJ719</f>
        <v>0</v>
      </c>
      <c r="AL719">
        <f>IF(ISNUMBER(AG719),AG719,AK719)</f>
        <v>0</v>
      </c>
      <c r="AM719">
        <f>IF(ISNUMBER(AL719),IF(ISNUMBER(AH719),IF(AND(AH719=1,AI719=1,AJ719=1),100,MIN(99,ROUND(100*EXP(AL719)/(1+EXP(AL719)),2))),MIN(99,ROUND(100*EXP(AL719)/(1+EXP(AL719)),2))),IF(ISTEXT(R719),IF(LEFT(R719,1)="2",100,"N/A"),"N/A"))</f>
        <v>0</v>
      </c>
      <c r="AN719">
        <f>IF(ISNUMBER(AM719),IF(AM719&gt;=99,IF(OR(U719=10,U719=11),MatchLabel,SureThingLabel),IF(AM719&gt;=95,SecureLabel,IF(AM719&gt;=80,SafetyLabel,IF(AM719&gt;=50,MatchLabel,IF(AM719&gt;=20,ReachLabel,IF(AM719&gt;=10,LongshotLabel,HailMaryLabel)))))),"Other")</f>
        <v>0</v>
      </c>
      <c r="AO719">
        <f>IF(OR(I719="accepted",I719="cond. accept",I719="summer admit"),IF(J719="yes","CHOICE!","Accepted!"),IF(I719="guar. transfer","Guar. Xfer",IF(I719="denied","Denied",IF(K719=1,"Waitlist",IF(L719=1,"Deferred",IF(G719="pending","Pending",IF(OR(G719="initial materials submitted",G719="mid-year submitted",G719="final submitted"),"Submitted",IF(H719="interest","Interest","?"))))))))</f>
        <v>0</v>
      </c>
      <c r="AP719">
        <f>IF(OR(AN719=ReachLabel,AN719=LongshotLabel,AN719=HailMaryLabel),1,0)</f>
        <v>0</v>
      </c>
      <c r="AQ719">
        <f>IF(OR(AP719=1,AN719=MatchLabel),1,0)</f>
        <v>0</v>
      </c>
      <c r="AR719">
        <f>IF(OR(AN719=MatchLabel,AN719=SafetyLabel,AN719=SecureLabel,AN719=SureThingLabel),1,0)</f>
        <v>0</v>
      </c>
      <c r="AS719">
        <f>IF(OR(W719="H",W719="B",W719="I",W719="M"),IF(ISNUMBER(AB719),ROUND(AB719,2),0),IF(ISNUMBER(AA719),ROUND(AA719,2),0))</f>
        <v>0</v>
      </c>
      <c r="AT719">
        <f>IF(AS719&gt;=X719,1,0)</f>
        <v>0</v>
      </c>
      <c r="AU719">
        <f>IF(AS719&gt;=Y719,1,0)</f>
        <v>0</v>
      </c>
      <c r="AV719">
        <f>IF(AS719&lt;(X719-0.10),1,0)</f>
        <v>0</v>
      </c>
      <c r="AW719">
        <f>1-AM719/100</f>
        <v>0</v>
      </c>
      <c r="AX719">
        <f>IF(AQ719=1,AW719,1)</f>
        <v>0</v>
      </c>
      <c r="AY719">
        <f>IF(AP719=1,AW719,1)</f>
        <v>0</v>
      </c>
      <c r="AZ719">
        <f>IF(AND(AT719=1,ISNUMBER(AW719)),$AW719,1)</f>
        <v>0</v>
      </c>
      <c r="BA719">
        <f>IF(AND(AU719=1,ISNUMBER(AW719)),$AW719,1)</f>
        <v>0</v>
      </c>
      <c r="BB719">
        <f>IF(ISNUMBER(AB719),INDEX(AllCollegeMoney, MATCH(N719,AllCollegeNCES,0)),0)</f>
        <v>0</v>
      </c>
      <c r="BC719">
        <f>IF(AND(AT719=1,ISNUMBER(AW719),BB719=1),$AW719,1)</f>
        <v>0</v>
      </c>
      <c r="BD719">
        <f>IF(AND(AU719=1,ISNUMBER(AW719),BB719=1),$AW719,1)</f>
        <v>0</v>
      </c>
      <c r="BE719">
        <f>IF(ISNUMBER(AB719),INDEX(AllCollegeILPub, MATCH(N719,AllCollegeNCES,0)),0)</f>
        <v>0</v>
      </c>
      <c r="BF719">
        <f>IF(AN719=ReachLabel,AS719,0)</f>
        <v>0</v>
      </c>
      <c r="BG719">
        <f>IF(AN719=MatchLabel,AS719,0)</f>
        <v>0</v>
      </c>
      <c r="BH719">
        <f>IF(AN719=SafetyLabel,AS719,0)</f>
        <v>0</v>
      </c>
      <c r="BI719">
        <f>IF(AN719=SecureLabel,AS719,0)</f>
        <v>0</v>
      </c>
      <c r="BJ719">
        <f>IF(AN719=SureThingLabel,AS719,0)</f>
        <v>0</v>
      </c>
      <c r="BK719">
        <f>MAX(BF719:BJ719)</f>
        <v>0</v>
      </c>
      <c r="BL719">
        <f>MAX(BG719:BJ719)</f>
        <v>0</v>
      </c>
      <c r="BM719">
        <f>MAX(BH719:BJ719)</f>
        <v>0</v>
      </c>
      <c r="BN719">
        <f>IF(AND(AN719=ReachLabel,BB719=1),AS719,0)</f>
        <v>0</v>
      </c>
      <c r="BO719">
        <f>IF(AND(AN719=MatchLabel,BB719=1),AS719,0)</f>
        <v>0</v>
      </c>
      <c r="BP719">
        <f>IF(AND(AN719=SafetyLabel,BB719=1),AS719,0)</f>
        <v>0</v>
      </c>
      <c r="BQ719">
        <f>IF(AND(AN719=SecureLabel,BB719=1),AS719,0)</f>
        <v>0</v>
      </c>
      <c r="BR719">
        <f>IF(AND(AN719=SureThingLabel,BB719=1),AS719,0)</f>
        <v>0</v>
      </c>
      <c r="BS719">
        <f>MAX(BN719:BR719)</f>
        <v>0</v>
      </c>
      <c r="BT719">
        <f>MAX(BO719:BR719)</f>
        <v>0</v>
      </c>
      <c r="BU719">
        <f>MAX(BP719:BR719)</f>
        <v>0</v>
      </c>
      <c r="BV719">
        <f>IF(ISNUMBER(AB719),INDEX(AllCollegeChicago, MATCH(N719,AllCollegeNCES,0))*BB719,0)</f>
        <v>0</v>
      </c>
      <c r="BW719">
        <f>IF(ISNUMBER(AB719),INDEX(AllCollegeMoneyCode, MATCH(N719,AllCollegeNCES,0)),"?")</f>
        <v>0</v>
      </c>
      <c r="BX719">
        <f>IF(OR(BW719="---",BW719="--",BW719="+/--",BW719="+/---"),1,0)</f>
        <v>0</v>
      </c>
      <c r="BY719">
        <f>BB719*AR719*AT719</f>
        <v>0</v>
      </c>
    </row>
    <row r="720" spans="1:77">
      <c r="A720" t="s">
        <v>96</v>
      </c>
      <c r="B720">
        <v>30280677</v>
      </c>
      <c r="C720" t="s">
        <v>312</v>
      </c>
      <c r="D720" t="s">
        <v>313</v>
      </c>
      <c r="E720" t="s">
        <v>446</v>
      </c>
      <c r="F720" t="s">
        <v>466</v>
      </c>
      <c r="G720" t="s">
        <v>448</v>
      </c>
      <c r="H720" t="s">
        <v>449</v>
      </c>
      <c r="I720" t="s">
        <v>450</v>
      </c>
      <c r="J720" t="s">
        <v>450</v>
      </c>
      <c r="K720">
        <v>0</v>
      </c>
      <c r="L720" t="s">
        <v>446</v>
      </c>
      <c r="M720" t="s">
        <v>446</v>
      </c>
      <c r="N720">
        <v>100000001</v>
      </c>
      <c r="O720">
        <f>INDEX(Counselor,MATCH(B720,KidIDs,0))</f>
        <v>0</v>
      </c>
      <c r="P720">
        <f>INDEX(Advisors,MATCH(B720,KidIDs,0))</f>
        <v>0</v>
      </c>
      <c r="Q720">
        <f>INDEX(Cohort,MATCH(B720,KidIDs,0))</f>
        <v>0</v>
      </c>
      <c r="R720">
        <f>INDEX(AllCollegeBarrons,MATCH(N720,AllCollegeNCES,0))</f>
        <v>0</v>
      </c>
      <c r="S720">
        <f>INDEX(KidGPAs,MATCH(B720,KidIDs,0))</f>
        <v>0</v>
      </c>
      <c r="T720">
        <f>INDEX(KidSATs,MATCH(B720,KidIDs,0))</f>
        <v>0</v>
      </c>
      <c r="U720">
        <f>INDEX(Strats,MATCH(B720,KidIDs,0))</f>
        <v>0</v>
      </c>
      <c r="V720">
        <f>INDEX(KidRace,MATCH(B720,KidIDs,0))</f>
        <v>0</v>
      </c>
      <c r="W720">
        <f>IF(OR(V720="M",V720="I"),"H",IF(V720="P","A",V720))</f>
        <v>0</v>
      </c>
      <c r="X720">
        <f>INDEX(StudentTargets,MATCH(B720,KidIDs,0))</f>
        <v>0</v>
      </c>
      <c r="Y720">
        <f>INDEX(ReachStudentTargets,MATCH(B720,KidIDs,0))</f>
        <v>0</v>
      </c>
      <c r="Z720">
        <f>IF(OR(M720="Posse"),1,0)</f>
        <v>0</v>
      </c>
      <c r="AA720">
        <f>IF(ISNUMBER(INDEX(AllCollegeGR, MATCH(N720,AllCollegeNCES,0))),ROUND(INDEX(AllCollegeGR, MATCH(N720,AllCollegeNCES,0))+Z720*IF(INDEX(AllCollegeGR, MATCH(N720,AllCollegeNCES,0))&gt;0.7,(1-INDEX(AllCollegeGR, MATCH(N720,AllCollegeNCES,0)))/2,0.15),2),INDEX(AllCollegeGR, MATCH(N720,AllCollegeNCES,0)))</f>
        <v>0</v>
      </c>
      <c r="AB720">
        <f>IF(ISNUMBER(INDEX(AllCollegeAAHGR, MATCH(N720,AllCollegeNCES,0))),ROUND(INDEX(AllCollegeAAHGR, MATCH(N720,AllCollegeNCES,0))+Z720*IF(INDEX(AllCollegeAAHGR, MATCH(N720,AllCollegeNCES,0))&gt;0.7,(1-INDEX(AllCollegeAAHGR, MATCH(N720,AllCollegeNCES,0)))/2,0.15),2),INDEX(AllCollegeAAHGR, MATCH(N720,AllCollegeNCES,0)))</f>
        <v>0</v>
      </c>
      <c r="AC720">
        <f>IF(OR(W720="H",W720="B"),INDEX(AllCollegeSAT25, MATCH(N720,AllCollegeNCES,0)),INDEX(AllCollegeSAT50, MATCH(N720,AllCollegeNCES,0)))</f>
        <v>0</v>
      </c>
      <c r="AD720">
        <f>INDEX(CustomWeightsGPA,MATCH(W720&amp;":"&amp;N720,CustomWeightsIndex,0))</f>
        <v>0</v>
      </c>
      <c r="AE720">
        <f>INDEX(CustomWeightsSAT,MATCH(W720&amp;":"&amp;N720,CustomWeightsIndex,0))</f>
        <v>0</v>
      </c>
      <c r="AF720">
        <f>INDEX(CustomWeightsIntercept,MATCH(W720&amp;":"&amp;N720,CustomWeightsIndex,0))</f>
        <v>0</v>
      </c>
      <c r="AG720">
        <f>AD720*S720+AE720*T720+AF720</f>
        <v>0</v>
      </c>
      <c r="AH720">
        <f>INDEX(CoefficientsGPA,MATCH(W720&amp;":"&amp;R720,CoefficientsIndex,0))</f>
        <v>0</v>
      </c>
      <c r="AI720">
        <f>INDEX(CoefficientsSAT,MATCH(W720&amp;":"&amp;R720,CoefficientsIndex,0))</f>
        <v>0</v>
      </c>
      <c r="AJ720">
        <f>INDEX(CoefficientsIntercept,MATCH(W720&amp;":"&amp;R720,CoefficientsIndex,0))</f>
        <v>0</v>
      </c>
      <c r="AK720">
        <f>AH720*S720+(T720-AC720)*AI720+AJ720</f>
        <v>0</v>
      </c>
      <c r="AL720">
        <f>IF(ISNUMBER(AG720),AG720,AK720)</f>
        <v>0</v>
      </c>
      <c r="AM720">
        <f>IF(ISNUMBER(AL720),IF(ISNUMBER(AH720),IF(AND(AH720=1,AI720=1,AJ720=1),100,MIN(99,ROUND(100*EXP(AL720)/(1+EXP(AL720)),2))),MIN(99,ROUND(100*EXP(AL720)/(1+EXP(AL720)),2))),IF(ISTEXT(R720),IF(LEFT(R720,1)="2",100,"N/A"),"N/A"))</f>
        <v>0</v>
      </c>
      <c r="AN720">
        <f>IF(ISNUMBER(AM720),IF(AM720&gt;=99,IF(OR(U720=10,U720=11),MatchLabel,SureThingLabel),IF(AM720&gt;=95,SecureLabel,IF(AM720&gt;=80,SafetyLabel,IF(AM720&gt;=50,MatchLabel,IF(AM720&gt;=20,ReachLabel,IF(AM720&gt;=10,LongshotLabel,HailMaryLabel)))))),"Other")</f>
        <v>0</v>
      </c>
      <c r="AO720">
        <f>IF(OR(I720="accepted",I720="cond. accept",I720="summer admit"),IF(J720="yes","CHOICE!","Accepted!"),IF(I720="guar. transfer","Guar. Xfer",IF(I720="denied","Denied",IF(K720=1,"Waitlist",IF(L720=1,"Deferred",IF(G720="pending","Pending",IF(OR(G720="initial materials submitted",G720="mid-year submitted",G720="final submitted"),"Submitted",IF(H720="interest","Interest","?"))))))))</f>
        <v>0</v>
      </c>
      <c r="AP720">
        <f>IF(OR(AN720=ReachLabel,AN720=LongshotLabel,AN720=HailMaryLabel),1,0)</f>
        <v>0</v>
      </c>
      <c r="AQ720">
        <f>IF(OR(AP720=1,AN720=MatchLabel),1,0)</f>
        <v>0</v>
      </c>
      <c r="AR720">
        <f>IF(OR(AN720=MatchLabel,AN720=SafetyLabel,AN720=SecureLabel,AN720=SureThingLabel),1,0)</f>
        <v>0</v>
      </c>
      <c r="AS720">
        <f>IF(OR(W720="H",W720="B",W720="I",W720="M"),IF(ISNUMBER(AB720),ROUND(AB720,2),0),IF(ISNUMBER(AA720),ROUND(AA720,2),0))</f>
        <v>0</v>
      </c>
      <c r="AT720">
        <f>IF(AS720&gt;=X720,1,0)</f>
        <v>0</v>
      </c>
      <c r="AU720">
        <f>IF(AS720&gt;=Y720,1,0)</f>
        <v>0</v>
      </c>
      <c r="AV720">
        <f>IF(AS720&lt;(X720-0.10),1,0)</f>
        <v>0</v>
      </c>
      <c r="AW720">
        <f>1-AM720/100</f>
        <v>0</v>
      </c>
      <c r="AX720">
        <f>IF(AQ720=1,AW720,1)</f>
        <v>0</v>
      </c>
      <c r="AY720">
        <f>IF(AP720=1,AW720,1)</f>
        <v>0</v>
      </c>
      <c r="AZ720">
        <f>IF(AND(AT720=1,ISNUMBER(AW720)),$AW720,1)</f>
        <v>0</v>
      </c>
      <c r="BA720">
        <f>IF(AND(AU720=1,ISNUMBER(AW720)),$AW720,1)</f>
        <v>0</v>
      </c>
      <c r="BB720">
        <f>IF(ISNUMBER(AB720),INDEX(AllCollegeMoney, MATCH(N720,AllCollegeNCES,0)),0)</f>
        <v>0</v>
      </c>
      <c r="BC720">
        <f>IF(AND(AT720=1,ISNUMBER(AW720),BB720=1),$AW720,1)</f>
        <v>0</v>
      </c>
      <c r="BD720">
        <f>IF(AND(AU720=1,ISNUMBER(AW720),BB720=1),$AW720,1)</f>
        <v>0</v>
      </c>
      <c r="BE720">
        <f>IF(ISNUMBER(AB720),INDEX(AllCollegeILPub, MATCH(N720,AllCollegeNCES,0)),0)</f>
        <v>0</v>
      </c>
      <c r="BF720">
        <f>IF(AN720=ReachLabel,AS720,0)</f>
        <v>0</v>
      </c>
      <c r="BG720">
        <f>IF(AN720=MatchLabel,AS720,0)</f>
        <v>0</v>
      </c>
      <c r="BH720">
        <f>IF(AN720=SafetyLabel,AS720,0)</f>
        <v>0</v>
      </c>
      <c r="BI720">
        <f>IF(AN720=SecureLabel,AS720,0)</f>
        <v>0</v>
      </c>
      <c r="BJ720">
        <f>IF(AN720=SureThingLabel,AS720,0)</f>
        <v>0</v>
      </c>
      <c r="BK720">
        <f>MAX(BF720:BJ720)</f>
        <v>0</v>
      </c>
      <c r="BL720">
        <f>MAX(BG720:BJ720)</f>
        <v>0</v>
      </c>
      <c r="BM720">
        <f>MAX(BH720:BJ720)</f>
        <v>0</v>
      </c>
      <c r="BN720">
        <f>IF(AND(AN720=ReachLabel,BB720=1),AS720,0)</f>
        <v>0</v>
      </c>
      <c r="BO720">
        <f>IF(AND(AN720=MatchLabel,BB720=1),AS720,0)</f>
        <v>0</v>
      </c>
      <c r="BP720">
        <f>IF(AND(AN720=SafetyLabel,BB720=1),AS720,0)</f>
        <v>0</v>
      </c>
      <c r="BQ720">
        <f>IF(AND(AN720=SecureLabel,BB720=1),AS720,0)</f>
        <v>0</v>
      </c>
      <c r="BR720">
        <f>IF(AND(AN720=SureThingLabel,BB720=1),AS720,0)</f>
        <v>0</v>
      </c>
      <c r="BS720">
        <f>MAX(BN720:BR720)</f>
        <v>0</v>
      </c>
      <c r="BT720">
        <f>MAX(BO720:BR720)</f>
        <v>0</v>
      </c>
      <c r="BU720">
        <f>MAX(BP720:BR720)</f>
        <v>0</v>
      </c>
      <c r="BV720">
        <f>IF(ISNUMBER(AB720),INDEX(AllCollegeChicago, MATCH(N720,AllCollegeNCES,0))*BB720,0)</f>
        <v>0</v>
      </c>
      <c r="BW720">
        <f>IF(ISNUMBER(AB720),INDEX(AllCollegeMoneyCode, MATCH(N720,AllCollegeNCES,0)),"?")</f>
        <v>0</v>
      </c>
      <c r="BX720">
        <f>IF(OR(BW720="---",BW720="--",BW720="+/--",BW720="+/---"),1,0)</f>
        <v>0</v>
      </c>
      <c r="BY720">
        <f>BB720*AR720*AT720</f>
        <v>0</v>
      </c>
    </row>
    <row r="721" spans="1:77">
      <c r="A721" t="s">
        <v>96</v>
      </c>
      <c r="B721">
        <v>30280677</v>
      </c>
      <c r="C721" t="s">
        <v>312</v>
      </c>
      <c r="D721" t="s">
        <v>313</v>
      </c>
      <c r="E721" t="s">
        <v>446</v>
      </c>
      <c r="F721" t="s">
        <v>605</v>
      </c>
      <c r="G721" t="s">
        <v>448</v>
      </c>
      <c r="H721" t="s">
        <v>449</v>
      </c>
      <c r="I721" t="s">
        <v>450</v>
      </c>
      <c r="J721" t="s">
        <v>450</v>
      </c>
      <c r="K721">
        <v>0</v>
      </c>
      <c r="L721" t="s">
        <v>446</v>
      </c>
      <c r="M721" t="s">
        <v>446</v>
      </c>
      <c r="N721">
        <v>126562</v>
      </c>
      <c r="O721">
        <f>INDEX(Counselor,MATCH(B721,KidIDs,0))</f>
        <v>0</v>
      </c>
      <c r="P721">
        <f>INDEX(Advisors,MATCH(B721,KidIDs,0))</f>
        <v>0</v>
      </c>
      <c r="Q721">
        <f>INDEX(Cohort,MATCH(B721,KidIDs,0))</f>
        <v>0</v>
      </c>
      <c r="R721">
        <f>INDEX(AllCollegeBarrons,MATCH(N721,AllCollegeNCES,0))</f>
        <v>0</v>
      </c>
      <c r="S721">
        <f>INDEX(KidGPAs,MATCH(B721,KidIDs,0))</f>
        <v>0</v>
      </c>
      <c r="T721">
        <f>INDEX(KidSATs,MATCH(B721,KidIDs,0))</f>
        <v>0</v>
      </c>
      <c r="U721">
        <f>INDEX(Strats,MATCH(B721,KidIDs,0))</f>
        <v>0</v>
      </c>
      <c r="V721">
        <f>INDEX(KidRace,MATCH(B721,KidIDs,0))</f>
        <v>0</v>
      </c>
      <c r="W721">
        <f>IF(OR(V721="M",V721="I"),"H",IF(V721="P","A",V721))</f>
        <v>0</v>
      </c>
      <c r="X721">
        <f>INDEX(StudentTargets,MATCH(B721,KidIDs,0))</f>
        <v>0</v>
      </c>
      <c r="Y721">
        <f>INDEX(ReachStudentTargets,MATCH(B721,KidIDs,0))</f>
        <v>0</v>
      </c>
      <c r="Z721">
        <f>IF(OR(M721="Posse"),1,0)</f>
        <v>0</v>
      </c>
      <c r="AA721">
        <f>IF(ISNUMBER(INDEX(AllCollegeGR, MATCH(N721,AllCollegeNCES,0))),ROUND(INDEX(AllCollegeGR, MATCH(N721,AllCollegeNCES,0))+Z721*IF(INDEX(AllCollegeGR, MATCH(N721,AllCollegeNCES,0))&gt;0.7,(1-INDEX(AllCollegeGR, MATCH(N721,AllCollegeNCES,0)))/2,0.15),2),INDEX(AllCollegeGR, MATCH(N721,AllCollegeNCES,0)))</f>
        <v>0</v>
      </c>
      <c r="AB721">
        <f>IF(ISNUMBER(INDEX(AllCollegeAAHGR, MATCH(N721,AllCollegeNCES,0))),ROUND(INDEX(AllCollegeAAHGR, MATCH(N721,AllCollegeNCES,0))+Z721*IF(INDEX(AllCollegeAAHGR, MATCH(N721,AllCollegeNCES,0))&gt;0.7,(1-INDEX(AllCollegeAAHGR, MATCH(N721,AllCollegeNCES,0)))/2,0.15),2),INDEX(AllCollegeAAHGR, MATCH(N721,AllCollegeNCES,0)))</f>
        <v>0</v>
      </c>
      <c r="AC721">
        <f>IF(OR(W721="H",W721="B"),INDEX(AllCollegeSAT25, MATCH(N721,AllCollegeNCES,0)),INDEX(AllCollegeSAT50, MATCH(N721,AllCollegeNCES,0)))</f>
        <v>0</v>
      </c>
      <c r="AD721">
        <f>INDEX(CustomWeightsGPA,MATCH(W721&amp;":"&amp;N721,CustomWeightsIndex,0))</f>
        <v>0</v>
      </c>
      <c r="AE721">
        <f>INDEX(CustomWeightsSAT,MATCH(W721&amp;":"&amp;N721,CustomWeightsIndex,0))</f>
        <v>0</v>
      </c>
      <c r="AF721">
        <f>INDEX(CustomWeightsIntercept,MATCH(W721&amp;":"&amp;N721,CustomWeightsIndex,0))</f>
        <v>0</v>
      </c>
      <c r="AG721">
        <f>AD721*S721+AE721*T721+AF721</f>
        <v>0</v>
      </c>
      <c r="AH721">
        <f>INDEX(CoefficientsGPA,MATCH(W721&amp;":"&amp;R721,CoefficientsIndex,0))</f>
        <v>0</v>
      </c>
      <c r="AI721">
        <f>INDEX(CoefficientsSAT,MATCH(W721&amp;":"&amp;R721,CoefficientsIndex,0))</f>
        <v>0</v>
      </c>
      <c r="AJ721">
        <f>INDEX(CoefficientsIntercept,MATCH(W721&amp;":"&amp;R721,CoefficientsIndex,0))</f>
        <v>0</v>
      </c>
      <c r="AK721">
        <f>AH721*S721+(T721-AC721)*AI721+AJ721</f>
        <v>0</v>
      </c>
      <c r="AL721">
        <f>IF(ISNUMBER(AG721),AG721,AK721)</f>
        <v>0</v>
      </c>
      <c r="AM721">
        <f>IF(ISNUMBER(AL721),IF(ISNUMBER(AH721),IF(AND(AH721=1,AI721=1,AJ721=1),100,MIN(99,ROUND(100*EXP(AL721)/(1+EXP(AL721)),2))),MIN(99,ROUND(100*EXP(AL721)/(1+EXP(AL721)),2))),IF(ISTEXT(R721),IF(LEFT(R721,1)="2",100,"N/A"),"N/A"))</f>
        <v>0</v>
      </c>
      <c r="AN721">
        <f>IF(ISNUMBER(AM721),IF(AM721&gt;=99,IF(OR(U721=10,U721=11),MatchLabel,SureThingLabel),IF(AM721&gt;=95,SecureLabel,IF(AM721&gt;=80,SafetyLabel,IF(AM721&gt;=50,MatchLabel,IF(AM721&gt;=20,ReachLabel,IF(AM721&gt;=10,LongshotLabel,HailMaryLabel)))))),"Other")</f>
        <v>0</v>
      </c>
      <c r="AO721">
        <f>IF(OR(I721="accepted",I721="cond. accept",I721="summer admit"),IF(J721="yes","CHOICE!","Accepted!"),IF(I721="guar. transfer","Guar. Xfer",IF(I721="denied","Denied",IF(K721=1,"Waitlist",IF(L721=1,"Deferred",IF(G721="pending","Pending",IF(OR(G721="initial materials submitted",G721="mid-year submitted",G721="final submitted"),"Submitted",IF(H721="interest","Interest","?"))))))))</f>
        <v>0</v>
      </c>
      <c r="AP721">
        <f>IF(OR(AN721=ReachLabel,AN721=LongshotLabel,AN721=HailMaryLabel),1,0)</f>
        <v>0</v>
      </c>
      <c r="AQ721">
        <f>IF(OR(AP721=1,AN721=MatchLabel),1,0)</f>
        <v>0</v>
      </c>
      <c r="AR721">
        <f>IF(OR(AN721=MatchLabel,AN721=SafetyLabel,AN721=SecureLabel,AN721=SureThingLabel),1,0)</f>
        <v>0</v>
      </c>
      <c r="AS721">
        <f>IF(OR(W721="H",W721="B",W721="I",W721="M"),IF(ISNUMBER(AB721),ROUND(AB721,2),0),IF(ISNUMBER(AA721),ROUND(AA721,2),0))</f>
        <v>0</v>
      </c>
      <c r="AT721">
        <f>IF(AS721&gt;=X721,1,0)</f>
        <v>0</v>
      </c>
      <c r="AU721">
        <f>IF(AS721&gt;=Y721,1,0)</f>
        <v>0</v>
      </c>
      <c r="AV721">
        <f>IF(AS721&lt;(X721-0.10),1,0)</f>
        <v>0</v>
      </c>
      <c r="AW721">
        <f>1-AM721/100</f>
        <v>0</v>
      </c>
      <c r="AX721">
        <f>IF(AQ721=1,AW721,1)</f>
        <v>0</v>
      </c>
      <c r="AY721">
        <f>IF(AP721=1,AW721,1)</f>
        <v>0</v>
      </c>
      <c r="AZ721">
        <f>IF(AND(AT721=1,ISNUMBER(AW721)),$AW721,1)</f>
        <v>0</v>
      </c>
      <c r="BA721">
        <f>IF(AND(AU721=1,ISNUMBER(AW721)),$AW721,1)</f>
        <v>0</v>
      </c>
      <c r="BB721">
        <f>IF(ISNUMBER(AB721),INDEX(AllCollegeMoney, MATCH(N721,AllCollegeNCES,0)),0)</f>
        <v>0</v>
      </c>
      <c r="BC721">
        <f>IF(AND(AT721=1,ISNUMBER(AW721),BB721=1),$AW721,1)</f>
        <v>0</v>
      </c>
      <c r="BD721">
        <f>IF(AND(AU721=1,ISNUMBER(AW721),BB721=1),$AW721,1)</f>
        <v>0</v>
      </c>
      <c r="BE721">
        <f>IF(ISNUMBER(AB721),INDEX(AllCollegeILPub, MATCH(N721,AllCollegeNCES,0)),0)</f>
        <v>0</v>
      </c>
      <c r="BF721">
        <f>IF(AN721=ReachLabel,AS721,0)</f>
        <v>0</v>
      </c>
      <c r="BG721">
        <f>IF(AN721=MatchLabel,AS721,0)</f>
        <v>0</v>
      </c>
      <c r="BH721">
        <f>IF(AN721=SafetyLabel,AS721,0)</f>
        <v>0</v>
      </c>
      <c r="BI721">
        <f>IF(AN721=SecureLabel,AS721,0)</f>
        <v>0</v>
      </c>
      <c r="BJ721">
        <f>IF(AN721=SureThingLabel,AS721,0)</f>
        <v>0</v>
      </c>
      <c r="BK721">
        <f>MAX(BF721:BJ721)</f>
        <v>0</v>
      </c>
      <c r="BL721">
        <f>MAX(BG721:BJ721)</f>
        <v>0</v>
      </c>
      <c r="BM721">
        <f>MAX(BH721:BJ721)</f>
        <v>0</v>
      </c>
      <c r="BN721">
        <f>IF(AND(AN721=ReachLabel,BB721=1),AS721,0)</f>
        <v>0</v>
      </c>
      <c r="BO721">
        <f>IF(AND(AN721=MatchLabel,BB721=1),AS721,0)</f>
        <v>0</v>
      </c>
      <c r="BP721">
        <f>IF(AND(AN721=SafetyLabel,BB721=1),AS721,0)</f>
        <v>0</v>
      </c>
      <c r="BQ721">
        <f>IF(AND(AN721=SecureLabel,BB721=1),AS721,0)</f>
        <v>0</v>
      </c>
      <c r="BR721">
        <f>IF(AND(AN721=SureThingLabel,BB721=1),AS721,0)</f>
        <v>0</v>
      </c>
      <c r="BS721">
        <f>MAX(BN721:BR721)</f>
        <v>0</v>
      </c>
      <c r="BT721">
        <f>MAX(BO721:BR721)</f>
        <v>0</v>
      </c>
      <c r="BU721">
        <f>MAX(BP721:BR721)</f>
        <v>0</v>
      </c>
      <c r="BV721">
        <f>IF(ISNUMBER(AB721),INDEX(AllCollegeChicago, MATCH(N721,AllCollegeNCES,0))*BB721,0)</f>
        <v>0</v>
      </c>
      <c r="BW721">
        <f>IF(ISNUMBER(AB721),INDEX(AllCollegeMoneyCode, MATCH(N721,AllCollegeNCES,0)),"?")</f>
        <v>0</v>
      </c>
      <c r="BX721">
        <f>IF(OR(BW721="---",BW721="--",BW721="+/--",BW721="+/---"),1,0)</f>
        <v>0</v>
      </c>
      <c r="BY721">
        <f>BB721*AR721*AT721</f>
        <v>0</v>
      </c>
    </row>
    <row r="722" spans="1:77">
      <c r="A722" t="s">
        <v>96</v>
      </c>
      <c r="B722">
        <v>30280677</v>
      </c>
      <c r="C722" t="s">
        <v>312</v>
      </c>
      <c r="D722" t="s">
        <v>313</v>
      </c>
      <c r="E722" t="s">
        <v>446</v>
      </c>
      <c r="F722" t="s">
        <v>456</v>
      </c>
      <c r="G722" t="s">
        <v>448</v>
      </c>
      <c r="H722" t="s">
        <v>449</v>
      </c>
      <c r="I722" t="s">
        <v>450</v>
      </c>
      <c r="J722" t="s">
        <v>450</v>
      </c>
      <c r="K722">
        <v>0</v>
      </c>
      <c r="L722" t="s">
        <v>446</v>
      </c>
      <c r="M722" t="s">
        <v>446</v>
      </c>
      <c r="N722">
        <v>149772</v>
      </c>
      <c r="O722">
        <f>INDEX(Counselor,MATCH(B722,KidIDs,0))</f>
        <v>0</v>
      </c>
      <c r="P722">
        <f>INDEX(Advisors,MATCH(B722,KidIDs,0))</f>
        <v>0</v>
      </c>
      <c r="Q722">
        <f>INDEX(Cohort,MATCH(B722,KidIDs,0))</f>
        <v>0</v>
      </c>
      <c r="R722">
        <f>INDEX(AllCollegeBarrons,MATCH(N722,AllCollegeNCES,0))</f>
        <v>0</v>
      </c>
      <c r="S722">
        <f>INDEX(KidGPAs,MATCH(B722,KidIDs,0))</f>
        <v>0</v>
      </c>
      <c r="T722">
        <f>INDEX(KidSATs,MATCH(B722,KidIDs,0))</f>
        <v>0</v>
      </c>
      <c r="U722">
        <f>INDEX(Strats,MATCH(B722,KidIDs,0))</f>
        <v>0</v>
      </c>
      <c r="V722">
        <f>INDEX(KidRace,MATCH(B722,KidIDs,0))</f>
        <v>0</v>
      </c>
      <c r="W722">
        <f>IF(OR(V722="M",V722="I"),"H",IF(V722="P","A",V722))</f>
        <v>0</v>
      </c>
      <c r="X722">
        <f>INDEX(StudentTargets,MATCH(B722,KidIDs,0))</f>
        <v>0</v>
      </c>
      <c r="Y722">
        <f>INDEX(ReachStudentTargets,MATCH(B722,KidIDs,0))</f>
        <v>0</v>
      </c>
      <c r="Z722">
        <f>IF(OR(M722="Posse"),1,0)</f>
        <v>0</v>
      </c>
      <c r="AA722">
        <f>IF(ISNUMBER(INDEX(AllCollegeGR, MATCH(N722,AllCollegeNCES,0))),ROUND(INDEX(AllCollegeGR, MATCH(N722,AllCollegeNCES,0))+Z722*IF(INDEX(AllCollegeGR, MATCH(N722,AllCollegeNCES,0))&gt;0.7,(1-INDEX(AllCollegeGR, MATCH(N722,AllCollegeNCES,0)))/2,0.15),2),INDEX(AllCollegeGR, MATCH(N722,AllCollegeNCES,0)))</f>
        <v>0</v>
      </c>
      <c r="AB722">
        <f>IF(ISNUMBER(INDEX(AllCollegeAAHGR, MATCH(N722,AllCollegeNCES,0))),ROUND(INDEX(AllCollegeAAHGR, MATCH(N722,AllCollegeNCES,0))+Z722*IF(INDEX(AllCollegeAAHGR, MATCH(N722,AllCollegeNCES,0))&gt;0.7,(1-INDEX(AllCollegeAAHGR, MATCH(N722,AllCollegeNCES,0)))/2,0.15),2),INDEX(AllCollegeAAHGR, MATCH(N722,AllCollegeNCES,0)))</f>
        <v>0</v>
      </c>
      <c r="AC722">
        <f>IF(OR(W722="H",W722="B"),INDEX(AllCollegeSAT25, MATCH(N722,AllCollegeNCES,0)),INDEX(AllCollegeSAT50, MATCH(N722,AllCollegeNCES,0)))</f>
        <v>0</v>
      </c>
      <c r="AD722">
        <f>INDEX(CustomWeightsGPA,MATCH(W722&amp;":"&amp;N722,CustomWeightsIndex,0))</f>
        <v>0</v>
      </c>
      <c r="AE722">
        <f>INDEX(CustomWeightsSAT,MATCH(W722&amp;":"&amp;N722,CustomWeightsIndex,0))</f>
        <v>0</v>
      </c>
      <c r="AF722">
        <f>INDEX(CustomWeightsIntercept,MATCH(W722&amp;":"&amp;N722,CustomWeightsIndex,0))</f>
        <v>0</v>
      </c>
      <c r="AG722">
        <f>AD722*S722+AE722*T722+AF722</f>
        <v>0</v>
      </c>
      <c r="AH722">
        <f>INDEX(CoefficientsGPA,MATCH(W722&amp;":"&amp;R722,CoefficientsIndex,0))</f>
        <v>0</v>
      </c>
      <c r="AI722">
        <f>INDEX(CoefficientsSAT,MATCH(W722&amp;":"&amp;R722,CoefficientsIndex,0))</f>
        <v>0</v>
      </c>
      <c r="AJ722">
        <f>INDEX(CoefficientsIntercept,MATCH(W722&amp;":"&amp;R722,CoefficientsIndex,0))</f>
        <v>0</v>
      </c>
      <c r="AK722">
        <f>AH722*S722+(T722-AC722)*AI722+AJ722</f>
        <v>0</v>
      </c>
      <c r="AL722">
        <f>IF(ISNUMBER(AG722),AG722,AK722)</f>
        <v>0</v>
      </c>
      <c r="AM722">
        <f>IF(ISNUMBER(AL722),IF(ISNUMBER(AH722),IF(AND(AH722=1,AI722=1,AJ722=1),100,MIN(99,ROUND(100*EXP(AL722)/(1+EXP(AL722)),2))),MIN(99,ROUND(100*EXP(AL722)/(1+EXP(AL722)),2))),IF(ISTEXT(R722),IF(LEFT(R722,1)="2",100,"N/A"),"N/A"))</f>
        <v>0</v>
      </c>
      <c r="AN722">
        <f>IF(ISNUMBER(AM722),IF(AM722&gt;=99,IF(OR(U722=10,U722=11),MatchLabel,SureThingLabel),IF(AM722&gt;=95,SecureLabel,IF(AM722&gt;=80,SafetyLabel,IF(AM722&gt;=50,MatchLabel,IF(AM722&gt;=20,ReachLabel,IF(AM722&gt;=10,LongshotLabel,HailMaryLabel)))))),"Other")</f>
        <v>0</v>
      </c>
      <c r="AO722">
        <f>IF(OR(I722="accepted",I722="cond. accept",I722="summer admit"),IF(J722="yes","CHOICE!","Accepted!"),IF(I722="guar. transfer","Guar. Xfer",IF(I722="denied","Denied",IF(K722=1,"Waitlist",IF(L722=1,"Deferred",IF(G722="pending","Pending",IF(OR(G722="initial materials submitted",G722="mid-year submitted",G722="final submitted"),"Submitted",IF(H722="interest","Interest","?"))))))))</f>
        <v>0</v>
      </c>
      <c r="AP722">
        <f>IF(OR(AN722=ReachLabel,AN722=LongshotLabel,AN722=HailMaryLabel),1,0)</f>
        <v>0</v>
      </c>
      <c r="AQ722">
        <f>IF(OR(AP722=1,AN722=MatchLabel),1,0)</f>
        <v>0</v>
      </c>
      <c r="AR722">
        <f>IF(OR(AN722=MatchLabel,AN722=SafetyLabel,AN722=SecureLabel,AN722=SureThingLabel),1,0)</f>
        <v>0</v>
      </c>
      <c r="AS722">
        <f>IF(OR(W722="H",W722="B",W722="I",W722="M"),IF(ISNUMBER(AB722),ROUND(AB722,2),0),IF(ISNUMBER(AA722),ROUND(AA722,2),0))</f>
        <v>0</v>
      </c>
      <c r="AT722">
        <f>IF(AS722&gt;=X722,1,0)</f>
        <v>0</v>
      </c>
      <c r="AU722">
        <f>IF(AS722&gt;=Y722,1,0)</f>
        <v>0</v>
      </c>
      <c r="AV722">
        <f>IF(AS722&lt;(X722-0.10),1,0)</f>
        <v>0</v>
      </c>
      <c r="AW722">
        <f>1-AM722/100</f>
        <v>0</v>
      </c>
      <c r="AX722">
        <f>IF(AQ722=1,AW722,1)</f>
        <v>0</v>
      </c>
      <c r="AY722">
        <f>IF(AP722=1,AW722,1)</f>
        <v>0</v>
      </c>
      <c r="AZ722">
        <f>IF(AND(AT722=1,ISNUMBER(AW722)),$AW722,1)</f>
        <v>0</v>
      </c>
      <c r="BA722">
        <f>IF(AND(AU722=1,ISNUMBER(AW722)),$AW722,1)</f>
        <v>0</v>
      </c>
      <c r="BB722">
        <f>IF(ISNUMBER(AB722),INDEX(AllCollegeMoney, MATCH(N722,AllCollegeNCES,0)),0)</f>
        <v>0</v>
      </c>
      <c r="BC722">
        <f>IF(AND(AT722=1,ISNUMBER(AW722),BB722=1),$AW722,1)</f>
        <v>0</v>
      </c>
      <c r="BD722">
        <f>IF(AND(AU722=1,ISNUMBER(AW722),BB722=1),$AW722,1)</f>
        <v>0</v>
      </c>
      <c r="BE722">
        <f>IF(ISNUMBER(AB722),INDEX(AllCollegeILPub, MATCH(N722,AllCollegeNCES,0)),0)</f>
        <v>0</v>
      </c>
      <c r="BF722">
        <f>IF(AN722=ReachLabel,AS722,0)</f>
        <v>0</v>
      </c>
      <c r="BG722">
        <f>IF(AN722=MatchLabel,AS722,0)</f>
        <v>0</v>
      </c>
      <c r="BH722">
        <f>IF(AN722=SafetyLabel,AS722,0)</f>
        <v>0</v>
      </c>
      <c r="BI722">
        <f>IF(AN722=SecureLabel,AS722,0)</f>
        <v>0</v>
      </c>
      <c r="BJ722">
        <f>IF(AN722=SureThingLabel,AS722,0)</f>
        <v>0</v>
      </c>
      <c r="BK722">
        <f>MAX(BF722:BJ722)</f>
        <v>0</v>
      </c>
      <c r="BL722">
        <f>MAX(BG722:BJ722)</f>
        <v>0</v>
      </c>
      <c r="BM722">
        <f>MAX(BH722:BJ722)</f>
        <v>0</v>
      </c>
      <c r="BN722">
        <f>IF(AND(AN722=ReachLabel,BB722=1),AS722,0)</f>
        <v>0</v>
      </c>
      <c r="BO722">
        <f>IF(AND(AN722=MatchLabel,BB722=1),AS722,0)</f>
        <v>0</v>
      </c>
      <c r="BP722">
        <f>IF(AND(AN722=SafetyLabel,BB722=1),AS722,0)</f>
        <v>0</v>
      </c>
      <c r="BQ722">
        <f>IF(AND(AN722=SecureLabel,BB722=1),AS722,0)</f>
        <v>0</v>
      </c>
      <c r="BR722">
        <f>IF(AND(AN722=SureThingLabel,BB722=1),AS722,0)</f>
        <v>0</v>
      </c>
      <c r="BS722">
        <f>MAX(BN722:BR722)</f>
        <v>0</v>
      </c>
      <c r="BT722">
        <f>MAX(BO722:BR722)</f>
        <v>0</v>
      </c>
      <c r="BU722">
        <f>MAX(BP722:BR722)</f>
        <v>0</v>
      </c>
      <c r="BV722">
        <f>IF(ISNUMBER(AB722),INDEX(AllCollegeChicago, MATCH(N722,AllCollegeNCES,0))*BB722,0)</f>
        <v>0</v>
      </c>
      <c r="BW722">
        <f>IF(ISNUMBER(AB722),INDEX(AllCollegeMoneyCode, MATCH(N722,AllCollegeNCES,0)),"?")</f>
        <v>0</v>
      </c>
      <c r="BX722">
        <f>IF(OR(BW722="---",BW722="--",BW722="+/--",BW722="+/---"),1,0)</f>
        <v>0</v>
      </c>
      <c r="BY722">
        <f>BB722*AR722*AT722</f>
        <v>0</v>
      </c>
    </row>
    <row r="723" spans="1:77">
      <c r="A723" t="s">
        <v>96</v>
      </c>
      <c r="B723">
        <v>30280677</v>
      </c>
      <c r="C723" t="s">
        <v>312</v>
      </c>
      <c r="D723" t="s">
        <v>313</v>
      </c>
      <c r="E723" t="s">
        <v>446</v>
      </c>
      <c r="F723" t="s">
        <v>505</v>
      </c>
      <c r="G723" t="s">
        <v>448</v>
      </c>
      <c r="H723" t="s">
        <v>449</v>
      </c>
      <c r="I723" t="s">
        <v>450</v>
      </c>
      <c r="J723" t="s">
        <v>450</v>
      </c>
      <c r="K723">
        <v>0</v>
      </c>
      <c r="L723" t="s">
        <v>446</v>
      </c>
      <c r="M723" t="s">
        <v>446</v>
      </c>
      <c r="N723">
        <v>149231</v>
      </c>
      <c r="O723">
        <f>INDEX(Counselor,MATCH(B723,KidIDs,0))</f>
        <v>0</v>
      </c>
      <c r="P723">
        <f>INDEX(Advisors,MATCH(B723,KidIDs,0))</f>
        <v>0</v>
      </c>
      <c r="Q723">
        <f>INDEX(Cohort,MATCH(B723,KidIDs,0))</f>
        <v>0</v>
      </c>
      <c r="R723">
        <f>INDEX(AllCollegeBarrons,MATCH(N723,AllCollegeNCES,0))</f>
        <v>0</v>
      </c>
      <c r="S723">
        <f>INDEX(KidGPAs,MATCH(B723,KidIDs,0))</f>
        <v>0</v>
      </c>
      <c r="T723">
        <f>INDEX(KidSATs,MATCH(B723,KidIDs,0))</f>
        <v>0</v>
      </c>
      <c r="U723">
        <f>INDEX(Strats,MATCH(B723,KidIDs,0))</f>
        <v>0</v>
      </c>
      <c r="V723">
        <f>INDEX(KidRace,MATCH(B723,KidIDs,0))</f>
        <v>0</v>
      </c>
      <c r="W723">
        <f>IF(OR(V723="M",V723="I"),"H",IF(V723="P","A",V723))</f>
        <v>0</v>
      </c>
      <c r="X723">
        <f>INDEX(StudentTargets,MATCH(B723,KidIDs,0))</f>
        <v>0</v>
      </c>
      <c r="Y723">
        <f>INDEX(ReachStudentTargets,MATCH(B723,KidIDs,0))</f>
        <v>0</v>
      </c>
      <c r="Z723">
        <f>IF(OR(M723="Posse"),1,0)</f>
        <v>0</v>
      </c>
      <c r="AA723">
        <f>IF(ISNUMBER(INDEX(AllCollegeGR, MATCH(N723,AllCollegeNCES,0))),ROUND(INDEX(AllCollegeGR, MATCH(N723,AllCollegeNCES,0))+Z723*IF(INDEX(AllCollegeGR, MATCH(N723,AllCollegeNCES,0))&gt;0.7,(1-INDEX(AllCollegeGR, MATCH(N723,AllCollegeNCES,0)))/2,0.15),2),INDEX(AllCollegeGR, MATCH(N723,AllCollegeNCES,0)))</f>
        <v>0</v>
      </c>
      <c r="AB723">
        <f>IF(ISNUMBER(INDEX(AllCollegeAAHGR, MATCH(N723,AllCollegeNCES,0))),ROUND(INDEX(AllCollegeAAHGR, MATCH(N723,AllCollegeNCES,0))+Z723*IF(INDEX(AllCollegeAAHGR, MATCH(N723,AllCollegeNCES,0))&gt;0.7,(1-INDEX(AllCollegeAAHGR, MATCH(N723,AllCollegeNCES,0)))/2,0.15),2),INDEX(AllCollegeAAHGR, MATCH(N723,AllCollegeNCES,0)))</f>
        <v>0</v>
      </c>
      <c r="AC723">
        <f>IF(OR(W723="H",W723="B"),INDEX(AllCollegeSAT25, MATCH(N723,AllCollegeNCES,0)),INDEX(AllCollegeSAT50, MATCH(N723,AllCollegeNCES,0)))</f>
        <v>0</v>
      </c>
      <c r="AD723">
        <f>INDEX(CustomWeightsGPA,MATCH(W723&amp;":"&amp;N723,CustomWeightsIndex,0))</f>
        <v>0</v>
      </c>
      <c r="AE723">
        <f>INDEX(CustomWeightsSAT,MATCH(W723&amp;":"&amp;N723,CustomWeightsIndex,0))</f>
        <v>0</v>
      </c>
      <c r="AF723">
        <f>INDEX(CustomWeightsIntercept,MATCH(W723&amp;":"&amp;N723,CustomWeightsIndex,0))</f>
        <v>0</v>
      </c>
      <c r="AG723">
        <f>AD723*S723+AE723*T723+AF723</f>
        <v>0</v>
      </c>
      <c r="AH723">
        <f>INDEX(CoefficientsGPA,MATCH(W723&amp;":"&amp;R723,CoefficientsIndex,0))</f>
        <v>0</v>
      </c>
      <c r="AI723">
        <f>INDEX(CoefficientsSAT,MATCH(W723&amp;":"&amp;R723,CoefficientsIndex,0))</f>
        <v>0</v>
      </c>
      <c r="AJ723">
        <f>INDEX(CoefficientsIntercept,MATCH(W723&amp;":"&amp;R723,CoefficientsIndex,0))</f>
        <v>0</v>
      </c>
      <c r="AK723">
        <f>AH723*S723+(T723-AC723)*AI723+AJ723</f>
        <v>0</v>
      </c>
      <c r="AL723">
        <f>IF(ISNUMBER(AG723),AG723,AK723)</f>
        <v>0</v>
      </c>
      <c r="AM723">
        <f>IF(ISNUMBER(AL723),IF(ISNUMBER(AH723),IF(AND(AH723=1,AI723=1,AJ723=1),100,MIN(99,ROUND(100*EXP(AL723)/(1+EXP(AL723)),2))),MIN(99,ROUND(100*EXP(AL723)/(1+EXP(AL723)),2))),IF(ISTEXT(R723),IF(LEFT(R723,1)="2",100,"N/A"),"N/A"))</f>
        <v>0</v>
      </c>
      <c r="AN723">
        <f>IF(ISNUMBER(AM723),IF(AM723&gt;=99,IF(OR(U723=10,U723=11),MatchLabel,SureThingLabel),IF(AM723&gt;=95,SecureLabel,IF(AM723&gt;=80,SafetyLabel,IF(AM723&gt;=50,MatchLabel,IF(AM723&gt;=20,ReachLabel,IF(AM723&gt;=10,LongshotLabel,HailMaryLabel)))))),"Other")</f>
        <v>0</v>
      </c>
      <c r="AO723">
        <f>IF(OR(I723="accepted",I723="cond. accept",I723="summer admit"),IF(J723="yes","CHOICE!","Accepted!"),IF(I723="guar. transfer","Guar. Xfer",IF(I723="denied","Denied",IF(K723=1,"Waitlist",IF(L723=1,"Deferred",IF(G723="pending","Pending",IF(OR(G723="initial materials submitted",G723="mid-year submitted",G723="final submitted"),"Submitted",IF(H723="interest","Interest","?"))))))))</f>
        <v>0</v>
      </c>
      <c r="AP723">
        <f>IF(OR(AN723=ReachLabel,AN723=LongshotLabel,AN723=HailMaryLabel),1,0)</f>
        <v>0</v>
      </c>
      <c r="AQ723">
        <f>IF(OR(AP723=1,AN723=MatchLabel),1,0)</f>
        <v>0</v>
      </c>
      <c r="AR723">
        <f>IF(OR(AN723=MatchLabel,AN723=SafetyLabel,AN723=SecureLabel,AN723=SureThingLabel),1,0)</f>
        <v>0</v>
      </c>
      <c r="AS723">
        <f>IF(OR(W723="H",W723="B",W723="I",W723="M"),IF(ISNUMBER(AB723),ROUND(AB723,2),0),IF(ISNUMBER(AA723),ROUND(AA723,2),0))</f>
        <v>0</v>
      </c>
      <c r="AT723">
        <f>IF(AS723&gt;=X723,1,0)</f>
        <v>0</v>
      </c>
      <c r="AU723">
        <f>IF(AS723&gt;=Y723,1,0)</f>
        <v>0</v>
      </c>
      <c r="AV723">
        <f>IF(AS723&lt;(X723-0.10),1,0)</f>
        <v>0</v>
      </c>
      <c r="AW723">
        <f>1-AM723/100</f>
        <v>0</v>
      </c>
      <c r="AX723">
        <f>IF(AQ723=1,AW723,1)</f>
        <v>0</v>
      </c>
      <c r="AY723">
        <f>IF(AP723=1,AW723,1)</f>
        <v>0</v>
      </c>
      <c r="AZ723">
        <f>IF(AND(AT723=1,ISNUMBER(AW723)),$AW723,1)</f>
        <v>0</v>
      </c>
      <c r="BA723">
        <f>IF(AND(AU723=1,ISNUMBER(AW723)),$AW723,1)</f>
        <v>0</v>
      </c>
      <c r="BB723">
        <f>IF(ISNUMBER(AB723),INDEX(AllCollegeMoney, MATCH(N723,AllCollegeNCES,0)),0)</f>
        <v>0</v>
      </c>
      <c r="BC723">
        <f>IF(AND(AT723=1,ISNUMBER(AW723),BB723=1),$AW723,1)</f>
        <v>0</v>
      </c>
      <c r="BD723">
        <f>IF(AND(AU723=1,ISNUMBER(AW723),BB723=1),$AW723,1)</f>
        <v>0</v>
      </c>
      <c r="BE723">
        <f>IF(ISNUMBER(AB723),INDEX(AllCollegeILPub, MATCH(N723,AllCollegeNCES,0)),0)</f>
        <v>0</v>
      </c>
      <c r="BF723">
        <f>IF(AN723=ReachLabel,AS723,0)</f>
        <v>0</v>
      </c>
      <c r="BG723">
        <f>IF(AN723=MatchLabel,AS723,0)</f>
        <v>0</v>
      </c>
      <c r="BH723">
        <f>IF(AN723=SafetyLabel,AS723,0)</f>
        <v>0</v>
      </c>
      <c r="BI723">
        <f>IF(AN723=SecureLabel,AS723,0)</f>
        <v>0</v>
      </c>
      <c r="BJ723">
        <f>IF(AN723=SureThingLabel,AS723,0)</f>
        <v>0</v>
      </c>
      <c r="BK723">
        <f>MAX(BF723:BJ723)</f>
        <v>0</v>
      </c>
      <c r="BL723">
        <f>MAX(BG723:BJ723)</f>
        <v>0</v>
      </c>
      <c r="BM723">
        <f>MAX(BH723:BJ723)</f>
        <v>0</v>
      </c>
      <c r="BN723">
        <f>IF(AND(AN723=ReachLabel,BB723=1),AS723,0)</f>
        <v>0</v>
      </c>
      <c r="BO723">
        <f>IF(AND(AN723=MatchLabel,BB723=1),AS723,0)</f>
        <v>0</v>
      </c>
      <c r="BP723">
        <f>IF(AND(AN723=SafetyLabel,BB723=1),AS723,0)</f>
        <v>0</v>
      </c>
      <c r="BQ723">
        <f>IF(AND(AN723=SecureLabel,BB723=1),AS723,0)</f>
        <v>0</v>
      </c>
      <c r="BR723">
        <f>IF(AND(AN723=SureThingLabel,BB723=1),AS723,0)</f>
        <v>0</v>
      </c>
      <c r="BS723">
        <f>MAX(BN723:BR723)</f>
        <v>0</v>
      </c>
      <c r="BT723">
        <f>MAX(BO723:BR723)</f>
        <v>0</v>
      </c>
      <c r="BU723">
        <f>MAX(BP723:BR723)</f>
        <v>0</v>
      </c>
      <c r="BV723">
        <f>IF(ISNUMBER(AB723),INDEX(AllCollegeChicago, MATCH(N723,AllCollegeNCES,0))*BB723,0)</f>
        <v>0</v>
      </c>
      <c r="BW723">
        <f>IF(ISNUMBER(AB723),INDEX(AllCollegeMoneyCode, MATCH(N723,AllCollegeNCES,0)),"?")</f>
        <v>0</v>
      </c>
      <c r="BX723">
        <f>IF(OR(BW723="---",BW723="--",BW723="+/--",BW723="+/---"),1,0)</f>
        <v>0</v>
      </c>
      <c r="BY723">
        <f>BB723*AR723*AT723</f>
        <v>0</v>
      </c>
    </row>
    <row r="724" spans="1:77">
      <c r="A724" t="s">
        <v>96</v>
      </c>
      <c r="B724">
        <v>30280677</v>
      </c>
      <c r="C724" t="s">
        <v>312</v>
      </c>
      <c r="D724" t="s">
        <v>313</v>
      </c>
      <c r="E724" t="s">
        <v>446</v>
      </c>
      <c r="F724" t="s">
        <v>460</v>
      </c>
      <c r="G724" t="s">
        <v>448</v>
      </c>
      <c r="H724" t="s">
        <v>449</v>
      </c>
      <c r="I724" t="s">
        <v>450</v>
      </c>
      <c r="J724" t="s">
        <v>450</v>
      </c>
      <c r="K724">
        <v>0</v>
      </c>
      <c r="L724" t="s">
        <v>446</v>
      </c>
      <c r="M724" t="s">
        <v>446</v>
      </c>
      <c r="N724">
        <v>144209</v>
      </c>
      <c r="O724">
        <f>INDEX(Counselor,MATCH(B724,KidIDs,0))</f>
        <v>0</v>
      </c>
      <c r="P724">
        <f>INDEX(Advisors,MATCH(B724,KidIDs,0))</f>
        <v>0</v>
      </c>
      <c r="Q724">
        <f>INDEX(Cohort,MATCH(B724,KidIDs,0))</f>
        <v>0</v>
      </c>
      <c r="R724">
        <f>INDEX(AllCollegeBarrons,MATCH(N724,AllCollegeNCES,0))</f>
        <v>0</v>
      </c>
      <c r="S724">
        <f>INDEX(KidGPAs,MATCH(B724,KidIDs,0))</f>
        <v>0</v>
      </c>
      <c r="T724">
        <f>INDEX(KidSATs,MATCH(B724,KidIDs,0))</f>
        <v>0</v>
      </c>
      <c r="U724">
        <f>INDEX(Strats,MATCH(B724,KidIDs,0))</f>
        <v>0</v>
      </c>
      <c r="V724">
        <f>INDEX(KidRace,MATCH(B724,KidIDs,0))</f>
        <v>0</v>
      </c>
      <c r="W724">
        <f>IF(OR(V724="M",V724="I"),"H",IF(V724="P","A",V724))</f>
        <v>0</v>
      </c>
      <c r="X724">
        <f>INDEX(StudentTargets,MATCH(B724,KidIDs,0))</f>
        <v>0</v>
      </c>
      <c r="Y724">
        <f>INDEX(ReachStudentTargets,MATCH(B724,KidIDs,0))</f>
        <v>0</v>
      </c>
      <c r="Z724">
        <f>IF(OR(M724="Posse"),1,0)</f>
        <v>0</v>
      </c>
      <c r="AA724">
        <f>IF(ISNUMBER(INDEX(AllCollegeGR, MATCH(N724,AllCollegeNCES,0))),ROUND(INDEX(AllCollegeGR, MATCH(N724,AllCollegeNCES,0))+Z724*IF(INDEX(AllCollegeGR, MATCH(N724,AllCollegeNCES,0))&gt;0.7,(1-INDEX(AllCollegeGR, MATCH(N724,AllCollegeNCES,0)))/2,0.15),2),INDEX(AllCollegeGR, MATCH(N724,AllCollegeNCES,0)))</f>
        <v>0</v>
      </c>
      <c r="AB724">
        <f>IF(ISNUMBER(INDEX(AllCollegeAAHGR, MATCH(N724,AllCollegeNCES,0))),ROUND(INDEX(AllCollegeAAHGR, MATCH(N724,AllCollegeNCES,0))+Z724*IF(INDEX(AllCollegeAAHGR, MATCH(N724,AllCollegeNCES,0))&gt;0.7,(1-INDEX(AllCollegeAAHGR, MATCH(N724,AllCollegeNCES,0)))/2,0.15),2),INDEX(AllCollegeAAHGR, MATCH(N724,AllCollegeNCES,0)))</f>
        <v>0</v>
      </c>
      <c r="AC724">
        <f>IF(OR(W724="H",W724="B"),INDEX(AllCollegeSAT25, MATCH(N724,AllCollegeNCES,0)),INDEX(AllCollegeSAT50, MATCH(N724,AllCollegeNCES,0)))</f>
        <v>0</v>
      </c>
      <c r="AD724">
        <f>INDEX(CustomWeightsGPA,MATCH(W724&amp;":"&amp;N724,CustomWeightsIndex,0))</f>
        <v>0</v>
      </c>
      <c r="AE724">
        <f>INDEX(CustomWeightsSAT,MATCH(W724&amp;":"&amp;N724,CustomWeightsIndex,0))</f>
        <v>0</v>
      </c>
      <c r="AF724">
        <f>INDEX(CustomWeightsIntercept,MATCH(W724&amp;":"&amp;N724,CustomWeightsIndex,0))</f>
        <v>0</v>
      </c>
      <c r="AG724">
        <f>AD724*S724+AE724*T724+AF724</f>
        <v>0</v>
      </c>
      <c r="AH724">
        <f>INDEX(CoefficientsGPA,MATCH(W724&amp;":"&amp;R724,CoefficientsIndex,0))</f>
        <v>0</v>
      </c>
      <c r="AI724">
        <f>INDEX(CoefficientsSAT,MATCH(W724&amp;":"&amp;R724,CoefficientsIndex,0))</f>
        <v>0</v>
      </c>
      <c r="AJ724">
        <f>INDEX(CoefficientsIntercept,MATCH(W724&amp;":"&amp;R724,CoefficientsIndex,0))</f>
        <v>0</v>
      </c>
      <c r="AK724">
        <f>AH724*S724+(T724-AC724)*AI724+AJ724</f>
        <v>0</v>
      </c>
      <c r="AL724">
        <f>IF(ISNUMBER(AG724),AG724,AK724)</f>
        <v>0</v>
      </c>
      <c r="AM724">
        <f>IF(ISNUMBER(AL724),IF(ISNUMBER(AH724),IF(AND(AH724=1,AI724=1,AJ724=1),100,MIN(99,ROUND(100*EXP(AL724)/(1+EXP(AL724)),2))),MIN(99,ROUND(100*EXP(AL724)/(1+EXP(AL724)),2))),IF(ISTEXT(R724),IF(LEFT(R724,1)="2",100,"N/A"),"N/A"))</f>
        <v>0</v>
      </c>
      <c r="AN724">
        <f>IF(ISNUMBER(AM724),IF(AM724&gt;=99,IF(OR(U724=10,U724=11),MatchLabel,SureThingLabel),IF(AM724&gt;=95,SecureLabel,IF(AM724&gt;=80,SafetyLabel,IF(AM724&gt;=50,MatchLabel,IF(AM724&gt;=20,ReachLabel,IF(AM724&gt;=10,LongshotLabel,HailMaryLabel)))))),"Other")</f>
        <v>0</v>
      </c>
      <c r="AO724">
        <f>IF(OR(I724="accepted",I724="cond. accept",I724="summer admit"),IF(J724="yes","CHOICE!","Accepted!"),IF(I724="guar. transfer","Guar. Xfer",IF(I724="denied","Denied",IF(K724=1,"Waitlist",IF(L724=1,"Deferred",IF(G724="pending","Pending",IF(OR(G724="initial materials submitted",G724="mid-year submitted",G724="final submitted"),"Submitted",IF(H724="interest","Interest","?"))))))))</f>
        <v>0</v>
      </c>
      <c r="AP724">
        <f>IF(OR(AN724=ReachLabel,AN724=LongshotLabel,AN724=HailMaryLabel),1,0)</f>
        <v>0</v>
      </c>
      <c r="AQ724">
        <f>IF(OR(AP724=1,AN724=MatchLabel),1,0)</f>
        <v>0</v>
      </c>
      <c r="AR724">
        <f>IF(OR(AN724=MatchLabel,AN724=SafetyLabel,AN724=SecureLabel,AN724=SureThingLabel),1,0)</f>
        <v>0</v>
      </c>
      <c r="AS724">
        <f>IF(OR(W724="H",W724="B",W724="I",W724="M"),IF(ISNUMBER(AB724),ROUND(AB724,2),0),IF(ISNUMBER(AA724),ROUND(AA724,2),0))</f>
        <v>0</v>
      </c>
      <c r="AT724">
        <f>IF(AS724&gt;=X724,1,0)</f>
        <v>0</v>
      </c>
      <c r="AU724">
        <f>IF(AS724&gt;=Y724,1,0)</f>
        <v>0</v>
      </c>
      <c r="AV724">
        <f>IF(AS724&lt;(X724-0.10),1,0)</f>
        <v>0</v>
      </c>
      <c r="AW724">
        <f>1-AM724/100</f>
        <v>0</v>
      </c>
      <c r="AX724">
        <f>IF(AQ724=1,AW724,1)</f>
        <v>0</v>
      </c>
      <c r="AY724">
        <f>IF(AP724=1,AW724,1)</f>
        <v>0</v>
      </c>
      <c r="AZ724">
        <f>IF(AND(AT724=1,ISNUMBER(AW724)),$AW724,1)</f>
        <v>0</v>
      </c>
      <c r="BA724">
        <f>IF(AND(AU724=1,ISNUMBER(AW724)),$AW724,1)</f>
        <v>0</v>
      </c>
      <c r="BB724">
        <f>IF(ISNUMBER(AB724),INDEX(AllCollegeMoney, MATCH(N724,AllCollegeNCES,0)),0)</f>
        <v>0</v>
      </c>
      <c r="BC724">
        <f>IF(AND(AT724=1,ISNUMBER(AW724),BB724=1),$AW724,1)</f>
        <v>0</v>
      </c>
      <c r="BD724">
        <f>IF(AND(AU724=1,ISNUMBER(AW724),BB724=1),$AW724,1)</f>
        <v>0</v>
      </c>
      <c r="BE724">
        <f>IF(ISNUMBER(AB724),INDEX(AllCollegeILPub, MATCH(N724,AllCollegeNCES,0)),0)</f>
        <v>0</v>
      </c>
      <c r="BF724">
        <f>IF(AN724=ReachLabel,AS724,0)</f>
        <v>0</v>
      </c>
      <c r="BG724">
        <f>IF(AN724=MatchLabel,AS724,0)</f>
        <v>0</v>
      </c>
      <c r="BH724">
        <f>IF(AN724=SafetyLabel,AS724,0)</f>
        <v>0</v>
      </c>
      <c r="BI724">
        <f>IF(AN724=SecureLabel,AS724,0)</f>
        <v>0</v>
      </c>
      <c r="BJ724">
        <f>IF(AN724=SureThingLabel,AS724,0)</f>
        <v>0</v>
      </c>
      <c r="BK724">
        <f>MAX(BF724:BJ724)</f>
        <v>0</v>
      </c>
      <c r="BL724">
        <f>MAX(BG724:BJ724)</f>
        <v>0</v>
      </c>
      <c r="BM724">
        <f>MAX(BH724:BJ724)</f>
        <v>0</v>
      </c>
      <c r="BN724">
        <f>IF(AND(AN724=ReachLabel,BB724=1),AS724,0)</f>
        <v>0</v>
      </c>
      <c r="BO724">
        <f>IF(AND(AN724=MatchLabel,BB724=1),AS724,0)</f>
        <v>0</v>
      </c>
      <c r="BP724">
        <f>IF(AND(AN724=SafetyLabel,BB724=1),AS724,0)</f>
        <v>0</v>
      </c>
      <c r="BQ724">
        <f>IF(AND(AN724=SecureLabel,BB724=1),AS724,0)</f>
        <v>0</v>
      </c>
      <c r="BR724">
        <f>IF(AND(AN724=SureThingLabel,BB724=1),AS724,0)</f>
        <v>0</v>
      </c>
      <c r="BS724">
        <f>MAX(BN724:BR724)</f>
        <v>0</v>
      </c>
      <c r="BT724">
        <f>MAX(BO724:BR724)</f>
        <v>0</v>
      </c>
      <c r="BU724">
        <f>MAX(BP724:BR724)</f>
        <v>0</v>
      </c>
      <c r="BV724">
        <f>IF(ISNUMBER(AB724),INDEX(AllCollegeChicago, MATCH(N724,AllCollegeNCES,0))*BB724,0)</f>
        <v>0</v>
      </c>
      <c r="BW724">
        <f>IF(ISNUMBER(AB724),INDEX(AllCollegeMoneyCode, MATCH(N724,AllCollegeNCES,0)),"?")</f>
        <v>0</v>
      </c>
      <c r="BX724">
        <f>IF(OR(BW724="---",BW724="--",BW724="+/--",BW724="+/---"),1,0)</f>
        <v>0</v>
      </c>
      <c r="BY724">
        <f>BB724*AR724*AT724</f>
        <v>0</v>
      </c>
    </row>
    <row r="725" spans="1:77">
      <c r="A725" t="s">
        <v>96</v>
      </c>
      <c r="B725">
        <v>30280677</v>
      </c>
      <c r="C725" t="s">
        <v>312</v>
      </c>
      <c r="D725" t="s">
        <v>313</v>
      </c>
      <c r="E725" t="s">
        <v>446</v>
      </c>
      <c r="F725" t="s">
        <v>461</v>
      </c>
      <c r="G725" t="s">
        <v>448</v>
      </c>
      <c r="H725" t="s">
        <v>449</v>
      </c>
      <c r="I725" t="s">
        <v>450</v>
      </c>
      <c r="J725" t="s">
        <v>450</v>
      </c>
      <c r="K725">
        <v>0</v>
      </c>
      <c r="L725" t="s">
        <v>446</v>
      </c>
      <c r="M725" t="s">
        <v>446</v>
      </c>
      <c r="N725">
        <v>147536</v>
      </c>
      <c r="O725">
        <f>INDEX(Counselor,MATCH(B725,KidIDs,0))</f>
        <v>0</v>
      </c>
      <c r="P725">
        <f>INDEX(Advisors,MATCH(B725,KidIDs,0))</f>
        <v>0</v>
      </c>
      <c r="Q725">
        <f>INDEX(Cohort,MATCH(B725,KidIDs,0))</f>
        <v>0</v>
      </c>
      <c r="R725">
        <f>INDEX(AllCollegeBarrons,MATCH(N725,AllCollegeNCES,0))</f>
        <v>0</v>
      </c>
      <c r="S725">
        <f>INDEX(KidGPAs,MATCH(B725,KidIDs,0))</f>
        <v>0</v>
      </c>
      <c r="T725">
        <f>INDEX(KidSATs,MATCH(B725,KidIDs,0))</f>
        <v>0</v>
      </c>
      <c r="U725">
        <f>INDEX(Strats,MATCH(B725,KidIDs,0))</f>
        <v>0</v>
      </c>
      <c r="V725">
        <f>INDEX(KidRace,MATCH(B725,KidIDs,0))</f>
        <v>0</v>
      </c>
      <c r="W725">
        <f>IF(OR(V725="M",V725="I"),"H",IF(V725="P","A",V725))</f>
        <v>0</v>
      </c>
      <c r="X725">
        <f>INDEX(StudentTargets,MATCH(B725,KidIDs,0))</f>
        <v>0</v>
      </c>
      <c r="Y725">
        <f>INDEX(ReachStudentTargets,MATCH(B725,KidIDs,0))</f>
        <v>0</v>
      </c>
      <c r="Z725">
        <f>IF(OR(M725="Posse"),1,0)</f>
        <v>0</v>
      </c>
      <c r="AA725">
        <f>IF(ISNUMBER(INDEX(AllCollegeGR, MATCH(N725,AllCollegeNCES,0))),ROUND(INDEX(AllCollegeGR, MATCH(N725,AllCollegeNCES,0))+Z725*IF(INDEX(AllCollegeGR, MATCH(N725,AllCollegeNCES,0))&gt;0.7,(1-INDEX(AllCollegeGR, MATCH(N725,AllCollegeNCES,0)))/2,0.15),2),INDEX(AllCollegeGR, MATCH(N725,AllCollegeNCES,0)))</f>
        <v>0</v>
      </c>
      <c r="AB725">
        <f>IF(ISNUMBER(INDEX(AllCollegeAAHGR, MATCH(N725,AllCollegeNCES,0))),ROUND(INDEX(AllCollegeAAHGR, MATCH(N725,AllCollegeNCES,0))+Z725*IF(INDEX(AllCollegeAAHGR, MATCH(N725,AllCollegeNCES,0))&gt;0.7,(1-INDEX(AllCollegeAAHGR, MATCH(N725,AllCollegeNCES,0)))/2,0.15),2),INDEX(AllCollegeAAHGR, MATCH(N725,AllCollegeNCES,0)))</f>
        <v>0</v>
      </c>
      <c r="AC725">
        <f>IF(OR(W725="H",W725="B"),INDEX(AllCollegeSAT25, MATCH(N725,AllCollegeNCES,0)),INDEX(AllCollegeSAT50, MATCH(N725,AllCollegeNCES,0)))</f>
        <v>0</v>
      </c>
      <c r="AD725">
        <f>INDEX(CustomWeightsGPA,MATCH(W725&amp;":"&amp;N725,CustomWeightsIndex,0))</f>
        <v>0</v>
      </c>
      <c r="AE725">
        <f>INDEX(CustomWeightsSAT,MATCH(W725&amp;":"&amp;N725,CustomWeightsIndex,0))</f>
        <v>0</v>
      </c>
      <c r="AF725">
        <f>INDEX(CustomWeightsIntercept,MATCH(W725&amp;":"&amp;N725,CustomWeightsIndex,0))</f>
        <v>0</v>
      </c>
      <c r="AG725">
        <f>AD725*S725+AE725*T725+AF725</f>
        <v>0</v>
      </c>
      <c r="AH725">
        <f>INDEX(CoefficientsGPA,MATCH(W725&amp;":"&amp;R725,CoefficientsIndex,0))</f>
        <v>0</v>
      </c>
      <c r="AI725">
        <f>INDEX(CoefficientsSAT,MATCH(W725&amp;":"&amp;R725,CoefficientsIndex,0))</f>
        <v>0</v>
      </c>
      <c r="AJ725">
        <f>INDEX(CoefficientsIntercept,MATCH(W725&amp;":"&amp;R725,CoefficientsIndex,0))</f>
        <v>0</v>
      </c>
      <c r="AK725">
        <f>AH725*S725+(T725-AC725)*AI725+AJ725</f>
        <v>0</v>
      </c>
      <c r="AL725">
        <f>IF(ISNUMBER(AG725),AG725,AK725)</f>
        <v>0</v>
      </c>
      <c r="AM725">
        <f>IF(ISNUMBER(AL725),IF(ISNUMBER(AH725),IF(AND(AH725=1,AI725=1,AJ725=1),100,MIN(99,ROUND(100*EXP(AL725)/(1+EXP(AL725)),2))),MIN(99,ROUND(100*EXP(AL725)/(1+EXP(AL725)),2))),IF(ISTEXT(R725),IF(LEFT(R725,1)="2",100,"N/A"),"N/A"))</f>
        <v>0</v>
      </c>
      <c r="AN725">
        <f>IF(ISNUMBER(AM725),IF(AM725&gt;=99,IF(OR(U725=10,U725=11),MatchLabel,SureThingLabel),IF(AM725&gt;=95,SecureLabel,IF(AM725&gt;=80,SafetyLabel,IF(AM725&gt;=50,MatchLabel,IF(AM725&gt;=20,ReachLabel,IF(AM725&gt;=10,LongshotLabel,HailMaryLabel)))))),"Other")</f>
        <v>0</v>
      </c>
      <c r="AO725">
        <f>IF(OR(I725="accepted",I725="cond. accept",I725="summer admit"),IF(J725="yes","CHOICE!","Accepted!"),IF(I725="guar. transfer","Guar. Xfer",IF(I725="denied","Denied",IF(K725=1,"Waitlist",IF(L725=1,"Deferred",IF(G725="pending","Pending",IF(OR(G725="initial materials submitted",G725="mid-year submitted",G725="final submitted"),"Submitted",IF(H725="interest","Interest","?"))))))))</f>
        <v>0</v>
      </c>
      <c r="AP725">
        <f>IF(OR(AN725=ReachLabel,AN725=LongshotLabel,AN725=HailMaryLabel),1,0)</f>
        <v>0</v>
      </c>
      <c r="AQ725">
        <f>IF(OR(AP725=1,AN725=MatchLabel),1,0)</f>
        <v>0</v>
      </c>
      <c r="AR725">
        <f>IF(OR(AN725=MatchLabel,AN725=SafetyLabel,AN725=SecureLabel,AN725=SureThingLabel),1,0)</f>
        <v>0</v>
      </c>
      <c r="AS725">
        <f>IF(OR(W725="H",W725="B",W725="I",W725="M"),IF(ISNUMBER(AB725),ROUND(AB725,2),0),IF(ISNUMBER(AA725),ROUND(AA725,2),0))</f>
        <v>0</v>
      </c>
      <c r="AT725">
        <f>IF(AS725&gt;=X725,1,0)</f>
        <v>0</v>
      </c>
      <c r="AU725">
        <f>IF(AS725&gt;=Y725,1,0)</f>
        <v>0</v>
      </c>
      <c r="AV725">
        <f>IF(AS725&lt;(X725-0.10),1,0)</f>
        <v>0</v>
      </c>
      <c r="AW725">
        <f>1-AM725/100</f>
        <v>0</v>
      </c>
      <c r="AX725">
        <f>IF(AQ725=1,AW725,1)</f>
        <v>0</v>
      </c>
      <c r="AY725">
        <f>IF(AP725=1,AW725,1)</f>
        <v>0</v>
      </c>
      <c r="AZ725">
        <f>IF(AND(AT725=1,ISNUMBER(AW725)),$AW725,1)</f>
        <v>0</v>
      </c>
      <c r="BA725">
        <f>IF(AND(AU725=1,ISNUMBER(AW725)),$AW725,1)</f>
        <v>0</v>
      </c>
      <c r="BB725">
        <f>IF(ISNUMBER(AB725),INDEX(AllCollegeMoney, MATCH(N725,AllCollegeNCES,0)),0)</f>
        <v>0</v>
      </c>
      <c r="BC725">
        <f>IF(AND(AT725=1,ISNUMBER(AW725),BB725=1),$AW725,1)</f>
        <v>0</v>
      </c>
      <c r="BD725">
        <f>IF(AND(AU725=1,ISNUMBER(AW725),BB725=1),$AW725,1)</f>
        <v>0</v>
      </c>
      <c r="BE725">
        <f>IF(ISNUMBER(AB725),INDEX(AllCollegeILPub, MATCH(N725,AllCollegeNCES,0)),0)</f>
        <v>0</v>
      </c>
      <c r="BF725">
        <f>IF(AN725=ReachLabel,AS725,0)</f>
        <v>0</v>
      </c>
      <c r="BG725">
        <f>IF(AN725=MatchLabel,AS725,0)</f>
        <v>0</v>
      </c>
      <c r="BH725">
        <f>IF(AN725=SafetyLabel,AS725,0)</f>
        <v>0</v>
      </c>
      <c r="BI725">
        <f>IF(AN725=SecureLabel,AS725,0)</f>
        <v>0</v>
      </c>
      <c r="BJ725">
        <f>IF(AN725=SureThingLabel,AS725,0)</f>
        <v>0</v>
      </c>
      <c r="BK725">
        <f>MAX(BF725:BJ725)</f>
        <v>0</v>
      </c>
      <c r="BL725">
        <f>MAX(BG725:BJ725)</f>
        <v>0</v>
      </c>
      <c r="BM725">
        <f>MAX(BH725:BJ725)</f>
        <v>0</v>
      </c>
      <c r="BN725">
        <f>IF(AND(AN725=ReachLabel,BB725=1),AS725,0)</f>
        <v>0</v>
      </c>
      <c r="BO725">
        <f>IF(AND(AN725=MatchLabel,BB725=1),AS725,0)</f>
        <v>0</v>
      </c>
      <c r="BP725">
        <f>IF(AND(AN725=SafetyLabel,BB725=1),AS725,0)</f>
        <v>0</v>
      </c>
      <c r="BQ725">
        <f>IF(AND(AN725=SecureLabel,BB725=1),AS725,0)</f>
        <v>0</v>
      </c>
      <c r="BR725">
        <f>IF(AND(AN725=SureThingLabel,BB725=1),AS725,0)</f>
        <v>0</v>
      </c>
      <c r="BS725">
        <f>MAX(BN725:BR725)</f>
        <v>0</v>
      </c>
      <c r="BT725">
        <f>MAX(BO725:BR725)</f>
        <v>0</v>
      </c>
      <c r="BU725">
        <f>MAX(BP725:BR725)</f>
        <v>0</v>
      </c>
      <c r="BV725">
        <f>IF(ISNUMBER(AB725),INDEX(AllCollegeChicago, MATCH(N725,AllCollegeNCES,0))*BB725,0)</f>
        <v>0</v>
      </c>
      <c r="BW725">
        <f>IF(ISNUMBER(AB725),INDEX(AllCollegeMoneyCode, MATCH(N725,AllCollegeNCES,0)),"?")</f>
        <v>0</v>
      </c>
      <c r="BX725">
        <f>IF(OR(BW725="---",BW725="--",BW725="+/--",BW725="+/---"),1,0)</f>
        <v>0</v>
      </c>
      <c r="BY725">
        <f>BB725*AR725*AT725</f>
        <v>0</v>
      </c>
    </row>
    <row r="726" spans="1:77">
      <c r="A726" t="s">
        <v>96</v>
      </c>
      <c r="B726">
        <v>30280677</v>
      </c>
      <c r="C726" t="s">
        <v>312</v>
      </c>
      <c r="D726" t="s">
        <v>313</v>
      </c>
      <c r="E726" t="s">
        <v>446</v>
      </c>
      <c r="F726" t="s">
        <v>468</v>
      </c>
      <c r="G726" t="s">
        <v>448</v>
      </c>
      <c r="H726" t="s">
        <v>449</v>
      </c>
      <c r="I726" t="s">
        <v>450</v>
      </c>
      <c r="J726" t="s">
        <v>450</v>
      </c>
      <c r="K726">
        <v>0</v>
      </c>
      <c r="L726" t="s">
        <v>446</v>
      </c>
      <c r="M726" t="s">
        <v>454</v>
      </c>
      <c r="N726">
        <v>154493</v>
      </c>
      <c r="O726">
        <f>INDEX(Counselor,MATCH(B726,KidIDs,0))</f>
        <v>0</v>
      </c>
      <c r="P726">
        <f>INDEX(Advisors,MATCH(B726,KidIDs,0))</f>
        <v>0</v>
      </c>
      <c r="Q726">
        <f>INDEX(Cohort,MATCH(B726,KidIDs,0))</f>
        <v>0</v>
      </c>
      <c r="R726">
        <f>INDEX(AllCollegeBarrons,MATCH(N726,AllCollegeNCES,0))</f>
        <v>0</v>
      </c>
      <c r="S726">
        <f>INDEX(KidGPAs,MATCH(B726,KidIDs,0))</f>
        <v>0</v>
      </c>
      <c r="T726">
        <f>INDEX(KidSATs,MATCH(B726,KidIDs,0))</f>
        <v>0</v>
      </c>
      <c r="U726">
        <f>INDEX(Strats,MATCH(B726,KidIDs,0))</f>
        <v>0</v>
      </c>
      <c r="V726">
        <f>INDEX(KidRace,MATCH(B726,KidIDs,0))</f>
        <v>0</v>
      </c>
      <c r="W726">
        <f>IF(OR(V726="M",V726="I"),"H",IF(V726="P","A",V726))</f>
        <v>0</v>
      </c>
      <c r="X726">
        <f>INDEX(StudentTargets,MATCH(B726,KidIDs,0))</f>
        <v>0</v>
      </c>
      <c r="Y726">
        <f>INDEX(ReachStudentTargets,MATCH(B726,KidIDs,0))</f>
        <v>0</v>
      </c>
      <c r="Z726">
        <f>IF(OR(M726="Posse"),1,0)</f>
        <v>0</v>
      </c>
      <c r="AA726">
        <f>IF(ISNUMBER(INDEX(AllCollegeGR, MATCH(N726,AllCollegeNCES,0))),ROUND(INDEX(AllCollegeGR, MATCH(N726,AllCollegeNCES,0))+Z726*IF(INDEX(AllCollegeGR, MATCH(N726,AllCollegeNCES,0))&gt;0.7,(1-INDEX(AllCollegeGR, MATCH(N726,AllCollegeNCES,0)))/2,0.15),2),INDEX(AllCollegeGR, MATCH(N726,AllCollegeNCES,0)))</f>
        <v>0</v>
      </c>
      <c r="AB726">
        <f>IF(ISNUMBER(INDEX(AllCollegeAAHGR, MATCH(N726,AllCollegeNCES,0))),ROUND(INDEX(AllCollegeAAHGR, MATCH(N726,AllCollegeNCES,0))+Z726*IF(INDEX(AllCollegeAAHGR, MATCH(N726,AllCollegeNCES,0))&gt;0.7,(1-INDEX(AllCollegeAAHGR, MATCH(N726,AllCollegeNCES,0)))/2,0.15),2),INDEX(AllCollegeAAHGR, MATCH(N726,AllCollegeNCES,0)))</f>
        <v>0</v>
      </c>
      <c r="AC726">
        <f>IF(OR(W726="H",W726="B"),INDEX(AllCollegeSAT25, MATCH(N726,AllCollegeNCES,0)),INDEX(AllCollegeSAT50, MATCH(N726,AllCollegeNCES,0)))</f>
        <v>0</v>
      </c>
      <c r="AD726">
        <f>INDEX(CustomWeightsGPA,MATCH(W726&amp;":"&amp;N726,CustomWeightsIndex,0))</f>
        <v>0</v>
      </c>
      <c r="AE726">
        <f>INDEX(CustomWeightsSAT,MATCH(W726&amp;":"&amp;N726,CustomWeightsIndex,0))</f>
        <v>0</v>
      </c>
      <c r="AF726">
        <f>INDEX(CustomWeightsIntercept,MATCH(W726&amp;":"&amp;N726,CustomWeightsIndex,0))</f>
        <v>0</v>
      </c>
      <c r="AG726">
        <f>AD726*S726+AE726*T726+AF726</f>
        <v>0</v>
      </c>
      <c r="AH726">
        <f>INDEX(CoefficientsGPA,MATCH(W726&amp;":"&amp;R726,CoefficientsIndex,0))</f>
        <v>0</v>
      </c>
      <c r="AI726">
        <f>INDEX(CoefficientsSAT,MATCH(W726&amp;":"&amp;R726,CoefficientsIndex,0))</f>
        <v>0</v>
      </c>
      <c r="AJ726">
        <f>INDEX(CoefficientsIntercept,MATCH(W726&amp;":"&amp;R726,CoefficientsIndex,0))</f>
        <v>0</v>
      </c>
      <c r="AK726">
        <f>AH726*S726+(T726-AC726)*AI726+AJ726</f>
        <v>0</v>
      </c>
      <c r="AL726">
        <f>IF(ISNUMBER(AG726),AG726,AK726)</f>
        <v>0</v>
      </c>
      <c r="AM726">
        <f>IF(ISNUMBER(AL726),IF(ISNUMBER(AH726),IF(AND(AH726=1,AI726=1,AJ726=1),100,MIN(99,ROUND(100*EXP(AL726)/(1+EXP(AL726)),2))),MIN(99,ROUND(100*EXP(AL726)/(1+EXP(AL726)),2))),IF(ISTEXT(R726),IF(LEFT(R726,1)="2",100,"N/A"),"N/A"))</f>
        <v>0</v>
      </c>
      <c r="AN726">
        <f>IF(ISNUMBER(AM726),IF(AM726&gt;=99,IF(OR(U726=10,U726=11),MatchLabel,SureThingLabel),IF(AM726&gt;=95,SecureLabel,IF(AM726&gt;=80,SafetyLabel,IF(AM726&gt;=50,MatchLabel,IF(AM726&gt;=20,ReachLabel,IF(AM726&gt;=10,LongshotLabel,HailMaryLabel)))))),"Other")</f>
        <v>0</v>
      </c>
      <c r="AO726">
        <f>IF(OR(I726="accepted",I726="cond. accept",I726="summer admit"),IF(J726="yes","CHOICE!","Accepted!"),IF(I726="guar. transfer","Guar. Xfer",IF(I726="denied","Denied",IF(K726=1,"Waitlist",IF(L726=1,"Deferred",IF(G726="pending","Pending",IF(OR(G726="initial materials submitted",G726="mid-year submitted",G726="final submitted"),"Submitted",IF(H726="interest","Interest","?"))))))))</f>
        <v>0</v>
      </c>
      <c r="AP726">
        <f>IF(OR(AN726=ReachLabel,AN726=LongshotLabel,AN726=HailMaryLabel),1,0)</f>
        <v>0</v>
      </c>
      <c r="AQ726">
        <f>IF(OR(AP726=1,AN726=MatchLabel),1,0)</f>
        <v>0</v>
      </c>
      <c r="AR726">
        <f>IF(OR(AN726=MatchLabel,AN726=SafetyLabel,AN726=SecureLabel,AN726=SureThingLabel),1,0)</f>
        <v>0</v>
      </c>
      <c r="AS726">
        <f>IF(OR(W726="H",W726="B",W726="I",W726="M"),IF(ISNUMBER(AB726),ROUND(AB726,2),0),IF(ISNUMBER(AA726),ROUND(AA726,2),0))</f>
        <v>0</v>
      </c>
      <c r="AT726">
        <f>IF(AS726&gt;=X726,1,0)</f>
        <v>0</v>
      </c>
      <c r="AU726">
        <f>IF(AS726&gt;=Y726,1,0)</f>
        <v>0</v>
      </c>
      <c r="AV726">
        <f>IF(AS726&lt;(X726-0.10),1,0)</f>
        <v>0</v>
      </c>
      <c r="AW726">
        <f>1-AM726/100</f>
        <v>0</v>
      </c>
      <c r="AX726">
        <f>IF(AQ726=1,AW726,1)</f>
        <v>0</v>
      </c>
      <c r="AY726">
        <f>IF(AP726=1,AW726,1)</f>
        <v>0</v>
      </c>
      <c r="AZ726">
        <f>IF(AND(AT726=1,ISNUMBER(AW726)),$AW726,1)</f>
        <v>0</v>
      </c>
      <c r="BA726">
        <f>IF(AND(AU726=1,ISNUMBER(AW726)),$AW726,1)</f>
        <v>0</v>
      </c>
      <c r="BB726">
        <f>IF(ISNUMBER(AB726),INDEX(AllCollegeMoney, MATCH(N726,AllCollegeNCES,0)),0)</f>
        <v>0</v>
      </c>
      <c r="BC726">
        <f>IF(AND(AT726=1,ISNUMBER(AW726),BB726=1),$AW726,1)</f>
        <v>0</v>
      </c>
      <c r="BD726">
        <f>IF(AND(AU726=1,ISNUMBER(AW726),BB726=1),$AW726,1)</f>
        <v>0</v>
      </c>
      <c r="BE726">
        <f>IF(ISNUMBER(AB726),INDEX(AllCollegeILPub, MATCH(N726,AllCollegeNCES,0)),0)</f>
        <v>0</v>
      </c>
      <c r="BF726">
        <f>IF(AN726=ReachLabel,AS726,0)</f>
        <v>0</v>
      </c>
      <c r="BG726">
        <f>IF(AN726=MatchLabel,AS726,0)</f>
        <v>0</v>
      </c>
      <c r="BH726">
        <f>IF(AN726=SafetyLabel,AS726,0)</f>
        <v>0</v>
      </c>
      <c r="BI726">
        <f>IF(AN726=SecureLabel,AS726,0)</f>
        <v>0</v>
      </c>
      <c r="BJ726">
        <f>IF(AN726=SureThingLabel,AS726,0)</f>
        <v>0</v>
      </c>
      <c r="BK726">
        <f>MAX(BF726:BJ726)</f>
        <v>0</v>
      </c>
      <c r="BL726">
        <f>MAX(BG726:BJ726)</f>
        <v>0</v>
      </c>
      <c r="BM726">
        <f>MAX(BH726:BJ726)</f>
        <v>0</v>
      </c>
      <c r="BN726">
        <f>IF(AND(AN726=ReachLabel,BB726=1),AS726,0)</f>
        <v>0</v>
      </c>
      <c r="BO726">
        <f>IF(AND(AN726=MatchLabel,BB726=1),AS726,0)</f>
        <v>0</v>
      </c>
      <c r="BP726">
        <f>IF(AND(AN726=SafetyLabel,BB726=1),AS726,0)</f>
        <v>0</v>
      </c>
      <c r="BQ726">
        <f>IF(AND(AN726=SecureLabel,BB726=1),AS726,0)</f>
        <v>0</v>
      </c>
      <c r="BR726">
        <f>IF(AND(AN726=SureThingLabel,BB726=1),AS726,0)</f>
        <v>0</v>
      </c>
      <c r="BS726">
        <f>MAX(BN726:BR726)</f>
        <v>0</v>
      </c>
      <c r="BT726">
        <f>MAX(BO726:BR726)</f>
        <v>0</v>
      </c>
      <c r="BU726">
        <f>MAX(BP726:BR726)</f>
        <v>0</v>
      </c>
      <c r="BV726">
        <f>IF(ISNUMBER(AB726),INDEX(AllCollegeChicago, MATCH(N726,AllCollegeNCES,0))*BB726,0)</f>
        <v>0</v>
      </c>
      <c r="BW726">
        <f>IF(ISNUMBER(AB726),INDEX(AllCollegeMoneyCode, MATCH(N726,AllCollegeNCES,0)),"?")</f>
        <v>0</v>
      </c>
      <c r="BX726">
        <f>IF(OR(BW726="---",BW726="--",BW726="+/--",BW726="+/---"),1,0)</f>
        <v>0</v>
      </c>
      <c r="BY726">
        <f>BB726*AR726*AT726</f>
        <v>0</v>
      </c>
    </row>
    <row r="727" spans="1:77">
      <c r="A727" t="s">
        <v>96</v>
      </c>
      <c r="B727">
        <v>30313392</v>
      </c>
      <c r="C727" t="s">
        <v>240</v>
      </c>
      <c r="D727" t="s">
        <v>241</v>
      </c>
      <c r="E727" t="s">
        <v>446</v>
      </c>
      <c r="F727" t="s">
        <v>447</v>
      </c>
      <c r="G727" t="s">
        <v>448</v>
      </c>
      <c r="H727" t="s">
        <v>449</v>
      </c>
      <c r="I727" t="s">
        <v>450</v>
      </c>
      <c r="J727" t="s">
        <v>450</v>
      </c>
      <c r="K727">
        <v>0</v>
      </c>
      <c r="L727" t="s">
        <v>446</v>
      </c>
      <c r="M727" t="s">
        <v>446</v>
      </c>
      <c r="N727">
        <v>148496</v>
      </c>
      <c r="O727">
        <f>INDEX(Counselor,MATCH(B727,KidIDs,0))</f>
        <v>0</v>
      </c>
      <c r="P727">
        <f>INDEX(Advisors,MATCH(B727,KidIDs,0))</f>
        <v>0</v>
      </c>
      <c r="Q727">
        <f>INDEX(Cohort,MATCH(B727,KidIDs,0))</f>
        <v>0</v>
      </c>
      <c r="R727">
        <f>INDEX(AllCollegeBarrons,MATCH(N727,AllCollegeNCES,0))</f>
        <v>0</v>
      </c>
      <c r="S727">
        <f>INDEX(KidGPAs,MATCH(B727,KidIDs,0))</f>
        <v>0</v>
      </c>
      <c r="T727">
        <f>INDEX(KidSATs,MATCH(B727,KidIDs,0))</f>
        <v>0</v>
      </c>
      <c r="U727">
        <f>INDEX(Strats,MATCH(B727,KidIDs,0))</f>
        <v>0</v>
      </c>
      <c r="V727">
        <f>INDEX(KidRace,MATCH(B727,KidIDs,0))</f>
        <v>0</v>
      </c>
      <c r="W727">
        <f>IF(OR(V727="M",V727="I"),"H",IF(V727="P","A",V727))</f>
        <v>0</v>
      </c>
      <c r="X727">
        <f>INDEX(StudentTargets,MATCH(B727,KidIDs,0))</f>
        <v>0</v>
      </c>
      <c r="Y727">
        <f>INDEX(ReachStudentTargets,MATCH(B727,KidIDs,0))</f>
        <v>0</v>
      </c>
      <c r="Z727">
        <f>IF(OR(M727="Posse"),1,0)</f>
        <v>0</v>
      </c>
      <c r="AA727">
        <f>IF(ISNUMBER(INDEX(AllCollegeGR, MATCH(N727,AllCollegeNCES,0))),ROUND(INDEX(AllCollegeGR, MATCH(N727,AllCollegeNCES,0))+Z727*IF(INDEX(AllCollegeGR, MATCH(N727,AllCollegeNCES,0))&gt;0.7,(1-INDEX(AllCollegeGR, MATCH(N727,AllCollegeNCES,0)))/2,0.15),2),INDEX(AllCollegeGR, MATCH(N727,AllCollegeNCES,0)))</f>
        <v>0</v>
      </c>
      <c r="AB727">
        <f>IF(ISNUMBER(INDEX(AllCollegeAAHGR, MATCH(N727,AllCollegeNCES,0))),ROUND(INDEX(AllCollegeAAHGR, MATCH(N727,AllCollegeNCES,0))+Z727*IF(INDEX(AllCollegeAAHGR, MATCH(N727,AllCollegeNCES,0))&gt;0.7,(1-INDEX(AllCollegeAAHGR, MATCH(N727,AllCollegeNCES,0)))/2,0.15),2),INDEX(AllCollegeAAHGR, MATCH(N727,AllCollegeNCES,0)))</f>
        <v>0</v>
      </c>
      <c r="AC727">
        <f>IF(OR(W727="H",W727="B"),INDEX(AllCollegeSAT25, MATCH(N727,AllCollegeNCES,0)),INDEX(AllCollegeSAT50, MATCH(N727,AllCollegeNCES,0)))</f>
        <v>0</v>
      </c>
      <c r="AD727">
        <f>INDEX(CustomWeightsGPA,MATCH(W727&amp;":"&amp;N727,CustomWeightsIndex,0))</f>
        <v>0</v>
      </c>
      <c r="AE727">
        <f>INDEX(CustomWeightsSAT,MATCH(W727&amp;":"&amp;N727,CustomWeightsIndex,0))</f>
        <v>0</v>
      </c>
      <c r="AF727">
        <f>INDEX(CustomWeightsIntercept,MATCH(W727&amp;":"&amp;N727,CustomWeightsIndex,0))</f>
        <v>0</v>
      </c>
      <c r="AG727">
        <f>AD727*S727+AE727*T727+AF727</f>
        <v>0</v>
      </c>
      <c r="AH727">
        <f>INDEX(CoefficientsGPA,MATCH(W727&amp;":"&amp;R727,CoefficientsIndex,0))</f>
        <v>0</v>
      </c>
      <c r="AI727">
        <f>INDEX(CoefficientsSAT,MATCH(W727&amp;":"&amp;R727,CoefficientsIndex,0))</f>
        <v>0</v>
      </c>
      <c r="AJ727">
        <f>INDEX(CoefficientsIntercept,MATCH(W727&amp;":"&amp;R727,CoefficientsIndex,0))</f>
        <v>0</v>
      </c>
      <c r="AK727">
        <f>AH727*S727+(T727-AC727)*AI727+AJ727</f>
        <v>0</v>
      </c>
      <c r="AL727">
        <f>IF(ISNUMBER(AG727),AG727,AK727)</f>
        <v>0</v>
      </c>
      <c r="AM727">
        <f>IF(ISNUMBER(AL727),IF(ISNUMBER(AH727),IF(AND(AH727=1,AI727=1,AJ727=1),100,MIN(99,ROUND(100*EXP(AL727)/(1+EXP(AL727)),2))),MIN(99,ROUND(100*EXP(AL727)/(1+EXP(AL727)),2))),IF(ISTEXT(R727),IF(LEFT(R727,1)="2",100,"N/A"),"N/A"))</f>
        <v>0</v>
      </c>
      <c r="AN727">
        <f>IF(ISNUMBER(AM727),IF(AM727&gt;=99,IF(OR(U727=10,U727=11),MatchLabel,SureThingLabel),IF(AM727&gt;=95,SecureLabel,IF(AM727&gt;=80,SafetyLabel,IF(AM727&gt;=50,MatchLabel,IF(AM727&gt;=20,ReachLabel,IF(AM727&gt;=10,LongshotLabel,HailMaryLabel)))))),"Other")</f>
        <v>0</v>
      </c>
      <c r="AO727">
        <f>IF(OR(I727="accepted",I727="cond. accept",I727="summer admit"),IF(J727="yes","CHOICE!","Accepted!"),IF(I727="guar. transfer","Guar. Xfer",IF(I727="denied","Denied",IF(K727=1,"Waitlist",IF(L727=1,"Deferred",IF(G727="pending","Pending",IF(OR(G727="initial materials submitted",G727="mid-year submitted",G727="final submitted"),"Submitted",IF(H727="interest","Interest","?"))))))))</f>
        <v>0</v>
      </c>
      <c r="AP727">
        <f>IF(OR(AN727=ReachLabel,AN727=LongshotLabel,AN727=HailMaryLabel),1,0)</f>
        <v>0</v>
      </c>
      <c r="AQ727">
        <f>IF(OR(AP727=1,AN727=MatchLabel),1,0)</f>
        <v>0</v>
      </c>
      <c r="AR727">
        <f>IF(OR(AN727=MatchLabel,AN727=SafetyLabel,AN727=SecureLabel,AN727=SureThingLabel),1,0)</f>
        <v>0</v>
      </c>
      <c r="AS727">
        <f>IF(OR(W727="H",W727="B",W727="I",W727="M"),IF(ISNUMBER(AB727),ROUND(AB727,2),0),IF(ISNUMBER(AA727),ROUND(AA727,2),0))</f>
        <v>0</v>
      </c>
      <c r="AT727">
        <f>IF(AS727&gt;=X727,1,0)</f>
        <v>0</v>
      </c>
      <c r="AU727">
        <f>IF(AS727&gt;=Y727,1,0)</f>
        <v>0</v>
      </c>
      <c r="AV727">
        <f>IF(AS727&lt;(X727-0.10),1,0)</f>
        <v>0</v>
      </c>
      <c r="AW727">
        <f>1-AM727/100</f>
        <v>0</v>
      </c>
      <c r="AX727">
        <f>IF(AQ727=1,AW727,1)</f>
        <v>0</v>
      </c>
      <c r="AY727">
        <f>IF(AP727=1,AW727,1)</f>
        <v>0</v>
      </c>
      <c r="AZ727">
        <f>IF(AND(AT727=1,ISNUMBER(AW727)),$AW727,1)</f>
        <v>0</v>
      </c>
      <c r="BA727">
        <f>IF(AND(AU727=1,ISNUMBER(AW727)),$AW727,1)</f>
        <v>0</v>
      </c>
      <c r="BB727">
        <f>IF(ISNUMBER(AB727),INDEX(AllCollegeMoney, MATCH(N727,AllCollegeNCES,0)),0)</f>
        <v>0</v>
      </c>
      <c r="BC727">
        <f>IF(AND(AT727=1,ISNUMBER(AW727),BB727=1),$AW727,1)</f>
        <v>0</v>
      </c>
      <c r="BD727">
        <f>IF(AND(AU727=1,ISNUMBER(AW727),BB727=1),$AW727,1)</f>
        <v>0</v>
      </c>
      <c r="BE727">
        <f>IF(ISNUMBER(AB727),INDEX(AllCollegeILPub, MATCH(N727,AllCollegeNCES,0)),0)</f>
        <v>0</v>
      </c>
      <c r="BF727">
        <f>IF(AN727=ReachLabel,AS727,0)</f>
        <v>0</v>
      </c>
      <c r="BG727">
        <f>IF(AN727=MatchLabel,AS727,0)</f>
        <v>0</v>
      </c>
      <c r="BH727">
        <f>IF(AN727=SafetyLabel,AS727,0)</f>
        <v>0</v>
      </c>
      <c r="BI727">
        <f>IF(AN727=SecureLabel,AS727,0)</f>
        <v>0</v>
      </c>
      <c r="BJ727">
        <f>IF(AN727=SureThingLabel,AS727,0)</f>
        <v>0</v>
      </c>
      <c r="BK727">
        <f>MAX(BF727:BJ727)</f>
        <v>0</v>
      </c>
      <c r="BL727">
        <f>MAX(BG727:BJ727)</f>
        <v>0</v>
      </c>
      <c r="BM727">
        <f>MAX(BH727:BJ727)</f>
        <v>0</v>
      </c>
      <c r="BN727">
        <f>IF(AND(AN727=ReachLabel,BB727=1),AS727,0)</f>
        <v>0</v>
      </c>
      <c r="BO727">
        <f>IF(AND(AN727=MatchLabel,BB727=1),AS727,0)</f>
        <v>0</v>
      </c>
      <c r="BP727">
        <f>IF(AND(AN727=SafetyLabel,BB727=1),AS727,0)</f>
        <v>0</v>
      </c>
      <c r="BQ727">
        <f>IF(AND(AN727=SecureLabel,BB727=1),AS727,0)</f>
        <v>0</v>
      </c>
      <c r="BR727">
        <f>IF(AND(AN727=SureThingLabel,BB727=1),AS727,0)</f>
        <v>0</v>
      </c>
      <c r="BS727">
        <f>MAX(BN727:BR727)</f>
        <v>0</v>
      </c>
      <c r="BT727">
        <f>MAX(BO727:BR727)</f>
        <v>0</v>
      </c>
      <c r="BU727">
        <f>MAX(BP727:BR727)</f>
        <v>0</v>
      </c>
      <c r="BV727">
        <f>IF(ISNUMBER(AB727),INDEX(AllCollegeChicago, MATCH(N727,AllCollegeNCES,0))*BB727,0)</f>
        <v>0</v>
      </c>
      <c r="BW727">
        <f>IF(ISNUMBER(AB727),INDEX(AllCollegeMoneyCode, MATCH(N727,AllCollegeNCES,0)),"?")</f>
        <v>0</v>
      </c>
      <c r="BX727">
        <f>IF(OR(BW727="---",BW727="--",BW727="+/--",BW727="+/---"),1,0)</f>
        <v>0</v>
      </c>
      <c r="BY727">
        <f>BB727*AR727*AT727</f>
        <v>0</v>
      </c>
    </row>
    <row r="728" spans="1:77">
      <c r="A728" t="s">
        <v>96</v>
      </c>
      <c r="B728">
        <v>30313392</v>
      </c>
      <c r="C728" t="s">
        <v>240</v>
      </c>
      <c r="D728" t="s">
        <v>241</v>
      </c>
      <c r="E728" t="s">
        <v>446</v>
      </c>
      <c r="F728" t="s">
        <v>506</v>
      </c>
      <c r="G728" t="s">
        <v>448</v>
      </c>
      <c r="H728" t="s">
        <v>449</v>
      </c>
      <c r="I728" t="s">
        <v>450</v>
      </c>
      <c r="J728" t="s">
        <v>450</v>
      </c>
      <c r="K728">
        <v>0</v>
      </c>
      <c r="L728" t="s">
        <v>446</v>
      </c>
      <c r="M728" t="s">
        <v>446</v>
      </c>
      <c r="N728">
        <v>147679</v>
      </c>
      <c r="O728">
        <f>INDEX(Counselor,MATCH(B728,KidIDs,0))</f>
        <v>0</v>
      </c>
      <c r="P728">
        <f>INDEX(Advisors,MATCH(B728,KidIDs,0))</f>
        <v>0</v>
      </c>
      <c r="Q728">
        <f>INDEX(Cohort,MATCH(B728,KidIDs,0))</f>
        <v>0</v>
      </c>
      <c r="R728">
        <f>INDEX(AllCollegeBarrons,MATCH(N728,AllCollegeNCES,0))</f>
        <v>0</v>
      </c>
      <c r="S728">
        <f>INDEX(KidGPAs,MATCH(B728,KidIDs,0))</f>
        <v>0</v>
      </c>
      <c r="T728">
        <f>INDEX(KidSATs,MATCH(B728,KidIDs,0))</f>
        <v>0</v>
      </c>
      <c r="U728">
        <f>INDEX(Strats,MATCH(B728,KidIDs,0))</f>
        <v>0</v>
      </c>
      <c r="V728">
        <f>INDEX(KidRace,MATCH(B728,KidIDs,0))</f>
        <v>0</v>
      </c>
      <c r="W728">
        <f>IF(OR(V728="M",V728="I"),"H",IF(V728="P","A",V728))</f>
        <v>0</v>
      </c>
      <c r="X728">
        <f>INDEX(StudentTargets,MATCH(B728,KidIDs,0))</f>
        <v>0</v>
      </c>
      <c r="Y728">
        <f>INDEX(ReachStudentTargets,MATCH(B728,KidIDs,0))</f>
        <v>0</v>
      </c>
      <c r="Z728">
        <f>IF(OR(M728="Posse"),1,0)</f>
        <v>0</v>
      </c>
      <c r="AA728">
        <f>IF(ISNUMBER(INDEX(AllCollegeGR, MATCH(N728,AllCollegeNCES,0))),ROUND(INDEX(AllCollegeGR, MATCH(N728,AllCollegeNCES,0))+Z728*IF(INDEX(AllCollegeGR, MATCH(N728,AllCollegeNCES,0))&gt;0.7,(1-INDEX(AllCollegeGR, MATCH(N728,AllCollegeNCES,0)))/2,0.15),2),INDEX(AllCollegeGR, MATCH(N728,AllCollegeNCES,0)))</f>
        <v>0</v>
      </c>
      <c r="AB728">
        <f>IF(ISNUMBER(INDEX(AllCollegeAAHGR, MATCH(N728,AllCollegeNCES,0))),ROUND(INDEX(AllCollegeAAHGR, MATCH(N728,AllCollegeNCES,0))+Z728*IF(INDEX(AllCollegeAAHGR, MATCH(N728,AllCollegeNCES,0))&gt;0.7,(1-INDEX(AllCollegeAAHGR, MATCH(N728,AllCollegeNCES,0)))/2,0.15),2),INDEX(AllCollegeAAHGR, MATCH(N728,AllCollegeNCES,0)))</f>
        <v>0</v>
      </c>
      <c r="AC728">
        <f>IF(OR(W728="H",W728="B"),INDEX(AllCollegeSAT25, MATCH(N728,AllCollegeNCES,0)),INDEX(AllCollegeSAT50, MATCH(N728,AllCollegeNCES,0)))</f>
        <v>0</v>
      </c>
      <c r="AD728">
        <f>INDEX(CustomWeightsGPA,MATCH(W728&amp;":"&amp;N728,CustomWeightsIndex,0))</f>
        <v>0</v>
      </c>
      <c r="AE728">
        <f>INDEX(CustomWeightsSAT,MATCH(W728&amp;":"&amp;N728,CustomWeightsIndex,0))</f>
        <v>0</v>
      </c>
      <c r="AF728">
        <f>INDEX(CustomWeightsIntercept,MATCH(W728&amp;":"&amp;N728,CustomWeightsIndex,0))</f>
        <v>0</v>
      </c>
      <c r="AG728">
        <f>AD728*S728+AE728*T728+AF728</f>
        <v>0</v>
      </c>
      <c r="AH728">
        <f>INDEX(CoefficientsGPA,MATCH(W728&amp;":"&amp;R728,CoefficientsIndex,0))</f>
        <v>0</v>
      </c>
      <c r="AI728">
        <f>INDEX(CoefficientsSAT,MATCH(W728&amp;":"&amp;R728,CoefficientsIndex,0))</f>
        <v>0</v>
      </c>
      <c r="AJ728">
        <f>INDEX(CoefficientsIntercept,MATCH(W728&amp;":"&amp;R728,CoefficientsIndex,0))</f>
        <v>0</v>
      </c>
      <c r="AK728">
        <f>AH728*S728+(T728-AC728)*AI728+AJ728</f>
        <v>0</v>
      </c>
      <c r="AL728">
        <f>IF(ISNUMBER(AG728),AG728,AK728)</f>
        <v>0</v>
      </c>
      <c r="AM728">
        <f>IF(ISNUMBER(AL728),IF(ISNUMBER(AH728),IF(AND(AH728=1,AI728=1,AJ728=1),100,MIN(99,ROUND(100*EXP(AL728)/(1+EXP(AL728)),2))),MIN(99,ROUND(100*EXP(AL728)/(1+EXP(AL728)),2))),IF(ISTEXT(R728),IF(LEFT(R728,1)="2",100,"N/A"),"N/A"))</f>
        <v>0</v>
      </c>
      <c r="AN728">
        <f>IF(ISNUMBER(AM728),IF(AM728&gt;=99,IF(OR(U728=10,U728=11),MatchLabel,SureThingLabel),IF(AM728&gt;=95,SecureLabel,IF(AM728&gt;=80,SafetyLabel,IF(AM728&gt;=50,MatchLabel,IF(AM728&gt;=20,ReachLabel,IF(AM728&gt;=10,LongshotLabel,HailMaryLabel)))))),"Other")</f>
        <v>0</v>
      </c>
      <c r="AO728">
        <f>IF(OR(I728="accepted",I728="cond. accept",I728="summer admit"),IF(J728="yes","CHOICE!","Accepted!"),IF(I728="guar. transfer","Guar. Xfer",IF(I728="denied","Denied",IF(K728=1,"Waitlist",IF(L728=1,"Deferred",IF(G728="pending","Pending",IF(OR(G728="initial materials submitted",G728="mid-year submitted",G728="final submitted"),"Submitted",IF(H728="interest","Interest","?"))))))))</f>
        <v>0</v>
      </c>
      <c r="AP728">
        <f>IF(OR(AN728=ReachLabel,AN728=LongshotLabel,AN728=HailMaryLabel),1,0)</f>
        <v>0</v>
      </c>
      <c r="AQ728">
        <f>IF(OR(AP728=1,AN728=MatchLabel),1,0)</f>
        <v>0</v>
      </c>
      <c r="AR728">
        <f>IF(OR(AN728=MatchLabel,AN728=SafetyLabel,AN728=SecureLabel,AN728=SureThingLabel),1,0)</f>
        <v>0</v>
      </c>
      <c r="AS728">
        <f>IF(OR(W728="H",W728="B",W728="I",W728="M"),IF(ISNUMBER(AB728),ROUND(AB728,2),0),IF(ISNUMBER(AA728),ROUND(AA728,2),0))</f>
        <v>0</v>
      </c>
      <c r="AT728">
        <f>IF(AS728&gt;=X728,1,0)</f>
        <v>0</v>
      </c>
      <c r="AU728">
        <f>IF(AS728&gt;=Y728,1,0)</f>
        <v>0</v>
      </c>
      <c r="AV728">
        <f>IF(AS728&lt;(X728-0.10),1,0)</f>
        <v>0</v>
      </c>
      <c r="AW728">
        <f>1-AM728/100</f>
        <v>0</v>
      </c>
      <c r="AX728">
        <f>IF(AQ728=1,AW728,1)</f>
        <v>0</v>
      </c>
      <c r="AY728">
        <f>IF(AP728=1,AW728,1)</f>
        <v>0</v>
      </c>
      <c r="AZ728">
        <f>IF(AND(AT728=1,ISNUMBER(AW728)),$AW728,1)</f>
        <v>0</v>
      </c>
      <c r="BA728">
        <f>IF(AND(AU728=1,ISNUMBER(AW728)),$AW728,1)</f>
        <v>0</v>
      </c>
      <c r="BB728">
        <f>IF(ISNUMBER(AB728),INDEX(AllCollegeMoney, MATCH(N728,AllCollegeNCES,0)),0)</f>
        <v>0</v>
      </c>
      <c r="BC728">
        <f>IF(AND(AT728=1,ISNUMBER(AW728),BB728=1),$AW728,1)</f>
        <v>0</v>
      </c>
      <c r="BD728">
        <f>IF(AND(AU728=1,ISNUMBER(AW728),BB728=1),$AW728,1)</f>
        <v>0</v>
      </c>
      <c r="BE728">
        <f>IF(ISNUMBER(AB728),INDEX(AllCollegeILPub, MATCH(N728,AllCollegeNCES,0)),0)</f>
        <v>0</v>
      </c>
      <c r="BF728">
        <f>IF(AN728=ReachLabel,AS728,0)</f>
        <v>0</v>
      </c>
      <c r="BG728">
        <f>IF(AN728=MatchLabel,AS728,0)</f>
        <v>0</v>
      </c>
      <c r="BH728">
        <f>IF(AN728=SafetyLabel,AS728,0)</f>
        <v>0</v>
      </c>
      <c r="BI728">
        <f>IF(AN728=SecureLabel,AS728,0)</f>
        <v>0</v>
      </c>
      <c r="BJ728">
        <f>IF(AN728=SureThingLabel,AS728,0)</f>
        <v>0</v>
      </c>
      <c r="BK728">
        <f>MAX(BF728:BJ728)</f>
        <v>0</v>
      </c>
      <c r="BL728">
        <f>MAX(BG728:BJ728)</f>
        <v>0</v>
      </c>
      <c r="BM728">
        <f>MAX(BH728:BJ728)</f>
        <v>0</v>
      </c>
      <c r="BN728">
        <f>IF(AND(AN728=ReachLabel,BB728=1),AS728,0)</f>
        <v>0</v>
      </c>
      <c r="BO728">
        <f>IF(AND(AN728=MatchLabel,BB728=1),AS728,0)</f>
        <v>0</v>
      </c>
      <c r="BP728">
        <f>IF(AND(AN728=SafetyLabel,BB728=1),AS728,0)</f>
        <v>0</v>
      </c>
      <c r="BQ728">
        <f>IF(AND(AN728=SecureLabel,BB728=1),AS728,0)</f>
        <v>0</v>
      </c>
      <c r="BR728">
        <f>IF(AND(AN728=SureThingLabel,BB728=1),AS728,0)</f>
        <v>0</v>
      </c>
      <c r="BS728">
        <f>MAX(BN728:BR728)</f>
        <v>0</v>
      </c>
      <c r="BT728">
        <f>MAX(BO728:BR728)</f>
        <v>0</v>
      </c>
      <c r="BU728">
        <f>MAX(BP728:BR728)</f>
        <v>0</v>
      </c>
      <c r="BV728">
        <f>IF(ISNUMBER(AB728),INDEX(AllCollegeChicago, MATCH(N728,AllCollegeNCES,0))*BB728,0)</f>
        <v>0</v>
      </c>
      <c r="BW728">
        <f>IF(ISNUMBER(AB728),INDEX(AllCollegeMoneyCode, MATCH(N728,AllCollegeNCES,0)),"?")</f>
        <v>0</v>
      </c>
      <c r="BX728">
        <f>IF(OR(BW728="---",BW728="--",BW728="+/--",BW728="+/---"),1,0)</f>
        <v>0</v>
      </c>
      <c r="BY728">
        <f>BB728*AR728*AT728</f>
        <v>0</v>
      </c>
    </row>
    <row r="729" spans="1:77">
      <c r="A729" t="s">
        <v>96</v>
      </c>
      <c r="B729">
        <v>30313392</v>
      </c>
      <c r="C729" t="s">
        <v>240</v>
      </c>
      <c r="D729" t="s">
        <v>241</v>
      </c>
      <c r="E729" t="s">
        <v>446</v>
      </c>
      <c r="F729" t="s">
        <v>453</v>
      </c>
      <c r="G729" t="s">
        <v>448</v>
      </c>
      <c r="H729" t="s">
        <v>449</v>
      </c>
      <c r="I729" t="s">
        <v>450</v>
      </c>
      <c r="J729" t="s">
        <v>450</v>
      </c>
      <c r="K729">
        <v>0</v>
      </c>
      <c r="L729" t="s">
        <v>446</v>
      </c>
      <c r="M729" t="s">
        <v>454</v>
      </c>
      <c r="N729">
        <v>150774</v>
      </c>
      <c r="O729">
        <f>INDEX(Counselor,MATCH(B729,KidIDs,0))</f>
        <v>0</v>
      </c>
      <c r="P729">
        <f>INDEX(Advisors,MATCH(B729,KidIDs,0))</f>
        <v>0</v>
      </c>
      <c r="Q729">
        <f>INDEX(Cohort,MATCH(B729,KidIDs,0))</f>
        <v>0</v>
      </c>
      <c r="R729">
        <f>INDEX(AllCollegeBarrons,MATCH(N729,AllCollegeNCES,0))</f>
        <v>0</v>
      </c>
      <c r="S729">
        <f>INDEX(KidGPAs,MATCH(B729,KidIDs,0))</f>
        <v>0</v>
      </c>
      <c r="T729">
        <f>INDEX(KidSATs,MATCH(B729,KidIDs,0))</f>
        <v>0</v>
      </c>
      <c r="U729">
        <f>INDEX(Strats,MATCH(B729,KidIDs,0))</f>
        <v>0</v>
      </c>
      <c r="V729">
        <f>INDEX(KidRace,MATCH(B729,KidIDs,0))</f>
        <v>0</v>
      </c>
      <c r="W729">
        <f>IF(OR(V729="M",V729="I"),"H",IF(V729="P","A",V729))</f>
        <v>0</v>
      </c>
      <c r="X729">
        <f>INDEX(StudentTargets,MATCH(B729,KidIDs,0))</f>
        <v>0</v>
      </c>
      <c r="Y729">
        <f>INDEX(ReachStudentTargets,MATCH(B729,KidIDs,0))</f>
        <v>0</v>
      </c>
      <c r="Z729">
        <f>IF(OR(M729="Posse"),1,0)</f>
        <v>0</v>
      </c>
      <c r="AA729">
        <f>IF(ISNUMBER(INDEX(AllCollegeGR, MATCH(N729,AllCollegeNCES,0))),ROUND(INDEX(AllCollegeGR, MATCH(N729,AllCollegeNCES,0))+Z729*IF(INDEX(AllCollegeGR, MATCH(N729,AllCollegeNCES,0))&gt;0.7,(1-INDEX(AllCollegeGR, MATCH(N729,AllCollegeNCES,0)))/2,0.15),2),INDEX(AllCollegeGR, MATCH(N729,AllCollegeNCES,0)))</f>
        <v>0</v>
      </c>
      <c r="AB729">
        <f>IF(ISNUMBER(INDEX(AllCollegeAAHGR, MATCH(N729,AllCollegeNCES,0))),ROUND(INDEX(AllCollegeAAHGR, MATCH(N729,AllCollegeNCES,0))+Z729*IF(INDEX(AllCollegeAAHGR, MATCH(N729,AllCollegeNCES,0))&gt;0.7,(1-INDEX(AllCollegeAAHGR, MATCH(N729,AllCollegeNCES,0)))/2,0.15),2),INDEX(AllCollegeAAHGR, MATCH(N729,AllCollegeNCES,0)))</f>
        <v>0</v>
      </c>
      <c r="AC729">
        <f>IF(OR(W729="H",W729="B"),INDEX(AllCollegeSAT25, MATCH(N729,AllCollegeNCES,0)),INDEX(AllCollegeSAT50, MATCH(N729,AllCollegeNCES,0)))</f>
        <v>0</v>
      </c>
      <c r="AD729">
        <f>INDEX(CustomWeightsGPA,MATCH(W729&amp;":"&amp;N729,CustomWeightsIndex,0))</f>
        <v>0</v>
      </c>
      <c r="AE729">
        <f>INDEX(CustomWeightsSAT,MATCH(W729&amp;":"&amp;N729,CustomWeightsIndex,0))</f>
        <v>0</v>
      </c>
      <c r="AF729">
        <f>INDEX(CustomWeightsIntercept,MATCH(W729&amp;":"&amp;N729,CustomWeightsIndex,0))</f>
        <v>0</v>
      </c>
      <c r="AG729">
        <f>AD729*S729+AE729*T729+AF729</f>
        <v>0</v>
      </c>
      <c r="AH729">
        <f>INDEX(CoefficientsGPA,MATCH(W729&amp;":"&amp;R729,CoefficientsIndex,0))</f>
        <v>0</v>
      </c>
      <c r="AI729">
        <f>INDEX(CoefficientsSAT,MATCH(W729&amp;":"&amp;R729,CoefficientsIndex,0))</f>
        <v>0</v>
      </c>
      <c r="AJ729">
        <f>INDEX(CoefficientsIntercept,MATCH(W729&amp;":"&amp;R729,CoefficientsIndex,0))</f>
        <v>0</v>
      </c>
      <c r="AK729">
        <f>AH729*S729+(T729-AC729)*AI729+AJ729</f>
        <v>0</v>
      </c>
      <c r="AL729">
        <f>IF(ISNUMBER(AG729),AG729,AK729)</f>
        <v>0</v>
      </c>
      <c r="AM729">
        <f>IF(ISNUMBER(AL729),IF(ISNUMBER(AH729),IF(AND(AH729=1,AI729=1,AJ729=1),100,MIN(99,ROUND(100*EXP(AL729)/(1+EXP(AL729)),2))),MIN(99,ROUND(100*EXP(AL729)/(1+EXP(AL729)),2))),IF(ISTEXT(R729),IF(LEFT(R729,1)="2",100,"N/A"),"N/A"))</f>
        <v>0</v>
      </c>
      <c r="AN729">
        <f>IF(ISNUMBER(AM729),IF(AM729&gt;=99,IF(OR(U729=10,U729=11),MatchLabel,SureThingLabel),IF(AM729&gt;=95,SecureLabel,IF(AM729&gt;=80,SafetyLabel,IF(AM729&gt;=50,MatchLabel,IF(AM729&gt;=20,ReachLabel,IF(AM729&gt;=10,LongshotLabel,HailMaryLabel)))))),"Other")</f>
        <v>0</v>
      </c>
      <c r="AO729">
        <f>IF(OR(I729="accepted",I729="cond. accept",I729="summer admit"),IF(J729="yes","CHOICE!","Accepted!"),IF(I729="guar. transfer","Guar. Xfer",IF(I729="denied","Denied",IF(K729=1,"Waitlist",IF(L729=1,"Deferred",IF(G729="pending","Pending",IF(OR(G729="initial materials submitted",G729="mid-year submitted",G729="final submitted"),"Submitted",IF(H729="interest","Interest","?"))))))))</f>
        <v>0</v>
      </c>
      <c r="AP729">
        <f>IF(OR(AN729=ReachLabel,AN729=LongshotLabel,AN729=HailMaryLabel),1,0)</f>
        <v>0</v>
      </c>
      <c r="AQ729">
        <f>IF(OR(AP729=1,AN729=MatchLabel),1,0)</f>
        <v>0</v>
      </c>
      <c r="AR729">
        <f>IF(OR(AN729=MatchLabel,AN729=SafetyLabel,AN729=SecureLabel,AN729=SureThingLabel),1,0)</f>
        <v>0</v>
      </c>
      <c r="AS729">
        <f>IF(OR(W729="H",W729="B",W729="I",W729="M"),IF(ISNUMBER(AB729),ROUND(AB729,2),0),IF(ISNUMBER(AA729),ROUND(AA729,2),0))</f>
        <v>0</v>
      </c>
      <c r="AT729">
        <f>IF(AS729&gt;=X729,1,0)</f>
        <v>0</v>
      </c>
      <c r="AU729">
        <f>IF(AS729&gt;=Y729,1,0)</f>
        <v>0</v>
      </c>
      <c r="AV729">
        <f>IF(AS729&lt;(X729-0.10),1,0)</f>
        <v>0</v>
      </c>
      <c r="AW729">
        <f>1-AM729/100</f>
        <v>0</v>
      </c>
      <c r="AX729">
        <f>IF(AQ729=1,AW729,1)</f>
        <v>0</v>
      </c>
      <c r="AY729">
        <f>IF(AP729=1,AW729,1)</f>
        <v>0</v>
      </c>
      <c r="AZ729">
        <f>IF(AND(AT729=1,ISNUMBER(AW729)),$AW729,1)</f>
        <v>0</v>
      </c>
      <c r="BA729">
        <f>IF(AND(AU729=1,ISNUMBER(AW729)),$AW729,1)</f>
        <v>0</v>
      </c>
      <c r="BB729">
        <f>IF(ISNUMBER(AB729),INDEX(AllCollegeMoney, MATCH(N729,AllCollegeNCES,0)),0)</f>
        <v>0</v>
      </c>
      <c r="BC729">
        <f>IF(AND(AT729=1,ISNUMBER(AW729),BB729=1),$AW729,1)</f>
        <v>0</v>
      </c>
      <c r="BD729">
        <f>IF(AND(AU729=1,ISNUMBER(AW729),BB729=1),$AW729,1)</f>
        <v>0</v>
      </c>
      <c r="BE729">
        <f>IF(ISNUMBER(AB729),INDEX(AllCollegeILPub, MATCH(N729,AllCollegeNCES,0)),0)</f>
        <v>0</v>
      </c>
      <c r="BF729">
        <f>IF(AN729=ReachLabel,AS729,0)</f>
        <v>0</v>
      </c>
      <c r="BG729">
        <f>IF(AN729=MatchLabel,AS729,0)</f>
        <v>0</v>
      </c>
      <c r="BH729">
        <f>IF(AN729=SafetyLabel,AS729,0)</f>
        <v>0</v>
      </c>
      <c r="BI729">
        <f>IF(AN729=SecureLabel,AS729,0)</f>
        <v>0</v>
      </c>
      <c r="BJ729">
        <f>IF(AN729=SureThingLabel,AS729,0)</f>
        <v>0</v>
      </c>
      <c r="BK729">
        <f>MAX(BF729:BJ729)</f>
        <v>0</v>
      </c>
      <c r="BL729">
        <f>MAX(BG729:BJ729)</f>
        <v>0</v>
      </c>
      <c r="BM729">
        <f>MAX(BH729:BJ729)</f>
        <v>0</v>
      </c>
      <c r="BN729">
        <f>IF(AND(AN729=ReachLabel,BB729=1),AS729,0)</f>
        <v>0</v>
      </c>
      <c r="BO729">
        <f>IF(AND(AN729=MatchLabel,BB729=1),AS729,0)</f>
        <v>0</v>
      </c>
      <c r="BP729">
        <f>IF(AND(AN729=SafetyLabel,BB729=1),AS729,0)</f>
        <v>0</v>
      </c>
      <c r="BQ729">
        <f>IF(AND(AN729=SecureLabel,BB729=1),AS729,0)</f>
        <v>0</v>
      </c>
      <c r="BR729">
        <f>IF(AND(AN729=SureThingLabel,BB729=1),AS729,0)</f>
        <v>0</v>
      </c>
      <c r="BS729">
        <f>MAX(BN729:BR729)</f>
        <v>0</v>
      </c>
      <c r="BT729">
        <f>MAX(BO729:BR729)</f>
        <v>0</v>
      </c>
      <c r="BU729">
        <f>MAX(BP729:BR729)</f>
        <v>0</v>
      </c>
      <c r="BV729">
        <f>IF(ISNUMBER(AB729),INDEX(AllCollegeChicago, MATCH(N729,AllCollegeNCES,0))*BB729,0)</f>
        <v>0</v>
      </c>
      <c r="BW729">
        <f>IF(ISNUMBER(AB729),INDEX(AllCollegeMoneyCode, MATCH(N729,AllCollegeNCES,0)),"?")</f>
        <v>0</v>
      </c>
      <c r="BX729">
        <f>IF(OR(BW729="---",BW729="--",BW729="+/--",BW729="+/---"),1,0)</f>
        <v>0</v>
      </c>
      <c r="BY729">
        <f>BB729*AR729*AT729</f>
        <v>0</v>
      </c>
    </row>
    <row r="730" spans="1:77">
      <c r="A730" t="s">
        <v>96</v>
      </c>
      <c r="B730">
        <v>30313392</v>
      </c>
      <c r="C730" t="s">
        <v>240</v>
      </c>
      <c r="D730" t="s">
        <v>241</v>
      </c>
      <c r="E730" t="s">
        <v>446</v>
      </c>
      <c r="F730" t="s">
        <v>456</v>
      </c>
      <c r="G730" t="s">
        <v>448</v>
      </c>
      <c r="H730" t="s">
        <v>449</v>
      </c>
      <c r="I730" t="s">
        <v>450</v>
      </c>
      <c r="J730" t="s">
        <v>450</v>
      </c>
      <c r="K730">
        <v>0</v>
      </c>
      <c r="L730" t="s">
        <v>446</v>
      </c>
      <c r="M730" t="s">
        <v>446</v>
      </c>
      <c r="N730">
        <v>149772</v>
      </c>
      <c r="O730">
        <f>INDEX(Counselor,MATCH(B730,KidIDs,0))</f>
        <v>0</v>
      </c>
      <c r="P730">
        <f>INDEX(Advisors,MATCH(B730,KidIDs,0))</f>
        <v>0</v>
      </c>
      <c r="Q730">
        <f>INDEX(Cohort,MATCH(B730,KidIDs,0))</f>
        <v>0</v>
      </c>
      <c r="R730">
        <f>INDEX(AllCollegeBarrons,MATCH(N730,AllCollegeNCES,0))</f>
        <v>0</v>
      </c>
      <c r="S730">
        <f>INDEX(KidGPAs,MATCH(B730,KidIDs,0))</f>
        <v>0</v>
      </c>
      <c r="T730">
        <f>INDEX(KidSATs,MATCH(B730,KidIDs,0))</f>
        <v>0</v>
      </c>
      <c r="U730">
        <f>INDEX(Strats,MATCH(B730,KidIDs,0))</f>
        <v>0</v>
      </c>
      <c r="V730">
        <f>INDEX(KidRace,MATCH(B730,KidIDs,0))</f>
        <v>0</v>
      </c>
      <c r="W730">
        <f>IF(OR(V730="M",V730="I"),"H",IF(V730="P","A",V730))</f>
        <v>0</v>
      </c>
      <c r="X730">
        <f>INDEX(StudentTargets,MATCH(B730,KidIDs,0))</f>
        <v>0</v>
      </c>
      <c r="Y730">
        <f>INDEX(ReachStudentTargets,MATCH(B730,KidIDs,0))</f>
        <v>0</v>
      </c>
      <c r="Z730">
        <f>IF(OR(M730="Posse"),1,0)</f>
        <v>0</v>
      </c>
      <c r="AA730">
        <f>IF(ISNUMBER(INDEX(AllCollegeGR, MATCH(N730,AllCollegeNCES,0))),ROUND(INDEX(AllCollegeGR, MATCH(N730,AllCollegeNCES,0))+Z730*IF(INDEX(AllCollegeGR, MATCH(N730,AllCollegeNCES,0))&gt;0.7,(1-INDEX(AllCollegeGR, MATCH(N730,AllCollegeNCES,0)))/2,0.15),2),INDEX(AllCollegeGR, MATCH(N730,AllCollegeNCES,0)))</f>
        <v>0</v>
      </c>
      <c r="AB730">
        <f>IF(ISNUMBER(INDEX(AllCollegeAAHGR, MATCH(N730,AllCollegeNCES,0))),ROUND(INDEX(AllCollegeAAHGR, MATCH(N730,AllCollegeNCES,0))+Z730*IF(INDEX(AllCollegeAAHGR, MATCH(N730,AllCollegeNCES,0))&gt;0.7,(1-INDEX(AllCollegeAAHGR, MATCH(N730,AllCollegeNCES,0)))/2,0.15),2),INDEX(AllCollegeAAHGR, MATCH(N730,AllCollegeNCES,0)))</f>
        <v>0</v>
      </c>
      <c r="AC730">
        <f>IF(OR(W730="H",W730="B"),INDEX(AllCollegeSAT25, MATCH(N730,AllCollegeNCES,0)),INDEX(AllCollegeSAT50, MATCH(N730,AllCollegeNCES,0)))</f>
        <v>0</v>
      </c>
      <c r="AD730">
        <f>INDEX(CustomWeightsGPA,MATCH(W730&amp;":"&amp;N730,CustomWeightsIndex,0))</f>
        <v>0</v>
      </c>
      <c r="AE730">
        <f>INDEX(CustomWeightsSAT,MATCH(W730&amp;":"&amp;N730,CustomWeightsIndex,0))</f>
        <v>0</v>
      </c>
      <c r="AF730">
        <f>INDEX(CustomWeightsIntercept,MATCH(W730&amp;":"&amp;N730,CustomWeightsIndex,0))</f>
        <v>0</v>
      </c>
      <c r="AG730">
        <f>AD730*S730+AE730*T730+AF730</f>
        <v>0</v>
      </c>
      <c r="AH730">
        <f>INDEX(CoefficientsGPA,MATCH(W730&amp;":"&amp;R730,CoefficientsIndex,0))</f>
        <v>0</v>
      </c>
      <c r="AI730">
        <f>INDEX(CoefficientsSAT,MATCH(W730&amp;":"&amp;R730,CoefficientsIndex,0))</f>
        <v>0</v>
      </c>
      <c r="AJ730">
        <f>INDEX(CoefficientsIntercept,MATCH(W730&amp;":"&amp;R730,CoefficientsIndex,0))</f>
        <v>0</v>
      </c>
      <c r="AK730">
        <f>AH730*S730+(T730-AC730)*AI730+AJ730</f>
        <v>0</v>
      </c>
      <c r="AL730">
        <f>IF(ISNUMBER(AG730),AG730,AK730)</f>
        <v>0</v>
      </c>
      <c r="AM730">
        <f>IF(ISNUMBER(AL730),IF(ISNUMBER(AH730),IF(AND(AH730=1,AI730=1,AJ730=1),100,MIN(99,ROUND(100*EXP(AL730)/(1+EXP(AL730)),2))),MIN(99,ROUND(100*EXP(AL730)/(1+EXP(AL730)),2))),IF(ISTEXT(R730),IF(LEFT(R730,1)="2",100,"N/A"),"N/A"))</f>
        <v>0</v>
      </c>
      <c r="AN730">
        <f>IF(ISNUMBER(AM730),IF(AM730&gt;=99,IF(OR(U730=10,U730=11),MatchLabel,SureThingLabel),IF(AM730&gt;=95,SecureLabel,IF(AM730&gt;=80,SafetyLabel,IF(AM730&gt;=50,MatchLabel,IF(AM730&gt;=20,ReachLabel,IF(AM730&gt;=10,LongshotLabel,HailMaryLabel)))))),"Other")</f>
        <v>0</v>
      </c>
      <c r="AO730">
        <f>IF(OR(I730="accepted",I730="cond. accept",I730="summer admit"),IF(J730="yes","CHOICE!","Accepted!"),IF(I730="guar. transfer","Guar. Xfer",IF(I730="denied","Denied",IF(K730=1,"Waitlist",IF(L730=1,"Deferred",IF(G730="pending","Pending",IF(OR(G730="initial materials submitted",G730="mid-year submitted",G730="final submitted"),"Submitted",IF(H730="interest","Interest","?"))))))))</f>
        <v>0</v>
      </c>
      <c r="AP730">
        <f>IF(OR(AN730=ReachLabel,AN730=LongshotLabel,AN730=HailMaryLabel),1,0)</f>
        <v>0</v>
      </c>
      <c r="AQ730">
        <f>IF(OR(AP730=1,AN730=MatchLabel),1,0)</f>
        <v>0</v>
      </c>
      <c r="AR730">
        <f>IF(OR(AN730=MatchLabel,AN730=SafetyLabel,AN730=SecureLabel,AN730=SureThingLabel),1,0)</f>
        <v>0</v>
      </c>
      <c r="AS730">
        <f>IF(OR(W730="H",W730="B",W730="I",W730="M"),IF(ISNUMBER(AB730),ROUND(AB730,2),0),IF(ISNUMBER(AA730),ROUND(AA730,2),0))</f>
        <v>0</v>
      </c>
      <c r="AT730">
        <f>IF(AS730&gt;=X730,1,0)</f>
        <v>0</v>
      </c>
      <c r="AU730">
        <f>IF(AS730&gt;=Y730,1,0)</f>
        <v>0</v>
      </c>
      <c r="AV730">
        <f>IF(AS730&lt;(X730-0.10),1,0)</f>
        <v>0</v>
      </c>
      <c r="AW730">
        <f>1-AM730/100</f>
        <v>0</v>
      </c>
      <c r="AX730">
        <f>IF(AQ730=1,AW730,1)</f>
        <v>0</v>
      </c>
      <c r="AY730">
        <f>IF(AP730=1,AW730,1)</f>
        <v>0</v>
      </c>
      <c r="AZ730">
        <f>IF(AND(AT730=1,ISNUMBER(AW730)),$AW730,1)</f>
        <v>0</v>
      </c>
      <c r="BA730">
        <f>IF(AND(AU730=1,ISNUMBER(AW730)),$AW730,1)</f>
        <v>0</v>
      </c>
      <c r="BB730">
        <f>IF(ISNUMBER(AB730),INDEX(AllCollegeMoney, MATCH(N730,AllCollegeNCES,0)),0)</f>
        <v>0</v>
      </c>
      <c r="BC730">
        <f>IF(AND(AT730=1,ISNUMBER(AW730),BB730=1),$AW730,1)</f>
        <v>0</v>
      </c>
      <c r="BD730">
        <f>IF(AND(AU730=1,ISNUMBER(AW730),BB730=1),$AW730,1)</f>
        <v>0</v>
      </c>
      <c r="BE730">
        <f>IF(ISNUMBER(AB730),INDEX(AllCollegeILPub, MATCH(N730,AllCollegeNCES,0)),0)</f>
        <v>0</v>
      </c>
      <c r="BF730">
        <f>IF(AN730=ReachLabel,AS730,0)</f>
        <v>0</v>
      </c>
      <c r="BG730">
        <f>IF(AN730=MatchLabel,AS730,0)</f>
        <v>0</v>
      </c>
      <c r="BH730">
        <f>IF(AN730=SafetyLabel,AS730,0)</f>
        <v>0</v>
      </c>
      <c r="BI730">
        <f>IF(AN730=SecureLabel,AS730,0)</f>
        <v>0</v>
      </c>
      <c r="BJ730">
        <f>IF(AN730=SureThingLabel,AS730,0)</f>
        <v>0</v>
      </c>
      <c r="BK730">
        <f>MAX(BF730:BJ730)</f>
        <v>0</v>
      </c>
      <c r="BL730">
        <f>MAX(BG730:BJ730)</f>
        <v>0</v>
      </c>
      <c r="BM730">
        <f>MAX(BH730:BJ730)</f>
        <v>0</v>
      </c>
      <c r="BN730">
        <f>IF(AND(AN730=ReachLabel,BB730=1),AS730,0)</f>
        <v>0</v>
      </c>
      <c r="BO730">
        <f>IF(AND(AN730=MatchLabel,BB730=1),AS730,0)</f>
        <v>0</v>
      </c>
      <c r="BP730">
        <f>IF(AND(AN730=SafetyLabel,BB730=1),AS730,0)</f>
        <v>0</v>
      </c>
      <c r="BQ730">
        <f>IF(AND(AN730=SecureLabel,BB730=1),AS730,0)</f>
        <v>0</v>
      </c>
      <c r="BR730">
        <f>IF(AND(AN730=SureThingLabel,BB730=1),AS730,0)</f>
        <v>0</v>
      </c>
      <c r="BS730">
        <f>MAX(BN730:BR730)</f>
        <v>0</v>
      </c>
      <c r="BT730">
        <f>MAX(BO730:BR730)</f>
        <v>0</v>
      </c>
      <c r="BU730">
        <f>MAX(BP730:BR730)</f>
        <v>0</v>
      </c>
      <c r="BV730">
        <f>IF(ISNUMBER(AB730),INDEX(AllCollegeChicago, MATCH(N730,AllCollegeNCES,0))*BB730,0)</f>
        <v>0</v>
      </c>
      <c r="BW730">
        <f>IF(ISNUMBER(AB730),INDEX(AllCollegeMoneyCode, MATCH(N730,AllCollegeNCES,0)),"?")</f>
        <v>0</v>
      </c>
      <c r="BX730">
        <f>IF(OR(BW730="---",BW730="--",BW730="+/--",BW730="+/---"),1,0)</f>
        <v>0</v>
      </c>
      <c r="BY730">
        <f>BB730*AR730*AT730</f>
        <v>0</v>
      </c>
    </row>
    <row r="731" spans="1:77">
      <c r="A731" t="s">
        <v>96</v>
      </c>
      <c r="B731">
        <v>30313392</v>
      </c>
      <c r="C731" t="s">
        <v>240</v>
      </c>
      <c r="D731" t="s">
        <v>241</v>
      </c>
      <c r="E731" t="s">
        <v>446</v>
      </c>
      <c r="F731" t="s">
        <v>458</v>
      </c>
      <c r="G731" t="s">
        <v>448</v>
      </c>
      <c r="H731" t="s">
        <v>449</v>
      </c>
      <c r="I731" t="s">
        <v>450</v>
      </c>
      <c r="J731" t="s">
        <v>450</v>
      </c>
      <c r="K731">
        <v>0</v>
      </c>
      <c r="L731" t="s">
        <v>446</v>
      </c>
      <c r="M731" t="s">
        <v>446</v>
      </c>
      <c r="N731">
        <v>144892</v>
      </c>
      <c r="O731">
        <f>INDEX(Counselor,MATCH(B731,KidIDs,0))</f>
        <v>0</v>
      </c>
      <c r="P731">
        <f>INDEX(Advisors,MATCH(B731,KidIDs,0))</f>
        <v>0</v>
      </c>
      <c r="Q731">
        <f>INDEX(Cohort,MATCH(B731,KidIDs,0))</f>
        <v>0</v>
      </c>
      <c r="R731">
        <f>INDEX(AllCollegeBarrons,MATCH(N731,AllCollegeNCES,0))</f>
        <v>0</v>
      </c>
      <c r="S731">
        <f>INDEX(KidGPAs,MATCH(B731,KidIDs,0))</f>
        <v>0</v>
      </c>
      <c r="T731">
        <f>INDEX(KidSATs,MATCH(B731,KidIDs,0))</f>
        <v>0</v>
      </c>
      <c r="U731">
        <f>INDEX(Strats,MATCH(B731,KidIDs,0))</f>
        <v>0</v>
      </c>
      <c r="V731">
        <f>INDEX(KidRace,MATCH(B731,KidIDs,0))</f>
        <v>0</v>
      </c>
      <c r="W731">
        <f>IF(OR(V731="M",V731="I"),"H",IF(V731="P","A",V731))</f>
        <v>0</v>
      </c>
      <c r="X731">
        <f>INDEX(StudentTargets,MATCH(B731,KidIDs,0))</f>
        <v>0</v>
      </c>
      <c r="Y731">
        <f>INDEX(ReachStudentTargets,MATCH(B731,KidIDs,0))</f>
        <v>0</v>
      </c>
      <c r="Z731">
        <f>IF(OR(M731="Posse"),1,0)</f>
        <v>0</v>
      </c>
      <c r="AA731">
        <f>IF(ISNUMBER(INDEX(AllCollegeGR, MATCH(N731,AllCollegeNCES,0))),ROUND(INDEX(AllCollegeGR, MATCH(N731,AllCollegeNCES,0))+Z731*IF(INDEX(AllCollegeGR, MATCH(N731,AllCollegeNCES,0))&gt;0.7,(1-INDEX(AllCollegeGR, MATCH(N731,AllCollegeNCES,0)))/2,0.15),2),INDEX(AllCollegeGR, MATCH(N731,AllCollegeNCES,0)))</f>
        <v>0</v>
      </c>
      <c r="AB731">
        <f>IF(ISNUMBER(INDEX(AllCollegeAAHGR, MATCH(N731,AllCollegeNCES,0))),ROUND(INDEX(AllCollegeAAHGR, MATCH(N731,AllCollegeNCES,0))+Z731*IF(INDEX(AllCollegeAAHGR, MATCH(N731,AllCollegeNCES,0))&gt;0.7,(1-INDEX(AllCollegeAAHGR, MATCH(N731,AllCollegeNCES,0)))/2,0.15),2),INDEX(AllCollegeAAHGR, MATCH(N731,AllCollegeNCES,0)))</f>
        <v>0</v>
      </c>
      <c r="AC731">
        <f>IF(OR(W731="H",W731="B"),INDEX(AllCollegeSAT25, MATCH(N731,AllCollegeNCES,0)),INDEX(AllCollegeSAT50, MATCH(N731,AllCollegeNCES,0)))</f>
        <v>0</v>
      </c>
      <c r="AD731">
        <f>INDEX(CustomWeightsGPA,MATCH(W731&amp;":"&amp;N731,CustomWeightsIndex,0))</f>
        <v>0</v>
      </c>
      <c r="AE731">
        <f>INDEX(CustomWeightsSAT,MATCH(W731&amp;":"&amp;N731,CustomWeightsIndex,0))</f>
        <v>0</v>
      </c>
      <c r="AF731">
        <f>INDEX(CustomWeightsIntercept,MATCH(W731&amp;":"&amp;N731,CustomWeightsIndex,0))</f>
        <v>0</v>
      </c>
      <c r="AG731">
        <f>AD731*S731+AE731*T731+AF731</f>
        <v>0</v>
      </c>
      <c r="AH731">
        <f>INDEX(CoefficientsGPA,MATCH(W731&amp;":"&amp;R731,CoefficientsIndex,0))</f>
        <v>0</v>
      </c>
      <c r="AI731">
        <f>INDEX(CoefficientsSAT,MATCH(W731&amp;":"&amp;R731,CoefficientsIndex,0))</f>
        <v>0</v>
      </c>
      <c r="AJ731">
        <f>INDEX(CoefficientsIntercept,MATCH(W731&amp;":"&amp;R731,CoefficientsIndex,0))</f>
        <v>0</v>
      </c>
      <c r="AK731">
        <f>AH731*S731+(T731-AC731)*AI731+AJ731</f>
        <v>0</v>
      </c>
      <c r="AL731">
        <f>IF(ISNUMBER(AG731),AG731,AK731)</f>
        <v>0</v>
      </c>
      <c r="AM731">
        <f>IF(ISNUMBER(AL731),IF(ISNUMBER(AH731),IF(AND(AH731=1,AI731=1,AJ731=1),100,MIN(99,ROUND(100*EXP(AL731)/(1+EXP(AL731)),2))),MIN(99,ROUND(100*EXP(AL731)/(1+EXP(AL731)),2))),IF(ISTEXT(R731),IF(LEFT(R731,1)="2",100,"N/A"),"N/A"))</f>
        <v>0</v>
      </c>
      <c r="AN731">
        <f>IF(ISNUMBER(AM731),IF(AM731&gt;=99,IF(OR(U731=10,U731=11),MatchLabel,SureThingLabel),IF(AM731&gt;=95,SecureLabel,IF(AM731&gt;=80,SafetyLabel,IF(AM731&gt;=50,MatchLabel,IF(AM731&gt;=20,ReachLabel,IF(AM731&gt;=10,LongshotLabel,HailMaryLabel)))))),"Other")</f>
        <v>0</v>
      </c>
      <c r="AO731">
        <f>IF(OR(I731="accepted",I731="cond. accept",I731="summer admit"),IF(J731="yes","CHOICE!","Accepted!"),IF(I731="guar. transfer","Guar. Xfer",IF(I731="denied","Denied",IF(K731=1,"Waitlist",IF(L731=1,"Deferred",IF(G731="pending","Pending",IF(OR(G731="initial materials submitted",G731="mid-year submitted",G731="final submitted"),"Submitted",IF(H731="interest","Interest","?"))))))))</f>
        <v>0</v>
      </c>
      <c r="AP731">
        <f>IF(OR(AN731=ReachLabel,AN731=LongshotLabel,AN731=HailMaryLabel),1,0)</f>
        <v>0</v>
      </c>
      <c r="AQ731">
        <f>IF(OR(AP731=1,AN731=MatchLabel),1,0)</f>
        <v>0</v>
      </c>
      <c r="AR731">
        <f>IF(OR(AN731=MatchLabel,AN731=SafetyLabel,AN731=SecureLabel,AN731=SureThingLabel),1,0)</f>
        <v>0</v>
      </c>
      <c r="AS731">
        <f>IF(OR(W731="H",W731="B",W731="I",W731="M"),IF(ISNUMBER(AB731),ROUND(AB731,2),0),IF(ISNUMBER(AA731),ROUND(AA731,2),0))</f>
        <v>0</v>
      </c>
      <c r="AT731">
        <f>IF(AS731&gt;=X731,1,0)</f>
        <v>0</v>
      </c>
      <c r="AU731">
        <f>IF(AS731&gt;=Y731,1,0)</f>
        <v>0</v>
      </c>
      <c r="AV731">
        <f>IF(AS731&lt;(X731-0.10),1,0)</f>
        <v>0</v>
      </c>
      <c r="AW731">
        <f>1-AM731/100</f>
        <v>0</v>
      </c>
      <c r="AX731">
        <f>IF(AQ731=1,AW731,1)</f>
        <v>0</v>
      </c>
      <c r="AY731">
        <f>IF(AP731=1,AW731,1)</f>
        <v>0</v>
      </c>
      <c r="AZ731">
        <f>IF(AND(AT731=1,ISNUMBER(AW731)),$AW731,1)</f>
        <v>0</v>
      </c>
      <c r="BA731">
        <f>IF(AND(AU731=1,ISNUMBER(AW731)),$AW731,1)</f>
        <v>0</v>
      </c>
      <c r="BB731">
        <f>IF(ISNUMBER(AB731),INDEX(AllCollegeMoney, MATCH(N731,AllCollegeNCES,0)),0)</f>
        <v>0</v>
      </c>
      <c r="BC731">
        <f>IF(AND(AT731=1,ISNUMBER(AW731),BB731=1),$AW731,1)</f>
        <v>0</v>
      </c>
      <c r="BD731">
        <f>IF(AND(AU731=1,ISNUMBER(AW731),BB731=1),$AW731,1)</f>
        <v>0</v>
      </c>
      <c r="BE731">
        <f>IF(ISNUMBER(AB731),INDEX(AllCollegeILPub, MATCH(N731,AllCollegeNCES,0)),0)</f>
        <v>0</v>
      </c>
      <c r="BF731">
        <f>IF(AN731=ReachLabel,AS731,0)</f>
        <v>0</v>
      </c>
      <c r="BG731">
        <f>IF(AN731=MatchLabel,AS731,0)</f>
        <v>0</v>
      </c>
      <c r="BH731">
        <f>IF(AN731=SafetyLabel,AS731,0)</f>
        <v>0</v>
      </c>
      <c r="BI731">
        <f>IF(AN731=SecureLabel,AS731,0)</f>
        <v>0</v>
      </c>
      <c r="BJ731">
        <f>IF(AN731=SureThingLabel,AS731,0)</f>
        <v>0</v>
      </c>
      <c r="BK731">
        <f>MAX(BF731:BJ731)</f>
        <v>0</v>
      </c>
      <c r="BL731">
        <f>MAX(BG731:BJ731)</f>
        <v>0</v>
      </c>
      <c r="BM731">
        <f>MAX(BH731:BJ731)</f>
        <v>0</v>
      </c>
      <c r="BN731">
        <f>IF(AND(AN731=ReachLabel,BB731=1),AS731,0)</f>
        <v>0</v>
      </c>
      <c r="BO731">
        <f>IF(AND(AN731=MatchLabel,BB731=1),AS731,0)</f>
        <v>0</v>
      </c>
      <c r="BP731">
        <f>IF(AND(AN731=SafetyLabel,BB731=1),AS731,0)</f>
        <v>0</v>
      </c>
      <c r="BQ731">
        <f>IF(AND(AN731=SecureLabel,BB731=1),AS731,0)</f>
        <v>0</v>
      </c>
      <c r="BR731">
        <f>IF(AND(AN731=SureThingLabel,BB731=1),AS731,0)</f>
        <v>0</v>
      </c>
      <c r="BS731">
        <f>MAX(BN731:BR731)</f>
        <v>0</v>
      </c>
      <c r="BT731">
        <f>MAX(BO731:BR731)</f>
        <v>0</v>
      </c>
      <c r="BU731">
        <f>MAX(BP731:BR731)</f>
        <v>0</v>
      </c>
      <c r="BV731">
        <f>IF(ISNUMBER(AB731),INDEX(AllCollegeChicago, MATCH(N731,AllCollegeNCES,0))*BB731,0)</f>
        <v>0</v>
      </c>
      <c r="BW731">
        <f>IF(ISNUMBER(AB731),INDEX(AllCollegeMoneyCode, MATCH(N731,AllCollegeNCES,0)),"?")</f>
        <v>0</v>
      </c>
      <c r="BX731">
        <f>IF(OR(BW731="---",BW731="--",BW731="+/--",BW731="+/---"),1,0)</f>
        <v>0</v>
      </c>
      <c r="BY731">
        <f>BB731*AR731*AT731</f>
        <v>0</v>
      </c>
    </row>
    <row r="732" spans="1:77">
      <c r="A732" t="s">
        <v>96</v>
      </c>
      <c r="B732">
        <v>30313392</v>
      </c>
      <c r="C732" t="s">
        <v>240</v>
      </c>
      <c r="D732" t="s">
        <v>241</v>
      </c>
      <c r="E732" t="s">
        <v>446</v>
      </c>
      <c r="F732" t="s">
        <v>504</v>
      </c>
      <c r="G732" t="s">
        <v>448</v>
      </c>
      <c r="H732" t="s">
        <v>449</v>
      </c>
      <c r="I732" t="s">
        <v>450</v>
      </c>
      <c r="J732" t="s">
        <v>450</v>
      </c>
      <c r="K732">
        <v>0</v>
      </c>
      <c r="L732" t="s">
        <v>446</v>
      </c>
      <c r="M732" t="s">
        <v>446</v>
      </c>
      <c r="N732">
        <v>144351</v>
      </c>
      <c r="O732">
        <f>INDEX(Counselor,MATCH(B732,KidIDs,0))</f>
        <v>0</v>
      </c>
      <c r="P732">
        <f>INDEX(Advisors,MATCH(B732,KidIDs,0))</f>
        <v>0</v>
      </c>
      <c r="Q732">
        <f>INDEX(Cohort,MATCH(B732,KidIDs,0))</f>
        <v>0</v>
      </c>
      <c r="R732">
        <f>INDEX(AllCollegeBarrons,MATCH(N732,AllCollegeNCES,0))</f>
        <v>0</v>
      </c>
      <c r="S732">
        <f>INDEX(KidGPAs,MATCH(B732,KidIDs,0))</f>
        <v>0</v>
      </c>
      <c r="T732">
        <f>INDEX(KidSATs,MATCH(B732,KidIDs,0))</f>
        <v>0</v>
      </c>
      <c r="U732">
        <f>INDEX(Strats,MATCH(B732,KidIDs,0))</f>
        <v>0</v>
      </c>
      <c r="V732">
        <f>INDEX(KidRace,MATCH(B732,KidIDs,0))</f>
        <v>0</v>
      </c>
      <c r="W732">
        <f>IF(OR(V732="M",V732="I"),"H",IF(V732="P","A",V732))</f>
        <v>0</v>
      </c>
      <c r="X732">
        <f>INDEX(StudentTargets,MATCH(B732,KidIDs,0))</f>
        <v>0</v>
      </c>
      <c r="Y732">
        <f>INDEX(ReachStudentTargets,MATCH(B732,KidIDs,0))</f>
        <v>0</v>
      </c>
      <c r="Z732">
        <f>IF(OR(M732="Posse"),1,0)</f>
        <v>0</v>
      </c>
      <c r="AA732">
        <f>IF(ISNUMBER(INDEX(AllCollegeGR, MATCH(N732,AllCollegeNCES,0))),ROUND(INDEX(AllCollegeGR, MATCH(N732,AllCollegeNCES,0))+Z732*IF(INDEX(AllCollegeGR, MATCH(N732,AllCollegeNCES,0))&gt;0.7,(1-INDEX(AllCollegeGR, MATCH(N732,AllCollegeNCES,0)))/2,0.15),2),INDEX(AllCollegeGR, MATCH(N732,AllCollegeNCES,0)))</f>
        <v>0</v>
      </c>
      <c r="AB732">
        <f>IF(ISNUMBER(INDEX(AllCollegeAAHGR, MATCH(N732,AllCollegeNCES,0))),ROUND(INDEX(AllCollegeAAHGR, MATCH(N732,AllCollegeNCES,0))+Z732*IF(INDEX(AllCollegeAAHGR, MATCH(N732,AllCollegeNCES,0))&gt;0.7,(1-INDEX(AllCollegeAAHGR, MATCH(N732,AllCollegeNCES,0)))/2,0.15),2),INDEX(AllCollegeAAHGR, MATCH(N732,AllCollegeNCES,0)))</f>
        <v>0</v>
      </c>
      <c r="AC732">
        <f>IF(OR(W732="H",W732="B"),INDEX(AllCollegeSAT25, MATCH(N732,AllCollegeNCES,0)),INDEX(AllCollegeSAT50, MATCH(N732,AllCollegeNCES,0)))</f>
        <v>0</v>
      </c>
      <c r="AD732">
        <f>INDEX(CustomWeightsGPA,MATCH(W732&amp;":"&amp;N732,CustomWeightsIndex,0))</f>
        <v>0</v>
      </c>
      <c r="AE732">
        <f>INDEX(CustomWeightsSAT,MATCH(W732&amp;":"&amp;N732,CustomWeightsIndex,0))</f>
        <v>0</v>
      </c>
      <c r="AF732">
        <f>INDEX(CustomWeightsIntercept,MATCH(W732&amp;":"&amp;N732,CustomWeightsIndex,0))</f>
        <v>0</v>
      </c>
      <c r="AG732">
        <f>AD732*S732+AE732*T732+AF732</f>
        <v>0</v>
      </c>
      <c r="AH732">
        <f>INDEX(CoefficientsGPA,MATCH(W732&amp;":"&amp;R732,CoefficientsIndex,0))</f>
        <v>0</v>
      </c>
      <c r="AI732">
        <f>INDEX(CoefficientsSAT,MATCH(W732&amp;":"&amp;R732,CoefficientsIndex,0))</f>
        <v>0</v>
      </c>
      <c r="AJ732">
        <f>INDEX(CoefficientsIntercept,MATCH(W732&amp;":"&amp;R732,CoefficientsIndex,0))</f>
        <v>0</v>
      </c>
      <c r="AK732">
        <f>AH732*S732+(T732-AC732)*AI732+AJ732</f>
        <v>0</v>
      </c>
      <c r="AL732">
        <f>IF(ISNUMBER(AG732),AG732,AK732)</f>
        <v>0</v>
      </c>
      <c r="AM732">
        <f>IF(ISNUMBER(AL732),IF(ISNUMBER(AH732),IF(AND(AH732=1,AI732=1,AJ732=1),100,MIN(99,ROUND(100*EXP(AL732)/(1+EXP(AL732)),2))),MIN(99,ROUND(100*EXP(AL732)/(1+EXP(AL732)),2))),IF(ISTEXT(R732),IF(LEFT(R732,1)="2",100,"N/A"),"N/A"))</f>
        <v>0</v>
      </c>
      <c r="AN732">
        <f>IF(ISNUMBER(AM732),IF(AM732&gt;=99,IF(OR(U732=10,U732=11),MatchLabel,SureThingLabel),IF(AM732&gt;=95,SecureLabel,IF(AM732&gt;=80,SafetyLabel,IF(AM732&gt;=50,MatchLabel,IF(AM732&gt;=20,ReachLabel,IF(AM732&gt;=10,LongshotLabel,HailMaryLabel)))))),"Other")</f>
        <v>0</v>
      </c>
      <c r="AO732">
        <f>IF(OR(I732="accepted",I732="cond. accept",I732="summer admit"),IF(J732="yes","CHOICE!","Accepted!"),IF(I732="guar. transfer","Guar. Xfer",IF(I732="denied","Denied",IF(K732=1,"Waitlist",IF(L732=1,"Deferred",IF(G732="pending","Pending",IF(OR(G732="initial materials submitted",G732="mid-year submitted",G732="final submitted"),"Submitted",IF(H732="interest","Interest","?"))))))))</f>
        <v>0</v>
      </c>
      <c r="AP732">
        <f>IF(OR(AN732=ReachLabel,AN732=LongshotLabel,AN732=HailMaryLabel),1,0)</f>
        <v>0</v>
      </c>
      <c r="AQ732">
        <f>IF(OR(AP732=1,AN732=MatchLabel),1,0)</f>
        <v>0</v>
      </c>
      <c r="AR732">
        <f>IF(OR(AN732=MatchLabel,AN732=SafetyLabel,AN732=SecureLabel,AN732=SureThingLabel),1,0)</f>
        <v>0</v>
      </c>
      <c r="AS732">
        <f>IF(OR(W732="H",W732="B",W732="I",W732="M"),IF(ISNUMBER(AB732),ROUND(AB732,2),0),IF(ISNUMBER(AA732),ROUND(AA732,2),0))</f>
        <v>0</v>
      </c>
      <c r="AT732">
        <f>IF(AS732&gt;=X732,1,0)</f>
        <v>0</v>
      </c>
      <c r="AU732">
        <f>IF(AS732&gt;=Y732,1,0)</f>
        <v>0</v>
      </c>
      <c r="AV732">
        <f>IF(AS732&lt;(X732-0.10),1,0)</f>
        <v>0</v>
      </c>
      <c r="AW732">
        <f>1-AM732/100</f>
        <v>0</v>
      </c>
      <c r="AX732">
        <f>IF(AQ732=1,AW732,1)</f>
        <v>0</v>
      </c>
      <c r="AY732">
        <f>IF(AP732=1,AW732,1)</f>
        <v>0</v>
      </c>
      <c r="AZ732">
        <f>IF(AND(AT732=1,ISNUMBER(AW732)),$AW732,1)</f>
        <v>0</v>
      </c>
      <c r="BA732">
        <f>IF(AND(AU732=1,ISNUMBER(AW732)),$AW732,1)</f>
        <v>0</v>
      </c>
      <c r="BB732">
        <f>IF(ISNUMBER(AB732),INDEX(AllCollegeMoney, MATCH(N732,AllCollegeNCES,0)),0)</f>
        <v>0</v>
      </c>
      <c r="BC732">
        <f>IF(AND(AT732=1,ISNUMBER(AW732),BB732=1),$AW732,1)</f>
        <v>0</v>
      </c>
      <c r="BD732">
        <f>IF(AND(AU732=1,ISNUMBER(AW732),BB732=1),$AW732,1)</f>
        <v>0</v>
      </c>
      <c r="BE732">
        <f>IF(ISNUMBER(AB732),INDEX(AllCollegeILPub, MATCH(N732,AllCollegeNCES,0)),0)</f>
        <v>0</v>
      </c>
      <c r="BF732">
        <f>IF(AN732=ReachLabel,AS732,0)</f>
        <v>0</v>
      </c>
      <c r="BG732">
        <f>IF(AN732=MatchLabel,AS732,0)</f>
        <v>0</v>
      </c>
      <c r="BH732">
        <f>IF(AN732=SafetyLabel,AS732,0)</f>
        <v>0</v>
      </c>
      <c r="BI732">
        <f>IF(AN732=SecureLabel,AS732,0)</f>
        <v>0</v>
      </c>
      <c r="BJ732">
        <f>IF(AN732=SureThingLabel,AS732,0)</f>
        <v>0</v>
      </c>
      <c r="BK732">
        <f>MAX(BF732:BJ732)</f>
        <v>0</v>
      </c>
      <c r="BL732">
        <f>MAX(BG732:BJ732)</f>
        <v>0</v>
      </c>
      <c r="BM732">
        <f>MAX(BH732:BJ732)</f>
        <v>0</v>
      </c>
      <c r="BN732">
        <f>IF(AND(AN732=ReachLabel,BB732=1),AS732,0)</f>
        <v>0</v>
      </c>
      <c r="BO732">
        <f>IF(AND(AN732=MatchLabel,BB732=1),AS732,0)</f>
        <v>0</v>
      </c>
      <c r="BP732">
        <f>IF(AND(AN732=SafetyLabel,BB732=1),AS732,0)</f>
        <v>0</v>
      </c>
      <c r="BQ732">
        <f>IF(AND(AN732=SecureLabel,BB732=1),AS732,0)</f>
        <v>0</v>
      </c>
      <c r="BR732">
        <f>IF(AND(AN732=SureThingLabel,BB732=1),AS732,0)</f>
        <v>0</v>
      </c>
      <c r="BS732">
        <f>MAX(BN732:BR732)</f>
        <v>0</v>
      </c>
      <c r="BT732">
        <f>MAX(BO732:BR732)</f>
        <v>0</v>
      </c>
      <c r="BU732">
        <f>MAX(BP732:BR732)</f>
        <v>0</v>
      </c>
      <c r="BV732">
        <f>IF(ISNUMBER(AB732),INDEX(AllCollegeChicago, MATCH(N732,AllCollegeNCES,0))*BB732,0)</f>
        <v>0</v>
      </c>
      <c r="BW732">
        <f>IF(ISNUMBER(AB732),INDEX(AllCollegeMoneyCode, MATCH(N732,AllCollegeNCES,0)),"?")</f>
        <v>0</v>
      </c>
      <c r="BX732">
        <f>IF(OR(BW732="---",BW732="--",BW732="+/--",BW732="+/---"),1,0)</f>
        <v>0</v>
      </c>
      <c r="BY732">
        <f>BB732*AR732*AT732</f>
        <v>0</v>
      </c>
    </row>
    <row r="733" spans="1:77">
      <c r="A733" t="s">
        <v>96</v>
      </c>
      <c r="B733">
        <v>30313392</v>
      </c>
      <c r="C733" t="s">
        <v>240</v>
      </c>
      <c r="D733" t="s">
        <v>241</v>
      </c>
      <c r="E733" t="s">
        <v>446</v>
      </c>
      <c r="F733" t="s">
        <v>461</v>
      </c>
      <c r="G733" t="s">
        <v>448</v>
      </c>
      <c r="H733" t="s">
        <v>449</v>
      </c>
      <c r="I733" t="s">
        <v>450</v>
      </c>
      <c r="J733" t="s">
        <v>450</v>
      </c>
      <c r="K733">
        <v>0</v>
      </c>
      <c r="L733" t="s">
        <v>446</v>
      </c>
      <c r="M733" t="s">
        <v>446</v>
      </c>
      <c r="N733">
        <v>147536</v>
      </c>
      <c r="O733">
        <f>INDEX(Counselor,MATCH(B733,KidIDs,0))</f>
        <v>0</v>
      </c>
      <c r="P733">
        <f>INDEX(Advisors,MATCH(B733,KidIDs,0))</f>
        <v>0</v>
      </c>
      <c r="Q733">
        <f>INDEX(Cohort,MATCH(B733,KidIDs,0))</f>
        <v>0</v>
      </c>
      <c r="R733">
        <f>INDEX(AllCollegeBarrons,MATCH(N733,AllCollegeNCES,0))</f>
        <v>0</v>
      </c>
      <c r="S733">
        <f>INDEX(KidGPAs,MATCH(B733,KidIDs,0))</f>
        <v>0</v>
      </c>
      <c r="T733">
        <f>INDEX(KidSATs,MATCH(B733,KidIDs,0))</f>
        <v>0</v>
      </c>
      <c r="U733">
        <f>INDEX(Strats,MATCH(B733,KidIDs,0))</f>
        <v>0</v>
      </c>
      <c r="V733">
        <f>INDEX(KidRace,MATCH(B733,KidIDs,0))</f>
        <v>0</v>
      </c>
      <c r="W733">
        <f>IF(OR(V733="M",V733="I"),"H",IF(V733="P","A",V733))</f>
        <v>0</v>
      </c>
      <c r="X733">
        <f>INDEX(StudentTargets,MATCH(B733,KidIDs,0))</f>
        <v>0</v>
      </c>
      <c r="Y733">
        <f>INDEX(ReachStudentTargets,MATCH(B733,KidIDs,0))</f>
        <v>0</v>
      </c>
      <c r="Z733">
        <f>IF(OR(M733="Posse"),1,0)</f>
        <v>0</v>
      </c>
      <c r="AA733">
        <f>IF(ISNUMBER(INDEX(AllCollegeGR, MATCH(N733,AllCollegeNCES,0))),ROUND(INDEX(AllCollegeGR, MATCH(N733,AllCollegeNCES,0))+Z733*IF(INDEX(AllCollegeGR, MATCH(N733,AllCollegeNCES,0))&gt;0.7,(1-INDEX(AllCollegeGR, MATCH(N733,AllCollegeNCES,0)))/2,0.15),2),INDEX(AllCollegeGR, MATCH(N733,AllCollegeNCES,0)))</f>
        <v>0</v>
      </c>
      <c r="AB733">
        <f>IF(ISNUMBER(INDEX(AllCollegeAAHGR, MATCH(N733,AllCollegeNCES,0))),ROUND(INDEX(AllCollegeAAHGR, MATCH(N733,AllCollegeNCES,0))+Z733*IF(INDEX(AllCollegeAAHGR, MATCH(N733,AllCollegeNCES,0))&gt;0.7,(1-INDEX(AllCollegeAAHGR, MATCH(N733,AllCollegeNCES,0)))/2,0.15),2),INDEX(AllCollegeAAHGR, MATCH(N733,AllCollegeNCES,0)))</f>
        <v>0</v>
      </c>
      <c r="AC733">
        <f>IF(OR(W733="H",W733="B"),INDEX(AllCollegeSAT25, MATCH(N733,AllCollegeNCES,0)),INDEX(AllCollegeSAT50, MATCH(N733,AllCollegeNCES,0)))</f>
        <v>0</v>
      </c>
      <c r="AD733">
        <f>INDEX(CustomWeightsGPA,MATCH(W733&amp;":"&amp;N733,CustomWeightsIndex,0))</f>
        <v>0</v>
      </c>
      <c r="AE733">
        <f>INDEX(CustomWeightsSAT,MATCH(W733&amp;":"&amp;N733,CustomWeightsIndex,0))</f>
        <v>0</v>
      </c>
      <c r="AF733">
        <f>INDEX(CustomWeightsIntercept,MATCH(W733&amp;":"&amp;N733,CustomWeightsIndex,0))</f>
        <v>0</v>
      </c>
      <c r="AG733">
        <f>AD733*S733+AE733*T733+AF733</f>
        <v>0</v>
      </c>
      <c r="AH733">
        <f>INDEX(CoefficientsGPA,MATCH(W733&amp;":"&amp;R733,CoefficientsIndex,0))</f>
        <v>0</v>
      </c>
      <c r="AI733">
        <f>INDEX(CoefficientsSAT,MATCH(W733&amp;":"&amp;R733,CoefficientsIndex,0))</f>
        <v>0</v>
      </c>
      <c r="AJ733">
        <f>INDEX(CoefficientsIntercept,MATCH(W733&amp;":"&amp;R733,CoefficientsIndex,0))</f>
        <v>0</v>
      </c>
      <c r="AK733">
        <f>AH733*S733+(T733-AC733)*AI733+AJ733</f>
        <v>0</v>
      </c>
      <c r="AL733">
        <f>IF(ISNUMBER(AG733),AG733,AK733)</f>
        <v>0</v>
      </c>
      <c r="AM733">
        <f>IF(ISNUMBER(AL733),IF(ISNUMBER(AH733),IF(AND(AH733=1,AI733=1,AJ733=1),100,MIN(99,ROUND(100*EXP(AL733)/(1+EXP(AL733)),2))),MIN(99,ROUND(100*EXP(AL733)/(1+EXP(AL733)),2))),IF(ISTEXT(R733),IF(LEFT(R733,1)="2",100,"N/A"),"N/A"))</f>
        <v>0</v>
      </c>
      <c r="AN733">
        <f>IF(ISNUMBER(AM733),IF(AM733&gt;=99,IF(OR(U733=10,U733=11),MatchLabel,SureThingLabel),IF(AM733&gt;=95,SecureLabel,IF(AM733&gt;=80,SafetyLabel,IF(AM733&gt;=50,MatchLabel,IF(AM733&gt;=20,ReachLabel,IF(AM733&gt;=10,LongshotLabel,HailMaryLabel)))))),"Other")</f>
        <v>0</v>
      </c>
      <c r="AO733">
        <f>IF(OR(I733="accepted",I733="cond. accept",I733="summer admit"),IF(J733="yes","CHOICE!","Accepted!"),IF(I733="guar. transfer","Guar. Xfer",IF(I733="denied","Denied",IF(K733=1,"Waitlist",IF(L733=1,"Deferred",IF(G733="pending","Pending",IF(OR(G733="initial materials submitted",G733="mid-year submitted",G733="final submitted"),"Submitted",IF(H733="interest","Interest","?"))))))))</f>
        <v>0</v>
      </c>
      <c r="AP733">
        <f>IF(OR(AN733=ReachLabel,AN733=LongshotLabel,AN733=HailMaryLabel),1,0)</f>
        <v>0</v>
      </c>
      <c r="AQ733">
        <f>IF(OR(AP733=1,AN733=MatchLabel),1,0)</f>
        <v>0</v>
      </c>
      <c r="AR733">
        <f>IF(OR(AN733=MatchLabel,AN733=SafetyLabel,AN733=SecureLabel,AN733=SureThingLabel),1,0)</f>
        <v>0</v>
      </c>
      <c r="AS733">
        <f>IF(OR(W733="H",W733="B",W733="I",W733="M"),IF(ISNUMBER(AB733),ROUND(AB733,2),0),IF(ISNUMBER(AA733),ROUND(AA733,2),0))</f>
        <v>0</v>
      </c>
      <c r="AT733">
        <f>IF(AS733&gt;=X733,1,0)</f>
        <v>0</v>
      </c>
      <c r="AU733">
        <f>IF(AS733&gt;=Y733,1,0)</f>
        <v>0</v>
      </c>
      <c r="AV733">
        <f>IF(AS733&lt;(X733-0.10),1,0)</f>
        <v>0</v>
      </c>
      <c r="AW733">
        <f>1-AM733/100</f>
        <v>0</v>
      </c>
      <c r="AX733">
        <f>IF(AQ733=1,AW733,1)</f>
        <v>0</v>
      </c>
      <c r="AY733">
        <f>IF(AP733=1,AW733,1)</f>
        <v>0</v>
      </c>
      <c r="AZ733">
        <f>IF(AND(AT733=1,ISNUMBER(AW733)),$AW733,1)</f>
        <v>0</v>
      </c>
      <c r="BA733">
        <f>IF(AND(AU733=1,ISNUMBER(AW733)),$AW733,1)</f>
        <v>0</v>
      </c>
      <c r="BB733">
        <f>IF(ISNUMBER(AB733),INDEX(AllCollegeMoney, MATCH(N733,AllCollegeNCES,0)),0)</f>
        <v>0</v>
      </c>
      <c r="BC733">
        <f>IF(AND(AT733=1,ISNUMBER(AW733),BB733=1),$AW733,1)</f>
        <v>0</v>
      </c>
      <c r="BD733">
        <f>IF(AND(AU733=1,ISNUMBER(AW733),BB733=1),$AW733,1)</f>
        <v>0</v>
      </c>
      <c r="BE733">
        <f>IF(ISNUMBER(AB733),INDEX(AllCollegeILPub, MATCH(N733,AllCollegeNCES,0)),0)</f>
        <v>0</v>
      </c>
      <c r="BF733">
        <f>IF(AN733=ReachLabel,AS733,0)</f>
        <v>0</v>
      </c>
      <c r="BG733">
        <f>IF(AN733=MatchLabel,AS733,0)</f>
        <v>0</v>
      </c>
      <c r="BH733">
        <f>IF(AN733=SafetyLabel,AS733,0)</f>
        <v>0</v>
      </c>
      <c r="BI733">
        <f>IF(AN733=SecureLabel,AS733,0)</f>
        <v>0</v>
      </c>
      <c r="BJ733">
        <f>IF(AN733=SureThingLabel,AS733,0)</f>
        <v>0</v>
      </c>
      <c r="BK733">
        <f>MAX(BF733:BJ733)</f>
        <v>0</v>
      </c>
      <c r="BL733">
        <f>MAX(BG733:BJ733)</f>
        <v>0</v>
      </c>
      <c r="BM733">
        <f>MAX(BH733:BJ733)</f>
        <v>0</v>
      </c>
      <c r="BN733">
        <f>IF(AND(AN733=ReachLabel,BB733=1),AS733,0)</f>
        <v>0</v>
      </c>
      <c r="BO733">
        <f>IF(AND(AN733=MatchLabel,BB733=1),AS733,0)</f>
        <v>0</v>
      </c>
      <c r="BP733">
        <f>IF(AND(AN733=SafetyLabel,BB733=1),AS733,0)</f>
        <v>0</v>
      </c>
      <c r="BQ733">
        <f>IF(AND(AN733=SecureLabel,BB733=1),AS733,0)</f>
        <v>0</v>
      </c>
      <c r="BR733">
        <f>IF(AND(AN733=SureThingLabel,BB733=1),AS733,0)</f>
        <v>0</v>
      </c>
      <c r="BS733">
        <f>MAX(BN733:BR733)</f>
        <v>0</v>
      </c>
      <c r="BT733">
        <f>MAX(BO733:BR733)</f>
        <v>0</v>
      </c>
      <c r="BU733">
        <f>MAX(BP733:BR733)</f>
        <v>0</v>
      </c>
      <c r="BV733">
        <f>IF(ISNUMBER(AB733),INDEX(AllCollegeChicago, MATCH(N733,AllCollegeNCES,0))*BB733,0)</f>
        <v>0</v>
      </c>
      <c r="BW733">
        <f>IF(ISNUMBER(AB733),INDEX(AllCollegeMoneyCode, MATCH(N733,AllCollegeNCES,0)),"?")</f>
        <v>0</v>
      </c>
      <c r="BX733">
        <f>IF(OR(BW733="---",BW733="--",BW733="+/--",BW733="+/---"),1,0)</f>
        <v>0</v>
      </c>
      <c r="BY733">
        <f>BB733*AR733*AT733</f>
        <v>0</v>
      </c>
    </row>
    <row r="734" spans="1:77">
      <c r="A734" t="s">
        <v>96</v>
      </c>
      <c r="B734">
        <v>30313392</v>
      </c>
      <c r="C734" t="s">
        <v>240</v>
      </c>
      <c r="D734" t="s">
        <v>241</v>
      </c>
      <c r="E734" t="s">
        <v>446</v>
      </c>
      <c r="F734" t="s">
        <v>463</v>
      </c>
      <c r="G734" t="s">
        <v>448</v>
      </c>
      <c r="H734" t="s">
        <v>449</v>
      </c>
      <c r="I734" t="s">
        <v>450</v>
      </c>
      <c r="J734" t="s">
        <v>450</v>
      </c>
      <c r="K734">
        <v>0</v>
      </c>
      <c r="L734" t="s">
        <v>446</v>
      </c>
      <c r="M734" t="s">
        <v>446</v>
      </c>
      <c r="N734">
        <v>147776</v>
      </c>
      <c r="O734">
        <f>INDEX(Counselor,MATCH(B734,KidIDs,0))</f>
        <v>0</v>
      </c>
      <c r="P734">
        <f>INDEX(Advisors,MATCH(B734,KidIDs,0))</f>
        <v>0</v>
      </c>
      <c r="Q734">
        <f>INDEX(Cohort,MATCH(B734,KidIDs,0))</f>
        <v>0</v>
      </c>
      <c r="R734">
        <f>INDEX(AllCollegeBarrons,MATCH(N734,AllCollegeNCES,0))</f>
        <v>0</v>
      </c>
      <c r="S734">
        <f>INDEX(KidGPAs,MATCH(B734,KidIDs,0))</f>
        <v>0</v>
      </c>
      <c r="T734">
        <f>INDEX(KidSATs,MATCH(B734,KidIDs,0))</f>
        <v>0</v>
      </c>
      <c r="U734">
        <f>INDEX(Strats,MATCH(B734,KidIDs,0))</f>
        <v>0</v>
      </c>
      <c r="V734">
        <f>INDEX(KidRace,MATCH(B734,KidIDs,0))</f>
        <v>0</v>
      </c>
      <c r="W734">
        <f>IF(OR(V734="M",V734="I"),"H",IF(V734="P","A",V734))</f>
        <v>0</v>
      </c>
      <c r="X734">
        <f>INDEX(StudentTargets,MATCH(B734,KidIDs,0))</f>
        <v>0</v>
      </c>
      <c r="Y734">
        <f>INDEX(ReachStudentTargets,MATCH(B734,KidIDs,0))</f>
        <v>0</v>
      </c>
      <c r="Z734">
        <f>IF(OR(M734="Posse"),1,0)</f>
        <v>0</v>
      </c>
      <c r="AA734">
        <f>IF(ISNUMBER(INDEX(AllCollegeGR, MATCH(N734,AllCollegeNCES,0))),ROUND(INDEX(AllCollegeGR, MATCH(N734,AllCollegeNCES,0))+Z734*IF(INDEX(AllCollegeGR, MATCH(N734,AllCollegeNCES,0))&gt;0.7,(1-INDEX(AllCollegeGR, MATCH(N734,AllCollegeNCES,0)))/2,0.15),2),INDEX(AllCollegeGR, MATCH(N734,AllCollegeNCES,0)))</f>
        <v>0</v>
      </c>
      <c r="AB734">
        <f>IF(ISNUMBER(INDEX(AllCollegeAAHGR, MATCH(N734,AllCollegeNCES,0))),ROUND(INDEX(AllCollegeAAHGR, MATCH(N734,AllCollegeNCES,0))+Z734*IF(INDEX(AllCollegeAAHGR, MATCH(N734,AllCollegeNCES,0))&gt;0.7,(1-INDEX(AllCollegeAAHGR, MATCH(N734,AllCollegeNCES,0)))/2,0.15),2),INDEX(AllCollegeAAHGR, MATCH(N734,AllCollegeNCES,0)))</f>
        <v>0</v>
      </c>
      <c r="AC734">
        <f>IF(OR(W734="H",W734="B"),INDEX(AllCollegeSAT25, MATCH(N734,AllCollegeNCES,0)),INDEX(AllCollegeSAT50, MATCH(N734,AllCollegeNCES,0)))</f>
        <v>0</v>
      </c>
      <c r="AD734">
        <f>INDEX(CustomWeightsGPA,MATCH(W734&amp;":"&amp;N734,CustomWeightsIndex,0))</f>
        <v>0</v>
      </c>
      <c r="AE734">
        <f>INDEX(CustomWeightsSAT,MATCH(W734&amp;":"&amp;N734,CustomWeightsIndex,0))</f>
        <v>0</v>
      </c>
      <c r="AF734">
        <f>INDEX(CustomWeightsIntercept,MATCH(W734&amp;":"&amp;N734,CustomWeightsIndex,0))</f>
        <v>0</v>
      </c>
      <c r="AG734">
        <f>AD734*S734+AE734*T734+AF734</f>
        <v>0</v>
      </c>
      <c r="AH734">
        <f>INDEX(CoefficientsGPA,MATCH(W734&amp;":"&amp;R734,CoefficientsIndex,0))</f>
        <v>0</v>
      </c>
      <c r="AI734">
        <f>INDEX(CoefficientsSAT,MATCH(W734&amp;":"&amp;R734,CoefficientsIndex,0))</f>
        <v>0</v>
      </c>
      <c r="AJ734">
        <f>INDEX(CoefficientsIntercept,MATCH(W734&amp;":"&amp;R734,CoefficientsIndex,0))</f>
        <v>0</v>
      </c>
      <c r="AK734">
        <f>AH734*S734+(T734-AC734)*AI734+AJ734</f>
        <v>0</v>
      </c>
      <c r="AL734">
        <f>IF(ISNUMBER(AG734),AG734,AK734)</f>
        <v>0</v>
      </c>
      <c r="AM734">
        <f>IF(ISNUMBER(AL734),IF(ISNUMBER(AH734),IF(AND(AH734=1,AI734=1,AJ734=1),100,MIN(99,ROUND(100*EXP(AL734)/(1+EXP(AL734)),2))),MIN(99,ROUND(100*EXP(AL734)/(1+EXP(AL734)),2))),IF(ISTEXT(R734),IF(LEFT(R734,1)="2",100,"N/A"),"N/A"))</f>
        <v>0</v>
      </c>
      <c r="AN734">
        <f>IF(ISNUMBER(AM734),IF(AM734&gt;=99,IF(OR(U734=10,U734=11),MatchLabel,SureThingLabel),IF(AM734&gt;=95,SecureLabel,IF(AM734&gt;=80,SafetyLabel,IF(AM734&gt;=50,MatchLabel,IF(AM734&gt;=20,ReachLabel,IF(AM734&gt;=10,LongshotLabel,HailMaryLabel)))))),"Other")</f>
        <v>0</v>
      </c>
      <c r="AO734">
        <f>IF(OR(I734="accepted",I734="cond. accept",I734="summer admit"),IF(J734="yes","CHOICE!","Accepted!"),IF(I734="guar. transfer","Guar. Xfer",IF(I734="denied","Denied",IF(K734=1,"Waitlist",IF(L734=1,"Deferred",IF(G734="pending","Pending",IF(OR(G734="initial materials submitted",G734="mid-year submitted",G734="final submitted"),"Submitted",IF(H734="interest","Interest","?"))))))))</f>
        <v>0</v>
      </c>
      <c r="AP734">
        <f>IF(OR(AN734=ReachLabel,AN734=LongshotLabel,AN734=HailMaryLabel),1,0)</f>
        <v>0</v>
      </c>
      <c r="AQ734">
        <f>IF(OR(AP734=1,AN734=MatchLabel),1,0)</f>
        <v>0</v>
      </c>
      <c r="AR734">
        <f>IF(OR(AN734=MatchLabel,AN734=SafetyLabel,AN734=SecureLabel,AN734=SureThingLabel),1,0)</f>
        <v>0</v>
      </c>
      <c r="AS734">
        <f>IF(OR(W734="H",W734="B",W734="I",W734="M"),IF(ISNUMBER(AB734),ROUND(AB734,2),0),IF(ISNUMBER(AA734),ROUND(AA734,2),0))</f>
        <v>0</v>
      </c>
      <c r="AT734">
        <f>IF(AS734&gt;=X734,1,0)</f>
        <v>0</v>
      </c>
      <c r="AU734">
        <f>IF(AS734&gt;=Y734,1,0)</f>
        <v>0</v>
      </c>
      <c r="AV734">
        <f>IF(AS734&lt;(X734-0.10),1,0)</f>
        <v>0</v>
      </c>
      <c r="AW734">
        <f>1-AM734/100</f>
        <v>0</v>
      </c>
      <c r="AX734">
        <f>IF(AQ734=1,AW734,1)</f>
        <v>0</v>
      </c>
      <c r="AY734">
        <f>IF(AP734=1,AW734,1)</f>
        <v>0</v>
      </c>
      <c r="AZ734">
        <f>IF(AND(AT734=1,ISNUMBER(AW734)),$AW734,1)</f>
        <v>0</v>
      </c>
      <c r="BA734">
        <f>IF(AND(AU734=1,ISNUMBER(AW734)),$AW734,1)</f>
        <v>0</v>
      </c>
      <c r="BB734">
        <f>IF(ISNUMBER(AB734),INDEX(AllCollegeMoney, MATCH(N734,AllCollegeNCES,0)),0)</f>
        <v>0</v>
      </c>
      <c r="BC734">
        <f>IF(AND(AT734=1,ISNUMBER(AW734),BB734=1),$AW734,1)</f>
        <v>0</v>
      </c>
      <c r="BD734">
        <f>IF(AND(AU734=1,ISNUMBER(AW734),BB734=1),$AW734,1)</f>
        <v>0</v>
      </c>
      <c r="BE734">
        <f>IF(ISNUMBER(AB734),INDEX(AllCollegeILPub, MATCH(N734,AllCollegeNCES,0)),0)</f>
        <v>0</v>
      </c>
      <c r="BF734">
        <f>IF(AN734=ReachLabel,AS734,0)</f>
        <v>0</v>
      </c>
      <c r="BG734">
        <f>IF(AN734=MatchLabel,AS734,0)</f>
        <v>0</v>
      </c>
      <c r="BH734">
        <f>IF(AN734=SafetyLabel,AS734,0)</f>
        <v>0</v>
      </c>
      <c r="BI734">
        <f>IF(AN734=SecureLabel,AS734,0)</f>
        <v>0</v>
      </c>
      <c r="BJ734">
        <f>IF(AN734=SureThingLabel,AS734,0)</f>
        <v>0</v>
      </c>
      <c r="BK734">
        <f>MAX(BF734:BJ734)</f>
        <v>0</v>
      </c>
      <c r="BL734">
        <f>MAX(BG734:BJ734)</f>
        <v>0</v>
      </c>
      <c r="BM734">
        <f>MAX(BH734:BJ734)</f>
        <v>0</v>
      </c>
      <c r="BN734">
        <f>IF(AND(AN734=ReachLabel,BB734=1),AS734,0)</f>
        <v>0</v>
      </c>
      <c r="BO734">
        <f>IF(AND(AN734=MatchLabel,BB734=1),AS734,0)</f>
        <v>0</v>
      </c>
      <c r="BP734">
        <f>IF(AND(AN734=SafetyLabel,BB734=1),AS734,0)</f>
        <v>0</v>
      </c>
      <c r="BQ734">
        <f>IF(AND(AN734=SecureLabel,BB734=1),AS734,0)</f>
        <v>0</v>
      </c>
      <c r="BR734">
        <f>IF(AND(AN734=SureThingLabel,BB734=1),AS734,0)</f>
        <v>0</v>
      </c>
      <c r="BS734">
        <f>MAX(BN734:BR734)</f>
        <v>0</v>
      </c>
      <c r="BT734">
        <f>MAX(BO734:BR734)</f>
        <v>0</v>
      </c>
      <c r="BU734">
        <f>MAX(BP734:BR734)</f>
        <v>0</v>
      </c>
      <c r="BV734">
        <f>IF(ISNUMBER(AB734),INDEX(AllCollegeChicago, MATCH(N734,AllCollegeNCES,0))*BB734,0)</f>
        <v>0</v>
      </c>
      <c r="BW734">
        <f>IF(ISNUMBER(AB734),INDEX(AllCollegeMoneyCode, MATCH(N734,AllCollegeNCES,0)),"?")</f>
        <v>0</v>
      </c>
      <c r="BX734">
        <f>IF(OR(BW734="---",BW734="--",BW734="+/--",BW734="+/---"),1,0)</f>
        <v>0</v>
      </c>
      <c r="BY734">
        <f>BB734*AR734*AT734</f>
        <v>0</v>
      </c>
    </row>
    <row r="735" spans="1:77">
      <c r="A735" t="s">
        <v>96</v>
      </c>
      <c r="B735">
        <v>30313392</v>
      </c>
      <c r="C735" t="s">
        <v>240</v>
      </c>
      <c r="D735" t="s">
        <v>241</v>
      </c>
      <c r="E735" t="s">
        <v>446</v>
      </c>
      <c r="F735" t="s">
        <v>606</v>
      </c>
      <c r="G735" t="s">
        <v>448</v>
      </c>
      <c r="H735" t="s">
        <v>449</v>
      </c>
      <c r="I735" t="s">
        <v>450</v>
      </c>
      <c r="J735" t="s">
        <v>450</v>
      </c>
      <c r="K735">
        <v>0</v>
      </c>
      <c r="L735" t="s">
        <v>446</v>
      </c>
      <c r="M735" t="s">
        <v>446</v>
      </c>
      <c r="N735">
        <v>146393</v>
      </c>
      <c r="O735">
        <f>INDEX(Counselor,MATCH(B735,KidIDs,0))</f>
        <v>0</v>
      </c>
      <c r="P735">
        <f>INDEX(Advisors,MATCH(B735,KidIDs,0))</f>
        <v>0</v>
      </c>
      <c r="Q735">
        <f>INDEX(Cohort,MATCH(B735,KidIDs,0))</f>
        <v>0</v>
      </c>
      <c r="R735">
        <f>INDEX(AllCollegeBarrons,MATCH(N735,AllCollegeNCES,0))</f>
        <v>0</v>
      </c>
      <c r="S735">
        <f>INDEX(KidGPAs,MATCH(B735,KidIDs,0))</f>
        <v>0</v>
      </c>
      <c r="T735">
        <f>INDEX(KidSATs,MATCH(B735,KidIDs,0))</f>
        <v>0</v>
      </c>
      <c r="U735">
        <f>INDEX(Strats,MATCH(B735,KidIDs,0))</f>
        <v>0</v>
      </c>
      <c r="V735">
        <f>INDEX(KidRace,MATCH(B735,KidIDs,0))</f>
        <v>0</v>
      </c>
      <c r="W735">
        <f>IF(OR(V735="M",V735="I"),"H",IF(V735="P","A",V735))</f>
        <v>0</v>
      </c>
      <c r="X735">
        <f>INDEX(StudentTargets,MATCH(B735,KidIDs,0))</f>
        <v>0</v>
      </c>
      <c r="Y735">
        <f>INDEX(ReachStudentTargets,MATCH(B735,KidIDs,0))</f>
        <v>0</v>
      </c>
      <c r="Z735">
        <f>IF(OR(M735="Posse"),1,0)</f>
        <v>0</v>
      </c>
      <c r="AA735">
        <f>IF(ISNUMBER(INDEX(AllCollegeGR, MATCH(N735,AllCollegeNCES,0))),ROUND(INDEX(AllCollegeGR, MATCH(N735,AllCollegeNCES,0))+Z735*IF(INDEX(AllCollegeGR, MATCH(N735,AllCollegeNCES,0))&gt;0.7,(1-INDEX(AllCollegeGR, MATCH(N735,AllCollegeNCES,0)))/2,0.15),2),INDEX(AllCollegeGR, MATCH(N735,AllCollegeNCES,0)))</f>
        <v>0</v>
      </c>
      <c r="AB735">
        <f>IF(ISNUMBER(INDEX(AllCollegeAAHGR, MATCH(N735,AllCollegeNCES,0))),ROUND(INDEX(AllCollegeAAHGR, MATCH(N735,AllCollegeNCES,0))+Z735*IF(INDEX(AllCollegeAAHGR, MATCH(N735,AllCollegeNCES,0))&gt;0.7,(1-INDEX(AllCollegeAAHGR, MATCH(N735,AllCollegeNCES,0)))/2,0.15),2),INDEX(AllCollegeAAHGR, MATCH(N735,AllCollegeNCES,0)))</f>
        <v>0</v>
      </c>
      <c r="AC735">
        <f>IF(OR(W735="H",W735="B"),INDEX(AllCollegeSAT25, MATCH(N735,AllCollegeNCES,0)),INDEX(AllCollegeSAT50, MATCH(N735,AllCollegeNCES,0)))</f>
        <v>0</v>
      </c>
      <c r="AD735">
        <f>INDEX(CustomWeightsGPA,MATCH(W735&amp;":"&amp;N735,CustomWeightsIndex,0))</f>
        <v>0</v>
      </c>
      <c r="AE735">
        <f>INDEX(CustomWeightsSAT,MATCH(W735&amp;":"&amp;N735,CustomWeightsIndex,0))</f>
        <v>0</v>
      </c>
      <c r="AF735">
        <f>INDEX(CustomWeightsIntercept,MATCH(W735&amp;":"&amp;N735,CustomWeightsIndex,0))</f>
        <v>0</v>
      </c>
      <c r="AG735">
        <f>AD735*S735+AE735*T735+AF735</f>
        <v>0</v>
      </c>
      <c r="AH735">
        <f>INDEX(CoefficientsGPA,MATCH(W735&amp;":"&amp;R735,CoefficientsIndex,0))</f>
        <v>0</v>
      </c>
      <c r="AI735">
        <f>INDEX(CoefficientsSAT,MATCH(W735&amp;":"&amp;R735,CoefficientsIndex,0))</f>
        <v>0</v>
      </c>
      <c r="AJ735">
        <f>INDEX(CoefficientsIntercept,MATCH(W735&amp;":"&amp;R735,CoefficientsIndex,0))</f>
        <v>0</v>
      </c>
      <c r="AK735">
        <f>AH735*S735+(T735-AC735)*AI735+AJ735</f>
        <v>0</v>
      </c>
      <c r="AL735">
        <f>IF(ISNUMBER(AG735),AG735,AK735)</f>
        <v>0</v>
      </c>
      <c r="AM735">
        <f>IF(ISNUMBER(AL735),IF(ISNUMBER(AH735),IF(AND(AH735=1,AI735=1,AJ735=1),100,MIN(99,ROUND(100*EXP(AL735)/(1+EXP(AL735)),2))),MIN(99,ROUND(100*EXP(AL735)/(1+EXP(AL735)),2))),IF(ISTEXT(R735),IF(LEFT(R735,1)="2",100,"N/A"),"N/A"))</f>
        <v>0</v>
      </c>
      <c r="AN735">
        <f>IF(ISNUMBER(AM735),IF(AM735&gt;=99,IF(OR(U735=10,U735=11),MatchLabel,SureThingLabel),IF(AM735&gt;=95,SecureLabel,IF(AM735&gt;=80,SafetyLabel,IF(AM735&gt;=50,MatchLabel,IF(AM735&gt;=20,ReachLabel,IF(AM735&gt;=10,LongshotLabel,HailMaryLabel)))))),"Other")</f>
        <v>0</v>
      </c>
      <c r="AO735">
        <f>IF(OR(I735="accepted",I735="cond. accept",I735="summer admit"),IF(J735="yes","CHOICE!","Accepted!"),IF(I735="guar. transfer","Guar. Xfer",IF(I735="denied","Denied",IF(K735=1,"Waitlist",IF(L735=1,"Deferred",IF(G735="pending","Pending",IF(OR(G735="initial materials submitted",G735="mid-year submitted",G735="final submitted"),"Submitted",IF(H735="interest","Interest","?"))))))))</f>
        <v>0</v>
      </c>
      <c r="AP735">
        <f>IF(OR(AN735=ReachLabel,AN735=LongshotLabel,AN735=HailMaryLabel),1,0)</f>
        <v>0</v>
      </c>
      <c r="AQ735">
        <f>IF(OR(AP735=1,AN735=MatchLabel),1,0)</f>
        <v>0</v>
      </c>
      <c r="AR735">
        <f>IF(OR(AN735=MatchLabel,AN735=SafetyLabel,AN735=SecureLabel,AN735=SureThingLabel),1,0)</f>
        <v>0</v>
      </c>
      <c r="AS735">
        <f>IF(OR(W735="H",W735="B",W735="I",W735="M"),IF(ISNUMBER(AB735),ROUND(AB735,2),0),IF(ISNUMBER(AA735),ROUND(AA735,2),0))</f>
        <v>0</v>
      </c>
      <c r="AT735">
        <f>IF(AS735&gt;=X735,1,0)</f>
        <v>0</v>
      </c>
      <c r="AU735">
        <f>IF(AS735&gt;=Y735,1,0)</f>
        <v>0</v>
      </c>
      <c r="AV735">
        <f>IF(AS735&lt;(X735-0.10),1,0)</f>
        <v>0</v>
      </c>
      <c r="AW735">
        <f>1-AM735/100</f>
        <v>0</v>
      </c>
      <c r="AX735">
        <f>IF(AQ735=1,AW735,1)</f>
        <v>0</v>
      </c>
      <c r="AY735">
        <f>IF(AP735=1,AW735,1)</f>
        <v>0</v>
      </c>
      <c r="AZ735">
        <f>IF(AND(AT735=1,ISNUMBER(AW735)),$AW735,1)</f>
        <v>0</v>
      </c>
      <c r="BA735">
        <f>IF(AND(AU735=1,ISNUMBER(AW735)),$AW735,1)</f>
        <v>0</v>
      </c>
      <c r="BB735">
        <f>IF(ISNUMBER(AB735),INDEX(AllCollegeMoney, MATCH(N735,AllCollegeNCES,0)),0)</f>
        <v>0</v>
      </c>
      <c r="BC735">
        <f>IF(AND(AT735=1,ISNUMBER(AW735),BB735=1),$AW735,1)</f>
        <v>0</v>
      </c>
      <c r="BD735">
        <f>IF(AND(AU735=1,ISNUMBER(AW735),BB735=1),$AW735,1)</f>
        <v>0</v>
      </c>
      <c r="BE735">
        <f>IF(ISNUMBER(AB735),INDEX(AllCollegeILPub, MATCH(N735,AllCollegeNCES,0)),0)</f>
        <v>0</v>
      </c>
      <c r="BF735">
        <f>IF(AN735=ReachLabel,AS735,0)</f>
        <v>0</v>
      </c>
      <c r="BG735">
        <f>IF(AN735=MatchLabel,AS735,0)</f>
        <v>0</v>
      </c>
      <c r="BH735">
        <f>IF(AN735=SafetyLabel,AS735,0)</f>
        <v>0</v>
      </c>
      <c r="BI735">
        <f>IF(AN735=SecureLabel,AS735,0)</f>
        <v>0</v>
      </c>
      <c r="BJ735">
        <f>IF(AN735=SureThingLabel,AS735,0)</f>
        <v>0</v>
      </c>
      <c r="BK735">
        <f>MAX(BF735:BJ735)</f>
        <v>0</v>
      </c>
      <c r="BL735">
        <f>MAX(BG735:BJ735)</f>
        <v>0</v>
      </c>
      <c r="BM735">
        <f>MAX(BH735:BJ735)</f>
        <v>0</v>
      </c>
      <c r="BN735">
        <f>IF(AND(AN735=ReachLabel,BB735=1),AS735,0)</f>
        <v>0</v>
      </c>
      <c r="BO735">
        <f>IF(AND(AN735=MatchLabel,BB735=1),AS735,0)</f>
        <v>0</v>
      </c>
      <c r="BP735">
        <f>IF(AND(AN735=SafetyLabel,BB735=1),AS735,0)</f>
        <v>0</v>
      </c>
      <c r="BQ735">
        <f>IF(AND(AN735=SecureLabel,BB735=1),AS735,0)</f>
        <v>0</v>
      </c>
      <c r="BR735">
        <f>IF(AND(AN735=SureThingLabel,BB735=1),AS735,0)</f>
        <v>0</v>
      </c>
      <c r="BS735">
        <f>MAX(BN735:BR735)</f>
        <v>0</v>
      </c>
      <c r="BT735">
        <f>MAX(BO735:BR735)</f>
        <v>0</v>
      </c>
      <c r="BU735">
        <f>MAX(BP735:BR735)</f>
        <v>0</v>
      </c>
      <c r="BV735">
        <f>IF(ISNUMBER(AB735),INDEX(AllCollegeChicago, MATCH(N735,AllCollegeNCES,0))*BB735,0)</f>
        <v>0</v>
      </c>
      <c r="BW735">
        <f>IF(ISNUMBER(AB735),INDEX(AllCollegeMoneyCode, MATCH(N735,AllCollegeNCES,0)),"?")</f>
        <v>0</v>
      </c>
      <c r="BX735">
        <f>IF(OR(BW735="---",BW735="--",BW735="+/--",BW735="+/---"),1,0)</f>
        <v>0</v>
      </c>
      <c r="BY735">
        <f>BB735*AR735*AT735</f>
        <v>0</v>
      </c>
    </row>
    <row r="736" spans="1:77">
      <c r="A736" t="s">
        <v>96</v>
      </c>
      <c r="B736">
        <v>30316543</v>
      </c>
      <c r="C736" t="s">
        <v>288</v>
      </c>
      <c r="D736" t="s">
        <v>289</v>
      </c>
      <c r="E736" t="s">
        <v>446</v>
      </c>
      <c r="F736" t="s">
        <v>470</v>
      </c>
      <c r="G736" t="s">
        <v>448</v>
      </c>
      <c r="H736" t="s">
        <v>449</v>
      </c>
      <c r="I736" t="s">
        <v>450</v>
      </c>
      <c r="J736" t="s">
        <v>450</v>
      </c>
      <c r="K736">
        <v>0</v>
      </c>
      <c r="L736" t="s">
        <v>446</v>
      </c>
      <c r="M736" t="s">
        <v>446</v>
      </c>
      <c r="N736">
        <v>240444</v>
      </c>
      <c r="O736">
        <f>INDEX(Counselor,MATCH(B736,KidIDs,0))</f>
        <v>0</v>
      </c>
      <c r="P736">
        <f>INDEX(Advisors,MATCH(B736,KidIDs,0))</f>
        <v>0</v>
      </c>
      <c r="Q736">
        <f>INDEX(Cohort,MATCH(B736,KidIDs,0))</f>
        <v>0</v>
      </c>
      <c r="R736">
        <f>INDEX(AllCollegeBarrons,MATCH(N736,AllCollegeNCES,0))</f>
        <v>0</v>
      </c>
      <c r="S736">
        <f>INDEX(KidGPAs,MATCH(B736,KidIDs,0))</f>
        <v>0</v>
      </c>
      <c r="T736">
        <f>INDEX(KidSATs,MATCH(B736,KidIDs,0))</f>
        <v>0</v>
      </c>
      <c r="U736">
        <f>INDEX(Strats,MATCH(B736,KidIDs,0))</f>
        <v>0</v>
      </c>
      <c r="V736">
        <f>INDEX(KidRace,MATCH(B736,KidIDs,0))</f>
        <v>0</v>
      </c>
      <c r="W736">
        <f>IF(OR(V736="M",V736="I"),"H",IF(V736="P","A",V736))</f>
        <v>0</v>
      </c>
      <c r="X736">
        <f>INDEX(StudentTargets,MATCH(B736,KidIDs,0))</f>
        <v>0</v>
      </c>
      <c r="Y736">
        <f>INDEX(ReachStudentTargets,MATCH(B736,KidIDs,0))</f>
        <v>0</v>
      </c>
      <c r="Z736">
        <f>IF(OR(M736="Posse"),1,0)</f>
        <v>0</v>
      </c>
      <c r="AA736">
        <f>IF(ISNUMBER(INDEX(AllCollegeGR, MATCH(N736,AllCollegeNCES,0))),ROUND(INDEX(AllCollegeGR, MATCH(N736,AllCollegeNCES,0))+Z736*IF(INDEX(AllCollegeGR, MATCH(N736,AllCollegeNCES,0))&gt;0.7,(1-INDEX(AllCollegeGR, MATCH(N736,AllCollegeNCES,0)))/2,0.15),2),INDEX(AllCollegeGR, MATCH(N736,AllCollegeNCES,0)))</f>
        <v>0</v>
      </c>
      <c r="AB736">
        <f>IF(ISNUMBER(INDEX(AllCollegeAAHGR, MATCH(N736,AllCollegeNCES,0))),ROUND(INDEX(AllCollegeAAHGR, MATCH(N736,AllCollegeNCES,0))+Z736*IF(INDEX(AllCollegeAAHGR, MATCH(N736,AllCollegeNCES,0))&gt;0.7,(1-INDEX(AllCollegeAAHGR, MATCH(N736,AllCollegeNCES,0)))/2,0.15),2),INDEX(AllCollegeAAHGR, MATCH(N736,AllCollegeNCES,0)))</f>
        <v>0</v>
      </c>
      <c r="AC736">
        <f>IF(OR(W736="H",W736="B"),INDEX(AllCollegeSAT25, MATCH(N736,AllCollegeNCES,0)),INDEX(AllCollegeSAT50, MATCH(N736,AllCollegeNCES,0)))</f>
        <v>0</v>
      </c>
      <c r="AD736">
        <f>INDEX(CustomWeightsGPA,MATCH(W736&amp;":"&amp;N736,CustomWeightsIndex,0))</f>
        <v>0</v>
      </c>
      <c r="AE736">
        <f>INDEX(CustomWeightsSAT,MATCH(W736&amp;":"&amp;N736,CustomWeightsIndex,0))</f>
        <v>0</v>
      </c>
      <c r="AF736">
        <f>INDEX(CustomWeightsIntercept,MATCH(W736&amp;":"&amp;N736,CustomWeightsIndex,0))</f>
        <v>0</v>
      </c>
      <c r="AG736">
        <f>AD736*S736+AE736*T736+AF736</f>
        <v>0</v>
      </c>
      <c r="AH736">
        <f>INDEX(CoefficientsGPA,MATCH(W736&amp;":"&amp;R736,CoefficientsIndex,0))</f>
        <v>0</v>
      </c>
      <c r="AI736">
        <f>INDEX(CoefficientsSAT,MATCH(W736&amp;":"&amp;R736,CoefficientsIndex,0))</f>
        <v>0</v>
      </c>
      <c r="AJ736">
        <f>INDEX(CoefficientsIntercept,MATCH(W736&amp;":"&amp;R736,CoefficientsIndex,0))</f>
        <v>0</v>
      </c>
      <c r="AK736">
        <f>AH736*S736+(T736-AC736)*AI736+AJ736</f>
        <v>0</v>
      </c>
      <c r="AL736">
        <f>IF(ISNUMBER(AG736),AG736,AK736)</f>
        <v>0</v>
      </c>
      <c r="AM736">
        <f>IF(ISNUMBER(AL736),IF(ISNUMBER(AH736),IF(AND(AH736=1,AI736=1,AJ736=1),100,MIN(99,ROUND(100*EXP(AL736)/(1+EXP(AL736)),2))),MIN(99,ROUND(100*EXP(AL736)/(1+EXP(AL736)),2))),IF(ISTEXT(R736),IF(LEFT(R736,1)="2",100,"N/A"),"N/A"))</f>
        <v>0</v>
      </c>
      <c r="AN736">
        <f>IF(ISNUMBER(AM736),IF(AM736&gt;=99,IF(OR(U736=10,U736=11),MatchLabel,SureThingLabel),IF(AM736&gt;=95,SecureLabel,IF(AM736&gt;=80,SafetyLabel,IF(AM736&gt;=50,MatchLabel,IF(AM736&gt;=20,ReachLabel,IF(AM736&gt;=10,LongshotLabel,HailMaryLabel)))))),"Other")</f>
        <v>0</v>
      </c>
      <c r="AO736">
        <f>IF(OR(I736="accepted",I736="cond. accept",I736="summer admit"),IF(J736="yes","CHOICE!","Accepted!"),IF(I736="guar. transfer","Guar. Xfer",IF(I736="denied","Denied",IF(K736=1,"Waitlist",IF(L736=1,"Deferred",IF(G736="pending","Pending",IF(OR(G736="initial materials submitted",G736="mid-year submitted",G736="final submitted"),"Submitted",IF(H736="interest","Interest","?"))))))))</f>
        <v>0</v>
      </c>
      <c r="AP736">
        <f>IF(OR(AN736=ReachLabel,AN736=LongshotLabel,AN736=HailMaryLabel),1,0)</f>
        <v>0</v>
      </c>
      <c r="AQ736">
        <f>IF(OR(AP736=1,AN736=MatchLabel),1,0)</f>
        <v>0</v>
      </c>
      <c r="AR736">
        <f>IF(OR(AN736=MatchLabel,AN736=SafetyLabel,AN736=SecureLabel,AN736=SureThingLabel),1,0)</f>
        <v>0</v>
      </c>
      <c r="AS736">
        <f>IF(OR(W736="H",W736="B",W736="I",W736="M"),IF(ISNUMBER(AB736),ROUND(AB736,2),0),IF(ISNUMBER(AA736),ROUND(AA736,2),0))</f>
        <v>0</v>
      </c>
      <c r="AT736">
        <f>IF(AS736&gt;=X736,1,0)</f>
        <v>0</v>
      </c>
      <c r="AU736">
        <f>IF(AS736&gt;=Y736,1,0)</f>
        <v>0</v>
      </c>
      <c r="AV736">
        <f>IF(AS736&lt;(X736-0.10),1,0)</f>
        <v>0</v>
      </c>
      <c r="AW736">
        <f>1-AM736/100</f>
        <v>0</v>
      </c>
      <c r="AX736">
        <f>IF(AQ736=1,AW736,1)</f>
        <v>0</v>
      </c>
      <c r="AY736">
        <f>IF(AP736=1,AW736,1)</f>
        <v>0</v>
      </c>
      <c r="AZ736">
        <f>IF(AND(AT736=1,ISNUMBER(AW736)),$AW736,1)</f>
        <v>0</v>
      </c>
      <c r="BA736">
        <f>IF(AND(AU736=1,ISNUMBER(AW736)),$AW736,1)</f>
        <v>0</v>
      </c>
      <c r="BB736">
        <f>IF(ISNUMBER(AB736),INDEX(AllCollegeMoney, MATCH(N736,AllCollegeNCES,0)),0)</f>
        <v>0</v>
      </c>
      <c r="BC736">
        <f>IF(AND(AT736=1,ISNUMBER(AW736),BB736=1),$AW736,1)</f>
        <v>0</v>
      </c>
      <c r="BD736">
        <f>IF(AND(AU736=1,ISNUMBER(AW736),BB736=1),$AW736,1)</f>
        <v>0</v>
      </c>
      <c r="BE736">
        <f>IF(ISNUMBER(AB736),INDEX(AllCollegeILPub, MATCH(N736,AllCollegeNCES,0)),0)</f>
        <v>0</v>
      </c>
      <c r="BF736">
        <f>IF(AN736=ReachLabel,AS736,0)</f>
        <v>0</v>
      </c>
      <c r="BG736">
        <f>IF(AN736=MatchLabel,AS736,0)</f>
        <v>0</v>
      </c>
      <c r="BH736">
        <f>IF(AN736=SafetyLabel,AS736,0)</f>
        <v>0</v>
      </c>
      <c r="BI736">
        <f>IF(AN736=SecureLabel,AS736,0)</f>
        <v>0</v>
      </c>
      <c r="BJ736">
        <f>IF(AN736=SureThingLabel,AS736,0)</f>
        <v>0</v>
      </c>
      <c r="BK736">
        <f>MAX(BF736:BJ736)</f>
        <v>0</v>
      </c>
      <c r="BL736">
        <f>MAX(BG736:BJ736)</f>
        <v>0</v>
      </c>
      <c r="BM736">
        <f>MAX(BH736:BJ736)</f>
        <v>0</v>
      </c>
      <c r="BN736">
        <f>IF(AND(AN736=ReachLabel,BB736=1),AS736,0)</f>
        <v>0</v>
      </c>
      <c r="BO736">
        <f>IF(AND(AN736=MatchLabel,BB736=1),AS736,0)</f>
        <v>0</v>
      </c>
      <c r="BP736">
        <f>IF(AND(AN736=SafetyLabel,BB736=1),AS736,0)</f>
        <v>0</v>
      </c>
      <c r="BQ736">
        <f>IF(AND(AN736=SecureLabel,BB736=1),AS736,0)</f>
        <v>0</v>
      </c>
      <c r="BR736">
        <f>IF(AND(AN736=SureThingLabel,BB736=1),AS736,0)</f>
        <v>0</v>
      </c>
      <c r="BS736">
        <f>MAX(BN736:BR736)</f>
        <v>0</v>
      </c>
      <c r="BT736">
        <f>MAX(BO736:BR736)</f>
        <v>0</v>
      </c>
      <c r="BU736">
        <f>MAX(BP736:BR736)</f>
        <v>0</v>
      </c>
      <c r="BV736">
        <f>IF(ISNUMBER(AB736),INDEX(AllCollegeChicago, MATCH(N736,AllCollegeNCES,0))*BB736,0)</f>
        <v>0</v>
      </c>
      <c r="BW736">
        <f>IF(ISNUMBER(AB736),INDEX(AllCollegeMoneyCode, MATCH(N736,AllCollegeNCES,0)),"?")</f>
        <v>0</v>
      </c>
      <c r="BX736">
        <f>IF(OR(BW736="---",BW736="--",BW736="+/--",BW736="+/---"),1,0)</f>
        <v>0</v>
      </c>
      <c r="BY736">
        <f>BB736*AR736*AT736</f>
        <v>0</v>
      </c>
    </row>
    <row r="737" spans="1:77">
      <c r="A737" t="s">
        <v>96</v>
      </c>
      <c r="B737">
        <v>30316543</v>
      </c>
      <c r="C737" t="s">
        <v>288</v>
      </c>
      <c r="D737" t="s">
        <v>289</v>
      </c>
      <c r="E737" t="s">
        <v>446</v>
      </c>
      <c r="F737" t="s">
        <v>471</v>
      </c>
      <c r="G737" t="s">
        <v>448</v>
      </c>
      <c r="H737" t="s">
        <v>449</v>
      </c>
      <c r="I737" t="s">
        <v>450</v>
      </c>
      <c r="J737" t="s">
        <v>450</v>
      </c>
      <c r="K737">
        <v>0</v>
      </c>
      <c r="L737" t="s">
        <v>446</v>
      </c>
      <c r="M737" t="s">
        <v>446</v>
      </c>
      <c r="N737">
        <v>202523</v>
      </c>
      <c r="O737">
        <f>INDEX(Counselor,MATCH(B737,KidIDs,0))</f>
        <v>0</v>
      </c>
      <c r="P737">
        <f>INDEX(Advisors,MATCH(B737,KidIDs,0))</f>
        <v>0</v>
      </c>
      <c r="Q737">
        <f>INDEX(Cohort,MATCH(B737,KidIDs,0))</f>
        <v>0</v>
      </c>
      <c r="R737">
        <f>INDEX(AllCollegeBarrons,MATCH(N737,AllCollegeNCES,0))</f>
        <v>0</v>
      </c>
      <c r="S737">
        <f>INDEX(KidGPAs,MATCH(B737,KidIDs,0))</f>
        <v>0</v>
      </c>
      <c r="T737">
        <f>INDEX(KidSATs,MATCH(B737,KidIDs,0))</f>
        <v>0</v>
      </c>
      <c r="U737">
        <f>INDEX(Strats,MATCH(B737,KidIDs,0))</f>
        <v>0</v>
      </c>
      <c r="V737">
        <f>INDEX(KidRace,MATCH(B737,KidIDs,0))</f>
        <v>0</v>
      </c>
      <c r="W737">
        <f>IF(OR(V737="M",V737="I"),"H",IF(V737="P","A",V737))</f>
        <v>0</v>
      </c>
      <c r="X737">
        <f>INDEX(StudentTargets,MATCH(B737,KidIDs,0))</f>
        <v>0</v>
      </c>
      <c r="Y737">
        <f>INDEX(ReachStudentTargets,MATCH(B737,KidIDs,0))</f>
        <v>0</v>
      </c>
      <c r="Z737">
        <f>IF(OR(M737="Posse"),1,0)</f>
        <v>0</v>
      </c>
      <c r="AA737">
        <f>IF(ISNUMBER(INDEX(AllCollegeGR, MATCH(N737,AllCollegeNCES,0))),ROUND(INDEX(AllCollegeGR, MATCH(N737,AllCollegeNCES,0))+Z737*IF(INDEX(AllCollegeGR, MATCH(N737,AllCollegeNCES,0))&gt;0.7,(1-INDEX(AllCollegeGR, MATCH(N737,AllCollegeNCES,0)))/2,0.15),2),INDEX(AllCollegeGR, MATCH(N737,AllCollegeNCES,0)))</f>
        <v>0</v>
      </c>
      <c r="AB737">
        <f>IF(ISNUMBER(INDEX(AllCollegeAAHGR, MATCH(N737,AllCollegeNCES,0))),ROUND(INDEX(AllCollegeAAHGR, MATCH(N737,AllCollegeNCES,0))+Z737*IF(INDEX(AllCollegeAAHGR, MATCH(N737,AllCollegeNCES,0))&gt;0.7,(1-INDEX(AllCollegeAAHGR, MATCH(N737,AllCollegeNCES,0)))/2,0.15),2),INDEX(AllCollegeAAHGR, MATCH(N737,AllCollegeNCES,0)))</f>
        <v>0</v>
      </c>
      <c r="AC737">
        <f>IF(OR(W737="H",W737="B"),INDEX(AllCollegeSAT25, MATCH(N737,AllCollegeNCES,0)),INDEX(AllCollegeSAT50, MATCH(N737,AllCollegeNCES,0)))</f>
        <v>0</v>
      </c>
      <c r="AD737">
        <f>INDEX(CustomWeightsGPA,MATCH(W737&amp;":"&amp;N737,CustomWeightsIndex,0))</f>
        <v>0</v>
      </c>
      <c r="AE737">
        <f>INDEX(CustomWeightsSAT,MATCH(W737&amp;":"&amp;N737,CustomWeightsIndex,0))</f>
        <v>0</v>
      </c>
      <c r="AF737">
        <f>INDEX(CustomWeightsIntercept,MATCH(W737&amp;":"&amp;N737,CustomWeightsIndex,0))</f>
        <v>0</v>
      </c>
      <c r="AG737">
        <f>AD737*S737+AE737*T737+AF737</f>
        <v>0</v>
      </c>
      <c r="AH737">
        <f>INDEX(CoefficientsGPA,MATCH(W737&amp;":"&amp;R737,CoefficientsIndex,0))</f>
        <v>0</v>
      </c>
      <c r="AI737">
        <f>INDEX(CoefficientsSAT,MATCH(W737&amp;":"&amp;R737,CoefficientsIndex,0))</f>
        <v>0</v>
      </c>
      <c r="AJ737">
        <f>INDEX(CoefficientsIntercept,MATCH(W737&amp;":"&amp;R737,CoefficientsIndex,0))</f>
        <v>0</v>
      </c>
      <c r="AK737">
        <f>AH737*S737+(T737-AC737)*AI737+AJ737</f>
        <v>0</v>
      </c>
      <c r="AL737">
        <f>IF(ISNUMBER(AG737),AG737,AK737)</f>
        <v>0</v>
      </c>
      <c r="AM737">
        <f>IF(ISNUMBER(AL737),IF(ISNUMBER(AH737),IF(AND(AH737=1,AI737=1,AJ737=1),100,MIN(99,ROUND(100*EXP(AL737)/(1+EXP(AL737)),2))),MIN(99,ROUND(100*EXP(AL737)/(1+EXP(AL737)),2))),IF(ISTEXT(R737),IF(LEFT(R737,1)="2",100,"N/A"),"N/A"))</f>
        <v>0</v>
      </c>
      <c r="AN737">
        <f>IF(ISNUMBER(AM737),IF(AM737&gt;=99,IF(OR(U737=10,U737=11),MatchLabel,SureThingLabel),IF(AM737&gt;=95,SecureLabel,IF(AM737&gt;=80,SafetyLabel,IF(AM737&gt;=50,MatchLabel,IF(AM737&gt;=20,ReachLabel,IF(AM737&gt;=10,LongshotLabel,HailMaryLabel)))))),"Other")</f>
        <v>0</v>
      </c>
      <c r="AO737">
        <f>IF(OR(I737="accepted",I737="cond. accept",I737="summer admit"),IF(J737="yes","CHOICE!","Accepted!"),IF(I737="guar. transfer","Guar. Xfer",IF(I737="denied","Denied",IF(K737=1,"Waitlist",IF(L737=1,"Deferred",IF(G737="pending","Pending",IF(OR(G737="initial materials submitted",G737="mid-year submitted",G737="final submitted"),"Submitted",IF(H737="interest","Interest","?"))))))))</f>
        <v>0</v>
      </c>
      <c r="AP737">
        <f>IF(OR(AN737=ReachLabel,AN737=LongshotLabel,AN737=HailMaryLabel),1,0)</f>
        <v>0</v>
      </c>
      <c r="AQ737">
        <f>IF(OR(AP737=1,AN737=MatchLabel),1,0)</f>
        <v>0</v>
      </c>
      <c r="AR737">
        <f>IF(OR(AN737=MatchLabel,AN737=SafetyLabel,AN737=SecureLabel,AN737=SureThingLabel),1,0)</f>
        <v>0</v>
      </c>
      <c r="AS737">
        <f>IF(OR(W737="H",W737="B",W737="I",W737="M"),IF(ISNUMBER(AB737),ROUND(AB737,2),0),IF(ISNUMBER(AA737),ROUND(AA737,2),0))</f>
        <v>0</v>
      </c>
      <c r="AT737">
        <f>IF(AS737&gt;=X737,1,0)</f>
        <v>0</v>
      </c>
      <c r="AU737">
        <f>IF(AS737&gt;=Y737,1,0)</f>
        <v>0</v>
      </c>
      <c r="AV737">
        <f>IF(AS737&lt;(X737-0.10),1,0)</f>
        <v>0</v>
      </c>
      <c r="AW737">
        <f>1-AM737/100</f>
        <v>0</v>
      </c>
      <c r="AX737">
        <f>IF(AQ737=1,AW737,1)</f>
        <v>0</v>
      </c>
      <c r="AY737">
        <f>IF(AP737=1,AW737,1)</f>
        <v>0</v>
      </c>
      <c r="AZ737">
        <f>IF(AND(AT737=1,ISNUMBER(AW737)),$AW737,1)</f>
        <v>0</v>
      </c>
      <c r="BA737">
        <f>IF(AND(AU737=1,ISNUMBER(AW737)),$AW737,1)</f>
        <v>0</v>
      </c>
      <c r="BB737">
        <f>IF(ISNUMBER(AB737),INDEX(AllCollegeMoney, MATCH(N737,AllCollegeNCES,0)),0)</f>
        <v>0</v>
      </c>
      <c r="BC737">
        <f>IF(AND(AT737=1,ISNUMBER(AW737),BB737=1),$AW737,1)</f>
        <v>0</v>
      </c>
      <c r="BD737">
        <f>IF(AND(AU737=1,ISNUMBER(AW737),BB737=1),$AW737,1)</f>
        <v>0</v>
      </c>
      <c r="BE737">
        <f>IF(ISNUMBER(AB737),INDEX(AllCollegeILPub, MATCH(N737,AllCollegeNCES,0)),0)</f>
        <v>0</v>
      </c>
      <c r="BF737">
        <f>IF(AN737=ReachLabel,AS737,0)</f>
        <v>0</v>
      </c>
      <c r="BG737">
        <f>IF(AN737=MatchLabel,AS737,0)</f>
        <v>0</v>
      </c>
      <c r="BH737">
        <f>IF(AN737=SafetyLabel,AS737,0)</f>
        <v>0</v>
      </c>
      <c r="BI737">
        <f>IF(AN737=SecureLabel,AS737,0)</f>
        <v>0</v>
      </c>
      <c r="BJ737">
        <f>IF(AN737=SureThingLabel,AS737,0)</f>
        <v>0</v>
      </c>
      <c r="BK737">
        <f>MAX(BF737:BJ737)</f>
        <v>0</v>
      </c>
      <c r="BL737">
        <f>MAX(BG737:BJ737)</f>
        <v>0</v>
      </c>
      <c r="BM737">
        <f>MAX(BH737:BJ737)</f>
        <v>0</v>
      </c>
      <c r="BN737">
        <f>IF(AND(AN737=ReachLabel,BB737=1),AS737,0)</f>
        <v>0</v>
      </c>
      <c r="BO737">
        <f>IF(AND(AN737=MatchLabel,BB737=1),AS737,0)</f>
        <v>0</v>
      </c>
      <c r="BP737">
        <f>IF(AND(AN737=SafetyLabel,BB737=1),AS737,0)</f>
        <v>0</v>
      </c>
      <c r="BQ737">
        <f>IF(AND(AN737=SecureLabel,BB737=1),AS737,0)</f>
        <v>0</v>
      </c>
      <c r="BR737">
        <f>IF(AND(AN737=SureThingLabel,BB737=1),AS737,0)</f>
        <v>0</v>
      </c>
      <c r="BS737">
        <f>MAX(BN737:BR737)</f>
        <v>0</v>
      </c>
      <c r="BT737">
        <f>MAX(BO737:BR737)</f>
        <v>0</v>
      </c>
      <c r="BU737">
        <f>MAX(BP737:BR737)</f>
        <v>0</v>
      </c>
      <c r="BV737">
        <f>IF(ISNUMBER(AB737),INDEX(AllCollegeChicago, MATCH(N737,AllCollegeNCES,0))*BB737,0)</f>
        <v>0</v>
      </c>
      <c r="BW737">
        <f>IF(ISNUMBER(AB737),INDEX(AllCollegeMoneyCode, MATCH(N737,AllCollegeNCES,0)),"?")</f>
        <v>0</v>
      </c>
      <c r="BX737">
        <f>IF(OR(BW737="---",BW737="--",BW737="+/--",BW737="+/---"),1,0)</f>
        <v>0</v>
      </c>
      <c r="BY737">
        <f>BB737*AR737*AT737</f>
        <v>0</v>
      </c>
    </row>
    <row r="738" spans="1:77">
      <c r="A738" t="s">
        <v>96</v>
      </c>
      <c r="B738">
        <v>30316543</v>
      </c>
      <c r="C738" t="s">
        <v>288</v>
      </c>
      <c r="D738" t="s">
        <v>289</v>
      </c>
      <c r="E738" t="s">
        <v>446</v>
      </c>
      <c r="F738" t="s">
        <v>486</v>
      </c>
      <c r="G738" t="s">
        <v>448</v>
      </c>
      <c r="H738" t="s">
        <v>449</v>
      </c>
      <c r="I738" t="s">
        <v>450</v>
      </c>
      <c r="J738" t="s">
        <v>450</v>
      </c>
      <c r="K738">
        <v>0</v>
      </c>
      <c r="L738" t="s">
        <v>446</v>
      </c>
      <c r="M738" t="s">
        <v>446</v>
      </c>
      <c r="N738">
        <v>206589</v>
      </c>
      <c r="O738">
        <f>INDEX(Counselor,MATCH(B738,KidIDs,0))</f>
        <v>0</v>
      </c>
      <c r="P738">
        <f>INDEX(Advisors,MATCH(B738,KidIDs,0))</f>
        <v>0</v>
      </c>
      <c r="Q738">
        <f>INDEX(Cohort,MATCH(B738,KidIDs,0))</f>
        <v>0</v>
      </c>
      <c r="R738">
        <f>INDEX(AllCollegeBarrons,MATCH(N738,AllCollegeNCES,0))</f>
        <v>0</v>
      </c>
      <c r="S738">
        <f>INDEX(KidGPAs,MATCH(B738,KidIDs,0))</f>
        <v>0</v>
      </c>
      <c r="T738">
        <f>INDEX(KidSATs,MATCH(B738,KidIDs,0))</f>
        <v>0</v>
      </c>
      <c r="U738">
        <f>INDEX(Strats,MATCH(B738,KidIDs,0))</f>
        <v>0</v>
      </c>
      <c r="V738">
        <f>INDEX(KidRace,MATCH(B738,KidIDs,0))</f>
        <v>0</v>
      </c>
      <c r="W738">
        <f>IF(OR(V738="M",V738="I"),"H",IF(V738="P","A",V738))</f>
        <v>0</v>
      </c>
      <c r="X738">
        <f>INDEX(StudentTargets,MATCH(B738,KidIDs,0))</f>
        <v>0</v>
      </c>
      <c r="Y738">
        <f>INDEX(ReachStudentTargets,MATCH(B738,KidIDs,0))</f>
        <v>0</v>
      </c>
      <c r="Z738">
        <f>IF(OR(M738="Posse"),1,0)</f>
        <v>0</v>
      </c>
      <c r="AA738">
        <f>IF(ISNUMBER(INDEX(AllCollegeGR, MATCH(N738,AllCollegeNCES,0))),ROUND(INDEX(AllCollegeGR, MATCH(N738,AllCollegeNCES,0))+Z738*IF(INDEX(AllCollegeGR, MATCH(N738,AllCollegeNCES,0))&gt;0.7,(1-INDEX(AllCollegeGR, MATCH(N738,AllCollegeNCES,0)))/2,0.15),2),INDEX(AllCollegeGR, MATCH(N738,AllCollegeNCES,0)))</f>
        <v>0</v>
      </c>
      <c r="AB738">
        <f>IF(ISNUMBER(INDEX(AllCollegeAAHGR, MATCH(N738,AllCollegeNCES,0))),ROUND(INDEX(AllCollegeAAHGR, MATCH(N738,AllCollegeNCES,0))+Z738*IF(INDEX(AllCollegeAAHGR, MATCH(N738,AllCollegeNCES,0))&gt;0.7,(1-INDEX(AllCollegeAAHGR, MATCH(N738,AllCollegeNCES,0)))/2,0.15),2),INDEX(AllCollegeAAHGR, MATCH(N738,AllCollegeNCES,0)))</f>
        <v>0</v>
      </c>
      <c r="AC738">
        <f>IF(OR(W738="H",W738="B"),INDEX(AllCollegeSAT25, MATCH(N738,AllCollegeNCES,0)),INDEX(AllCollegeSAT50, MATCH(N738,AllCollegeNCES,0)))</f>
        <v>0</v>
      </c>
      <c r="AD738">
        <f>INDEX(CustomWeightsGPA,MATCH(W738&amp;":"&amp;N738,CustomWeightsIndex,0))</f>
        <v>0</v>
      </c>
      <c r="AE738">
        <f>INDEX(CustomWeightsSAT,MATCH(W738&amp;":"&amp;N738,CustomWeightsIndex,0))</f>
        <v>0</v>
      </c>
      <c r="AF738">
        <f>INDEX(CustomWeightsIntercept,MATCH(W738&amp;":"&amp;N738,CustomWeightsIndex,0))</f>
        <v>0</v>
      </c>
      <c r="AG738">
        <f>AD738*S738+AE738*T738+AF738</f>
        <v>0</v>
      </c>
      <c r="AH738">
        <f>INDEX(CoefficientsGPA,MATCH(W738&amp;":"&amp;R738,CoefficientsIndex,0))</f>
        <v>0</v>
      </c>
      <c r="AI738">
        <f>INDEX(CoefficientsSAT,MATCH(W738&amp;":"&amp;R738,CoefficientsIndex,0))</f>
        <v>0</v>
      </c>
      <c r="AJ738">
        <f>INDEX(CoefficientsIntercept,MATCH(W738&amp;":"&amp;R738,CoefficientsIndex,0))</f>
        <v>0</v>
      </c>
      <c r="AK738">
        <f>AH738*S738+(T738-AC738)*AI738+AJ738</f>
        <v>0</v>
      </c>
      <c r="AL738">
        <f>IF(ISNUMBER(AG738),AG738,AK738)</f>
        <v>0</v>
      </c>
      <c r="AM738">
        <f>IF(ISNUMBER(AL738),IF(ISNUMBER(AH738),IF(AND(AH738=1,AI738=1,AJ738=1),100,MIN(99,ROUND(100*EXP(AL738)/(1+EXP(AL738)),2))),MIN(99,ROUND(100*EXP(AL738)/(1+EXP(AL738)),2))),IF(ISTEXT(R738),IF(LEFT(R738,1)="2",100,"N/A"),"N/A"))</f>
        <v>0</v>
      </c>
      <c r="AN738">
        <f>IF(ISNUMBER(AM738),IF(AM738&gt;=99,IF(OR(U738=10,U738=11),MatchLabel,SureThingLabel),IF(AM738&gt;=95,SecureLabel,IF(AM738&gt;=80,SafetyLabel,IF(AM738&gt;=50,MatchLabel,IF(AM738&gt;=20,ReachLabel,IF(AM738&gt;=10,LongshotLabel,HailMaryLabel)))))),"Other")</f>
        <v>0</v>
      </c>
      <c r="AO738">
        <f>IF(OR(I738="accepted",I738="cond. accept",I738="summer admit"),IF(J738="yes","CHOICE!","Accepted!"),IF(I738="guar. transfer","Guar. Xfer",IF(I738="denied","Denied",IF(K738=1,"Waitlist",IF(L738=1,"Deferred",IF(G738="pending","Pending",IF(OR(G738="initial materials submitted",G738="mid-year submitted",G738="final submitted"),"Submitted",IF(H738="interest","Interest","?"))))))))</f>
        <v>0</v>
      </c>
      <c r="AP738">
        <f>IF(OR(AN738=ReachLabel,AN738=LongshotLabel,AN738=HailMaryLabel),1,0)</f>
        <v>0</v>
      </c>
      <c r="AQ738">
        <f>IF(OR(AP738=1,AN738=MatchLabel),1,0)</f>
        <v>0</v>
      </c>
      <c r="AR738">
        <f>IF(OR(AN738=MatchLabel,AN738=SafetyLabel,AN738=SecureLabel,AN738=SureThingLabel),1,0)</f>
        <v>0</v>
      </c>
      <c r="AS738">
        <f>IF(OR(W738="H",W738="B",W738="I",W738="M"),IF(ISNUMBER(AB738),ROUND(AB738,2),0),IF(ISNUMBER(AA738),ROUND(AA738,2),0))</f>
        <v>0</v>
      </c>
      <c r="AT738">
        <f>IF(AS738&gt;=X738,1,0)</f>
        <v>0</v>
      </c>
      <c r="AU738">
        <f>IF(AS738&gt;=Y738,1,0)</f>
        <v>0</v>
      </c>
      <c r="AV738">
        <f>IF(AS738&lt;(X738-0.10),1,0)</f>
        <v>0</v>
      </c>
      <c r="AW738">
        <f>1-AM738/100</f>
        <v>0</v>
      </c>
      <c r="AX738">
        <f>IF(AQ738=1,AW738,1)</f>
        <v>0</v>
      </c>
      <c r="AY738">
        <f>IF(AP738=1,AW738,1)</f>
        <v>0</v>
      </c>
      <c r="AZ738">
        <f>IF(AND(AT738=1,ISNUMBER(AW738)),$AW738,1)</f>
        <v>0</v>
      </c>
      <c r="BA738">
        <f>IF(AND(AU738=1,ISNUMBER(AW738)),$AW738,1)</f>
        <v>0</v>
      </c>
      <c r="BB738">
        <f>IF(ISNUMBER(AB738),INDEX(AllCollegeMoney, MATCH(N738,AllCollegeNCES,0)),0)</f>
        <v>0</v>
      </c>
      <c r="BC738">
        <f>IF(AND(AT738=1,ISNUMBER(AW738),BB738=1),$AW738,1)</f>
        <v>0</v>
      </c>
      <c r="BD738">
        <f>IF(AND(AU738=1,ISNUMBER(AW738),BB738=1),$AW738,1)</f>
        <v>0</v>
      </c>
      <c r="BE738">
        <f>IF(ISNUMBER(AB738),INDEX(AllCollegeILPub, MATCH(N738,AllCollegeNCES,0)),0)</f>
        <v>0</v>
      </c>
      <c r="BF738">
        <f>IF(AN738=ReachLabel,AS738,0)</f>
        <v>0</v>
      </c>
      <c r="BG738">
        <f>IF(AN738=MatchLabel,AS738,0)</f>
        <v>0</v>
      </c>
      <c r="BH738">
        <f>IF(AN738=SafetyLabel,AS738,0)</f>
        <v>0</v>
      </c>
      <c r="BI738">
        <f>IF(AN738=SecureLabel,AS738,0)</f>
        <v>0</v>
      </c>
      <c r="BJ738">
        <f>IF(AN738=SureThingLabel,AS738,0)</f>
        <v>0</v>
      </c>
      <c r="BK738">
        <f>MAX(BF738:BJ738)</f>
        <v>0</v>
      </c>
      <c r="BL738">
        <f>MAX(BG738:BJ738)</f>
        <v>0</v>
      </c>
      <c r="BM738">
        <f>MAX(BH738:BJ738)</f>
        <v>0</v>
      </c>
      <c r="BN738">
        <f>IF(AND(AN738=ReachLabel,BB738=1),AS738,0)</f>
        <v>0</v>
      </c>
      <c r="BO738">
        <f>IF(AND(AN738=MatchLabel,BB738=1),AS738,0)</f>
        <v>0</v>
      </c>
      <c r="BP738">
        <f>IF(AND(AN738=SafetyLabel,BB738=1),AS738,0)</f>
        <v>0</v>
      </c>
      <c r="BQ738">
        <f>IF(AND(AN738=SecureLabel,BB738=1),AS738,0)</f>
        <v>0</v>
      </c>
      <c r="BR738">
        <f>IF(AND(AN738=SureThingLabel,BB738=1),AS738,0)</f>
        <v>0</v>
      </c>
      <c r="BS738">
        <f>MAX(BN738:BR738)</f>
        <v>0</v>
      </c>
      <c r="BT738">
        <f>MAX(BO738:BR738)</f>
        <v>0</v>
      </c>
      <c r="BU738">
        <f>MAX(BP738:BR738)</f>
        <v>0</v>
      </c>
      <c r="BV738">
        <f>IF(ISNUMBER(AB738),INDEX(AllCollegeChicago, MATCH(N738,AllCollegeNCES,0))*BB738,0)</f>
        <v>0</v>
      </c>
      <c r="BW738">
        <f>IF(ISNUMBER(AB738),INDEX(AllCollegeMoneyCode, MATCH(N738,AllCollegeNCES,0)),"?")</f>
        <v>0</v>
      </c>
      <c r="BX738">
        <f>IF(OR(BW738="---",BW738="--",BW738="+/--",BW738="+/---"),1,0)</f>
        <v>0</v>
      </c>
      <c r="BY738">
        <f>BB738*AR738*AT738</f>
        <v>0</v>
      </c>
    </row>
    <row r="739" spans="1:77">
      <c r="A739" t="s">
        <v>96</v>
      </c>
      <c r="B739">
        <v>30316543</v>
      </c>
      <c r="C739" t="s">
        <v>288</v>
      </c>
      <c r="D739" t="s">
        <v>289</v>
      </c>
      <c r="E739" t="s">
        <v>446</v>
      </c>
      <c r="F739" t="s">
        <v>473</v>
      </c>
      <c r="G739" t="s">
        <v>448</v>
      </c>
      <c r="H739" t="s">
        <v>449</v>
      </c>
      <c r="I739" t="s">
        <v>450</v>
      </c>
      <c r="J739" t="s">
        <v>450</v>
      </c>
      <c r="K739">
        <v>0</v>
      </c>
      <c r="L739" t="s">
        <v>446</v>
      </c>
      <c r="M739" t="s">
        <v>446</v>
      </c>
      <c r="N739">
        <v>221519</v>
      </c>
      <c r="O739">
        <f>INDEX(Counselor,MATCH(B739,KidIDs,0))</f>
        <v>0</v>
      </c>
      <c r="P739">
        <f>INDEX(Advisors,MATCH(B739,KidIDs,0))</f>
        <v>0</v>
      </c>
      <c r="Q739">
        <f>INDEX(Cohort,MATCH(B739,KidIDs,0))</f>
        <v>0</v>
      </c>
      <c r="R739">
        <f>INDEX(AllCollegeBarrons,MATCH(N739,AllCollegeNCES,0))</f>
        <v>0</v>
      </c>
      <c r="S739">
        <f>INDEX(KidGPAs,MATCH(B739,KidIDs,0))</f>
        <v>0</v>
      </c>
      <c r="T739">
        <f>INDEX(KidSATs,MATCH(B739,KidIDs,0))</f>
        <v>0</v>
      </c>
      <c r="U739">
        <f>INDEX(Strats,MATCH(B739,KidIDs,0))</f>
        <v>0</v>
      </c>
      <c r="V739">
        <f>INDEX(KidRace,MATCH(B739,KidIDs,0))</f>
        <v>0</v>
      </c>
      <c r="W739">
        <f>IF(OR(V739="M",V739="I"),"H",IF(V739="P","A",V739))</f>
        <v>0</v>
      </c>
      <c r="X739">
        <f>INDEX(StudentTargets,MATCH(B739,KidIDs,0))</f>
        <v>0</v>
      </c>
      <c r="Y739">
        <f>INDEX(ReachStudentTargets,MATCH(B739,KidIDs,0))</f>
        <v>0</v>
      </c>
      <c r="Z739">
        <f>IF(OR(M739="Posse"),1,0)</f>
        <v>0</v>
      </c>
      <c r="AA739">
        <f>IF(ISNUMBER(INDEX(AllCollegeGR, MATCH(N739,AllCollegeNCES,0))),ROUND(INDEX(AllCollegeGR, MATCH(N739,AllCollegeNCES,0))+Z739*IF(INDEX(AllCollegeGR, MATCH(N739,AllCollegeNCES,0))&gt;0.7,(1-INDEX(AllCollegeGR, MATCH(N739,AllCollegeNCES,0)))/2,0.15),2),INDEX(AllCollegeGR, MATCH(N739,AllCollegeNCES,0)))</f>
        <v>0</v>
      </c>
      <c r="AB739">
        <f>IF(ISNUMBER(INDEX(AllCollegeAAHGR, MATCH(N739,AllCollegeNCES,0))),ROUND(INDEX(AllCollegeAAHGR, MATCH(N739,AllCollegeNCES,0))+Z739*IF(INDEX(AllCollegeAAHGR, MATCH(N739,AllCollegeNCES,0))&gt;0.7,(1-INDEX(AllCollegeAAHGR, MATCH(N739,AllCollegeNCES,0)))/2,0.15),2),INDEX(AllCollegeAAHGR, MATCH(N739,AllCollegeNCES,0)))</f>
        <v>0</v>
      </c>
      <c r="AC739">
        <f>IF(OR(W739="H",W739="B"),INDEX(AllCollegeSAT25, MATCH(N739,AllCollegeNCES,0)),INDEX(AllCollegeSAT50, MATCH(N739,AllCollegeNCES,0)))</f>
        <v>0</v>
      </c>
      <c r="AD739">
        <f>INDEX(CustomWeightsGPA,MATCH(W739&amp;":"&amp;N739,CustomWeightsIndex,0))</f>
        <v>0</v>
      </c>
      <c r="AE739">
        <f>INDEX(CustomWeightsSAT,MATCH(W739&amp;":"&amp;N739,CustomWeightsIndex,0))</f>
        <v>0</v>
      </c>
      <c r="AF739">
        <f>INDEX(CustomWeightsIntercept,MATCH(W739&amp;":"&amp;N739,CustomWeightsIndex,0))</f>
        <v>0</v>
      </c>
      <c r="AG739">
        <f>AD739*S739+AE739*T739+AF739</f>
        <v>0</v>
      </c>
      <c r="AH739">
        <f>INDEX(CoefficientsGPA,MATCH(W739&amp;":"&amp;R739,CoefficientsIndex,0))</f>
        <v>0</v>
      </c>
      <c r="AI739">
        <f>INDEX(CoefficientsSAT,MATCH(W739&amp;":"&amp;R739,CoefficientsIndex,0))</f>
        <v>0</v>
      </c>
      <c r="AJ739">
        <f>INDEX(CoefficientsIntercept,MATCH(W739&amp;":"&amp;R739,CoefficientsIndex,0))</f>
        <v>0</v>
      </c>
      <c r="AK739">
        <f>AH739*S739+(T739-AC739)*AI739+AJ739</f>
        <v>0</v>
      </c>
      <c r="AL739">
        <f>IF(ISNUMBER(AG739),AG739,AK739)</f>
        <v>0</v>
      </c>
      <c r="AM739">
        <f>IF(ISNUMBER(AL739),IF(ISNUMBER(AH739),IF(AND(AH739=1,AI739=1,AJ739=1),100,MIN(99,ROUND(100*EXP(AL739)/(1+EXP(AL739)),2))),MIN(99,ROUND(100*EXP(AL739)/(1+EXP(AL739)),2))),IF(ISTEXT(R739),IF(LEFT(R739,1)="2",100,"N/A"),"N/A"))</f>
        <v>0</v>
      </c>
      <c r="AN739">
        <f>IF(ISNUMBER(AM739),IF(AM739&gt;=99,IF(OR(U739=10,U739=11),MatchLabel,SureThingLabel),IF(AM739&gt;=95,SecureLabel,IF(AM739&gt;=80,SafetyLabel,IF(AM739&gt;=50,MatchLabel,IF(AM739&gt;=20,ReachLabel,IF(AM739&gt;=10,LongshotLabel,HailMaryLabel)))))),"Other")</f>
        <v>0</v>
      </c>
      <c r="AO739">
        <f>IF(OR(I739="accepted",I739="cond. accept",I739="summer admit"),IF(J739="yes","CHOICE!","Accepted!"),IF(I739="guar. transfer","Guar. Xfer",IF(I739="denied","Denied",IF(K739=1,"Waitlist",IF(L739=1,"Deferred",IF(G739="pending","Pending",IF(OR(G739="initial materials submitted",G739="mid-year submitted",G739="final submitted"),"Submitted",IF(H739="interest","Interest","?"))))))))</f>
        <v>0</v>
      </c>
      <c r="AP739">
        <f>IF(OR(AN739=ReachLabel,AN739=LongshotLabel,AN739=HailMaryLabel),1,0)</f>
        <v>0</v>
      </c>
      <c r="AQ739">
        <f>IF(OR(AP739=1,AN739=MatchLabel),1,0)</f>
        <v>0</v>
      </c>
      <c r="AR739">
        <f>IF(OR(AN739=MatchLabel,AN739=SafetyLabel,AN739=SecureLabel,AN739=SureThingLabel),1,0)</f>
        <v>0</v>
      </c>
      <c r="AS739">
        <f>IF(OR(W739="H",W739="B",W739="I",W739="M"),IF(ISNUMBER(AB739),ROUND(AB739,2),0),IF(ISNUMBER(AA739),ROUND(AA739,2),0))</f>
        <v>0</v>
      </c>
      <c r="AT739">
        <f>IF(AS739&gt;=X739,1,0)</f>
        <v>0</v>
      </c>
      <c r="AU739">
        <f>IF(AS739&gt;=Y739,1,0)</f>
        <v>0</v>
      </c>
      <c r="AV739">
        <f>IF(AS739&lt;(X739-0.10),1,0)</f>
        <v>0</v>
      </c>
      <c r="AW739">
        <f>1-AM739/100</f>
        <v>0</v>
      </c>
      <c r="AX739">
        <f>IF(AQ739=1,AW739,1)</f>
        <v>0</v>
      </c>
      <c r="AY739">
        <f>IF(AP739=1,AW739,1)</f>
        <v>0</v>
      </c>
      <c r="AZ739">
        <f>IF(AND(AT739=1,ISNUMBER(AW739)),$AW739,1)</f>
        <v>0</v>
      </c>
      <c r="BA739">
        <f>IF(AND(AU739=1,ISNUMBER(AW739)),$AW739,1)</f>
        <v>0</v>
      </c>
      <c r="BB739">
        <f>IF(ISNUMBER(AB739),INDEX(AllCollegeMoney, MATCH(N739,AllCollegeNCES,0)),0)</f>
        <v>0</v>
      </c>
      <c r="BC739">
        <f>IF(AND(AT739=1,ISNUMBER(AW739),BB739=1),$AW739,1)</f>
        <v>0</v>
      </c>
      <c r="BD739">
        <f>IF(AND(AU739=1,ISNUMBER(AW739),BB739=1),$AW739,1)</f>
        <v>0</v>
      </c>
      <c r="BE739">
        <f>IF(ISNUMBER(AB739),INDEX(AllCollegeILPub, MATCH(N739,AllCollegeNCES,0)),0)</f>
        <v>0</v>
      </c>
      <c r="BF739">
        <f>IF(AN739=ReachLabel,AS739,0)</f>
        <v>0</v>
      </c>
      <c r="BG739">
        <f>IF(AN739=MatchLabel,AS739,0)</f>
        <v>0</v>
      </c>
      <c r="BH739">
        <f>IF(AN739=SafetyLabel,AS739,0)</f>
        <v>0</v>
      </c>
      <c r="BI739">
        <f>IF(AN739=SecureLabel,AS739,0)</f>
        <v>0</v>
      </c>
      <c r="BJ739">
        <f>IF(AN739=SureThingLabel,AS739,0)</f>
        <v>0</v>
      </c>
      <c r="BK739">
        <f>MAX(BF739:BJ739)</f>
        <v>0</v>
      </c>
      <c r="BL739">
        <f>MAX(BG739:BJ739)</f>
        <v>0</v>
      </c>
      <c r="BM739">
        <f>MAX(BH739:BJ739)</f>
        <v>0</v>
      </c>
      <c r="BN739">
        <f>IF(AND(AN739=ReachLabel,BB739=1),AS739,0)</f>
        <v>0</v>
      </c>
      <c r="BO739">
        <f>IF(AND(AN739=MatchLabel,BB739=1),AS739,0)</f>
        <v>0</v>
      </c>
      <c r="BP739">
        <f>IF(AND(AN739=SafetyLabel,BB739=1),AS739,0)</f>
        <v>0</v>
      </c>
      <c r="BQ739">
        <f>IF(AND(AN739=SecureLabel,BB739=1),AS739,0)</f>
        <v>0</v>
      </c>
      <c r="BR739">
        <f>IF(AND(AN739=SureThingLabel,BB739=1),AS739,0)</f>
        <v>0</v>
      </c>
      <c r="BS739">
        <f>MAX(BN739:BR739)</f>
        <v>0</v>
      </c>
      <c r="BT739">
        <f>MAX(BO739:BR739)</f>
        <v>0</v>
      </c>
      <c r="BU739">
        <f>MAX(BP739:BR739)</f>
        <v>0</v>
      </c>
      <c r="BV739">
        <f>IF(ISNUMBER(AB739),INDEX(AllCollegeChicago, MATCH(N739,AllCollegeNCES,0))*BB739,0)</f>
        <v>0</v>
      </c>
      <c r="BW739">
        <f>IF(ISNUMBER(AB739),INDEX(AllCollegeMoneyCode, MATCH(N739,AllCollegeNCES,0)),"?")</f>
        <v>0</v>
      </c>
      <c r="BX739">
        <f>IF(OR(BW739="---",BW739="--",BW739="+/--",BW739="+/---"),1,0)</f>
        <v>0</v>
      </c>
      <c r="BY739">
        <f>BB739*AR739*AT739</f>
        <v>0</v>
      </c>
    </row>
    <row r="740" spans="1:77">
      <c r="A740" t="s">
        <v>96</v>
      </c>
      <c r="B740">
        <v>30316543</v>
      </c>
      <c r="C740" t="s">
        <v>288</v>
      </c>
      <c r="D740" t="s">
        <v>289</v>
      </c>
      <c r="E740" t="s">
        <v>446</v>
      </c>
      <c r="F740" t="s">
        <v>475</v>
      </c>
      <c r="G740" t="s">
        <v>448</v>
      </c>
      <c r="H740" t="s">
        <v>449</v>
      </c>
      <c r="I740" t="s">
        <v>450</v>
      </c>
      <c r="J740" t="s">
        <v>450</v>
      </c>
      <c r="K740">
        <v>0</v>
      </c>
      <c r="L740" t="s">
        <v>446</v>
      </c>
      <c r="M740" t="s">
        <v>446</v>
      </c>
      <c r="N740">
        <v>145637</v>
      </c>
      <c r="O740">
        <f>INDEX(Counselor,MATCH(B740,KidIDs,0))</f>
        <v>0</v>
      </c>
      <c r="P740">
        <f>INDEX(Advisors,MATCH(B740,KidIDs,0))</f>
        <v>0</v>
      </c>
      <c r="Q740">
        <f>INDEX(Cohort,MATCH(B740,KidIDs,0))</f>
        <v>0</v>
      </c>
      <c r="R740">
        <f>INDEX(AllCollegeBarrons,MATCH(N740,AllCollegeNCES,0))</f>
        <v>0</v>
      </c>
      <c r="S740">
        <f>INDEX(KidGPAs,MATCH(B740,KidIDs,0))</f>
        <v>0</v>
      </c>
      <c r="T740">
        <f>INDEX(KidSATs,MATCH(B740,KidIDs,0))</f>
        <v>0</v>
      </c>
      <c r="U740">
        <f>INDEX(Strats,MATCH(B740,KidIDs,0))</f>
        <v>0</v>
      </c>
      <c r="V740">
        <f>INDEX(KidRace,MATCH(B740,KidIDs,0))</f>
        <v>0</v>
      </c>
      <c r="W740">
        <f>IF(OR(V740="M",V740="I"),"H",IF(V740="P","A",V740))</f>
        <v>0</v>
      </c>
      <c r="X740">
        <f>INDEX(StudentTargets,MATCH(B740,KidIDs,0))</f>
        <v>0</v>
      </c>
      <c r="Y740">
        <f>INDEX(ReachStudentTargets,MATCH(B740,KidIDs,0))</f>
        <v>0</v>
      </c>
      <c r="Z740">
        <f>IF(OR(M740="Posse"),1,0)</f>
        <v>0</v>
      </c>
      <c r="AA740">
        <f>IF(ISNUMBER(INDEX(AllCollegeGR, MATCH(N740,AllCollegeNCES,0))),ROUND(INDEX(AllCollegeGR, MATCH(N740,AllCollegeNCES,0))+Z740*IF(INDEX(AllCollegeGR, MATCH(N740,AllCollegeNCES,0))&gt;0.7,(1-INDEX(AllCollegeGR, MATCH(N740,AllCollegeNCES,0)))/2,0.15),2),INDEX(AllCollegeGR, MATCH(N740,AllCollegeNCES,0)))</f>
        <v>0</v>
      </c>
      <c r="AB740">
        <f>IF(ISNUMBER(INDEX(AllCollegeAAHGR, MATCH(N740,AllCollegeNCES,0))),ROUND(INDEX(AllCollegeAAHGR, MATCH(N740,AllCollegeNCES,0))+Z740*IF(INDEX(AllCollegeAAHGR, MATCH(N740,AllCollegeNCES,0))&gt;0.7,(1-INDEX(AllCollegeAAHGR, MATCH(N740,AllCollegeNCES,0)))/2,0.15),2),INDEX(AllCollegeAAHGR, MATCH(N740,AllCollegeNCES,0)))</f>
        <v>0</v>
      </c>
      <c r="AC740">
        <f>IF(OR(W740="H",W740="B"),INDEX(AllCollegeSAT25, MATCH(N740,AllCollegeNCES,0)),INDEX(AllCollegeSAT50, MATCH(N740,AllCollegeNCES,0)))</f>
        <v>0</v>
      </c>
      <c r="AD740">
        <f>INDEX(CustomWeightsGPA,MATCH(W740&amp;":"&amp;N740,CustomWeightsIndex,0))</f>
        <v>0</v>
      </c>
      <c r="AE740">
        <f>INDEX(CustomWeightsSAT,MATCH(W740&amp;":"&amp;N740,CustomWeightsIndex,0))</f>
        <v>0</v>
      </c>
      <c r="AF740">
        <f>INDEX(CustomWeightsIntercept,MATCH(W740&amp;":"&amp;N740,CustomWeightsIndex,0))</f>
        <v>0</v>
      </c>
      <c r="AG740">
        <f>AD740*S740+AE740*T740+AF740</f>
        <v>0</v>
      </c>
      <c r="AH740">
        <f>INDEX(CoefficientsGPA,MATCH(W740&amp;":"&amp;R740,CoefficientsIndex,0))</f>
        <v>0</v>
      </c>
      <c r="AI740">
        <f>INDEX(CoefficientsSAT,MATCH(W740&amp;":"&amp;R740,CoefficientsIndex,0))</f>
        <v>0</v>
      </c>
      <c r="AJ740">
        <f>INDEX(CoefficientsIntercept,MATCH(W740&amp;":"&amp;R740,CoefficientsIndex,0))</f>
        <v>0</v>
      </c>
      <c r="AK740">
        <f>AH740*S740+(T740-AC740)*AI740+AJ740</f>
        <v>0</v>
      </c>
      <c r="AL740">
        <f>IF(ISNUMBER(AG740),AG740,AK740)</f>
        <v>0</v>
      </c>
      <c r="AM740">
        <f>IF(ISNUMBER(AL740),IF(ISNUMBER(AH740),IF(AND(AH740=1,AI740=1,AJ740=1),100,MIN(99,ROUND(100*EXP(AL740)/(1+EXP(AL740)),2))),MIN(99,ROUND(100*EXP(AL740)/(1+EXP(AL740)),2))),IF(ISTEXT(R740),IF(LEFT(R740,1)="2",100,"N/A"),"N/A"))</f>
        <v>0</v>
      </c>
      <c r="AN740">
        <f>IF(ISNUMBER(AM740),IF(AM740&gt;=99,IF(OR(U740=10,U740=11),MatchLabel,SureThingLabel),IF(AM740&gt;=95,SecureLabel,IF(AM740&gt;=80,SafetyLabel,IF(AM740&gt;=50,MatchLabel,IF(AM740&gt;=20,ReachLabel,IF(AM740&gt;=10,LongshotLabel,HailMaryLabel)))))),"Other")</f>
        <v>0</v>
      </c>
      <c r="AO740">
        <f>IF(OR(I740="accepted",I740="cond. accept",I740="summer admit"),IF(J740="yes","CHOICE!","Accepted!"),IF(I740="guar. transfer","Guar. Xfer",IF(I740="denied","Denied",IF(K740=1,"Waitlist",IF(L740=1,"Deferred",IF(G740="pending","Pending",IF(OR(G740="initial materials submitted",G740="mid-year submitted",G740="final submitted"),"Submitted",IF(H740="interest","Interest","?"))))))))</f>
        <v>0</v>
      </c>
      <c r="AP740">
        <f>IF(OR(AN740=ReachLabel,AN740=LongshotLabel,AN740=HailMaryLabel),1,0)</f>
        <v>0</v>
      </c>
      <c r="AQ740">
        <f>IF(OR(AP740=1,AN740=MatchLabel),1,0)</f>
        <v>0</v>
      </c>
      <c r="AR740">
        <f>IF(OR(AN740=MatchLabel,AN740=SafetyLabel,AN740=SecureLabel,AN740=SureThingLabel),1,0)</f>
        <v>0</v>
      </c>
      <c r="AS740">
        <f>IF(OR(W740="H",W740="B",W740="I",W740="M"),IF(ISNUMBER(AB740),ROUND(AB740,2),0),IF(ISNUMBER(AA740),ROUND(AA740,2),0))</f>
        <v>0</v>
      </c>
      <c r="AT740">
        <f>IF(AS740&gt;=X740,1,0)</f>
        <v>0</v>
      </c>
      <c r="AU740">
        <f>IF(AS740&gt;=Y740,1,0)</f>
        <v>0</v>
      </c>
      <c r="AV740">
        <f>IF(AS740&lt;(X740-0.10),1,0)</f>
        <v>0</v>
      </c>
      <c r="AW740">
        <f>1-AM740/100</f>
        <v>0</v>
      </c>
      <c r="AX740">
        <f>IF(AQ740=1,AW740,1)</f>
        <v>0</v>
      </c>
      <c r="AY740">
        <f>IF(AP740=1,AW740,1)</f>
        <v>0</v>
      </c>
      <c r="AZ740">
        <f>IF(AND(AT740=1,ISNUMBER(AW740)),$AW740,1)</f>
        <v>0</v>
      </c>
      <c r="BA740">
        <f>IF(AND(AU740=1,ISNUMBER(AW740)),$AW740,1)</f>
        <v>0</v>
      </c>
      <c r="BB740">
        <f>IF(ISNUMBER(AB740),INDEX(AllCollegeMoney, MATCH(N740,AllCollegeNCES,0)),0)</f>
        <v>0</v>
      </c>
      <c r="BC740">
        <f>IF(AND(AT740=1,ISNUMBER(AW740),BB740=1),$AW740,1)</f>
        <v>0</v>
      </c>
      <c r="BD740">
        <f>IF(AND(AU740=1,ISNUMBER(AW740),BB740=1),$AW740,1)</f>
        <v>0</v>
      </c>
      <c r="BE740">
        <f>IF(ISNUMBER(AB740),INDEX(AllCollegeILPub, MATCH(N740,AllCollegeNCES,0)),0)</f>
        <v>0</v>
      </c>
      <c r="BF740">
        <f>IF(AN740=ReachLabel,AS740,0)</f>
        <v>0</v>
      </c>
      <c r="BG740">
        <f>IF(AN740=MatchLabel,AS740,0)</f>
        <v>0</v>
      </c>
      <c r="BH740">
        <f>IF(AN740=SafetyLabel,AS740,0)</f>
        <v>0</v>
      </c>
      <c r="BI740">
        <f>IF(AN740=SecureLabel,AS740,0)</f>
        <v>0</v>
      </c>
      <c r="BJ740">
        <f>IF(AN740=SureThingLabel,AS740,0)</f>
        <v>0</v>
      </c>
      <c r="BK740">
        <f>MAX(BF740:BJ740)</f>
        <v>0</v>
      </c>
      <c r="BL740">
        <f>MAX(BG740:BJ740)</f>
        <v>0</v>
      </c>
      <c r="BM740">
        <f>MAX(BH740:BJ740)</f>
        <v>0</v>
      </c>
      <c r="BN740">
        <f>IF(AND(AN740=ReachLabel,BB740=1),AS740,0)</f>
        <v>0</v>
      </c>
      <c r="BO740">
        <f>IF(AND(AN740=MatchLabel,BB740=1),AS740,0)</f>
        <v>0</v>
      </c>
      <c r="BP740">
        <f>IF(AND(AN740=SafetyLabel,BB740=1),AS740,0)</f>
        <v>0</v>
      </c>
      <c r="BQ740">
        <f>IF(AND(AN740=SecureLabel,BB740=1),AS740,0)</f>
        <v>0</v>
      </c>
      <c r="BR740">
        <f>IF(AND(AN740=SureThingLabel,BB740=1),AS740,0)</f>
        <v>0</v>
      </c>
      <c r="BS740">
        <f>MAX(BN740:BR740)</f>
        <v>0</v>
      </c>
      <c r="BT740">
        <f>MAX(BO740:BR740)</f>
        <v>0</v>
      </c>
      <c r="BU740">
        <f>MAX(BP740:BR740)</f>
        <v>0</v>
      </c>
      <c r="BV740">
        <f>IF(ISNUMBER(AB740),INDEX(AllCollegeChicago, MATCH(N740,AllCollegeNCES,0))*BB740,0)</f>
        <v>0</v>
      </c>
      <c r="BW740">
        <f>IF(ISNUMBER(AB740),INDEX(AllCollegeMoneyCode, MATCH(N740,AllCollegeNCES,0)),"?")</f>
        <v>0</v>
      </c>
      <c r="BX740">
        <f>IF(OR(BW740="---",BW740="--",BW740="+/--",BW740="+/---"),1,0)</f>
        <v>0</v>
      </c>
      <c r="BY740">
        <f>BB740*AR740*AT740</f>
        <v>0</v>
      </c>
    </row>
    <row r="741" spans="1:77">
      <c r="A741" t="s">
        <v>96</v>
      </c>
      <c r="B741">
        <v>30316543</v>
      </c>
      <c r="C741" t="s">
        <v>288</v>
      </c>
      <c r="D741" t="s">
        <v>289</v>
      </c>
      <c r="E741" t="s">
        <v>446</v>
      </c>
      <c r="F741" t="s">
        <v>447</v>
      </c>
      <c r="G741" t="s">
        <v>448</v>
      </c>
      <c r="H741" t="s">
        <v>449</v>
      </c>
      <c r="I741" t="s">
        <v>450</v>
      </c>
      <c r="J741" t="s">
        <v>450</v>
      </c>
      <c r="K741">
        <v>0</v>
      </c>
      <c r="L741" t="s">
        <v>446</v>
      </c>
      <c r="M741" t="s">
        <v>446</v>
      </c>
      <c r="N741">
        <v>148496</v>
      </c>
      <c r="O741">
        <f>INDEX(Counselor,MATCH(B741,KidIDs,0))</f>
        <v>0</v>
      </c>
      <c r="P741">
        <f>INDEX(Advisors,MATCH(B741,KidIDs,0))</f>
        <v>0</v>
      </c>
      <c r="Q741">
        <f>INDEX(Cohort,MATCH(B741,KidIDs,0))</f>
        <v>0</v>
      </c>
      <c r="R741">
        <f>INDEX(AllCollegeBarrons,MATCH(N741,AllCollegeNCES,0))</f>
        <v>0</v>
      </c>
      <c r="S741">
        <f>INDEX(KidGPAs,MATCH(B741,KidIDs,0))</f>
        <v>0</v>
      </c>
      <c r="T741">
        <f>INDEX(KidSATs,MATCH(B741,KidIDs,0))</f>
        <v>0</v>
      </c>
      <c r="U741">
        <f>INDEX(Strats,MATCH(B741,KidIDs,0))</f>
        <v>0</v>
      </c>
      <c r="V741">
        <f>INDEX(KidRace,MATCH(B741,KidIDs,0))</f>
        <v>0</v>
      </c>
      <c r="W741">
        <f>IF(OR(V741="M",V741="I"),"H",IF(V741="P","A",V741))</f>
        <v>0</v>
      </c>
      <c r="X741">
        <f>INDEX(StudentTargets,MATCH(B741,KidIDs,0))</f>
        <v>0</v>
      </c>
      <c r="Y741">
        <f>INDEX(ReachStudentTargets,MATCH(B741,KidIDs,0))</f>
        <v>0</v>
      </c>
      <c r="Z741">
        <f>IF(OR(M741="Posse"),1,0)</f>
        <v>0</v>
      </c>
      <c r="AA741">
        <f>IF(ISNUMBER(INDEX(AllCollegeGR, MATCH(N741,AllCollegeNCES,0))),ROUND(INDEX(AllCollegeGR, MATCH(N741,AllCollegeNCES,0))+Z741*IF(INDEX(AllCollegeGR, MATCH(N741,AllCollegeNCES,0))&gt;0.7,(1-INDEX(AllCollegeGR, MATCH(N741,AllCollegeNCES,0)))/2,0.15),2),INDEX(AllCollegeGR, MATCH(N741,AllCollegeNCES,0)))</f>
        <v>0</v>
      </c>
      <c r="AB741">
        <f>IF(ISNUMBER(INDEX(AllCollegeAAHGR, MATCH(N741,AllCollegeNCES,0))),ROUND(INDEX(AllCollegeAAHGR, MATCH(N741,AllCollegeNCES,0))+Z741*IF(INDEX(AllCollegeAAHGR, MATCH(N741,AllCollegeNCES,0))&gt;0.7,(1-INDEX(AllCollegeAAHGR, MATCH(N741,AllCollegeNCES,0)))/2,0.15),2),INDEX(AllCollegeAAHGR, MATCH(N741,AllCollegeNCES,0)))</f>
        <v>0</v>
      </c>
      <c r="AC741">
        <f>IF(OR(W741="H",W741="B"),INDEX(AllCollegeSAT25, MATCH(N741,AllCollegeNCES,0)),INDEX(AllCollegeSAT50, MATCH(N741,AllCollegeNCES,0)))</f>
        <v>0</v>
      </c>
      <c r="AD741">
        <f>INDEX(CustomWeightsGPA,MATCH(W741&amp;":"&amp;N741,CustomWeightsIndex,0))</f>
        <v>0</v>
      </c>
      <c r="AE741">
        <f>INDEX(CustomWeightsSAT,MATCH(W741&amp;":"&amp;N741,CustomWeightsIndex,0))</f>
        <v>0</v>
      </c>
      <c r="AF741">
        <f>INDEX(CustomWeightsIntercept,MATCH(W741&amp;":"&amp;N741,CustomWeightsIndex,0))</f>
        <v>0</v>
      </c>
      <c r="AG741">
        <f>AD741*S741+AE741*T741+AF741</f>
        <v>0</v>
      </c>
      <c r="AH741">
        <f>INDEX(CoefficientsGPA,MATCH(W741&amp;":"&amp;R741,CoefficientsIndex,0))</f>
        <v>0</v>
      </c>
      <c r="AI741">
        <f>INDEX(CoefficientsSAT,MATCH(W741&amp;":"&amp;R741,CoefficientsIndex,0))</f>
        <v>0</v>
      </c>
      <c r="AJ741">
        <f>INDEX(CoefficientsIntercept,MATCH(W741&amp;":"&amp;R741,CoefficientsIndex,0))</f>
        <v>0</v>
      </c>
      <c r="AK741">
        <f>AH741*S741+(T741-AC741)*AI741+AJ741</f>
        <v>0</v>
      </c>
      <c r="AL741">
        <f>IF(ISNUMBER(AG741),AG741,AK741)</f>
        <v>0</v>
      </c>
      <c r="AM741">
        <f>IF(ISNUMBER(AL741),IF(ISNUMBER(AH741),IF(AND(AH741=1,AI741=1,AJ741=1),100,MIN(99,ROUND(100*EXP(AL741)/(1+EXP(AL741)),2))),MIN(99,ROUND(100*EXP(AL741)/(1+EXP(AL741)),2))),IF(ISTEXT(R741),IF(LEFT(R741,1)="2",100,"N/A"),"N/A"))</f>
        <v>0</v>
      </c>
      <c r="AN741">
        <f>IF(ISNUMBER(AM741),IF(AM741&gt;=99,IF(OR(U741=10,U741=11),MatchLabel,SureThingLabel),IF(AM741&gt;=95,SecureLabel,IF(AM741&gt;=80,SafetyLabel,IF(AM741&gt;=50,MatchLabel,IF(AM741&gt;=20,ReachLabel,IF(AM741&gt;=10,LongshotLabel,HailMaryLabel)))))),"Other")</f>
        <v>0</v>
      </c>
      <c r="AO741">
        <f>IF(OR(I741="accepted",I741="cond. accept",I741="summer admit"),IF(J741="yes","CHOICE!","Accepted!"),IF(I741="guar. transfer","Guar. Xfer",IF(I741="denied","Denied",IF(K741=1,"Waitlist",IF(L741=1,"Deferred",IF(G741="pending","Pending",IF(OR(G741="initial materials submitted",G741="mid-year submitted",G741="final submitted"),"Submitted",IF(H741="interest","Interest","?"))))))))</f>
        <v>0</v>
      </c>
      <c r="AP741">
        <f>IF(OR(AN741=ReachLabel,AN741=LongshotLabel,AN741=HailMaryLabel),1,0)</f>
        <v>0</v>
      </c>
      <c r="AQ741">
        <f>IF(OR(AP741=1,AN741=MatchLabel),1,0)</f>
        <v>0</v>
      </c>
      <c r="AR741">
        <f>IF(OR(AN741=MatchLabel,AN741=SafetyLabel,AN741=SecureLabel,AN741=SureThingLabel),1,0)</f>
        <v>0</v>
      </c>
      <c r="AS741">
        <f>IF(OR(W741="H",W741="B",W741="I",W741="M"),IF(ISNUMBER(AB741),ROUND(AB741,2),0),IF(ISNUMBER(AA741),ROUND(AA741,2),0))</f>
        <v>0</v>
      </c>
      <c r="AT741">
        <f>IF(AS741&gt;=X741,1,0)</f>
        <v>0</v>
      </c>
      <c r="AU741">
        <f>IF(AS741&gt;=Y741,1,0)</f>
        <v>0</v>
      </c>
      <c r="AV741">
        <f>IF(AS741&lt;(X741-0.10),1,0)</f>
        <v>0</v>
      </c>
      <c r="AW741">
        <f>1-AM741/100</f>
        <v>0</v>
      </c>
      <c r="AX741">
        <f>IF(AQ741=1,AW741,1)</f>
        <v>0</v>
      </c>
      <c r="AY741">
        <f>IF(AP741=1,AW741,1)</f>
        <v>0</v>
      </c>
      <c r="AZ741">
        <f>IF(AND(AT741=1,ISNUMBER(AW741)),$AW741,1)</f>
        <v>0</v>
      </c>
      <c r="BA741">
        <f>IF(AND(AU741=1,ISNUMBER(AW741)),$AW741,1)</f>
        <v>0</v>
      </c>
      <c r="BB741">
        <f>IF(ISNUMBER(AB741),INDEX(AllCollegeMoney, MATCH(N741,AllCollegeNCES,0)),0)</f>
        <v>0</v>
      </c>
      <c r="BC741">
        <f>IF(AND(AT741=1,ISNUMBER(AW741),BB741=1),$AW741,1)</f>
        <v>0</v>
      </c>
      <c r="BD741">
        <f>IF(AND(AU741=1,ISNUMBER(AW741),BB741=1),$AW741,1)</f>
        <v>0</v>
      </c>
      <c r="BE741">
        <f>IF(ISNUMBER(AB741),INDEX(AllCollegeILPub, MATCH(N741,AllCollegeNCES,0)),0)</f>
        <v>0</v>
      </c>
      <c r="BF741">
        <f>IF(AN741=ReachLabel,AS741,0)</f>
        <v>0</v>
      </c>
      <c r="BG741">
        <f>IF(AN741=MatchLabel,AS741,0)</f>
        <v>0</v>
      </c>
      <c r="BH741">
        <f>IF(AN741=SafetyLabel,AS741,0)</f>
        <v>0</v>
      </c>
      <c r="BI741">
        <f>IF(AN741=SecureLabel,AS741,0)</f>
        <v>0</v>
      </c>
      <c r="BJ741">
        <f>IF(AN741=SureThingLabel,AS741,0)</f>
        <v>0</v>
      </c>
      <c r="BK741">
        <f>MAX(BF741:BJ741)</f>
        <v>0</v>
      </c>
      <c r="BL741">
        <f>MAX(BG741:BJ741)</f>
        <v>0</v>
      </c>
      <c r="BM741">
        <f>MAX(BH741:BJ741)</f>
        <v>0</v>
      </c>
      <c r="BN741">
        <f>IF(AND(AN741=ReachLabel,BB741=1),AS741,0)</f>
        <v>0</v>
      </c>
      <c r="BO741">
        <f>IF(AND(AN741=MatchLabel,BB741=1),AS741,0)</f>
        <v>0</v>
      </c>
      <c r="BP741">
        <f>IF(AND(AN741=SafetyLabel,BB741=1),AS741,0)</f>
        <v>0</v>
      </c>
      <c r="BQ741">
        <f>IF(AND(AN741=SecureLabel,BB741=1),AS741,0)</f>
        <v>0</v>
      </c>
      <c r="BR741">
        <f>IF(AND(AN741=SureThingLabel,BB741=1),AS741,0)</f>
        <v>0</v>
      </c>
      <c r="BS741">
        <f>MAX(BN741:BR741)</f>
        <v>0</v>
      </c>
      <c r="BT741">
        <f>MAX(BO741:BR741)</f>
        <v>0</v>
      </c>
      <c r="BU741">
        <f>MAX(BP741:BR741)</f>
        <v>0</v>
      </c>
      <c r="BV741">
        <f>IF(ISNUMBER(AB741),INDEX(AllCollegeChicago, MATCH(N741,AllCollegeNCES,0))*BB741,0)</f>
        <v>0</v>
      </c>
      <c r="BW741">
        <f>IF(ISNUMBER(AB741),INDEX(AllCollegeMoneyCode, MATCH(N741,AllCollegeNCES,0)),"?")</f>
        <v>0</v>
      </c>
      <c r="BX741">
        <f>IF(OR(BW741="---",BW741="--",BW741="+/--",BW741="+/---"),1,0)</f>
        <v>0</v>
      </c>
      <c r="BY741">
        <f>BB741*AR741*AT741</f>
        <v>0</v>
      </c>
    </row>
    <row r="742" spans="1:77">
      <c r="A742" t="s">
        <v>96</v>
      </c>
      <c r="B742">
        <v>30316543</v>
      </c>
      <c r="C742" t="s">
        <v>288</v>
      </c>
      <c r="D742" t="s">
        <v>289</v>
      </c>
      <c r="E742" t="s">
        <v>446</v>
      </c>
      <c r="F742" t="s">
        <v>525</v>
      </c>
      <c r="G742" t="s">
        <v>448</v>
      </c>
      <c r="H742" t="s">
        <v>449</v>
      </c>
      <c r="I742" t="s">
        <v>450</v>
      </c>
      <c r="J742" t="s">
        <v>450</v>
      </c>
      <c r="K742">
        <v>0</v>
      </c>
      <c r="L742" t="s">
        <v>446</v>
      </c>
      <c r="M742" t="s">
        <v>446</v>
      </c>
      <c r="N742">
        <v>209056</v>
      </c>
      <c r="O742">
        <f>INDEX(Counselor,MATCH(B742,KidIDs,0))</f>
        <v>0</v>
      </c>
      <c r="P742">
        <f>INDEX(Advisors,MATCH(B742,KidIDs,0))</f>
        <v>0</v>
      </c>
      <c r="Q742">
        <f>INDEX(Cohort,MATCH(B742,KidIDs,0))</f>
        <v>0</v>
      </c>
      <c r="R742">
        <f>INDEX(AllCollegeBarrons,MATCH(N742,AllCollegeNCES,0))</f>
        <v>0</v>
      </c>
      <c r="S742">
        <f>INDEX(KidGPAs,MATCH(B742,KidIDs,0))</f>
        <v>0</v>
      </c>
      <c r="T742">
        <f>INDEX(KidSATs,MATCH(B742,KidIDs,0))</f>
        <v>0</v>
      </c>
      <c r="U742">
        <f>INDEX(Strats,MATCH(B742,KidIDs,0))</f>
        <v>0</v>
      </c>
      <c r="V742">
        <f>INDEX(KidRace,MATCH(B742,KidIDs,0))</f>
        <v>0</v>
      </c>
      <c r="W742">
        <f>IF(OR(V742="M",V742="I"),"H",IF(V742="P","A",V742))</f>
        <v>0</v>
      </c>
      <c r="X742">
        <f>INDEX(StudentTargets,MATCH(B742,KidIDs,0))</f>
        <v>0</v>
      </c>
      <c r="Y742">
        <f>INDEX(ReachStudentTargets,MATCH(B742,KidIDs,0))</f>
        <v>0</v>
      </c>
      <c r="Z742">
        <f>IF(OR(M742="Posse"),1,0)</f>
        <v>0</v>
      </c>
      <c r="AA742">
        <f>IF(ISNUMBER(INDEX(AllCollegeGR, MATCH(N742,AllCollegeNCES,0))),ROUND(INDEX(AllCollegeGR, MATCH(N742,AllCollegeNCES,0))+Z742*IF(INDEX(AllCollegeGR, MATCH(N742,AllCollegeNCES,0))&gt;0.7,(1-INDEX(AllCollegeGR, MATCH(N742,AllCollegeNCES,0)))/2,0.15),2),INDEX(AllCollegeGR, MATCH(N742,AllCollegeNCES,0)))</f>
        <v>0</v>
      </c>
      <c r="AB742">
        <f>IF(ISNUMBER(INDEX(AllCollegeAAHGR, MATCH(N742,AllCollegeNCES,0))),ROUND(INDEX(AllCollegeAAHGR, MATCH(N742,AllCollegeNCES,0))+Z742*IF(INDEX(AllCollegeAAHGR, MATCH(N742,AllCollegeNCES,0))&gt;0.7,(1-INDEX(AllCollegeAAHGR, MATCH(N742,AllCollegeNCES,0)))/2,0.15),2),INDEX(AllCollegeAAHGR, MATCH(N742,AllCollegeNCES,0)))</f>
        <v>0</v>
      </c>
      <c r="AC742">
        <f>IF(OR(W742="H",W742="B"),INDEX(AllCollegeSAT25, MATCH(N742,AllCollegeNCES,0)),INDEX(AllCollegeSAT50, MATCH(N742,AllCollegeNCES,0)))</f>
        <v>0</v>
      </c>
      <c r="AD742">
        <f>INDEX(CustomWeightsGPA,MATCH(W742&amp;":"&amp;N742,CustomWeightsIndex,0))</f>
        <v>0</v>
      </c>
      <c r="AE742">
        <f>INDEX(CustomWeightsSAT,MATCH(W742&amp;":"&amp;N742,CustomWeightsIndex,0))</f>
        <v>0</v>
      </c>
      <c r="AF742">
        <f>INDEX(CustomWeightsIntercept,MATCH(W742&amp;":"&amp;N742,CustomWeightsIndex,0))</f>
        <v>0</v>
      </c>
      <c r="AG742">
        <f>AD742*S742+AE742*T742+AF742</f>
        <v>0</v>
      </c>
      <c r="AH742">
        <f>INDEX(CoefficientsGPA,MATCH(W742&amp;":"&amp;R742,CoefficientsIndex,0))</f>
        <v>0</v>
      </c>
      <c r="AI742">
        <f>INDEX(CoefficientsSAT,MATCH(W742&amp;":"&amp;R742,CoefficientsIndex,0))</f>
        <v>0</v>
      </c>
      <c r="AJ742">
        <f>INDEX(CoefficientsIntercept,MATCH(W742&amp;":"&amp;R742,CoefficientsIndex,0))</f>
        <v>0</v>
      </c>
      <c r="AK742">
        <f>AH742*S742+(T742-AC742)*AI742+AJ742</f>
        <v>0</v>
      </c>
      <c r="AL742">
        <f>IF(ISNUMBER(AG742),AG742,AK742)</f>
        <v>0</v>
      </c>
      <c r="AM742">
        <f>IF(ISNUMBER(AL742),IF(ISNUMBER(AH742),IF(AND(AH742=1,AI742=1,AJ742=1),100,MIN(99,ROUND(100*EXP(AL742)/(1+EXP(AL742)),2))),MIN(99,ROUND(100*EXP(AL742)/(1+EXP(AL742)),2))),IF(ISTEXT(R742),IF(LEFT(R742,1)="2",100,"N/A"),"N/A"))</f>
        <v>0</v>
      </c>
      <c r="AN742">
        <f>IF(ISNUMBER(AM742),IF(AM742&gt;=99,IF(OR(U742=10,U742=11),MatchLabel,SureThingLabel),IF(AM742&gt;=95,SecureLabel,IF(AM742&gt;=80,SafetyLabel,IF(AM742&gt;=50,MatchLabel,IF(AM742&gt;=20,ReachLabel,IF(AM742&gt;=10,LongshotLabel,HailMaryLabel)))))),"Other")</f>
        <v>0</v>
      </c>
      <c r="AO742">
        <f>IF(OR(I742="accepted",I742="cond. accept",I742="summer admit"),IF(J742="yes","CHOICE!","Accepted!"),IF(I742="guar. transfer","Guar. Xfer",IF(I742="denied","Denied",IF(K742=1,"Waitlist",IF(L742=1,"Deferred",IF(G742="pending","Pending",IF(OR(G742="initial materials submitted",G742="mid-year submitted",G742="final submitted"),"Submitted",IF(H742="interest","Interest","?"))))))))</f>
        <v>0</v>
      </c>
      <c r="AP742">
        <f>IF(OR(AN742=ReachLabel,AN742=LongshotLabel,AN742=HailMaryLabel),1,0)</f>
        <v>0</v>
      </c>
      <c r="AQ742">
        <f>IF(OR(AP742=1,AN742=MatchLabel),1,0)</f>
        <v>0</v>
      </c>
      <c r="AR742">
        <f>IF(OR(AN742=MatchLabel,AN742=SafetyLabel,AN742=SecureLabel,AN742=SureThingLabel),1,0)</f>
        <v>0</v>
      </c>
      <c r="AS742">
        <f>IF(OR(W742="H",W742="B",W742="I",W742="M"),IF(ISNUMBER(AB742),ROUND(AB742,2),0),IF(ISNUMBER(AA742),ROUND(AA742,2),0))</f>
        <v>0</v>
      </c>
      <c r="AT742">
        <f>IF(AS742&gt;=X742,1,0)</f>
        <v>0</v>
      </c>
      <c r="AU742">
        <f>IF(AS742&gt;=Y742,1,0)</f>
        <v>0</v>
      </c>
      <c r="AV742">
        <f>IF(AS742&lt;(X742-0.10),1,0)</f>
        <v>0</v>
      </c>
      <c r="AW742">
        <f>1-AM742/100</f>
        <v>0</v>
      </c>
      <c r="AX742">
        <f>IF(AQ742=1,AW742,1)</f>
        <v>0</v>
      </c>
      <c r="AY742">
        <f>IF(AP742=1,AW742,1)</f>
        <v>0</v>
      </c>
      <c r="AZ742">
        <f>IF(AND(AT742=1,ISNUMBER(AW742)),$AW742,1)</f>
        <v>0</v>
      </c>
      <c r="BA742">
        <f>IF(AND(AU742=1,ISNUMBER(AW742)),$AW742,1)</f>
        <v>0</v>
      </c>
      <c r="BB742">
        <f>IF(ISNUMBER(AB742),INDEX(AllCollegeMoney, MATCH(N742,AllCollegeNCES,0)),0)</f>
        <v>0</v>
      </c>
      <c r="BC742">
        <f>IF(AND(AT742=1,ISNUMBER(AW742),BB742=1),$AW742,1)</f>
        <v>0</v>
      </c>
      <c r="BD742">
        <f>IF(AND(AU742=1,ISNUMBER(AW742),BB742=1),$AW742,1)</f>
        <v>0</v>
      </c>
      <c r="BE742">
        <f>IF(ISNUMBER(AB742),INDEX(AllCollegeILPub, MATCH(N742,AllCollegeNCES,0)),0)</f>
        <v>0</v>
      </c>
      <c r="BF742">
        <f>IF(AN742=ReachLabel,AS742,0)</f>
        <v>0</v>
      </c>
      <c r="BG742">
        <f>IF(AN742=MatchLabel,AS742,0)</f>
        <v>0</v>
      </c>
      <c r="BH742">
        <f>IF(AN742=SafetyLabel,AS742,0)</f>
        <v>0</v>
      </c>
      <c r="BI742">
        <f>IF(AN742=SecureLabel,AS742,0)</f>
        <v>0</v>
      </c>
      <c r="BJ742">
        <f>IF(AN742=SureThingLabel,AS742,0)</f>
        <v>0</v>
      </c>
      <c r="BK742">
        <f>MAX(BF742:BJ742)</f>
        <v>0</v>
      </c>
      <c r="BL742">
        <f>MAX(BG742:BJ742)</f>
        <v>0</v>
      </c>
      <c r="BM742">
        <f>MAX(BH742:BJ742)</f>
        <v>0</v>
      </c>
      <c r="BN742">
        <f>IF(AND(AN742=ReachLabel,BB742=1),AS742,0)</f>
        <v>0</v>
      </c>
      <c r="BO742">
        <f>IF(AND(AN742=MatchLabel,BB742=1),AS742,0)</f>
        <v>0</v>
      </c>
      <c r="BP742">
        <f>IF(AND(AN742=SafetyLabel,BB742=1),AS742,0)</f>
        <v>0</v>
      </c>
      <c r="BQ742">
        <f>IF(AND(AN742=SecureLabel,BB742=1),AS742,0)</f>
        <v>0</v>
      </c>
      <c r="BR742">
        <f>IF(AND(AN742=SureThingLabel,BB742=1),AS742,0)</f>
        <v>0</v>
      </c>
      <c r="BS742">
        <f>MAX(BN742:BR742)</f>
        <v>0</v>
      </c>
      <c r="BT742">
        <f>MAX(BO742:BR742)</f>
        <v>0</v>
      </c>
      <c r="BU742">
        <f>MAX(BP742:BR742)</f>
        <v>0</v>
      </c>
      <c r="BV742">
        <f>IF(ISNUMBER(AB742),INDEX(AllCollegeChicago, MATCH(N742,AllCollegeNCES,0))*BB742,0)</f>
        <v>0</v>
      </c>
      <c r="BW742">
        <f>IF(ISNUMBER(AB742),INDEX(AllCollegeMoneyCode, MATCH(N742,AllCollegeNCES,0)),"?")</f>
        <v>0</v>
      </c>
      <c r="BX742">
        <f>IF(OR(BW742="---",BW742="--",BW742="+/--",BW742="+/---"),1,0)</f>
        <v>0</v>
      </c>
      <c r="BY742">
        <f>BB742*AR742*AT742</f>
        <v>0</v>
      </c>
    </row>
    <row r="743" spans="1:77">
      <c r="A743" t="s">
        <v>96</v>
      </c>
      <c r="B743">
        <v>30316543</v>
      </c>
      <c r="C743" t="s">
        <v>288</v>
      </c>
      <c r="D743" t="s">
        <v>289</v>
      </c>
      <c r="E743" t="s">
        <v>446</v>
      </c>
      <c r="F743" t="s">
        <v>477</v>
      </c>
      <c r="G743" t="s">
        <v>448</v>
      </c>
      <c r="H743" t="s">
        <v>449</v>
      </c>
      <c r="I743" t="s">
        <v>450</v>
      </c>
      <c r="J743" t="s">
        <v>450</v>
      </c>
      <c r="K743">
        <v>0</v>
      </c>
      <c r="L743" t="s">
        <v>446</v>
      </c>
      <c r="M743" t="s">
        <v>446</v>
      </c>
      <c r="N743">
        <v>146427</v>
      </c>
      <c r="O743">
        <f>INDEX(Counselor,MATCH(B743,KidIDs,0))</f>
        <v>0</v>
      </c>
      <c r="P743">
        <f>INDEX(Advisors,MATCH(B743,KidIDs,0))</f>
        <v>0</v>
      </c>
      <c r="Q743">
        <f>INDEX(Cohort,MATCH(B743,KidIDs,0))</f>
        <v>0</v>
      </c>
      <c r="R743">
        <f>INDEX(AllCollegeBarrons,MATCH(N743,AllCollegeNCES,0))</f>
        <v>0</v>
      </c>
      <c r="S743">
        <f>INDEX(KidGPAs,MATCH(B743,KidIDs,0))</f>
        <v>0</v>
      </c>
      <c r="T743">
        <f>INDEX(KidSATs,MATCH(B743,KidIDs,0))</f>
        <v>0</v>
      </c>
      <c r="U743">
        <f>INDEX(Strats,MATCH(B743,KidIDs,0))</f>
        <v>0</v>
      </c>
      <c r="V743">
        <f>INDEX(KidRace,MATCH(B743,KidIDs,0))</f>
        <v>0</v>
      </c>
      <c r="W743">
        <f>IF(OR(V743="M",V743="I"),"H",IF(V743="P","A",V743))</f>
        <v>0</v>
      </c>
      <c r="X743">
        <f>INDEX(StudentTargets,MATCH(B743,KidIDs,0))</f>
        <v>0</v>
      </c>
      <c r="Y743">
        <f>INDEX(ReachStudentTargets,MATCH(B743,KidIDs,0))</f>
        <v>0</v>
      </c>
      <c r="Z743">
        <f>IF(OR(M743="Posse"),1,0)</f>
        <v>0</v>
      </c>
      <c r="AA743">
        <f>IF(ISNUMBER(INDEX(AllCollegeGR, MATCH(N743,AllCollegeNCES,0))),ROUND(INDEX(AllCollegeGR, MATCH(N743,AllCollegeNCES,0))+Z743*IF(INDEX(AllCollegeGR, MATCH(N743,AllCollegeNCES,0))&gt;0.7,(1-INDEX(AllCollegeGR, MATCH(N743,AllCollegeNCES,0)))/2,0.15),2),INDEX(AllCollegeGR, MATCH(N743,AllCollegeNCES,0)))</f>
        <v>0</v>
      </c>
      <c r="AB743">
        <f>IF(ISNUMBER(INDEX(AllCollegeAAHGR, MATCH(N743,AllCollegeNCES,0))),ROUND(INDEX(AllCollegeAAHGR, MATCH(N743,AllCollegeNCES,0))+Z743*IF(INDEX(AllCollegeAAHGR, MATCH(N743,AllCollegeNCES,0))&gt;0.7,(1-INDEX(AllCollegeAAHGR, MATCH(N743,AllCollegeNCES,0)))/2,0.15),2),INDEX(AllCollegeAAHGR, MATCH(N743,AllCollegeNCES,0)))</f>
        <v>0</v>
      </c>
      <c r="AC743">
        <f>IF(OR(W743="H",W743="B"),INDEX(AllCollegeSAT25, MATCH(N743,AllCollegeNCES,0)),INDEX(AllCollegeSAT50, MATCH(N743,AllCollegeNCES,0)))</f>
        <v>0</v>
      </c>
      <c r="AD743">
        <f>INDEX(CustomWeightsGPA,MATCH(W743&amp;":"&amp;N743,CustomWeightsIndex,0))</f>
        <v>0</v>
      </c>
      <c r="AE743">
        <f>INDEX(CustomWeightsSAT,MATCH(W743&amp;":"&amp;N743,CustomWeightsIndex,0))</f>
        <v>0</v>
      </c>
      <c r="AF743">
        <f>INDEX(CustomWeightsIntercept,MATCH(W743&amp;":"&amp;N743,CustomWeightsIndex,0))</f>
        <v>0</v>
      </c>
      <c r="AG743">
        <f>AD743*S743+AE743*T743+AF743</f>
        <v>0</v>
      </c>
      <c r="AH743">
        <f>INDEX(CoefficientsGPA,MATCH(W743&amp;":"&amp;R743,CoefficientsIndex,0))</f>
        <v>0</v>
      </c>
      <c r="AI743">
        <f>INDEX(CoefficientsSAT,MATCH(W743&amp;":"&amp;R743,CoefficientsIndex,0))</f>
        <v>0</v>
      </c>
      <c r="AJ743">
        <f>INDEX(CoefficientsIntercept,MATCH(W743&amp;":"&amp;R743,CoefficientsIndex,0))</f>
        <v>0</v>
      </c>
      <c r="AK743">
        <f>AH743*S743+(T743-AC743)*AI743+AJ743</f>
        <v>0</v>
      </c>
      <c r="AL743">
        <f>IF(ISNUMBER(AG743),AG743,AK743)</f>
        <v>0</v>
      </c>
      <c r="AM743">
        <f>IF(ISNUMBER(AL743),IF(ISNUMBER(AH743),IF(AND(AH743=1,AI743=1,AJ743=1),100,MIN(99,ROUND(100*EXP(AL743)/(1+EXP(AL743)),2))),MIN(99,ROUND(100*EXP(AL743)/(1+EXP(AL743)),2))),IF(ISTEXT(R743),IF(LEFT(R743,1)="2",100,"N/A"),"N/A"))</f>
        <v>0</v>
      </c>
      <c r="AN743">
        <f>IF(ISNUMBER(AM743),IF(AM743&gt;=99,IF(OR(U743=10,U743=11),MatchLabel,SureThingLabel),IF(AM743&gt;=95,SecureLabel,IF(AM743&gt;=80,SafetyLabel,IF(AM743&gt;=50,MatchLabel,IF(AM743&gt;=20,ReachLabel,IF(AM743&gt;=10,LongshotLabel,HailMaryLabel)))))),"Other")</f>
        <v>0</v>
      </c>
      <c r="AO743">
        <f>IF(OR(I743="accepted",I743="cond. accept",I743="summer admit"),IF(J743="yes","CHOICE!","Accepted!"),IF(I743="guar. transfer","Guar. Xfer",IF(I743="denied","Denied",IF(K743=1,"Waitlist",IF(L743=1,"Deferred",IF(G743="pending","Pending",IF(OR(G743="initial materials submitted",G743="mid-year submitted",G743="final submitted"),"Submitted",IF(H743="interest","Interest","?"))))))))</f>
        <v>0</v>
      </c>
      <c r="AP743">
        <f>IF(OR(AN743=ReachLabel,AN743=LongshotLabel,AN743=HailMaryLabel),1,0)</f>
        <v>0</v>
      </c>
      <c r="AQ743">
        <f>IF(OR(AP743=1,AN743=MatchLabel),1,0)</f>
        <v>0</v>
      </c>
      <c r="AR743">
        <f>IF(OR(AN743=MatchLabel,AN743=SafetyLabel,AN743=SecureLabel,AN743=SureThingLabel),1,0)</f>
        <v>0</v>
      </c>
      <c r="AS743">
        <f>IF(OR(W743="H",W743="B",W743="I",W743="M"),IF(ISNUMBER(AB743),ROUND(AB743,2),0),IF(ISNUMBER(AA743),ROUND(AA743,2),0))</f>
        <v>0</v>
      </c>
      <c r="AT743">
        <f>IF(AS743&gt;=X743,1,0)</f>
        <v>0</v>
      </c>
      <c r="AU743">
        <f>IF(AS743&gt;=Y743,1,0)</f>
        <v>0</v>
      </c>
      <c r="AV743">
        <f>IF(AS743&lt;(X743-0.10),1,0)</f>
        <v>0</v>
      </c>
      <c r="AW743">
        <f>1-AM743/100</f>
        <v>0</v>
      </c>
      <c r="AX743">
        <f>IF(AQ743=1,AW743,1)</f>
        <v>0</v>
      </c>
      <c r="AY743">
        <f>IF(AP743=1,AW743,1)</f>
        <v>0</v>
      </c>
      <c r="AZ743">
        <f>IF(AND(AT743=1,ISNUMBER(AW743)),$AW743,1)</f>
        <v>0</v>
      </c>
      <c r="BA743">
        <f>IF(AND(AU743=1,ISNUMBER(AW743)),$AW743,1)</f>
        <v>0</v>
      </c>
      <c r="BB743">
        <f>IF(ISNUMBER(AB743),INDEX(AllCollegeMoney, MATCH(N743,AllCollegeNCES,0)),0)</f>
        <v>0</v>
      </c>
      <c r="BC743">
        <f>IF(AND(AT743=1,ISNUMBER(AW743),BB743=1),$AW743,1)</f>
        <v>0</v>
      </c>
      <c r="BD743">
        <f>IF(AND(AU743=1,ISNUMBER(AW743),BB743=1),$AW743,1)</f>
        <v>0</v>
      </c>
      <c r="BE743">
        <f>IF(ISNUMBER(AB743),INDEX(AllCollegeILPub, MATCH(N743,AllCollegeNCES,0)),0)</f>
        <v>0</v>
      </c>
      <c r="BF743">
        <f>IF(AN743=ReachLabel,AS743,0)</f>
        <v>0</v>
      </c>
      <c r="BG743">
        <f>IF(AN743=MatchLabel,AS743,0)</f>
        <v>0</v>
      </c>
      <c r="BH743">
        <f>IF(AN743=SafetyLabel,AS743,0)</f>
        <v>0</v>
      </c>
      <c r="BI743">
        <f>IF(AN743=SecureLabel,AS743,0)</f>
        <v>0</v>
      </c>
      <c r="BJ743">
        <f>IF(AN743=SureThingLabel,AS743,0)</f>
        <v>0</v>
      </c>
      <c r="BK743">
        <f>MAX(BF743:BJ743)</f>
        <v>0</v>
      </c>
      <c r="BL743">
        <f>MAX(BG743:BJ743)</f>
        <v>0</v>
      </c>
      <c r="BM743">
        <f>MAX(BH743:BJ743)</f>
        <v>0</v>
      </c>
      <c r="BN743">
        <f>IF(AND(AN743=ReachLabel,BB743=1),AS743,0)</f>
        <v>0</v>
      </c>
      <c r="BO743">
        <f>IF(AND(AN743=MatchLabel,BB743=1),AS743,0)</f>
        <v>0</v>
      </c>
      <c r="BP743">
        <f>IF(AND(AN743=SafetyLabel,BB743=1),AS743,0)</f>
        <v>0</v>
      </c>
      <c r="BQ743">
        <f>IF(AND(AN743=SecureLabel,BB743=1),AS743,0)</f>
        <v>0</v>
      </c>
      <c r="BR743">
        <f>IF(AND(AN743=SureThingLabel,BB743=1),AS743,0)</f>
        <v>0</v>
      </c>
      <c r="BS743">
        <f>MAX(BN743:BR743)</f>
        <v>0</v>
      </c>
      <c r="BT743">
        <f>MAX(BO743:BR743)</f>
        <v>0</v>
      </c>
      <c r="BU743">
        <f>MAX(BP743:BR743)</f>
        <v>0</v>
      </c>
      <c r="BV743">
        <f>IF(ISNUMBER(AB743),INDEX(AllCollegeChicago, MATCH(N743,AllCollegeNCES,0))*BB743,0)</f>
        <v>0</v>
      </c>
      <c r="BW743">
        <f>IF(ISNUMBER(AB743),INDEX(AllCollegeMoneyCode, MATCH(N743,AllCollegeNCES,0)),"?")</f>
        <v>0</v>
      </c>
      <c r="BX743">
        <f>IF(OR(BW743="---",BW743="--",BW743="+/--",BW743="+/---"),1,0)</f>
        <v>0</v>
      </c>
      <c r="BY743">
        <f>BB743*AR743*AT743</f>
        <v>0</v>
      </c>
    </row>
    <row r="744" spans="1:77">
      <c r="A744" t="s">
        <v>96</v>
      </c>
      <c r="B744">
        <v>30316543</v>
      </c>
      <c r="C744" t="s">
        <v>288</v>
      </c>
      <c r="D744" t="s">
        <v>289</v>
      </c>
      <c r="E744" t="s">
        <v>446</v>
      </c>
      <c r="F744" t="s">
        <v>489</v>
      </c>
      <c r="G744" t="s">
        <v>479</v>
      </c>
      <c r="H744" t="s">
        <v>449</v>
      </c>
      <c r="I744" t="s">
        <v>450</v>
      </c>
      <c r="J744" t="s">
        <v>450</v>
      </c>
      <c r="K744">
        <v>0</v>
      </c>
      <c r="L744" t="s">
        <v>446</v>
      </c>
      <c r="M744" t="s">
        <v>446</v>
      </c>
      <c r="N744">
        <v>170301</v>
      </c>
      <c r="O744">
        <f>INDEX(Counselor,MATCH(B744,KidIDs,0))</f>
        <v>0</v>
      </c>
      <c r="P744">
        <f>INDEX(Advisors,MATCH(B744,KidIDs,0))</f>
        <v>0</v>
      </c>
      <c r="Q744">
        <f>INDEX(Cohort,MATCH(B744,KidIDs,0))</f>
        <v>0</v>
      </c>
      <c r="R744">
        <f>INDEX(AllCollegeBarrons,MATCH(N744,AllCollegeNCES,0))</f>
        <v>0</v>
      </c>
      <c r="S744">
        <f>INDEX(KidGPAs,MATCH(B744,KidIDs,0))</f>
        <v>0</v>
      </c>
      <c r="T744">
        <f>INDEX(KidSATs,MATCH(B744,KidIDs,0))</f>
        <v>0</v>
      </c>
      <c r="U744">
        <f>INDEX(Strats,MATCH(B744,KidIDs,0))</f>
        <v>0</v>
      </c>
      <c r="V744">
        <f>INDEX(KidRace,MATCH(B744,KidIDs,0))</f>
        <v>0</v>
      </c>
      <c r="W744">
        <f>IF(OR(V744="M",V744="I"),"H",IF(V744="P","A",V744))</f>
        <v>0</v>
      </c>
      <c r="X744">
        <f>INDEX(StudentTargets,MATCH(B744,KidIDs,0))</f>
        <v>0</v>
      </c>
      <c r="Y744">
        <f>INDEX(ReachStudentTargets,MATCH(B744,KidIDs,0))</f>
        <v>0</v>
      </c>
      <c r="Z744">
        <f>IF(OR(M744="Posse"),1,0)</f>
        <v>0</v>
      </c>
      <c r="AA744">
        <f>IF(ISNUMBER(INDEX(AllCollegeGR, MATCH(N744,AllCollegeNCES,0))),ROUND(INDEX(AllCollegeGR, MATCH(N744,AllCollegeNCES,0))+Z744*IF(INDEX(AllCollegeGR, MATCH(N744,AllCollegeNCES,0))&gt;0.7,(1-INDEX(AllCollegeGR, MATCH(N744,AllCollegeNCES,0)))/2,0.15),2),INDEX(AllCollegeGR, MATCH(N744,AllCollegeNCES,0)))</f>
        <v>0</v>
      </c>
      <c r="AB744">
        <f>IF(ISNUMBER(INDEX(AllCollegeAAHGR, MATCH(N744,AllCollegeNCES,0))),ROUND(INDEX(AllCollegeAAHGR, MATCH(N744,AllCollegeNCES,0))+Z744*IF(INDEX(AllCollegeAAHGR, MATCH(N744,AllCollegeNCES,0))&gt;0.7,(1-INDEX(AllCollegeAAHGR, MATCH(N744,AllCollegeNCES,0)))/2,0.15),2),INDEX(AllCollegeAAHGR, MATCH(N744,AllCollegeNCES,0)))</f>
        <v>0</v>
      </c>
      <c r="AC744">
        <f>IF(OR(W744="H",W744="B"),INDEX(AllCollegeSAT25, MATCH(N744,AllCollegeNCES,0)),INDEX(AllCollegeSAT50, MATCH(N744,AllCollegeNCES,0)))</f>
        <v>0</v>
      </c>
      <c r="AD744">
        <f>INDEX(CustomWeightsGPA,MATCH(W744&amp;":"&amp;N744,CustomWeightsIndex,0))</f>
        <v>0</v>
      </c>
      <c r="AE744">
        <f>INDEX(CustomWeightsSAT,MATCH(W744&amp;":"&amp;N744,CustomWeightsIndex,0))</f>
        <v>0</v>
      </c>
      <c r="AF744">
        <f>INDEX(CustomWeightsIntercept,MATCH(W744&amp;":"&amp;N744,CustomWeightsIndex,0))</f>
        <v>0</v>
      </c>
      <c r="AG744">
        <f>AD744*S744+AE744*T744+AF744</f>
        <v>0</v>
      </c>
      <c r="AH744">
        <f>INDEX(CoefficientsGPA,MATCH(W744&amp;":"&amp;R744,CoefficientsIndex,0))</f>
        <v>0</v>
      </c>
      <c r="AI744">
        <f>INDEX(CoefficientsSAT,MATCH(W744&amp;":"&amp;R744,CoefficientsIndex,0))</f>
        <v>0</v>
      </c>
      <c r="AJ744">
        <f>INDEX(CoefficientsIntercept,MATCH(W744&amp;":"&amp;R744,CoefficientsIndex,0))</f>
        <v>0</v>
      </c>
      <c r="AK744">
        <f>AH744*S744+(T744-AC744)*AI744+AJ744</f>
        <v>0</v>
      </c>
      <c r="AL744">
        <f>IF(ISNUMBER(AG744),AG744,AK744)</f>
        <v>0</v>
      </c>
      <c r="AM744">
        <f>IF(ISNUMBER(AL744),IF(ISNUMBER(AH744),IF(AND(AH744=1,AI744=1,AJ744=1),100,MIN(99,ROUND(100*EXP(AL744)/(1+EXP(AL744)),2))),MIN(99,ROUND(100*EXP(AL744)/(1+EXP(AL744)),2))),IF(ISTEXT(R744),IF(LEFT(R744,1)="2",100,"N/A"),"N/A"))</f>
        <v>0</v>
      </c>
      <c r="AN744">
        <f>IF(ISNUMBER(AM744),IF(AM744&gt;=99,IF(OR(U744=10,U744=11),MatchLabel,SureThingLabel),IF(AM744&gt;=95,SecureLabel,IF(AM744&gt;=80,SafetyLabel,IF(AM744&gt;=50,MatchLabel,IF(AM744&gt;=20,ReachLabel,IF(AM744&gt;=10,LongshotLabel,HailMaryLabel)))))),"Other")</f>
        <v>0</v>
      </c>
      <c r="AO744">
        <f>IF(OR(I744="accepted",I744="cond. accept",I744="summer admit"),IF(J744="yes","CHOICE!","Accepted!"),IF(I744="guar. transfer","Guar. Xfer",IF(I744="denied","Denied",IF(K744=1,"Waitlist",IF(L744=1,"Deferred",IF(G744="pending","Pending",IF(OR(G744="initial materials submitted",G744="mid-year submitted",G744="final submitted"),"Submitted",IF(H744="interest","Interest","?"))))))))</f>
        <v>0</v>
      </c>
      <c r="AP744">
        <f>IF(OR(AN744=ReachLabel,AN744=LongshotLabel,AN744=HailMaryLabel),1,0)</f>
        <v>0</v>
      </c>
      <c r="AQ744">
        <f>IF(OR(AP744=1,AN744=MatchLabel),1,0)</f>
        <v>0</v>
      </c>
      <c r="AR744">
        <f>IF(OR(AN744=MatchLabel,AN744=SafetyLabel,AN744=SecureLabel,AN744=SureThingLabel),1,0)</f>
        <v>0</v>
      </c>
      <c r="AS744">
        <f>IF(OR(W744="H",W744="B",W744="I",W744="M"),IF(ISNUMBER(AB744),ROUND(AB744,2),0),IF(ISNUMBER(AA744),ROUND(AA744,2),0))</f>
        <v>0</v>
      </c>
      <c r="AT744">
        <f>IF(AS744&gt;=X744,1,0)</f>
        <v>0</v>
      </c>
      <c r="AU744">
        <f>IF(AS744&gt;=Y744,1,0)</f>
        <v>0</v>
      </c>
      <c r="AV744">
        <f>IF(AS744&lt;(X744-0.10),1,0)</f>
        <v>0</v>
      </c>
      <c r="AW744">
        <f>1-AM744/100</f>
        <v>0</v>
      </c>
      <c r="AX744">
        <f>IF(AQ744=1,AW744,1)</f>
        <v>0</v>
      </c>
      <c r="AY744">
        <f>IF(AP744=1,AW744,1)</f>
        <v>0</v>
      </c>
      <c r="AZ744">
        <f>IF(AND(AT744=1,ISNUMBER(AW744)),$AW744,1)</f>
        <v>0</v>
      </c>
      <c r="BA744">
        <f>IF(AND(AU744=1,ISNUMBER(AW744)),$AW744,1)</f>
        <v>0</v>
      </c>
      <c r="BB744">
        <f>IF(ISNUMBER(AB744),INDEX(AllCollegeMoney, MATCH(N744,AllCollegeNCES,0)),0)</f>
        <v>0</v>
      </c>
      <c r="BC744">
        <f>IF(AND(AT744=1,ISNUMBER(AW744),BB744=1),$AW744,1)</f>
        <v>0</v>
      </c>
      <c r="BD744">
        <f>IF(AND(AU744=1,ISNUMBER(AW744),BB744=1),$AW744,1)</f>
        <v>0</v>
      </c>
      <c r="BE744">
        <f>IF(ISNUMBER(AB744),INDEX(AllCollegeILPub, MATCH(N744,AllCollegeNCES,0)),0)</f>
        <v>0</v>
      </c>
      <c r="BF744">
        <f>IF(AN744=ReachLabel,AS744,0)</f>
        <v>0</v>
      </c>
      <c r="BG744">
        <f>IF(AN744=MatchLabel,AS744,0)</f>
        <v>0</v>
      </c>
      <c r="BH744">
        <f>IF(AN744=SafetyLabel,AS744,0)</f>
        <v>0</v>
      </c>
      <c r="BI744">
        <f>IF(AN744=SecureLabel,AS744,0)</f>
        <v>0</v>
      </c>
      <c r="BJ744">
        <f>IF(AN744=SureThingLabel,AS744,0)</f>
        <v>0</v>
      </c>
      <c r="BK744">
        <f>MAX(BF744:BJ744)</f>
        <v>0</v>
      </c>
      <c r="BL744">
        <f>MAX(BG744:BJ744)</f>
        <v>0</v>
      </c>
      <c r="BM744">
        <f>MAX(BH744:BJ744)</f>
        <v>0</v>
      </c>
      <c r="BN744">
        <f>IF(AND(AN744=ReachLabel,BB744=1),AS744,0)</f>
        <v>0</v>
      </c>
      <c r="BO744">
        <f>IF(AND(AN744=MatchLabel,BB744=1),AS744,0)</f>
        <v>0</v>
      </c>
      <c r="BP744">
        <f>IF(AND(AN744=SafetyLabel,BB744=1),AS744,0)</f>
        <v>0</v>
      </c>
      <c r="BQ744">
        <f>IF(AND(AN744=SecureLabel,BB744=1),AS744,0)</f>
        <v>0</v>
      </c>
      <c r="BR744">
        <f>IF(AND(AN744=SureThingLabel,BB744=1),AS744,0)</f>
        <v>0</v>
      </c>
      <c r="BS744">
        <f>MAX(BN744:BR744)</f>
        <v>0</v>
      </c>
      <c r="BT744">
        <f>MAX(BO744:BR744)</f>
        <v>0</v>
      </c>
      <c r="BU744">
        <f>MAX(BP744:BR744)</f>
        <v>0</v>
      </c>
      <c r="BV744">
        <f>IF(ISNUMBER(AB744),INDEX(AllCollegeChicago, MATCH(N744,AllCollegeNCES,0))*BB744,0)</f>
        <v>0</v>
      </c>
      <c r="BW744">
        <f>IF(ISNUMBER(AB744),INDEX(AllCollegeMoneyCode, MATCH(N744,AllCollegeNCES,0)),"?")</f>
        <v>0</v>
      </c>
      <c r="BX744">
        <f>IF(OR(BW744="---",BW744="--",BW744="+/--",BW744="+/---"),1,0)</f>
        <v>0</v>
      </c>
      <c r="BY744">
        <f>BB744*AR744*AT744</f>
        <v>0</v>
      </c>
    </row>
    <row r="745" spans="1:77">
      <c r="A745" t="s">
        <v>96</v>
      </c>
      <c r="B745">
        <v>30316543</v>
      </c>
      <c r="C745" t="s">
        <v>288</v>
      </c>
      <c r="D745" t="s">
        <v>289</v>
      </c>
      <c r="E745" t="s">
        <v>446</v>
      </c>
      <c r="F745" t="s">
        <v>478</v>
      </c>
      <c r="G745" t="s">
        <v>448</v>
      </c>
      <c r="H745" t="s">
        <v>449</v>
      </c>
      <c r="I745" t="s">
        <v>450</v>
      </c>
      <c r="J745" t="s">
        <v>450</v>
      </c>
      <c r="K745">
        <v>0</v>
      </c>
      <c r="L745" t="s">
        <v>446</v>
      </c>
      <c r="M745" t="s">
        <v>446</v>
      </c>
      <c r="N745">
        <v>168546</v>
      </c>
      <c r="O745">
        <f>INDEX(Counselor,MATCH(B745,KidIDs,0))</f>
        <v>0</v>
      </c>
      <c r="P745">
        <f>INDEX(Advisors,MATCH(B745,KidIDs,0))</f>
        <v>0</v>
      </c>
      <c r="Q745">
        <f>INDEX(Cohort,MATCH(B745,KidIDs,0))</f>
        <v>0</v>
      </c>
      <c r="R745">
        <f>INDEX(AllCollegeBarrons,MATCH(N745,AllCollegeNCES,0))</f>
        <v>0</v>
      </c>
      <c r="S745">
        <f>INDEX(KidGPAs,MATCH(B745,KidIDs,0))</f>
        <v>0</v>
      </c>
      <c r="T745">
        <f>INDEX(KidSATs,MATCH(B745,KidIDs,0))</f>
        <v>0</v>
      </c>
      <c r="U745">
        <f>INDEX(Strats,MATCH(B745,KidIDs,0))</f>
        <v>0</v>
      </c>
      <c r="V745">
        <f>INDEX(KidRace,MATCH(B745,KidIDs,0))</f>
        <v>0</v>
      </c>
      <c r="W745">
        <f>IF(OR(V745="M",V745="I"),"H",IF(V745="P","A",V745))</f>
        <v>0</v>
      </c>
      <c r="X745">
        <f>INDEX(StudentTargets,MATCH(B745,KidIDs,0))</f>
        <v>0</v>
      </c>
      <c r="Y745">
        <f>INDEX(ReachStudentTargets,MATCH(B745,KidIDs,0))</f>
        <v>0</v>
      </c>
      <c r="Z745">
        <f>IF(OR(M745="Posse"),1,0)</f>
        <v>0</v>
      </c>
      <c r="AA745">
        <f>IF(ISNUMBER(INDEX(AllCollegeGR, MATCH(N745,AllCollegeNCES,0))),ROUND(INDEX(AllCollegeGR, MATCH(N745,AllCollegeNCES,0))+Z745*IF(INDEX(AllCollegeGR, MATCH(N745,AllCollegeNCES,0))&gt;0.7,(1-INDEX(AllCollegeGR, MATCH(N745,AllCollegeNCES,0)))/2,0.15),2),INDEX(AllCollegeGR, MATCH(N745,AllCollegeNCES,0)))</f>
        <v>0</v>
      </c>
      <c r="AB745">
        <f>IF(ISNUMBER(INDEX(AllCollegeAAHGR, MATCH(N745,AllCollegeNCES,0))),ROUND(INDEX(AllCollegeAAHGR, MATCH(N745,AllCollegeNCES,0))+Z745*IF(INDEX(AllCollegeAAHGR, MATCH(N745,AllCollegeNCES,0))&gt;0.7,(1-INDEX(AllCollegeAAHGR, MATCH(N745,AllCollegeNCES,0)))/2,0.15),2),INDEX(AllCollegeAAHGR, MATCH(N745,AllCollegeNCES,0)))</f>
        <v>0</v>
      </c>
      <c r="AC745">
        <f>IF(OR(W745="H",W745="B"),INDEX(AllCollegeSAT25, MATCH(N745,AllCollegeNCES,0)),INDEX(AllCollegeSAT50, MATCH(N745,AllCollegeNCES,0)))</f>
        <v>0</v>
      </c>
      <c r="AD745">
        <f>INDEX(CustomWeightsGPA,MATCH(W745&amp;":"&amp;N745,CustomWeightsIndex,0))</f>
        <v>0</v>
      </c>
      <c r="AE745">
        <f>INDEX(CustomWeightsSAT,MATCH(W745&amp;":"&amp;N745,CustomWeightsIndex,0))</f>
        <v>0</v>
      </c>
      <c r="AF745">
        <f>INDEX(CustomWeightsIntercept,MATCH(W745&amp;":"&amp;N745,CustomWeightsIndex,0))</f>
        <v>0</v>
      </c>
      <c r="AG745">
        <f>AD745*S745+AE745*T745+AF745</f>
        <v>0</v>
      </c>
      <c r="AH745">
        <f>INDEX(CoefficientsGPA,MATCH(W745&amp;":"&amp;R745,CoefficientsIndex,0))</f>
        <v>0</v>
      </c>
      <c r="AI745">
        <f>INDEX(CoefficientsSAT,MATCH(W745&amp;":"&amp;R745,CoefficientsIndex,0))</f>
        <v>0</v>
      </c>
      <c r="AJ745">
        <f>INDEX(CoefficientsIntercept,MATCH(W745&amp;":"&amp;R745,CoefficientsIndex,0))</f>
        <v>0</v>
      </c>
      <c r="AK745">
        <f>AH745*S745+(T745-AC745)*AI745+AJ745</f>
        <v>0</v>
      </c>
      <c r="AL745">
        <f>IF(ISNUMBER(AG745),AG745,AK745)</f>
        <v>0</v>
      </c>
      <c r="AM745">
        <f>IF(ISNUMBER(AL745),IF(ISNUMBER(AH745),IF(AND(AH745=1,AI745=1,AJ745=1),100,MIN(99,ROUND(100*EXP(AL745)/(1+EXP(AL745)),2))),MIN(99,ROUND(100*EXP(AL745)/(1+EXP(AL745)),2))),IF(ISTEXT(R745),IF(LEFT(R745,1)="2",100,"N/A"),"N/A"))</f>
        <v>0</v>
      </c>
      <c r="AN745">
        <f>IF(ISNUMBER(AM745),IF(AM745&gt;=99,IF(OR(U745=10,U745=11),MatchLabel,SureThingLabel),IF(AM745&gt;=95,SecureLabel,IF(AM745&gt;=80,SafetyLabel,IF(AM745&gt;=50,MatchLabel,IF(AM745&gt;=20,ReachLabel,IF(AM745&gt;=10,LongshotLabel,HailMaryLabel)))))),"Other")</f>
        <v>0</v>
      </c>
      <c r="AO745">
        <f>IF(OR(I745="accepted",I745="cond. accept",I745="summer admit"),IF(J745="yes","CHOICE!","Accepted!"),IF(I745="guar. transfer","Guar. Xfer",IF(I745="denied","Denied",IF(K745=1,"Waitlist",IF(L745=1,"Deferred",IF(G745="pending","Pending",IF(OR(G745="initial materials submitted",G745="mid-year submitted",G745="final submitted"),"Submitted",IF(H745="interest","Interest","?"))))))))</f>
        <v>0</v>
      </c>
      <c r="AP745">
        <f>IF(OR(AN745=ReachLabel,AN745=LongshotLabel,AN745=HailMaryLabel),1,0)</f>
        <v>0</v>
      </c>
      <c r="AQ745">
        <f>IF(OR(AP745=1,AN745=MatchLabel),1,0)</f>
        <v>0</v>
      </c>
      <c r="AR745">
        <f>IF(OR(AN745=MatchLabel,AN745=SafetyLabel,AN745=SecureLabel,AN745=SureThingLabel),1,0)</f>
        <v>0</v>
      </c>
      <c r="AS745">
        <f>IF(OR(W745="H",W745="B",W745="I",W745="M"),IF(ISNUMBER(AB745),ROUND(AB745,2),0),IF(ISNUMBER(AA745),ROUND(AA745,2),0))</f>
        <v>0</v>
      </c>
      <c r="AT745">
        <f>IF(AS745&gt;=X745,1,0)</f>
        <v>0</v>
      </c>
      <c r="AU745">
        <f>IF(AS745&gt;=Y745,1,0)</f>
        <v>0</v>
      </c>
      <c r="AV745">
        <f>IF(AS745&lt;(X745-0.10),1,0)</f>
        <v>0</v>
      </c>
      <c r="AW745">
        <f>1-AM745/100</f>
        <v>0</v>
      </c>
      <c r="AX745">
        <f>IF(AQ745=1,AW745,1)</f>
        <v>0</v>
      </c>
      <c r="AY745">
        <f>IF(AP745=1,AW745,1)</f>
        <v>0</v>
      </c>
      <c r="AZ745">
        <f>IF(AND(AT745=1,ISNUMBER(AW745)),$AW745,1)</f>
        <v>0</v>
      </c>
      <c r="BA745">
        <f>IF(AND(AU745=1,ISNUMBER(AW745)),$AW745,1)</f>
        <v>0</v>
      </c>
      <c r="BB745">
        <f>IF(ISNUMBER(AB745),INDEX(AllCollegeMoney, MATCH(N745,AllCollegeNCES,0)),0)</f>
        <v>0</v>
      </c>
      <c r="BC745">
        <f>IF(AND(AT745=1,ISNUMBER(AW745),BB745=1),$AW745,1)</f>
        <v>0</v>
      </c>
      <c r="BD745">
        <f>IF(AND(AU745=1,ISNUMBER(AW745),BB745=1),$AW745,1)</f>
        <v>0</v>
      </c>
      <c r="BE745">
        <f>IF(ISNUMBER(AB745),INDEX(AllCollegeILPub, MATCH(N745,AllCollegeNCES,0)),0)</f>
        <v>0</v>
      </c>
      <c r="BF745">
        <f>IF(AN745=ReachLabel,AS745,0)</f>
        <v>0</v>
      </c>
      <c r="BG745">
        <f>IF(AN745=MatchLabel,AS745,0)</f>
        <v>0</v>
      </c>
      <c r="BH745">
        <f>IF(AN745=SafetyLabel,AS745,0)</f>
        <v>0</v>
      </c>
      <c r="BI745">
        <f>IF(AN745=SecureLabel,AS745,0)</f>
        <v>0</v>
      </c>
      <c r="BJ745">
        <f>IF(AN745=SureThingLabel,AS745,0)</f>
        <v>0</v>
      </c>
      <c r="BK745">
        <f>MAX(BF745:BJ745)</f>
        <v>0</v>
      </c>
      <c r="BL745">
        <f>MAX(BG745:BJ745)</f>
        <v>0</v>
      </c>
      <c r="BM745">
        <f>MAX(BH745:BJ745)</f>
        <v>0</v>
      </c>
      <c r="BN745">
        <f>IF(AND(AN745=ReachLabel,BB745=1),AS745,0)</f>
        <v>0</v>
      </c>
      <c r="BO745">
        <f>IF(AND(AN745=MatchLabel,BB745=1),AS745,0)</f>
        <v>0</v>
      </c>
      <c r="BP745">
        <f>IF(AND(AN745=SafetyLabel,BB745=1),AS745,0)</f>
        <v>0</v>
      </c>
      <c r="BQ745">
        <f>IF(AND(AN745=SecureLabel,BB745=1),AS745,0)</f>
        <v>0</v>
      </c>
      <c r="BR745">
        <f>IF(AND(AN745=SureThingLabel,BB745=1),AS745,0)</f>
        <v>0</v>
      </c>
      <c r="BS745">
        <f>MAX(BN745:BR745)</f>
        <v>0</v>
      </c>
      <c r="BT745">
        <f>MAX(BO745:BR745)</f>
        <v>0</v>
      </c>
      <c r="BU745">
        <f>MAX(BP745:BR745)</f>
        <v>0</v>
      </c>
      <c r="BV745">
        <f>IF(ISNUMBER(AB745),INDEX(AllCollegeChicago, MATCH(N745,AllCollegeNCES,0))*BB745,0)</f>
        <v>0</v>
      </c>
      <c r="BW745">
        <f>IF(ISNUMBER(AB745),INDEX(AllCollegeMoneyCode, MATCH(N745,AllCollegeNCES,0)),"?")</f>
        <v>0</v>
      </c>
      <c r="BX745">
        <f>IF(OR(BW745="---",BW745="--",BW745="+/--",BW745="+/---"),1,0)</f>
        <v>0</v>
      </c>
      <c r="BY745">
        <f>BB745*AR745*AT745</f>
        <v>0</v>
      </c>
    </row>
    <row r="746" spans="1:77">
      <c r="A746" t="s">
        <v>96</v>
      </c>
      <c r="B746">
        <v>30316543</v>
      </c>
      <c r="C746" t="s">
        <v>288</v>
      </c>
      <c r="D746" t="s">
        <v>289</v>
      </c>
      <c r="E746" t="s">
        <v>446</v>
      </c>
      <c r="F746" t="s">
        <v>519</v>
      </c>
      <c r="G746" t="s">
        <v>448</v>
      </c>
      <c r="H746" t="s">
        <v>449</v>
      </c>
      <c r="I746" t="s">
        <v>450</v>
      </c>
      <c r="J746" t="s">
        <v>450</v>
      </c>
      <c r="K746">
        <v>0</v>
      </c>
      <c r="L746" t="s">
        <v>446</v>
      </c>
      <c r="M746" t="s">
        <v>446</v>
      </c>
      <c r="N746">
        <v>145813</v>
      </c>
      <c r="O746">
        <f>INDEX(Counselor,MATCH(B746,KidIDs,0))</f>
        <v>0</v>
      </c>
      <c r="P746">
        <f>INDEX(Advisors,MATCH(B746,KidIDs,0))</f>
        <v>0</v>
      </c>
      <c r="Q746">
        <f>INDEX(Cohort,MATCH(B746,KidIDs,0))</f>
        <v>0</v>
      </c>
      <c r="R746">
        <f>INDEX(AllCollegeBarrons,MATCH(N746,AllCollegeNCES,0))</f>
        <v>0</v>
      </c>
      <c r="S746">
        <f>INDEX(KidGPAs,MATCH(B746,KidIDs,0))</f>
        <v>0</v>
      </c>
      <c r="T746">
        <f>INDEX(KidSATs,MATCH(B746,KidIDs,0))</f>
        <v>0</v>
      </c>
      <c r="U746">
        <f>INDEX(Strats,MATCH(B746,KidIDs,0))</f>
        <v>0</v>
      </c>
      <c r="V746">
        <f>INDEX(KidRace,MATCH(B746,KidIDs,0))</f>
        <v>0</v>
      </c>
      <c r="W746">
        <f>IF(OR(V746="M",V746="I"),"H",IF(V746="P","A",V746))</f>
        <v>0</v>
      </c>
      <c r="X746">
        <f>INDEX(StudentTargets,MATCH(B746,KidIDs,0))</f>
        <v>0</v>
      </c>
      <c r="Y746">
        <f>INDEX(ReachStudentTargets,MATCH(B746,KidIDs,0))</f>
        <v>0</v>
      </c>
      <c r="Z746">
        <f>IF(OR(M746="Posse"),1,0)</f>
        <v>0</v>
      </c>
      <c r="AA746">
        <f>IF(ISNUMBER(INDEX(AllCollegeGR, MATCH(N746,AllCollegeNCES,0))),ROUND(INDEX(AllCollegeGR, MATCH(N746,AllCollegeNCES,0))+Z746*IF(INDEX(AllCollegeGR, MATCH(N746,AllCollegeNCES,0))&gt;0.7,(1-INDEX(AllCollegeGR, MATCH(N746,AllCollegeNCES,0)))/2,0.15),2),INDEX(AllCollegeGR, MATCH(N746,AllCollegeNCES,0)))</f>
        <v>0</v>
      </c>
      <c r="AB746">
        <f>IF(ISNUMBER(INDEX(AllCollegeAAHGR, MATCH(N746,AllCollegeNCES,0))),ROUND(INDEX(AllCollegeAAHGR, MATCH(N746,AllCollegeNCES,0))+Z746*IF(INDEX(AllCollegeAAHGR, MATCH(N746,AllCollegeNCES,0))&gt;0.7,(1-INDEX(AllCollegeAAHGR, MATCH(N746,AllCollegeNCES,0)))/2,0.15),2),INDEX(AllCollegeAAHGR, MATCH(N746,AllCollegeNCES,0)))</f>
        <v>0</v>
      </c>
      <c r="AC746">
        <f>IF(OR(W746="H",W746="B"),INDEX(AllCollegeSAT25, MATCH(N746,AllCollegeNCES,0)),INDEX(AllCollegeSAT50, MATCH(N746,AllCollegeNCES,0)))</f>
        <v>0</v>
      </c>
      <c r="AD746">
        <f>INDEX(CustomWeightsGPA,MATCH(W746&amp;":"&amp;N746,CustomWeightsIndex,0))</f>
        <v>0</v>
      </c>
      <c r="AE746">
        <f>INDEX(CustomWeightsSAT,MATCH(W746&amp;":"&amp;N746,CustomWeightsIndex,0))</f>
        <v>0</v>
      </c>
      <c r="AF746">
        <f>INDEX(CustomWeightsIntercept,MATCH(W746&amp;":"&amp;N746,CustomWeightsIndex,0))</f>
        <v>0</v>
      </c>
      <c r="AG746">
        <f>AD746*S746+AE746*T746+AF746</f>
        <v>0</v>
      </c>
      <c r="AH746">
        <f>INDEX(CoefficientsGPA,MATCH(W746&amp;":"&amp;R746,CoefficientsIndex,0))</f>
        <v>0</v>
      </c>
      <c r="AI746">
        <f>INDEX(CoefficientsSAT,MATCH(W746&amp;":"&amp;R746,CoefficientsIndex,0))</f>
        <v>0</v>
      </c>
      <c r="AJ746">
        <f>INDEX(CoefficientsIntercept,MATCH(W746&amp;":"&amp;R746,CoefficientsIndex,0))</f>
        <v>0</v>
      </c>
      <c r="AK746">
        <f>AH746*S746+(T746-AC746)*AI746+AJ746</f>
        <v>0</v>
      </c>
      <c r="AL746">
        <f>IF(ISNUMBER(AG746),AG746,AK746)</f>
        <v>0</v>
      </c>
      <c r="AM746">
        <f>IF(ISNUMBER(AL746),IF(ISNUMBER(AH746),IF(AND(AH746=1,AI746=1,AJ746=1),100,MIN(99,ROUND(100*EXP(AL746)/(1+EXP(AL746)),2))),MIN(99,ROUND(100*EXP(AL746)/(1+EXP(AL746)),2))),IF(ISTEXT(R746),IF(LEFT(R746,1)="2",100,"N/A"),"N/A"))</f>
        <v>0</v>
      </c>
      <c r="AN746">
        <f>IF(ISNUMBER(AM746),IF(AM746&gt;=99,IF(OR(U746=10,U746=11),MatchLabel,SureThingLabel),IF(AM746&gt;=95,SecureLabel,IF(AM746&gt;=80,SafetyLabel,IF(AM746&gt;=50,MatchLabel,IF(AM746&gt;=20,ReachLabel,IF(AM746&gt;=10,LongshotLabel,HailMaryLabel)))))),"Other")</f>
        <v>0</v>
      </c>
      <c r="AO746">
        <f>IF(OR(I746="accepted",I746="cond. accept",I746="summer admit"),IF(J746="yes","CHOICE!","Accepted!"),IF(I746="guar. transfer","Guar. Xfer",IF(I746="denied","Denied",IF(K746=1,"Waitlist",IF(L746=1,"Deferred",IF(G746="pending","Pending",IF(OR(G746="initial materials submitted",G746="mid-year submitted",G746="final submitted"),"Submitted",IF(H746="interest","Interest","?"))))))))</f>
        <v>0</v>
      </c>
      <c r="AP746">
        <f>IF(OR(AN746=ReachLabel,AN746=LongshotLabel,AN746=HailMaryLabel),1,0)</f>
        <v>0</v>
      </c>
      <c r="AQ746">
        <f>IF(OR(AP746=1,AN746=MatchLabel),1,0)</f>
        <v>0</v>
      </c>
      <c r="AR746">
        <f>IF(OR(AN746=MatchLabel,AN746=SafetyLabel,AN746=SecureLabel,AN746=SureThingLabel),1,0)</f>
        <v>0</v>
      </c>
      <c r="AS746">
        <f>IF(OR(W746="H",W746="B",W746="I",W746="M"),IF(ISNUMBER(AB746),ROUND(AB746,2),0),IF(ISNUMBER(AA746),ROUND(AA746,2),0))</f>
        <v>0</v>
      </c>
      <c r="AT746">
        <f>IF(AS746&gt;=X746,1,0)</f>
        <v>0</v>
      </c>
      <c r="AU746">
        <f>IF(AS746&gt;=Y746,1,0)</f>
        <v>0</v>
      </c>
      <c r="AV746">
        <f>IF(AS746&lt;(X746-0.10),1,0)</f>
        <v>0</v>
      </c>
      <c r="AW746">
        <f>1-AM746/100</f>
        <v>0</v>
      </c>
      <c r="AX746">
        <f>IF(AQ746=1,AW746,1)</f>
        <v>0</v>
      </c>
      <c r="AY746">
        <f>IF(AP746=1,AW746,1)</f>
        <v>0</v>
      </c>
      <c r="AZ746">
        <f>IF(AND(AT746=1,ISNUMBER(AW746)),$AW746,1)</f>
        <v>0</v>
      </c>
      <c r="BA746">
        <f>IF(AND(AU746=1,ISNUMBER(AW746)),$AW746,1)</f>
        <v>0</v>
      </c>
      <c r="BB746">
        <f>IF(ISNUMBER(AB746),INDEX(AllCollegeMoney, MATCH(N746,AllCollegeNCES,0)),0)</f>
        <v>0</v>
      </c>
      <c r="BC746">
        <f>IF(AND(AT746=1,ISNUMBER(AW746),BB746=1),$AW746,1)</f>
        <v>0</v>
      </c>
      <c r="BD746">
        <f>IF(AND(AU746=1,ISNUMBER(AW746),BB746=1),$AW746,1)</f>
        <v>0</v>
      </c>
      <c r="BE746">
        <f>IF(ISNUMBER(AB746),INDEX(AllCollegeILPub, MATCH(N746,AllCollegeNCES,0)),0)</f>
        <v>0</v>
      </c>
      <c r="BF746">
        <f>IF(AN746=ReachLabel,AS746,0)</f>
        <v>0</v>
      </c>
      <c r="BG746">
        <f>IF(AN746=MatchLabel,AS746,0)</f>
        <v>0</v>
      </c>
      <c r="BH746">
        <f>IF(AN746=SafetyLabel,AS746,0)</f>
        <v>0</v>
      </c>
      <c r="BI746">
        <f>IF(AN746=SecureLabel,AS746,0)</f>
        <v>0</v>
      </c>
      <c r="BJ746">
        <f>IF(AN746=SureThingLabel,AS746,0)</f>
        <v>0</v>
      </c>
      <c r="BK746">
        <f>MAX(BF746:BJ746)</f>
        <v>0</v>
      </c>
      <c r="BL746">
        <f>MAX(BG746:BJ746)</f>
        <v>0</v>
      </c>
      <c r="BM746">
        <f>MAX(BH746:BJ746)</f>
        <v>0</v>
      </c>
      <c r="BN746">
        <f>IF(AND(AN746=ReachLabel,BB746=1),AS746,0)</f>
        <v>0</v>
      </c>
      <c r="BO746">
        <f>IF(AND(AN746=MatchLabel,BB746=1),AS746,0)</f>
        <v>0</v>
      </c>
      <c r="BP746">
        <f>IF(AND(AN746=SafetyLabel,BB746=1),AS746,0)</f>
        <v>0</v>
      </c>
      <c r="BQ746">
        <f>IF(AND(AN746=SecureLabel,BB746=1),AS746,0)</f>
        <v>0</v>
      </c>
      <c r="BR746">
        <f>IF(AND(AN746=SureThingLabel,BB746=1),AS746,0)</f>
        <v>0</v>
      </c>
      <c r="BS746">
        <f>MAX(BN746:BR746)</f>
        <v>0</v>
      </c>
      <c r="BT746">
        <f>MAX(BO746:BR746)</f>
        <v>0</v>
      </c>
      <c r="BU746">
        <f>MAX(BP746:BR746)</f>
        <v>0</v>
      </c>
      <c r="BV746">
        <f>IF(ISNUMBER(AB746),INDEX(AllCollegeChicago, MATCH(N746,AllCollegeNCES,0))*BB746,0)</f>
        <v>0</v>
      </c>
      <c r="BW746">
        <f>IF(ISNUMBER(AB746),INDEX(AllCollegeMoneyCode, MATCH(N746,AllCollegeNCES,0)),"?")</f>
        <v>0</v>
      </c>
      <c r="BX746">
        <f>IF(OR(BW746="---",BW746="--",BW746="+/--",BW746="+/---"),1,0)</f>
        <v>0</v>
      </c>
      <c r="BY746">
        <f>BB746*AR746*AT746</f>
        <v>0</v>
      </c>
    </row>
    <row r="747" spans="1:77">
      <c r="A747" t="s">
        <v>96</v>
      </c>
      <c r="B747">
        <v>30323072</v>
      </c>
      <c r="C747" t="s">
        <v>151</v>
      </c>
      <c r="D747" t="s">
        <v>152</v>
      </c>
      <c r="E747" t="s">
        <v>446</v>
      </c>
      <c r="F747" t="s">
        <v>553</v>
      </c>
      <c r="G747" t="s">
        <v>448</v>
      </c>
      <c r="H747" t="s">
        <v>449</v>
      </c>
      <c r="I747" t="s">
        <v>450</v>
      </c>
      <c r="J747" t="s">
        <v>450</v>
      </c>
      <c r="K747">
        <v>0</v>
      </c>
      <c r="L747" t="s">
        <v>446</v>
      </c>
      <c r="M747" t="s">
        <v>446</v>
      </c>
      <c r="N747">
        <v>211291</v>
      </c>
      <c r="O747">
        <f>INDEX(Counselor,MATCH(B747,KidIDs,0))</f>
        <v>0</v>
      </c>
      <c r="P747">
        <f>INDEX(Advisors,MATCH(B747,KidIDs,0))</f>
        <v>0</v>
      </c>
      <c r="Q747">
        <f>INDEX(Cohort,MATCH(B747,KidIDs,0))</f>
        <v>0</v>
      </c>
      <c r="R747">
        <f>INDEX(AllCollegeBarrons,MATCH(N747,AllCollegeNCES,0))</f>
        <v>0</v>
      </c>
      <c r="S747">
        <f>INDEX(KidGPAs,MATCH(B747,KidIDs,0))</f>
        <v>0</v>
      </c>
      <c r="T747">
        <f>INDEX(KidSATs,MATCH(B747,KidIDs,0))</f>
        <v>0</v>
      </c>
      <c r="U747">
        <f>INDEX(Strats,MATCH(B747,KidIDs,0))</f>
        <v>0</v>
      </c>
      <c r="V747">
        <f>INDEX(KidRace,MATCH(B747,KidIDs,0))</f>
        <v>0</v>
      </c>
      <c r="W747">
        <f>IF(OR(V747="M",V747="I"),"H",IF(V747="P","A",V747))</f>
        <v>0</v>
      </c>
      <c r="X747">
        <f>INDEX(StudentTargets,MATCH(B747,KidIDs,0))</f>
        <v>0</v>
      </c>
      <c r="Y747">
        <f>INDEX(ReachStudentTargets,MATCH(B747,KidIDs,0))</f>
        <v>0</v>
      </c>
      <c r="Z747">
        <f>IF(OR(M747="Posse"),1,0)</f>
        <v>0</v>
      </c>
      <c r="AA747">
        <f>IF(ISNUMBER(INDEX(AllCollegeGR, MATCH(N747,AllCollegeNCES,0))),ROUND(INDEX(AllCollegeGR, MATCH(N747,AllCollegeNCES,0))+Z747*IF(INDEX(AllCollegeGR, MATCH(N747,AllCollegeNCES,0))&gt;0.7,(1-INDEX(AllCollegeGR, MATCH(N747,AllCollegeNCES,0)))/2,0.15),2),INDEX(AllCollegeGR, MATCH(N747,AllCollegeNCES,0)))</f>
        <v>0</v>
      </c>
      <c r="AB747">
        <f>IF(ISNUMBER(INDEX(AllCollegeAAHGR, MATCH(N747,AllCollegeNCES,0))),ROUND(INDEX(AllCollegeAAHGR, MATCH(N747,AllCollegeNCES,0))+Z747*IF(INDEX(AllCollegeAAHGR, MATCH(N747,AllCollegeNCES,0))&gt;0.7,(1-INDEX(AllCollegeAAHGR, MATCH(N747,AllCollegeNCES,0)))/2,0.15),2),INDEX(AllCollegeAAHGR, MATCH(N747,AllCollegeNCES,0)))</f>
        <v>0</v>
      </c>
      <c r="AC747">
        <f>IF(OR(W747="H",W747="B"),INDEX(AllCollegeSAT25, MATCH(N747,AllCollegeNCES,0)),INDEX(AllCollegeSAT50, MATCH(N747,AllCollegeNCES,0)))</f>
        <v>0</v>
      </c>
      <c r="AD747">
        <f>INDEX(CustomWeightsGPA,MATCH(W747&amp;":"&amp;N747,CustomWeightsIndex,0))</f>
        <v>0</v>
      </c>
      <c r="AE747">
        <f>INDEX(CustomWeightsSAT,MATCH(W747&amp;":"&amp;N747,CustomWeightsIndex,0))</f>
        <v>0</v>
      </c>
      <c r="AF747">
        <f>INDEX(CustomWeightsIntercept,MATCH(W747&amp;":"&amp;N747,CustomWeightsIndex,0))</f>
        <v>0</v>
      </c>
      <c r="AG747">
        <f>AD747*S747+AE747*T747+AF747</f>
        <v>0</v>
      </c>
      <c r="AH747">
        <f>INDEX(CoefficientsGPA,MATCH(W747&amp;":"&amp;R747,CoefficientsIndex,0))</f>
        <v>0</v>
      </c>
      <c r="AI747">
        <f>INDEX(CoefficientsSAT,MATCH(W747&amp;":"&amp;R747,CoefficientsIndex,0))</f>
        <v>0</v>
      </c>
      <c r="AJ747">
        <f>INDEX(CoefficientsIntercept,MATCH(W747&amp;":"&amp;R747,CoefficientsIndex,0))</f>
        <v>0</v>
      </c>
      <c r="AK747">
        <f>AH747*S747+(T747-AC747)*AI747+AJ747</f>
        <v>0</v>
      </c>
      <c r="AL747">
        <f>IF(ISNUMBER(AG747),AG747,AK747)</f>
        <v>0</v>
      </c>
      <c r="AM747">
        <f>IF(ISNUMBER(AL747),IF(ISNUMBER(AH747),IF(AND(AH747=1,AI747=1,AJ747=1),100,MIN(99,ROUND(100*EXP(AL747)/(1+EXP(AL747)),2))),MIN(99,ROUND(100*EXP(AL747)/(1+EXP(AL747)),2))),IF(ISTEXT(R747),IF(LEFT(R747,1)="2",100,"N/A"),"N/A"))</f>
        <v>0</v>
      </c>
      <c r="AN747">
        <f>IF(ISNUMBER(AM747),IF(AM747&gt;=99,IF(OR(U747=10,U747=11),MatchLabel,SureThingLabel),IF(AM747&gt;=95,SecureLabel,IF(AM747&gt;=80,SafetyLabel,IF(AM747&gt;=50,MatchLabel,IF(AM747&gt;=20,ReachLabel,IF(AM747&gt;=10,LongshotLabel,HailMaryLabel)))))),"Other")</f>
        <v>0</v>
      </c>
      <c r="AO747">
        <f>IF(OR(I747="accepted",I747="cond. accept",I747="summer admit"),IF(J747="yes","CHOICE!","Accepted!"),IF(I747="guar. transfer","Guar. Xfer",IF(I747="denied","Denied",IF(K747=1,"Waitlist",IF(L747=1,"Deferred",IF(G747="pending","Pending",IF(OR(G747="initial materials submitted",G747="mid-year submitted",G747="final submitted"),"Submitted",IF(H747="interest","Interest","?"))))))))</f>
        <v>0</v>
      </c>
      <c r="AP747">
        <f>IF(OR(AN747=ReachLabel,AN747=LongshotLabel,AN747=HailMaryLabel),1,0)</f>
        <v>0</v>
      </c>
      <c r="AQ747">
        <f>IF(OR(AP747=1,AN747=MatchLabel),1,0)</f>
        <v>0</v>
      </c>
      <c r="AR747">
        <f>IF(OR(AN747=MatchLabel,AN747=SafetyLabel,AN747=SecureLabel,AN747=SureThingLabel),1,0)</f>
        <v>0</v>
      </c>
      <c r="AS747">
        <f>IF(OR(W747="H",W747="B",W747="I",W747="M"),IF(ISNUMBER(AB747),ROUND(AB747,2),0),IF(ISNUMBER(AA747),ROUND(AA747,2),0))</f>
        <v>0</v>
      </c>
      <c r="AT747">
        <f>IF(AS747&gt;=X747,1,0)</f>
        <v>0</v>
      </c>
      <c r="AU747">
        <f>IF(AS747&gt;=Y747,1,0)</f>
        <v>0</v>
      </c>
      <c r="AV747">
        <f>IF(AS747&lt;(X747-0.10),1,0)</f>
        <v>0</v>
      </c>
      <c r="AW747">
        <f>1-AM747/100</f>
        <v>0</v>
      </c>
      <c r="AX747">
        <f>IF(AQ747=1,AW747,1)</f>
        <v>0</v>
      </c>
      <c r="AY747">
        <f>IF(AP747=1,AW747,1)</f>
        <v>0</v>
      </c>
      <c r="AZ747">
        <f>IF(AND(AT747=1,ISNUMBER(AW747)),$AW747,1)</f>
        <v>0</v>
      </c>
      <c r="BA747">
        <f>IF(AND(AU747=1,ISNUMBER(AW747)),$AW747,1)</f>
        <v>0</v>
      </c>
      <c r="BB747">
        <f>IF(ISNUMBER(AB747),INDEX(AllCollegeMoney, MATCH(N747,AllCollegeNCES,0)),0)</f>
        <v>0</v>
      </c>
      <c r="BC747">
        <f>IF(AND(AT747=1,ISNUMBER(AW747),BB747=1),$AW747,1)</f>
        <v>0</v>
      </c>
      <c r="BD747">
        <f>IF(AND(AU747=1,ISNUMBER(AW747),BB747=1),$AW747,1)</f>
        <v>0</v>
      </c>
      <c r="BE747">
        <f>IF(ISNUMBER(AB747),INDEX(AllCollegeILPub, MATCH(N747,AllCollegeNCES,0)),0)</f>
        <v>0</v>
      </c>
      <c r="BF747">
        <f>IF(AN747=ReachLabel,AS747,0)</f>
        <v>0</v>
      </c>
      <c r="BG747">
        <f>IF(AN747=MatchLabel,AS747,0)</f>
        <v>0</v>
      </c>
      <c r="BH747">
        <f>IF(AN747=SafetyLabel,AS747,0)</f>
        <v>0</v>
      </c>
      <c r="BI747">
        <f>IF(AN747=SecureLabel,AS747,0)</f>
        <v>0</v>
      </c>
      <c r="BJ747">
        <f>IF(AN747=SureThingLabel,AS747,0)</f>
        <v>0</v>
      </c>
      <c r="BK747">
        <f>MAX(BF747:BJ747)</f>
        <v>0</v>
      </c>
      <c r="BL747">
        <f>MAX(BG747:BJ747)</f>
        <v>0</v>
      </c>
      <c r="BM747">
        <f>MAX(BH747:BJ747)</f>
        <v>0</v>
      </c>
      <c r="BN747">
        <f>IF(AND(AN747=ReachLabel,BB747=1),AS747,0)</f>
        <v>0</v>
      </c>
      <c r="BO747">
        <f>IF(AND(AN747=MatchLabel,BB747=1),AS747,0)</f>
        <v>0</v>
      </c>
      <c r="BP747">
        <f>IF(AND(AN747=SafetyLabel,BB747=1),AS747,0)</f>
        <v>0</v>
      </c>
      <c r="BQ747">
        <f>IF(AND(AN747=SecureLabel,BB747=1),AS747,0)</f>
        <v>0</v>
      </c>
      <c r="BR747">
        <f>IF(AND(AN747=SureThingLabel,BB747=1),AS747,0)</f>
        <v>0</v>
      </c>
      <c r="BS747">
        <f>MAX(BN747:BR747)</f>
        <v>0</v>
      </c>
      <c r="BT747">
        <f>MAX(BO747:BR747)</f>
        <v>0</v>
      </c>
      <c r="BU747">
        <f>MAX(BP747:BR747)</f>
        <v>0</v>
      </c>
      <c r="BV747">
        <f>IF(ISNUMBER(AB747),INDEX(AllCollegeChicago, MATCH(N747,AllCollegeNCES,0))*BB747,0)</f>
        <v>0</v>
      </c>
      <c r="BW747">
        <f>IF(ISNUMBER(AB747),INDEX(AllCollegeMoneyCode, MATCH(N747,AllCollegeNCES,0)),"?")</f>
        <v>0</v>
      </c>
      <c r="BX747">
        <f>IF(OR(BW747="---",BW747="--",BW747="+/--",BW747="+/---"),1,0)</f>
        <v>0</v>
      </c>
      <c r="BY747">
        <f>BB747*AR747*AT747</f>
        <v>0</v>
      </c>
    </row>
    <row r="748" spans="1:77">
      <c r="A748" t="s">
        <v>96</v>
      </c>
      <c r="B748">
        <v>30323072</v>
      </c>
      <c r="C748" t="s">
        <v>151</v>
      </c>
      <c r="D748" t="s">
        <v>152</v>
      </c>
      <c r="E748" t="s">
        <v>446</v>
      </c>
      <c r="F748" t="s">
        <v>482</v>
      </c>
      <c r="G748" t="s">
        <v>448</v>
      </c>
      <c r="H748" t="s">
        <v>449</v>
      </c>
      <c r="I748" t="s">
        <v>450</v>
      </c>
      <c r="J748" t="s">
        <v>450</v>
      </c>
      <c r="K748">
        <v>0</v>
      </c>
      <c r="L748" t="s">
        <v>446</v>
      </c>
      <c r="M748" t="s">
        <v>446</v>
      </c>
      <c r="N748">
        <v>170976</v>
      </c>
      <c r="O748">
        <f>INDEX(Counselor,MATCH(B748,KidIDs,0))</f>
        <v>0</v>
      </c>
      <c r="P748">
        <f>INDEX(Advisors,MATCH(B748,KidIDs,0))</f>
        <v>0</v>
      </c>
      <c r="Q748">
        <f>INDEX(Cohort,MATCH(B748,KidIDs,0))</f>
        <v>0</v>
      </c>
      <c r="R748">
        <f>INDEX(AllCollegeBarrons,MATCH(N748,AllCollegeNCES,0))</f>
        <v>0</v>
      </c>
      <c r="S748">
        <f>INDEX(KidGPAs,MATCH(B748,KidIDs,0))</f>
        <v>0</v>
      </c>
      <c r="T748">
        <f>INDEX(KidSATs,MATCH(B748,KidIDs,0))</f>
        <v>0</v>
      </c>
      <c r="U748">
        <f>INDEX(Strats,MATCH(B748,KidIDs,0))</f>
        <v>0</v>
      </c>
      <c r="V748">
        <f>INDEX(KidRace,MATCH(B748,KidIDs,0))</f>
        <v>0</v>
      </c>
      <c r="W748">
        <f>IF(OR(V748="M",V748="I"),"H",IF(V748="P","A",V748))</f>
        <v>0</v>
      </c>
      <c r="X748">
        <f>INDEX(StudentTargets,MATCH(B748,KidIDs,0))</f>
        <v>0</v>
      </c>
      <c r="Y748">
        <f>INDEX(ReachStudentTargets,MATCH(B748,KidIDs,0))</f>
        <v>0</v>
      </c>
      <c r="Z748">
        <f>IF(OR(M748="Posse"),1,0)</f>
        <v>0</v>
      </c>
      <c r="AA748">
        <f>IF(ISNUMBER(INDEX(AllCollegeGR, MATCH(N748,AllCollegeNCES,0))),ROUND(INDEX(AllCollegeGR, MATCH(N748,AllCollegeNCES,0))+Z748*IF(INDEX(AllCollegeGR, MATCH(N748,AllCollegeNCES,0))&gt;0.7,(1-INDEX(AllCollegeGR, MATCH(N748,AllCollegeNCES,0)))/2,0.15),2),INDEX(AllCollegeGR, MATCH(N748,AllCollegeNCES,0)))</f>
        <v>0</v>
      </c>
      <c r="AB748">
        <f>IF(ISNUMBER(INDEX(AllCollegeAAHGR, MATCH(N748,AllCollegeNCES,0))),ROUND(INDEX(AllCollegeAAHGR, MATCH(N748,AllCollegeNCES,0))+Z748*IF(INDEX(AllCollegeAAHGR, MATCH(N748,AllCollegeNCES,0))&gt;0.7,(1-INDEX(AllCollegeAAHGR, MATCH(N748,AllCollegeNCES,0)))/2,0.15),2),INDEX(AllCollegeAAHGR, MATCH(N748,AllCollegeNCES,0)))</f>
        <v>0</v>
      </c>
      <c r="AC748">
        <f>IF(OR(W748="H",W748="B"),INDEX(AllCollegeSAT25, MATCH(N748,AllCollegeNCES,0)),INDEX(AllCollegeSAT50, MATCH(N748,AllCollegeNCES,0)))</f>
        <v>0</v>
      </c>
      <c r="AD748">
        <f>INDEX(CustomWeightsGPA,MATCH(W748&amp;":"&amp;N748,CustomWeightsIndex,0))</f>
        <v>0</v>
      </c>
      <c r="AE748">
        <f>INDEX(CustomWeightsSAT,MATCH(W748&amp;":"&amp;N748,CustomWeightsIndex,0))</f>
        <v>0</v>
      </c>
      <c r="AF748">
        <f>INDEX(CustomWeightsIntercept,MATCH(W748&amp;":"&amp;N748,CustomWeightsIndex,0))</f>
        <v>0</v>
      </c>
      <c r="AG748">
        <f>AD748*S748+AE748*T748+AF748</f>
        <v>0</v>
      </c>
      <c r="AH748">
        <f>INDEX(CoefficientsGPA,MATCH(W748&amp;":"&amp;R748,CoefficientsIndex,0))</f>
        <v>0</v>
      </c>
      <c r="AI748">
        <f>INDEX(CoefficientsSAT,MATCH(W748&amp;":"&amp;R748,CoefficientsIndex,0))</f>
        <v>0</v>
      </c>
      <c r="AJ748">
        <f>INDEX(CoefficientsIntercept,MATCH(W748&amp;":"&amp;R748,CoefficientsIndex,0))</f>
        <v>0</v>
      </c>
      <c r="AK748">
        <f>AH748*S748+(T748-AC748)*AI748+AJ748</f>
        <v>0</v>
      </c>
      <c r="AL748">
        <f>IF(ISNUMBER(AG748),AG748,AK748)</f>
        <v>0</v>
      </c>
      <c r="AM748">
        <f>IF(ISNUMBER(AL748),IF(ISNUMBER(AH748),IF(AND(AH748=1,AI748=1,AJ748=1),100,MIN(99,ROUND(100*EXP(AL748)/(1+EXP(AL748)),2))),MIN(99,ROUND(100*EXP(AL748)/(1+EXP(AL748)),2))),IF(ISTEXT(R748),IF(LEFT(R748,1)="2",100,"N/A"),"N/A"))</f>
        <v>0</v>
      </c>
      <c r="AN748">
        <f>IF(ISNUMBER(AM748),IF(AM748&gt;=99,IF(OR(U748=10,U748=11),MatchLabel,SureThingLabel),IF(AM748&gt;=95,SecureLabel,IF(AM748&gt;=80,SafetyLabel,IF(AM748&gt;=50,MatchLabel,IF(AM748&gt;=20,ReachLabel,IF(AM748&gt;=10,LongshotLabel,HailMaryLabel)))))),"Other")</f>
        <v>0</v>
      </c>
      <c r="AO748">
        <f>IF(OR(I748="accepted",I748="cond. accept",I748="summer admit"),IF(J748="yes","CHOICE!","Accepted!"),IF(I748="guar. transfer","Guar. Xfer",IF(I748="denied","Denied",IF(K748=1,"Waitlist",IF(L748=1,"Deferred",IF(G748="pending","Pending",IF(OR(G748="initial materials submitted",G748="mid-year submitted",G748="final submitted"),"Submitted",IF(H748="interest","Interest","?"))))))))</f>
        <v>0</v>
      </c>
      <c r="AP748">
        <f>IF(OR(AN748=ReachLabel,AN748=LongshotLabel,AN748=HailMaryLabel),1,0)</f>
        <v>0</v>
      </c>
      <c r="AQ748">
        <f>IF(OR(AP748=1,AN748=MatchLabel),1,0)</f>
        <v>0</v>
      </c>
      <c r="AR748">
        <f>IF(OR(AN748=MatchLabel,AN748=SafetyLabel,AN748=SecureLabel,AN748=SureThingLabel),1,0)</f>
        <v>0</v>
      </c>
      <c r="AS748">
        <f>IF(OR(W748="H",W748="B",W748="I",W748="M"),IF(ISNUMBER(AB748),ROUND(AB748,2),0),IF(ISNUMBER(AA748),ROUND(AA748,2),0))</f>
        <v>0</v>
      </c>
      <c r="AT748">
        <f>IF(AS748&gt;=X748,1,0)</f>
        <v>0</v>
      </c>
      <c r="AU748">
        <f>IF(AS748&gt;=Y748,1,0)</f>
        <v>0</v>
      </c>
      <c r="AV748">
        <f>IF(AS748&lt;(X748-0.10),1,0)</f>
        <v>0</v>
      </c>
      <c r="AW748">
        <f>1-AM748/100</f>
        <v>0</v>
      </c>
      <c r="AX748">
        <f>IF(AQ748=1,AW748,1)</f>
        <v>0</v>
      </c>
      <c r="AY748">
        <f>IF(AP748=1,AW748,1)</f>
        <v>0</v>
      </c>
      <c r="AZ748">
        <f>IF(AND(AT748=1,ISNUMBER(AW748)),$AW748,1)</f>
        <v>0</v>
      </c>
      <c r="BA748">
        <f>IF(AND(AU748=1,ISNUMBER(AW748)),$AW748,1)</f>
        <v>0</v>
      </c>
      <c r="BB748">
        <f>IF(ISNUMBER(AB748),INDEX(AllCollegeMoney, MATCH(N748,AllCollegeNCES,0)),0)</f>
        <v>0</v>
      </c>
      <c r="BC748">
        <f>IF(AND(AT748=1,ISNUMBER(AW748),BB748=1),$AW748,1)</f>
        <v>0</v>
      </c>
      <c r="BD748">
        <f>IF(AND(AU748=1,ISNUMBER(AW748),BB748=1),$AW748,1)</f>
        <v>0</v>
      </c>
      <c r="BE748">
        <f>IF(ISNUMBER(AB748),INDEX(AllCollegeILPub, MATCH(N748,AllCollegeNCES,0)),0)</f>
        <v>0</v>
      </c>
      <c r="BF748">
        <f>IF(AN748=ReachLabel,AS748,0)</f>
        <v>0</v>
      </c>
      <c r="BG748">
        <f>IF(AN748=MatchLabel,AS748,0)</f>
        <v>0</v>
      </c>
      <c r="BH748">
        <f>IF(AN748=SafetyLabel,AS748,0)</f>
        <v>0</v>
      </c>
      <c r="BI748">
        <f>IF(AN748=SecureLabel,AS748,0)</f>
        <v>0</v>
      </c>
      <c r="BJ748">
        <f>IF(AN748=SureThingLabel,AS748,0)</f>
        <v>0</v>
      </c>
      <c r="BK748">
        <f>MAX(BF748:BJ748)</f>
        <v>0</v>
      </c>
      <c r="BL748">
        <f>MAX(BG748:BJ748)</f>
        <v>0</v>
      </c>
      <c r="BM748">
        <f>MAX(BH748:BJ748)</f>
        <v>0</v>
      </c>
      <c r="BN748">
        <f>IF(AND(AN748=ReachLabel,BB748=1),AS748,0)</f>
        <v>0</v>
      </c>
      <c r="BO748">
        <f>IF(AND(AN748=MatchLabel,BB748=1),AS748,0)</f>
        <v>0</v>
      </c>
      <c r="BP748">
        <f>IF(AND(AN748=SafetyLabel,BB748=1),AS748,0)</f>
        <v>0</v>
      </c>
      <c r="BQ748">
        <f>IF(AND(AN748=SecureLabel,BB748=1),AS748,0)</f>
        <v>0</v>
      </c>
      <c r="BR748">
        <f>IF(AND(AN748=SureThingLabel,BB748=1),AS748,0)</f>
        <v>0</v>
      </c>
      <c r="BS748">
        <f>MAX(BN748:BR748)</f>
        <v>0</v>
      </c>
      <c r="BT748">
        <f>MAX(BO748:BR748)</f>
        <v>0</v>
      </c>
      <c r="BU748">
        <f>MAX(BP748:BR748)</f>
        <v>0</v>
      </c>
      <c r="BV748">
        <f>IF(ISNUMBER(AB748),INDEX(AllCollegeChicago, MATCH(N748,AllCollegeNCES,0))*BB748,0)</f>
        <v>0</v>
      </c>
      <c r="BW748">
        <f>IF(ISNUMBER(AB748),INDEX(AllCollegeMoneyCode, MATCH(N748,AllCollegeNCES,0)),"?")</f>
        <v>0</v>
      </c>
      <c r="BX748">
        <f>IF(OR(BW748="---",BW748="--",BW748="+/--",BW748="+/---"),1,0)</f>
        <v>0</v>
      </c>
      <c r="BY748">
        <f>BB748*AR748*AT748</f>
        <v>0</v>
      </c>
    </row>
    <row r="749" spans="1:77">
      <c r="A749" t="s">
        <v>96</v>
      </c>
      <c r="B749">
        <v>30323072</v>
      </c>
      <c r="C749" t="s">
        <v>151</v>
      </c>
      <c r="D749" t="s">
        <v>152</v>
      </c>
      <c r="E749" t="s">
        <v>446</v>
      </c>
      <c r="F749" t="s">
        <v>499</v>
      </c>
      <c r="G749" t="s">
        <v>448</v>
      </c>
      <c r="H749" t="s">
        <v>449</v>
      </c>
      <c r="I749" t="s">
        <v>450</v>
      </c>
      <c r="J749" t="s">
        <v>450</v>
      </c>
      <c r="K749">
        <v>0</v>
      </c>
      <c r="L749" t="s">
        <v>446</v>
      </c>
      <c r="M749" t="s">
        <v>446</v>
      </c>
      <c r="N749">
        <v>173902</v>
      </c>
      <c r="O749">
        <f>INDEX(Counselor,MATCH(B749,KidIDs,0))</f>
        <v>0</v>
      </c>
      <c r="P749">
        <f>INDEX(Advisors,MATCH(B749,KidIDs,0))</f>
        <v>0</v>
      </c>
      <c r="Q749">
        <f>INDEX(Cohort,MATCH(B749,KidIDs,0))</f>
        <v>0</v>
      </c>
      <c r="R749">
        <f>INDEX(AllCollegeBarrons,MATCH(N749,AllCollegeNCES,0))</f>
        <v>0</v>
      </c>
      <c r="S749">
        <f>INDEX(KidGPAs,MATCH(B749,KidIDs,0))</f>
        <v>0</v>
      </c>
      <c r="T749">
        <f>INDEX(KidSATs,MATCH(B749,KidIDs,0))</f>
        <v>0</v>
      </c>
      <c r="U749">
        <f>INDEX(Strats,MATCH(B749,KidIDs,0))</f>
        <v>0</v>
      </c>
      <c r="V749">
        <f>INDEX(KidRace,MATCH(B749,KidIDs,0))</f>
        <v>0</v>
      </c>
      <c r="W749">
        <f>IF(OR(V749="M",V749="I"),"H",IF(V749="P","A",V749))</f>
        <v>0</v>
      </c>
      <c r="X749">
        <f>INDEX(StudentTargets,MATCH(B749,KidIDs,0))</f>
        <v>0</v>
      </c>
      <c r="Y749">
        <f>INDEX(ReachStudentTargets,MATCH(B749,KidIDs,0))</f>
        <v>0</v>
      </c>
      <c r="Z749">
        <f>IF(OR(M749="Posse"),1,0)</f>
        <v>0</v>
      </c>
      <c r="AA749">
        <f>IF(ISNUMBER(INDEX(AllCollegeGR, MATCH(N749,AllCollegeNCES,0))),ROUND(INDEX(AllCollegeGR, MATCH(N749,AllCollegeNCES,0))+Z749*IF(INDEX(AllCollegeGR, MATCH(N749,AllCollegeNCES,0))&gt;0.7,(1-INDEX(AllCollegeGR, MATCH(N749,AllCollegeNCES,0)))/2,0.15),2),INDEX(AllCollegeGR, MATCH(N749,AllCollegeNCES,0)))</f>
        <v>0</v>
      </c>
      <c r="AB749">
        <f>IF(ISNUMBER(INDEX(AllCollegeAAHGR, MATCH(N749,AllCollegeNCES,0))),ROUND(INDEX(AllCollegeAAHGR, MATCH(N749,AllCollegeNCES,0))+Z749*IF(INDEX(AllCollegeAAHGR, MATCH(N749,AllCollegeNCES,0))&gt;0.7,(1-INDEX(AllCollegeAAHGR, MATCH(N749,AllCollegeNCES,0)))/2,0.15),2),INDEX(AllCollegeAAHGR, MATCH(N749,AllCollegeNCES,0)))</f>
        <v>0</v>
      </c>
      <c r="AC749">
        <f>IF(OR(W749="H",W749="B"),INDEX(AllCollegeSAT25, MATCH(N749,AllCollegeNCES,0)),INDEX(AllCollegeSAT50, MATCH(N749,AllCollegeNCES,0)))</f>
        <v>0</v>
      </c>
      <c r="AD749">
        <f>INDEX(CustomWeightsGPA,MATCH(W749&amp;":"&amp;N749,CustomWeightsIndex,0))</f>
        <v>0</v>
      </c>
      <c r="AE749">
        <f>INDEX(CustomWeightsSAT,MATCH(W749&amp;":"&amp;N749,CustomWeightsIndex,0))</f>
        <v>0</v>
      </c>
      <c r="AF749">
        <f>INDEX(CustomWeightsIntercept,MATCH(W749&amp;":"&amp;N749,CustomWeightsIndex,0))</f>
        <v>0</v>
      </c>
      <c r="AG749">
        <f>AD749*S749+AE749*T749+AF749</f>
        <v>0</v>
      </c>
      <c r="AH749">
        <f>INDEX(CoefficientsGPA,MATCH(W749&amp;":"&amp;R749,CoefficientsIndex,0))</f>
        <v>0</v>
      </c>
      <c r="AI749">
        <f>INDEX(CoefficientsSAT,MATCH(W749&amp;":"&amp;R749,CoefficientsIndex,0))</f>
        <v>0</v>
      </c>
      <c r="AJ749">
        <f>INDEX(CoefficientsIntercept,MATCH(W749&amp;":"&amp;R749,CoefficientsIndex,0))</f>
        <v>0</v>
      </c>
      <c r="AK749">
        <f>AH749*S749+(T749-AC749)*AI749+AJ749</f>
        <v>0</v>
      </c>
      <c r="AL749">
        <f>IF(ISNUMBER(AG749),AG749,AK749)</f>
        <v>0</v>
      </c>
      <c r="AM749">
        <f>IF(ISNUMBER(AL749),IF(ISNUMBER(AH749),IF(AND(AH749=1,AI749=1,AJ749=1),100,MIN(99,ROUND(100*EXP(AL749)/(1+EXP(AL749)),2))),MIN(99,ROUND(100*EXP(AL749)/(1+EXP(AL749)),2))),IF(ISTEXT(R749),IF(LEFT(R749,1)="2",100,"N/A"),"N/A"))</f>
        <v>0</v>
      </c>
      <c r="AN749">
        <f>IF(ISNUMBER(AM749),IF(AM749&gt;=99,IF(OR(U749=10,U749=11),MatchLabel,SureThingLabel),IF(AM749&gt;=95,SecureLabel,IF(AM749&gt;=80,SafetyLabel,IF(AM749&gt;=50,MatchLabel,IF(AM749&gt;=20,ReachLabel,IF(AM749&gt;=10,LongshotLabel,HailMaryLabel)))))),"Other")</f>
        <v>0</v>
      </c>
      <c r="AO749">
        <f>IF(OR(I749="accepted",I749="cond. accept",I749="summer admit"),IF(J749="yes","CHOICE!","Accepted!"),IF(I749="guar. transfer","Guar. Xfer",IF(I749="denied","Denied",IF(K749=1,"Waitlist",IF(L749=1,"Deferred",IF(G749="pending","Pending",IF(OR(G749="initial materials submitted",G749="mid-year submitted",G749="final submitted"),"Submitted",IF(H749="interest","Interest","?"))))))))</f>
        <v>0</v>
      </c>
      <c r="AP749">
        <f>IF(OR(AN749=ReachLabel,AN749=LongshotLabel,AN749=HailMaryLabel),1,0)</f>
        <v>0</v>
      </c>
      <c r="AQ749">
        <f>IF(OR(AP749=1,AN749=MatchLabel),1,0)</f>
        <v>0</v>
      </c>
      <c r="AR749">
        <f>IF(OR(AN749=MatchLabel,AN749=SafetyLabel,AN749=SecureLabel,AN749=SureThingLabel),1,0)</f>
        <v>0</v>
      </c>
      <c r="AS749">
        <f>IF(OR(W749="H",W749="B",W749="I",W749="M"),IF(ISNUMBER(AB749),ROUND(AB749,2),0),IF(ISNUMBER(AA749),ROUND(AA749,2),0))</f>
        <v>0</v>
      </c>
      <c r="AT749">
        <f>IF(AS749&gt;=X749,1,0)</f>
        <v>0</v>
      </c>
      <c r="AU749">
        <f>IF(AS749&gt;=Y749,1,0)</f>
        <v>0</v>
      </c>
      <c r="AV749">
        <f>IF(AS749&lt;(X749-0.10),1,0)</f>
        <v>0</v>
      </c>
      <c r="AW749">
        <f>1-AM749/100</f>
        <v>0</v>
      </c>
      <c r="AX749">
        <f>IF(AQ749=1,AW749,1)</f>
        <v>0</v>
      </c>
      <c r="AY749">
        <f>IF(AP749=1,AW749,1)</f>
        <v>0</v>
      </c>
      <c r="AZ749">
        <f>IF(AND(AT749=1,ISNUMBER(AW749)),$AW749,1)</f>
        <v>0</v>
      </c>
      <c r="BA749">
        <f>IF(AND(AU749=1,ISNUMBER(AW749)),$AW749,1)</f>
        <v>0</v>
      </c>
      <c r="BB749">
        <f>IF(ISNUMBER(AB749),INDEX(AllCollegeMoney, MATCH(N749,AllCollegeNCES,0)),0)</f>
        <v>0</v>
      </c>
      <c r="BC749">
        <f>IF(AND(AT749=1,ISNUMBER(AW749),BB749=1),$AW749,1)</f>
        <v>0</v>
      </c>
      <c r="BD749">
        <f>IF(AND(AU749=1,ISNUMBER(AW749),BB749=1),$AW749,1)</f>
        <v>0</v>
      </c>
      <c r="BE749">
        <f>IF(ISNUMBER(AB749),INDEX(AllCollegeILPub, MATCH(N749,AllCollegeNCES,0)),0)</f>
        <v>0</v>
      </c>
      <c r="BF749">
        <f>IF(AN749=ReachLabel,AS749,0)</f>
        <v>0</v>
      </c>
      <c r="BG749">
        <f>IF(AN749=MatchLabel,AS749,0)</f>
        <v>0</v>
      </c>
      <c r="BH749">
        <f>IF(AN749=SafetyLabel,AS749,0)</f>
        <v>0</v>
      </c>
      <c r="BI749">
        <f>IF(AN749=SecureLabel,AS749,0)</f>
        <v>0</v>
      </c>
      <c r="BJ749">
        <f>IF(AN749=SureThingLabel,AS749,0)</f>
        <v>0</v>
      </c>
      <c r="BK749">
        <f>MAX(BF749:BJ749)</f>
        <v>0</v>
      </c>
      <c r="BL749">
        <f>MAX(BG749:BJ749)</f>
        <v>0</v>
      </c>
      <c r="BM749">
        <f>MAX(BH749:BJ749)</f>
        <v>0</v>
      </c>
      <c r="BN749">
        <f>IF(AND(AN749=ReachLabel,BB749=1),AS749,0)</f>
        <v>0</v>
      </c>
      <c r="BO749">
        <f>IF(AND(AN749=MatchLabel,BB749=1),AS749,0)</f>
        <v>0</v>
      </c>
      <c r="BP749">
        <f>IF(AND(AN749=SafetyLabel,BB749=1),AS749,0)</f>
        <v>0</v>
      </c>
      <c r="BQ749">
        <f>IF(AND(AN749=SecureLabel,BB749=1),AS749,0)</f>
        <v>0</v>
      </c>
      <c r="BR749">
        <f>IF(AND(AN749=SureThingLabel,BB749=1),AS749,0)</f>
        <v>0</v>
      </c>
      <c r="BS749">
        <f>MAX(BN749:BR749)</f>
        <v>0</v>
      </c>
      <c r="BT749">
        <f>MAX(BO749:BR749)</f>
        <v>0</v>
      </c>
      <c r="BU749">
        <f>MAX(BP749:BR749)</f>
        <v>0</v>
      </c>
      <c r="BV749">
        <f>IF(ISNUMBER(AB749),INDEX(AllCollegeChicago, MATCH(N749,AllCollegeNCES,0))*BB749,0)</f>
        <v>0</v>
      </c>
      <c r="BW749">
        <f>IF(ISNUMBER(AB749),INDEX(AllCollegeMoneyCode, MATCH(N749,AllCollegeNCES,0)),"?")</f>
        <v>0</v>
      </c>
      <c r="BX749">
        <f>IF(OR(BW749="---",BW749="--",BW749="+/--",BW749="+/---"),1,0)</f>
        <v>0</v>
      </c>
      <c r="BY749">
        <f>BB749*AR749*AT749</f>
        <v>0</v>
      </c>
    </row>
    <row r="750" spans="1:77">
      <c r="A750" t="s">
        <v>96</v>
      </c>
      <c r="B750">
        <v>30323072</v>
      </c>
      <c r="C750" t="s">
        <v>151</v>
      </c>
      <c r="D750" t="s">
        <v>152</v>
      </c>
      <c r="E750" t="s">
        <v>446</v>
      </c>
      <c r="F750" t="s">
        <v>470</v>
      </c>
      <c r="G750" t="s">
        <v>448</v>
      </c>
      <c r="H750" t="s">
        <v>449</v>
      </c>
      <c r="I750" t="s">
        <v>450</v>
      </c>
      <c r="J750" t="s">
        <v>450</v>
      </c>
      <c r="K750">
        <v>0</v>
      </c>
      <c r="L750" t="s">
        <v>446</v>
      </c>
      <c r="M750" t="s">
        <v>446</v>
      </c>
      <c r="N750">
        <v>240444</v>
      </c>
      <c r="O750">
        <f>INDEX(Counselor,MATCH(B750,KidIDs,0))</f>
        <v>0</v>
      </c>
      <c r="P750">
        <f>INDEX(Advisors,MATCH(B750,KidIDs,0))</f>
        <v>0</v>
      </c>
      <c r="Q750">
        <f>INDEX(Cohort,MATCH(B750,KidIDs,0))</f>
        <v>0</v>
      </c>
      <c r="R750">
        <f>INDEX(AllCollegeBarrons,MATCH(N750,AllCollegeNCES,0))</f>
        <v>0</v>
      </c>
      <c r="S750">
        <f>INDEX(KidGPAs,MATCH(B750,KidIDs,0))</f>
        <v>0</v>
      </c>
      <c r="T750">
        <f>INDEX(KidSATs,MATCH(B750,KidIDs,0))</f>
        <v>0</v>
      </c>
      <c r="U750">
        <f>INDEX(Strats,MATCH(B750,KidIDs,0))</f>
        <v>0</v>
      </c>
      <c r="V750">
        <f>INDEX(KidRace,MATCH(B750,KidIDs,0))</f>
        <v>0</v>
      </c>
      <c r="W750">
        <f>IF(OR(V750="M",V750="I"),"H",IF(V750="P","A",V750))</f>
        <v>0</v>
      </c>
      <c r="X750">
        <f>INDEX(StudentTargets,MATCH(B750,KidIDs,0))</f>
        <v>0</v>
      </c>
      <c r="Y750">
        <f>INDEX(ReachStudentTargets,MATCH(B750,KidIDs,0))</f>
        <v>0</v>
      </c>
      <c r="Z750">
        <f>IF(OR(M750="Posse"),1,0)</f>
        <v>0</v>
      </c>
      <c r="AA750">
        <f>IF(ISNUMBER(INDEX(AllCollegeGR, MATCH(N750,AllCollegeNCES,0))),ROUND(INDEX(AllCollegeGR, MATCH(N750,AllCollegeNCES,0))+Z750*IF(INDEX(AllCollegeGR, MATCH(N750,AllCollegeNCES,0))&gt;0.7,(1-INDEX(AllCollegeGR, MATCH(N750,AllCollegeNCES,0)))/2,0.15),2),INDEX(AllCollegeGR, MATCH(N750,AllCollegeNCES,0)))</f>
        <v>0</v>
      </c>
      <c r="AB750">
        <f>IF(ISNUMBER(INDEX(AllCollegeAAHGR, MATCH(N750,AllCollegeNCES,0))),ROUND(INDEX(AllCollegeAAHGR, MATCH(N750,AllCollegeNCES,0))+Z750*IF(INDEX(AllCollegeAAHGR, MATCH(N750,AllCollegeNCES,0))&gt;0.7,(1-INDEX(AllCollegeAAHGR, MATCH(N750,AllCollegeNCES,0)))/2,0.15),2),INDEX(AllCollegeAAHGR, MATCH(N750,AllCollegeNCES,0)))</f>
        <v>0</v>
      </c>
      <c r="AC750">
        <f>IF(OR(W750="H",W750="B"),INDEX(AllCollegeSAT25, MATCH(N750,AllCollegeNCES,0)),INDEX(AllCollegeSAT50, MATCH(N750,AllCollegeNCES,0)))</f>
        <v>0</v>
      </c>
      <c r="AD750">
        <f>INDEX(CustomWeightsGPA,MATCH(W750&amp;":"&amp;N750,CustomWeightsIndex,0))</f>
        <v>0</v>
      </c>
      <c r="AE750">
        <f>INDEX(CustomWeightsSAT,MATCH(W750&amp;":"&amp;N750,CustomWeightsIndex,0))</f>
        <v>0</v>
      </c>
      <c r="AF750">
        <f>INDEX(CustomWeightsIntercept,MATCH(W750&amp;":"&amp;N750,CustomWeightsIndex,0))</f>
        <v>0</v>
      </c>
      <c r="AG750">
        <f>AD750*S750+AE750*T750+AF750</f>
        <v>0</v>
      </c>
      <c r="AH750">
        <f>INDEX(CoefficientsGPA,MATCH(W750&amp;":"&amp;R750,CoefficientsIndex,0))</f>
        <v>0</v>
      </c>
      <c r="AI750">
        <f>INDEX(CoefficientsSAT,MATCH(W750&amp;":"&amp;R750,CoefficientsIndex,0))</f>
        <v>0</v>
      </c>
      <c r="AJ750">
        <f>INDEX(CoefficientsIntercept,MATCH(W750&amp;":"&amp;R750,CoefficientsIndex,0))</f>
        <v>0</v>
      </c>
      <c r="AK750">
        <f>AH750*S750+(T750-AC750)*AI750+AJ750</f>
        <v>0</v>
      </c>
      <c r="AL750">
        <f>IF(ISNUMBER(AG750),AG750,AK750)</f>
        <v>0</v>
      </c>
      <c r="AM750">
        <f>IF(ISNUMBER(AL750),IF(ISNUMBER(AH750),IF(AND(AH750=1,AI750=1,AJ750=1),100,MIN(99,ROUND(100*EXP(AL750)/(1+EXP(AL750)),2))),MIN(99,ROUND(100*EXP(AL750)/(1+EXP(AL750)),2))),IF(ISTEXT(R750),IF(LEFT(R750,1)="2",100,"N/A"),"N/A"))</f>
        <v>0</v>
      </c>
      <c r="AN750">
        <f>IF(ISNUMBER(AM750),IF(AM750&gt;=99,IF(OR(U750=10,U750=11),MatchLabel,SureThingLabel),IF(AM750&gt;=95,SecureLabel,IF(AM750&gt;=80,SafetyLabel,IF(AM750&gt;=50,MatchLabel,IF(AM750&gt;=20,ReachLabel,IF(AM750&gt;=10,LongshotLabel,HailMaryLabel)))))),"Other")</f>
        <v>0</v>
      </c>
      <c r="AO750">
        <f>IF(OR(I750="accepted",I750="cond. accept",I750="summer admit"),IF(J750="yes","CHOICE!","Accepted!"),IF(I750="guar. transfer","Guar. Xfer",IF(I750="denied","Denied",IF(K750=1,"Waitlist",IF(L750=1,"Deferred",IF(G750="pending","Pending",IF(OR(G750="initial materials submitted",G750="mid-year submitted",G750="final submitted"),"Submitted",IF(H750="interest","Interest","?"))))))))</f>
        <v>0</v>
      </c>
      <c r="AP750">
        <f>IF(OR(AN750=ReachLabel,AN750=LongshotLabel,AN750=HailMaryLabel),1,0)</f>
        <v>0</v>
      </c>
      <c r="AQ750">
        <f>IF(OR(AP750=1,AN750=MatchLabel),1,0)</f>
        <v>0</v>
      </c>
      <c r="AR750">
        <f>IF(OR(AN750=MatchLabel,AN750=SafetyLabel,AN750=SecureLabel,AN750=SureThingLabel),1,0)</f>
        <v>0</v>
      </c>
      <c r="AS750">
        <f>IF(OR(W750="H",W750="B",W750="I",W750="M"),IF(ISNUMBER(AB750),ROUND(AB750,2),0),IF(ISNUMBER(AA750),ROUND(AA750,2),0))</f>
        <v>0</v>
      </c>
      <c r="AT750">
        <f>IF(AS750&gt;=X750,1,0)</f>
        <v>0</v>
      </c>
      <c r="AU750">
        <f>IF(AS750&gt;=Y750,1,0)</f>
        <v>0</v>
      </c>
      <c r="AV750">
        <f>IF(AS750&lt;(X750-0.10),1,0)</f>
        <v>0</v>
      </c>
      <c r="AW750">
        <f>1-AM750/100</f>
        <v>0</v>
      </c>
      <c r="AX750">
        <f>IF(AQ750=1,AW750,1)</f>
        <v>0</v>
      </c>
      <c r="AY750">
        <f>IF(AP750=1,AW750,1)</f>
        <v>0</v>
      </c>
      <c r="AZ750">
        <f>IF(AND(AT750=1,ISNUMBER(AW750)),$AW750,1)</f>
        <v>0</v>
      </c>
      <c r="BA750">
        <f>IF(AND(AU750=1,ISNUMBER(AW750)),$AW750,1)</f>
        <v>0</v>
      </c>
      <c r="BB750">
        <f>IF(ISNUMBER(AB750),INDEX(AllCollegeMoney, MATCH(N750,AllCollegeNCES,0)),0)</f>
        <v>0</v>
      </c>
      <c r="BC750">
        <f>IF(AND(AT750=1,ISNUMBER(AW750),BB750=1),$AW750,1)</f>
        <v>0</v>
      </c>
      <c r="BD750">
        <f>IF(AND(AU750=1,ISNUMBER(AW750),BB750=1),$AW750,1)</f>
        <v>0</v>
      </c>
      <c r="BE750">
        <f>IF(ISNUMBER(AB750),INDEX(AllCollegeILPub, MATCH(N750,AllCollegeNCES,0)),0)</f>
        <v>0</v>
      </c>
      <c r="BF750">
        <f>IF(AN750=ReachLabel,AS750,0)</f>
        <v>0</v>
      </c>
      <c r="BG750">
        <f>IF(AN750=MatchLabel,AS750,0)</f>
        <v>0</v>
      </c>
      <c r="BH750">
        <f>IF(AN750=SafetyLabel,AS750,0)</f>
        <v>0</v>
      </c>
      <c r="BI750">
        <f>IF(AN750=SecureLabel,AS750,0)</f>
        <v>0</v>
      </c>
      <c r="BJ750">
        <f>IF(AN750=SureThingLabel,AS750,0)</f>
        <v>0</v>
      </c>
      <c r="BK750">
        <f>MAX(BF750:BJ750)</f>
        <v>0</v>
      </c>
      <c r="BL750">
        <f>MAX(BG750:BJ750)</f>
        <v>0</v>
      </c>
      <c r="BM750">
        <f>MAX(BH750:BJ750)</f>
        <v>0</v>
      </c>
      <c r="BN750">
        <f>IF(AND(AN750=ReachLabel,BB750=1),AS750,0)</f>
        <v>0</v>
      </c>
      <c r="BO750">
        <f>IF(AND(AN750=MatchLabel,BB750=1),AS750,0)</f>
        <v>0</v>
      </c>
      <c r="BP750">
        <f>IF(AND(AN750=SafetyLabel,BB750=1),AS750,0)</f>
        <v>0</v>
      </c>
      <c r="BQ750">
        <f>IF(AND(AN750=SecureLabel,BB750=1),AS750,0)</f>
        <v>0</v>
      </c>
      <c r="BR750">
        <f>IF(AND(AN750=SureThingLabel,BB750=1),AS750,0)</f>
        <v>0</v>
      </c>
      <c r="BS750">
        <f>MAX(BN750:BR750)</f>
        <v>0</v>
      </c>
      <c r="BT750">
        <f>MAX(BO750:BR750)</f>
        <v>0</v>
      </c>
      <c r="BU750">
        <f>MAX(BP750:BR750)</f>
        <v>0</v>
      </c>
      <c r="BV750">
        <f>IF(ISNUMBER(AB750),INDEX(AllCollegeChicago, MATCH(N750,AllCollegeNCES,0))*BB750,0)</f>
        <v>0</v>
      </c>
      <c r="BW750">
        <f>IF(ISNUMBER(AB750),INDEX(AllCollegeMoneyCode, MATCH(N750,AllCollegeNCES,0)),"?")</f>
        <v>0</v>
      </c>
      <c r="BX750">
        <f>IF(OR(BW750="---",BW750="--",BW750="+/--",BW750="+/---"),1,0)</f>
        <v>0</v>
      </c>
      <c r="BY750">
        <f>BB750*AR750*AT750</f>
        <v>0</v>
      </c>
    </row>
    <row r="751" spans="1:77">
      <c r="A751" t="s">
        <v>96</v>
      </c>
      <c r="B751">
        <v>30323072</v>
      </c>
      <c r="C751" t="s">
        <v>151</v>
      </c>
      <c r="D751" t="s">
        <v>152</v>
      </c>
      <c r="E751" t="s">
        <v>446</v>
      </c>
      <c r="F751" t="s">
        <v>483</v>
      </c>
      <c r="G751" t="s">
        <v>448</v>
      </c>
      <c r="H751" t="s">
        <v>449</v>
      </c>
      <c r="I751" t="s">
        <v>450</v>
      </c>
      <c r="J751" t="s">
        <v>450</v>
      </c>
      <c r="K751">
        <v>0</v>
      </c>
      <c r="L751" t="s">
        <v>446</v>
      </c>
      <c r="M751" t="s">
        <v>446</v>
      </c>
      <c r="N751">
        <v>212577</v>
      </c>
      <c r="O751">
        <f>INDEX(Counselor,MATCH(B751,KidIDs,0))</f>
        <v>0</v>
      </c>
      <c r="P751">
        <f>INDEX(Advisors,MATCH(B751,KidIDs,0))</f>
        <v>0</v>
      </c>
      <c r="Q751">
        <f>INDEX(Cohort,MATCH(B751,KidIDs,0))</f>
        <v>0</v>
      </c>
      <c r="R751">
        <f>INDEX(AllCollegeBarrons,MATCH(N751,AllCollegeNCES,0))</f>
        <v>0</v>
      </c>
      <c r="S751">
        <f>INDEX(KidGPAs,MATCH(B751,KidIDs,0))</f>
        <v>0</v>
      </c>
      <c r="T751">
        <f>INDEX(KidSATs,MATCH(B751,KidIDs,0))</f>
        <v>0</v>
      </c>
      <c r="U751">
        <f>INDEX(Strats,MATCH(B751,KidIDs,0))</f>
        <v>0</v>
      </c>
      <c r="V751">
        <f>INDEX(KidRace,MATCH(B751,KidIDs,0))</f>
        <v>0</v>
      </c>
      <c r="W751">
        <f>IF(OR(V751="M",V751="I"),"H",IF(V751="P","A",V751))</f>
        <v>0</v>
      </c>
      <c r="X751">
        <f>INDEX(StudentTargets,MATCH(B751,KidIDs,0))</f>
        <v>0</v>
      </c>
      <c r="Y751">
        <f>INDEX(ReachStudentTargets,MATCH(B751,KidIDs,0))</f>
        <v>0</v>
      </c>
      <c r="Z751">
        <f>IF(OR(M751="Posse"),1,0)</f>
        <v>0</v>
      </c>
      <c r="AA751">
        <f>IF(ISNUMBER(INDEX(AllCollegeGR, MATCH(N751,AllCollegeNCES,0))),ROUND(INDEX(AllCollegeGR, MATCH(N751,AllCollegeNCES,0))+Z751*IF(INDEX(AllCollegeGR, MATCH(N751,AllCollegeNCES,0))&gt;0.7,(1-INDEX(AllCollegeGR, MATCH(N751,AllCollegeNCES,0)))/2,0.15),2),INDEX(AllCollegeGR, MATCH(N751,AllCollegeNCES,0)))</f>
        <v>0</v>
      </c>
      <c r="AB751">
        <f>IF(ISNUMBER(INDEX(AllCollegeAAHGR, MATCH(N751,AllCollegeNCES,0))),ROUND(INDEX(AllCollegeAAHGR, MATCH(N751,AllCollegeNCES,0))+Z751*IF(INDEX(AllCollegeAAHGR, MATCH(N751,AllCollegeNCES,0))&gt;0.7,(1-INDEX(AllCollegeAAHGR, MATCH(N751,AllCollegeNCES,0)))/2,0.15),2),INDEX(AllCollegeAAHGR, MATCH(N751,AllCollegeNCES,0)))</f>
        <v>0</v>
      </c>
      <c r="AC751">
        <f>IF(OR(W751="H",W751="B"),INDEX(AllCollegeSAT25, MATCH(N751,AllCollegeNCES,0)),INDEX(AllCollegeSAT50, MATCH(N751,AllCollegeNCES,0)))</f>
        <v>0</v>
      </c>
      <c r="AD751">
        <f>INDEX(CustomWeightsGPA,MATCH(W751&amp;":"&amp;N751,CustomWeightsIndex,0))</f>
        <v>0</v>
      </c>
      <c r="AE751">
        <f>INDEX(CustomWeightsSAT,MATCH(W751&amp;":"&amp;N751,CustomWeightsIndex,0))</f>
        <v>0</v>
      </c>
      <c r="AF751">
        <f>INDEX(CustomWeightsIntercept,MATCH(W751&amp;":"&amp;N751,CustomWeightsIndex,0))</f>
        <v>0</v>
      </c>
      <c r="AG751">
        <f>AD751*S751+AE751*T751+AF751</f>
        <v>0</v>
      </c>
      <c r="AH751">
        <f>INDEX(CoefficientsGPA,MATCH(W751&amp;":"&amp;R751,CoefficientsIndex,0))</f>
        <v>0</v>
      </c>
      <c r="AI751">
        <f>INDEX(CoefficientsSAT,MATCH(W751&amp;":"&amp;R751,CoefficientsIndex,0))</f>
        <v>0</v>
      </c>
      <c r="AJ751">
        <f>INDEX(CoefficientsIntercept,MATCH(W751&amp;":"&amp;R751,CoefficientsIndex,0))</f>
        <v>0</v>
      </c>
      <c r="AK751">
        <f>AH751*S751+(T751-AC751)*AI751+AJ751</f>
        <v>0</v>
      </c>
      <c r="AL751">
        <f>IF(ISNUMBER(AG751),AG751,AK751)</f>
        <v>0</v>
      </c>
      <c r="AM751">
        <f>IF(ISNUMBER(AL751),IF(ISNUMBER(AH751),IF(AND(AH751=1,AI751=1,AJ751=1),100,MIN(99,ROUND(100*EXP(AL751)/(1+EXP(AL751)),2))),MIN(99,ROUND(100*EXP(AL751)/(1+EXP(AL751)),2))),IF(ISTEXT(R751),IF(LEFT(R751,1)="2",100,"N/A"),"N/A"))</f>
        <v>0</v>
      </c>
      <c r="AN751">
        <f>IF(ISNUMBER(AM751),IF(AM751&gt;=99,IF(OR(U751=10,U751=11),MatchLabel,SureThingLabel),IF(AM751&gt;=95,SecureLabel,IF(AM751&gt;=80,SafetyLabel,IF(AM751&gt;=50,MatchLabel,IF(AM751&gt;=20,ReachLabel,IF(AM751&gt;=10,LongshotLabel,HailMaryLabel)))))),"Other")</f>
        <v>0</v>
      </c>
      <c r="AO751">
        <f>IF(OR(I751="accepted",I751="cond. accept",I751="summer admit"),IF(J751="yes","CHOICE!","Accepted!"),IF(I751="guar. transfer","Guar. Xfer",IF(I751="denied","Denied",IF(K751=1,"Waitlist",IF(L751=1,"Deferred",IF(G751="pending","Pending",IF(OR(G751="initial materials submitted",G751="mid-year submitted",G751="final submitted"),"Submitted",IF(H751="interest","Interest","?"))))))))</f>
        <v>0</v>
      </c>
      <c r="AP751">
        <f>IF(OR(AN751=ReachLabel,AN751=LongshotLabel,AN751=HailMaryLabel),1,0)</f>
        <v>0</v>
      </c>
      <c r="AQ751">
        <f>IF(OR(AP751=1,AN751=MatchLabel),1,0)</f>
        <v>0</v>
      </c>
      <c r="AR751">
        <f>IF(OR(AN751=MatchLabel,AN751=SafetyLabel,AN751=SecureLabel,AN751=SureThingLabel),1,0)</f>
        <v>0</v>
      </c>
      <c r="AS751">
        <f>IF(OR(W751="H",W751="B",W751="I",W751="M"),IF(ISNUMBER(AB751),ROUND(AB751,2),0),IF(ISNUMBER(AA751),ROUND(AA751,2),0))</f>
        <v>0</v>
      </c>
      <c r="AT751">
        <f>IF(AS751&gt;=X751,1,0)</f>
        <v>0</v>
      </c>
      <c r="AU751">
        <f>IF(AS751&gt;=Y751,1,0)</f>
        <v>0</v>
      </c>
      <c r="AV751">
        <f>IF(AS751&lt;(X751-0.10),1,0)</f>
        <v>0</v>
      </c>
      <c r="AW751">
        <f>1-AM751/100</f>
        <v>0</v>
      </c>
      <c r="AX751">
        <f>IF(AQ751=1,AW751,1)</f>
        <v>0</v>
      </c>
      <c r="AY751">
        <f>IF(AP751=1,AW751,1)</f>
        <v>0</v>
      </c>
      <c r="AZ751">
        <f>IF(AND(AT751=1,ISNUMBER(AW751)),$AW751,1)</f>
        <v>0</v>
      </c>
      <c r="BA751">
        <f>IF(AND(AU751=1,ISNUMBER(AW751)),$AW751,1)</f>
        <v>0</v>
      </c>
      <c r="BB751">
        <f>IF(ISNUMBER(AB751),INDEX(AllCollegeMoney, MATCH(N751,AllCollegeNCES,0)),0)</f>
        <v>0</v>
      </c>
      <c r="BC751">
        <f>IF(AND(AT751=1,ISNUMBER(AW751),BB751=1),$AW751,1)</f>
        <v>0</v>
      </c>
      <c r="BD751">
        <f>IF(AND(AU751=1,ISNUMBER(AW751),BB751=1),$AW751,1)</f>
        <v>0</v>
      </c>
      <c r="BE751">
        <f>IF(ISNUMBER(AB751),INDEX(AllCollegeILPub, MATCH(N751,AllCollegeNCES,0)),0)</f>
        <v>0</v>
      </c>
      <c r="BF751">
        <f>IF(AN751=ReachLabel,AS751,0)</f>
        <v>0</v>
      </c>
      <c r="BG751">
        <f>IF(AN751=MatchLabel,AS751,0)</f>
        <v>0</v>
      </c>
      <c r="BH751">
        <f>IF(AN751=SafetyLabel,AS751,0)</f>
        <v>0</v>
      </c>
      <c r="BI751">
        <f>IF(AN751=SecureLabel,AS751,0)</f>
        <v>0</v>
      </c>
      <c r="BJ751">
        <f>IF(AN751=SureThingLabel,AS751,0)</f>
        <v>0</v>
      </c>
      <c r="BK751">
        <f>MAX(BF751:BJ751)</f>
        <v>0</v>
      </c>
      <c r="BL751">
        <f>MAX(BG751:BJ751)</f>
        <v>0</v>
      </c>
      <c r="BM751">
        <f>MAX(BH751:BJ751)</f>
        <v>0</v>
      </c>
      <c r="BN751">
        <f>IF(AND(AN751=ReachLabel,BB751=1),AS751,0)</f>
        <v>0</v>
      </c>
      <c r="BO751">
        <f>IF(AND(AN751=MatchLabel,BB751=1),AS751,0)</f>
        <v>0</v>
      </c>
      <c r="BP751">
        <f>IF(AND(AN751=SafetyLabel,BB751=1),AS751,0)</f>
        <v>0</v>
      </c>
      <c r="BQ751">
        <f>IF(AND(AN751=SecureLabel,BB751=1),AS751,0)</f>
        <v>0</v>
      </c>
      <c r="BR751">
        <f>IF(AND(AN751=SureThingLabel,BB751=1),AS751,0)</f>
        <v>0</v>
      </c>
      <c r="BS751">
        <f>MAX(BN751:BR751)</f>
        <v>0</v>
      </c>
      <c r="BT751">
        <f>MAX(BO751:BR751)</f>
        <v>0</v>
      </c>
      <c r="BU751">
        <f>MAX(BP751:BR751)</f>
        <v>0</v>
      </c>
      <c r="BV751">
        <f>IF(ISNUMBER(AB751),INDEX(AllCollegeChicago, MATCH(N751,AllCollegeNCES,0))*BB751,0)</f>
        <v>0</v>
      </c>
      <c r="BW751">
        <f>IF(ISNUMBER(AB751),INDEX(AllCollegeMoneyCode, MATCH(N751,AllCollegeNCES,0)),"?")</f>
        <v>0</v>
      </c>
      <c r="BX751">
        <f>IF(OR(BW751="---",BW751="--",BW751="+/--",BW751="+/---"),1,0)</f>
        <v>0</v>
      </c>
      <c r="BY751">
        <f>BB751*AR751*AT751</f>
        <v>0</v>
      </c>
    </row>
    <row r="752" spans="1:77">
      <c r="A752" t="s">
        <v>96</v>
      </c>
      <c r="B752">
        <v>30323072</v>
      </c>
      <c r="C752" t="s">
        <v>151</v>
      </c>
      <c r="D752" t="s">
        <v>152</v>
      </c>
      <c r="E752" t="s">
        <v>446</v>
      </c>
      <c r="F752" t="s">
        <v>500</v>
      </c>
      <c r="G752" t="s">
        <v>448</v>
      </c>
      <c r="H752" t="s">
        <v>449</v>
      </c>
      <c r="I752" t="s">
        <v>450</v>
      </c>
      <c r="J752" t="s">
        <v>450</v>
      </c>
      <c r="K752">
        <v>0</v>
      </c>
      <c r="L752" t="s">
        <v>446</v>
      </c>
      <c r="M752" t="s">
        <v>446</v>
      </c>
      <c r="N752">
        <v>153384</v>
      </c>
      <c r="O752">
        <f>INDEX(Counselor,MATCH(B752,KidIDs,0))</f>
        <v>0</v>
      </c>
      <c r="P752">
        <f>INDEX(Advisors,MATCH(B752,KidIDs,0))</f>
        <v>0</v>
      </c>
      <c r="Q752">
        <f>INDEX(Cohort,MATCH(B752,KidIDs,0))</f>
        <v>0</v>
      </c>
      <c r="R752">
        <f>INDEX(AllCollegeBarrons,MATCH(N752,AllCollegeNCES,0))</f>
        <v>0</v>
      </c>
      <c r="S752">
        <f>INDEX(KidGPAs,MATCH(B752,KidIDs,0))</f>
        <v>0</v>
      </c>
      <c r="T752">
        <f>INDEX(KidSATs,MATCH(B752,KidIDs,0))</f>
        <v>0</v>
      </c>
      <c r="U752">
        <f>INDEX(Strats,MATCH(B752,KidIDs,0))</f>
        <v>0</v>
      </c>
      <c r="V752">
        <f>INDEX(KidRace,MATCH(B752,KidIDs,0))</f>
        <v>0</v>
      </c>
      <c r="W752">
        <f>IF(OR(V752="M",V752="I"),"H",IF(V752="P","A",V752))</f>
        <v>0</v>
      </c>
      <c r="X752">
        <f>INDEX(StudentTargets,MATCH(B752,KidIDs,0))</f>
        <v>0</v>
      </c>
      <c r="Y752">
        <f>INDEX(ReachStudentTargets,MATCH(B752,KidIDs,0))</f>
        <v>0</v>
      </c>
      <c r="Z752">
        <f>IF(OR(M752="Posse"),1,0)</f>
        <v>0</v>
      </c>
      <c r="AA752">
        <f>IF(ISNUMBER(INDEX(AllCollegeGR, MATCH(N752,AllCollegeNCES,0))),ROUND(INDEX(AllCollegeGR, MATCH(N752,AllCollegeNCES,0))+Z752*IF(INDEX(AllCollegeGR, MATCH(N752,AllCollegeNCES,0))&gt;0.7,(1-INDEX(AllCollegeGR, MATCH(N752,AllCollegeNCES,0)))/2,0.15),2),INDEX(AllCollegeGR, MATCH(N752,AllCollegeNCES,0)))</f>
        <v>0</v>
      </c>
      <c r="AB752">
        <f>IF(ISNUMBER(INDEX(AllCollegeAAHGR, MATCH(N752,AllCollegeNCES,0))),ROUND(INDEX(AllCollegeAAHGR, MATCH(N752,AllCollegeNCES,0))+Z752*IF(INDEX(AllCollegeAAHGR, MATCH(N752,AllCollegeNCES,0))&gt;0.7,(1-INDEX(AllCollegeAAHGR, MATCH(N752,AllCollegeNCES,0)))/2,0.15),2),INDEX(AllCollegeAAHGR, MATCH(N752,AllCollegeNCES,0)))</f>
        <v>0</v>
      </c>
      <c r="AC752">
        <f>IF(OR(W752="H",W752="B"),INDEX(AllCollegeSAT25, MATCH(N752,AllCollegeNCES,0)),INDEX(AllCollegeSAT50, MATCH(N752,AllCollegeNCES,0)))</f>
        <v>0</v>
      </c>
      <c r="AD752">
        <f>INDEX(CustomWeightsGPA,MATCH(W752&amp;":"&amp;N752,CustomWeightsIndex,0))</f>
        <v>0</v>
      </c>
      <c r="AE752">
        <f>INDEX(CustomWeightsSAT,MATCH(W752&amp;":"&amp;N752,CustomWeightsIndex,0))</f>
        <v>0</v>
      </c>
      <c r="AF752">
        <f>INDEX(CustomWeightsIntercept,MATCH(W752&amp;":"&amp;N752,CustomWeightsIndex,0))</f>
        <v>0</v>
      </c>
      <c r="AG752">
        <f>AD752*S752+AE752*T752+AF752</f>
        <v>0</v>
      </c>
      <c r="AH752">
        <f>INDEX(CoefficientsGPA,MATCH(W752&amp;":"&amp;R752,CoefficientsIndex,0))</f>
        <v>0</v>
      </c>
      <c r="AI752">
        <f>INDEX(CoefficientsSAT,MATCH(W752&amp;":"&amp;R752,CoefficientsIndex,0))</f>
        <v>0</v>
      </c>
      <c r="AJ752">
        <f>INDEX(CoefficientsIntercept,MATCH(W752&amp;":"&amp;R752,CoefficientsIndex,0))</f>
        <v>0</v>
      </c>
      <c r="AK752">
        <f>AH752*S752+(T752-AC752)*AI752+AJ752</f>
        <v>0</v>
      </c>
      <c r="AL752">
        <f>IF(ISNUMBER(AG752),AG752,AK752)</f>
        <v>0</v>
      </c>
      <c r="AM752">
        <f>IF(ISNUMBER(AL752),IF(ISNUMBER(AH752),IF(AND(AH752=1,AI752=1,AJ752=1),100,MIN(99,ROUND(100*EXP(AL752)/(1+EXP(AL752)),2))),MIN(99,ROUND(100*EXP(AL752)/(1+EXP(AL752)),2))),IF(ISTEXT(R752),IF(LEFT(R752,1)="2",100,"N/A"),"N/A"))</f>
        <v>0</v>
      </c>
      <c r="AN752">
        <f>IF(ISNUMBER(AM752),IF(AM752&gt;=99,IF(OR(U752=10,U752=11),MatchLabel,SureThingLabel),IF(AM752&gt;=95,SecureLabel,IF(AM752&gt;=80,SafetyLabel,IF(AM752&gt;=50,MatchLabel,IF(AM752&gt;=20,ReachLabel,IF(AM752&gt;=10,LongshotLabel,HailMaryLabel)))))),"Other")</f>
        <v>0</v>
      </c>
      <c r="AO752">
        <f>IF(OR(I752="accepted",I752="cond. accept",I752="summer admit"),IF(J752="yes","CHOICE!","Accepted!"),IF(I752="guar. transfer","Guar. Xfer",IF(I752="denied","Denied",IF(K752=1,"Waitlist",IF(L752=1,"Deferred",IF(G752="pending","Pending",IF(OR(G752="initial materials submitted",G752="mid-year submitted",G752="final submitted"),"Submitted",IF(H752="interest","Interest","?"))))))))</f>
        <v>0</v>
      </c>
      <c r="AP752">
        <f>IF(OR(AN752=ReachLabel,AN752=LongshotLabel,AN752=HailMaryLabel),1,0)</f>
        <v>0</v>
      </c>
      <c r="AQ752">
        <f>IF(OR(AP752=1,AN752=MatchLabel),1,0)</f>
        <v>0</v>
      </c>
      <c r="AR752">
        <f>IF(OR(AN752=MatchLabel,AN752=SafetyLabel,AN752=SecureLabel,AN752=SureThingLabel),1,0)</f>
        <v>0</v>
      </c>
      <c r="AS752">
        <f>IF(OR(W752="H",W752="B",W752="I",W752="M"),IF(ISNUMBER(AB752),ROUND(AB752,2),0),IF(ISNUMBER(AA752),ROUND(AA752,2),0))</f>
        <v>0</v>
      </c>
      <c r="AT752">
        <f>IF(AS752&gt;=X752,1,0)</f>
        <v>0</v>
      </c>
      <c r="AU752">
        <f>IF(AS752&gt;=Y752,1,0)</f>
        <v>0</v>
      </c>
      <c r="AV752">
        <f>IF(AS752&lt;(X752-0.10),1,0)</f>
        <v>0</v>
      </c>
      <c r="AW752">
        <f>1-AM752/100</f>
        <v>0</v>
      </c>
      <c r="AX752">
        <f>IF(AQ752=1,AW752,1)</f>
        <v>0</v>
      </c>
      <c r="AY752">
        <f>IF(AP752=1,AW752,1)</f>
        <v>0</v>
      </c>
      <c r="AZ752">
        <f>IF(AND(AT752=1,ISNUMBER(AW752)),$AW752,1)</f>
        <v>0</v>
      </c>
      <c r="BA752">
        <f>IF(AND(AU752=1,ISNUMBER(AW752)),$AW752,1)</f>
        <v>0</v>
      </c>
      <c r="BB752">
        <f>IF(ISNUMBER(AB752),INDEX(AllCollegeMoney, MATCH(N752,AllCollegeNCES,0)),0)</f>
        <v>0</v>
      </c>
      <c r="BC752">
        <f>IF(AND(AT752=1,ISNUMBER(AW752),BB752=1),$AW752,1)</f>
        <v>0</v>
      </c>
      <c r="BD752">
        <f>IF(AND(AU752=1,ISNUMBER(AW752),BB752=1),$AW752,1)</f>
        <v>0</v>
      </c>
      <c r="BE752">
        <f>IF(ISNUMBER(AB752),INDEX(AllCollegeILPub, MATCH(N752,AllCollegeNCES,0)),0)</f>
        <v>0</v>
      </c>
      <c r="BF752">
        <f>IF(AN752=ReachLabel,AS752,0)</f>
        <v>0</v>
      </c>
      <c r="BG752">
        <f>IF(AN752=MatchLabel,AS752,0)</f>
        <v>0</v>
      </c>
      <c r="BH752">
        <f>IF(AN752=SafetyLabel,AS752,0)</f>
        <v>0</v>
      </c>
      <c r="BI752">
        <f>IF(AN752=SecureLabel,AS752,0)</f>
        <v>0</v>
      </c>
      <c r="BJ752">
        <f>IF(AN752=SureThingLabel,AS752,0)</f>
        <v>0</v>
      </c>
      <c r="BK752">
        <f>MAX(BF752:BJ752)</f>
        <v>0</v>
      </c>
      <c r="BL752">
        <f>MAX(BG752:BJ752)</f>
        <v>0</v>
      </c>
      <c r="BM752">
        <f>MAX(BH752:BJ752)</f>
        <v>0</v>
      </c>
      <c r="BN752">
        <f>IF(AND(AN752=ReachLabel,BB752=1),AS752,0)</f>
        <v>0</v>
      </c>
      <c r="BO752">
        <f>IF(AND(AN752=MatchLabel,BB752=1),AS752,0)</f>
        <v>0</v>
      </c>
      <c r="BP752">
        <f>IF(AND(AN752=SafetyLabel,BB752=1),AS752,0)</f>
        <v>0</v>
      </c>
      <c r="BQ752">
        <f>IF(AND(AN752=SecureLabel,BB752=1),AS752,0)</f>
        <v>0</v>
      </c>
      <c r="BR752">
        <f>IF(AND(AN752=SureThingLabel,BB752=1),AS752,0)</f>
        <v>0</v>
      </c>
      <c r="BS752">
        <f>MAX(BN752:BR752)</f>
        <v>0</v>
      </c>
      <c r="BT752">
        <f>MAX(BO752:BR752)</f>
        <v>0</v>
      </c>
      <c r="BU752">
        <f>MAX(BP752:BR752)</f>
        <v>0</v>
      </c>
      <c r="BV752">
        <f>IF(ISNUMBER(AB752),INDEX(AllCollegeChicago, MATCH(N752,AllCollegeNCES,0))*BB752,0)</f>
        <v>0</v>
      </c>
      <c r="BW752">
        <f>IF(ISNUMBER(AB752),INDEX(AllCollegeMoneyCode, MATCH(N752,AllCollegeNCES,0)),"?")</f>
        <v>0</v>
      </c>
      <c r="BX752">
        <f>IF(OR(BW752="---",BW752="--",BW752="+/--",BW752="+/---"),1,0)</f>
        <v>0</v>
      </c>
      <c r="BY752">
        <f>BB752*AR752*AT752</f>
        <v>0</v>
      </c>
    </row>
    <row r="753" spans="1:77">
      <c r="A753" t="s">
        <v>96</v>
      </c>
      <c r="B753">
        <v>30323072</v>
      </c>
      <c r="C753" t="s">
        <v>151</v>
      </c>
      <c r="D753" t="s">
        <v>152</v>
      </c>
      <c r="E753" t="s">
        <v>446</v>
      </c>
      <c r="F753" t="s">
        <v>484</v>
      </c>
      <c r="G753" t="s">
        <v>448</v>
      </c>
      <c r="H753" t="s">
        <v>449</v>
      </c>
      <c r="I753" t="s">
        <v>450</v>
      </c>
      <c r="J753" t="s">
        <v>450</v>
      </c>
      <c r="K753">
        <v>0</v>
      </c>
      <c r="L753" t="s">
        <v>446</v>
      </c>
      <c r="M753" t="s">
        <v>446</v>
      </c>
      <c r="N753">
        <v>213385</v>
      </c>
      <c r="O753">
        <f>INDEX(Counselor,MATCH(B753,KidIDs,0))</f>
        <v>0</v>
      </c>
      <c r="P753">
        <f>INDEX(Advisors,MATCH(B753,KidIDs,0))</f>
        <v>0</v>
      </c>
      <c r="Q753">
        <f>INDEX(Cohort,MATCH(B753,KidIDs,0))</f>
        <v>0</v>
      </c>
      <c r="R753">
        <f>INDEX(AllCollegeBarrons,MATCH(N753,AllCollegeNCES,0))</f>
        <v>0</v>
      </c>
      <c r="S753">
        <f>INDEX(KidGPAs,MATCH(B753,KidIDs,0))</f>
        <v>0</v>
      </c>
      <c r="T753">
        <f>INDEX(KidSATs,MATCH(B753,KidIDs,0))</f>
        <v>0</v>
      </c>
      <c r="U753">
        <f>INDEX(Strats,MATCH(B753,KidIDs,0))</f>
        <v>0</v>
      </c>
      <c r="V753">
        <f>INDEX(KidRace,MATCH(B753,KidIDs,0))</f>
        <v>0</v>
      </c>
      <c r="W753">
        <f>IF(OR(V753="M",V753="I"),"H",IF(V753="P","A",V753))</f>
        <v>0</v>
      </c>
      <c r="X753">
        <f>INDEX(StudentTargets,MATCH(B753,KidIDs,0))</f>
        <v>0</v>
      </c>
      <c r="Y753">
        <f>INDEX(ReachStudentTargets,MATCH(B753,KidIDs,0))</f>
        <v>0</v>
      </c>
      <c r="Z753">
        <f>IF(OR(M753="Posse"),1,0)</f>
        <v>0</v>
      </c>
      <c r="AA753">
        <f>IF(ISNUMBER(INDEX(AllCollegeGR, MATCH(N753,AllCollegeNCES,0))),ROUND(INDEX(AllCollegeGR, MATCH(N753,AllCollegeNCES,0))+Z753*IF(INDEX(AllCollegeGR, MATCH(N753,AllCollegeNCES,0))&gt;0.7,(1-INDEX(AllCollegeGR, MATCH(N753,AllCollegeNCES,0)))/2,0.15),2),INDEX(AllCollegeGR, MATCH(N753,AllCollegeNCES,0)))</f>
        <v>0</v>
      </c>
      <c r="AB753">
        <f>IF(ISNUMBER(INDEX(AllCollegeAAHGR, MATCH(N753,AllCollegeNCES,0))),ROUND(INDEX(AllCollegeAAHGR, MATCH(N753,AllCollegeNCES,0))+Z753*IF(INDEX(AllCollegeAAHGR, MATCH(N753,AllCollegeNCES,0))&gt;0.7,(1-INDEX(AllCollegeAAHGR, MATCH(N753,AllCollegeNCES,0)))/2,0.15),2),INDEX(AllCollegeAAHGR, MATCH(N753,AllCollegeNCES,0)))</f>
        <v>0</v>
      </c>
      <c r="AC753">
        <f>IF(OR(W753="H",W753="B"),INDEX(AllCollegeSAT25, MATCH(N753,AllCollegeNCES,0)),INDEX(AllCollegeSAT50, MATCH(N753,AllCollegeNCES,0)))</f>
        <v>0</v>
      </c>
      <c r="AD753">
        <f>INDEX(CustomWeightsGPA,MATCH(W753&amp;":"&amp;N753,CustomWeightsIndex,0))</f>
        <v>0</v>
      </c>
      <c r="AE753">
        <f>INDEX(CustomWeightsSAT,MATCH(W753&amp;":"&amp;N753,CustomWeightsIndex,0))</f>
        <v>0</v>
      </c>
      <c r="AF753">
        <f>INDEX(CustomWeightsIntercept,MATCH(W753&amp;":"&amp;N753,CustomWeightsIndex,0))</f>
        <v>0</v>
      </c>
      <c r="AG753">
        <f>AD753*S753+AE753*T753+AF753</f>
        <v>0</v>
      </c>
      <c r="AH753">
        <f>INDEX(CoefficientsGPA,MATCH(W753&amp;":"&amp;R753,CoefficientsIndex,0))</f>
        <v>0</v>
      </c>
      <c r="AI753">
        <f>INDEX(CoefficientsSAT,MATCH(W753&amp;":"&amp;R753,CoefficientsIndex,0))</f>
        <v>0</v>
      </c>
      <c r="AJ753">
        <f>INDEX(CoefficientsIntercept,MATCH(W753&amp;":"&amp;R753,CoefficientsIndex,0))</f>
        <v>0</v>
      </c>
      <c r="AK753">
        <f>AH753*S753+(T753-AC753)*AI753+AJ753</f>
        <v>0</v>
      </c>
      <c r="AL753">
        <f>IF(ISNUMBER(AG753),AG753,AK753)</f>
        <v>0</v>
      </c>
      <c r="AM753">
        <f>IF(ISNUMBER(AL753),IF(ISNUMBER(AH753),IF(AND(AH753=1,AI753=1,AJ753=1),100,MIN(99,ROUND(100*EXP(AL753)/(1+EXP(AL753)),2))),MIN(99,ROUND(100*EXP(AL753)/(1+EXP(AL753)),2))),IF(ISTEXT(R753),IF(LEFT(R753,1)="2",100,"N/A"),"N/A"))</f>
        <v>0</v>
      </c>
      <c r="AN753">
        <f>IF(ISNUMBER(AM753),IF(AM753&gt;=99,IF(OR(U753=10,U753=11),MatchLabel,SureThingLabel),IF(AM753&gt;=95,SecureLabel,IF(AM753&gt;=80,SafetyLabel,IF(AM753&gt;=50,MatchLabel,IF(AM753&gt;=20,ReachLabel,IF(AM753&gt;=10,LongshotLabel,HailMaryLabel)))))),"Other")</f>
        <v>0</v>
      </c>
      <c r="AO753">
        <f>IF(OR(I753="accepted",I753="cond. accept",I753="summer admit"),IF(J753="yes","CHOICE!","Accepted!"),IF(I753="guar. transfer","Guar. Xfer",IF(I753="denied","Denied",IF(K753=1,"Waitlist",IF(L753=1,"Deferred",IF(G753="pending","Pending",IF(OR(G753="initial materials submitted",G753="mid-year submitted",G753="final submitted"),"Submitted",IF(H753="interest","Interest","?"))))))))</f>
        <v>0</v>
      </c>
      <c r="AP753">
        <f>IF(OR(AN753=ReachLabel,AN753=LongshotLabel,AN753=HailMaryLabel),1,0)</f>
        <v>0</v>
      </c>
      <c r="AQ753">
        <f>IF(OR(AP753=1,AN753=MatchLabel),1,0)</f>
        <v>0</v>
      </c>
      <c r="AR753">
        <f>IF(OR(AN753=MatchLabel,AN753=SafetyLabel,AN753=SecureLabel,AN753=SureThingLabel),1,0)</f>
        <v>0</v>
      </c>
      <c r="AS753">
        <f>IF(OR(W753="H",W753="B",W753="I",W753="M"),IF(ISNUMBER(AB753),ROUND(AB753,2),0),IF(ISNUMBER(AA753),ROUND(AA753,2),0))</f>
        <v>0</v>
      </c>
      <c r="AT753">
        <f>IF(AS753&gt;=X753,1,0)</f>
        <v>0</v>
      </c>
      <c r="AU753">
        <f>IF(AS753&gt;=Y753,1,0)</f>
        <v>0</v>
      </c>
      <c r="AV753">
        <f>IF(AS753&lt;(X753-0.10),1,0)</f>
        <v>0</v>
      </c>
      <c r="AW753">
        <f>1-AM753/100</f>
        <v>0</v>
      </c>
      <c r="AX753">
        <f>IF(AQ753=1,AW753,1)</f>
        <v>0</v>
      </c>
      <c r="AY753">
        <f>IF(AP753=1,AW753,1)</f>
        <v>0</v>
      </c>
      <c r="AZ753">
        <f>IF(AND(AT753=1,ISNUMBER(AW753)),$AW753,1)</f>
        <v>0</v>
      </c>
      <c r="BA753">
        <f>IF(AND(AU753=1,ISNUMBER(AW753)),$AW753,1)</f>
        <v>0</v>
      </c>
      <c r="BB753">
        <f>IF(ISNUMBER(AB753),INDEX(AllCollegeMoney, MATCH(N753,AllCollegeNCES,0)),0)</f>
        <v>0</v>
      </c>
      <c r="BC753">
        <f>IF(AND(AT753=1,ISNUMBER(AW753),BB753=1),$AW753,1)</f>
        <v>0</v>
      </c>
      <c r="BD753">
        <f>IF(AND(AU753=1,ISNUMBER(AW753),BB753=1),$AW753,1)</f>
        <v>0</v>
      </c>
      <c r="BE753">
        <f>IF(ISNUMBER(AB753),INDEX(AllCollegeILPub, MATCH(N753,AllCollegeNCES,0)),0)</f>
        <v>0</v>
      </c>
      <c r="BF753">
        <f>IF(AN753=ReachLabel,AS753,0)</f>
        <v>0</v>
      </c>
      <c r="BG753">
        <f>IF(AN753=MatchLabel,AS753,0)</f>
        <v>0</v>
      </c>
      <c r="BH753">
        <f>IF(AN753=SafetyLabel,AS753,0)</f>
        <v>0</v>
      </c>
      <c r="BI753">
        <f>IF(AN753=SecureLabel,AS753,0)</f>
        <v>0</v>
      </c>
      <c r="BJ753">
        <f>IF(AN753=SureThingLabel,AS753,0)</f>
        <v>0</v>
      </c>
      <c r="BK753">
        <f>MAX(BF753:BJ753)</f>
        <v>0</v>
      </c>
      <c r="BL753">
        <f>MAX(BG753:BJ753)</f>
        <v>0</v>
      </c>
      <c r="BM753">
        <f>MAX(BH753:BJ753)</f>
        <v>0</v>
      </c>
      <c r="BN753">
        <f>IF(AND(AN753=ReachLabel,BB753=1),AS753,0)</f>
        <v>0</v>
      </c>
      <c r="BO753">
        <f>IF(AND(AN753=MatchLabel,BB753=1),AS753,0)</f>
        <v>0</v>
      </c>
      <c r="BP753">
        <f>IF(AND(AN753=SafetyLabel,BB753=1),AS753,0)</f>
        <v>0</v>
      </c>
      <c r="BQ753">
        <f>IF(AND(AN753=SecureLabel,BB753=1),AS753,0)</f>
        <v>0</v>
      </c>
      <c r="BR753">
        <f>IF(AND(AN753=SureThingLabel,BB753=1),AS753,0)</f>
        <v>0</v>
      </c>
      <c r="BS753">
        <f>MAX(BN753:BR753)</f>
        <v>0</v>
      </c>
      <c r="BT753">
        <f>MAX(BO753:BR753)</f>
        <v>0</v>
      </c>
      <c r="BU753">
        <f>MAX(BP753:BR753)</f>
        <v>0</v>
      </c>
      <c r="BV753">
        <f>IF(ISNUMBER(AB753),INDEX(AllCollegeChicago, MATCH(N753,AllCollegeNCES,0))*BB753,0)</f>
        <v>0</v>
      </c>
      <c r="BW753">
        <f>IF(ISNUMBER(AB753),INDEX(AllCollegeMoneyCode, MATCH(N753,AllCollegeNCES,0)),"?")</f>
        <v>0</v>
      </c>
      <c r="BX753">
        <f>IF(OR(BW753="---",BW753="--",BW753="+/--",BW753="+/---"),1,0)</f>
        <v>0</v>
      </c>
      <c r="BY753">
        <f>BB753*AR753*AT753</f>
        <v>0</v>
      </c>
    </row>
    <row r="754" spans="1:77">
      <c r="A754" t="s">
        <v>96</v>
      </c>
      <c r="B754">
        <v>30323072</v>
      </c>
      <c r="C754" t="s">
        <v>151</v>
      </c>
      <c r="D754" t="s">
        <v>152</v>
      </c>
      <c r="E754" t="s">
        <v>446</v>
      </c>
      <c r="F754" t="s">
        <v>513</v>
      </c>
      <c r="G754" t="s">
        <v>448</v>
      </c>
      <c r="H754" t="s">
        <v>449</v>
      </c>
      <c r="I754" t="s">
        <v>450</v>
      </c>
      <c r="J754" t="s">
        <v>450</v>
      </c>
      <c r="K754">
        <v>0</v>
      </c>
      <c r="L754" t="s">
        <v>446</v>
      </c>
      <c r="M754" t="s">
        <v>446</v>
      </c>
      <c r="N754">
        <v>195526</v>
      </c>
      <c r="O754">
        <f>INDEX(Counselor,MATCH(B754,KidIDs,0))</f>
        <v>0</v>
      </c>
      <c r="P754">
        <f>INDEX(Advisors,MATCH(B754,KidIDs,0))</f>
        <v>0</v>
      </c>
      <c r="Q754">
        <f>INDEX(Cohort,MATCH(B754,KidIDs,0))</f>
        <v>0</v>
      </c>
      <c r="R754">
        <f>INDEX(AllCollegeBarrons,MATCH(N754,AllCollegeNCES,0))</f>
        <v>0</v>
      </c>
      <c r="S754">
        <f>INDEX(KidGPAs,MATCH(B754,KidIDs,0))</f>
        <v>0</v>
      </c>
      <c r="T754">
        <f>INDEX(KidSATs,MATCH(B754,KidIDs,0))</f>
        <v>0</v>
      </c>
      <c r="U754">
        <f>INDEX(Strats,MATCH(B754,KidIDs,0))</f>
        <v>0</v>
      </c>
      <c r="V754">
        <f>INDEX(KidRace,MATCH(B754,KidIDs,0))</f>
        <v>0</v>
      </c>
      <c r="W754">
        <f>IF(OR(V754="M",V754="I"),"H",IF(V754="P","A",V754))</f>
        <v>0</v>
      </c>
      <c r="X754">
        <f>INDEX(StudentTargets,MATCH(B754,KidIDs,0))</f>
        <v>0</v>
      </c>
      <c r="Y754">
        <f>INDEX(ReachStudentTargets,MATCH(B754,KidIDs,0))</f>
        <v>0</v>
      </c>
      <c r="Z754">
        <f>IF(OR(M754="Posse"),1,0)</f>
        <v>0</v>
      </c>
      <c r="AA754">
        <f>IF(ISNUMBER(INDEX(AllCollegeGR, MATCH(N754,AllCollegeNCES,0))),ROUND(INDEX(AllCollegeGR, MATCH(N754,AllCollegeNCES,0))+Z754*IF(INDEX(AllCollegeGR, MATCH(N754,AllCollegeNCES,0))&gt;0.7,(1-INDEX(AllCollegeGR, MATCH(N754,AllCollegeNCES,0)))/2,0.15),2),INDEX(AllCollegeGR, MATCH(N754,AllCollegeNCES,0)))</f>
        <v>0</v>
      </c>
      <c r="AB754">
        <f>IF(ISNUMBER(INDEX(AllCollegeAAHGR, MATCH(N754,AllCollegeNCES,0))),ROUND(INDEX(AllCollegeAAHGR, MATCH(N754,AllCollegeNCES,0))+Z754*IF(INDEX(AllCollegeAAHGR, MATCH(N754,AllCollegeNCES,0))&gt;0.7,(1-INDEX(AllCollegeAAHGR, MATCH(N754,AllCollegeNCES,0)))/2,0.15),2),INDEX(AllCollegeAAHGR, MATCH(N754,AllCollegeNCES,0)))</f>
        <v>0</v>
      </c>
      <c r="AC754">
        <f>IF(OR(W754="H",W754="B"),INDEX(AllCollegeSAT25, MATCH(N754,AllCollegeNCES,0)),INDEX(AllCollegeSAT50, MATCH(N754,AllCollegeNCES,0)))</f>
        <v>0</v>
      </c>
      <c r="AD754">
        <f>INDEX(CustomWeightsGPA,MATCH(W754&amp;":"&amp;N754,CustomWeightsIndex,0))</f>
        <v>0</v>
      </c>
      <c r="AE754">
        <f>INDEX(CustomWeightsSAT,MATCH(W754&amp;":"&amp;N754,CustomWeightsIndex,0))</f>
        <v>0</v>
      </c>
      <c r="AF754">
        <f>INDEX(CustomWeightsIntercept,MATCH(W754&amp;":"&amp;N754,CustomWeightsIndex,0))</f>
        <v>0</v>
      </c>
      <c r="AG754">
        <f>AD754*S754+AE754*T754+AF754</f>
        <v>0</v>
      </c>
      <c r="AH754">
        <f>INDEX(CoefficientsGPA,MATCH(W754&amp;":"&amp;R754,CoefficientsIndex,0))</f>
        <v>0</v>
      </c>
      <c r="AI754">
        <f>INDEX(CoefficientsSAT,MATCH(W754&amp;":"&amp;R754,CoefficientsIndex,0))</f>
        <v>0</v>
      </c>
      <c r="AJ754">
        <f>INDEX(CoefficientsIntercept,MATCH(W754&amp;":"&amp;R754,CoefficientsIndex,0))</f>
        <v>0</v>
      </c>
      <c r="AK754">
        <f>AH754*S754+(T754-AC754)*AI754+AJ754</f>
        <v>0</v>
      </c>
      <c r="AL754">
        <f>IF(ISNUMBER(AG754),AG754,AK754)</f>
        <v>0</v>
      </c>
      <c r="AM754">
        <f>IF(ISNUMBER(AL754),IF(ISNUMBER(AH754),IF(AND(AH754=1,AI754=1,AJ754=1),100,MIN(99,ROUND(100*EXP(AL754)/(1+EXP(AL754)),2))),MIN(99,ROUND(100*EXP(AL754)/(1+EXP(AL754)),2))),IF(ISTEXT(R754),IF(LEFT(R754,1)="2",100,"N/A"),"N/A"))</f>
        <v>0</v>
      </c>
      <c r="AN754">
        <f>IF(ISNUMBER(AM754),IF(AM754&gt;=99,IF(OR(U754=10,U754=11),MatchLabel,SureThingLabel),IF(AM754&gt;=95,SecureLabel,IF(AM754&gt;=80,SafetyLabel,IF(AM754&gt;=50,MatchLabel,IF(AM754&gt;=20,ReachLabel,IF(AM754&gt;=10,LongshotLabel,HailMaryLabel)))))),"Other")</f>
        <v>0</v>
      </c>
      <c r="AO754">
        <f>IF(OR(I754="accepted",I754="cond. accept",I754="summer admit"),IF(J754="yes","CHOICE!","Accepted!"),IF(I754="guar. transfer","Guar. Xfer",IF(I754="denied","Denied",IF(K754=1,"Waitlist",IF(L754=1,"Deferred",IF(G754="pending","Pending",IF(OR(G754="initial materials submitted",G754="mid-year submitted",G754="final submitted"),"Submitted",IF(H754="interest","Interest","?"))))))))</f>
        <v>0</v>
      </c>
      <c r="AP754">
        <f>IF(OR(AN754=ReachLabel,AN754=LongshotLabel,AN754=HailMaryLabel),1,0)</f>
        <v>0</v>
      </c>
      <c r="AQ754">
        <f>IF(OR(AP754=1,AN754=MatchLabel),1,0)</f>
        <v>0</v>
      </c>
      <c r="AR754">
        <f>IF(OR(AN754=MatchLabel,AN754=SafetyLabel,AN754=SecureLabel,AN754=SureThingLabel),1,0)</f>
        <v>0</v>
      </c>
      <c r="AS754">
        <f>IF(OR(W754="H",W754="B",W754="I",W754="M"),IF(ISNUMBER(AB754),ROUND(AB754,2),0),IF(ISNUMBER(AA754),ROUND(AA754,2),0))</f>
        <v>0</v>
      </c>
      <c r="AT754">
        <f>IF(AS754&gt;=X754,1,0)</f>
        <v>0</v>
      </c>
      <c r="AU754">
        <f>IF(AS754&gt;=Y754,1,0)</f>
        <v>0</v>
      </c>
      <c r="AV754">
        <f>IF(AS754&lt;(X754-0.10),1,0)</f>
        <v>0</v>
      </c>
      <c r="AW754">
        <f>1-AM754/100</f>
        <v>0</v>
      </c>
      <c r="AX754">
        <f>IF(AQ754=1,AW754,1)</f>
        <v>0</v>
      </c>
      <c r="AY754">
        <f>IF(AP754=1,AW754,1)</f>
        <v>0</v>
      </c>
      <c r="AZ754">
        <f>IF(AND(AT754=1,ISNUMBER(AW754)),$AW754,1)</f>
        <v>0</v>
      </c>
      <c r="BA754">
        <f>IF(AND(AU754=1,ISNUMBER(AW754)),$AW754,1)</f>
        <v>0</v>
      </c>
      <c r="BB754">
        <f>IF(ISNUMBER(AB754),INDEX(AllCollegeMoney, MATCH(N754,AllCollegeNCES,0)),0)</f>
        <v>0</v>
      </c>
      <c r="BC754">
        <f>IF(AND(AT754=1,ISNUMBER(AW754),BB754=1),$AW754,1)</f>
        <v>0</v>
      </c>
      <c r="BD754">
        <f>IF(AND(AU754=1,ISNUMBER(AW754),BB754=1),$AW754,1)</f>
        <v>0</v>
      </c>
      <c r="BE754">
        <f>IF(ISNUMBER(AB754),INDEX(AllCollegeILPub, MATCH(N754,AllCollegeNCES,0)),0)</f>
        <v>0</v>
      </c>
      <c r="BF754">
        <f>IF(AN754=ReachLabel,AS754,0)</f>
        <v>0</v>
      </c>
      <c r="BG754">
        <f>IF(AN754=MatchLabel,AS754,0)</f>
        <v>0</v>
      </c>
      <c r="BH754">
        <f>IF(AN754=SafetyLabel,AS754,0)</f>
        <v>0</v>
      </c>
      <c r="BI754">
        <f>IF(AN754=SecureLabel,AS754,0)</f>
        <v>0</v>
      </c>
      <c r="BJ754">
        <f>IF(AN754=SureThingLabel,AS754,0)</f>
        <v>0</v>
      </c>
      <c r="BK754">
        <f>MAX(BF754:BJ754)</f>
        <v>0</v>
      </c>
      <c r="BL754">
        <f>MAX(BG754:BJ754)</f>
        <v>0</v>
      </c>
      <c r="BM754">
        <f>MAX(BH754:BJ754)</f>
        <v>0</v>
      </c>
      <c r="BN754">
        <f>IF(AND(AN754=ReachLabel,BB754=1),AS754,0)</f>
        <v>0</v>
      </c>
      <c r="BO754">
        <f>IF(AND(AN754=MatchLabel,BB754=1),AS754,0)</f>
        <v>0</v>
      </c>
      <c r="BP754">
        <f>IF(AND(AN754=SafetyLabel,BB754=1),AS754,0)</f>
        <v>0</v>
      </c>
      <c r="BQ754">
        <f>IF(AND(AN754=SecureLabel,BB754=1),AS754,0)</f>
        <v>0</v>
      </c>
      <c r="BR754">
        <f>IF(AND(AN754=SureThingLabel,BB754=1),AS754,0)</f>
        <v>0</v>
      </c>
      <c r="BS754">
        <f>MAX(BN754:BR754)</f>
        <v>0</v>
      </c>
      <c r="BT754">
        <f>MAX(BO754:BR754)</f>
        <v>0</v>
      </c>
      <c r="BU754">
        <f>MAX(BP754:BR754)</f>
        <v>0</v>
      </c>
      <c r="BV754">
        <f>IF(ISNUMBER(AB754),INDEX(AllCollegeChicago, MATCH(N754,AllCollegeNCES,0))*BB754,0)</f>
        <v>0</v>
      </c>
      <c r="BW754">
        <f>IF(ISNUMBER(AB754),INDEX(AllCollegeMoneyCode, MATCH(N754,AllCollegeNCES,0)),"?")</f>
        <v>0</v>
      </c>
      <c r="BX754">
        <f>IF(OR(BW754="---",BW754="--",BW754="+/--",BW754="+/---"),1,0)</f>
        <v>0</v>
      </c>
      <c r="BY754">
        <f>BB754*AR754*AT754</f>
        <v>0</v>
      </c>
    </row>
    <row r="755" spans="1:77">
      <c r="A755" t="s">
        <v>96</v>
      </c>
      <c r="B755">
        <v>30323072</v>
      </c>
      <c r="C755" t="s">
        <v>151</v>
      </c>
      <c r="D755" t="s">
        <v>152</v>
      </c>
      <c r="E755" t="s">
        <v>446</v>
      </c>
      <c r="F755" t="s">
        <v>584</v>
      </c>
      <c r="G755" t="s">
        <v>448</v>
      </c>
      <c r="H755" t="s">
        <v>449</v>
      </c>
      <c r="I755" t="s">
        <v>450</v>
      </c>
      <c r="J755" t="s">
        <v>450</v>
      </c>
      <c r="K755">
        <v>0</v>
      </c>
      <c r="L755" t="s">
        <v>446</v>
      </c>
      <c r="M755" t="s">
        <v>446</v>
      </c>
      <c r="N755">
        <v>128902</v>
      </c>
      <c r="O755">
        <f>INDEX(Counselor,MATCH(B755,KidIDs,0))</f>
        <v>0</v>
      </c>
      <c r="P755">
        <f>INDEX(Advisors,MATCH(B755,KidIDs,0))</f>
        <v>0</v>
      </c>
      <c r="Q755">
        <f>INDEX(Cohort,MATCH(B755,KidIDs,0))</f>
        <v>0</v>
      </c>
      <c r="R755">
        <f>INDEX(AllCollegeBarrons,MATCH(N755,AllCollegeNCES,0))</f>
        <v>0</v>
      </c>
      <c r="S755">
        <f>INDEX(KidGPAs,MATCH(B755,KidIDs,0))</f>
        <v>0</v>
      </c>
      <c r="T755">
        <f>INDEX(KidSATs,MATCH(B755,KidIDs,0))</f>
        <v>0</v>
      </c>
      <c r="U755">
        <f>INDEX(Strats,MATCH(B755,KidIDs,0))</f>
        <v>0</v>
      </c>
      <c r="V755">
        <f>INDEX(KidRace,MATCH(B755,KidIDs,0))</f>
        <v>0</v>
      </c>
      <c r="W755">
        <f>IF(OR(V755="M",V755="I"),"H",IF(V755="P","A",V755))</f>
        <v>0</v>
      </c>
      <c r="X755">
        <f>INDEX(StudentTargets,MATCH(B755,KidIDs,0))</f>
        <v>0</v>
      </c>
      <c r="Y755">
        <f>INDEX(ReachStudentTargets,MATCH(B755,KidIDs,0))</f>
        <v>0</v>
      </c>
      <c r="Z755">
        <f>IF(OR(M755="Posse"),1,0)</f>
        <v>0</v>
      </c>
      <c r="AA755">
        <f>IF(ISNUMBER(INDEX(AllCollegeGR, MATCH(N755,AllCollegeNCES,0))),ROUND(INDEX(AllCollegeGR, MATCH(N755,AllCollegeNCES,0))+Z755*IF(INDEX(AllCollegeGR, MATCH(N755,AllCollegeNCES,0))&gt;0.7,(1-INDEX(AllCollegeGR, MATCH(N755,AllCollegeNCES,0)))/2,0.15),2),INDEX(AllCollegeGR, MATCH(N755,AllCollegeNCES,0)))</f>
        <v>0</v>
      </c>
      <c r="AB755">
        <f>IF(ISNUMBER(INDEX(AllCollegeAAHGR, MATCH(N755,AllCollegeNCES,0))),ROUND(INDEX(AllCollegeAAHGR, MATCH(N755,AllCollegeNCES,0))+Z755*IF(INDEX(AllCollegeAAHGR, MATCH(N755,AllCollegeNCES,0))&gt;0.7,(1-INDEX(AllCollegeAAHGR, MATCH(N755,AllCollegeNCES,0)))/2,0.15),2),INDEX(AllCollegeAAHGR, MATCH(N755,AllCollegeNCES,0)))</f>
        <v>0</v>
      </c>
      <c r="AC755">
        <f>IF(OR(W755="H",W755="B"),INDEX(AllCollegeSAT25, MATCH(N755,AllCollegeNCES,0)),INDEX(AllCollegeSAT50, MATCH(N755,AllCollegeNCES,0)))</f>
        <v>0</v>
      </c>
      <c r="AD755">
        <f>INDEX(CustomWeightsGPA,MATCH(W755&amp;":"&amp;N755,CustomWeightsIndex,0))</f>
        <v>0</v>
      </c>
      <c r="AE755">
        <f>INDEX(CustomWeightsSAT,MATCH(W755&amp;":"&amp;N755,CustomWeightsIndex,0))</f>
        <v>0</v>
      </c>
      <c r="AF755">
        <f>INDEX(CustomWeightsIntercept,MATCH(W755&amp;":"&amp;N755,CustomWeightsIndex,0))</f>
        <v>0</v>
      </c>
      <c r="AG755">
        <f>AD755*S755+AE755*T755+AF755</f>
        <v>0</v>
      </c>
      <c r="AH755">
        <f>INDEX(CoefficientsGPA,MATCH(W755&amp;":"&amp;R755,CoefficientsIndex,0))</f>
        <v>0</v>
      </c>
      <c r="AI755">
        <f>INDEX(CoefficientsSAT,MATCH(W755&amp;":"&amp;R755,CoefficientsIndex,0))</f>
        <v>0</v>
      </c>
      <c r="AJ755">
        <f>INDEX(CoefficientsIntercept,MATCH(W755&amp;":"&amp;R755,CoefficientsIndex,0))</f>
        <v>0</v>
      </c>
      <c r="AK755">
        <f>AH755*S755+(T755-AC755)*AI755+AJ755</f>
        <v>0</v>
      </c>
      <c r="AL755">
        <f>IF(ISNUMBER(AG755),AG755,AK755)</f>
        <v>0</v>
      </c>
      <c r="AM755">
        <f>IF(ISNUMBER(AL755),IF(ISNUMBER(AH755),IF(AND(AH755=1,AI755=1,AJ755=1),100,MIN(99,ROUND(100*EXP(AL755)/(1+EXP(AL755)),2))),MIN(99,ROUND(100*EXP(AL755)/(1+EXP(AL755)),2))),IF(ISTEXT(R755),IF(LEFT(R755,1)="2",100,"N/A"),"N/A"))</f>
        <v>0</v>
      </c>
      <c r="AN755">
        <f>IF(ISNUMBER(AM755),IF(AM755&gt;=99,IF(OR(U755=10,U755=11),MatchLabel,SureThingLabel),IF(AM755&gt;=95,SecureLabel,IF(AM755&gt;=80,SafetyLabel,IF(AM755&gt;=50,MatchLabel,IF(AM755&gt;=20,ReachLabel,IF(AM755&gt;=10,LongshotLabel,HailMaryLabel)))))),"Other")</f>
        <v>0</v>
      </c>
      <c r="AO755">
        <f>IF(OR(I755="accepted",I755="cond. accept",I755="summer admit"),IF(J755="yes","CHOICE!","Accepted!"),IF(I755="guar. transfer","Guar. Xfer",IF(I755="denied","Denied",IF(K755=1,"Waitlist",IF(L755=1,"Deferred",IF(G755="pending","Pending",IF(OR(G755="initial materials submitted",G755="mid-year submitted",G755="final submitted"),"Submitted",IF(H755="interest","Interest","?"))))))))</f>
        <v>0</v>
      </c>
      <c r="AP755">
        <f>IF(OR(AN755=ReachLabel,AN755=LongshotLabel,AN755=HailMaryLabel),1,0)</f>
        <v>0</v>
      </c>
      <c r="AQ755">
        <f>IF(OR(AP755=1,AN755=MatchLabel),1,0)</f>
        <v>0</v>
      </c>
      <c r="AR755">
        <f>IF(OR(AN755=MatchLabel,AN755=SafetyLabel,AN755=SecureLabel,AN755=SureThingLabel),1,0)</f>
        <v>0</v>
      </c>
      <c r="AS755">
        <f>IF(OR(W755="H",W755="B",W755="I",W755="M"),IF(ISNUMBER(AB755),ROUND(AB755,2),0),IF(ISNUMBER(AA755),ROUND(AA755,2),0))</f>
        <v>0</v>
      </c>
      <c r="AT755">
        <f>IF(AS755&gt;=X755,1,0)</f>
        <v>0</v>
      </c>
      <c r="AU755">
        <f>IF(AS755&gt;=Y755,1,0)</f>
        <v>0</v>
      </c>
      <c r="AV755">
        <f>IF(AS755&lt;(X755-0.10),1,0)</f>
        <v>0</v>
      </c>
      <c r="AW755">
        <f>1-AM755/100</f>
        <v>0</v>
      </c>
      <c r="AX755">
        <f>IF(AQ755=1,AW755,1)</f>
        <v>0</v>
      </c>
      <c r="AY755">
        <f>IF(AP755=1,AW755,1)</f>
        <v>0</v>
      </c>
      <c r="AZ755">
        <f>IF(AND(AT755=1,ISNUMBER(AW755)),$AW755,1)</f>
        <v>0</v>
      </c>
      <c r="BA755">
        <f>IF(AND(AU755=1,ISNUMBER(AW755)),$AW755,1)</f>
        <v>0</v>
      </c>
      <c r="BB755">
        <f>IF(ISNUMBER(AB755),INDEX(AllCollegeMoney, MATCH(N755,AllCollegeNCES,0)),0)</f>
        <v>0</v>
      </c>
      <c r="BC755">
        <f>IF(AND(AT755=1,ISNUMBER(AW755),BB755=1),$AW755,1)</f>
        <v>0</v>
      </c>
      <c r="BD755">
        <f>IF(AND(AU755=1,ISNUMBER(AW755),BB755=1),$AW755,1)</f>
        <v>0</v>
      </c>
      <c r="BE755">
        <f>IF(ISNUMBER(AB755),INDEX(AllCollegeILPub, MATCH(N755,AllCollegeNCES,0)),0)</f>
        <v>0</v>
      </c>
      <c r="BF755">
        <f>IF(AN755=ReachLabel,AS755,0)</f>
        <v>0</v>
      </c>
      <c r="BG755">
        <f>IF(AN755=MatchLabel,AS755,0)</f>
        <v>0</v>
      </c>
      <c r="BH755">
        <f>IF(AN755=SafetyLabel,AS755,0)</f>
        <v>0</v>
      </c>
      <c r="BI755">
        <f>IF(AN755=SecureLabel,AS755,0)</f>
        <v>0</v>
      </c>
      <c r="BJ755">
        <f>IF(AN755=SureThingLabel,AS755,0)</f>
        <v>0</v>
      </c>
      <c r="BK755">
        <f>MAX(BF755:BJ755)</f>
        <v>0</v>
      </c>
      <c r="BL755">
        <f>MAX(BG755:BJ755)</f>
        <v>0</v>
      </c>
      <c r="BM755">
        <f>MAX(BH755:BJ755)</f>
        <v>0</v>
      </c>
      <c r="BN755">
        <f>IF(AND(AN755=ReachLabel,BB755=1),AS755,0)</f>
        <v>0</v>
      </c>
      <c r="BO755">
        <f>IF(AND(AN755=MatchLabel,BB755=1),AS755,0)</f>
        <v>0</v>
      </c>
      <c r="BP755">
        <f>IF(AND(AN755=SafetyLabel,BB755=1),AS755,0)</f>
        <v>0</v>
      </c>
      <c r="BQ755">
        <f>IF(AND(AN755=SecureLabel,BB755=1),AS755,0)</f>
        <v>0</v>
      </c>
      <c r="BR755">
        <f>IF(AND(AN755=SureThingLabel,BB755=1),AS755,0)</f>
        <v>0</v>
      </c>
      <c r="BS755">
        <f>MAX(BN755:BR755)</f>
        <v>0</v>
      </c>
      <c r="BT755">
        <f>MAX(BO755:BR755)</f>
        <v>0</v>
      </c>
      <c r="BU755">
        <f>MAX(BP755:BR755)</f>
        <v>0</v>
      </c>
      <c r="BV755">
        <f>IF(ISNUMBER(AB755),INDEX(AllCollegeChicago, MATCH(N755,AllCollegeNCES,0))*BB755,0)</f>
        <v>0</v>
      </c>
      <c r="BW755">
        <f>IF(ISNUMBER(AB755),INDEX(AllCollegeMoneyCode, MATCH(N755,AllCollegeNCES,0)),"?")</f>
        <v>0</v>
      </c>
      <c r="BX755">
        <f>IF(OR(BW755="---",BW755="--",BW755="+/--",BW755="+/---"),1,0)</f>
        <v>0</v>
      </c>
      <c r="BY755">
        <f>BB755*AR755*AT755</f>
        <v>0</v>
      </c>
    </row>
    <row r="756" spans="1:77">
      <c r="A756" t="s">
        <v>96</v>
      </c>
      <c r="B756">
        <v>30323072</v>
      </c>
      <c r="C756" t="s">
        <v>151</v>
      </c>
      <c r="D756" t="s">
        <v>152</v>
      </c>
      <c r="E756" t="s">
        <v>446</v>
      </c>
      <c r="F756" t="s">
        <v>471</v>
      </c>
      <c r="G756" t="s">
        <v>479</v>
      </c>
      <c r="H756" t="s">
        <v>449</v>
      </c>
      <c r="I756" t="s">
        <v>450</v>
      </c>
      <c r="J756" t="s">
        <v>450</v>
      </c>
      <c r="K756">
        <v>0</v>
      </c>
      <c r="L756" t="s">
        <v>446</v>
      </c>
      <c r="M756" t="s">
        <v>446</v>
      </c>
      <c r="N756">
        <v>202523</v>
      </c>
      <c r="O756">
        <f>INDEX(Counselor,MATCH(B756,KidIDs,0))</f>
        <v>0</v>
      </c>
      <c r="P756">
        <f>INDEX(Advisors,MATCH(B756,KidIDs,0))</f>
        <v>0</v>
      </c>
      <c r="Q756">
        <f>INDEX(Cohort,MATCH(B756,KidIDs,0))</f>
        <v>0</v>
      </c>
      <c r="R756">
        <f>INDEX(AllCollegeBarrons,MATCH(N756,AllCollegeNCES,0))</f>
        <v>0</v>
      </c>
      <c r="S756">
        <f>INDEX(KidGPAs,MATCH(B756,KidIDs,0))</f>
        <v>0</v>
      </c>
      <c r="T756">
        <f>INDEX(KidSATs,MATCH(B756,KidIDs,0))</f>
        <v>0</v>
      </c>
      <c r="U756">
        <f>INDEX(Strats,MATCH(B756,KidIDs,0))</f>
        <v>0</v>
      </c>
      <c r="V756">
        <f>INDEX(KidRace,MATCH(B756,KidIDs,0))</f>
        <v>0</v>
      </c>
      <c r="W756">
        <f>IF(OR(V756="M",V756="I"),"H",IF(V756="P","A",V756))</f>
        <v>0</v>
      </c>
      <c r="X756">
        <f>INDEX(StudentTargets,MATCH(B756,KidIDs,0))</f>
        <v>0</v>
      </c>
      <c r="Y756">
        <f>INDEX(ReachStudentTargets,MATCH(B756,KidIDs,0))</f>
        <v>0</v>
      </c>
      <c r="Z756">
        <f>IF(OR(M756="Posse"),1,0)</f>
        <v>0</v>
      </c>
      <c r="AA756">
        <f>IF(ISNUMBER(INDEX(AllCollegeGR, MATCH(N756,AllCollegeNCES,0))),ROUND(INDEX(AllCollegeGR, MATCH(N756,AllCollegeNCES,0))+Z756*IF(INDEX(AllCollegeGR, MATCH(N756,AllCollegeNCES,0))&gt;0.7,(1-INDEX(AllCollegeGR, MATCH(N756,AllCollegeNCES,0)))/2,0.15),2),INDEX(AllCollegeGR, MATCH(N756,AllCollegeNCES,0)))</f>
        <v>0</v>
      </c>
      <c r="AB756">
        <f>IF(ISNUMBER(INDEX(AllCollegeAAHGR, MATCH(N756,AllCollegeNCES,0))),ROUND(INDEX(AllCollegeAAHGR, MATCH(N756,AllCollegeNCES,0))+Z756*IF(INDEX(AllCollegeAAHGR, MATCH(N756,AllCollegeNCES,0))&gt;0.7,(1-INDEX(AllCollegeAAHGR, MATCH(N756,AllCollegeNCES,0)))/2,0.15),2),INDEX(AllCollegeAAHGR, MATCH(N756,AllCollegeNCES,0)))</f>
        <v>0</v>
      </c>
      <c r="AC756">
        <f>IF(OR(W756="H",W756="B"),INDEX(AllCollegeSAT25, MATCH(N756,AllCollegeNCES,0)),INDEX(AllCollegeSAT50, MATCH(N756,AllCollegeNCES,0)))</f>
        <v>0</v>
      </c>
      <c r="AD756">
        <f>INDEX(CustomWeightsGPA,MATCH(W756&amp;":"&amp;N756,CustomWeightsIndex,0))</f>
        <v>0</v>
      </c>
      <c r="AE756">
        <f>INDEX(CustomWeightsSAT,MATCH(W756&amp;":"&amp;N756,CustomWeightsIndex,0))</f>
        <v>0</v>
      </c>
      <c r="AF756">
        <f>INDEX(CustomWeightsIntercept,MATCH(W756&amp;":"&amp;N756,CustomWeightsIndex,0))</f>
        <v>0</v>
      </c>
      <c r="AG756">
        <f>AD756*S756+AE756*T756+AF756</f>
        <v>0</v>
      </c>
      <c r="AH756">
        <f>INDEX(CoefficientsGPA,MATCH(W756&amp;":"&amp;R756,CoefficientsIndex,0))</f>
        <v>0</v>
      </c>
      <c r="AI756">
        <f>INDEX(CoefficientsSAT,MATCH(W756&amp;":"&amp;R756,CoefficientsIndex,0))</f>
        <v>0</v>
      </c>
      <c r="AJ756">
        <f>INDEX(CoefficientsIntercept,MATCH(W756&amp;":"&amp;R756,CoefficientsIndex,0))</f>
        <v>0</v>
      </c>
      <c r="AK756">
        <f>AH756*S756+(T756-AC756)*AI756+AJ756</f>
        <v>0</v>
      </c>
      <c r="AL756">
        <f>IF(ISNUMBER(AG756),AG756,AK756)</f>
        <v>0</v>
      </c>
      <c r="AM756">
        <f>IF(ISNUMBER(AL756),IF(ISNUMBER(AH756),IF(AND(AH756=1,AI756=1,AJ756=1),100,MIN(99,ROUND(100*EXP(AL756)/(1+EXP(AL756)),2))),MIN(99,ROUND(100*EXP(AL756)/(1+EXP(AL756)),2))),IF(ISTEXT(R756),IF(LEFT(R756,1)="2",100,"N/A"),"N/A"))</f>
        <v>0</v>
      </c>
      <c r="AN756">
        <f>IF(ISNUMBER(AM756),IF(AM756&gt;=99,IF(OR(U756=10,U756=11),MatchLabel,SureThingLabel),IF(AM756&gt;=95,SecureLabel,IF(AM756&gt;=80,SafetyLabel,IF(AM756&gt;=50,MatchLabel,IF(AM756&gt;=20,ReachLabel,IF(AM756&gt;=10,LongshotLabel,HailMaryLabel)))))),"Other")</f>
        <v>0</v>
      </c>
      <c r="AO756">
        <f>IF(OR(I756="accepted",I756="cond. accept",I756="summer admit"),IF(J756="yes","CHOICE!","Accepted!"),IF(I756="guar. transfer","Guar. Xfer",IF(I756="denied","Denied",IF(K756=1,"Waitlist",IF(L756=1,"Deferred",IF(G756="pending","Pending",IF(OR(G756="initial materials submitted",G756="mid-year submitted",G756="final submitted"),"Submitted",IF(H756="interest","Interest","?"))))))))</f>
        <v>0</v>
      </c>
      <c r="AP756">
        <f>IF(OR(AN756=ReachLabel,AN756=LongshotLabel,AN756=HailMaryLabel),1,0)</f>
        <v>0</v>
      </c>
      <c r="AQ756">
        <f>IF(OR(AP756=1,AN756=MatchLabel),1,0)</f>
        <v>0</v>
      </c>
      <c r="AR756">
        <f>IF(OR(AN756=MatchLabel,AN756=SafetyLabel,AN756=SecureLabel,AN756=SureThingLabel),1,0)</f>
        <v>0</v>
      </c>
      <c r="AS756">
        <f>IF(OR(W756="H",W756="B",W756="I",W756="M"),IF(ISNUMBER(AB756),ROUND(AB756,2),0),IF(ISNUMBER(AA756),ROUND(AA756,2),0))</f>
        <v>0</v>
      </c>
      <c r="AT756">
        <f>IF(AS756&gt;=X756,1,0)</f>
        <v>0</v>
      </c>
      <c r="AU756">
        <f>IF(AS756&gt;=Y756,1,0)</f>
        <v>0</v>
      </c>
      <c r="AV756">
        <f>IF(AS756&lt;(X756-0.10),1,0)</f>
        <v>0</v>
      </c>
      <c r="AW756">
        <f>1-AM756/100</f>
        <v>0</v>
      </c>
      <c r="AX756">
        <f>IF(AQ756=1,AW756,1)</f>
        <v>0</v>
      </c>
      <c r="AY756">
        <f>IF(AP756=1,AW756,1)</f>
        <v>0</v>
      </c>
      <c r="AZ756">
        <f>IF(AND(AT756=1,ISNUMBER(AW756)),$AW756,1)</f>
        <v>0</v>
      </c>
      <c r="BA756">
        <f>IF(AND(AU756=1,ISNUMBER(AW756)),$AW756,1)</f>
        <v>0</v>
      </c>
      <c r="BB756">
        <f>IF(ISNUMBER(AB756),INDEX(AllCollegeMoney, MATCH(N756,AllCollegeNCES,0)),0)</f>
        <v>0</v>
      </c>
      <c r="BC756">
        <f>IF(AND(AT756=1,ISNUMBER(AW756),BB756=1),$AW756,1)</f>
        <v>0</v>
      </c>
      <c r="BD756">
        <f>IF(AND(AU756=1,ISNUMBER(AW756),BB756=1),$AW756,1)</f>
        <v>0</v>
      </c>
      <c r="BE756">
        <f>IF(ISNUMBER(AB756),INDEX(AllCollegeILPub, MATCH(N756,AllCollegeNCES,0)),0)</f>
        <v>0</v>
      </c>
      <c r="BF756">
        <f>IF(AN756=ReachLabel,AS756,0)</f>
        <v>0</v>
      </c>
      <c r="BG756">
        <f>IF(AN756=MatchLabel,AS756,0)</f>
        <v>0</v>
      </c>
      <c r="BH756">
        <f>IF(AN756=SafetyLabel,AS756,0)</f>
        <v>0</v>
      </c>
      <c r="BI756">
        <f>IF(AN756=SecureLabel,AS756,0)</f>
        <v>0</v>
      </c>
      <c r="BJ756">
        <f>IF(AN756=SureThingLabel,AS756,0)</f>
        <v>0</v>
      </c>
      <c r="BK756">
        <f>MAX(BF756:BJ756)</f>
        <v>0</v>
      </c>
      <c r="BL756">
        <f>MAX(BG756:BJ756)</f>
        <v>0</v>
      </c>
      <c r="BM756">
        <f>MAX(BH756:BJ756)</f>
        <v>0</v>
      </c>
      <c r="BN756">
        <f>IF(AND(AN756=ReachLabel,BB756=1),AS756,0)</f>
        <v>0</v>
      </c>
      <c r="BO756">
        <f>IF(AND(AN756=MatchLabel,BB756=1),AS756,0)</f>
        <v>0</v>
      </c>
      <c r="BP756">
        <f>IF(AND(AN756=SafetyLabel,BB756=1),AS756,0)</f>
        <v>0</v>
      </c>
      <c r="BQ756">
        <f>IF(AND(AN756=SecureLabel,BB756=1),AS756,0)</f>
        <v>0</v>
      </c>
      <c r="BR756">
        <f>IF(AND(AN756=SureThingLabel,BB756=1),AS756,0)</f>
        <v>0</v>
      </c>
      <c r="BS756">
        <f>MAX(BN756:BR756)</f>
        <v>0</v>
      </c>
      <c r="BT756">
        <f>MAX(BO756:BR756)</f>
        <v>0</v>
      </c>
      <c r="BU756">
        <f>MAX(BP756:BR756)</f>
        <v>0</v>
      </c>
      <c r="BV756">
        <f>IF(ISNUMBER(AB756),INDEX(AllCollegeChicago, MATCH(N756,AllCollegeNCES,0))*BB756,0)</f>
        <v>0</v>
      </c>
      <c r="BW756">
        <f>IF(ISNUMBER(AB756),INDEX(AllCollegeMoneyCode, MATCH(N756,AllCollegeNCES,0)),"?")</f>
        <v>0</v>
      </c>
      <c r="BX756">
        <f>IF(OR(BW756="---",BW756="--",BW756="+/--",BW756="+/---"),1,0)</f>
        <v>0</v>
      </c>
      <c r="BY756">
        <f>BB756*AR756*AT756</f>
        <v>0</v>
      </c>
    </row>
    <row r="757" spans="1:77">
      <c r="A757" t="s">
        <v>96</v>
      </c>
      <c r="B757">
        <v>30323072</v>
      </c>
      <c r="C757" t="s">
        <v>151</v>
      </c>
      <c r="D757" t="s">
        <v>152</v>
      </c>
      <c r="E757" t="s">
        <v>446</v>
      </c>
      <c r="F757" t="s">
        <v>472</v>
      </c>
      <c r="G757" t="s">
        <v>448</v>
      </c>
      <c r="H757" t="s">
        <v>449</v>
      </c>
      <c r="I757" t="s">
        <v>450</v>
      </c>
      <c r="J757" t="s">
        <v>450</v>
      </c>
      <c r="K757">
        <v>0</v>
      </c>
      <c r="L757" t="s">
        <v>446</v>
      </c>
      <c r="M757" t="s">
        <v>446</v>
      </c>
      <c r="N757">
        <v>212674</v>
      </c>
      <c r="O757">
        <f>INDEX(Counselor,MATCH(B757,KidIDs,0))</f>
        <v>0</v>
      </c>
      <c r="P757">
        <f>INDEX(Advisors,MATCH(B757,KidIDs,0))</f>
        <v>0</v>
      </c>
      <c r="Q757">
        <f>INDEX(Cohort,MATCH(B757,KidIDs,0))</f>
        <v>0</v>
      </c>
      <c r="R757">
        <f>INDEX(AllCollegeBarrons,MATCH(N757,AllCollegeNCES,0))</f>
        <v>0</v>
      </c>
      <c r="S757">
        <f>INDEX(KidGPAs,MATCH(B757,KidIDs,0))</f>
        <v>0</v>
      </c>
      <c r="T757">
        <f>INDEX(KidSATs,MATCH(B757,KidIDs,0))</f>
        <v>0</v>
      </c>
      <c r="U757">
        <f>INDEX(Strats,MATCH(B757,KidIDs,0))</f>
        <v>0</v>
      </c>
      <c r="V757">
        <f>INDEX(KidRace,MATCH(B757,KidIDs,0))</f>
        <v>0</v>
      </c>
      <c r="W757">
        <f>IF(OR(V757="M",V757="I"),"H",IF(V757="P","A",V757))</f>
        <v>0</v>
      </c>
      <c r="X757">
        <f>INDEX(StudentTargets,MATCH(B757,KidIDs,0))</f>
        <v>0</v>
      </c>
      <c r="Y757">
        <f>INDEX(ReachStudentTargets,MATCH(B757,KidIDs,0))</f>
        <v>0</v>
      </c>
      <c r="Z757">
        <f>IF(OR(M757="Posse"),1,0)</f>
        <v>0</v>
      </c>
      <c r="AA757">
        <f>IF(ISNUMBER(INDEX(AllCollegeGR, MATCH(N757,AllCollegeNCES,0))),ROUND(INDEX(AllCollegeGR, MATCH(N757,AllCollegeNCES,0))+Z757*IF(INDEX(AllCollegeGR, MATCH(N757,AllCollegeNCES,0))&gt;0.7,(1-INDEX(AllCollegeGR, MATCH(N757,AllCollegeNCES,0)))/2,0.15),2),INDEX(AllCollegeGR, MATCH(N757,AllCollegeNCES,0)))</f>
        <v>0</v>
      </c>
      <c r="AB757">
        <f>IF(ISNUMBER(INDEX(AllCollegeAAHGR, MATCH(N757,AllCollegeNCES,0))),ROUND(INDEX(AllCollegeAAHGR, MATCH(N757,AllCollegeNCES,0))+Z757*IF(INDEX(AllCollegeAAHGR, MATCH(N757,AllCollegeNCES,0))&gt;0.7,(1-INDEX(AllCollegeAAHGR, MATCH(N757,AllCollegeNCES,0)))/2,0.15),2),INDEX(AllCollegeAAHGR, MATCH(N757,AllCollegeNCES,0)))</f>
        <v>0</v>
      </c>
      <c r="AC757">
        <f>IF(OR(W757="H",W757="B"),INDEX(AllCollegeSAT25, MATCH(N757,AllCollegeNCES,0)),INDEX(AllCollegeSAT50, MATCH(N757,AllCollegeNCES,0)))</f>
        <v>0</v>
      </c>
      <c r="AD757">
        <f>INDEX(CustomWeightsGPA,MATCH(W757&amp;":"&amp;N757,CustomWeightsIndex,0))</f>
        <v>0</v>
      </c>
      <c r="AE757">
        <f>INDEX(CustomWeightsSAT,MATCH(W757&amp;":"&amp;N757,CustomWeightsIndex,0))</f>
        <v>0</v>
      </c>
      <c r="AF757">
        <f>INDEX(CustomWeightsIntercept,MATCH(W757&amp;":"&amp;N757,CustomWeightsIndex,0))</f>
        <v>0</v>
      </c>
      <c r="AG757">
        <f>AD757*S757+AE757*T757+AF757</f>
        <v>0</v>
      </c>
      <c r="AH757">
        <f>INDEX(CoefficientsGPA,MATCH(W757&amp;":"&amp;R757,CoefficientsIndex,0))</f>
        <v>0</v>
      </c>
      <c r="AI757">
        <f>INDEX(CoefficientsSAT,MATCH(W757&amp;":"&amp;R757,CoefficientsIndex,0))</f>
        <v>0</v>
      </c>
      <c r="AJ757">
        <f>INDEX(CoefficientsIntercept,MATCH(W757&amp;":"&amp;R757,CoefficientsIndex,0))</f>
        <v>0</v>
      </c>
      <c r="AK757">
        <f>AH757*S757+(T757-AC757)*AI757+AJ757</f>
        <v>0</v>
      </c>
      <c r="AL757">
        <f>IF(ISNUMBER(AG757),AG757,AK757)</f>
        <v>0</v>
      </c>
      <c r="AM757">
        <f>IF(ISNUMBER(AL757),IF(ISNUMBER(AH757),IF(AND(AH757=1,AI757=1,AJ757=1),100,MIN(99,ROUND(100*EXP(AL757)/(1+EXP(AL757)),2))),MIN(99,ROUND(100*EXP(AL757)/(1+EXP(AL757)),2))),IF(ISTEXT(R757),IF(LEFT(R757,1)="2",100,"N/A"),"N/A"))</f>
        <v>0</v>
      </c>
      <c r="AN757">
        <f>IF(ISNUMBER(AM757),IF(AM757&gt;=99,IF(OR(U757=10,U757=11),MatchLabel,SureThingLabel),IF(AM757&gt;=95,SecureLabel,IF(AM757&gt;=80,SafetyLabel,IF(AM757&gt;=50,MatchLabel,IF(AM757&gt;=20,ReachLabel,IF(AM757&gt;=10,LongshotLabel,HailMaryLabel)))))),"Other")</f>
        <v>0</v>
      </c>
      <c r="AO757">
        <f>IF(OR(I757="accepted",I757="cond. accept",I757="summer admit"),IF(J757="yes","CHOICE!","Accepted!"),IF(I757="guar. transfer","Guar. Xfer",IF(I757="denied","Denied",IF(K757=1,"Waitlist",IF(L757=1,"Deferred",IF(G757="pending","Pending",IF(OR(G757="initial materials submitted",G757="mid-year submitted",G757="final submitted"),"Submitted",IF(H757="interest","Interest","?"))))))))</f>
        <v>0</v>
      </c>
      <c r="AP757">
        <f>IF(OR(AN757=ReachLabel,AN757=LongshotLabel,AN757=HailMaryLabel),1,0)</f>
        <v>0</v>
      </c>
      <c r="AQ757">
        <f>IF(OR(AP757=1,AN757=MatchLabel),1,0)</f>
        <v>0</v>
      </c>
      <c r="AR757">
        <f>IF(OR(AN757=MatchLabel,AN757=SafetyLabel,AN757=SecureLabel,AN757=SureThingLabel),1,0)</f>
        <v>0</v>
      </c>
      <c r="AS757">
        <f>IF(OR(W757="H",W757="B",W757="I",W757="M"),IF(ISNUMBER(AB757),ROUND(AB757,2),0),IF(ISNUMBER(AA757),ROUND(AA757,2),0))</f>
        <v>0</v>
      </c>
      <c r="AT757">
        <f>IF(AS757&gt;=X757,1,0)</f>
        <v>0</v>
      </c>
      <c r="AU757">
        <f>IF(AS757&gt;=Y757,1,0)</f>
        <v>0</v>
      </c>
      <c r="AV757">
        <f>IF(AS757&lt;(X757-0.10),1,0)</f>
        <v>0</v>
      </c>
      <c r="AW757">
        <f>1-AM757/100</f>
        <v>0</v>
      </c>
      <c r="AX757">
        <f>IF(AQ757=1,AW757,1)</f>
        <v>0</v>
      </c>
      <c r="AY757">
        <f>IF(AP757=1,AW757,1)</f>
        <v>0</v>
      </c>
      <c r="AZ757">
        <f>IF(AND(AT757=1,ISNUMBER(AW757)),$AW757,1)</f>
        <v>0</v>
      </c>
      <c r="BA757">
        <f>IF(AND(AU757=1,ISNUMBER(AW757)),$AW757,1)</f>
        <v>0</v>
      </c>
      <c r="BB757">
        <f>IF(ISNUMBER(AB757),INDEX(AllCollegeMoney, MATCH(N757,AllCollegeNCES,0)),0)</f>
        <v>0</v>
      </c>
      <c r="BC757">
        <f>IF(AND(AT757=1,ISNUMBER(AW757),BB757=1),$AW757,1)</f>
        <v>0</v>
      </c>
      <c r="BD757">
        <f>IF(AND(AU757=1,ISNUMBER(AW757),BB757=1),$AW757,1)</f>
        <v>0</v>
      </c>
      <c r="BE757">
        <f>IF(ISNUMBER(AB757),INDEX(AllCollegeILPub, MATCH(N757,AllCollegeNCES,0)),0)</f>
        <v>0</v>
      </c>
      <c r="BF757">
        <f>IF(AN757=ReachLabel,AS757,0)</f>
        <v>0</v>
      </c>
      <c r="BG757">
        <f>IF(AN757=MatchLabel,AS757,0)</f>
        <v>0</v>
      </c>
      <c r="BH757">
        <f>IF(AN757=SafetyLabel,AS757,0)</f>
        <v>0</v>
      </c>
      <c r="BI757">
        <f>IF(AN757=SecureLabel,AS757,0)</f>
        <v>0</v>
      </c>
      <c r="BJ757">
        <f>IF(AN757=SureThingLabel,AS757,0)</f>
        <v>0</v>
      </c>
      <c r="BK757">
        <f>MAX(BF757:BJ757)</f>
        <v>0</v>
      </c>
      <c r="BL757">
        <f>MAX(BG757:BJ757)</f>
        <v>0</v>
      </c>
      <c r="BM757">
        <f>MAX(BH757:BJ757)</f>
        <v>0</v>
      </c>
      <c r="BN757">
        <f>IF(AND(AN757=ReachLabel,BB757=1),AS757,0)</f>
        <v>0</v>
      </c>
      <c r="BO757">
        <f>IF(AND(AN757=MatchLabel,BB757=1),AS757,0)</f>
        <v>0</v>
      </c>
      <c r="BP757">
        <f>IF(AND(AN757=SafetyLabel,BB757=1),AS757,0)</f>
        <v>0</v>
      </c>
      <c r="BQ757">
        <f>IF(AND(AN757=SecureLabel,BB757=1),AS757,0)</f>
        <v>0</v>
      </c>
      <c r="BR757">
        <f>IF(AND(AN757=SureThingLabel,BB757=1),AS757,0)</f>
        <v>0</v>
      </c>
      <c r="BS757">
        <f>MAX(BN757:BR757)</f>
        <v>0</v>
      </c>
      <c r="BT757">
        <f>MAX(BO757:BR757)</f>
        <v>0</v>
      </c>
      <c r="BU757">
        <f>MAX(BP757:BR757)</f>
        <v>0</v>
      </c>
      <c r="BV757">
        <f>IF(ISNUMBER(AB757),INDEX(AllCollegeChicago, MATCH(N757,AllCollegeNCES,0))*BB757,0)</f>
        <v>0</v>
      </c>
      <c r="BW757">
        <f>IF(ISNUMBER(AB757),INDEX(AllCollegeMoneyCode, MATCH(N757,AllCollegeNCES,0)),"?")</f>
        <v>0</v>
      </c>
      <c r="BX757">
        <f>IF(OR(BW757="---",BW757="--",BW757="+/--",BW757="+/---"),1,0)</f>
        <v>0</v>
      </c>
      <c r="BY757">
        <f>BB757*AR757*AT757</f>
        <v>0</v>
      </c>
    </row>
    <row r="758" spans="1:77">
      <c r="A758" t="s">
        <v>96</v>
      </c>
      <c r="B758">
        <v>30323072</v>
      </c>
      <c r="C758" t="s">
        <v>151</v>
      </c>
      <c r="D758" t="s">
        <v>152</v>
      </c>
      <c r="E758" t="s">
        <v>446</v>
      </c>
      <c r="F758" t="s">
        <v>473</v>
      </c>
      <c r="G758" t="s">
        <v>448</v>
      </c>
      <c r="H758" t="s">
        <v>449</v>
      </c>
      <c r="I758" t="s">
        <v>450</v>
      </c>
      <c r="J758" t="s">
        <v>450</v>
      </c>
      <c r="K758">
        <v>0</v>
      </c>
      <c r="L758" t="s">
        <v>446</v>
      </c>
      <c r="M758" t="s">
        <v>446</v>
      </c>
      <c r="N758">
        <v>221519</v>
      </c>
      <c r="O758">
        <f>INDEX(Counselor,MATCH(B758,KidIDs,0))</f>
        <v>0</v>
      </c>
      <c r="P758">
        <f>INDEX(Advisors,MATCH(B758,KidIDs,0))</f>
        <v>0</v>
      </c>
      <c r="Q758">
        <f>INDEX(Cohort,MATCH(B758,KidIDs,0))</f>
        <v>0</v>
      </c>
      <c r="R758">
        <f>INDEX(AllCollegeBarrons,MATCH(N758,AllCollegeNCES,0))</f>
        <v>0</v>
      </c>
      <c r="S758">
        <f>INDEX(KidGPAs,MATCH(B758,KidIDs,0))</f>
        <v>0</v>
      </c>
      <c r="T758">
        <f>INDEX(KidSATs,MATCH(B758,KidIDs,0))</f>
        <v>0</v>
      </c>
      <c r="U758">
        <f>INDEX(Strats,MATCH(B758,KidIDs,0))</f>
        <v>0</v>
      </c>
      <c r="V758">
        <f>INDEX(KidRace,MATCH(B758,KidIDs,0))</f>
        <v>0</v>
      </c>
      <c r="W758">
        <f>IF(OR(V758="M",V758="I"),"H",IF(V758="P","A",V758))</f>
        <v>0</v>
      </c>
      <c r="X758">
        <f>INDEX(StudentTargets,MATCH(B758,KidIDs,0))</f>
        <v>0</v>
      </c>
      <c r="Y758">
        <f>INDEX(ReachStudentTargets,MATCH(B758,KidIDs,0))</f>
        <v>0</v>
      </c>
      <c r="Z758">
        <f>IF(OR(M758="Posse"),1,0)</f>
        <v>0</v>
      </c>
      <c r="AA758">
        <f>IF(ISNUMBER(INDEX(AllCollegeGR, MATCH(N758,AllCollegeNCES,0))),ROUND(INDEX(AllCollegeGR, MATCH(N758,AllCollegeNCES,0))+Z758*IF(INDEX(AllCollegeGR, MATCH(N758,AllCollegeNCES,0))&gt;0.7,(1-INDEX(AllCollegeGR, MATCH(N758,AllCollegeNCES,0)))/2,0.15),2),INDEX(AllCollegeGR, MATCH(N758,AllCollegeNCES,0)))</f>
        <v>0</v>
      </c>
      <c r="AB758">
        <f>IF(ISNUMBER(INDEX(AllCollegeAAHGR, MATCH(N758,AllCollegeNCES,0))),ROUND(INDEX(AllCollegeAAHGR, MATCH(N758,AllCollegeNCES,0))+Z758*IF(INDEX(AllCollegeAAHGR, MATCH(N758,AllCollegeNCES,0))&gt;0.7,(1-INDEX(AllCollegeAAHGR, MATCH(N758,AllCollegeNCES,0)))/2,0.15),2),INDEX(AllCollegeAAHGR, MATCH(N758,AllCollegeNCES,0)))</f>
        <v>0</v>
      </c>
      <c r="AC758">
        <f>IF(OR(W758="H",W758="B"),INDEX(AllCollegeSAT25, MATCH(N758,AllCollegeNCES,0)),INDEX(AllCollegeSAT50, MATCH(N758,AllCollegeNCES,0)))</f>
        <v>0</v>
      </c>
      <c r="AD758">
        <f>INDEX(CustomWeightsGPA,MATCH(W758&amp;":"&amp;N758,CustomWeightsIndex,0))</f>
        <v>0</v>
      </c>
      <c r="AE758">
        <f>INDEX(CustomWeightsSAT,MATCH(W758&amp;":"&amp;N758,CustomWeightsIndex,0))</f>
        <v>0</v>
      </c>
      <c r="AF758">
        <f>INDEX(CustomWeightsIntercept,MATCH(W758&amp;":"&amp;N758,CustomWeightsIndex,0))</f>
        <v>0</v>
      </c>
      <c r="AG758">
        <f>AD758*S758+AE758*T758+AF758</f>
        <v>0</v>
      </c>
      <c r="AH758">
        <f>INDEX(CoefficientsGPA,MATCH(W758&amp;":"&amp;R758,CoefficientsIndex,0))</f>
        <v>0</v>
      </c>
      <c r="AI758">
        <f>INDEX(CoefficientsSAT,MATCH(W758&amp;":"&amp;R758,CoefficientsIndex,0))</f>
        <v>0</v>
      </c>
      <c r="AJ758">
        <f>INDEX(CoefficientsIntercept,MATCH(W758&amp;":"&amp;R758,CoefficientsIndex,0))</f>
        <v>0</v>
      </c>
      <c r="AK758">
        <f>AH758*S758+(T758-AC758)*AI758+AJ758</f>
        <v>0</v>
      </c>
      <c r="AL758">
        <f>IF(ISNUMBER(AG758),AG758,AK758)</f>
        <v>0</v>
      </c>
      <c r="AM758">
        <f>IF(ISNUMBER(AL758),IF(ISNUMBER(AH758),IF(AND(AH758=1,AI758=1,AJ758=1),100,MIN(99,ROUND(100*EXP(AL758)/(1+EXP(AL758)),2))),MIN(99,ROUND(100*EXP(AL758)/(1+EXP(AL758)),2))),IF(ISTEXT(R758),IF(LEFT(R758,1)="2",100,"N/A"),"N/A"))</f>
        <v>0</v>
      </c>
      <c r="AN758">
        <f>IF(ISNUMBER(AM758),IF(AM758&gt;=99,IF(OR(U758=10,U758=11),MatchLabel,SureThingLabel),IF(AM758&gt;=95,SecureLabel,IF(AM758&gt;=80,SafetyLabel,IF(AM758&gt;=50,MatchLabel,IF(AM758&gt;=20,ReachLabel,IF(AM758&gt;=10,LongshotLabel,HailMaryLabel)))))),"Other")</f>
        <v>0</v>
      </c>
      <c r="AO758">
        <f>IF(OR(I758="accepted",I758="cond. accept",I758="summer admit"),IF(J758="yes","CHOICE!","Accepted!"),IF(I758="guar. transfer","Guar. Xfer",IF(I758="denied","Denied",IF(K758=1,"Waitlist",IF(L758=1,"Deferred",IF(G758="pending","Pending",IF(OR(G758="initial materials submitted",G758="mid-year submitted",G758="final submitted"),"Submitted",IF(H758="interest","Interest","?"))))))))</f>
        <v>0</v>
      </c>
      <c r="AP758">
        <f>IF(OR(AN758=ReachLabel,AN758=LongshotLabel,AN758=HailMaryLabel),1,0)</f>
        <v>0</v>
      </c>
      <c r="AQ758">
        <f>IF(OR(AP758=1,AN758=MatchLabel),1,0)</f>
        <v>0</v>
      </c>
      <c r="AR758">
        <f>IF(OR(AN758=MatchLabel,AN758=SafetyLabel,AN758=SecureLabel,AN758=SureThingLabel),1,0)</f>
        <v>0</v>
      </c>
      <c r="AS758">
        <f>IF(OR(W758="H",W758="B",W758="I",W758="M"),IF(ISNUMBER(AB758),ROUND(AB758,2),0),IF(ISNUMBER(AA758),ROUND(AA758,2),0))</f>
        <v>0</v>
      </c>
      <c r="AT758">
        <f>IF(AS758&gt;=X758,1,0)</f>
        <v>0</v>
      </c>
      <c r="AU758">
        <f>IF(AS758&gt;=Y758,1,0)</f>
        <v>0</v>
      </c>
      <c r="AV758">
        <f>IF(AS758&lt;(X758-0.10),1,0)</f>
        <v>0</v>
      </c>
      <c r="AW758">
        <f>1-AM758/100</f>
        <v>0</v>
      </c>
      <c r="AX758">
        <f>IF(AQ758=1,AW758,1)</f>
        <v>0</v>
      </c>
      <c r="AY758">
        <f>IF(AP758=1,AW758,1)</f>
        <v>0</v>
      </c>
      <c r="AZ758">
        <f>IF(AND(AT758=1,ISNUMBER(AW758)),$AW758,1)</f>
        <v>0</v>
      </c>
      <c r="BA758">
        <f>IF(AND(AU758=1,ISNUMBER(AW758)),$AW758,1)</f>
        <v>0</v>
      </c>
      <c r="BB758">
        <f>IF(ISNUMBER(AB758),INDEX(AllCollegeMoney, MATCH(N758,AllCollegeNCES,0)),0)</f>
        <v>0</v>
      </c>
      <c r="BC758">
        <f>IF(AND(AT758=1,ISNUMBER(AW758),BB758=1),$AW758,1)</f>
        <v>0</v>
      </c>
      <c r="BD758">
        <f>IF(AND(AU758=1,ISNUMBER(AW758),BB758=1),$AW758,1)</f>
        <v>0</v>
      </c>
      <c r="BE758">
        <f>IF(ISNUMBER(AB758),INDEX(AllCollegeILPub, MATCH(N758,AllCollegeNCES,0)),0)</f>
        <v>0</v>
      </c>
      <c r="BF758">
        <f>IF(AN758=ReachLabel,AS758,0)</f>
        <v>0</v>
      </c>
      <c r="BG758">
        <f>IF(AN758=MatchLabel,AS758,0)</f>
        <v>0</v>
      </c>
      <c r="BH758">
        <f>IF(AN758=SafetyLabel,AS758,0)</f>
        <v>0</v>
      </c>
      <c r="BI758">
        <f>IF(AN758=SecureLabel,AS758,0)</f>
        <v>0</v>
      </c>
      <c r="BJ758">
        <f>IF(AN758=SureThingLabel,AS758,0)</f>
        <v>0</v>
      </c>
      <c r="BK758">
        <f>MAX(BF758:BJ758)</f>
        <v>0</v>
      </c>
      <c r="BL758">
        <f>MAX(BG758:BJ758)</f>
        <v>0</v>
      </c>
      <c r="BM758">
        <f>MAX(BH758:BJ758)</f>
        <v>0</v>
      </c>
      <c r="BN758">
        <f>IF(AND(AN758=ReachLabel,BB758=1),AS758,0)</f>
        <v>0</v>
      </c>
      <c r="BO758">
        <f>IF(AND(AN758=MatchLabel,BB758=1),AS758,0)</f>
        <v>0</v>
      </c>
      <c r="BP758">
        <f>IF(AND(AN758=SafetyLabel,BB758=1),AS758,0)</f>
        <v>0</v>
      </c>
      <c r="BQ758">
        <f>IF(AND(AN758=SecureLabel,BB758=1),AS758,0)</f>
        <v>0</v>
      </c>
      <c r="BR758">
        <f>IF(AND(AN758=SureThingLabel,BB758=1),AS758,0)</f>
        <v>0</v>
      </c>
      <c r="BS758">
        <f>MAX(BN758:BR758)</f>
        <v>0</v>
      </c>
      <c r="BT758">
        <f>MAX(BO758:BR758)</f>
        <v>0</v>
      </c>
      <c r="BU758">
        <f>MAX(BP758:BR758)</f>
        <v>0</v>
      </c>
      <c r="BV758">
        <f>IF(ISNUMBER(AB758),INDEX(AllCollegeChicago, MATCH(N758,AllCollegeNCES,0))*BB758,0)</f>
        <v>0</v>
      </c>
      <c r="BW758">
        <f>IF(ISNUMBER(AB758),INDEX(AllCollegeMoneyCode, MATCH(N758,AllCollegeNCES,0)),"?")</f>
        <v>0</v>
      </c>
      <c r="BX758">
        <f>IF(OR(BW758="---",BW758="--",BW758="+/--",BW758="+/---"),1,0)</f>
        <v>0</v>
      </c>
      <c r="BY758">
        <f>BB758*AR758*AT758</f>
        <v>0</v>
      </c>
    </row>
    <row r="759" spans="1:77">
      <c r="A759" t="s">
        <v>96</v>
      </c>
      <c r="B759">
        <v>30323072</v>
      </c>
      <c r="C759" t="s">
        <v>151</v>
      </c>
      <c r="D759" t="s">
        <v>152</v>
      </c>
      <c r="E759" t="s">
        <v>446</v>
      </c>
      <c r="F759" t="s">
        <v>487</v>
      </c>
      <c r="G759" t="s">
        <v>448</v>
      </c>
      <c r="H759" t="s">
        <v>449</v>
      </c>
      <c r="I759" t="s">
        <v>450</v>
      </c>
      <c r="J759" t="s">
        <v>450</v>
      </c>
      <c r="K759">
        <v>0</v>
      </c>
      <c r="L759" t="s">
        <v>446</v>
      </c>
      <c r="M759" t="s">
        <v>446</v>
      </c>
      <c r="N759">
        <v>174844</v>
      </c>
      <c r="O759">
        <f>INDEX(Counselor,MATCH(B759,KidIDs,0))</f>
        <v>0</v>
      </c>
      <c r="P759">
        <f>INDEX(Advisors,MATCH(B759,KidIDs,0))</f>
        <v>0</v>
      </c>
      <c r="Q759">
        <f>INDEX(Cohort,MATCH(B759,KidIDs,0))</f>
        <v>0</v>
      </c>
      <c r="R759">
        <f>INDEX(AllCollegeBarrons,MATCH(N759,AllCollegeNCES,0))</f>
        <v>0</v>
      </c>
      <c r="S759">
        <f>INDEX(KidGPAs,MATCH(B759,KidIDs,0))</f>
        <v>0</v>
      </c>
      <c r="T759">
        <f>INDEX(KidSATs,MATCH(B759,KidIDs,0))</f>
        <v>0</v>
      </c>
      <c r="U759">
        <f>INDEX(Strats,MATCH(B759,KidIDs,0))</f>
        <v>0</v>
      </c>
      <c r="V759">
        <f>INDEX(KidRace,MATCH(B759,KidIDs,0))</f>
        <v>0</v>
      </c>
      <c r="W759">
        <f>IF(OR(V759="M",V759="I"),"H",IF(V759="P","A",V759))</f>
        <v>0</v>
      </c>
      <c r="X759">
        <f>INDEX(StudentTargets,MATCH(B759,KidIDs,0))</f>
        <v>0</v>
      </c>
      <c r="Y759">
        <f>INDEX(ReachStudentTargets,MATCH(B759,KidIDs,0))</f>
        <v>0</v>
      </c>
      <c r="Z759">
        <f>IF(OR(M759="Posse"),1,0)</f>
        <v>0</v>
      </c>
      <c r="AA759">
        <f>IF(ISNUMBER(INDEX(AllCollegeGR, MATCH(N759,AllCollegeNCES,0))),ROUND(INDEX(AllCollegeGR, MATCH(N759,AllCollegeNCES,0))+Z759*IF(INDEX(AllCollegeGR, MATCH(N759,AllCollegeNCES,0))&gt;0.7,(1-INDEX(AllCollegeGR, MATCH(N759,AllCollegeNCES,0)))/2,0.15),2),INDEX(AllCollegeGR, MATCH(N759,AllCollegeNCES,0)))</f>
        <v>0</v>
      </c>
      <c r="AB759">
        <f>IF(ISNUMBER(INDEX(AllCollegeAAHGR, MATCH(N759,AllCollegeNCES,0))),ROUND(INDEX(AllCollegeAAHGR, MATCH(N759,AllCollegeNCES,0))+Z759*IF(INDEX(AllCollegeAAHGR, MATCH(N759,AllCollegeNCES,0))&gt;0.7,(1-INDEX(AllCollegeAAHGR, MATCH(N759,AllCollegeNCES,0)))/2,0.15),2),INDEX(AllCollegeAAHGR, MATCH(N759,AllCollegeNCES,0)))</f>
        <v>0</v>
      </c>
      <c r="AC759">
        <f>IF(OR(W759="H",W759="B"),INDEX(AllCollegeSAT25, MATCH(N759,AllCollegeNCES,0)),INDEX(AllCollegeSAT50, MATCH(N759,AllCollegeNCES,0)))</f>
        <v>0</v>
      </c>
      <c r="AD759">
        <f>INDEX(CustomWeightsGPA,MATCH(W759&amp;":"&amp;N759,CustomWeightsIndex,0))</f>
        <v>0</v>
      </c>
      <c r="AE759">
        <f>INDEX(CustomWeightsSAT,MATCH(W759&amp;":"&amp;N759,CustomWeightsIndex,0))</f>
        <v>0</v>
      </c>
      <c r="AF759">
        <f>INDEX(CustomWeightsIntercept,MATCH(W759&amp;":"&amp;N759,CustomWeightsIndex,0))</f>
        <v>0</v>
      </c>
      <c r="AG759">
        <f>AD759*S759+AE759*T759+AF759</f>
        <v>0</v>
      </c>
      <c r="AH759">
        <f>INDEX(CoefficientsGPA,MATCH(W759&amp;":"&amp;R759,CoefficientsIndex,0))</f>
        <v>0</v>
      </c>
      <c r="AI759">
        <f>INDEX(CoefficientsSAT,MATCH(W759&amp;":"&amp;R759,CoefficientsIndex,0))</f>
        <v>0</v>
      </c>
      <c r="AJ759">
        <f>INDEX(CoefficientsIntercept,MATCH(W759&amp;":"&amp;R759,CoefficientsIndex,0))</f>
        <v>0</v>
      </c>
      <c r="AK759">
        <f>AH759*S759+(T759-AC759)*AI759+AJ759</f>
        <v>0</v>
      </c>
      <c r="AL759">
        <f>IF(ISNUMBER(AG759),AG759,AK759)</f>
        <v>0</v>
      </c>
      <c r="AM759">
        <f>IF(ISNUMBER(AL759),IF(ISNUMBER(AH759),IF(AND(AH759=1,AI759=1,AJ759=1),100,MIN(99,ROUND(100*EXP(AL759)/(1+EXP(AL759)),2))),MIN(99,ROUND(100*EXP(AL759)/(1+EXP(AL759)),2))),IF(ISTEXT(R759),IF(LEFT(R759,1)="2",100,"N/A"),"N/A"))</f>
        <v>0</v>
      </c>
      <c r="AN759">
        <f>IF(ISNUMBER(AM759),IF(AM759&gt;=99,IF(OR(U759=10,U759=11),MatchLabel,SureThingLabel),IF(AM759&gt;=95,SecureLabel,IF(AM759&gt;=80,SafetyLabel,IF(AM759&gt;=50,MatchLabel,IF(AM759&gt;=20,ReachLabel,IF(AM759&gt;=10,LongshotLabel,HailMaryLabel)))))),"Other")</f>
        <v>0</v>
      </c>
      <c r="AO759">
        <f>IF(OR(I759="accepted",I759="cond. accept",I759="summer admit"),IF(J759="yes","CHOICE!","Accepted!"),IF(I759="guar. transfer","Guar. Xfer",IF(I759="denied","Denied",IF(K759=1,"Waitlist",IF(L759=1,"Deferred",IF(G759="pending","Pending",IF(OR(G759="initial materials submitted",G759="mid-year submitted",G759="final submitted"),"Submitted",IF(H759="interest","Interest","?"))))))))</f>
        <v>0</v>
      </c>
      <c r="AP759">
        <f>IF(OR(AN759=ReachLabel,AN759=LongshotLabel,AN759=HailMaryLabel),1,0)</f>
        <v>0</v>
      </c>
      <c r="AQ759">
        <f>IF(OR(AP759=1,AN759=MatchLabel),1,0)</f>
        <v>0</v>
      </c>
      <c r="AR759">
        <f>IF(OR(AN759=MatchLabel,AN759=SafetyLabel,AN759=SecureLabel,AN759=SureThingLabel),1,0)</f>
        <v>0</v>
      </c>
      <c r="AS759">
        <f>IF(OR(W759="H",W759="B",W759="I",W759="M"),IF(ISNUMBER(AB759),ROUND(AB759,2),0),IF(ISNUMBER(AA759),ROUND(AA759,2),0))</f>
        <v>0</v>
      </c>
      <c r="AT759">
        <f>IF(AS759&gt;=X759,1,0)</f>
        <v>0</v>
      </c>
      <c r="AU759">
        <f>IF(AS759&gt;=Y759,1,0)</f>
        <v>0</v>
      </c>
      <c r="AV759">
        <f>IF(AS759&lt;(X759-0.10),1,0)</f>
        <v>0</v>
      </c>
      <c r="AW759">
        <f>1-AM759/100</f>
        <v>0</v>
      </c>
      <c r="AX759">
        <f>IF(AQ759=1,AW759,1)</f>
        <v>0</v>
      </c>
      <c r="AY759">
        <f>IF(AP759=1,AW759,1)</f>
        <v>0</v>
      </c>
      <c r="AZ759">
        <f>IF(AND(AT759=1,ISNUMBER(AW759)),$AW759,1)</f>
        <v>0</v>
      </c>
      <c r="BA759">
        <f>IF(AND(AU759=1,ISNUMBER(AW759)),$AW759,1)</f>
        <v>0</v>
      </c>
      <c r="BB759">
        <f>IF(ISNUMBER(AB759),INDEX(AllCollegeMoney, MATCH(N759,AllCollegeNCES,0)),0)</f>
        <v>0</v>
      </c>
      <c r="BC759">
        <f>IF(AND(AT759=1,ISNUMBER(AW759),BB759=1),$AW759,1)</f>
        <v>0</v>
      </c>
      <c r="BD759">
        <f>IF(AND(AU759=1,ISNUMBER(AW759),BB759=1),$AW759,1)</f>
        <v>0</v>
      </c>
      <c r="BE759">
        <f>IF(ISNUMBER(AB759),INDEX(AllCollegeILPub, MATCH(N759,AllCollegeNCES,0)),0)</f>
        <v>0</v>
      </c>
      <c r="BF759">
        <f>IF(AN759=ReachLabel,AS759,0)</f>
        <v>0</v>
      </c>
      <c r="BG759">
        <f>IF(AN759=MatchLabel,AS759,0)</f>
        <v>0</v>
      </c>
      <c r="BH759">
        <f>IF(AN759=SafetyLabel,AS759,0)</f>
        <v>0</v>
      </c>
      <c r="BI759">
        <f>IF(AN759=SecureLabel,AS759,0)</f>
        <v>0</v>
      </c>
      <c r="BJ759">
        <f>IF(AN759=SureThingLabel,AS759,0)</f>
        <v>0</v>
      </c>
      <c r="BK759">
        <f>MAX(BF759:BJ759)</f>
        <v>0</v>
      </c>
      <c r="BL759">
        <f>MAX(BG759:BJ759)</f>
        <v>0</v>
      </c>
      <c r="BM759">
        <f>MAX(BH759:BJ759)</f>
        <v>0</v>
      </c>
      <c r="BN759">
        <f>IF(AND(AN759=ReachLabel,BB759=1),AS759,0)</f>
        <v>0</v>
      </c>
      <c r="BO759">
        <f>IF(AND(AN759=MatchLabel,BB759=1),AS759,0)</f>
        <v>0</v>
      </c>
      <c r="BP759">
        <f>IF(AND(AN759=SafetyLabel,BB759=1),AS759,0)</f>
        <v>0</v>
      </c>
      <c r="BQ759">
        <f>IF(AND(AN759=SecureLabel,BB759=1),AS759,0)</f>
        <v>0</v>
      </c>
      <c r="BR759">
        <f>IF(AND(AN759=SureThingLabel,BB759=1),AS759,0)</f>
        <v>0</v>
      </c>
      <c r="BS759">
        <f>MAX(BN759:BR759)</f>
        <v>0</v>
      </c>
      <c r="BT759">
        <f>MAX(BO759:BR759)</f>
        <v>0</v>
      </c>
      <c r="BU759">
        <f>MAX(BP759:BR759)</f>
        <v>0</v>
      </c>
      <c r="BV759">
        <f>IF(ISNUMBER(AB759),INDEX(AllCollegeChicago, MATCH(N759,AllCollegeNCES,0))*BB759,0)</f>
        <v>0</v>
      </c>
      <c r="BW759">
        <f>IF(ISNUMBER(AB759),INDEX(AllCollegeMoneyCode, MATCH(N759,AllCollegeNCES,0)),"?")</f>
        <v>0</v>
      </c>
      <c r="BX759">
        <f>IF(OR(BW759="---",BW759="--",BW759="+/--",BW759="+/---"),1,0)</f>
        <v>0</v>
      </c>
      <c r="BY759">
        <f>BB759*AR759*AT759</f>
        <v>0</v>
      </c>
    </row>
    <row r="760" spans="1:77">
      <c r="A760" t="s">
        <v>96</v>
      </c>
      <c r="B760">
        <v>30323072</v>
      </c>
      <c r="C760" t="s">
        <v>151</v>
      </c>
      <c r="D760" t="s">
        <v>152</v>
      </c>
      <c r="E760" t="s">
        <v>446</v>
      </c>
      <c r="F760" t="s">
        <v>475</v>
      </c>
      <c r="G760" t="s">
        <v>448</v>
      </c>
      <c r="H760" t="s">
        <v>449</v>
      </c>
      <c r="I760" t="s">
        <v>450</v>
      </c>
      <c r="J760" t="s">
        <v>450</v>
      </c>
      <c r="K760">
        <v>0</v>
      </c>
      <c r="L760" t="s">
        <v>446</v>
      </c>
      <c r="M760" t="s">
        <v>446</v>
      </c>
      <c r="N760">
        <v>145637</v>
      </c>
      <c r="O760">
        <f>INDEX(Counselor,MATCH(B760,KidIDs,0))</f>
        <v>0</v>
      </c>
      <c r="P760">
        <f>INDEX(Advisors,MATCH(B760,KidIDs,0))</f>
        <v>0</v>
      </c>
      <c r="Q760">
        <f>INDEX(Cohort,MATCH(B760,KidIDs,0))</f>
        <v>0</v>
      </c>
      <c r="R760">
        <f>INDEX(AllCollegeBarrons,MATCH(N760,AllCollegeNCES,0))</f>
        <v>0</v>
      </c>
      <c r="S760">
        <f>INDEX(KidGPAs,MATCH(B760,KidIDs,0))</f>
        <v>0</v>
      </c>
      <c r="T760">
        <f>INDEX(KidSATs,MATCH(B760,KidIDs,0))</f>
        <v>0</v>
      </c>
      <c r="U760">
        <f>INDEX(Strats,MATCH(B760,KidIDs,0))</f>
        <v>0</v>
      </c>
      <c r="V760">
        <f>INDEX(KidRace,MATCH(B760,KidIDs,0))</f>
        <v>0</v>
      </c>
      <c r="W760">
        <f>IF(OR(V760="M",V760="I"),"H",IF(V760="P","A",V760))</f>
        <v>0</v>
      </c>
      <c r="X760">
        <f>INDEX(StudentTargets,MATCH(B760,KidIDs,0))</f>
        <v>0</v>
      </c>
      <c r="Y760">
        <f>INDEX(ReachStudentTargets,MATCH(B760,KidIDs,0))</f>
        <v>0</v>
      </c>
      <c r="Z760">
        <f>IF(OR(M760="Posse"),1,0)</f>
        <v>0</v>
      </c>
      <c r="AA760">
        <f>IF(ISNUMBER(INDEX(AllCollegeGR, MATCH(N760,AllCollegeNCES,0))),ROUND(INDEX(AllCollegeGR, MATCH(N760,AllCollegeNCES,0))+Z760*IF(INDEX(AllCollegeGR, MATCH(N760,AllCollegeNCES,0))&gt;0.7,(1-INDEX(AllCollegeGR, MATCH(N760,AllCollegeNCES,0)))/2,0.15),2),INDEX(AllCollegeGR, MATCH(N760,AllCollegeNCES,0)))</f>
        <v>0</v>
      </c>
      <c r="AB760">
        <f>IF(ISNUMBER(INDEX(AllCollegeAAHGR, MATCH(N760,AllCollegeNCES,0))),ROUND(INDEX(AllCollegeAAHGR, MATCH(N760,AllCollegeNCES,0))+Z760*IF(INDEX(AllCollegeAAHGR, MATCH(N760,AllCollegeNCES,0))&gt;0.7,(1-INDEX(AllCollegeAAHGR, MATCH(N760,AllCollegeNCES,0)))/2,0.15),2),INDEX(AllCollegeAAHGR, MATCH(N760,AllCollegeNCES,0)))</f>
        <v>0</v>
      </c>
      <c r="AC760">
        <f>IF(OR(W760="H",W760="B"),INDEX(AllCollegeSAT25, MATCH(N760,AllCollegeNCES,0)),INDEX(AllCollegeSAT50, MATCH(N760,AllCollegeNCES,0)))</f>
        <v>0</v>
      </c>
      <c r="AD760">
        <f>INDEX(CustomWeightsGPA,MATCH(W760&amp;":"&amp;N760,CustomWeightsIndex,0))</f>
        <v>0</v>
      </c>
      <c r="AE760">
        <f>INDEX(CustomWeightsSAT,MATCH(W760&amp;":"&amp;N760,CustomWeightsIndex,0))</f>
        <v>0</v>
      </c>
      <c r="AF760">
        <f>INDEX(CustomWeightsIntercept,MATCH(W760&amp;":"&amp;N760,CustomWeightsIndex,0))</f>
        <v>0</v>
      </c>
      <c r="AG760">
        <f>AD760*S760+AE760*T760+AF760</f>
        <v>0</v>
      </c>
      <c r="AH760">
        <f>INDEX(CoefficientsGPA,MATCH(W760&amp;":"&amp;R760,CoefficientsIndex,0))</f>
        <v>0</v>
      </c>
      <c r="AI760">
        <f>INDEX(CoefficientsSAT,MATCH(W760&amp;":"&amp;R760,CoefficientsIndex,0))</f>
        <v>0</v>
      </c>
      <c r="AJ760">
        <f>INDEX(CoefficientsIntercept,MATCH(W760&amp;":"&amp;R760,CoefficientsIndex,0))</f>
        <v>0</v>
      </c>
      <c r="AK760">
        <f>AH760*S760+(T760-AC760)*AI760+AJ760</f>
        <v>0</v>
      </c>
      <c r="AL760">
        <f>IF(ISNUMBER(AG760),AG760,AK760)</f>
        <v>0</v>
      </c>
      <c r="AM760">
        <f>IF(ISNUMBER(AL760),IF(ISNUMBER(AH760),IF(AND(AH760=1,AI760=1,AJ760=1),100,MIN(99,ROUND(100*EXP(AL760)/(1+EXP(AL760)),2))),MIN(99,ROUND(100*EXP(AL760)/(1+EXP(AL760)),2))),IF(ISTEXT(R760),IF(LEFT(R760,1)="2",100,"N/A"),"N/A"))</f>
        <v>0</v>
      </c>
      <c r="AN760">
        <f>IF(ISNUMBER(AM760),IF(AM760&gt;=99,IF(OR(U760=10,U760=11),MatchLabel,SureThingLabel),IF(AM760&gt;=95,SecureLabel,IF(AM760&gt;=80,SafetyLabel,IF(AM760&gt;=50,MatchLabel,IF(AM760&gt;=20,ReachLabel,IF(AM760&gt;=10,LongshotLabel,HailMaryLabel)))))),"Other")</f>
        <v>0</v>
      </c>
      <c r="AO760">
        <f>IF(OR(I760="accepted",I760="cond. accept",I760="summer admit"),IF(J760="yes","CHOICE!","Accepted!"),IF(I760="guar. transfer","Guar. Xfer",IF(I760="denied","Denied",IF(K760=1,"Waitlist",IF(L760=1,"Deferred",IF(G760="pending","Pending",IF(OR(G760="initial materials submitted",G760="mid-year submitted",G760="final submitted"),"Submitted",IF(H760="interest","Interest","?"))))))))</f>
        <v>0</v>
      </c>
      <c r="AP760">
        <f>IF(OR(AN760=ReachLabel,AN760=LongshotLabel,AN760=HailMaryLabel),1,0)</f>
        <v>0</v>
      </c>
      <c r="AQ760">
        <f>IF(OR(AP760=1,AN760=MatchLabel),1,0)</f>
        <v>0</v>
      </c>
      <c r="AR760">
        <f>IF(OR(AN760=MatchLabel,AN760=SafetyLabel,AN760=SecureLabel,AN760=SureThingLabel),1,0)</f>
        <v>0</v>
      </c>
      <c r="AS760">
        <f>IF(OR(W760="H",W760="B",W760="I",W760="M"),IF(ISNUMBER(AB760),ROUND(AB760,2),0),IF(ISNUMBER(AA760),ROUND(AA760,2),0))</f>
        <v>0</v>
      </c>
      <c r="AT760">
        <f>IF(AS760&gt;=X760,1,0)</f>
        <v>0</v>
      </c>
      <c r="AU760">
        <f>IF(AS760&gt;=Y760,1,0)</f>
        <v>0</v>
      </c>
      <c r="AV760">
        <f>IF(AS760&lt;(X760-0.10),1,0)</f>
        <v>0</v>
      </c>
      <c r="AW760">
        <f>1-AM760/100</f>
        <v>0</v>
      </c>
      <c r="AX760">
        <f>IF(AQ760=1,AW760,1)</f>
        <v>0</v>
      </c>
      <c r="AY760">
        <f>IF(AP760=1,AW760,1)</f>
        <v>0</v>
      </c>
      <c r="AZ760">
        <f>IF(AND(AT760=1,ISNUMBER(AW760)),$AW760,1)</f>
        <v>0</v>
      </c>
      <c r="BA760">
        <f>IF(AND(AU760=1,ISNUMBER(AW760)),$AW760,1)</f>
        <v>0</v>
      </c>
      <c r="BB760">
        <f>IF(ISNUMBER(AB760),INDEX(AllCollegeMoney, MATCH(N760,AllCollegeNCES,0)),0)</f>
        <v>0</v>
      </c>
      <c r="BC760">
        <f>IF(AND(AT760=1,ISNUMBER(AW760),BB760=1),$AW760,1)</f>
        <v>0</v>
      </c>
      <c r="BD760">
        <f>IF(AND(AU760=1,ISNUMBER(AW760),BB760=1),$AW760,1)</f>
        <v>0</v>
      </c>
      <c r="BE760">
        <f>IF(ISNUMBER(AB760),INDEX(AllCollegeILPub, MATCH(N760,AllCollegeNCES,0)),0)</f>
        <v>0</v>
      </c>
      <c r="BF760">
        <f>IF(AN760=ReachLabel,AS760,0)</f>
        <v>0</v>
      </c>
      <c r="BG760">
        <f>IF(AN760=MatchLabel,AS760,0)</f>
        <v>0</v>
      </c>
      <c r="BH760">
        <f>IF(AN760=SafetyLabel,AS760,0)</f>
        <v>0</v>
      </c>
      <c r="BI760">
        <f>IF(AN760=SecureLabel,AS760,0)</f>
        <v>0</v>
      </c>
      <c r="BJ760">
        <f>IF(AN760=SureThingLabel,AS760,0)</f>
        <v>0</v>
      </c>
      <c r="BK760">
        <f>MAX(BF760:BJ760)</f>
        <v>0</v>
      </c>
      <c r="BL760">
        <f>MAX(BG760:BJ760)</f>
        <v>0</v>
      </c>
      <c r="BM760">
        <f>MAX(BH760:BJ760)</f>
        <v>0</v>
      </c>
      <c r="BN760">
        <f>IF(AND(AN760=ReachLabel,BB760=1),AS760,0)</f>
        <v>0</v>
      </c>
      <c r="BO760">
        <f>IF(AND(AN760=MatchLabel,BB760=1),AS760,0)</f>
        <v>0</v>
      </c>
      <c r="BP760">
        <f>IF(AND(AN760=SafetyLabel,BB760=1),AS760,0)</f>
        <v>0</v>
      </c>
      <c r="BQ760">
        <f>IF(AND(AN760=SecureLabel,BB760=1),AS760,0)</f>
        <v>0</v>
      </c>
      <c r="BR760">
        <f>IF(AND(AN760=SureThingLabel,BB760=1),AS760,0)</f>
        <v>0</v>
      </c>
      <c r="BS760">
        <f>MAX(BN760:BR760)</f>
        <v>0</v>
      </c>
      <c r="BT760">
        <f>MAX(BO760:BR760)</f>
        <v>0</v>
      </c>
      <c r="BU760">
        <f>MAX(BP760:BR760)</f>
        <v>0</v>
      </c>
      <c r="BV760">
        <f>IF(ISNUMBER(AB760),INDEX(AllCollegeChicago, MATCH(N760,AllCollegeNCES,0))*BB760,0)</f>
        <v>0</v>
      </c>
      <c r="BW760">
        <f>IF(ISNUMBER(AB760),INDEX(AllCollegeMoneyCode, MATCH(N760,AllCollegeNCES,0)),"?")</f>
        <v>0</v>
      </c>
      <c r="BX760">
        <f>IF(OR(BW760="---",BW760="--",BW760="+/--",BW760="+/---"),1,0)</f>
        <v>0</v>
      </c>
      <c r="BY760">
        <f>BB760*AR760*AT760</f>
        <v>0</v>
      </c>
    </row>
    <row r="761" spans="1:77">
      <c r="A761" t="s">
        <v>96</v>
      </c>
      <c r="B761">
        <v>30323072</v>
      </c>
      <c r="C761" t="s">
        <v>151</v>
      </c>
      <c r="D761" t="s">
        <v>152</v>
      </c>
      <c r="E761" t="s">
        <v>446</v>
      </c>
      <c r="F761" t="s">
        <v>477</v>
      </c>
      <c r="G761" t="s">
        <v>448</v>
      </c>
      <c r="H761" t="s">
        <v>449</v>
      </c>
      <c r="I761" t="s">
        <v>450</v>
      </c>
      <c r="J761" t="s">
        <v>450</v>
      </c>
      <c r="K761">
        <v>0</v>
      </c>
      <c r="L761" t="s">
        <v>446</v>
      </c>
      <c r="M761" t="s">
        <v>446</v>
      </c>
      <c r="N761">
        <v>146427</v>
      </c>
      <c r="O761">
        <f>INDEX(Counselor,MATCH(B761,KidIDs,0))</f>
        <v>0</v>
      </c>
      <c r="P761">
        <f>INDEX(Advisors,MATCH(B761,KidIDs,0))</f>
        <v>0</v>
      </c>
      <c r="Q761">
        <f>INDEX(Cohort,MATCH(B761,KidIDs,0))</f>
        <v>0</v>
      </c>
      <c r="R761">
        <f>INDEX(AllCollegeBarrons,MATCH(N761,AllCollegeNCES,0))</f>
        <v>0</v>
      </c>
      <c r="S761">
        <f>INDEX(KidGPAs,MATCH(B761,KidIDs,0))</f>
        <v>0</v>
      </c>
      <c r="T761">
        <f>INDEX(KidSATs,MATCH(B761,KidIDs,0))</f>
        <v>0</v>
      </c>
      <c r="U761">
        <f>INDEX(Strats,MATCH(B761,KidIDs,0))</f>
        <v>0</v>
      </c>
      <c r="V761">
        <f>INDEX(KidRace,MATCH(B761,KidIDs,0))</f>
        <v>0</v>
      </c>
      <c r="W761">
        <f>IF(OR(V761="M",V761="I"),"H",IF(V761="P","A",V761))</f>
        <v>0</v>
      </c>
      <c r="X761">
        <f>INDEX(StudentTargets,MATCH(B761,KidIDs,0))</f>
        <v>0</v>
      </c>
      <c r="Y761">
        <f>INDEX(ReachStudentTargets,MATCH(B761,KidIDs,0))</f>
        <v>0</v>
      </c>
      <c r="Z761">
        <f>IF(OR(M761="Posse"),1,0)</f>
        <v>0</v>
      </c>
      <c r="AA761">
        <f>IF(ISNUMBER(INDEX(AllCollegeGR, MATCH(N761,AllCollegeNCES,0))),ROUND(INDEX(AllCollegeGR, MATCH(N761,AllCollegeNCES,0))+Z761*IF(INDEX(AllCollegeGR, MATCH(N761,AllCollegeNCES,0))&gt;0.7,(1-INDEX(AllCollegeGR, MATCH(N761,AllCollegeNCES,0)))/2,0.15),2),INDEX(AllCollegeGR, MATCH(N761,AllCollegeNCES,0)))</f>
        <v>0</v>
      </c>
      <c r="AB761">
        <f>IF(ISNUMBER(INDEX(AllCollegeAAHGR, MATCH(N761,AllCollegeNCES,0))),ROUND(INDEX(AllCollegeAAHGR, MATCH(N761,AllCollegeNCES,0))+Z761*IF(INDEX(AllCollegeAAHGR, MATCH(N761,AllCollegeNCES,0))&gt;0.7,(1-INDEX(AllCollegeAAHGR, MATCH(N761,AllCollegeNCES,0)))/2,0.15),2),INDEX(AllCollegeAAHGR, MATCH(N761,AllCollegeNCES,0)))</f>
        <v>0</v>
      </c>
      <c r="AC761">
        <f>IF(OR(W761="H",W761="B"),INDEX(AllCollegeSAT25, MATCH(N761,AllCollegeNCES,0)),INDEX(AllCollegeSAT50, MATCH(N761,AllCollegeNCES,0)))</f>
        <v>0</v>
      </c>
      <c r="AD761">
        <f>INDEX(CustomWeightsGPA,MATCH(W761&amp;":"&amp;N761,CustomWeightsIndex,0))</f>
        <v>0</v>
      </c>
      <c r="AE761">
        <f>INDEX(CustomWeightsSAT,MATCH(W761&amp;":"&amp;N761,CustomWeightsIndex,0))</f>
        <v>0</v>
      </c>
      <c r="AF761">
        <f>INDEX(CustomWeightsIntercept,MATCH(W761&amp;":"&amp;N761,CustomWeightsIndex,0))</f>
        <v>0</v>
      </c>
      <c r="AG761">
        <f>AD761*S761+AE761*T761+AF761</f>
        <v>0</v>
      </c>
      <c r="AH761">
        <f>INDEX(CoefficientsGPA,MATCH(W761&amp;":"&amp;R761,CoefficientsIndex,0))</f>
        <v>0</v>
      </c>
      <c r="AI761">
        <f>INDEX(CoefficientsSAT,MATCH(W761&amp;":"&amp;R761,CoefficientsIndex,0))</f>
        <v>0</v>
      </c>
      <c r="AJ761">
        <f>INDEX(CoefficientsIntercept,MATCH(W761&amp;":"&amp;R761,CoefficientsIndex,0))</f>
        <v>0</v>
      </c>
      <c r="AK761">
        <f>AH761*S761+(T761-AC761)*AI761+AJ761</f>
        <v>0</v>
      </c>
      <c r="AL761">
        <f>IF(ISNUMBER(AG761),AG761,AK761)</f>
        <v>0</v>
      </c>
      <c r="AM761">
        <f>IF(ISNUMBER(AL761),IF(ISNUMBER(AH761),IF(AND(AH761=1,AI761=1,AJ761=1),100,MIN(99,ROUND(100*EXP(AL761)/(1+EXP(AL761)),2))),MIN(99,ROUND(100*EXP(AL761)/(1+EXP(AL761)),2))),IF(ISTEXT(R761),IF(LEFT(R761,1)="2",100,"N/A"),"N/A"))</f>
        <v>0</v>
      </c>
      <c r="AN761">
        <f>IF(ISNUMBER(AM761),IF(AM761&gt;=99,IF(OR(U761=10,U761=11),MatchLabel,SureThingLabel),IF(AM761&gt;=95,SecureLabel,IF(AM761&gt;=80,SafetyLabel,IF(AM761&gt;=50,MatchLabel,IF(AM761&gt;=20,ReachLabel,IF(AM761&gt;=10,LongshotLabel,HailMaryLabel)))))),"Other")</f>
        <v>0</v>
      </c>
      <c r="AO761">
        <f>IF(OR(I761="accepted",I761="cond. accept",I761="summer admit"),IF(J761="yes","CHOICE!","Accepted!"),IF(I761="guar. transfer","Guar. Xfer",IF(I761="denied","Denied",IF(K761=1,"Waitlist",IF(L761=1,"Deferred",IF(G761="pending","Pending",IF(OR(G761="initial materials submitted",G761="mid-year submitted",G761="final submitted"),"Submitted",IF(H761="interest","Interest","?"))))))))</f>
        <v>0</v>
      </c>
      <c r="AP761">
        <f>IF(OR(AN761=ReachLabel,AN761=LongshotLabel,AN761=HailMaryLabel),1,0)</f>
        <v>0</v>
      </c>
      <c r="AQ761">
        <f>IF(OR(AP761=1,AN761=MatchLabel),1,0)</f>
        <v>0</v>
      </c>
      <c r="AR761">
        <f>IF(OR(AN761=MatchLabel,AN761=SafetyLabel,AN761=SecureLabel,AN761=SureThingLabel),1,0)</f>
        <v>0</v>
      </c>
      <c r="AS761">
        <f>IF(OR(W761="H",W761="B",W761="I",W761="M"),IF(ISNUMBER(AB761),ROUND(AB761,2),0),IF(ISNUMBER(AA761),ROUND(AA761,2),0))</f>
        <v>0</v>
      </c>
      <c r="AT761">
        <f>IF(AS761&gt;=X761,1,0)</f>
        <v>0</v>
      </c>
      <c r="AU761">
        <f>IF(AS761&gt;=Y761,1,0)</f>
        <v>0</v>
      </c>
      <c r="AV761">
        <f>IF(AS761&lt;(X761-0.10),1,0)</f>
        <v>0</v>
      </c>
      <c r="AW761">
        <f>1-AM761/100</f>
        <v>0</v>
      </c>
      <c r="AX761">
        <f>IF(AQ761=1,AW761,1)</f>
        <v>0</v>
      </c>
      <c r="AY761">
        <f>IF(AP761=1,AW761,1)</f>
        <v>0</v>
      </c>
      <c r="AZ761">
        <f>IF(AND(AT761=1,ISNUMBER(AW761)),$AW761,1)</f>
        <v>0</v>
      </c>
      <c r="BA761">
        <f>IF(AND(AU761=1,ISNUMBER(AW761)),$AW761,1)</f>
        <v>0</v>
      </c>
      <c r="BB761">
        <f>IF(ISNUMBER(AB761),INDEX(AllCollegeMoney, MATCH(N761,AllCollegeNCES,0)),0)</f>
        <v>0</v>
      </c>
      <c r="BC761">
        <f>IF(AND(AT761=1,ISNUMBER(AW761),BB761=1),$AW761,1)</f>
        <v>0</v>
      </c>
      <c r="BD761">
        <f>IF(AND(AU761=1,ISNUMBER(AW761),BB761=1),$AW761,1)</f>
        <v>0</v>
      </c>
      <c r="BE761">
        <f>IF(ISNUMBER(AB761),INDEX(AllCollegeILPub, MATCH(N761,AllCollegeNCES,0)),0)</f>
        <v>0</v>
      </c>
      <c r="BF761">
        <f>IF(AN761=ReachLabel,AS761,0)</f>
        <v>0</v>
      </c>
      <c r="BG761">
        <f>IF(AN761=MatchLabel,AS761,0)</f>
        <v>0</v>
      </c>
      <c r="BH761">
        <f>IF(AN761=SafetyLabel,AS761,0)</f>
        <v>0</v>
      </c>
      <c r="BI761">
        <f>IF(AN761=SecureLabel,AS761,0)</f>
        <v>0</v>
      </c>
      <c r="BJ761">
        <f>IF(AN761=SureThingLabel,AS761,0)</f>
        <v>0</v>
      </c>
      <c r="BK761">
        <f>MAX(BF761:BJ761)</f>
        <v>0</v>
      </c>
      <c r="BL761">
        <f>MAX(BG761:BJ761)</f>
        <v>0</v>
      </c>
      <c r="BM761">
        <f>MAX(BH761:BJ761)</f>
        <v>0</v>
      </c>
      <c r="BN761">
        <f>IF(AND(AN761=ReachLabel,BB761=1),AS761,0)</f>
        <v>0</v>
      </c>
      <c r="BO761">
        <f>IF(AND(AN761=MatchLabel,BB761=1),AS761,0)</f>
        <v>0</v>
      </c>
      <c r="BP761">
        <f>IF(AND(AN761=SafetyLabel,BB761=1),AS761,0)</f>
        <v>0</v>
      </c>
      <c r="BQ761">
        <f>IF(AND(AN761=SecureLabel,BB761=1),AS761,0)</f>
        <v>0</v>
      </c>
      <c r="BR761">
        <f>IF(AND(AN761=SureThingLabel,BB761=1),AS761,0)</f>
        <v>0</v>
      </c>
      <c r="BS761">
        <f>MAX(BN761:BR761)</f>
        <v>0</v>
      </c>
      <c r="BT761">
        <f>MAX(BO761:BR761)</f>
        <v>0</v>
      </c>
      <c r="BU761">
        <f>MAX(BP761:BR761)</f>
        <v>0</v>
      </c>
      <c r="BV761">
        <f>IF(ISNUMBER(AB761),INDEX(AllCollegeChicago, MATCH(N761,AllCollegeNCES,0))*BB761,0)</f>
        <v>0</v>
      </c>
      <c r="BW761">
        <f>IF(ISNUMBER(AB761),INDEX(AllCollegeMoneyCode, MATCH(N761,AllCollegeNCES,0)),"?")</f>
        <v>0</v>
      </c>
      <c r="BX761">
        <f>IF(OR(BW761="---",BW761="--",BW761="+/--",BW761="+/---"),1,0)</f>
        <v>0</v>
      </c>
      <c r="BY761">
        <f>BB761*AR761*AT761</f>
        <v>0</v>
      </c>
    </row>
    <row r="762" spans="1:77">
      <c r="A762" t="s">
        <v>96</v>
      </c>
      <c r="B762">
        <v>30323075</v>
      </c>
      <c r="C762" t="s">
        <v>234</v>
      </c>
      <c r="D762" t="s">
        <v>235</v>
      </c>
      <c r="E762" t="s">
        <v>446</v>
      </c>
      <c r="F762" t="s">
        <v>470</v>
      </c>
      <c r="G762" t="s">
        <v>479</v>
      </c>
      <c r="H762" t="s">
        <v>449</v>
      </c>
      <c r="I762" t="s">
        <v>450</v>
      </c>
      <c r="J762" t="s">
        <v>450</v>
      </c>
      <c r="K762">
        <v>0</v>
      </c>
      <c r="L762" t="s">
        <v>446</v>
      </c>
      <c r="M762" t="s">
        <v>446</v>
      </c>
      <c r="N762">
        <v>240444</v>
      </c>
      <c r="O762">
        <f>INDEX(Counselor,MATCH(B762,KidIDs,0))</f>
        <v>0</v>
      </c>
      <c r="P762">
        <f>INDEX(Advisors,MATCH(B762,KidIDs,0))</f>
        <v>0</v>
      </c>
      <c r="Q762">
        <f>INDEX(Cohort,MATCH(B762,KidIDs,0))</f>
        <v>0</v>
      </c>
      <c r="R762">
        <f>INDEX(AllCollegeBarrons,MATCH(N762,AllCollegeNCES,0))</f>
        <v>0</v>
      </c>
      <c r="S762">
        <f>INDEX(KidGPAs,MATCH(B762,KidIDs,0))</f>
        <v>0</v>
      </c>
      <c r="T762">
        <f>INDEX(KidSATs,MATCH(B762,KidIDs,0))</f>
        <v>0</v>
      </c>
      <c r="U762">
        <f>INDEX(Strats,MATCH(B762,KidIDs,0))</f>
        <v>0</v>
      </c>
      <c r="V762">
        <f>INDEX(KidRace,MATCH(B762,KidIDs,0))</f>
        <v>0</v>
      </c>
      <c r="W762">
        <f>IF(OR(V762="M",V762="I"),"H",IF(V762="P","A",V762))</f>
        <v>0</v>
      </c>
      <c r="X762">
        <f>INDEX(StudentTargets,MATCH(B762,KidIDs,0))</f>
        <v>0</v>
      </c>
      <c r="Y762">
        <f>INDEX(ReachStudentTargets,MATCH(B762,KidIDs,0))</f>
        <v>0</v>
      </c>
      <c r="Z762">
        <f>IF(OR(M762="Posse"),1,0)</f>
        <v>0</v>
      </c>
      <c r="AA762">
        <f>IF(ISNUMBER(INDEX(AllCollegeGR, MATCH(N762,AllCollegeNCES,0))),ROUND(INDEX(AllCollegeGR, MATCH(N762,AllCollegeNCES,0))+Z762*IF(INDEX(AllCollegeGR, MATCH(N762,AllCollegeNCES,0))&gt;0.7,(1-INDEX(AllCollegeGR, MATCH(N762,AllCollegeNCES,0)))/2,0.15),2),INDEX(AllCollegeGR, MATCH(N762,AllCollegeNCES,0)))</f>
        <v>0</v>
      </c>
      <c r="AB762">
        <f>IF(ISNUMBER(INDEX(AllCollegeAAHGR, MATCH(N762,AllCollegeNCES,0))),ROUND(INDEX(AllCollegeAAHGR, MATCH(N762,AllCollegeNCES,0))+Z762*IF(INDEX(AllCollegeAAHGR, MATCH(N762,AllCollegeNCES,0))&gt;0.7,(1-INDEX(AllCollegeAAHGR, MATCH(N762,AllCollegeNCES,0)))/2,0.15),2),INDEX(AllCollegeAAHGR, MATCH(N762,AllCollegeNCES,0)))</f>
        <v>0</v>
      </c>
      <c r="AC762">
        <f>IF(OR(W762="H",W762="B"),INDEX(AllCollegeSAT25, MATCH(N762,AllCollegeNCES,0)),INDEX(AllCollegeSAT50, MATCH(N762,AllCollegeNCES,0)))</f>
        <v>0</v>
      </c>
      <c r="AD762">
        <f>INDEX(CustomWeightsGPA,MATCH(W762&amp;":"&amp;N762,CustomWeightsIndex,0))</f>
        <v>0</v>
      </c>
      <c r="AE762">
        <f>INDEX(CustomWeightsSAT,MATCH(W762&amp;":"&amp;N762,CustomWeightsIndex,0))</f>
        <v>0</v>
      </c>
      <c r="AF762">
        <f>INDEX(CustomWeightsIntercept,MATCH(W762&amp;":"&amp;N762,CustomWeightsIndex,0))</f>
        <v>0</v>
      </c>
      <c r="AG762">
        <f>AD762*S762+AE762*T762+AF762</f>
        <v>0</v>
      </c>
      <c r="AH762">
        <f>INDEX(CoefficientsGPA,MATCH(W762&amp;":"&amp;R762,CoefficientsIndex,0))</f>
        <v>0</v>
      </c>
      <c r="AI762">
        <f>INDEX(CoefficientsSAT,MATCH(W762&amp;":"&amp;R762,CoefficientsIndex,0))</f>
        <v>0</v>
      </c>
      <c r="AJ762">
        <f>INDEX(CoefficientsIntercept,MATCH(W762&amp;":"&amp;R762,CoefficientsIndex,0))</f>
        <v>0</v>
      </c>
      <c r="AK762">
        <f>AH762*S762+(T762-AC762)*AI762+AJ762</f>
        <v>0</v>
      </c>
      <c r="AL762">
        <f>IF(ISNUMBER(AG762),AG762,AK762)</f>
        <v>0</v>
      </c>
      <c r="AM762">
        <f>IF(ISNUMBER(AL762),IF(ISNUMBER(AH762),IF(AND(AH762=1,AI762=1,AJ762=1),100,MIN(99,ROUND(100*EXP(AL762)/(1+EXP(AL762)),2))),MIN(99,ROUND(100*EXP(AL762)/(1+EXP(AL762)),2))),IF(ISTEXT(R762),IF(LEFT(R762,1)="2",100,"N/A"),"N/A"))</f>
        <v>0</v>
      </c>
      <c r="AN762">
        <f>IF(ISNUMBER(AM762),IF(AM762&gt;=99,IF(OR(U762=10,U762=11),MatchLabel,SureThingLabel),IF(AM762&gt;=95,SecureLabel,IF(AM762&gt;=80,SafetyLabel,IF(AM762&gt;=50,MatchLabel,IF(AM762&gt;=20,ReachLabel,IF(AM762&gt;=10,LongshotLabel,HailMaryLabel)))))),"Other")</f>
        <v>0</v>
      </c>
      <c r="AO762">
        <f>IF(OR(I762="accepted",I762="cond. accept",I762="summer admit"),IF(J762="yes","CHOICE!","Accepted!"),IF(I762="guar. transfer","Guar. Xfer",IF(I762="denied","Denied",IF(K762=1,"Waitlist",IF(L762=1,"Deferred",IF(G762="pending","Pending",IF(OR(G762="initial materials submitted",G762="mid-year submitted",G762="final submitted"),"Submitted",IF(H762="interest","Interest","?"))))))))</f>
        <v>0</v>
      </c>
      <c r="AP762">
        <f>IF(OR(AN762=ReachLabel,AN762=LongshotLabel,AN762=HailMaryLabel),1,0)</f>
        <v>0</v>
      </c>
      <c r="AQ762">
        <f>IF(OR(AP762=1,AN762=MatchLabel),1,0)</f>
        <v>0</v>
      </c>
      <c r="AR762">
        <f>IF(OR(AN762=MatchLabel,AN762=SafetyLabel,AN762=SecureLabel,AN762=SureThingLabel),1,0)</f>
        <v>0</v>
      </c>
      <c r="AS762">
        <f>IF(OR(W762="H",W762="B",W762="I",W762="M"),IF(ISNUMBER(AB762),ROUND(AB762,2),0),IF(ISNUMBER(AA762),ROUND(AA762,2),0))</f>
        <v>0</v>
      </c>
      <c r="AT762">
        <f>IF(AS762&gt;=X762,1,0)</f>
        <v>0</v>
      </c>
      <c r="AU762">
        <f>IF(AS762&gt;=Y762,1,0)</f>
        <v>0</v>
      </c>
      <c r="AV762">
        <f>IF(AS762&lt;(X762-0.10),1,0)</f>
        <v>0</v>
      </c>
      <c r="AW762">
        <f>1-AM762/100</f>
        <v>0</v>
      </c>
      <c r="AX762">
        <f>IF(AQ762=1,AW762,1)</f>
        <v>0</v>
      </c>
      <c r="AY762">
        <f>IF(AP762=1,AW762,1)</f>
        <v>0</v>
      </c>
      <c r="AZ762">
        <f>IF(AND(AT762=1,ISNUMBER(AW762)),$AW762,1)</f>
        <v>0</v>
      </c>
      <c r="BA762">
        <f>IF(AND(AU762=1,ISNUMBER(AW762)),$AW762,1)</f>
        <v>0</v>
      </c>
      <c r="BB762">
        <f>IF(ISNUMBER(AB762),INDEX(AllCollegeMoney, MATCH(N762,AllCollegeNCES,0)),0)</f>
        <v>0</v>
      </c>
      <c r="BC762">
        <f>IF(AND(AT762=1,ISNUMBER(AW762),BB762=1),$AW762,1)</f>
        <v>0</v>
      </c>
      <c r="BD762">
        <f>IF(AND(AU762=1,ISNUMBER(AW762),BB762=1),$AW762,1)</f>
        <v>0</v>
      </c>
      <c r="BE762">
        <f>IF(ISNUMBER(AB762),INDEX(AllCollegeILPub, MATCH(N762,AllCollegeNCES,0)),0)</f>
        <v>0</v>
      </c>
      <c r="BF762">
        <f>IF(AN762=ReachLabel,AS762,0)</f>
        <v>0</v>
      </c>
      <c r="BG762">
        <f>IF(AN762=MatchLabel,AS762,0)</f>
        <v>0</v>
      </c>
      <c r="BH762">
        <f>IF(AN762=SafetyLabel,AS762,0)</f>
        <v>0</v>
      </c>
      <c r="BI762">
        <f>IF(AN762=SecureLabel,AS762,0)</f>
        <v>0</v>
      </c>
      <c r="BJ762">
        <f>IF(AN762=SureThingLabel,AS762,0)</f>
        <v>0</v>
      </c>
      <c r="BK762">
        <f>MAX(BF762:BJ762)</f>
        <v>0</v>
      </c>
      <c r="BL762">
        <f>MAX(BG762:BJ762)</f>
        <v>0</v>
      </c>
      <c r="BM762">
        <f>MAX(BH762:BJ762)</f>
        <v>0</v>
      </c>
      <c r="BN762">
        <f>IF(AND(AN762=ReachLabel,BB762=1),AS762,0)</f>
        <v>0</v>
      </c>
      <c r="BO762">
        <f>IF(AND(AN762=MatchLabel,BB762=1),AS762,0)</f>
        <v>0</v>
      </c>
      <c r="BP762">
        <f>IF(AND(AN762=SafetyLabel,BB762=1),AS762,0)</f>
        <v>0</v>
      </c>
      <c r="BQ762">
        <f>IF(AND(AN762=SecureLabel,BB762=1),AS762,0)</f>
        <v>0</v>
      </c>
      <c r="BR762">
        <f>IF(AND(AN762=SureThingLabel,BB762=1),AS762,0)</f>
        <v>0</v>
      </c>
      <c r="BS762">
        <f>MAX(BN762:BR762)</f>
        <v>0</v>
      </c>
      <c r="BT762">
        <f>MAX(BO762:BR762)</f>
        <v>0</v>
      </c>
      <c r="BU762">
        <f>MAX(BP762:BR762)</f>
        <v>0</v>
      </c>
      <c r="BV762">
        <f>IF(ISNUMBER(AB762),INDEX(AllCollegeChicago, MATCH(N762,AllCollegeNCES,0))*BB762,0)</f>
        <v>0</v>
      </c>
      <c r="BW762">
        <f>IF(ISNUMBER(AB762),INDEX(AllCollegeMoneyCode, MATCH(N762,AllCollegeNCES,0)),"?")</f>
        <v>0</v>
      </c>
      <c r="BX762">
        <f>IF(OR(BW762="---",BW762="--",BW762="+/--",BW762="+/---"),1,0)</f>
        <v>0</v>
      </c>
      <c r="BY762">
        <f>BB762*AR762*AT762</f>
        <v>0</v>
      </c>
    </row>
    <row r="763" spans="1:77">
      <c r="A763" t="s">
        <v>96</v>
      </c>
      <c r="B763">
        <v>30323075</v>
      </c>
      <c r="C763" t="s">
        <v>234</v>
      </c>
      <c r="D763" t="s">
        <v>235</v>
      </c>
      <c r="E763" t="s">
        <v>446</v>
      </c>
      <c r="F763" t="s">
        <v>607</v>
      </c>
      <c r="G763" t="s">
        <v>479</v>
      </c>
      <c r="H763" t="s">
        <v>449</v>
      </c>
      <c r="I763" t="s">
        <v>450</v>
      </c>
      <c r="J763" t="s">
        <v>450</v>
      </c>
      <c r="K763">
        <v>0</v>
      </c>
      <c r="L763" t="s">
        <v>446</v>
      </c>
      <c r="M763" t="s">
        <v>446</v>
      </c>
      <c r="N763">
        <v>221351</v>
      </c>
      <c r="O763">
        <f>INDEX(Counselor,MATCH(B763,KidIDs,0))</f>
        <v>0</v>
      </c>
      <c r="P763">
        <f>INDEX(Advisors,MATCH(B763,KidIDs,0))</f>
        <v>0</v>
      </c>
      <c r="Q763">
        <f>INDEX(Cohort,MATCH(B763,KidIDs,0))</f>
        <v>0</v>
      </c>
      <c r="R763">
        <f>INDEX(AllCollegeBarrons,MATCH(N763,AllCollegeNCES,0))</f>
        <v>0</v>
      </c>
      <c r="S763">
        <f>INDEX(KidGPAs,MATCH(B763,KidIDs,0))</f>
        <v>0</v>
      </c>
      <c r="T763">
        <f>INDEX(KidSATs,MATCH(B763,KidIDs,0))</f>
        <v>0</v>
      </c>
      <c r="U763">
        <f>INDEX(Strats,MATCH(B763,KidIDs,0))</f>
        <v>0</v>
      </c>
      <c r="V763">
        <f>INDEX(KidRace,MATCH(B763,KidIDs,0))</f>
        <v>0</v>
      </c>
      <c r="W763">
        <f>IF(OR(V763="M",V763="I"),"H",IF(V763="P","A",V763))</f>
        <v>0</v>
      </c>
      <c r="X763">
        <f>INDEX(StudentTargets,MATCH(B763,KidIDs,0))</f>
        <v>0</v>
      </c>
      <c r="Y763">
        <f>INDEX(ReachStudentTargets,MATCH(B763,KidIDs,0))</f>
        <v>0</v>
      </c>
      <c r="Z763">
        <f>IF(OR(M763="Posse"),1,0)</f>
        <v>0</v>
      </c>
      <c r="AA763">
        <f>IF(ISNUMBER(INDEX(AllCollegeGR, MATCH(N763,AllCollegeNCES,0))),ROUND(INDEX(AllCollegeGR, MATCH(N763,AllCollegeNCES,0))+Z763*IF(INDEX(AllCollegeGR, MATCH(N763,AllCollegeNCES,0))&gt;0.7,(1-INDEX(AllCollegeGR, MATCH(N763,AllCollegeNCES,0)))/2,0.15),2),INDEX(AllCollegeGR, MATCH(N763,AllCollegeNCES,0)))</f>
        <v>0</v>
      </c>
      <c r="AB763">
        <f>IF(ISNUMBER(INDEX(AllCollegeAAHGR, MATCH(N763,AllCollegeNCES,0))),ROUND(INDEX(AllCollegeAAHGR, MATCH(N763,AllCollegeNCES,0))+Z763*IF(INDEX(AllCollegeAAHGR, MATCH(N763,AllCollegeNCES,0))&gt;0.7,(1-INDEX(AllCollegeAAHGR, MATCH(N763,AllCollegeNCES,0)))/2,0.15),2),INDEX(AllCollegeAAHGR, MATCH(N763,AllCollegeNCES,0)))</f>
        <v>0</v>
      </c>
      <c r="AC763">
        <f>IF(OR(W763="H",W763="B"),INDEX(AllCollegeSAT25, MATCH(N763,AllCollegeNCES,0)),INDEX(AllCollegeSAT50, MATCH(N763,AllCollegeNCES,0)))</f>
        <v>0</v>
      </c>
      <c r="AD763">
        <f>INDEX(CustomWeightsGPA,MATCH(W763&amp;":"&amp;N763,CustomWeightsIndex,0))</f>
        <v>0</v>
      </c>
      <c r="AE763">
        <f>INDEX(CustomWeightsSAT,MATCH(W763&amp;":"&amp;N763,CustomWeightsIndex,0))</f>
        <v>0</v>
      </c>
      <c r="AF763">
        <f>INDEX(CustomWeightsIntercept,MATCH(W763&amp;":"&amp;N763,CustomWeightsIndex,0))</f>
        <v>0</v>
      </c>
      <c r="AG763">
        <f>AD763*S763+AE763*T763+AF763</f>
        <v>0</v>
      </c>
      <c r="AH763">
        <f>INDEX(CoefficientsGPA,MATCH(W763&amp;":"&amp;R763,CoefficientsIndex,0))</f>
        <v>0</v>
      </c>
      <c r="AI763">
        <f>INDEX(CoefficientsSAT,MATCH(W763&amp;":"&amp;R763,CoefficientsIndex,0))</f>
        <v>0</v>
      </c>
      <c r="AJ763">
        <f>INDEX(CoefficientsIntercept,MATCH(W763&amp;":"&amp;R763,CoefficientsIndex,0))</f>
        <v>0</v>
      </c>
      <c r="AK763">
        <f>AH763*S763+(T763-AC763)*AI763+AJ763</f>
        <v>0</v>
      </c>
      <c r="AL763">
        <f>IF(ISNUMBER(AG763),AG763,AK763)</f>
        <v>0</v>
      </c>
      <c r="AM763">
        <f>IF(ISNUMBER(AL763),IF(ISNUMBER(AH763),IF(AND(AH763=1,AI763=1,AJ763=1),100,MIN(99,ROUND(100*EXP(AL763)/(1+EXP(AL763)),2))),MIN(99,ROUND(100*EXP(AL763)/(1+EXP(AL763)),2))),IF(ISTEXT(R763),IF(LEFT(R763,1)="2",100,"N/A"),"N/A"))</f>
        <v>0</v>
      </c>
      <c r="AN763">
        <f>IF(ISNUMBER(AM763),IF(AM763&gt;=99,IF(OR(U763=10,U763=11),MatchLabel,SureThingLabel),IF(AM763&gt;=95,SecureLabel,IF(AM763&gt;=80,SafetyLabel,IF(AM763&gt;=50,MatchLabel,IF(AM763&gt;=20,ReachLabel,IF(AM763&gt;=10,LongshotLabel,HailMaryLabel)))))),"Other")</f>
        <v>0</v>
      </c>
      <c r="AO763">
        <f>IF(OR(I763="accepted",I763="cond. accept",I763="summer admit"),IF(J763="yes","CHOICE!","Accepted!"),IF(I763="guar. transfer","Guar. Xfer",IF(I763="denied","Denied",IF(K763=1,"Waitlist",IF(L763=1,"Deferred",IF(G763="pending","Pending",IF(OR(G763="initial materials submitted",G763="mid-year submitted",G763="final submitted"),"Submitted",IF(H763="interest","Interest","?"))))))))</f>
        <v>0</v>
      </c>
      <c r="AP763">
        <f>IF(OR(AN763=ReachLabel,AN763=LongshotLabel,AN763=HailMaryLabel),1,0)</f>
        <v>0</v>
      </c>
      <c r="AQ763">
        <f>IF(OR(AP763=1,AN763=MatchLabel),1,0)</f>
        <v>0</v>
      </c>
      <c r="AR763">
        <f>IF(OR(AN763=MatchLabel,AN763=SafetyLabel,AN763=SecureLabel,AN763=SureThingLabel),1,0)</f>
        <v>0</v>
      </c>
      <c r="AS763">
        <f>IF(OR(W763="H",W763="B",W763="I",W763="M"),IF(ISNUMBER(AB763),ROUND(AB763,2),0),IF(ISNUMBER(AA763),ROUND(AA763,2),0))</f>
        <v>0</v>
      </c>
      <c r="AT763">
        <f>IF(AS763&gt;=X763,1,0)</f>
        <v>0</v>
      </c>
      <c r="AU763">
        <f>IF(AS763&gt;=Y763,1,0)</f>
        <v>0</v>
      </c>
      <c r="AV763">
        <f>IF(AS763&lt;(X763-0.10),1,0)</f>
        <v>0</v>
      </c>
      <c r="AW763">
        <f>1-AM763/100</f>
        <v>0</v>
      </c>
      <c r="AX763">
        <f>IF(AQ763=1,AW763,1)</f>
        <v>0</v>
      </c>
      <c r="AY763">
        <f>IF(AP763=1,AW763,1)</f>
        <v>0</v>
      </c>
      <c r="AZ763">
        <f>IF(AND(AT763=1,ISNUMBER(AW763)),$AW763,1)</f>
        <v>0</v>
      </c>
      <c r="BA763">
        <f>IF(AND(AU763=1,ISNUMBER(AW763)),$AW763,1)</f>
        <v>0</v>
      </c>
      <c r="BB763">
        <f>IF(ISNUMBER(AB763),INDEX(AllCollegeMoney, MATCH(N763,AllCollegeNCES,0)),0)</f>
        <v>0</v>
      </c>
      <c r="BC763">
        <f>IF(AND(AT763=1,ISNUMBER(AW763),BB763=1),$AW763,1)</f>
        <v>0</v>
      </c>
      <c r="BD763">
        <f>IF(AND(AU763=1,ISNUMBER(AW763),BB763=1),$AW763,1)</f>
        <v>0</v>
      </c>
      <c r="BE763">
        <f>IF(ISNUMBER(AB763),INDEX(AllCollegeILPub, MATCH(N763,AllCollegeNCES,0)),0)</f>
        <v>0</v>
      </c>
      <c r="BF763">
        <f>IF(AN763=ReachLabel,AS763,0)</f>
        <v>0</v>
      </c>
      <c r="BG763">
        <f>IF(AN763=MatchLabel,AS763,0)</f>
        <v>0</v>
      </c>
      <c r="BH763">
        <f>IF(AN763=SafetyLabel,AS763,0)</f>
        <v>0</v>
      </c>
      <c r="BI763">
        <f>IF(AN763=SecureLabel,AS763,0)</f>
        <v>0</v>
      </c>
      <c r="BJ763">
        <f>IF(AN763=SureThingLabel,AS763,0)</f>
        <v>0</v>
      </c>
      <c r="BK763">
        <f>MAX(BF763:BJ763)</f>
        <v>0</v>
      </c>
      <c r="BL763">
        <f>MAX(BG763:BJ763)</f>
        <v>0</v>
      </c>
      <c r="BM763">
        <f>MAX(BH763:BJ763)</f>
        <v>0</v>
      </c>
      <c r="BN763">
        <f>IF(AND(AN763=ReachLabel,BB763=1),AS763,0)</f>
        <v>0</v>
      </c>
      <c r="BO763">
        <f>IF(AND(AN763=MatchLabel,BB763=1),AS763,0)</f>
        <v>0</v>
      </c>
      <c r="BP763">
        <f>IF(AND(AN763=SafetyLabel,BB763=1),AS763,0)</f>
        <v>0</v>
      </c>
      <c r="BQ763">
        <f>IF(AND(AN763=SecureLabel,BB763=1),AS763,0)</f>
        <v>0</v>
      </c>
      <c r="BR763">
        <f>IF(AND(AN763=SureThingLabel,BB763=1),AS763,0)</f>
        <v>0</v>
      </c>
      <c r="BS763">
        <f>MAX(BN763:BR763)</f>
        <v>0</v>
      </c>
      <c r="BT763">
        <f>MAX(BO763:BR763)</f>
        <v>0</v>
      </c>
      <c r="BU763">
        <f>MAX(BP763:BR763)</f>
        <v>0</v>
      </c>
      <c r="BV763">
        <f>IF(ISNUMBER(AB763),INDEX(AllCollegeChicago, MATCH(N763,AllCollegeNCES,0))*BB763,0)</f>
        <v>0</v>
      </c>
      <c r="BW763">
        <f>IF(ISNUMBER(AB763),INDEX(AllCollegeMoneyCode, MATCH(N763,AllCollegeNCES,0)),"?")</f>
        <v>0</v>
      </c>
      <c r="BX763">
        <f>IF(OR(BW763="---",BW763="--",BW763="+/--",BW763="+/---"),1,0)</f>
        <v>0</v>
      </c>
      <c r="BY763">
        <f>BB763*AR763*AT763</f>
        <v>0</v>
      </c>
    </row>
    <row r="764" spans="1:77">
      <c r="A764" t="s">
        <v>96</v>
      </c>
      <c r="B764">
        <v>30323075</v>
      </c>
      <c r="C764" t="s">
        <v>234</v>
      </c>
      <c r="D764" t="s">
        <v>235</v>
      </c>
      <c r="E764" t="s">
        <v>446</v>
      </c>
      <c r="F764" t="s">
        <v>471</v>
      </c>
      <c r="G764" t="s">
        <v>479</v>
      </c>
      <c r="H764" t="s">
        <v>449</v>
      </c>
      <c r="I764" t="s">
        <v>450</v>
      </c>
      <c r="J764" t="s">
        <v>450</v>
      </c>
      <c r="K764">
        <v>0</v>
      </c>
      <c r="L764" t="s">
        <v>446</v>
      </c>
      <c r="M764" t="s">
        <v>446</v>
      </c>
      <c r="N764">
        <v>202523</v>
      </c>
      <c r="O764">
        <f>INDEX(Counselor,MATCH(B764,KidIDs,0))</f>
        <v>0</v>
      </c>
      <c r="P764">
        <f>INDEX(Advisors,MATCH(B764,KidIDs,0))</f>
        <v>0</v>
      </c>
      <c r="Q764">
        <f>INDEX(Cohort,MATCH(B764,KidIDs,0))</f>
        <v>0</v>
      </c>
      <c r="R764">
        <f>INDEX(AllCollegeBarrons,MATCH(N764,AllCollegeNCES,0))</f>
        <v>0</v>
      </c>
      <c r="S764">
        <f>INDEX(KidGPAs,MATCH(B764,KidIDs,0))</f>
        <v>0</v>
      </c>
      <c r="T764">
        <f>INDEX(KidSATs,MATCH(B764,KidIDs,0))</f>
        <v>0</v>
      </c>
      <c r="U764">
        <f>INDEX(Strats,MATCH(B764,KidIDs,0))</f>
        <v>0</v>
      </c>
      <c r="V764">
        <f>INDEX(KidRace,MATCH(B764,KidIDs,0))</f>
        <v>0</v>
      </c>
      <c r="W764">
        <f>IF(OR(V764="M",V764="I"),"H",IF(V764="P","A",V764))</f>
        <v>0</v>
      </c>
      <c r="X764">
        <f>INDEX(StudentTargets,MATCH(B764,KidIDs,0))</f>
        <v>0</v>
      </c>
      <c r="Y764">
        <f>INDEX(ReachStudentTargets,MATCH(B764,KidIDs,0))</f>
        <v>0</v>
      </c>
      <c r="Z764">
        <f>IF(OR(M764="Posse"),1,0)</f>
        <v>0</v>
      </c>
      <c r="AA764">
        <f>IF(ISNUMBER(INDEX(AllCollegeGR, MATCH(N764,AllCollegeNCES,0))),ROUND(INDEX(AllCollegeGR, MATCH(N764,AllCollegeNCES,0))+Z764*IF(INDEX(AllCollegeGR, MATCH(N764,AllCollegeNCES,0))&gt;0.7,(1-INDEX(AllCollegeGR, MATCH(N764,AllCollegeNCES,0)))/2,0.15),2),INDEX(AllCollegeGR, MATCH(N764,AllCollegeNCES,0)))</f>
        <v>0</v>
      </c>
      <c r="AB764">
        <f>IF(ISNUMBER(INDEX(AllCollegeAAHGR, MATCH(N764,AllCollegeNCES,0))),ROUND(INDEX(AllCollegeAAHGR, MATCH(N764,AllCollegeNCES,0))+Z764*IF(INDEX(AllCollegeAAHGR, MATCH(N764,AllCollegeNCES,0))&gt;0.7,(1-INDEX(AllCollegeAAHGR, MATCH(N764,AllCollegeNCES,0)))/2,0.15),2),INDEX(AllCollegeAAHGR, MATCH(N764,AllCollegeNCES,0)))</f>
        <v>0</v>
      </c>
      <c r="AC764">
        <f>IF(OR(W764="H",W764="B"),INDEX(AllCollegeSAT25, MATCH(N764,AllCollegeNCES,0)),INDEX(AllCollegeSAT50, MATCH(N764,AllCollegeNCES,0)))</f>
        <v>0</v>
      </c>
      <c r="AD764">
        <f>INDEX(CustomWeightsGPA,MATCH(W764&amp;":"&amp;N764,CustomWeightsIndex,0))</f>
        <v>0</v>
      </c>
      <c r="AE764">
        <f>INDEX(CustomWeightsSAT,MATCH(W764&amp;":"&amp;N764,CustomWeightsIndex,0))</f>
        <v>0</v>
      </c>
      <c r="AF764">
        <f>INDEX(CustomWeightsIntercept,MATCH(W764&amp;":"&amp;N764,CustomWeightsIndex,0))</f>
        <v>0</v>
      </c>
      <c r="AG764">
        <f>AD764*S764+AE764*T764+AF764</f>
        <v>0</v>
      </c>
      <c r="AH764">
        <f>INDEX(CoefficientsGPA,MATCH(W764&amp;":"&amp;R764,CoefficientsIndex,0))</f>
        <v>0</v>
      </c>
      <c r="AI764">
        <f>INDEX(CoefficientsSAT,MATCH(W764&amp;":"&amp;R764,CoefficientsIndex,0))</f>
        <v>0</v>
      </c>
      <c r="AJ764">
        <f>INDEX(CoefficientsIntercept,MATCH(W764&amp;":"&amp;R764,CoefficientsIndex,0))</f>
        <v>0</v>
      </c>
      <c r="AK764">
        <f>AH764*S764+(T764-AC764)*AI764+AJ764</f>
        <v>0</v>
      </c>
      <c r="AL764">
        <f>IF(ISNUMBER(AG764),AG764,AK764)</f>
        <v>0</v>
      </c>
      <c r="AM764">
        <f>IF(ISNUMBER(AL764),IF(ISNUMBER(AH764),IF(AND(AH764=1,AI764=1,AJ764=1),100,MIN(99,ROUND(100*EXP(AL764)/(1+EXP(AL764)),2))),MIN(99,ROUND(100*EXP(AL764)/(1+EXP(AL764)),2))),IF(ISTEXT(R764),IF(LEFT(R764,1)="2",100,"N/A"),"N/A"))</f>
        <v>0</v>
      </c>
      <c r="AN764">
        <f>IF(ISNUMBER(AM764),IF(AM764&gt;=99,IF(OR(U764=10,U764=11),MatchLabel,SureThingLabel),IF(AM764&gt;=95,SecureLabel,IF(AM764&gt;=80,SafetyLabel,IF(AM764&gt;=50,MatchLabel,IF(AM764&gt;=20,ReachLabel,IF(AM764&gt;=10,LongshotLabel,HailMaryLabel)))))),"Other")</f>
        <v>0</v>
      </c>
      <c r="AO764">
        <f>IF(OR(I764="accepted",I764="cond. accept",I764="summer admit"),IF(J764="yes","CHOICE!","Accepted!"),IF(I764="guar. transfer","Guar. Xfer",IF(I764="denied","Denied",IF(K764=1,"Waitlist",IF(L764=1,"Deferred",IF(G764="pending","Pending",IF(OR(G764="initial materials submitted",G764="mid-year submitted",G764="final submitted"),"Submitted",IF(H764="interest","Interest","?"))))))))</f>
        <v>0</v>
      </c>
      <c r="AP764">
        <f>IF(OR(AN764=ReachLabel,AN764=LongshotLabel,AN764=HailMaryLabel),1,0)</f>
        <v>0</v>
      </c>
      <c r="AQ764">
        <f>IF(OR(AP764=1,AN764=MatchLabel),1,0)</f>
        <v>0</v>
      </c>
      <c r="AR764">
        <f>IF(OR(AN764=MatchLabel,AN764=SafetyLabel,AN764=SecureLabel,AN764=SureThingLabel),1,0)</f>
        <v>0</v>
      </c>
      <c r="AS764">
        <f>IF(OR(W764="H",W764="B",W764="I",W764="M"),IF(ISNUMBER(AB764),ROUND(AB764,2),0),IF(ISNUMBER(AA764),ROUND(AA764,2),0))</f>
        <v>0</v>
      </c>
      <c r="AT764">
        <f>IF(AS764&gt;=X764,1,0)</f>
        <v>0</v>
      </c>
      <c r="AU764">
        <f>IF(AS764&gt;=Y764,1,0)</f>
        <v>0</v>
      </c>
      <c r="AV764">
        <f>IF(AS764&lt;(X764-0.10),1,0)</f>
        <v>0</v>
      </c>
      <c r="AW764">
        <f>1-AM764/100</f>
        <v>0</v>
      </c>
      <c r="AX764">
        <f>IF(AQ764=1,AW764,1)</f>
        <v>0</v>
      </c>
      <c r="AY764">
        <f>IF(AP764=1,AW764,1)</f>
        <v>0</v>
      </c>
      <c r="AZ764">
        <f>IF(AND(AT764=1,ISNUMBER(AW764)),$AW764,1)</f>
        <v>0</v>
      </c>
      <c r="BA764">
        <f>IF(AND(AU764=1,ISNUMBER(AW764)),$AW764,1)</f>
        <v>0</v>
      </c>
      <c r="BB764">
        <f>IF(ISNUMBER(AB764),INDEX(AllCollegeMoney, MATCH(N764,AllCollegeNCES,0)),0)</f>
        <v>0</v>
      </c>
      <c r="BC764">
        <f>IF(AND(AT764=1,ISNUMBER(AW764),BB764=1),$AW764,1)</f>
        <v>0</v>
      </c>
      <c r="BD764">
        <f>IF(AND(AU764=1,ISNUMBER(AW764),BB764=1),$AW764,1)</f>
        <v>0</v>
      </c>
      <c r="BE764">
        <f>IF(ISNUMBER(AB764),INDEX(AllCollegeILPub, MATCH(N764,AllCollegeNCES,0)),0)</f>
        <v>0</v>
      </c>
      <c r="BF764">
        <f>IF(AN764=ReachLabel,AS764,0)</f>
        <v>0</v>
      </c>
      <c r="BG764">
        <f>IF(AN764=MatchLabel,AS764,0)</f>
        <v>0</v>
      </c>
      <c r="BH764">
        <f>IF(AN764=SafetyLabel,AS764,0)</f>
        <v>0</v>
      </c>
      <c r="BI764">
        <f>IF(AN764=SecureLabel,AS764,0)</f>
        <v>0</v>
      </c>
      <c r="BJ764">
        <f>IF(AN764=SureThingLabel,AS764,0)</f>
        <v>0</v>
      </c>
      <c r="BK764">
        <f>MAX(BF764:BJ764)</f>
        <v>0</v>
      </c>
      <c r="BL764">
        <f>MAX(BG764:BJ764)</f>
        <v>0</v>
      </c>
      <c r="BM764">
        <f>MAX(BH764:BJ764)</f>
        <v>0</v>
      </c>
      <c r="BN764">
        <f>IF(AND(AN764=ReachLabel,BB764=1),AS764,0)</f>
        <v>0</v>
      </c>
      <c r="BO764">
        <f>IF(AND(AN764=MatchLabel,BB764=1),AS764,0)</f>
        <v>0</v>
      </c>
      <c r="BP764">
        <f>IF(AND(AN764=SafetyLabel,BB764=1),AS764,0)</f>
        <v>0</v>
      </c>
      <c r="BQ764">
        <f>IF(AND(AN764=SecureLabel,BB764=1),AS764,0)</f>
        <v>0</v>
      </c>
      <c r="BR764">
        <f>IF(AND(AN764=SureThingLabel,BB764=1),AS764,0)</f>
        <v>0</v>
      </c>
      <c r="BS764">
        <f>MAX(BN764:BR764)</f>
        <v>0</v>
      </c>
      <c r="BT764">
        <f>MAX(BO764:BR764)</f>
        <v>0</v>
      </c>
      <c r="BU764">
        <f>MAX(BP764:BR764)</f>
        <v>0</v>
      </c>
      <c r="BV764">
        <f>IF(ISNUMBER(AB764),INDEX(AllCollegeChicago, MATCH(N764,AllCollegeNCES,0))*BB764,0)</f>
        <v>0</v>
      </c>
      <c r="BW764">
        <f>IF(ISNUMBER(AB764),INDEX(AllCollegeMoneyCode, MATCH(N764,AllCollegeNCES,0)),"?")</f>
        <v>0</v>
      </c>
      <c r="BX764">
        <f>IF(OR(BW764="---",BW764="--",BW764="+/--",BW764="+/---"),1,0)</f>
        <v>0</v>
      </c>
      <c r="BY764">
        <f>BB764*AR764*AT764</f>
        <v>0</v>
      </c>
    </row>
    <row r="765" spans="1:77">
      <c r="A765" t="s">
        <v>96</v>
      </c>
      <c r="B765">
        <v>30323075</v>
      </c>
      <c r="C765" t="s">
        <v>234</v>
      </c>
      <c r="D765" t="s">
        <v>235</v>
      </c>
      <c r="E765" t="s">
        <v>446</v>
      </c>
      <c r="F765" t="s">
        <v>475</v>
      </c>
      <c r="G765" t="s">
        <v>479</v>
      </c>
      <c r="H765" t="s">
        <v>449</v>
      </c>
      <c r="I765" t="s">
        <v>450</v>
      </c>
      <c r="J765" t="s">
        <v>450</v>
      </c>
      <c r="K765">
        <v>0</v>
      </c>
      <c r="L765" t="s">
        <v>446</v>
      </c>
      <c r="M765" t="s">
        <v>446</v>
      </c>
      <c r="N765">
        <v>145637</v>
      </c>
      <c r="O765">
        <f>INDEX(Counselor,MATCH(B765,KidIDs,0))</f>
        <v>0</v>
      </c>
      <c r="P765">
        <f>INDEX(Advisors,MATCH(B765,KidIDs,0))</f>
        <v>0</v>
      </c>
      <c r="Q765">
        <f>INDEX(Cohort,MATCH(B765,KidIDs,0))</f>
        <v>0</v>
      </c>
      <c r="R765">
        <f>INDEX(AllCollegeBarrons,MATCH(N765,AllCollegeNCES,0))</f>
        <v>0</v>
      </c>
      <c r="S765">
        <f>INDEX(KidGPAs,MATCH(B765,KidIDs,0))</f>
        <v>0</v>
      </c>
      <c r="T765">
        <f>INDEX(KidSATs,MATCH(B765,KidIDs,0))</f>
        <v>0</v>
      </c>
      <c r="U765">
        <f>INDEX(Strats,MATCH(B765,KidIDs,0))</f>
        <v>0</v>
      </c>
      <c r="V765">
        <f>INDEX(KidRace,MATCH(B765,KidIDs,0))</f>
        <v>0</v>
      </c>
      <c r="W765">
        <f>IF(OR(V765="M",V765="I"),"H",IF(V765="P","A",V765))</f>
        <v>0</v>
      </c>
      <c r="X765">
        <f>INDEX(StudentTargets,MATCH(B765,KidIDs,0))</f>
        <v>0</v>
      </c>
      <c r="Y765">
        <f>INDEX(ReachStudentTargets,MATCH(B765,KidIDs,0))</f>
        <v>0</v>
      </c>
      <c r="Z765">
        <f>IF(OR(M765="Posse"),1,0)</f>
        <v>0</v>
      </c>
      <c r="AA765">
        <f>IF(ISNUMBER(INDEX(AllCollegeGR, MATCH(N765,AllCollegeNCES,0))),ROUND(INDEX(AllCollegeGR, MATCH(N765,AllCollegeNCES,0))+Z765*IF(INDEX(AllCollegeGR, MATCH(N765,AllCollegeNCES,0))&gt;0.7,(1-INDEX(AllCollegeGR, MATCH(N765,AllCollegeNCES,0)))/2,0.15),2),INDEX(AllCollegeGR, MATCH(N765,AllCollegeNCES,0)))</f>
        <v>0</v>
      </c>
      <c r="AB765">
        <f>IF(ISNUMBER(INDEX(AllCollegeAAHGR, MATCH(N765,AllCollegeNCES,0))),ROUND(INDEX(AllCollegeAAHGR, MATCH(N765,AllCollegeNCES,0))+Z765*IF(INDEX(AllCollegeAAHGR, MATCH(N765,AllCollegeNCES,0))&gt;0.7,(1-INDEX(AllCollegeAAHGR, MATCH(N765,AllCollegeNCES,0)))/2,0.15),2),INDEX(AllCollegeAAHGR, MATCH(N765,AllCollegeNCES,0)))</f>
        <v>0</v>
      </c>
      <c r="AC765">
        <f>IF(OR(W765="H",W765="B"),INDEX(AllCollegeSAT25, MATCH(N765,AllCollegeNCES,0)),INDEX(AllCollegeSAT50, MATCH(N765,AllCollegeNCES,0)))</f>
        <v>0</v>
      </c>
      <c r="AD765">
        <f>INDEX(CustomWeightsGPA,MATCH(W765&amp;":"&amp;N765,CustomWeightsIndex,0))</f>
        <v>0</v>
      </c>
      <c r="AE765">
        <f>INDEX(CustomWeightsSAT,MATCH(W765&amp;":"&amp;N765,CustomWeightsIndex,0))</f>
        <v>0</v>
      </c>
      <c r="AF765">
        <f>INDEX(CustomWeightsIntercept,MATCH(W765&amp;":"&amp;N765,CustomWeightsIndex,0))</f>
        <v>0</v>
      </c>
      <c r="AG765">
        <f>AD765*S765+AE765*T765+AF765</f>
        <v>0</v>
      </c>
      <c r="AH765">
        <f>INDEX(CoefficientsGPA,MATCH(W765&amp;":"&amp;R765,CoefficientsIndex,0))</f>
        <v>0</v>
      </c>
      <c r="AI765">
        <f>INDEX(CoefficientsSAT,MATCH(W765&amp;":"&amp;R765,CoefficientsIndex,0))</f>
        <v>0</v>
      </c>
      <c r="AJ765">
        <f>INDEX(CoefficientsIntercept,MATCH(W765&amp;":"&amp;R765,CoefficientsIndex,0))</f>
        <v>0</v>
      </c>
      <c r="AK765">
        <f>AH765*S765+(T765-AC765)*AI765+AJ765</f>
        <v>0</v>
      </c>
      <c r="AL765">
        <f>IF(ISNUMBER(AG765),AG765,AK765)</f>
        <v>0</v>
      </c>
      <c r="AM765">
        <f>IF(ISNUMBER(AL765),IF(ISNUMBER(AH765),IF(AND(AH765=1,AI765=1,AJ765=1),100,MIN(99,ROUND(100*EXP(AL765)/(1+EXP(AL765)),2))),MIN(99,ROUND(100*EXP(AL765)/(1+EXP(AL765)),2))),IF(ISTEXT(R765),IF(LEFT(R765,1)="2",100,"N/A"),"N/A"))</f>
        <v>0</v>
      </c>
      <c r="AN765">
        <f>IF(ISNUMBER(AM765),IF(AM765&gt;=99,IF(OR(U765=10,U765=11),MatchLabel,SureThingLabel),IF(AM765&gt;=95,SecureLabel,IF(AM765&gt;=80,SafetyLabel,IF(AM765&gt;=50,MatchLabel,IF(AM765&gt;=20,ReachLabel,IF(AM765&gt;=10,LongshotLabel,HailMaryLabel)))))),"Other")</f>
        <v>0</v>
      </c>
      <c r="AO765">
        <f>IF(OR(I765="accepted",I765="cond. accept",I765="summer admit"),IF(J765="yes","CHOICE!","Accepted!"),IF(I765="guar. transfer","Guar. Xfer",IF(I765="denied","Denied",IF(K765=1,"Waitlist",IF(L765=1,"Deferred",IF(G765="pending","Pending",IF(OR(G765="initial materials submitted",G765="mid-year submitted",G765="final submitted"),"Submitted",IF(H765="interest","Interest","?"))))))))</f>
        <v>0</v>
      </c>
      <c r="AP765">
        <f>IF(OR(AN765=ReachLabel,AN765=LongshotLabel,AN765=HailMaryLabel),1,0)</f>
        <v>0</v>
      </c>
      <c r="AQ765">
        <f>IF(OR(AP765=1,AN765=MatchLabel),1,0)</f>
        <v>0</v>
      </c>
      <c r="AR765">
        <f>IF(OR(AN765=MatchLabel,AN765=SafetyLabel,AN765=SecureLabel,AN765=SureThingLabel),1,0)</f>
        <v>0</v>
      </c>
      <c r="AS765">
        <f>IF(OR(W765="H",W765="B",W765="I",W765="M"),IF(ISNUMBER(AB765),ROUND(AB765,2),0),IF(ISNUMBER(AA765),ROUND(AA765,2),0))</f>
        <v>0</v>
      </c>
      <c r="AT765">
        <f>IF(AS765&gt;=X765,1,0)</f>
        <v>0</v>
      </c>
      <c r="AU765">
        <f>IF(AS765&gt;=Y765,1,0)</f>
        <v>0</v>
      </c>
      <c r="AV765">
        <f>IF(AS765&lt;(X765-0.10),1,0)</f>
        <v>0</v>
      </c>
      <c r="AW765">
        <f>1-AM765/100</f>
        <v>0</v>
      </c>
      <c r="AX765">
        <f>IF(AQ765=1,AW765,1)</f>
        <v>0</v>
      </c>
      <c r="AY765">
        <f>IF(AP765=1,AW765,1)</f>
        <v>0</v>
      </c>
      <c r="AZ765">
        <f>IF(AND(AT765=1,ISNUMBER(AW765)),$AW765,1)</f>
        <v>0</v>
      </c>
      <c r="BA765">
        <f>IF(AND(AU765=1,ISNUMBER(AW765)),$AW765,1)</f>
        <v>0</v>
      </c>
      <c r="BB765">
        <f>IF(ISNUMBER(AB765),INDEX(AllCollegeMoney, MATCH(N765,AllCollegeNCES,0)),0)</f>
        <v>0</v>
      </c>
      <c r="BC765">
        <f>IF(AND(AT765=1,ISNUMBER(AW765),BB765=1),$AW765,1)</f>
        <v>0</v>
      </c>
      <c r="BD765">
        <f>IF(AND(AU765=1,ISNUMBER(AW765),BB765=1),$AW765,1)</f>
        <v>0</v>
      </c>
      <c r="BE765">
        <f>IF(ISNUMBER(AB765),INDEX(AllCollegeILPub, MATCH(N765,AllCollegeNCES,0)),0)</f>
        <v>0</v>
      </c>
      <c r="BF765">
        <f>IF(AN765=ReachLabel,AS765,0)</f>
        <v>0</v>
      </c>
      <c r="BG765">
        <f>IF(AN765=MatchLabel,AS765,0)</f>
        <v>0</v>
      </c>
      <c r="BH765">
        <f>IF(AN765=SafetyLabel,AS765,0)</f>
        <v>0</v>
      </c>
      <c r="BI765">
        <f>IF(AN765=SecureLabel,AS765,0)</f>
        <v>0</v>
      </c>
      <c r="BJ765">
        <f>IF(AN765=SureThingLabel,AS765,0)</f>
        <v>0</v>
      </c>
      <c r="BK765">
        <f>MAX(BF765:BJ765)</f>
        <v>0</v>
      </c>
      <c r="BL765">
        <f>MAX(BG765:BJ765)</f>
        <v>0</v>
      </c>
      <c r="BM765">
        <f>MAX(BH765:BJ765)</f>
        <v>0</v>
      </c>
      <c r="BN765">
        <f>IF(AND(AN765=ReachLabel,BB765=1),AS765,0)</f>
        <v>0</v>
      </c>
      <c r="BO765">
        <f>IF(AND(AN765=MatchLabel,BB765=1),AS765,0)</f>
        <v>0</v>
      </c>
      <c r="BP765">
        <f>IF(AND(AN765=SafetyLabel,BB765=1),AS765,0)</f>
        <v>0</v>
      </c>
      <c r="BQ765">
        <f>IF(AND(AN765=SecureLabel,BB765=1),AS765,0)</f>
        <v>0</v>
      </c>
      <c r="BR765">
        <f>IF(AND(AN765=SureThingLabel,BB765=1),AS765,0)</f>
        <v>0</v>
      </c>
      <c r="BS765">
        <f>MAX(BN765:BR765)</f>
        <v>0</v>
      </c>
      <c r="BT765">
        <f>MAX(BO765:BR765)</f>
        <v>0</v>
      </c>
      <c r="BU765">
        <f>MAX(BP765:BR765)</f>
        <v>0</v>
      </c>
      <c r="BV765">
        <f>IF(ISNUMBER(AB765),INDEX(AllCollegeChicago, MATCH(N765,AllCollegeNCES,0))*BB765,0)</f>
        <v>0</v>
      </c>
      <c r="BW765">
        <f>IF(ISNUMBER(AB765),INDEX(AllCollegeMoneyCode, MATCH(N765,AllCollegeNCES,0)),"?")</f>
        <v>0</v>
      </c>
      <c r="BX765">
        <f>IF(OR(BW765="---",BW765="--",BW765="+/--",BW765="+/---"),1,0)</f>
        <v>0</v>
      </c>
      <c r="BY765">
        <f>BB765*AR765*AT765</f>
        <v>0</v>
      </c>
    </row>
    <row r="766" spans="1:77">
      <c r="A766" t="s">
        <v>96</v>
      </c>
      <c r="B766">
        <v>30323075</v>
      </c>
      <c r="C766" t="s">
        <v>234</v>
      </c>
      <c r="D766" t="s">
        <v>235</v>
      </c>
      <c r="E766" t="s">
        <v>446</v>
      </c>
      <c r="F766" t="s">
        <v>477</v>
      </c>
      <c r="G766" t="s">
        <v>448</v>
      </c>
      <c r="H766" t="s">
        <v>449</v>
      </c>
      <c r="I766" t="s">
        <v>450</v>
      </c>
      <c r="J766" t="s">
        <v>450</v>
      </c>
      <c r="K766">
        <v>0</v>
      </c>
      <c r="L766" t="s">
        <v>446</v>
      </c>
      <c r="M766" t="s">
        <v>446</v>
      </c>
      <c r="N766">
        <v>146427</v>
      </c>
      <c r="O766">
        <f>INDEX(Counselor,MATCH(B766,KidIDs,0))</f>
        <v>0</v>
      </c>
      <c r="P766">
        <f>INDEX(Advisors,MATCH(B766,KidIDs,0))</f>
        <v>0</v>
      </c>
      <c r="Q766">
        <f>INDEX(Cohort,MATCH(B766,KidIDs,0))</f>
        <v>0</v>
      </c>
      <c r="R766">
        <f>INDEX(AllCollegeBarrons,MATCH(N766,AllCollegeNCES,0))</f>
        <v>0</v>
      </c>
      <c r="S766">
        <f>INDEX(KidGPAs,MATCH(B766,KidIDs,0))</f>
        <v>0</v>
      </c>
      <c r="T766">
        <f>INDEX(KidSATs,MATCH(B766,KidIDs,0))</f>
        <v>0</v>
      </c>
      <c r="U766">
        <f>INDEX(Strats,MATCH(B766,KidIDs,0))</f>
        <v>0</v>
      </c>
      <c r="V766">
        <f>INDEX(KidRace,MATCH(B766,KidIDs,0))</f>
        <v>0</v>
      </c>
      <c r="W766">
        <f>IF(OR(V766="M",V766="I"),"H",IF(V766="P","A",V766))</f>
        <v>0</v>
      </c>
      <c r="X766">
        <f>INDEX(StudentTargets,MATCH(B766,KidIDs,0))</f>
        <v>0</v>
      </c>
      <c r="Y766">
        <f>INDEX(ReachStudentTargets,MATCH(B766,KidIDs,0))</f>
        <v>0</v>
      </c>
      <c r="Z766">
        <f>IF(OR(M766="Posse"),1,0)</f>
        <v>0</v>
      </c>
      <c r="AA766">
        <f>IF(ISNUMBER(INDEX(AllCollegeGR, MATCH(N766,AllCollegeNCES,0))),ROUND(INDEX(AllCollegeGR, MATCH(N766,AllCollegeNCES,0))+Z766*IF(INDEX(AllCollegeGR, MATCH(N766,AllCollegeNCES,0))&gt;0.7,(1-INDEX(AllCollegeGR, MATCH(N766,AllCollegeNCES,0)))/2,0.15),2),INDEX(AllCollegeGR, MATCH(N766,AllCollegeNCES,0)))</f>
        <v>0</v>
      </c>
      <c r="AB766">
        <f>IF(ISNUMBER(INDEX(AllCollegeAAHGR, MATCH(N766,AllCollegeNCES,0))),ROUND(INDEX(AllCollegeAAHGR, MATCH(N766,AllCollegeNCES,0))+Z766*IF(INDEX(AllCollegeAAHGR, MATCH(N766,AllCollegeNCES,0))&gt;0.7,(1-INDEX(AllCollegeAAHGR, MATCH(N766,AllCollegeNCES,0)))/2,0.15),2),INDEX(AllCollegeAAHGR, MATCH(N766,AllCollegeNCES,0)))</f>
        <v>0</v>
      </c>
      <c r="AC766">
        <f>IF(OR(W766="H",W766="B"),INDEX(AllCollegeSAT25, MATCH(N766,AllCollegeNCES,0)),INDEX(AllCollegeSAT50, MATCH(N766,AllCollegeNCES,0)))</f>
        <v>0</v>
      </c>
      <c r="AD766">
        <f>INDEX(CustomWeightsGPA,MATCH(W766&amp;":"&amp;N766,CustomWeightsIndex,0))</f>
        <v>0</v>
      </c>
      <c r="AE766">
        <f>INDEX(CustomWeightsSAT,MATCH(W766&amp;":"&amp;N766,CustomWeightsIndex,0))</f>
        <v>0</v>
      </c>
      <c r="AF766">
        <f>INDEX(CustomWeightsIntercept,MATCH(W766&amp;":"&amp;N766,CustomWeightsIndex,0))</f>
        <v>0</v>
      </c>
      <c r="AG766">
        <f>AD766*S766+AE766*T766+AF766</f>
        <v>0</v>
      </c>
      <c r="AH766">
        <f>INDEX(CoefficientsGPA,MATCH(W766&amp;":"&amp;R766,CoefficientsIndex,0))</f>
        <v>0</v>
      </c>
      <c r="AI766">
        <f>INDEX(CoefficientsSAT,MATCH(W766&amp;":"&amp;R766,CoefficientsIndex,0))</f>
        <v>0</v>
      </c>
      <c r="AJ766">
        <f>INDEX(CoefficientsIntercept,MATCH(W766&amp;":"&amp;R766,CoefficientsIndex,0))</f>
        <v>0</v>
      </c>
      <c r="AK766">
        <f>AH766*S766+(T766-AC766)*AI766+AJ766</f>
        <v>0</v>
      </c>
      <c r="AL766">
        <f>IF(ISNUMBER(AG766),AG766,AK766)</f>
        <v>0</v>
      </c>
      <c r="AM766">
        <f>IF(ISNUMBER(AL766),IF(ISNUMBER(AH766),IF(AND(AH766=1,AI766=1,AJ766=1),100,MIN(99,ROUND(100*EXP(AL766)/(1+EXP(AL766)),2))),MIN(99,ROUND(100*EXP(AL766)/(1+EXP(AL766)),2))),IF(ISTEXT(R766),IF(LEFT(R766,1)="2",100,"N/A"),"N/A"))</f>
        <v>0</v>
      </c>
      <c r="AN766">
        <f>IF(ISNUMBER(AM766),IF(AM766&gt;=99,IF(OR(U766=10,U766=11),MatchLabel,SureThingLabel),IF(AM766&gt;=95,SecureLabel,IF(AM766&gt;=80,SafetyLabel,IF(AM766&gt;=50,MatchLabel,IF(AM766&gt;=20,ReachLabel,IF(AM766&gt;=10,LongshotLabel,HailMaryLabel)))))),"Other")</f>
        <v>0</v>
      </c>
      <c r="AO766">
        <f>IF(OR(I766="accepted",I766="cond. accept",I766="summer admit"),IF(J766="yes","CHOICE!","Accepted!"),IF(I766="guar. transfer","Guar. Xfer",IF(I766="denied","Denied",IF(K766=1,"Waitlist",IF(L766=1,"Deferred",IF(G766="pending","Pending",IF(OR(G766="initial materials submitted",G766="mid-year submitted",G766="final submitted"),"Submitted",IF(H766="interest","Interest","?"))))))))</f>
        <v>0</v>
      </c>
      <c r="AP766">
        <f>IF(OR(AN766=ReachLabel,AN766=LongshotLabel,AN766=HailMaryLabel),1,0)</f>
        <v>0</v>
      </c>
      <c r="AQ766">
        <f>IF(OR(AP766=1,AN766=MatchLabel),1,0)</f>
        <v>0</v>
      </c>
      <c r="AR766">
        <f>IF(OR(AN766=MatchLabel,AN766=SafetyLabel,AN766=SecureLabel,AN766=SureThingLabel),1,0)</f>
        <v>0</v>
      </c>
      <c r="AS766">
        <f>IF(OR(W766="H",W766="B",W766="I",W766="M"),IF(ISNUMBER(AB766),ROUND(AB766,2),0),IF(ISNUMBER(AA766),ROUND(AA766,2),0))</f>
        <v>0</v>
      </c>
      <c r="AT766">
        <f>IF(AS766&gt;=X766,1,0)</f>
        <v>0</v>
      </c>
      <c r="AU766">
        <f>IF(AS766&gt;=Y766,1,0)</f>
        <v>0</v>
      </c>
      <c r="AV766">
        <f>IF(AS766&lt;(X766-0.10),1,0)</f>
        <v>0</v>
      </c>
      <c r="AW766">
        <f>1-AM766/100</f>
        <v>0</v>
      </c>
      <c r="AX766">
        <f>IF(AQ766=1,AW766,1)</f>
        <v>0</v>
      </c>
      <c r="AY766">
        <f>IF(AP766=1,AW766,1)</f>
        <v>0</v>
      </c>
      <c r="AZ766">
        <f>IF(AND(AT766=1,ISNUMBER(AW766)),$AW766,1)</f>
        <v>0</v>
      </c>
      <c r="BA766">
        <f>IF(AND(AU766=1,ISNUMBER(AW766)),$AW766,1)</f>
        <v>0</v>
      </c>
      <c r="BB766">
        <f>IF(ISNUMBER(AB766),INDEX(AllCollegeMoney, MATCH(N766,AllCollegeNCES,0)),0)</f>
        <v>0</v>
      </c>
      <c r="BC766">
        <f>IF(AND(AT766=1,ISNUMBER(AW766),BB766=1),$AW766,1)</f>
        <v>0</v>
      </c>
      <c r="BD766">
        <f>IF(AND(AU766=1,ISNUMBER(AW766),BB766=1),$AW766,1)</f>
        <v>0</v>
      </c>
      <c r="BE766">
        <f>IF(ISNUMBER(AB766),INDEX(AllCollegeILPub, MATCH(N766,AllCollegeNCES,0)),0)</f>
        <v>0</v>
      </c>
      <c r="BF766">
        <f>IF(AN766=ReachLabel,AS766,0)</f>
        <v>0</v>
      </c>
      <c r="BG766">
        <f>IF(AN766=MatchLabel,AS766,0)</f>
        <v>0</v>
      </c>
      <c r="BH766">
        <f>IF(AN766=SafetyLabel,AS766,0)</f>
        <v>0</v>
      </c>
      <c r="BI766">
        <f>IF(AN766=SecureLabel,AS766,0)</f>
        <v>0</v>
      </c>
      <c r="BJ766">
        <f>IF(AN766=SureThingLabel,AS766,0)</f>
        <v>0</v>
      </c>
      <c r="BK766">
        <f>MAX(BF766:BJ766)</f>
        <v>0</v>
      </c>
      <c r="BL766">
        <f>MAX(BG766:BJ766)</f>
        <v>0</v>
      </c>
      <c r="BM766">
        <f>MAX(BH766:BJ766)</f>
        <v>0</v>
      </c>
      <c r="BN766">
        <f>IF(AND(AN766=ReachLabel,BB766=1),AS766,0)</f>
        <v>0</v>
      </c>
      <c r="BO766">
        <f>IF(AND(AN766=MatchLabel,BB766=1),AS766,0)</f>
        <v>0</v>
      </c>
      <c r="BP766">
        <f>IF(AND(AN766=SafetyLabel,BB766=1),AS766,0)</f>
        <v>0</v>
      </c>
      <c r="BQ766">
        <f>IF(AND(AN766=SecureLabel,BB766=1),AS766,0)</f>
        <v>0</v>
      </c>
      <c r="BR766">
        <f>IF(AND(AN766=SureThingLabel,BB766=1),AS766,0)</f>
        <v>0</v>
      </c>
      <c r="BS766">
        <f>MAX(BN766:BR766)</f>
        <v>0</v>
      </c>
      <c r="BT766">
        <f>MAX(BO766:BR766)</f>
        <v>0</v>
      </c>
      <c r="BU766">
        <f>MAX(BP766:BR766)</f>
        <v>0</v>
      </c>
      <c r="BV766">
        <f>IF(ISNUMBER(AB766),INDEX(AllCollegeChicago, MATCH(N766,AllCollegeNCES,0))*BB766,0)</f>
        <v>0</v>
      </c>
      <c r="BW766">
        <f>IF(ISNUMBER(AB766),INDEX(AllCollegeMoneyCode, MATCH(N766,AllCollegeNCES,0)),"?")</f>
        <v>0</v>
      </c>
      <c r="BX766">
        <f>IF(OR(BW766="---",BW766="--",BW766="+/--",BW766="+/---"),1,0)</f>
        <v>0</v>
      </c>
      <c r="BY766">
        <f>BB766*AR766*AT766</f>
        <v>0</v>
      </c>
    </row>
    <row r="767" spans="1:77">
      <c r="A767" t="s">
        <v>96</v>
      </c>
      <c r="B767">
        <v>30323075</v>
      </c>
      <c r="C767" t="s">
        <v>234</v>
      </c>
      <c r="D767" t="s">
        <v>235</v>
      </c>
      <c r="E767" t="s">
        <v>446</v>
      </c>
      <c r="F767" t="s">
        <v>489</v>
      </c>
      <c r="G767" t="s">
        <v>479</v>
      </c>
      <c r="H767" t="s">
        <v>449</v>
      </c>
      <c r="I767" t="s">
        <v>450</v>
      </c>
      <c r="J767" t="s">
        <v>450</v>
      </c>
      <c r="K767">
        <v>0</v>
      </c>
      <c r="L767" t="s">
        <v>446</v>
      </c>
      <c r="M767" t="s">
        <v>446</v>
      </c>
      <c r="N767">
        <v>170301</v>
      </c>
      <c r="O767">
        <f>INDEX(Counselor,MATCH(B767,KidIDs,0))</f>
        <v>0</v>
      </c>
      <c r="P767">
        <f>INDEX(Advisors,MATCH(B767,KidIDs,0))</f>
        <v>0</v>
      </c>
      <c r="Q767">
        <f>INDEX(Cohort,MATCH(B767,KidIDs,0))</f>
        <v>0</v>
      </c>
      <c r="R767">
        <f>INDEX(AllCollegeBarrons,MATCH(N767,AllCollegeNCES,0))</f>
        <v>0</v>
      </c>
      <c r="S767">
        <f>INDEX(KidGPAs,MATCH(B767,KidIDs,0))</f>
        <v>0</v>
      </c>
      <c r="T767">
        <f>INDEX(KidSATs,MATCH(B767,KidIDs,0))</f>
        <v>0</v>
      </c>
      <c r="U767">
        <f>INDEX(Strats,MATCH(B767,KidIDs,0))</f>
        <v>0</v>
      </c>
      <c r="V767">
        <f>INDEX(KidRace,MATCH(B767,KidIDs,0))</f>
        <v>0</v>
      </c>
      <c r="W767">
        <f>IF(OR(V767="M",V767="I"),"H",IF(V767="P","A",V767))</f>
        <v>0</v>
      </c>
      <c r="X767">
        <f>INDEX(StudentTargets,MATCH(B767,KidIDs,0))</f>
        <v>0</v>
      </c>
      <c r="Y767">
        <f>INDEX(ReachStudentTargets,MATCH(B767,KidIDs,0))</f>
        <v>0</v>
      </c>
      <c r="Z767">
        <f>IF(OR(M767="Posse"),1,0)</f>
        <v>0</v>
      </c>
      <c r="AA767">
        <f>IF(ISNUMBER(INDEX(AllCollegeGR, MATCH(N767,AllCollegeNCES,0))),ROUND(INDEX(AllCollegeGR, MATCH(N767,AllCollegeNCES,0))+Z767*IF(INDEX(AllCollegeGR, MATCH(N767,AllCollegeNCES,0))&gt;0.7,(1-INDEX(AllCollegeGR, MATCH(N767,AllCollegeNCES,0)))/2,0.15),2),INDEX(AllCollegeGR, MATCH(N767,AllCollegeNCES,0)))</f>
        <v>0</v>
      </c>
      <c r="AB767">
        <f>IF(ISNUMBER(INDEX(AllCollegeAAHGR, MATCH(N767,AllCollegeNCES,0))),ROUND(INDEX(AllCollegeAAHGR, MATCH(N767,AllCollegeNCES,0))+Z767*IF(INDEX(AllCollegeAAHGR, MATCH(N767,AllCollegeNCES,0))&gt;0.7,(1-INDEX(AllCollegeAAHGR, MATCH(N767,AllCollegeNCES,0)))/2,0.15),2),INDEX(AllCollegeAAHGR, MATCH(N767,AllCollegeNCES,0)))</f>
        <v>0</v>
      </c>
      <c r="AC767">
        <f>IF(OR(W767="H",W767="B"),INDEX(AllCollegeSAT25, MATCH(N767,AllCollegeNCES,0)),INDEX(AllCollegeSAT50, MATCH(N767,AllCollegeNCES,0)))</f>
        <v>0</v>
      </c>
      <c r="AD767">
        <f>INDEX(CustomWeightsGPA,MATCH(W767&amp;":"&amp;N767,CustomWeightsIndex,0))</f>
        <v>0</v>
      </c>
      <c r="AE767">
        <f>INDEX(CustomWeightsSAT,MATCH(W767&amp;":"&amp;N767,CustomWeightsIndex,0))</f>
        <v>0</v>
      </c>
      <c r="AF767">
        <f>INDEX(CustomWeightsIntercept,MATCH(W767&amp;":"&amp;N767,CustomWeightsIndex,0))</f>
        <v>0</v>
      </c>
      <c r="AG767">
        <f>AD767*S767+AE767*T767+AF767</f>
        <v>0</v>
      </c>
      <c r="AH767">
        <f>INDEX(CoefficientsGPA,MATCH(W767&amp;":"&amp;R767,CoefficientsIndex,0))</f>
        <v>0</v>
      </c>
      <c r="AI767">
        <f>INDEX(CoefficientsSAT,MATCH(W767&amp;":"&amp;R767,CoefficientsIndex,0))</f>
        <v>0</v>
      </c>
      <c r="AJ767">
        <f>INDEX(CoefficientsIntercept,MATCH(W767&amp;":"&amp;R767,CoefficientsIndex,0))</f>
        <v>0</v>
      </c>
      <c r="AK767">
        <f>AH767*S767+(T767-AC767)*AI767+AJ767</f>
        <v>0</v>
      </c>
      <c r="AL767">
        <f>IF(ISNUMBER(AG767),AG767,AK767)</f>
        <v>0</v>
      </c>
      <c r="AM767">
        <f>IF(ISNUMBER(AL767),IF(ISNUMBER(AH767),IF(AND(AH767=1,AI767=1,AJ767=1),100,MIN(99,ROUND(100*EXP(AL767)/(1+EXP(AL767)),2))),MIN(99,ROUND(100*EXP(AL767)/(1+EXP(AL767)),2))),IF(ISTEXT(R767),IF(LEFT(R767,1)="2",100,"N/A"),"N/A"))</f>
        <v>0</v>
      </c>
      <c r="AN767">
        <f>IF(ISNUMBER(AM767),IF(AM767&gt;=99,IF(OR(U767=10,U767=11),MatchLabel,SureThingLabel),IF(AM767&gt;=95,SecureLabel,IF(AM767&gt;=80,SafetyLabel,IF(AM767&gt;=50,MatchLabel,IF(AM767&gt;=20,ReachLabel,IF(AM767&gt;=10,LongshotLabel,HailMaryLabel)))))),"Other")</f>
        <v>0</v>
      </c>
      <c r="AO767">
        <f>IF(OR(I767="accepted",I767="cond. accept",I767="summer admit"),IF(J767="yes","CHOICE!","Accepted!"),IF(I767="guar. transfer","Guar. Xfer",IF(I767="denied","Denied",IF(K767=1,"Waitlist",IF(L767=1,"Deferred",IF(G767="pending","Pending",IF(OR(G767="initial materials submitted",G767="mid-year submitted",G767="final submitted"),"Submitted",IF(H767="interest","Interest","?"))))))))</f>
        <v>0</v>
      </c>
      <c r="AP767">
        <f>IF(OR(AN767=ReachLabel,AN767=LongshotLabel,AN767=HailMaryLabel),1,0)</f>
        <v>0</v>
      </c>
      <c r="AQ767">
        <f>IF(OR(AP767=1,AN767=MatchLabel),1,0)</f>
        <v>0</v>
      </c>
      <c r="AR767">
        <f>IF(OR(AN767=MatchLabel,AN767=SafetyLabel,AN767=SecureLabel,AN767=SureThingLabel),1,0)</f>
        <v>0</v>
      </c>
      <c r="AS767">
        <f>IF(OR(W767="H",W767="B",W767="I",W767="M"),IF(ISNUMBER(AB767),ROUND(AB767,2),0),IF(ISNUMBER(AA767),ROUND(AA767,2),0))</f>
        <v>0</v>
      </c>
      <c r="AT767">
        <f>IF(AS767&gt;=X767,1,0)</f>
        <v>0</v>
      </c>
      <c r="AU767">
        <f>IF(AS767&gt;=Y767,1,0)</f>
        <v>0</v>
      </c>
      <c r="AV767">
        <f>IF(AS767&lt;(X767-0.10),1,0)</f>
        <v>0</v>
      </c>
      <c r="AW767">
        <f>1-AM767/100</f>
        <v>0</v>
      </c>
      <c r="AX767">
        <f>IF(AQ767=1,AW767,1)</f>
        <v>0</v>
      </c>
      <c r="AY767">
        <f>IF(AP767=1,AW767,1)</f>
        <v>0</v>
      </c>
      <c r="AZ767">
        <f>IF(AND(AT767=1,ISNUMBER(AW767)),$AW767,1)</f>
        <v>0</v>
      </c>
      <c r="BA767">
        <f>IF(AND(AU767=1,ISNUMBER(AW767)),$AW767,1)</f>
        <v>0</v>
      </c>
      <c r="BB767">
        <f>IF(ISNUMBER(AB767),INDEX(AllCollegeMoney, MATCH(N767,AllCollegeNCES,0)),0)</f>
        <v>0</v>
      </c>
      <c r="BC767">
        <f>IF(AND(AT767=1,ISNUMBER(AW767),BB767=1),$AW767,1)</f>
        <v>0</v>
      </c>
      <c r="BD767">
        <f>IF(AND(AU767=1,ISNUMBER(AW767),BB767=1),$AW767,1)</f>
        <v>0</v>
      </c>
      <c r="BE767">
        <f>IF(ISNUMBER(AB767),INDEX(AllCollegeILPub, MATCH(N767,AllCollegeNCES,0)),0)</f>
        <v>0</v>
      </c>
      <c r="BF767">
        <f>IF(AN767=ReachLabel,AS767,0)</f>
        <v>0</v>
      </c>
      <c r="BG767">
        <f>IF(AN767=MatchLabel,AS767,0)</f>
        <v>0</v>
      </c>
      <c r="BH767">
        <f>IF(AN767=SafetyLabel,AS767,0)</f>
        <v>0</v>
      </c>
      <c r="BI767">
        <f>IF(AN767=SecureLabel,AS767,0)</f>
        <v>0</v>
      </c>
      <c r="BJ767">
        <f>IF(AN767=SureThingLabel,AS767,0)</f>
        <v>0</v>
      </c>
      <c r="BK767">
        <f>MAX(BF767:BJ767)</f>
        <v>0</v>
      </c>
      <c r="BL767">
        <f>MAX(BG767:BJ767)</f>
        <v>0</v>
      </c>
      <c r="BM767">
        <f>MAX(BH767:BJ767)</f>
        <v>0</v>
      </c>
      <c r="BN767">
        <f>IF(AND(AN767=ReachLabel,BB767=1),AS767,0)</f>
        <v>0</v>
      </c>
      <c r="BO767">
        <f>IF(AND(AN767=MatchLabel,BB767=1),AS767,0)</f>
        <v>0</v>
      </c>
      <c r="BP767">
        <f>IF(AND(AN767=SafetyLabel,BB767=1),AS767,0)</f>
        <v>0</v>
      </c>
      <c r="BQ767">
        <f>IF(AND(AN767=SecureLabel,BB767=1),AS767,0)</f>
        <v>0</v>
      </c>
      <c r="BR767">
        <f>IF(AND(AN767=SureThingLabel,BB767=1),AS767,0)</f>
        <v>0</v>
      </c>
      <c r="BS767">
        <f>MAX(BN767:BR767)</f>
        <v>0</v>
      </c>
      <c r="BT767">
        <f>MAX(BO767:BR767)</f>
        <v>0</v>
      </c>
      <c r="BU767">
        <f>MAX(BP767:BR767)</f>
        <v>0</v>
      </c>
      <c r="BV767">
        <f>IF(ISNUMBER(AB767),INDEX(AllCollegeChicago, MATCH(N767,AllCollegeNCES,0))*BB767,0)</f>
        <v>0</v>
      </c>
      <c r="BW767">
        <f>IF(ISNUMBER(AB767),INDEX(AllCollegeMoneyCode, MATCH(N767,AllCollegeNCES,0)),"?")</f>
        <v>0</v>
      </c>
      <c r="BX767">
        <f>IF(OR(BW767="---",BW767="--",BW767="+/--",BW767="+/---"),1,0)</f>
        <v>0</v>
      </c>
      <c r="BY767">
        <f>BB767*AR767*AT767</f>
        <v>0</v>
      </c>
    </row>
    <row r="768" spans="1:77">
      <c r="A768" t="s">
        <v>96</v>
      </c>
      <c r="B768">
        <v>30323075</v>
      </c>
      <c r="C768" t="s">
        <v>234</v>
      </c>
      <c r="D768" t="s">
        <v>235</v>
      </c>
      <c r="E768" t="s">
        <v>446</v>
      </c>
      <c r="F768" t="s">
        <v>501</v>
      </c>
      <c r="G768" t="s">
        <v>479</v>
      </c>
      <c r="H768" t="s">
        <v>449</v>
      </c>
      <c r="I768" t="s">
        <v>450</v>
      </c>
      <c r="J768" t="s">
        <v>450</v>
      </c>
      <c r="K768">
        <v>0</v>
      </c>
      <c r="L768" t="s">
        <v>446</v>
      </c>
      <c r="M768" t="s">
        <v>446</v>
      </c>
      <c r="N768">
        <v>144740</v>
      </c>
      <c r="O768">
        <f>INDEX(Counselor,MATCH(B768,KidIDs,0))</f>
        <v>0</v>
      </c>
      <c r="P768">
        <f>INDEX(Advisors,MATCH(B768,KidIDs,0))</f>
        <v>0</v>
      </c>
      <c r="Q768">
        <f>INDEX(Cohort,MATCH(B768,KidIDs,0))</f>
        <v>0</v>
      </c>
      <c r="R768">
        <f>INDEX(AllCollegeBarrons,MATCH(N768,AllCollegeNCES,0))</f>
        <v>0</v>
      </c>
      <c r="S768">
        <f>INDEX(KidGPAs,MATCH(B768,KidIDs,0))</f>
        <v>0</v>
      </c>
      <c r="T768">
        <f>INDEX(KidSATs,MATCH(B768,KidIDs,0))</f>
        <v>0</v>
      </c>
      <c r="U768">
        <f>INDEX(Strats,MATCH(B768,KidIDs,0))</f>
        <v>0</v>
      </c>
      <c r="V768">
        <f>INDEX(KidRace,MATCH(B768,KidIDs,0))</f>
        <v>0</v>
      </c>
      <c r="W768">
        <f>IF(OR(V768="M",V768="I"),"H",IF(V768="P","A",V768))</f>
        <v>0</v>
      </c>
      <c r="X768">
        <f>INDEX(StudentTargets,MATCH(B768,KidIDs,0))</f>
        <v>0</v>
      </c>
      <c r="Y768">
        <f>INDEX(ReachStudentTargets,MATCH(B768,KidIDs,0))</f>
        <v>0</v>
      </c>
      <c r="Z768">
        <f>IF(OR(M768="Posse"),1,0)</f>
        <v>0</v>
      </c>
      <c r="AA768">
        <f>IF(ISNUMBER(INDEX(AllCollegeGR, MATCH(N768,AllCollegeNCES,0))),ROUND(INDEX(AllCollegeGR, MATCH(N768,AllCollegeNCES,0))+Z768*IF(INDEX(AllCollegeGR, MATCH(N768,AllCollegeNCES,0))&gt;0.7,(1-INDEX(AllCollegeGR, MATCH(N768,AllCollegeNCES,0)))/2,0.15),2),INDEX(AllCollegeGR, MATCH(N768,AllCollegeNCES,0)))</f>
        <v>0</v>
      </c>
      <c r="AB768">
        <f>IF(ISNUMBER(INDEX(AllCollegeAAHGR, MATCH(N768,AllCollegeNCES,0))),ROUND(INDEX(AllCollegeAAHGR, MATCH(N768,AllCollegeNCES,0))+Z768*IF(INDEX(AllCollegeAAHGR, MATCH(N768,AllCollegeNCES,0))&gt;0.7,(1-INDEX(AllCollegeAAHGR, MATCH(N768,AllCollegeNCES,0)))/2,0.15),2),INDEX(AllCollegeAAHGR, MATCH(N768,AllCollegeNCES,0)))</f>
        <v>0</v>
      </c>
      <c r="AC768">
        <f>IF(OR(W768="H",W768="B"),INDEX(AllCollegeSAT25, MATCH(N768,AllCollegeNCES,0)),INDEX(AllCollegeSAT50, MATCH(N768,AllCollegeNCES,0)))</f>
        <v>0</v>
      </c>
      <c r="AD768">
        <f>INDEX(CustomWeightsGPA,MATCH(W768&amp;":"&amp;N768,CustomWeightsIndex,0))</f>
        <v>0</v>
      </c>
      <c r="AE768">
        <f>INDEX(CustomWeightsSAT,MATCH(W768&amp;":"&amp;N768,CustomWeightsIndex,0))</f>
        <v>0</v>
      </c>
      <c r="AF768">
        <f>INDEX(CustomWeightsIntercept,MATCH(W768&amp;":"&amp;N768,CustomWeightsIndex,0))</f>
        <v>0</v>
      </c>
      <c r="AG768">
        <f>AD768*S768+AE768*T768+AF768</f>
        <v>0</v>
      </c>
      <c r="AH768">
        <f>INDEX(CoefficientsGPA,MATCH(W768&amp;":"&amp;R768,CoefficientsIndex,0))</f>
        <v>0</v>
      </c>
      <c r="AI768">
        <f>INDEX(CoefficientsSAT,MATCH(W768&amp;":"&amp;R768,CoefficientsIndex,0))</f>
        <v>0</v>
      </c>
      <c r="AJ768">
        <f>INDEX(CoefficientsIntercept,MATCH(W768&amp;":"&amp;R768,CoefficientsIndex,0))</f>
        <v>0</v>
      </c>
      <c r="AK768">
        <f>AH768*S768+(T768-AC768)*AI768+AJ768</f>
        <v>0</v>
      </c>
      <c r="AL768">
        <f>IF(ISNUMBER(AG768),AG768,AK768)</f>
        <v>0</v>
      </c>
      <c r="AM768">
        <f>IF(ISNUMBER(AL768),IF(ISNUMBER(AH768),IF(AND(AH768=1,AI768=1,AJ768=1),100,MIN(99,ROUND(100*EXP(AL768)/(1+EXP(AL768)),2))),MIN(99,ROUND(100*EXP(AL768)/(1+EXP(AL768)),2))),IF(ISTEXT(R768),IF(LEFT(R768,1)="2",100,"N/A"),"N/A"))</f>
        <v>0</v>
      </c>
      <c r="AN768">
        <f>IF(ISNUMBER(AM768),IF(AM768&gt;=99,IF(OR(U768=10,U768=11),MatchLabel,SureThingLabel),IF(AM768&gt;=95,SecureLabel,IF(AM768&gt;=80,SafetyLabel,IF(AM768&gt;=50,MatchLabel,IF(AM768&gt;=20,ReachLabel,IF(AM768&gt;=10,LongshotLabel,HailMaryLabel)))))),"Other")</f>
        <v>0</v>
      </c>
      <c r="AO768">
        <f>IF(OR(I768="accepted",I768="cond. accept",I768="summer admit"),IF(J768="yes","CHOICE!","Accepted!"),IF(I768="guar. transfer","Guar. Xfer",IF(I768="denied","Denied",IF(K768=1,"Waitlist",IF(L768=1,"Deferred",IF(G768="pending","Pending",IF(OR(G768="initial materials submitted",G768="mid-year submitted",G768="final submitted"),"Submitted",IF(H768="interest","Interest","?"))))))))</f>
        <v>0</v>
      </c>
      <c r="AP768">
        <f>IF(OR(AN768=ReachLabel,AN768=LongshotLabel,AN768=HailMaryLabel),1,0)</f>
        <v>0</v>
      </c>
      <c r="AQ768">
        <f>IF(OR(AP768=1,AN768=MatchLabel),1,0)</f>
        <v>0</v>
      </c>
      <c r="AR768">
        <f>IF(OR(AN768=MatchLabel,AN768=SafetyLabel,AN768=SecureLabel,AN768=SureThingLabel),1,0)</f>
        <v>0</v>
      </c>
      <c r="AS768">
        <f>IF(OR(W768="H",W768="B",W768="I",W768="M"),IF(ISNUMBER(AB768),ROUND(AB768,2),0),IF(ISNUMBER(AA768),ROUND(AA768,2),0))</f>
        <v>0</v>
      </c>
      <c r="AT768">
        <f>IF(AS768&gt;=X768,1,0)</f>
        <v>0</v>
      </c>
      <c r="AU768">
        <f>IF(AS768&gt;=Y768,1,0)</f>
        <v>0</v>
      </c>
      <c r="AV768">
        <f>IF(AS768&lt;(X768-0.10),1,0)</f>
        <v>0</v>
      </c>
      <c r="AW768">
        <f>1-AM768/100</f>
        <v>0</v>
      </c>
      <c r="AX768">
        <f>IF(AQ768=1,AW768,1)</f>
        <v>0</v>
      </c>
      <c r="AY768">
        <f>IF(AP768=1,AW768,1)</f>
        <v>0</v>
      </c>
      <c r="AZ768">
        <f>IF(AND(AT768=1,ISNUMBER(AW768)),$AW768,1)</f>
        <v>0</v>
      </c>
      <c r="BA768">
        <f>IF(AND(AU768=1,ISNUMBER(AW768)),$AW768,1)</f>
        <v>0</v>
      </c>
      <c r="BB768">
        <f>IF(ISNUMBER(AB768),INDEX(AllCollegeMoney, MATCH(N768,AllCollegeNCES,0)),0)</f>
        <v>0</v>
      </c>
      <c r="BC768">
        <f>IF(AND(AT768=1,ISNUMBER(AW768),BB768=1),$AW768,1)</f>
        <v>0</v>
      </c>
      <c r="BD768">
        <f>IF(AND(AU768=1,ISNUMBER(AW768),BB768=1),$AW768,1)</f>
        <v>0</v>
      </c>
      <c r="BE768">
        <f>IF(ISNUMBER(AB768),INDEX(AllCollegeILPub, MATCH(N768,AllCollegeNCES,0)),0)</f>
        <v>0</v>
      </c>
      <c r="BF768">
        <f>IF(AN768=ReachLabel,AS768,0)</f>
        <v>0</v>
      </c>
      <c r="BG768">
        <f>IF(AN768=MatchLabel,AS768,0)</f>
        <v>0</v>
      </c>
      <c r="BH768">
        <f>IF(AN768=SafetyLabel,AS768,0)</f>
        <v>0</v>
      </c>
      <c r="BI768">
        <f>IF(AN768=SecureLabel,AS768,0)</f>
        <v>0</v>
      </c>
      <c r="BJ768">
        <f>IF(AN768=SureThingLabel,AS768,0)</f>
        <v>0</v>
      </c>
      <c r="BK768">
        <f>MAX(BF768:BJ768)</f>
        <v>0</v>
      </c>
      <c r="BL768">
        <f>MAX(BG768:BJ768)</f>
        <v>0</v>
      </c>
      <c r="BM768">
        <f>MAX(BH768:BJ768)</f>
        <v>0</v>
      </c>
      <c r="BN768">
        <f>IF(AND(AN768=ReachLabel,BB768=1),AS768,0)</f>
        <v>0</v>
      </c>
      <c r="BO768">
        <f>IF(AND(AN768=MatchLabel,BB768=1),AS768,0)</f>
        <v>0</v>
      </c>
      <c r="BP768">
        <f>IF(AND(AN768=SafetyLabel,BB768=1),AS768,0)</f>
        <v>0</v>
      </c>
      <c r="BQ768">
        <f>IF(AND(AN768=SecureLabel,BB768=1),AS768,0)</f>
        <v>0</v>
      </c>
      <c r="BR768">
        <f>IF(AND(AN768=SureThingLabel,BB768=1),AS768,0)</f>
        <v>0</v>
      </c>
      <c r="BS768">
        <f>MAX(BN768:BR768)</f>
        <v>0</v>
      </c>
      <c r="BT768">
        <f>MAX(BO768:BR768)</f>
        <v>0</v>
      </c>
      <c r="BU768">
        <f>MAX(BP768:BR768)</f>
        <v>0</v>
      </c>
      <c r="BV768">
        <f>IF(ISNUMBER(AB768),INDEX(AllCollegeChicago, MATCH(N768,AllCollegeNCES,0))*BB768,0)</f>
        <v>0</v>
      </c>
      <c r="BW768">
        <f>IF(ISNUMBER(AB768),INDEX(AllCollegeMoneyCode, MATCH(N768,AllCollegeNCES,0)),"?")</f>
        <v>0</v>
      </c>
      <c r="BX768">
        <f>IF(OR(BW768="---",BW768="--",BW768="+/--",BW768="+/---"),1,0)</f>
        <v>0</v>
      </c>
      <c r="BY768">
        <f>BB768*AR768*AT768</f>
        <v>0</v>
      </c>
    </row>
    <row r="769" spans="1:77">
      <c r="A769" t="s">
        <v>96</v>
      </c>
      <c r="B769">
        <v>30323075</v>
      </c>
      <c r="C769" t="s">
        <v>234</v>
      </c>
      <c r="D769" t="s">
        <v>235</v>
      </c>
      <c r="E769" t="s">
        <v>446</v>
      </c>
      <c r="F769" t="s">
        <v>465</v>
      </c>
      <c r="G769" t="s">
        <v>479</v>
      </c>
      <c r="H769" t="s">
        <v>449</v>
      </c>
      <c r="I769" t="s">
        <v>450</v>
      </c>
      <c r="J769" t="s">
        <v>450</v>
      </c>
      <c r="K769">
        <v>0</v>
      </c>
      <c r="L769" t="s">
        <v>446</v>
      </c>
      <c r="M769" t="s">
        <v>446</v>
      </c>
      <c r="N769">
        <v>145600</v>
      </c>
      <c r="O769">
        <f>INDEX(Counselor,MATCH(B769,KidIDs,0))</f>
        <v>0</v>
      </c>
      <c r="P769">
        <f>INDEX(Advisors,MATCH(B769,KidIDs,0))</f>
        <v>0</v>
      </c>
      <c r="Q769">
        <f>INDEX(Cohort,MATCH(B769,KidIDs,0))</f>
        <v>0</v>
      </c>
      <c r="R769">
        <f>INDEX(AllCollegeBarrons,MATCH(N769,AllCollegeNCES,0))</f>
        <v>0</v>
      </c>
      <c r="S769">
        <f>INDEX(KidGPAs,MATCH(B769,KidIDs,0))</f>
        <v>0</v>
      </c>
      <c r="T769">
        <f>INDEX(KidSATs,MATCH(B769,KidIDs,0))</f>
        <v>0</v>
      </c>
      <c r="U769">
        <f>INDEX(Strats,MATCH(B769,KidIDs,0))</f>
        <v>0</v>
      </c>
      <c r="V769">
        <f>INDEX(KidRace,MATCH(B769,KidIDs,0))</f>
        <v>0</v>
      </c>
      <c r="W769">
        <f>IF(OR(V769="M",V769="I"),"H",IF(V769="P","A",V769))</f>
        <v>0</v>
      </c>
      <c r="X769">
        <f>INDEX(StudentTargets,MATCH(B769,KidIDs,0))</f>
        <v>0</v>
      </c>
      <c r="Y769">
        <f>INDEX(ReachStudentTargets,MATCH(B769,KidIDs,0))</f>
        <v>0</v>
      </c>
      <c r="Z769">
        <f>IF(OR(M769="Posse"),1,0)</f>
        <v>0</v>
      </c>
      <c r="AA769">
        <f>IF(ISNUMBER(INDEX(AllCollegeGR, MATCH(N769,AllCollegeNCES,0))),ROUND(INDEX(AllCollegeGR, MATCH(N769,AllCollegeNCES,0))+Z769*IF(INDEX(AllCollegeGR, MATCH(N769,AllCollegeNCES,0))&gt;0.7,(1-INDEX(AllCollegeGR, MATCH(N769,AllCollegeNCES,0)))/2,0.15),2),INDEX(AllCollegeGR, MATCH(N769,AllCollegeNCES,0)))</f>
        <v>0</v>
      </c>
      <c r="AB769">
        <f>IF(ISNUMBER(INDEX(AllCollegeAAHGR, MATCH(N769,AllCollegeNCES,0))),ROUND(INDEX(AllCollegeAAHGR, MATCH(N769,AllCollegeNCES,0))+Z769*IF(INDEX(AllCollegeAAHGR, MATCH(N769,AllCollegeNCES,0))&gt;0.7,(1-INDEX(AllCollegeAAHGR, MATCH(N769,AllCollegeNCES,0)))/2,0.15),2),INDEX(AllCollegeAAHGR, MATCH(N769,AllCollegeNCES,0)))</f>
        <v>0</v>
      </c>
      <c r="AC769">
        <f>IF(OR(W769="H",W769="B"),INDEX(AllCollegeSAT25, MATCH(N769,AllCollegeNCES,0)),INDEX(AllCollegeSAT50, MATCH(N769,AllCollegeNCES,0)))</f>
        <v>0</v>
      </c>
      <c r="AD769">
        <f>INDEX(CustomWeightsGPA,MATCH(W769&amp;":"&amp;N769,CustomWeightsIndex,0))</f>
        <v>0</v>
      </c>
      <c r="AE769">
        <f>INDEX(CustomWeightsSAT,MATCH(W769&amp;":"&amp;N769,CustomWeightsIndex,0))</f>
        <v>0</v>
      </c>
      <c r="AF769">
        <f>INDEX(CustomWeightsIntercept,MATCH(W769&amp;":"&amp;N769,CustomWeightsIndex,0))</f>
        <v>0</v>
      </c>
      <c r="AG769">
        <f>AD769*S769+AE769*T769+AF769</f>
        <v>0</v>
      </c>
      <c r="AH769">
        <f>INDEX(CoefficientsGPA,MATCH(W769&amp;":"&amp;R769,CoefficientsIndex,0))</f>
        <v>0</v>
      </c>
      <c r="AI769">
        <f>INDEX(CoefficientsSAT,MATCH(W769&amp;":"&amp;R769,CoefficientsIndex,0))</f>
        <v>0</v>
      </c>
      <c r="AJ769">
        <f>INDEX(CoefficientsIntercept,MATCH(W769&amp;":"&amp;R769,CoefficientsIndex,0))</f>
        <v>0</v>
      </c>
      <c r="AK769">
        <f>AH769*S769+(T769-AC769)*AI769+AJ769</f>
        <v>0</v>
      </c>
      <c r="AL769">
        <f>IF(ISNUMBER(AG769),AG769,AK769)</f>
        <v>0</v>
      </c>
      <c r="AM769">
        <f>IF(ISNUMBER(AL769),IF(ISNUMBER(AH769),IF(AND(AH769=1,AI769=1,AJ769=1),100,MIN(99,ROUND(100*EXP(AL769)/(1+EXP(AL769)),2))),MIN(99,ROUND(100*EXP(AL769)/(1+EXP(AL769)),2))),IF(ISTEXT(R769),IF(LEFT(R769,1)="2",100,"N/A"),"N/A"))</f>
        <v>0</v>
      </c>
      <c r="AN769">
        <f>IF(ISNUMBER(AM769),IF(AM769&gt;=99,IF(OR(U769=10,U769=11),MatchLabel,SureThingLabel),IF(AM769&gt;=95,SecureLabel,IF(AM769&gt;=80,SafetyLabel,IF(AM769&gt;=50,MatchLabel,IF(AM769&gt;=20,ReachLabel,IF(AM769&gt;=10,LongshotLabel,HailMaryLabel)))))),"Other")</f>
        <v>0</v>
      </c>
      <c r="AO769">
        <f>IF(OR(I769="accepted",I769="cond. accept",I769="summer admit"),IF(J769="yes","CHOICE!","Accepted!"),IF(I769="guar. transfer","Guar. Xfer",IF(I769="denied","Denied",IF(K769=1,"Waitlist",IF(L769=1,"Deferred",IF(G769="pending","Pending",IF(OR(G769="initial materials submitted",G769="mid-year submitted",G769="final submitted"),"Submitted",IF(H769="interest","Interest","?"))))))))</f>
        <v>0</v>
      </c>
      <c r="AP769">
        <f>IF(OR(AN769=ReachLabel,AN769=LongshotLabel,AN769=HailMaryLabel),1,0)</f>
        <v>0</v>
      </c>
      <c r="AQ769">
        <f>IF(OR(AP769=1,AN769=MatchLabel),1,0)</f>
        <v>0</v>
      </c>
      <c r="AR769">
        <f>IF(OR(AN769=MatchLabel,AN769=SafetyLabel,AN769=SecureLabel,AN769=SureThingLabel),1,0)</f>
        <v>0</v>
      </c>
      <c r="AS769">
        <f>IF(OR(W769="H",W769="B",W769="I",W769="M"),IF(ISNUMBER(AB769),ROUND(AB769,2),0),IF(ISNUMBER(AA769),ROUND(AA769,2),0))</f>
        <v>0</v>
      </c>
      <c r="AT769">
        <f>IF(AS769&gt;=X769,1,0)</f>
        <v>0</v>
      </c>
      <c r="AU769">
        <f>IF(AS769&gt;=Y769,1,0)</f>
        <v>0</v>
      </c>
      <c r="AV769">
        <f>IF(AS769&lt;(X769-0.10),1,0)</f>
        <v>0</v>
      </c>
      <c r="AW769">
        <f>1-AM769/100</f>
        <v>0</v>
      </c>
      <c r="AX769">
        <f>IF(AQ769=1,AW769,1)</f>
        <v>0</v>
      </c>
      <c r="AY769">
        <f>IF(AP769=1,AW769,1)</f>
        <v>0</v>
      </c>
      <c r="AZ769">
        <f>IF(AND(AT769=1,ISNUMBER(AW769)),$AW769,1)</f>
        <v>0</v>
      </c>
      <c r="BA769">
        <f>IF(AND(AU769=1,ISNUMBER(AW769)),$AW769,1)</f>
        <v>0</v>
      </c>
      <c r="BB769">
        <f>IF(ISNUMBER(AB769),INDEX(AllCollegeMoney, MATCH(N769,AllCollegeNCES,0)),0)</f>
        <v>0</v>
      </c>
      <c r="BC769">
        <f>IF(AND(AT769=1,ISNUMBER(AW769),BB769=1),$AW769,1)</f>
        <v>0</v>
      </c>
      <c r="BD769">
        <f>IF(AND(AU769=1,ISNUMBER(AW769),BB769=1),$AW769,1)</f>
        <v>0</v>
      </c>
      <c r="BE769">
        <f>IF(ISNUMBER(AB769),INDEX(AllCollegeILPub, MATCH(N769,AllCollegeNCES,0)),0)</f>
        <v>0</v>
      </c>
      <c r="BF769">
        <f>IF(AN769=ReachLabel,AS769,0)</f>
        <v>0</v>
      </c>
      <c r="BG769">
        <f>IF(AN769=MatchLabel,AS769,0)</f>
        <v>0</v>
      </c>
      <c r="BH769">
        <f>IF(AN769=SafetyLabel,AS769,0)</f>
        <v>0</v>
      </c>
      <c r="BI769">
        <f>IF(AN769=SecureLabel,AS769,0)</f>
        <v>0</v>
      </c>
      <c r="BJ769">
        <f>IF(AN769=SureThingLabel,AS769,0)</f>
        <v>0</v>
      </c>
      <c r="BK769">
        <f>MAX(BF769:BJ769)</f>
        <v>0</v>
      </c>
      <c r="BL769">
        <f>MAX(BG769:BJ769)</f>
        <v>0</v>
      </c>
      <c r="BM769">
        <f>MAX(BH769:BJ769)</f>
        <v>0</v>
      </c>
      <c r="BN769">
        <f>IF(AND(AN769=ReachLabel,BB769=1),AS769,0)</f>
        <v>0</v>
      </c>
      <c r="BO769">
        <f>IF(AND(AN769=MatchLabel,BB769=1),AS769,0)</f>
        <v>0</v>
      </c>
      <c r="BP769">
        <f>IF(AND(AN769=SafetyLabel,BB769=1),AS769,0)</f>
        <v>0</v>
      </c>
      <c r="BQ769">
        <f>IF(AND(AN769=SecureLabel,BB769=1),AS769,0)</f>
        <v>0</v>
      </c>
      <c r="BR769">
        <f>IF(AND(AN769=SureThingLabel,BB769=1),AS769,0)</f>
        <v>0</v>
      </c>
      <c r="BS769">
        <f>MAX(BN769:BR769)</f>
        <v>0</v>
      </c>
      <c r="BT769">
        <f>MAX(BO769:BR769)</f>
        <v>0</v>
      </c>
      <c r="BU769">
        <f>MAX(BP769:BR769)</f>
        <v>0</v>
      </c>
      <c r="BV769">
        <f>IF(ISNUMBER(AB769),INDEX(AllCollegeChicago, MATCH(N769,AllCollegeNCES,0))*BB769,0)</f>
        <v>0</v>
      </c>
      <c r="BW769">
        <f>IF(ISNUMBER(AB769),INDEX(AllCollegeMoneyCode, MATCH(N769,AllCollegeNCES,0)),"?")</f>
        <v>0</v>
      </c>
      <c r="BX769">
        <f>IF(OR(BW769="---",BW769="--",BW769="+/--",BW769="+/---"),1,0)</f>
        <v>0</v>
      </c>
      <c r="BY769">
        <f>BB769*AR769*AT769</f>
        <v>0</v>
      </c>
    </row>
    <row r="770" spans="1:77">
      <c r="A770" t="s">
        <v>96</v>
      </c>
      <c r="B770">
        <v>30323076</v>
      </c>
      <c r="C770" t="s">
        <v>182</v>
      </c>
      <c r="D770" t="s">
        <v>183</v>
      </c>
      <c r="E770" t="s">
        <v>446</v>
      </c>
      <c r="F770" t="s">
        <v>482</v>
      </c>
      <c r="G770" t="s">
        <v>479</v>
      </c>
      <c r="H770" t="s">
        <v>449</v>
      </c>
      <c r="I770" t="s">
        <v>450</v>
      </c>
      <c r="J770" t="s">
        <v>450</v>
      </c>
      <c r="K770">
        <v>0</v>
      </c>
      <c r="L770" t="s">
        <v>446</v>
      </c>
      <c r="M770" t="s">
        <v>446</v>
      </c>
      <c r="N770">
        <v>170976</v>
      </c>
      <c r="O770">
        <f>INDEX(Counselor,MATCH(B770,KidIDs,0))</f>
        <v>0</v>
      </c>
      <c r="P770">
        <f>INDEX(Advisors,MATCH(B770,KidIDs,0))</f>
        <v>0</v>
      </c>
      <c r="Q770">
        <f>INDEX(Cohort,MATCH(B770,KidIDs,0))</f>
        <v>0</v>
      </c>
      <c r="R770">
        <f>INDEX(AllCollegeBarrons,MATCH(N770,AllCollegeNCES,0))</f>
        <v>0</v>
      </c>
      <c r="S770">
        <f>INDEX(KidGPAs,MATCH(B770,KidIDs,0))</f>
        <v>0</v>
      </c>
      <c r="T770">
        <f>INDEX(KidSATs,MATCH(B770,KidIDs,0))</f>
        <v>0</v>
      </c>
      <c r="U770">
        <f>INDEX(Strats,MATCH(B770,KidIDs,0))</f>
        <v>0</v>
      </c>
      <c r="V770">
        <f>INDEX(KidRace,MATCH(B770,KidIDs,0))</f>
        <v>0</v>
      </c>
      <c r="W770">
        <f>IF(OR(V770="M",V770="I"),"H",IF(V770="P","A",V770))</f>
        <v>0</v>
      </c>
      <c r="X770">
        <f>INDEX(StudentTargets,MATCH(B770,KidIDs,0))</f>
        <v>0</v>
      </c>
      <c r="Y770">
        <f>INDEX(ReachStudentTargets,MATCH(B770,KidIDs,0))</f>
        <v>0</v>
      </c>
      <c r="Z770">
        <f>IF(OR(M770="Posse"),1,0)</f>
        <v>0</v>
      </c>
      <c r="AA770">
        <f>IF(ISNUMBER(INDEX(AllCollegeGR, MATCH(N770,AllCollegeNCES,0))),ROUND(INDEX(AllCollegeGR, MATCH(N770,AllCollegeNCES,0))+Z770*IF(INDEX(AllCollegeGR, MATCH(N770,AllCollegeNCES,0))&gt;0.7,(1-INDEX(AllCollegeGR, MATCH(N770,AllCollegeNCES,0)))/2,0.15),2),INDEX(AllCollegeGR, MATCH(N770,AllCollegeNCES,0)))</f>
        <v>0</v>
      </c>
      <c r="AB770">
        <f>IF(ISNUMBER(INDEX(AllCollegeAAHGR, MATCH(N770,AllCollegeNCES,0))),ROUND(INDEX(AllCollegeAAHGR, MATCH(N770,AllCollegeNCES,0))+Z770*IF(INDEX(AllCollegeAAHGR, MATCH(N770,AllCollegeNCES,0))&gt;0.7,(1-INDEX(AllCollegeAAHGR, MATCH(N770,AllCollegeNCES,0)))/2,0.15),2),INDEX(AllCollegeAAHGR, MATCH(N770,AllCollegeNCES,0)))</f>
        <v>0</v>
      </c>
      <c r="AC770">
        <f>IF(OR(W770="H",W770="B"),INDEX(AllCollegeSAT25, MATCH(N770,AllCollegeNCES,0)),INDEX(AllCollegeSAT50, MATCH(N770,AllCollegeNCES,0)))</f>
        <v>0</v>
      </c>
      <c r="AD770">
        <f>INDEX(CustomWeightsGPA,MATCH(W770&amp;":"&amp;N770,CustomWeightsIndex,0))</f>
        <v>0</v>
      </c>
      <c r="AE770">
        <f>INDEX(CustomWeightsSAT,MATCH(W770&amp;":"&amp;N770,CustomWeightsIndex,0))</f>
        <v>0</v>
      </c>
      <c r="AF770">
        <f>INDEX(CustomWeightsIntercept,MATCH(W770&amp;":"&amp;N770,CustomWeightsIndex,0))</f>
        <v>0</v>
      </c>
      <c r="AG770">
        <f>AD770*S770+AE770*T770+AF770</f>
        <v>0</v>
      </c>
      <c r="AH770">
        <f>INDEX(CoefficientsGPA,MATCH(W770&amp;":"&amp;R770,CoefficientsIndex,0))</f>
        <v>0</v>
      </c>
      <c r="AI770">
        <f>INDEX(CoefficientsSAT,MATCH(W770&amp;":"&amp;R770,CoefficientsIndex,0))</f>
        <v>0</v>
      </c>
      <c r="AJ770">
        <f>INDEX(CoefficientsIntercept,MATCH(W770&amp;":"&amp;R770,CoefficientsIndex,0))</f>
        <v>0</v>
      </c>
      <c r="AK770">
        <f>AH770*S770+(T770-AC770)*AI770+AJ770</f>
        <v>0</v>
      </c>
      <c r="AL770">
        <f>IF(ISNUMBER(AG770),AG770,AK770)</f>
        <v>0</v>
      </c>
      <c r="AM770">
        <f>IF(ISNUMBER(AL770),IF(ISNUMBER(AH770),IF(AND(AH770=1,AI770=1,AJ770=1),100,MIN(99,ROUND(100*EXP(AL770)/(1+EXP(AL770)),2))),MIN(99,ROUND(100*EXP(AL770)/(1+EXP(AL770)),2))),IF(ISTEXT(R770),IF(LEFT(R770,1)="2",100,"N/A"),"N/A"))</f>
        <v>0</v>
      </c>
      <c r="AN770">
        <f>IF(ISNUMBER(AM770),IF(AM770&gt;=99,IF(OR(U770=10,U770=11),MatchLabel,SureThingLabel),IF(AM770&gt;=95,SecureLabel,IF(AM770&gt;=80,SafetyLabel,IF(AM770&gt;=50,MatchLabel,IF(AM770&gt;=20,ReachLabel,IF(AM770&gt;=10,LongshotLabel,HailMaryLabel)))))),"Other")</f>
        <v>0</v>
      </c>
      <c r="AO770">
        <f>IF(OR(I770="accepted",I770="cond. accept",I770="summer admit"),IF(J770="yes","CHOICE!","Accepted!"),IF(I770="guar. transfer","Guar. Xfer",IF(I770="denied","Denied",IF(K770=1,"Waitlist",IF(L770=1,"Deferred",IF(G770="pending","Pending",IF(OR(G770="initial materials submitted",G770="mid-year submitted",G770="final submitted"),"Submitted",IF(H770="interest","Interest","?"))))))))</f>
        <v>0</v>
      </c>
      <c r="AP770">
        <f>IF(OR(AN770=ReachLabel,AN770=LongshotLabel,AN770=HailMaryLabel),1,0)</f>
        <v>0</v>
      </c>
      <c r="AQ770">
        <f>IF(OR(AP770=1,AN770=MatchLabel),1,0)</f>
        <v>0</v>
      </c>
      <c r="AR770">
        <f>IF(OR(AN770=MatchLabel,AN770=SafetyLabel,AN770=SecureLabel,AN770=SureThingLabel),1,0)</f>
        <v>0</v>
      </c>
      <c r="AS770">
        <f>IF(OR(W770="H",W770="B",W770="I",W770="M"),IF(ISNUMBER(AB770),ROUND(AB770,2),0),IF(ISNUMBER(AA770),ROUND(AA770,2),0))</f>
        <v>0</v>
      </c>
      <c r="AT770">
        <f>IF(AS770&gt;=X770,1,0)</f>
        <v>0</v>
      </c>
      <c r="AU770">
        <f>IF(AS770&gt;=Y770,1,0)</f>
        <v>0</v>
      </c>
      <c r="AV770">
        <f>IF(AS770&lt;(X770-0.10),1,0)</f>
        <v>0</v>
      </c>
      <c r="AW770">
        <f>1-AM770/100</f>
        <v>0</v>
      </c>
      <c r="AX770">
        <f>IF(AQ770=1,AW770,1)</f>
        <v>0</v>
      </c>
      <c r="AY770">
        <f>IF(AP770=1,AW770,1)</f>
        <v>0</v>
      </c>
      <c r="AZ770">
        <f>IF(AND(AT770=1,ISNUMBER(AW770)),$AW770,1)</f>
        <v>0</v>
      </c>
      <c r="BA770">
        <f>IF(AND(AU770=1,ISNUMBER(AW770)),$AW770,1)</f>
        <v>0</v>
      </c>
      <c r="BB770">
        <f>IF(ISNUMBER(AB770),INDEX(AllCollegeMoney, MATCH(N770,AllCollegeNCES,0)),0)</f>
        <v>0</v>
      </c>
      <c r="BC770">
        <f>IF(AND(AT770=1,ISNUMBER(AW770),BB770=1),$AW770,1)</f>
        <v>0</v>
      </c>
      <c r="BD770">
        <f>IF(AND(AU770=1,ISNUMBER(AW770),BB770=1),$AW770,1)</f>
        <v>0</v>
      </c>
      <c r="BE770">
        <f>IF(ISNUMBER(AB770),INDEX(AllCollegeILPub, MATCH(N770,AllCollegeNCES,0)),0)</f>
        <v>0</v>
      </c>
      <c r="BF770">
        <f>IF(AN770=ReachLabel,AS770,0)</f>
        <v>0</v>
      </c>
      <c r="BG770">
        <f>IF(AN770=MatchLabel,AS770,0)</f>
        <v>0</v>
      </c>
      <c r="BH770">
        <f>IF(AN770=SafetyLabel,AS770,0)</f>
        <v>0</v>
      </c>
      <c r="BI770">
        <f>IF(AN770=SecureLabel,AS770,0)</f>
        <v>0</v>
      </c>
      <c r="BJ770">
        <f>IF(AN770=SureThingLabel,AS770,0)</f>
        <v>0</v>
      </c>
      <c r="BK770">
        <f>MAX(BF770:BJ770)</f>
        <v>0</v>
      </c>
      <c r="BL770">
        <f>MAX(BG770:BJ770)</f>
        <v>0</v>
      </c>
      <c r="BM770">
        <f>MAX(BH770:BJ770)</f>
        <v>0</v>
      </c>
      <c r="BN770">
        <f>IF(AND(AN770=ReachLabel,BB770=1),AS770,0)</f>
        <v>0</v>
      </c>
      <c r="BO770">
        <f>IF(AND(AN770=MatchLabel,BB770=1),AS770,0)</f>
        <v>0</v>
      </c>
      <c r="BP770">
        <f>IF(AND(AN770=SafetyLabel,BB770=1),AS770,0)</f>
        <v>0</v>
      </c>
      <c r="BQ770">
        <f>IF(AND(AN770=SecureLabel,BB770=1),AS770,0)</f>
        <v>0</v>
      </c>
      <c r="BR770">
        <f>IF(AND(AN770=SureThingLabel,BB770=1),AS770,0)</f>
        <v>0</v>
      </c>
      <c r="BS770">
        <f>MAX(BN770:BR770)</f>
        <v>0</v>
      </c>
      <c r="BT770">
        <f>MAX(BO770:BR770)</f>
        <v>0</v>
      </c>
      <c r="BU770">
        <f>MAX(BP770:BR770)</f>
        <v>0</v>
      </c>
      <c r="BV770">
        <f>IF(ISNUMBER(AB770),INDEX(AllCollegeChicago, MATCH(N770,AllCollegeNCES,0))*BB770,0)</f>
        <v>0</v>
      </c>
      <c r="BW770">
        <f>IF(ISNUMBER(AB770),INDEX(AllCollegeMoneyCode, MATCH(N770,AllCollegeNCES,0)),"?")</f>
        <v>0</v>
      </c>
      <c r="BX770">
        <f>IF(OR(BW770="---",BW770="--",BW770="+/--",BW770="+/---"),1,0)</f>
        <v>0</v>
      </c>
      <c r="BY770">
        <f>BB770*AR770*AT770</f>
        <v>0</v>
      </c>
    </row>
    <row r="771" spans="1:77">
      <c r="A771" t="s">
        <v>96</v>
      </c>
      <c r="B771">
        <v>30323076</v>
      </c>
      <c r="C771" t="s">
        <v>182</v>
      </c>
      <c r="D771" t="s">
        <v>183</v>
      </c>
      <c r="E771" t="s">
        <v>446</v>
      </c>
      <c r="F771" t="s">
        <v>608</v>
      </c>
      <c r="G771" t="s">
        <v>448</v>
      </c>
      <c r="H771" t="s">
        <v>449</v>
      </c>
      <c r="I771" t="s">
        <v>450</v>
      </c>
      <c r="J771" t="s">
        <v>450</v>
      </c>
      <c r="K771">
        <v>0</v>
      </c>
      <c r="L771" t="s">
        <v>446</v>
      </c>
      <c r="M771" t="s">
        <v>446</v>
      </c>
      <c r="N771">
        <v>211273</v>
      </c>
      <c r="O771">
        <f>INDEX(Counselor,MATCH(B771,KidIDs,0))</f>
        <v>0</v>
      </c>
      <c r="P771">
        <f>INDEX(Advisors,MATCH(B771,KidIDs,0))</f>
        <v>0</v>
      </c>
      <c r="Q771">
        <f>INDEX(Cohort,MATCH(B771,KidIDs,0))</f>
        <v>0</v>
      </c>
      <c r="R771">
        <f>INDEX(AllCollegeBarrons,MATCH(N771,AllCollegeNCES,0))</f>
        <v>0</v>
      </c>
      <c r="S771">
        <f>INDEX(KidGPAs,MATCH(B771,KidIDs,0))</f>
        <v>0</v>
      </c>
      <c r="T771">
        <f>INDEX(KidSATs,MATCH(B771,KidIDs,0))</f>
        <v>0</v>
      </c>
      <c r="U771">
        <f>INDEX(Strats,MATCH(B771,KidIDs,0))</f>
        <v>0</v>
      </c>
      <c r="V771">
        <f>INDEX(KidRace,MATCH(B771,KidIDs,0))</f>
        <v>0</v>
      </c>
      <c r="W771">
        <f>IF(OR(V771="M",V771="I"),"H",IF(V771="P","A",V771))</f>
        <v>0</v>
      </c>
      <c r="X771">
        <f>INDEX(StudentTargets,MATCH(B771,KidIDs,0))</f>
        <v>0</v>
      </c>
      <c r="Y771">
        <f>INDEX(ReachStudentTargets,MATCH(B771,KidIDs,0))</f>
        <v>0</v>
      </c>
      <c r="Z771">
        <f>IF(OR(M771="Posse"),1,0)</f>
        <v>0</v>
      </c>
      <c r="AA771">
        <f>IF(ISNUMBER(INDEX(AllCollegeGR, MATCH(N771,AllCollegeNCES,0))),ROUND(INDEX(AllCollegeGR, MATCH(N771,AllCollegeNCES,0))+Z771*IF(INDEX(AllCollegeGR, MATCH(N771,AllCollegeNCES,0))&gt;0.7,(1-INDEX(AllCollegeGR, MATCH(N771,AllCollegeNCES,0)))/2,0.15),2),INDEX(AllCollegeGR, MATCH(N771,AllCollegeNCES,0)))</f>
        <v>0</v>
      </c>
      <c r="AB771">
        <f>IF(ISNUMBER(INDEX(AllCollegeAAHGR, MATCH(N771,AllCollegeNCES,0))),ROUND(INDEX(AllCollegeAAHGR, MATCH(N771,AllCollegeNCES,0))+Z771*IF(INDEX(AllCollegeAAHGR, MATCH(N771,AllCollegeNCES,0))&gt;0.7,(1-INDEX(AllCollegeAAHGR, MATCH(N771,AllCollegeNCES,0)))/2,0.15),2),INDEX(AllCollegeAAHGR, MATCH(N771,AllCollegeNCES,0)))</f>
        <v>0</v>
      </c>
      <c r="AC771">
        <f>IF(OR(W771="H",W771="B"),INDEX(AllCollegeSAT25, MATCH(N771,AllCollegeNCES,0)),INDEX(AllCollegeSAT50, MATCH(N771,AllCollegeNCES,0)))</f>
        <v>0</v>
      </c>
      <c r="AD771">
        <f>INDEX(CustomWeightsGPA,MATCH(W771&amp;":"&amp;N771,CustomWeightsIndex,0))</f>
        <v>0</v>
      </c>
      <c r="AE771">
        <f>INDEX(CustomWeightsSAT,MATCH(W771&amp;":"&amp;N771,CustomWeightsIndex,0))</f>
        <v>0</v>
      </c>
      <c r="AF771">
        <f>INDEX(CustomWeightsIntercept,MATCH(W771&amp;":"&amp;N771,CustomWeightsIndex,0))</f>
        <v>0</v>
      </c>
      <c r="AG771">
        <f>AD771*S771+AE771*T771+AF771</f>
        <v>0</v>
      </c>
      <c r="AH771">
        <f>INDEX(CoefficientsGPA,MATCH(W771&amp;":"&amp;R771,CoefficientsIndex,0))</f>
        <v>0</v>
      </c>
      <c r="AI771">
        <f>INDEX(CoefficientsSAT,MATCH(W771&amp;":"&amp;R771,CoefficientsIndex,0))</f>
        <v>0</v>
      </c>
      <c r="AJ771">
        <f>INDEX(CoefficientsIntercept,MATCH(W771&amp;":"&amp;R771,CoefficientsIndex,0))</f>
        <v>0</v>
      </c>
      <c r="AK771">
        <f>AH771*S771+(T771-AC771)*AI771+AJ771</f>
        <v>0</v>
      </c>
      <c r="AL771">
        <f>IF(ISNUMBER(AG771),AG771,AK771)</f>
        <v>0</v>
      </c>
      <c r="AM771">
        <f>IF(ISNUMBER(AL771),IF(ISNUMBER(AH771),IF(AND(AH771=1,AI771=1,AJ771=1),100,MIN(99,ROUND(100*EXP(AL771)/(1+EXP(AL771)),2))),MIN(99,ROUND(100*EXP(AL771)/(1+EXP(AL771)),2))),IF(ISTEXT(R771),IF(LEFT(R771,1)="2",100,"N/A"),"N/A"))</f>
        <v>0</v>
      </c>
      <c r="AN771">
        <f>IF(ISNUMBER(AM771),IF(AM771&gt;=99,IF(OR(U771=10,U771=11),MatchLabel,SureThingLabel),IF(AM771&gt;=95,SecureLabel,IF(AM771&gt;=80,SafetyLabel,IF(AM771&gt;=50,MatchLabel,IF(AM771&gt;=20,ReachLabel,IF(AM771&gt;=10,LongshotLabel,HailMaryLabel)))))),"Other")</f>
        <v>0</v>
      </c>
      <c r="AO771">
        <f>IF(OR(I771="accepted",I771="cond. accept",I771="summer admit"),IF(J771="yes","CHOICE!","Accepted!"),IF(I771="guar. transfer","Guar. Xfer",IF(I771="denied","Denied",IF(K771=1,"Waitlist",IF(L771=1,"Deferred",IF(G771="pending","Pending",IF(OR(G771="initial materials submitted",G771="mid-year submitted",G771="final submitted"),"Submitted",IF(H771="interest","Interest","?"))))))))</f>
        <v>0</v>
      </c>
      <c r="AP771">
        <f>IF(OR(AN771=ReachLabel,AN771=LongshotLabel,AN771=HailMaryLabel),1,0)</f>
        <v>0</v>
      </c>
      <c r="AQ771">
        <f>IF(OR(AP771=1,AN771=MatchLabel),1,0)</f>
        <v>0</v>
      </c>
      <c r="AR771">
        <f>IF(OR(AN771=MatchLabel,AN771=SafetyLabel,AN771=SecureLabel,AN771=SureThingLabel),1,0)</f>
        <v>0</v>
      </c>
      <c r="AS771">
        <f>IF(OR(W771="H",W771="B",W771="I",W771="M"),IF(ISNUMBER(AB771),ROUND(AB771,2),0),IF(ISNUMBER(AA771),ROUND(AA771,2),0))</f>
        <v>0</v>
      </c>
      <c r="AT771">
        <f>IF(AS771&gt;=X771,1,0)</f>
        <v>0</v>
      </c>
      <c r="AU771">
        <f>IF(AS771&gt;=Y771,1,0)</f>
        <v>0</v>
      </c>
      <c r="AV771">
        <f>IF(AS771&lt;(X771-0.10),1,0)</f>
        <v>0</v>
      </c>
      <c r="AW771">
        <f>1-AM771/100</f>
        <v>0</v>
      </c>
      <c r="AX771">
        <f>IF(AQ771=1,AW771,1)</f>
        <v>0</v>
      </c>
      <c r="AY771">
        <f>IF(AP771=1,AW771,1)</f>
        <v>0</v>
      </c>
      <c r="AZ771">
        <f>IF(AND(AT771=1,ISNUMBER(AW771)),$AW771,1)</f>
        <v>0</v>
      </c>
      <c r="BA771">
        <f>IF(AND(AU771=1,ISNUMBER(AW771)),$AW771,1)</f>
        <v>0</v>
      </c>
      <c r="BB771">
        <f>IF(ISNUMBER(AB771),INDEX(AllCollegeMoney, MATCH(N771,AllCollegeNCES,0)),0)</f>
        <v>0</v>
      </c>
      <c r="BC771">
        <f>IF(AND(AT771=1,ISNUMBER(AW771),BB771=1),$AW771,1)</f>
        <v>0</v>
      </c>
      <c r="BD771">
        <f>IF(AND(AU771=1,ISNUMBER(AW771),BB771=1),$AW771,1)</f>
        <v>0</v>
      </c>
      <c r="BE771">
        <f>IF(ISNUMBER(AB771),INDEX(AllCollegeILPub, MATCH(N771,AllCollegeNCES,0)),0)</f>
        <v>0</v>
      </c>
      <c r="BF771">
        <f>IF(AN771=ReachLabel,AS771,0)</f>
        <v>0</v>
      </c>
      <c r="BG771">
        <f>IF(AN771=MatchLabel,AS771,0)</f>
        <v>0</v>
      </c>
      <c r="BH771">
        <f>IF(AN771=SafetyLabel,AS771,0)</f>
        <v>0</v>
      </c>
      <c r="BI771">
        <f>IF(AN771=SecureLabel,AS771,0)</f>
        <v>0</v>
      </c>
      <c r="BJ771">
        <f>IF(AN771=SureThingLabel,AS771,0)</f>
        <v>0</v>
      </c>
      <c r="BK771">
        <f>MAX(BF771:BJ771)</f>
        <v>0</v>
      </c>
      <c r="BL771">
        <f>MAX(BG771:BJ771)</f>
        <v>0</v>
      </c>
      <c r="BM771">
        <f>MAX(BH771:BJ771)</f>
        <v>0</v>
      </c>
      <c r="BN771">
        <f>IF(AND(AN771=ReachLabel,BB771=1),AS771,0)</f>
        <v>0</v>
      </c>
      <c r="BO771">
        <f>IF(AND(AN771=MatchLabel,BB771=1),AS771,0)</f>
        <v>0</v>
      </c>
      <c r="BP771">
        <f>IF(AND(AN771=SafetyLabel,BB771=1),AS771,0)</f>
        <v>0</v>
      </c>
      <c r="BQ771">
        <f>IF(AND(AN771=SecureLabel,BB771=1),AS771,0)</f>
        <v>0</v>
      </c>
      <c r="BR771">
        <f>IF(AND(AN771=SureThingLabel,BB771=1),AS771,0)</f>
        <v>0</v>
      </c>
      <c r="BS771">
        <f>MAX(BN771:BR771)</f>
        <v>0</v>
      </c>
      <c r="BT771">
        <f>MAX(BO771:BR771)</f>
        <v>0</v>
      </c>
      <c r="BU771">
        <f>MAX(BP771:BR771)</f>
        <v>0</v>
      </c>
      <c r="BV771">
        <f>IF(ISNUMBER(AB771),INDEX(AllCollegeChicago, MATCH(N771,AllCollegeNCES,0))*BB771,0)</f>
        <v>0</v>
      </c>
      <c r="BW771">
        <f>IF(ISNUMBER(AB771),INDEX(AllCollegeMoneyCode, MATCH(N771,AllCollegeNCES,0)),"?")</f>
        <v>0</v>
      </c>
      <c r="BX771">
        <f>IF(OR(BW771="---",BW771="--",BW771="+/--",BW771="+/---"),1,0)</f>
        <v>0</v>
      </c>
      <c r="BY771">
        <f>BB771*AR771*AT771</f>
        <v>0</v>
      </c>
    </row>
    <row r="772" spans="1:77">
      <c r="A772" t="s">
        <v>96</v>
      </c>
      <c r="B772">
        <v>30323076</v>
      </c>
      <c r="C772" t="s">
        <v>182</v>
      </c>
      <c r="D772" t="s">
        <v>183</v>
      </c>
      <c r="E772" t="s">
        <v>446</v>
      </c>
      <c r="F772" t="s">
        <v>470</v>
      </c>
      <c r="G772" t="s">
        <v>448</v>
      </c>
      <c r="H772" t="s">
        <v>449</v>
      </c>
      <c r="I772" t="s">
        <v>450</v>
      </c>
      <c r="J772" t="s">
        <v>450</v>
      </c>
      <c r="K772">
        <v>0</v>
      </c>
      <c r="L772" t="s">
        <v>446</v>
      </c>
      <c r="M772" t="s">
        <v>446</v>
      </c>
      <c r="N772">
        <v>240444</v>
      </c>
      <c r="O772">
        <f>INDEX(Counselor,MATCH(B772,KidIDs,0))</f>
        <v>0</v>
      </c>
      <c r="P772">
        <f>INDEX(Advisors,MATCH(B772,KidIDs,0))</f>
        <v>0</v>
      </c>
      <c r="Q772">
        <f>INDEX(Cohort,MATCH(B772,KidIDs,0))</f>
        <v>0</v>
      </c>
      <c r="R772">
        <f>INDEX(AllCollegeBarrons,MATCH(N772,AllCollegeNCES,0))</f>
        <v>0</v>
      </c>
      <c r="S772">
        <f>INDEX(KidGPAs,MATCH(B772,KidIDs,0))</f>
        <v>0</v>
      </c>
      <c r="T772">
        <f>INDEX(KidSATs,MATCH(B772,KidIDs,0))</f>
        <v>0</v>
      </c>
      <c r="U772">
        <f>INDEX(Strats,MATCH(B772,KidIDs,0))</f>
        <v>0</v>
      </c>
      <c r="V772">
        <f>INDEX(KidRace,MATCH(B772,KidIDs,0))</f>
        <v>0</v>
      </c>
      <c r="W772">
        <f>IF(OR(V772="M",V772="I"),"H",IF(V772="P","A",V772))</f>
        <v>0</v>
      </c>
      <c r="X772">
        <f>INDEX(StudentTargets,MATCH(B772,KidIDs,0))</f>
        <v>0</v>
      </c>
      <c r="Y772">
        <f>INDEX(ReachStudentTargets,MATCH(B772,KidIDs,0))</f>
        <v>0</v>
      </c>
      <c r="Z772">
        <f>IF(OR(M772="Posse"),1,0)</f>
        <v>0</v>
      </c>
      <c r="AA772">
        <f>IF(ISNUMBER(INDEX(AllCollegeGR, MATCH(N772,AllCollegeNCES,0))),ROUND(INDEX(AllCollegeGR, MATCH(N772,AllCollegeNCES,0))+Z772*IF(INDEX(AllCollegeGR, MATCH(N772,AllCollegeNCES,0))&gt;0.7,(1-INDEX(AllCollegeGR, MATCH(N772,AllCollegeNCES,0)))/2,0.15),2),INDEX(AllCollegeGR, MATCH(N772,AllCollegeNCES,0)))</f>
        <v>0</v>
      </c>
      <c r="AB772">
        <f>IF(ISNUMBER(INDEX(AllCollegeAAHGR, MATCH(N772,AllCollegeNCES,0))),ROUND(INDEX(AllCollegeAAHGR, MATCH(N772,AllCollegeNCES,0))+Z772*IF(INDEX(AllCollegeAAHGR, MATCH(N772,AllCollegeNCES,0))&gt;0.7,(1-INDEX(AllCollegeAAHGR, MATCH(N772,AllCollegeNCES,0)))/2,0.15),2),INDEX(AllCollegeAAHGR, MATCH(N772,AllCollegeNCES,0)))</f>
        <v>0</v>
      </c>
      <c r="AC772">
        <f>IF(OR(W772="H",W772="B"),INDEX(AllCollegeSAT25, MATCH(N772,AllCollegeNCES,0)),INDEX(AllCollegeSAT50, MATCH(N772,AllCollegeNCES,0)))</f>
        <v>0</v>
      </c>
      <c r="AD772">
        <f>INDEX(CustomWeightsGPA,MATCH(W772&amp;":"&amp;N772,CustomWeightsIndex,0))</f>
        <v>0</v>
      </c>
      <c r="AE772">
        <f>INDEX(CustomWeightsSAT,MATCH(W772&amp;":"&amp;N772,CustomWeightsIndex,0))</f>
        <v>0</v>
      </c>
      <c r="AF772">
        <f>INDEX(CustomWeightsIntercept,MATCH(W772&amp;":"&amp;N772,CustomWeightsIndex,0))</f>
        <v>0</v>
      </c>
      <c r="AG772">
        <f>AD772*S772+AE772*T772+AF772</f>
        <v>0</v>
      </c>
      <c r="AH772">
        <f>INDEX(CoefficientsGPA,MATCH(W772&amp;":"&amp;R772,CoefficientsIndex,0))</f>
        <v>0</v>
      </c>
      <c r="AI772">
        <f>INDEX(CoefficientsSAT,MATCH(W772&amp;":"&amp;R772,CoefficientsIndex,0))</f>
        <v>0</v>
      </c>
      <c r="AJ772">
        <f>INDEX(CoefficientsIntercept,MATCH(W772&amp;":"&amp;R772,CoefficientsIndex,0))</f>
        <v>0</v>
      </c>
      <c r="AK772">
        <f>AH772*S772+(T772-AC772)*AI772+AJ772</f>
        <v>0</v>
      </c>
      <c r="AL772">
        <f>IF(ISNUMBER(AG772),AG772,AK772)</f>
        <v>0</v>
      </c>
      <c r="AM772">
        <f>IF(ISNUMBER(AL772),IF(ISNUMBER(AH772),IF(AND(AH772=1,AI772=1,AJ772=1),100,MIN(99,ROUND(100*EXP(AL772)/(1+EXP(AL772)),2))),MIN(99,ROUND(100*EXP(AL772)/(1+EXP(AL772)),2))),IF(ISTEXT(R772),IF(LEFT(R772,1)="2",100,"N/A"),"N/A"))</f>
        <v>0</v>
      </c>
      <c r="AN772">
        <f>IF(ISNUMBER(AM772),IF(AM772&gt;=99,IF(OR(U772=10,U772=11),MatchLabel,SureThingLabel),IF(AM772&gt;=95,SecureLabel,IF(AM772&gt;=80,SafetyLabel,IF(AM772&gt;=50,MatchLabel,IF(AM772&gt;=20,ReachLabel,IF(AM772&gt;=10,LongshotLabel,HailMaryLabel)))))),"Other")</f>
        <v>0</v>
      </c>
      <c r="AO772">
        <f>IF(OR(I772="accepted",I772="cond. accept",I772="summer admit"),IF(J772="yes","CHOICE!","Accepted!"),IF(I772="guar. transfer","Guar. Xfer",IF(I772="denied","Denied",IF(K772=1,"Waitlist",IF(L772=1,"Deferred",IF(G772="pending","Pending",IF(OR(G772="initial materials submitted",G772="mid-year submitted",G772="final submitted"),"Submitted",IF(H772="interest","Interest","?"))))))))</f>
        <v>0</v>
      </c>
      <c r="AP772">
        <f>IF(OR(AN772=ReachLabel,AN772=LongshotLabel,AN772=HailMaryLabel),1,0)</f>
        <v>0</v>
      </c>
      <c r="AQ772">
        <f>IF(OR(AP772=1,AN772=MatchLabel),1,0)</f>
        <v>0</v>
      </c>
      <c r="AR772">
        <f>IF(OR(AN772=MatchLabel,AN772=SafetyLabel,AN772=SecureLabel,AN772=SureThingLabel),1,0)</f>
        <v>0</v>
      </c>
      <c r="AS772">
        <f>IF(OR(W772="H",W772="B",W772="I",W772="M"),IF(ISNUMBER(AB772),ROUND(AB772,2),0),IF(ISNUMBER(AA772),ROUND(AA772,2),0))</f>
        <v>0</v>
      </c>
      <c r="AT772">
        <f>IF(AS772&gt;=X772,1,0)</f>
        <v>0</v>
      </c>
      <c r="AU772">
        <f>IF(AS772&gt;=Y772,1,0)</f>
        <v>0</v>
      </c>
      <c r="AV772">
        <f>IF(AS772&lt;(X772-0.10),1,0)</f>
        <v>0</v>
      </c>
      <c r="AW772">
        <f>1-AM772/100</f>
        <v>0</v>
      </c>
      <c r="AX772">
        <f>IF(AQ772=1,AW772,1)</f>
        <v>0</v>
      </c>
      <c r="AY772">
        <f>IF(AP772=1,AW772,1)</f>
        <v>0</v>
      </c>
      <c r="AZ772">
        <f>IF(AND(AT772=1,ISNUMBER(AW772)),$AW772,1)</f>
        <v>0</v>
      </c>
      <c r="BA772">
        <f>IF(AND(AU772=1,ISNUMBER(AW772)),$AW772,1)</f>
        <v>0</v>
      </c>
      <c r="BB772">
        <f>IF(ISNUMBER(AB772),INDEX(AllCollegeMoney, MATCH(N772,AllCollegeNCES,0)),0)</f>
        <v>0</v>
      </c>
      <c r="BC772">
        <f>IF(AND(AT772=1,ISNUMBER(AW772),BB772=1),$AW772,1)</f>
        <v>0</v>
      </c>
      <c r="BD772">
        <f>IF(AND(AU772=1,ISNUMBER(AW772),BB772=1),$AW772,1)</f>
        <v>0</v>
      </c>
      <c r="BE772">
        <f>IF(ISNUMBER(AB772),INDEX(AllCollegeILPub, MATCH(N772,AllCollegeNCES,0)),0)</f>
        <v>0</v>
      </c>
      <c r="BF772">
        <f>IF(AN772=ReachLabel,AS772,0)</f>
        <v>0</v>
      </c>
      <c r="BG772">
        <f>IF(AN772=MatchLabel,AS772,0)</f>
        <v>0</v>
      </c>
      <c r="BH772">
        <f>IF(AN772=SafetyLabel,AS772,0)</f>
        <v>0</v>
      </c>
      <c r="BI772">
        <f>IF(AN772=SecureLabel,AS772,0)</f>
        <v>0</v>
      </c>
      <c r="BJ772">
        <f>IF(AN772=SureThingLabel,AS772,0)</f>
        <v>0</v>
      </c>
      <c r="BK772">
        <f>MAX(BF772:BJ772)</f>
        <v>0</v>
      </c>
      <c r="BL772">
        <f>MAX(BG772:BJ772)</f>
        <v>0</v>
      </c>
      <c r="BM772">
        <f>MAX(BH772:BJ772)</f>
        <v>0</v>
      </c>
      <c r="BN772">
        <f>IF(AND(AN772=ReachLabel,BB772=1),AS772,0)</f>
        <v>0</v>
      </c>
      <c r="BO772">
        <f>IF(AND(AN772=MatchLabel,BB772=1),AS772,0)</f>
        <v>0</v>
      </c>
      <c r="BP772">
        <f>IF(AND(AN772=SafetyLabel,BB772=1),AS772,0)</f>
        <v>0</v>
      </c>
      <c r="BQ772">
        <f>IF(AND(AN772=SecureLabel,BB772=1),AS772,0)</f>
        <v>0</v>
      </c>
      <c r="BR772">
        <f>IF(AND(AN772=SureThingLabel,BB772=1),AS772,0)</f>
        <v>0</v>
      </c>
      <c r="BS772">
        <f>MAX(BN772:BR772)</f>
        <v>0</v>
      </c>
      <c r="BT772">
        <f>MAX(BO772:BR772)</f>
        <v>0</v>
      </c>
      <c r="BU772">
        <f>MAX(BP772:BR772)</f>
        <v>0</v>
      </c>
      <c r="BV772">
        <f>IF(ISNUMBER(AB772),INDEX(AllCollegeChicago, MATCH(N772,AllCollegeNCES,0))*BB772,0)</f>
        <v>0</v>
      </c>
      <c r="BW772">
        <f>IF(ISNUMBER(AB772),INDEX(AllCollegeMoneyCode, MATCH(N772,AllCollegeNCES,0)),"?")</f>
        <v>0</v>
      </c>
      <c r="BX772">
        <f>IF(OR(BW772="---",BW772="--",BW772="+/--",BW772="+/---"),1,0)</f>
        <v>0</v>
      </c>
      <c r="BY772">
        <f>BB772*AR772*AT772</f>
        <v>0</v>
      </c>
    </row>
    <row r="773" spans="1:77">
      <c r="A773" t="s">
        <v>96</v>
      </c>
      <c r="B773">
        <v>30323076</v>
      </c>
      <c r="C773" t="s">
        <v>182</v>
      </c>
      <c r="D773" t="s">
        <v>183</v>
      </c>
      <c r="E773" t="s">
        <v>446</v>
      </c>
      <c r="F773" t="s">
        <v>484</v>
      </c>
      <c r="G773" t="s">
        <v>448</v>
      </c>
      <c r="H773" t="s">
        <v>449</v>
      </c>
      <c r="I773" t="s">
        <v>450</v>
      </c>
      <c r="J773" t="s">
        <v>450</v>
      </c>
      <c r="K773">
        <v>0</v>
      </c>
      <c r="L773" t="s">
        <v>446</v>
      </c>
      <c r="M773" t="s">
        <v>446</v>
      </c>
      <c r="N773">
        <v>213385</v>
      </c>
      <c r="O773">
        <f>INDEX(Counselor,MATCH(B773,KidIDs,0))</f>
        <v>0</v>
      </c>
      <c r="P773">
        <f>INDEX(Advisors,MATCH(B773,KidIDs,0))</f>
        <v>0</v>
      </c>
      <c r="Q773">
        <f>INDEX(Cohort,MATCH(B773,KidIDs,0))</f>
        <v>0</v>
      </c>
      <c r="R773">
        <f>INDEX(AllCollegeBarrons,MATCH(N773,AllCollegeNCES,0))</f>
        <v>0</v>
      </c>
      <c r="S773">
        <f>INDEX(KidGPAs,MATCH(B773,KidIDs,0))</f>
        <v>0</v>
      </c>
      <c r="T773">
        <f>INDEX(KidSATs,MATCH(B773,KidIDs,0))</f>
        <v>0</v>
      </c>
      <c r="U773">
        <f>INDEX(Strats,MATCH(B773,KidIDs,0))</f>
        <v>0</v>
      </c>
      <c r="V773">
        <f>INDEX(KidRace,MATCH(B773,KidIDs,0))</f>
        <v>0</v>
      </c>
      <c r="W773">
        <f>IF(OR(V773="M",V773="I"),"H",IF(V773="P","A",V773))</f>
        <v>0</v>
      </c>
      <c r="X773">
        <f>INDEX(StudentTargets,MATCH(B773,KidIDs,0))</f>
        <v>0</v>
      </c>
      <c r="Y773">
        <f>INDEX(ReachStudentTargets,MATCH(B773,KidIDs,0))</f>
        <v>0</v>
      </c>
      <c r="Z773">
        <f>IF(OR(M773="Posse"),1,0)</f>
        <v>0</v>
      </c>
      <c r="AA773">
        <f>IF(ISNUMBER(INDEX(AllCollegeGR, MATCH(N773,AllCollegeNCES,0))),ROUND(INDEX(AllCollegeGR, MATCH(N773,AllCollegeNCES,0))+Z773*IF(INDEX(AllCollegeGR, MATCH(N773,AllCollegeNCES,0))&gt;0.7,(1-INDEX(AllCollegeGR, MATCH(N773,AllCollegeNCES,0)))/2,0.15),2),INDEX(AllCollegeGR, MATCH(N773,AllCollegeNCES,0)))</f>
        <v>0</v>
      </c>
      <c r="AB773">
        <f>IF(ISNUMBER(INDEX(AllCollegeAAHGR, MATCH(N773,AllCollegeNCES,0))),ROUND(INDEX(AllCollegeAAHGR, MATCH(N773,AllCollegeNCES,0))+Z773*IF(INDEX(AllCollegeAAHGR, MATCH(N773,AllCollegeNCES,0))&gt;0.7,(1-INDEX(AllCollegeAAHGR, MATCH(N773,AllCollegeNCES,0)))/2,0.15),2),INDEX(AllCollegeAAHGR, MATCH(N773,AllCollegeNCES,0)))</f>
        <v>0</v>
      </c>
      <c r="AC773">
        <f>IF(OR(W773="H",W773="B"),INDEX(AllCollegeSAT25, MATCH(N773,AllCollegeNCES,0)),INDEX(AllCollegeSAT50, MATCH(N773,AllCollegeNCES,0)))</f>
        <v>0</v>
      </c>
      <c r="AD773">
        <f>INDEX(CustomWeightsGPA,MATCH(W773&amp;":"&amp;N773,CustomWeightsIndex,0))</f>
        <v>0</v>
      </c>
      <c r="AE773">
        <f>INDEX(CustomWeightsSAT,MATCH(W773&amp;":"&amp;N773,CustomWeightsIndex,0))</f>
        <v>0</v>
      </c>
      <c r="AF773">
        <f>INDEX(CustomWeightsIntercept,MATCH(W773&amp;":"&amp;N773,CustomWeightsIndex,0))</f>
        <v>0</v>
      </c>
      <c r="AG773">
        <f>AD773*S773+AE773*T773+AF773</f>
        <v>0</v>
      </c>
      <c r="AH773">
        <f>INDEX(CoefficientsGPA,MATCH(W773&amp;":"&amp;R773,CoefficientsIndex,0))</f>
        <v>0</v>
      </c>
      <c r="AI773">
        <f>INDEX(CoefficientsSAT,MATCH(W773&amp;":"&amp;R773,CoefficientsIndex,0))</f>
        <v>0</v>
      </c>
      <c r="AJ773">
        <f>INDEX(CoefficientsIntercept,MATCH(W773&amp;":"&amp;R773,CoefficientsIndex,0))</f>
        <v>0</v>
      </c>
      <c r="AK773">
        <f>AH773*S773+(T773-AC773)*AI773+AJ773</f>
        <v>0</v>
      </c>
      <c r="AL773">
        <f>IF(ISNUMBER(AG773),AG773,AK773)</f>
        <v>0</v>
      </c>
      <c r="AM773">
        <f>IF(ISNUMBER(AL773),IF(ISNUMBER(AH773),IF(AND(AH773=1,AI773=1,AJ773=1),100,MIN(99,ROUND(100*EXP(AL773)/(1+EXP(AL773)),2))),MIN(99,ROUND(100*EXP(AL773)/(1+EXP(AL773)),2))),IF(ISTEXT(R773),IF(LEFT(R773,1)="2",100,"N/A"),"N/A"))</f>
        <v>0</v>
      </c>
      <c r="AN773">
        <f>IF(ISNUMBER(AM773),IF(AM773&gt;=99,IF(OR(U773=10,U773=11),MatchLabel,SureThingLabel),IF(AM773&gt;=95,SecureLabel,IF(AM773&gt;=80,SafetyLabel,IF(AM773&gt;=50,MatchLabel,IF(AM773&gt;=20,ReachLabel,IF(AM773&gt;=10,LongshotLabel,HailMaryLabel)))))),"Other")</f>
        <v>0</v>
      </c>
      <c r="AO773">
        <f>IF(OR(I773="accepted",I773="cond. accept",I773="summer admit"),IF(J773="yes","CHOICE!","Accepted!"),IF(I773="guar. transfer","Guar. Xfer",IF(I773="denied","Denied",IF(K773=1,"Waitlist",IF(L773=1,"Deferred",IF(G773="pending","Pending",IF(OR(G773="initial materials submitted",G773="mid-year submitted",G773="final submitted"),"Submitted",IF(H773="interest","Interest","?"))))))))</f>
        <v>0</v>
      </c>
      <c r="AP773">
        <f>IF(OR(AN773=ReachLabel,AN773=LongshotLabel,AN773=HailMaryLabel),1,0)</f>
        <v>0</v>
      </c>
      <c r="AQ773">
        <f>IF(OR(AP773=1,AN773=MatchLabel),1,0)</f>
        <v>0</v>
      </c>
      <c r="AR773">
        <f>IF(OR(AN773=MatchLabel,AN773=SafetyLabel,AN773=SecureLabel,AN773=SureThingLabel),1,0)</f>
        <v>0</v>
      </c>
      <c r="AS773">
        <f>IF(OR(W773="H",W773="B",W773="I",W773="M"),IF(ISNUMBER(AB773),ROUND(AB773,2),0),IF(ISNUMBER(AA773),ROUND(AA773,2),0))</f>
        <v>0</v>
      </c>
      <c r="AT773">
        <f>IF(AS773&gt;=X773,1,0)</f>
        <v>0</v>
      </c>
      <c r="AU773">
        <f>IF(AS773&gt;=Y773,1,0)</f>
        <v>0</v>
      </c>
      <c r="AV773">
        <f>IF(AS773&lt;(X773-0.10),1,0)</f>
        <v>0</v>
      </c>
      <c r="AW773">
        <f>1-AM773/100</f>
        <v>0</v>
      </c>
      <c r="AX773">
        <f>IF(AQ773=1,AW773,1)</f>
        <v>0</v>
      </c>
      <c r="AY773">
        <f>IF(AP773=1,AW773,1)</f>
        <v>0</v>
      </c>
      <c r="AZ773">
        <f>IF(AND(AT773=1,ISNUMBER(AW773)),$AW773,1)</f>
        <v>0</v>
      </c>
      <c r="BA773">
        <f>IF(AND(AU773=1,ISNUMBER(AW773)),$AW773,1)</f>
        <v>0</v>
      </c>
      <c r="BB773">
        <f>IF(ISNUMBER(AB773),INDEX(AllCollegeMoney, MATCH(N773,AllCollegeNCES,0)),0)</f>
        <v>0</v>
      </c>
      <c r="BC773">
        <f>IF(AND(AT773=1,ISNUMBER(AW773),BB773=1),$AW773,1)</f>
        <v>0</v>
      </c>
      <c r="BD773">
        <f>IF(AND(AU773=1,ISNUMBER(AW773),BB773=1),$AW773,1)</f>
        <v>0</v>
      </c>
      <c r="BE773">
        <f>IF(ISNUMBER(AB773),INDEX(AllCollegeILPub, MATCH(N773,AllCollegeNCES,0)),0)</f>
        <v>0</v>
      </c>
      <c r="BF773">
        <f>IF(AN773=ReachLabel,AS773,0)</f>
        <v>0</v>
      </c>
      <c r="BG773">
        <f>IF(AN773=MatchLabel,AS773,0)</f>
        <v>0</v>
      </c>
      <c r="BH773">
        <f>IF(AN773=SafetyLabel,AS773,0)</f>
        <v>0</v>
      </c>
      <c r="BI773">
        <f>IF(AN773=SecureLabel,AS773,0)</f>
        <v>0</v>
      </c>
      <c r="BJ773">
        <f>IF(AN773=SureThingLabel,AS773,0)</f>
        <v>0</v>
      </c>
      <c r="BK773">
        <f>MAX(BF773:BJ773)</f>
        <v>0</v>
      </c>
      <c r="BL773">
        <f>MAX(BG773:BJ773)</f>
        <v>0</v>
      </c>
      <c r="BM773">
        <f>MAX(BH773:BJ773)</f>
        <v>0</v>
      </c>
      <c r="BN773">
        <f>IF(AND(AN773=ReachLabel,BB773=1),AS773,0)</f>
        <v>0</v>
      </c>
      <c r="BO773">
        <f>IF(AND(AN773=MatchLabel,BB773=1),AS773,0)</f>
        <v>0</v>
      </c>
      <c r="BP773">
        <f>IF(AND(AN773=SafetyLabel,BB773=1),AS773,0)</f>
        <v>0</v>
      </c>
      <c r="BQ773">
        <f>IF(AND(AN773=SecureLabel,BB773=1),AS773,0)</f>
        <v>0</v>
      </c>
      <c r="BR773">
        <f>IF(AND(AN773=SureThingLabel,BB773=1),AS773,0)</f>
        <v>0</v>
      </c>
      <c r="BS773">
        <f>MAX(BN773:BR773)</f>
        <v>0</v>
      </c>
      <c r="BT773">
        <f>MAX(BO773:BR773)</f>
        <v>0</v>
      </c>
      <c r="BU773">
        <f>MAX(BP773:BR773)</f>
        <v>0</v>
      </c>
      <c r="BV773">
        <f>IF(ISNUMBER(AB773),INDEX(AllCollegeChicago, MATCH(N773,AllCollegeNCES,0))*BB773,0)</f>
        <v>0</v>
      </c>
      <c r="BW773">
        <f>IF(ISNUMBER(AB773),INDEX(AllCollegeMoneyCode, MATCH(N773,AllCollegeNCES,0)),"?")</f>
        <v>0</v>
      </c>
      <c r="BX773">
        <f>IF(OR(BW773="---",BW773="--",BW773="+/--",BW773="+/---"),1,0)</f>
        <v>0</v>
      </c>
      <c r="BY773">
        <f>BB773*AR773*AT773</f>
        <v>0</v>
      </c>
    </row>
    <row r="774" spans="1:77">
      <c r="A774" t="s">
        <v>96</v>
      </c>
      <c r="B774">
        <v>30323076</v>
      </c>
      <c r="C774" t="s">
        <v>182</v>
      </c>
      <c r="D774" t="s">
        <v>183</v>
      </c>
      <c r="E774" t="s">
        <v>446</v>
      </c>
      <c r="F774" t="s">
        <v>471</v>
      </c>
      <c r="G774" t="s">
        <v>448</v>
      </c>
      <c r="H774" t="s">
        <v>449</v>
      </c>
      <c r="I774" t="s">
        <v>450</v>
      </c>
      <c r="J774" t="s">
        <v>450</v>
      </c>
      <c r="K774">
        <v>0</v>
      </c>
      <c r="L774" t="s">
        <v>446</v>
      </c>
      <c r="M774" t="s">
        <v>446</v>
      </c>
      <c r="N774">
        <v>202523</v>
      </c>
      <c r="O774">
        <f>INDEX(Counselor,MATCH(B774,KidIDs,0))</f>
        <v>0</v>
      </c>
      <c r="P774">
        <f>INDEX(Advisors,MATCH(B774,KidIDs,0))</f>
        <v>0</v>
      </c>
      <c r="Q774">
        <f>INDEX(Cohort,MATCH(B774,KidIDs,0))</f>
        <v>0</v>
      </c>
      <c r="R774">
        <f>INDEX(AllCollegeBarrons,MATCH(N774,AllCollegeNCES,0))</f>
        <v>0</v>
      </c>
      <c r="S774">
        <f>INDEX(KidGPAs,MATCH(B774,KidIDs,0))</f>
        <v>0</v>
      </c>
      <c r="T774">
        <f>INDEX(KidSATs,MATCH(B774,KidIDs,0))</f>
        <v>0</v>
      </c>
      <c r="U774">
        <f>INDEX(Strats,MATCH(B774,KidIDs,0))</f>
        <v>0</v>
      </c>
      <c r="V774">
        <f>INDEX(KidRace,MATCH(B774,KidIDs,0))</f>
        <v>0</v>
      </c>
      <c r="W774">
        <f>IF(OR(V774="M",V774="I"),"H",IF(V774="P","A",V774))</f>
        <v>0</v>
      </c>
      <c r="X774">
        <f>INDEX(StudentTargets,MATCH(B774,KidIDs,0))</f>
        <v>0</v>
      </c>
      <c r="Y774">
        <f>INDEX(ReachStudentTargets,MATCH(B774,KidIDs,0))</f>
        <v>0</v>
      </c>
      <c r="Z774">
        <f>IF(OR(M774="Posse"),1,0)</f>
        <v>0</v>
      </c>
      <c r="AA774">
        <f>IF(ISNUMBER(INDEX(AllCollegeGR, MATCH(N774,AllCollegeNCES,0))),ROUND(INDEX(AllCollegeGR, MATCH(N774,AllCollegeNCES,0))+Z774*IF(INDEX(AllCollegeGR, MATCH(N774,AllCollegeNCES,0))&gt;0.7,(1-INDEX(AllCollegeGR, MATCH(N774,AllCollegeNCES,0)))/2,0.15),2),INDEX(AllCollegeGR, MATCH(N774,AllCollegeNCES,0)))</f>
        <v>0</v>
      </c>
      <c r="AB774">
        <f>IF(ISNUMBER(INDEX(AllCollegeAAHGR, MATCH(N774,AllCollegeNCES,0))),ROUND(INDEX(AllCollegeAAHGR, MATCH(N774,AllCollegeNCES,0))+Z774*IF(INDEX(AllCollegeAAHGR, MATCH(N774,AllCollegeNCES,0))&gt;0.7,(1-INDEX(AllCollegeAAHGR, MATCH(N774,AllCollegeNCES,0)))/2,0.15),2),INDEX(AllCollegeAAHGR, MATCH(N774,AllCollegeNCES,0)))</f>
        <v>0</v>
      </c>
      <c r="AC774">
        <f>IF(OR(W774="H",W774="B"),INDEX(AllCollegeSAT25, MATCH(N774,AllCollegeNCES,0)),INDEX(AllCollegeSAT50, MATCH(N774,AllCollegeNCES,0)))</f>
        <v>0</v>
      </c>
      <c r="AD774">
        <f>INDEX(CustomWeightsGPA,MATCH(W774&amp;":"&amp;N774,CustomWeightsIndex,0))</f>
        <v>0</v>
      </c>
      <c r="AE774">
        <f>INDEX(CustomWeightsSAT,MATCH(W774&amp;":"&amp;N774,CustomWeightsIndex,0))</f>
        <v>0</v>
      </c>
      <c r="AF774">
        <f>INDEX(CustomWeightsIntercept,MATCH(W774&amp;":"&amp;N774,CustomWeightsIndex,0))</f>
        <v>0</v>
      </c>
      <c r="AG774">
        <f>AD774*S774+AE774*T774+AF774</f>
        <v>0</v>
      </c>
      <c r="AH774">
        <f>INDEX(CoefficientsGPA,MATCH(W774&amp;":"&amp;R774,CoefficientsIndex,0))</f>
        <v>0</v>
      </c>
      <c r="AI774">
        <f>INDEX(CoefficientsSAT,MATCH(W774&amp;":"&amp;R774,CoefficientsIndex,0))</f>
        <v>0</v>
      </c>
      <c r="AJ774">
        <f>INDEX(CoefficientsIntercept,MATCH(W774&amp;":"&amp;R774,CoefficientsIndex,0))</f>
        <v>0</v>
      </c>
      <c r="AK774">
        <f>AH774*S774+(T774-AC774)*AI774+AJ774</f>
        <v>0</v>
      </c>
      <c r="AL774">
        <f>IF(ISNUMBER(AG774),AG774,AK774)</f>
        <v>0</v>
      </c>
      <c r="AM774">
        <f>IF(ISNUMBER(AL774),IF(ISNUMBER(AH774),IF(AND(AH774=1,AI774=1,AJ774=1),100,MIN(99,ROUND(100*EXP(AL774)/(1+EXP(AL774)),2))),MIN(99,ROUND(100*EXP(AL774)/(1+EXP(AL774)),2))),IF(ISTEXT(R774),IF(LEFT(R774,1)="2",100,"N/A"),"N/A"))</f>
        <v>0</v>
      </c>
      <c r="AN774">
        <f>IF(ISNUMBER(AM774),IF(AM774&gt;=99,IF(OR(U774=10,U774=11),MatchLabel,SureThingLabel),IF(AM774&gt;=95,SecureLabel,IF(AM774&gt;=80,SafetyLabel,IF(AM774&gt;=50,MatchLabel,IF(AM774&gt;=20,ReachLabel,IF(AM774&gt;=10,LongshotLabel,HailMaryLabel)))))),"Other")</f>
        <v>0</v>
      </c>
      <c r="AO774">
        <f>IF(OR(I774="accepted",I774="cond. accept",I774="summer admit"),IF(J774="yes","CHOICE!","Accepted!"),IF(I774="guar. transfer","Guar. Xfer",IF(I774="denied","Denied",IF(K774=1,"Waitlist",IF(L774=1,"Deferred",IF(G774="pending","Pending",IF(OR(G774="initial materials submitted",G774="mid-year submitted",G774="final submitted"),"Submitted",IF(H774="interest","Interest","?"))))))))</f>
        <v>0</v>
      </c>
      <c r="AP774">
        <f>IF(OR(AN774=ReachLabel,AN774=LongshotLabel,AN774=HailMaryLabel),1,0)</f>
        <v>0</v>
      </c>
      <c r="AQ774">
        <f>IF(OR(AP774=1,AN774=MatchLabel),1,0)</f>
        <v>0</v>
      </c>
      <c r="AR774">
        <f>IF(OR(AN774=MatchLabel,AN774=SafetyLabel,AN774=SecureLabel,AN774=SureThingLabel),1,0)</f>
        <v>0</v>
      </c>
      <c r="AS774">
        <f>IF(OR(W774="H",W774="B",W774="I",W774="M"),IF(ISNUMBER(AB774),ROUND(AB774,2),0),IF(ISNUMBER(AA774),ROUND(AA774,2),0))</f>
        <v>0</v>
      </c>
      <c r="AT774">
        <f>IF(AS774&gt;=X774,1,0)</f>
        <v>0</v>
      </c>
      <c r="AU774">
        <f>IF(AS774&gt;=Y774,1,0)</f>
        <v>0</v>
      </c>
      <c r="AV774">
        <f>IF(AS774&lt;(X774-0.10),1,0)</f>
        <v>0</v>
      </c>
      <c r="AW774">
        <f>1-AM774/100</f>
        <v>0</v>
      </c>
      <c r="AX774">
        <f>IF(AQ774=1,AW774,1)</f>
        <v>0</v>
      </c>
      <c r="AY774">
        <f>IF(AP774=1,AW774,1)</f>
        <v>0</v>
      </c>
      <c r="AZ774">
        <f>IF(AND(AT774=1,ISNUMBER(AW774)),$AW774,1)</f>
        <v>0</v>
      </c>
      <c r="BA774">
        <f>IF(AND(AU774=1,ISNUMBER(AW774)),$AW774,1)</f>
        <v>0</v>
      </c>
      <c r="BB774">
        <f>IF(ISNUMBER(AB774),INDEX(AllCollegeMoney, MATCH(N774,AllCollegeNCES,0)),0)</f>
        <v>0</v>
      </c>
      <c r="BC774">
        <f>IF(AND(AT774=1,ISNUMBER(AW774),BB774=1),$AW774,1)</f>
        <v>0</v>
      </c>
      <c r="BD774">
        <f>IF(AND(AU774=1,ISNUMBER(AW774),BB774=1),$AW774,1)</f>
        <v>0</v>
      </c>
      <c r="BE774">
        <f>IF(ISNUMBER(AB774),INDEX(AllCollegeILPub, MATCH(N774,AllCollegeNCES,0)),0)</f>
        <v>0</v>
      </c>
      <c r="BF774">
        <f>IF(AN774=ReachLabel,AS774,0)</f>
        <v>0</v>
      </c>
      <c r="BG774">
        <f>IF(AN774=MatchLabel,AS774,0)</f>
        <v>0</v>
      </c>
      <c r="BH774">
        <f>IF(AN774=SafetyLabel,AS774,0)</f>
        <v>0</v>
      </c>
      <c r="BI774">
        <f>IF(AN774=SecureLabel,AS774,0)</f>
        <v>0</v>
      </c>
      <c r="BJ774">
        <f>IF(AN774=SureThingLabel,AS774,0)</f>
        <v>0</v>
      </c>
      <c r="BK774">
        <f>MAX(BF774:BJ774)</f>
        <v>0</v>
      </c>
      <c r="BL774">
        <f>MAX(BG774:BJ774)</f>
        <v>0</v>
      </c>
      <c r="BM774">
        <f>MAX(BH774:BJ774)</f>
        <v>0</v>
      </c>
      <c r="BN774">
        <f>IF(AND(AN774=ReachLabel,BB774=1),AS774,0)</f>
        <v>0</v>
      </c>
      <c r="BO774">
        <f>IF(AND(AN774=MatchLabel,BB774=1),AS774,0)</f>
        <v>0</v>
      </c>
      <c r="BP774">
        <f>IF(AND(AN774=SafetyLabel,BB774=1),AS774,0)</f>
        <v>0</v>
      </c>
      <c r="BQ774">
        <f>IF(AND(AN774=SecureLabel,BB774=1),AS774,0)</f>
        <v>0</v>
      </c>
      <c r="BR774">
        <f>IF(AND(AN774=SureThingLabel,BB774=1),AS774,0)</f>
        <v>0</v>
      </c>
      <c r="BS774">
        <f>MAX(BN774:BR774)</f>
        <v>0</v>
      </c>
      <c r="BT774">
        <f>MAX(BO774:BR774)</f>
        <v>0</v>
      </c>
      <c r="BU774">
        <f>MAX(BP774:BR774)</f>
        <v>0</v>
      </c>
      <c r="BV774">
        <f>IF(ISNUMBER(AB774),INDEX(AllCollegeChicago, MATCH(N774,AllCollegeNCES,0))*BB774,0)</f>
        <v>0</v>
      </c>
      <c r="BW774">
        <f>IF(ISNUMBER(AB774),INDEX(AllCollegeMoneyCode, MATCH(N774,AllCollegeNCES,0)),"?")</f>
        <v>0</v>
      </c>
      <c r="BX774">
        <f>IF(OR(BW774="---",BW774="--",BW774="+/--",BW774="+/---"),1,0)</f>
        <v>0</v>
      </c>
      <c r="BY774">
        <f>BB774*AR774*AT774</f>
        <v>0</v>
      </c>
    </row>
    <row r="775" spans="1:77">
      <c r="A775" t="s">
        <v>96</v>
      </c>
      <c r="B775">
        <v>30323076</v>
      </c>
      <c r="C775" t="s">
        <v>182</v>
      </c>
      <c r="D775" t="s">
        <v>183</v>
      </c>
      <c r="E775" t="s">
        <v>446</v>
      </c>
      <c r="F775" t="s">
        <v>473</v>
      </c>
      <c r="G775" t="s">
        <v>448</v>
      </c>
      <c r="H775" t="s">
        <v>449</v>
      </c>
      <c r="I775" t="s">
        <v>450</v>
      </c>
      <c r="J775" t="s">
        <v>450</v>
      </c>
      <c r="K775">
        <v>0</v>
      </c>
      <c r="L775" t="s">
        <v>446</v>
      </c>
      <c r="M775" t="s">
        <v>446</v>
      </c>
      <c r="N775">
        <v>221519</v>
      </c>
      <c r="O775">
        <f>INDEX(Counselor,MATCH(B775,KidIDs,0))</f>
        <v>0</v>
      </c>
      <c r="P775">
        <f>INDEX(Advisors,MATCH(B775,KidIDs,0))</f>
        <v>0</v>
      </c>
      <c r="Q775">
        <f>INDEX(Cohort,MATCH(B775,KidIDs,0))</f>
        <v>0</v>
      </c>
      <c r="R775">
        <f>INDEX(AllCollegeBarrons,MATCH(N775,AllCollegeNCES,0))</f>
        <v>0</v>
      </c>
      <c r="S775">
        <f>INDEX(KidGPAs,MATCH(B775,KidIDs,0))</f>
        <v>0</v>
      </c>
      <c r="T775">
        <f>INDEX(KidSATs,MATCH(B775,KidIDs,0))</f>
        <v>0</v>
      </c>
      <c r="U775">
        <f>INDEX(Strats,MATCH(B775,KidIDs,0))</f>
        <v>0</v>
      </c>
      <c r="V775">
        <f>INDEX(KidRace,MATCH(B775,KidIDs,0))</f>
        <v>0</v>
      </c>
      <c r="W775">
        <f>IF(OR(V775="M",V775="I"),"H",IF(V775="P","A",V775))</f>
        <v>0</v>
      </c>
      <c r="X775">
        <f>INDEX(StudentTargets,MATCH(B775,KidIDs,0))</f>
        <v>0</v>
      </c>
      <c r="Y775">
        <f>INDEX(ReachStudentTargets,MATCH(B775,KidIDs,0))</f>
        <v>0</v>
      </c>
      <c r="Z775">
        <f>IF(OR(M775="Posse"),1,0)</f>
        <v>0</v>
      </c>
      <c r="AA775">
        <f>IF(ISNUMBER(INDEX(AllCollegeGR, MATCH(N775,AllCollegeNCES,0))),ROUND(INDEX(AllCollegeGR, MATCH(N775,AllCollegeNCES,0))+Z775*IF(INDEX(AllCollegeGR, MATCH(N775,AllCollegeNCES,0))&gt;0.7,(1-INDEX(AllCollegeGR, MATCH(N775,AllCollegeNCES,0)))/2,0.15),2),INDEX(AllCollegeGR, MATCH(N775,AllCollegeNCES,0)))</f>
        <v>0</v>
      </c>
      <c r="AB775">
        <f>IF(ISNUMBER(INDEX(AllCollegeAAHGR, MATCH(N775,AllCollegeNCES,0))),ROUND(INDEX(AllCollegeAAHGR, MATCH(N775,AllCollegeNCES,0))+Z775*IF(INDEX(AllCollegeAAHGR, MATCH(N775,AllCollegeNCES,0))&gt;0.7,(1-INDEX(AllCollegeAAHGR, MATCH(N775,AllCollegeNCES,0)))/2,0.15),2),INDEX(AllCollegeAAHGR, MATCH(N775,AllCollegeNCES,0)))</f>
        <v>0</v>
      </c>
      <c r="AC775">
        <f>IF(OR(W775="H",W775="B"),INDEX(AllCollegeSAT25, MATCH(N775,AllCollegeNCES,0)),INDEX(AllCollegeSAT50, MATCH(N775,AllCollegeNCES,0)))</f>
        <v>0</v>
      </c>
      <c r="AD775">
        <f>INDEX(CustomWeightsGPA,MATCH(W775&amp;":"&amp;N775,CustomWeightsIndex,0))</f>
        <v>0</v>
      </c>
      <c r="AE775">
        <f>INDEX(CustomWeightsSAT,MATCH(W775&amp;":"&amp;N775,CustomWeightsIndex,0))</f>
        <v>0</v>
      </c>
      <c r="AF775">
        <f>INDEX(CustomWeightsIntercept,MATCH(W775&amp;":"&amp;N775,CustomWeightsIndex,0))</f>
        <v>0</v>
      </c>
      <c r="AG775">
        <f>AD775*S775+AE775*T775+AF775</f>
        <v>0</v>
      </c>
      <c r="AH775">
        <f>INDEX(CoefficientsGPA,MATCH(W775&amp;":"&amp;R775,CoefficientsIndex,0))</f>
        <v>0</v>
      </c>
      <c r="AI775">
        <f>INDEX(CoefficientsSAT,MATCH(W775&amp;":"&amp;R775,CoefficientsIndex,0))</f>
        <v>0</v>
      </c>
      <c r="AJ775">
        <f>INDEX(CoefficientsIntercept,MATCH(W775&amp;":"&amp;R775,CoefficientsIndex,0))</f>
        <v>0</v>
      </c>
      <c r="AK775">
        <f>AH775*S775+(T775-AC775)*AI775+AJ775</f>
        <v>0</v>
      </c>
      <c r="AL775">
        <f>IF(ISNUMBER(AG775),AG775,AK775)</f>
        <v>0</v>
      </c>
      <c r="AM775">
        <f>IF(ISNUMBER(AL775),IF(ISNUMBER(AH775),IF(AND(AH775=1,AI775=1,AJ775=1),100,MIN(99,ROUND(100*EXP(AL775)/(1+EXP(AL775)),2))),MIN(99,ROUND(100*EXP(AL775)/(1+EXP(AL775)),2))),IF(ISTEXT(R775),IF(LEFT(R775,1)="2",100,"N/A"),"N/A"))</f>
        <v>0</v>
      </c>
      <c r="AN775">
        <f>IF(ISNUMBER(AM775),IF(AM775&gt;=99,IF(OR(U775=10,U775=11),MatchLabel,SureThingLabel),IF(AM775&gt;=95,SecureLabel,IF(AM775&gt;=80,SafetyLabel,IF(AM775&gt;=50,MatchLabel,IF(AM775&gt;=20,ReachLabel,IF(AM775&gt;=10,LongshotLabel,HailMaryLabel)))))),"Other")</f>
        <v>0</v>
      </c>
      <c r="AO775">
        <f>IF(OR(I775="accepted",I775="cond. accept",I775="summer admit"),IF(J775="yes","CHOICE!","Accepted!"),IF(I775="guar. transfer","Guar. Xfer",IF(I775="denied","Denied",IF(K775=1,"Waitlist",IF(L775=1,"Deferred",IF(G775="pending","Pending",IF(OR(G775="initial materials submitted",G775="mid-year submitted",G775="final submitted"),"Submitted",IF(H775="interest","Interest","?"))))))))</f>
        <v>0</v>
      </c>
      <c r="AP775">
        <f>IF(OR(AN775=ReachLabel,AN775=LongshotLabel,AN775=HailMaryLabel),1,0)</f>
        <v>0</v>
      </c>
      <c r="AQ775">
        <f>IF(OR(AP775=1,AN775=MatchLabel),1,0)</f>
        <v>0</v>
      </c>
      <c r="AR775">
        <f>IF(OR(AN775=MatchLabel,AN775=SafetyLabel,AN775=SecureLabel,AN775=SureThingLabel),1,0)</f>
        <v>0</v>
      </c>
      <c r="AS775">
        <f>IF(OR(W775="H",W775="B",W775="I",W775="M"),IF(ISNUMBER(AB775),ROUND(AB775,2),0),IF(ISNUMBER(AA775),ROUND(AA775,2),0))</f>
        <v>0</v>
      </c>
      <c r="AT775">
        <f>IF(AS775&gt;=X775,1,0)</f>
        <v>0</v>
      </c>
      <c r="AU775">
        <f>IF(AS775&gt;=Y775,1,0)</f>
        <v>0</v>
      </c>
      <c r="AV775">
        <f>IF(AS775&lt;(X775-0.10),1,0)</f>
        <v>0</v>
      </c>
      <c r="AW775">
        <f>1-AM775/100</f>
        <v>0</v>
      </c>
      <c r="AX775">
        <f>IF(AQ775=1,AW775,1)</f>
        <v>0</v>
      </c>
      <c r="AY775">
        <f>IF(AP775=1,AW775,1)</f>
        <v>0</v>
      </c>
      <c r="AZ775">
        <f>IF(AND(AT775=1,ISNUMBER(AW775)),$AW775,1)</f>
        <v>0</v>
      </c>
      <c r="BA775">
        <f>IF(AND(AU775=1,ISNUMBER(AW775)),$AW775,1)</f>
        <v>0</v>
      </c>
      <c r="BB775">
        <f>IF(ISNUMBER(AB775),INDEX(AllCollegeMoney, MATCH(N775,AllCollegeNCES,0)),0)</f>
        <v>0</v>
      </c>
      <c r="BC775">
        <f>IF(AND(AT775=1,ISNUMBER(AW775),BB775=1),$AW775,1)</f>
        <v>0</v>
      </c>
      <c r="BD775">
        <f>IF(AND(AU775=1,ISNUMBER(AW775),BB775=1),$AW775,1)</f>
        <v>0</v>
      </c>
      <c r="BE775">
        <f>IF(ISNUMBER(AB775),INDEX(AllCollegeILPub, MATCH(N775,AllCollegeNCES,0)),0)</f>
        <v>0</v>
      </c>
      <c r="BF775">
        <f>IF(AN775=ReachLabel,AS775,0)</f>
        <v>0</v>
      </c>
      <c r="BG775">
        <f>IF(AN775=MatchLabel,AS775,0)</f>
        <v>0</v>
      </c>
      <c r="BH775">
        <f>IF(AN775=SafetyLabel,AS775,0)</f>
        <v>0</v>
      </c>
      <c r="BI775">
        <f>IF(AN775=SecureLabel,AS775,0)</f>
        <v>0</v>
      </c>
      <c r="BJ775">
        <f>IF(AN775=SureThingLabel,AS775,0)</f>
        <v>0</v>
      </c>
      <c r="BK775">
        <f>MAX(BF775:BJ775)</f>
        <v>0</v>
      </c>
      <c r="BL775">
        <f>MAX(BG775:BJ775)</f>
        <v>0</v>
      </c>
      <c r="BM775">
        <f>MAX(BH775:BJ775)</f>
        <v>0</v>
      </c>
      <c r="BN775">
        <f>IF(AND(AN775=ReachLabel,BB775=1),AS775,0)</f>
        <v>0</v>
      </c>
      <c r="BO775">
        <f>IF(AND(AN775=MatchLabel,BB775=1),AS775,0)</f>
        <v>0</v>
      </c>
      <c r="BP775">
        <f>IF(AND(AN775=SafetyLabel,BB775=1),AS775,0)</f>
        <v>0</v>
      </c>
      <c r="BQ775">
        <f>IF(AND(AN775=SecureLabel,BB775=1),AS775,0)</f>
        <v>0</v>
      </c>
      <c r="BR775">
        <f>IF(AND(AN775=SureThingLabel,BB775=1),AS775,0)</f>
        <v>0</v>
      </c>
      <c r="BS775">
        <f>MAX(BN775:BR775)</f>
        <v>0</v>
      </c>
      <c r="BT775">
        <f>MAX(BO775:BR775)</f>
        <v>0</v>
      </c>
      <c r="BU775">
        <f>MAX(BP775:BR775)</f>
        <v>0</v>
      </c>
      <c r="BV775">
        <f>IF(ISNUMBER(AB775),INDEX(AllCollegeChicago, MATCH(N775,AllCollegeNCES,0))*BB775,0)</f>
        <v>0</v>
      </c>
      <c r="BW775">
        <f>IF(ISNUMBER(AB775),INDEX(AllCollegeMoneyCode, MATCH(N775,AllCollegeNCES,0)),"?")</f>
        <v>0</v>
      </c>
      <c r="BX775">
        <f>IF(OR(BW775="---",BW775="--",BW775="+/--",BW775="+/---"),1,0)</f>
        <v>0</v>
      </c>
      <c r="BY775">
        <f>BB775*AR775*AT775</f>
        <v>0</v>
      </c>
    </row>
    <row r="776" spans="1:77">
      <c r="A776" t="s">
        <v>96</v>
      </c>
      <c r="B776">
        <v>30323076</v>
      </c>
      <c r="C776" t="s">
        <v>182</v>
      </c>
      <c r="D776" t="s">
        <v>183</v>
      </c>
      <c r="E776" t="s">
        <v>446</v>
      </c>
      <c r="F776" t="s">
        <v>475</v>
      </c>
      <c r="G776" t="s">
        <v>479</v>
      </c>
      <c r="H776" t="s">
        <v>449</v>
      </c>
      <c r="I776" t="s">
        <v>450</v>
      </c>
      <c r="J776" t="s">
        <v>450</v>
      </c>
      <c r="K776">
        <v>0</v>
      </c>
      <c r="L776" t="s">
        <v>446</v>
      </c>
      <c r="M776" t="s">
        <v>446</v>
      </c>
      <c r="N776">
        <v>145637</v>
      </c>
      <c r="O776">
        <f>INDEX(Counselor,MATCH(B776,KidIDs,0))</f>
        <v>0</v>
      </c>
      <c r="P776">
        <f>INDEX(Advisors,MATCH(B776,KidIDs,0))</f>
        <v>0</v>
      </c>
      <c r="Q776">
        <f>INDEX(Cohort,MATCH(B776,KidIDs,0))</f>
        <v>0</v>
      </c>
      <c r="R776">
        <f>INDEX(AllCollegeBarrons,MATCH(N776,AllCollegeNCES,0))</f>
        <v>0</v>
      </c>
      <c r="S776">
        <f>INDEX(KidGPAs,MATCH(B776,KidIDs,0))</f>
        <v>0</v>
      </c>
      <c r="T776">
        <f>INDEX(KidSATs,MATCH(B776,KidIDs,0))</f>
        <v>0</v>
      </c>
      <c r="U776">
        <f>INDEX(Strats,MATCH(B776,KidIDs,0))</f>
        <v>0</v>
      </c>
      <c r="V776">
        <f>INDEX(KidRace,MATCH(B776,KidIDs,0))</f>
        <v>0</v>
      </c>
      <c r="W776">
        <f>IF(OR(V776="M",V776="I"),"H",IF(V776="P","A",V776))</f>
        <v>0</v>
      </c>
      <c r="X776">
        <f>INDEX(StudentTargets,MATCH(B776,KidIDs,0))</f>
        <v>0</v>
      </c>
      <c r="Y776">
        <f>INDEX(ReachStudentTargets,MATCH(B776,KidIDs,0))</f>
        <v>0</v>
      </c>
      <c r="Z776">
        <f>IF(OR(M776="Posse"),1,0)</f>
        <v>0</v>
      </c>
      <c r="AA776">
        <f>IF(ISNUMBER(INDEX(AllCollegeGR, MATCH(N776,AllCollegeNCES,0))),ROUND(INDEX(AllCollegeGR, MATCH(N776,AllCollegeNCES,0))+Z776*IF(INDEX(AllCollegeGR, MATCH(N776,AllCollegeNCES,0))&gt;0.7,(1-INDEX(AllCollegeGR, MATCH(N776,AllCollegeNCES,0)))/2,0.15),2),INDEX(AllCollegeGR, MATCH(N776,AllCollegeNCES,0)))</f>
        <v>0</v>
      </c>
      <c r="AB776">
        <f>IF(ISNUMBER(INDEX(AllCollegeAAHGR, MATCH(N776,AllCollegeNCES,0))),ROUND(INDEX(AllCollegeAAHGR, MATCH(N776,AllCollegeNCES,0))+Z776*IF(INDEX(AllCollegeAAHGR, MATCH(N776,AllCollegeNCES,0))&gt;0.7,(1-INDEX(AllCollegeAAHGR, MATCH(N776,AllCollegeNCES,0)))/2,0.15),2),INDEX(AllCollegeAAHGR, MATCH(N776,AllCollegeNCES,0)))</f>
        <v>0</v>
      </c>
      <c r="AC776">
        <f>IF(OR(W776="H",W776="B"),INDEX(AllCollegeSAT25, MATCH(N776,AllCollegeNCES,0)),INDEX(AllCollegeSAT50, MATCH(N776,AllCollegeNCES,0)))</f>
        <v>0</v>
      </c>
      <c r="AD776">
        <f>INDEX(CustomWeightsGPA,MATCH(W776&amp;":"&amp;N776,CustomWeightsIndex,0))</f>
        <v>0</v>
      </c>
      <c r="AE776">
        <f>INDEX(CustomWeightsSAT,MATCH(W776&amp;":"&amp;N776,CustomWeightsIndex,0))</f>
        <v>0</v>
      </c>
      <c r="AF776">
        <f>INDEX(CustomWeightsIntercept,MATCH(W776&amp;":"&amp;N776,CustomWeightsIndex,0))</f>
        <v>0</v>
      </c>
      <c r="AG776">
        <f>AD776*S776+AE776*T776+AF776</f>
        <v>0</v>
      </c>
      <c r="AH776">
        <f>INDEX(CoefficientsGPA,MATCH(W776&amp;":"&amp;R776,CoefficientsIndex,0))</f>
        <v>0</v>
      </c>
      <c r="AI776">
        <f>INDEX(CoefficientsSAT,MATCH(W776&amp;":"&amp;R776,CoefficientsIndex,0))</f>
        <v>0</v>
      </c>
      <c r="AJ776">
        <f>INDEX(CoefficientsIntercept,MATCH(W776&amp;":"&amp;R776,CoefficientsIndex,0))</f>
        <v>0</v>
      </c>
      <c r="AK776">
        <f>AH776*S776+(T776-AC776)*AI776+AJ776</f>
        <v>0</v>
      </c>
      <c r="AL776">
        <f>IF(ISNUMBER(AG776),AG776,AK776)</f>
        <v>0</v>
      </c>
      <c r="AM776">
        <f>IF(ISNUMBER(AL776),IF(ISNUMBER(AH776),IF(AND(AH776=1,AI776=1,AJ776=1),100,MIN(99,ROUND(100*EXP(AL776)/(1+EXP(AL776)),2))),MIN(99,ROUND(100*EXP(AL776)/(1+EXP(AL776)),2))),IF(ISTEXT(R776),IF(LEFT(R776,1)="2",100,"N/A"),"N/A"))</f>
        <v>0</v>
      </c>
      <c r="AN776">
        <f>IF(ISNUMBER(AM776),IF(AM776&gt;=99,IF(OR(U776=10,U776=11),MatchLabel,SureThingLabel),IF(AM776&gt;=95,SecureLabel,IF(AM776&gt;=80,SafetyLabel,IF(AM776&gt;=50,MatchLabel,IF(AM776&gt;=20,ReachLabel,IF(AM776&gt;=10,LongshotLabel,HailMaryLabel)))))),"Other")</f>
        <v>0</v>
      </c>
      <c r="AO776">
        <f>IF(OR(I776="accepted",I776="cond. accept",I776="summer admit"),IF(J776="yes","CHOICE!","Accepted!"),IF(I776="guar. transfer","Guar. Xfer",IF(I776="denied","Denied",IF(K776=1,"Waitlist",IF(L776=1,"Deferred",IF(G776="pending","Pending",IF(OR(G776="initial materials submitted",G776="mid-year submitted",G776="final submitted"),"Submitted",IF(H776="interest","Interest","?"))))))))</f>
        <v>0</v>
      </c>
      <c r="AP776">
        <f>IF(OR(AN776=ReachLabel,AN776=LongshotLabel,AN776=HailMaryLabel),1,0)</f>
        <v>0</v>
      </c>
      <c r="AQ776">
        <f>IF(OR(AP776=1,AN776=MatchLabel),1,0)</f>
        <v>0</v>
      </c>
      <c r="AR776">
        <f>IF(OR(AN776=MatchLabel,AN776=SafetyLabel,AN776=SecureLabel,AN776=SureThingLabel),1,0)</f>
        <v>0</v>
      </c>
      <c r="AS776">
        <f>IF(OR(W776="H",W776="B",W776="I",W776="M"),IF(ISNUMBER(AB776),ROUND(AB776,2),0),IF(ISNUMBER(AA776),ROUND(AA776,2),0))</f>
        <v>0</v>
      </c>
      <c r="AT776">
        <f>IF(AS776&gt;=X776,1,0)</f>
        <v>0</v>
      </c>
      <c r="AU776">
        <f>IF(AS776&gt;=Y776,1,0)</f>
        <v>0</v>
      </c>
      <c r="AV776">
        <f>IF(AS776&lt;(X776-0.10),1,0)</f>
        <v>0</v>
      </c>
      <c r="AW776">
        <f>1-AM776/100</f>
        <v>0</v>
      </c>
      <c r="AX776">
        <f>IF(AQ776=1,AW776,1)</f>
        <v>0</v>
      </c>
      <c r="AY776">
        <f>IF(AP776=1,AW776,1)</f>
        <v>0</v>
      </c>
      <c r="AZ776">
        <f>IF(AND(AT776=1,ISNUMBER(AW776)),$AW776,1)</f>
        <v>0</v>
      </c>
      <c r="BA776">
        <f>IF(AND(AU776=1,ISNUMBER(AW776)),$AW776,1)</f>
        <v>0</v>
      </c>
      <c r="BB776">
        <f>IF(ISNUMBER(AB776),INDEX(AllCollegeMoney, MATCH(N776,AllCollegeNCES,0)),0)</f>
        <v>0</v>
      </c>
      <c r="BC776">
        <f>IF(AND(AT776=1,ISNUMBER(AW776),BB776=1),$AW776,1)</f>
        <v>0</v>
      </c>
      <c r="BD776">
        <f>IF(AND(AU776=1,ISNUMBER(AW776),BB776=1),$AW776,1)</f>
        <v>0</v>
      </c>
      <c r="BE776">
        <f>IF(ISNUMBER(AB776),INDEX(AllCollegeILPub, MATCH(N776,AllCollegeNCES,0)),0)</f>
        <v>0</v>
      </c>
      <c r="BF776">
        <f>IF(AN776=ReachLabel,AS776,0)</f>
        <v>0</v>
      </c>
      <c r="BG776">
        <f>IF(AN776=MatchLabel,AS776,0)</f>
        <v>0</v>
      </c>
      <c r="BH776">
        <f>IF(AN776=SafetyLabel,AS776,0)</f>
        <v>0</v>
      </c>
      <c r="BI776">
        <f>IF(AN776=SecureLabel,AS776,0)</f>
        <v>0</v>
      </c>
      <c r="BJ776">
        <f>IF(AN776=SureThingLabel,AS776,0)</f>
        <v>0</v>
      </c>
      <c r="BK776">
        <f>MAX(BF776:BJ776)</f>
        <v>0</v>
      </c>
      <c r="BL776">
        <f>MAX(BG776:BJ776)</f>
        <v>0</v>
      </c>
      <c r="BM776">
        <f>MAX(BH776:BJ776)</f>
        <v>0</v>
      </c>
      <c r="BN776">
        <f>IF(AND(AN776=ReachLabel,BB776=1),AS776,0)</f>
        <v>0</v>
      </c>
      <c r="BO776">
        <f>IF(AND(AN776=MatchLabel,BB776=1),AS776,0)</f>
        <v>0</v>
      </c>
      <c r="BP776">
        <f>IF(AND(AN776=SafetyLabel,BB776=1),AS776,0)</f>
        <v>0</v>
      </c>
      <c r="BQ776">
        <f>IF(AND(AN776=SecureLabel,BB776=1),AS776,0)</f>
        <v>0</v>
      </c>
      <c r="BR776">
        <f>IF(AND(AN776=SureThingLabel,BB776=1),AS776,0)</f>
        <v>0</v>
      </c>
      <c r="BS776">
        <f>MAX(BN776:BR776)</f>
        <v>0</v>
      </c>
      <c r="BT776">
        <f>MAX(BO776:BR776)</f>
        <v>0</v>
      </c>
      <c r="BU776">
        <f>MAX(BP776:BR776)</f>
        <v>0</v>
      </c>
      <c r="BV776">
        <f>IF(ISNUMBER(AB776),INDEX(AllCollegeChicago, MATCH(N776,AllCollegeNCES,0))*BB776,0)</f>
        <v>0</v>
      </c>
      <c r="BW776">
        <f>IF(ISNUMBER(AB776),INDEX(AllCollegeMoneyCode, MATCH(N776,AllCollegeNCES,0)),"?")</f>
        <v>0</v>
      </c>
      <c r="BX776">
        <f>IF(OR(BW776="---",BW776="--",BW776="+/--",BW776="+/---"),1,0)</f>
        <v>0</v>
      </c>
      <c r="BY776">
        <f>BB776*AR776*AT776</f>
        <v>0</v>
      </c>
    </row>
    <row r="777" spans="1:77">
      <c r="A777" t="s">
        <v>96</v>
      </c>
      <c r="B777">
        <v>30323076</v>
      </c>
      <c r="C777" t="s">
        <v>182</v>
      </c>
      <c r="D777" t="s">
        <v>183</v>
      </c>
      <c r="E777" t="s">
        <v>446</v>
      </c>
      <c r="F777" t="s">
        <v>609</v>
      </c>
      <c r="G777" t="s">
        <v>479</v>
      </c>
      <c r="H777" t="s">
        <v>449</v>
      </c>
      <c r="I777" t="s">
        <v>450</v>
      </c>
      <c r="J777" t="s">
        <v>450</v>
      </c>
      <c r="K777">
        <v>0</v>
      </c>
      <c r="L777" t="s">
        <v>446</v>
      </c>
      <c r="M777" t="s">
        <v>446</v>
      </c>
      <c r="N777">
        <v>151351</v>
      </c>
      <c r="O777">
        <f>INDEX(Counselor,MATCH(B777,KidIDs,0))</f>
        <v>0</v>
      </c>
      <c r="P777">
        <f>INDEX(Advisors,MATCH(B777,KidIDs,0))</f>
        <v>0</v>
      </c>
      <c r="Q777">
        <f>INDEX(Cohort,MATCH(B777,KidIDs,0))</f>
        <v>0</v>
      </c>
      <c r="R777">
        <f>INDEX(AllCollegeBarrons,MATCH(N777,AllCollegeNCES,0))</f>
        <v>0</v>
      </c>
      <c r="S777">
        <f>INDEX(KidGPAs,MATCH(B777,KidIDs,0))</f>
        <v>0</v>
      </c>
      <c r="T777">
        <f>INDEX(KidSATs,MATCH(B777,KidIDs,0))</f>
        <v>0</v>
      </c>
      <c r="U777">
        <f>INDEX(Strats,MATCH(B777,KidIDs,0))</f>
        <v>0</v>
      </c>
      <c r="V777">
        <f>INDEX(KidRace,MATCH(B777,KidIDs,0))</f>
        <v>0</v>
      </c>
      <c r="W777">
        <f>IF(OR(V777="M",V777="I"),"H",IF(V777="P","A",V777))</f>
        <v>0</v>
      </c>
      <c r="X777">
        <f>INDEX(StudentTargets,MATCH(B777,KidIDs,0))</f>
        <v>0</v>
      </c>
      <c r="Y777">
        <f>INDEX(ReachStudentTargets,MATCH(B777,KidIDs,0))</f>
        <v>0</v>
      </c>
      <c r="Z777">
        <f>IF(OR(M777="Posse"),1,0)</f>
        <v>0</v>
      </c>
      <c r="AA777">
        <f>IF(ISNUMBER(INDEX(AllCollegeGR, MATCH(N777,AllCollegeNCES,0))),ROUND(INDEX(AllCollegeGR, MATCH(N777,AllCollegeNCES,0))+Z777*IF(INDEX(AllCollegeGR, MATCH(N777,AllCollegeNCES,0))&gt;0.7,(1-INDEX(AllCollegeGR, MATCH(N777,AllCollegeNCES,0)))/2,0.15),2),INDEX(AllCollegeGR, MATCH(N777,AllCollegeNCES,0)))</f>
        <v>0</v>
      </c>
      <c r="AB777">
        <f>IF(ISNUMBER(INDEX(AllCollegeAAHGR, MATCH(N777,AllCollegeNCES,0))),ROUND(INDEX(AllCollegeAAHGR, MATCH(N777,AllCollegeNCES,0))+Z777*IF(INDEX(AllCollegeAAHGR, MATCH(N777,AllCollegeNCES,0))&gt;0.7,(1-INDEX(AllCollegeAAHGR, MATCH(N777,AllCollegeNCES,0)))/2,0.15),2),INDEX(AllCollegeAAHGR, MATCH(N777,AllCollegeNCES,0)))</f>
        <v>0</v>
      </c>
      <c r="AC777">
        <f>IF(OR(W777="H",W777="B"),INDEX(AllCollegeSAT25, MATCH(N777,AllCollegeNCES,0)),INDEX(AllCollegeSAT50, MATCH(N777,AllCollegeNCES,0)))</f>
        <v>0</v>
      </c>
      <c r="AD777">
        <f>INDEX(CustomWeightsGPA,MATCH(W777&amp;":"&amp;N777,CustomWeightsIndex,0))</f>
        <v>0</v>
      </c>
      <c r="AE777">
        <f>INDEX(CustomWeightsSAT,MATCH(W777&amp;":"&amp;N777,CustomWeightsIndex,0))</f>
        <v>0</v>
      </c>
      <c r="AF777">
        <f>INDEX(CustomWeightsIntercept,MATCH(W777&amp;":"&amp;N777,CustomWeightsIndex,0))</f>
        <v>0</v>
      </c>
      <c r="AG777">
        <f>AD777*S777+AE777*T777+AF777</f>
        <v>0</v>
      </c>
      <c r="AH777">
        <f>INDEX(CoefficientsGPA,MATCH(W777&amp;":"&amp;R777,CoefficientsIndex,0))</f>
        <v>0</v>
      </c>
      <c r="AI777">
        <f>INDEX(CoefficientsSAT,MATCH(W777&amp;":"&amp;R777,CoefficientsIndex,0))</f>
        <v>0</v>
      </c>
      <c r="AJ777">
        <f>INDEX(CoefficientsIntercept,MATCH(W777&amp;":"&amp;R777,CoefficientsIndex,0))</f>
        <v>0</v>
      </c>
      <c r="AK777">
        <f>AH777*S777+(T777-AC777)*AI777+AJ777</f>
        <v>0</v>
      </c>
      <c r="AL777">
        <f>IF(ISNUMBER(AG777),AG777,AK777)</f>
        <v>0</v>
      </c>
      <c r="AM777">
        <f>IF(ISNUMBER(AL777),IF(ISNUMBER(AH777),IF(AND(AH777=1,AI777=1,AJ777=1),100,MIN(99,ROUND(100*EXP(AL777)/(1+EXP(AL777)),2))),MIN(99,ROUND(100*EXP(AL777)/(1+EXP(AL777)),2))),IF(ISTEXT(R777),IF(LEFT(R777,1)="2",100,"N/A"),"N/A"))</f>
        <v>0</v>
      </c>
      <c r="AN777">
        <f>IF(ISNUMBER(AM777),IF(AM777&gt;=99,IF(OR(U777=10,U777=11),MatchLabel,SureThingLabel),IF(AM777&gt;=95,SecureLabel,IF(AM777&gt;=80,SafetyLabel,IF(AM777&gt;=50,MatchLabel,IF(AM777&gt;=20,ReachLabel,IF(AM777&gt;=10,LongshotLabel,HailMaryLabel)))))),"Other")</f>
        <v>0</v>
      </c>
      <c r="AO777">
        <f>IF(OR(I777="accepted",I777="cond. accept",I777="summer admit"),IF(J777="yes","CHOICE!","Accepted!"),IF(I777="guar. transfer","Guar. Xfer",IF(I777="denied","Denied",IF(K777=1,"Waitlist",IF(L777=1,"Deferred",IF(G777="pending","Pending",IF(OR(G777="initial materials submitted",G777="mid-year submitted",G777="final submitted"),"Submitted",IF(H777="interest","Interest","?"))))))))</f>
        <v>0</v>
      </c>
      <c r="AP777">
        <f>IF(OR(AN777=ReachLabel,AN777=LongshotLabel,AN777=HailMaryLabel),1,0)</f>
        <v>0</v>
      </c>
      <c r="AQ777">
        <f>IF(OR(AP777=1,AN777=MatchLabel),1,0)</f>
        <v>0</v>
      </c>
      <c r="AR777">
        <f>IF(OR(AN777=MatchLabel,AN777=SafetyLabel,AN777=SecureLabel,AN777=SureThingLabel),1,0)</f>
        <v>0</v>
      </c>
      <c r="AS777">
        <f>IF(OR(W777="H",W777="B",W777="I",W777="M"),IF(ISNUMBER(AB777),ROUND(AB777,2),0),IF(ISNUMBER(AA777),ROUND(AA777,2),0))</f>
        <v>0</v>
      </c>
      <c r="AT777">
        <f>IF(AS777&gt;=X777,1,0)</f>
        <v>0</v>
      </c>
      <c r="AU777">
        <f>IF(AS777&gt;=Y777,1,0)</f>
        <v>0</v>
      </c>
      <c r="AV777">
        <f>IF(AS777&lt;(X777-0.10),1,0)</f>
        <v>0</v>
      </c>
      <c r="AW777">
        <f>1-AM777/100</f>
        <v>0</v>
      </c>
      <c r="AX777">
        <f>IF(AQ777=1,AW777,1)</f>
        <v>0</v>
      </c>
      <c r="AY777">
        <f>IF(AP777=1,AW777,1)</f>
        <v>0</v>
      </c>
      <c r="AZ777">
        <f>IF(AND(AT777=1,ISNUMBER(AW777)),$AW777,1)</f>
        <v>0</v>
      </c>
      <c r="BA777">
        <f>IF(AND(AU777=1,ISNUMBER(AW777)),$AW777,1)</f>
        <v>0</v>
      </c>
      <c r="BB777">
        <f>IF(ISNUMBER(AB777),INDEX(AllCollegeMoney, MATCH(N777,AllCollegeNCES,0)),0)</f>
        <v>0</v>
      </c>
      <c r="BC777">
        <f>IF(AND(AT777=1,ISNUMBER(AW777),BB777=1),$AW777,1)</f>
        <v>0</v>
      </c>
      <c r="BD777">
        <f>IF(AND(AU777=1,ISNUMBER(AW777),BB777=1),$AW777,1)</f>
        <v>0</v>
      </c>
      <c r="BE777">
        <f>IF(ISNUMBER(AB777),INDEX(AllCollegeILPub, MATCH(N777,AllCollegeNCES,0)),0)</f>
        <v>0</v>
      </c>
      <c r="BF777">
        <f>IF(AN777=ReachLabel,AS777,0)</f>
        <v>0</v>
      </c>
      <c r="BG777">
        <f>IF(AN777=MatchLabel,AS777,0)</f>
        <v>0</v>
      </c>
      <c r="BH777">
        <f>IF(AN777=SafetyLabel,AS777,0)</f>
        <v>0</v>
      </c>
      <c r="BI777">
        <f>IF(AN777=SecureLabel,AS777,0)</f>
        <v>0</v>
      </c>
      <c r="BJ777">
        <f>IF(AN777=SureThingLabel,AS777,0)</f>
        <v>0</v>
      </c>
      <c r="BK777">
        <f>MAX(BF777:BJ777)</f>
        <v>0</v>
      </c>
      <c r="BL777">
        <f>MAX(BG777:BJ777)</f>
        <v>0</v>
      </c>
      <c r="BM777">
        <f>MAX(BH777:BJ777)</f>
        <v>0</v>
      </c>
      <c r="BN777">
        <f>IF(AND(AN777=ReachLabel,BB777=1),AS777,0)</f>
        <v>0</v>
      </c>
      <c r="BO777">
        <f>IF(AND(AN777=MatchLabel,BB777=1),AS777,0)</f>
        <v>0</v>
      </c>
      <c r="BP777">
        <f>IF(AND(AN777=SafetyLabel,BB777=1),AS777,0)</f>
        <v>0</v>
      </c>
      <c r="BQ777">
        <f>IF(AND(AN777=SecureLabel,BB777=1),AS777,0)</f>
        <v>0</v>
      </c>
      <c r="BR777">
        <f>IF(AND(AN777=SureThingLabel,BB777=1),AS777,0)</f>
        <v>0</v>
      </c>
      <c r="BS777">
        <f>MAX(BN777:BR777)</f>
        <v>0</v>
      </c>
      <c r="BT777">
        <f>MAX(BO777:BR777)</f>
        <v>0</v>
      </c>
      <c r="BU777">
        <f>MAX(BP777:BR777)</f>
        <v>0</v>
      </c>
      <c r="BV777">
        <f>IF(ISNUMBER(AB777),INDEX(AllCollegeChicago, MATCH(N777,AllCollegeNCES,0))*BB777,0)</f>
        <v>0</v>
      </c>
      <c r="BW777">
        <f>IF(ISNUMBER(AB777),INDEX(AllCollegeMoneyCode, MATCH(N777,AllCollegeNCES,0)),"?")</f>
        <v>0</v>
      </c>
      <c r="BX777">
        <f>IF(OR(BW777="---",BW777="--",BW777="+/--",BW777="+/---"),1,0)</f>
        <v>0</v>
      </c>
      <c r="BY777">
        <f>BB777*AR777*AT777</f>
        <v>0</v>
      </c>
    </row>
    <row r="778" spans="1:77">
      <c r="A778" t="s">
        <v>96</v>
      </c>
      <c r="B778">
        <v>30323076</v>
      </c>
      <c r="C778" t="s">
        <v>182</v>
      </c>
      <c r="D778" t="s">
        <v>183</v>
      </c>
      <c r="E778" t="s">
        <v>446</v>
      </c>
      <c r="F778" t="s">
        <v>477</v>
      </c>
      <c r="G778" t="s">
        <v>448</v>
      </c>
      <c r="H778" t="s">
        <v>449</v>
      </c>
      <c r="I778" t="s">
        <v>450</v>
      </c>
      <c r="J778" t="s">
        <v>450</v>
      </c>
      <c r="K778">
        <v>0</v>
      </c>
      <c r="L778" t="s">
        <v>446</v>
      </c>
      <c r="M778" t="s">
        <v>446</v>
      </c>
      <c r="N778">
        <v>146427</v>
      </c>
      <c r="O778">
        <f>INDEX(Counselor,MATCH(B778,KidIDs,0))</f>
        <v>0</v>
      </c>
      <c r="P778">
        <f>INDEX(Advisors,MATCH(B778,KidIDs,0))</f>
        <v>0</v>
      </c>
      <c r="Q778">
        <f>INDEX(Cohort,MATCH(B778,KidIDs,0))</f>
        <v>0</v>
      </c>
      <c r="R778">
        <f>INDEX(AllCollegeBarrons,MATCH(N778,AllCollegeNCES,0))</f>
        <v>0</v>
      </c>
      <c r="S778">
        <f>INDEX(KidGPAs,MATCH(B778,KidIDs,0))</f>
        <v>0</v>
      </c>
      <c r="T778">
        <f>INDEX(KidSATs,MATCH(B778,KidIDs,0))</f>
        <v>0</v>
      </c>
      <c r="U778">
        <f>INDEX(Strats,MATCH(B778,KidIDs,0))</f>
        <v>0</v>
      </c>
      <c r="V778">
        <f>INDEX(KidRace,MATCH(B778,KidIDs,0))</f>
        <v>0</v>
      </c>
      <c r="W778">
        <f>IF(OR(V778="M",V778="I"),"H",IF(V778="P","A",V778))</f>
        <v>0</v>
      </c>
      <c r="X778">
        <f>INDEX(StudentTargets,MATCH(B778,KidIDs,0))</f>
        <v>0</v>
      </c>
      <c r="Y778">
        <f>INDEX(ReachStudentTargets,MATCH(B778,KidIDs,0))</f>
        <v>0</v>
      </c>
      <c r="Z778">
        <f>IF(OR(M778="Posse"),1,0)</f>
        <v>0</v>
      </c>
      <c r="AA778">
        <f>IF(ISNUMBER(INDEX(AllCollegeGR, MATCH(N778,AllCollegeNCES,0))),ROUND(INDEX(AllCollegeGR, MATCH(N778,AllCollegeNCES,0))+Z778*IF(INDEX(AllCollegeGR, MATCH(N778,AllCollegeNCES,0))&gt;0.7,(1-INDEX(AllCollegeGR, MATCH(N778,AllCollegeNCES,0)))/2,0.15),2),INDEX(AllCollegeGR, MATCH(N778,AllCollegeNCES,0)))</f>
        <v>0</v>
      </c>
      <c r="AB778">
        <f>IF(ISNUMBER(INDEX(AllCollegeAAHGR, MATCH(N778,AllCollegeNCES,0))),ROUND(INDEX(AllCollegeAAHGR, MATCH(N778,AllCollegeNCES,0))+Z778*IF(INDEX(AllCollegeAAHGR, MATCH(N778,AllCollegeNCES,0))&gt;0.7,(1-INDEX(AllCollegeAAHGR, MATCH(N778,AllCollegeNCES,0)))/2,0.15),2),INDEX(AllCollegeAAHGR, MATCH(N778,AllCollegeNCES,0)))</f>
        <v>0</v>
      </c>
      <c r="AC778">
        <f>IF(OR(W778="H",W778="B"),INDEX(AllCollegeSAT25, MATCH(N778,AllCollegeNCES,0)),INDEX(AllCollegeSAT50, MATCH(N778,AllCollegeNCES,0)))</f>
        <v>0</v>
      </c>
      <c r="AD778">
        <f>INDEX(CustomWeightsGPA,MATCH(W778&amp;":"&amp;N778,CustomWeightsIndex,0))</f>
        <v>0</v>
      </c>
      <c r="AE778">
        <f>INDEX(CustomWeightsSAT,MATCH(W778&amp;":"&amp;N778,CustomWeightsIndex,0))</f>
        <v>0</v>
      </c>
      <c r="AF778">
        <f>INDEX(CustomWeightsIntercept,MATCH(W778&amp;":"&amp;N778,CustomWeightsIndex,0))</f>
        <v>0</v>
      </c>
      <c r="AG778">
        <f>AD778*S778+AE778*T778+AF778</f>
        <v>0</v>
      </c>
      <c r="AH778">
        <f>INDEX(CoefficientsGPA,MATCH(W778&amp;":"&amp;R778,CoefficientsIndex,0))</f>
        <v>0</v>
      </c>
      <c r="AI778">
        <f>INDEX(CoefficientsSAT,MATCH(W778&amp;":"&amp;R778,CoefficientsIndex,0))</f>
        <v>0</v>
      </c>
      <c r="AJ778">
        <f>INDEX(CoefficientsIntercept,MATCH(W778&amp;":"&amp;R778,CoefficientsIndex,0))</f>
        <v>0</v>
      </c>
      <c r="AK778">
        <f>AH778*S778+(T778-AC778)*AI778+AJ778</f>
        <v>0</v>
      </c>
      <c r="AL778">
        <f>IF(ISNUMBER(AG778),AG778,AK778)</f>
        <v>0</v>
      </c>
      <c r="AM778">
        <f>IF(ISNUMBER(AL778),IF(ISNUMBER(AH778),IF(AND(AH778=1,AI778=1,AJ778=1),100,MIN(99,ROUND(100*EXP(AL778)/(1+EXP(AL778)),2))),MIN(99,ROUND(100*EXP(AL778)/(1+EXP(AL778)),2))),IF(ISTEXT(R778),IF(LEFT(R778,1)="2",100,"N/A"),"N/A"))</f>
        <v>0</v>
      </c>
      <c r="AN778">
        <f>IF(ISNUMBER(AM778),IF(AM778&gt;=99,IF(OR(U778=10,U778=11),MatchLabel,SureThingLabel),IF(AM778&gt;=95,SecureLabel,IF(AM778&gt;=80,SafetyLabel,IF(AM778&gt;=50,MatchLabel,IF(AM778&gt;=20,ReachLabel,IF(AM778&gt;=10,LongshotLabel,HailMaryLabel)))))),"Other")</f>
        <v>0</v>
      </c>
      <c r="AO778">
        <f>IF(OR(I778="accepted",I778="cond. accept",I778="summer admit"),IF(J778="yes","CHOICE!","Accepted!"),IF(I778="guar. transfer","Guar. Xfer",IF(I778="denied","Denied",IF(K778=1,"Waitlist",IF(L778=1,"Deferred",IF(G778="pending","Pending",IF(OR(G778="initial materials submitted",G778="mid-year submitted",G778="final submitted"),"Submitted",IF(H778="interest","Interest","?"))))))))</f>
        <v>0</v>
      </c>
      <c r="AP778">
        <f>IF(OR(AN778=ReachLabel,AN778=LongshotLabel,AN778=HailMaryLabel),1,0)</f>
        <v>0</v>
      </c>
      <c r="AQ778">
        <f>IF(OR(AP778=1,AN778=MatchLabel),1,0)</f>
        <v>0</v>
      </c>
      <c r="AR778">
        <f>IF(OR(AN778=MatchLabel,AN778=SafetyLabel,AN778=SecureLabel,AN778=SureThingLabel),1,0)</f>
        <v>0</v>
      </c>
      <c r="AS778">
        <f>IF(OR(W778="H",W778="B",W778="I",W778="M"),IF(ISNUMBER(AB778),ROUND(AB778,2),0),IF(ISNUMBER(AA778),ROUND(AA778,2),0))</f>
        <v>0</v>
      </c>
      <c r="AT778">
        <f>IF(AS778&gt;=X778,1,0)</f>
        <v>0</v>
      </c>
      <c r="AU778">
        <f>IF(AS778&gt;=Y778,1,0)</f>
        <v>0</v>
      </c>
      <c r="AV778">
        <f>IF(AS778&lt;(X778-0.10),1,0)</f>
        <v>0</v>
      </c>
      <c r="AW778">
        <f>1-AM778/100</f>
        <v>0</v>
      </c>
      <c r="AX778">
        <f>IF(AQ778=1,AW778,1)</f>
        <v>0</v>
      </c>
      <c r="AY778">
        <f>IF(AP778=1,AW778,1)</f>
        <v>0</v>
      </c>
      <c r="AZ778">
        <f>IF(AND(AT778=1,ISNUMBER(AW778)),$AW778,1)</f>
        <v>0</v>
      </c>
      <c r="BA778">
        <f>IF(AND(AU778=1,ISNUMBER(AW778)),$AW778,1)</f>
        <v>0</v>
      </c>
      <c r="BB778">
        <f>IF(ISNUMBER(AB778),INDEX(AllCollegeMoney, MATCH(N778,AllCollegeNCES,0)),0)</f>
        <v>0</v>
      </c>
      <c r="BC778">
        <f>IF(AND(AT778=1,ISNUMBER(AW778),BB778=1),$AW778,1)</f>
        <v>0</v>
      </c>
      <c r="BD778">
        <f>IF(AND(AU778=1,ISNUMBER(AW778),BB778=1),$AW778,1)</f>
        <v>0</v>
      </c>
      <c r="BE778">
        <f>IF(ISNUMBER(AB778),INDEX(AllCollegeILPub, MATCH(N778,AllCollegeNCES,0)),0)</f>
        <v>0</v>
      </c>
      <c r="BF778">
        <f>IF(AN778=ReachLabel,AS778,0)</f>
        <v>0</v>
      </c>
      <c r="BG778">
        <f>IF(AN778=MatchLabel,AS778,0)</f>
        <v>0</v>
      </c>
      <c r="BH778">
        <f>IF(AN778=SafetyLabel,AS778,0)</f>
        <v>0</v>
      </c>
      <c r="BI778">
        <f>IF(AN778=SecureLabel,AS778,0)</f>
        <v>0</v>
      </c>
      <c r="BJ778">
        <f>IF(AN778=SureThingLabel,AS778,0)</f>
        <v>0</v>
      </c>
      <c r="BK778">
        <f>MAX(BF778:BJ778)</f>
        <v>0</v>
      </c>
      <c r="BL778">
        <f>MAX(BG778:BJ778)</f>
        <v>0</v>
      </c>
      <c r="BM778">
        <f>MAX(BH778:BJ778)</f>
        <v>0</v>
      </c>
      <c r="BN778">
        <f>IF(AND(AN778=ReachLabel,BB778=1),AS778,0)</f>
        <v>0</v>
      </c>
      <c r="BO778">
        <f>IF(AND(AN778=MatchLabel,BB778=1),AS778,0)</f>
        <v>0</v>
      </c>
      <c r="BP778">
        <f>IF(AND(AN778=SafetyLabel,BB778=1),AS778,0)</f>
        <v>0</v>
      </c>
      <c r="BQ778">
        <f>IF(AND(AN778=SecureLabel,BB778=1),AS778,0)</f>
        <v>0</v>
      </c>
      <c r="BR778">
        <f>IF(AND(AN778=SureThingLabel,BB778=1),AS778,0)</f>
        <v>0</v>
      </c>
      <c r="BS778">
        <f>MAX(BN778:BR778)</f>
        <v>0</v>
      </c>
      <c r="BT778">
        <f>MAX(BO778:BR778)</f>
        <v>0</v>
      </c>
      <c r="BU778">
        <f>MAX(BP778:BR778)</f>
        <v>0</v>
      </c>
      <c r="BV778">
        <f>IF(ISNUMBER(AB778),INDEX(AllCollegeChicago, MATCH(N778,AllCollegeNCES,0))*BB778,0)</f>
        <v>0</v>
      </c>
      <c r="BW778">
        <f>IF(ISNUMBER(AB778),INDEX(AllCollegeMoneyCode, MATCH(N778,AllCollegeNCES,0)),"?")</f>
        <v>0</v>
      </c>
      <c r="BX778">
        <f>IF(OR(BW778="---",BW778="--",BW778="+/--",BW778="+/---"),1,0)</f>
        <v>0</v>
      </c>
      <c r="BY778">
        <f>BB778*AR778*AT778</f>
        <v>0</v>
      </c>
    </row>
    <row r="779" spans="1:77">
      <c r="A779" t="s">
        <v>96</v>
      </c>
      <c r="B779">
        <v>30323076</v>
      </c>
      <c r="C779" t="s">
        <v>182</v>
      </c>
      <c r="D779" t="s">
        <v>183</v>
      </c>
      <c r="E779" t="s">
        <v>446</v>
      </c>
      <c r="F779" t="s">
        <v>569</v>
      </c>
      <c r="G779" t="s">
        <v>479</v>
      </c>
      <c r="H779" t="s">
        <v>449</v>
      </c>
      <c r="I779" t="s">
        <v>450</v>
      </c>
      <c r="J779" t="s">
        <v>450</v>
      </c>
      <c r="K779">
        <v>0</v>
      </c>
      <c r="L779" t="s">
        <v>446</v>
      </c>
      <c r="M779" t="s">
        <v>446</v>
      </c>
      <c r="N779">
        <v>171100</v>
      </c>
      <c r="O779">
        <f>INDEX(Counselor,MATCH(B779,KidIDs,0))</f>
        <v>0</v>
      </c>
      <c r="P779">
        <f>INDEX(Advisors,MATCH(B779,KidIDs,0))</f>
        <v>0</v>
      </c>
      <c r="Q779">
        <f>INDEX(Cohort,MATCH(B779,KidIDs,0))</f>
        <v>0</v>
      </c>
      <c r="R779">
        <f>INDEX(AllCollegeBarrons,MATCH(N779,AllCollegeNCES,0))</f>
        <v>0</v>
      </c>
      <c r="S779">
        <f>INDEX(KidGPAs,MATCH(B779,KidIDs,0))</f>
        <v>0</v>
      </c>
      <c r="T779">
        <f>INDEX(KidSATs,MATCH(B779,KidIDs,0))</f>
        <v>0</v>
      </c>
      <c r="U779">
        <f>INDEX(Strats,MATCH(B779,KidIDs,0))</f>
        <v>0</v>
      </c>
      <c r="V779">
        <f>INDEX(KidRace,MATCH(B779,KidIDs,0))</f>
        <v>0</v>
      </c>
      <c r="W779">
        <f>IF(OR(V779="M",V779="I"),"H",IF(V779="P","A",V779))</f>
        <v>0</v>
      </c>
      <c r="X779">
        <f>INDEX(StudentTargets,MATCH(B779,KidIDs,0))</f>
        <v>0</v>
      </c>
      <c r="Y779">
        <f>INDEX(ReachStudentTargets,MATCH(B779,KidIDs,0))</f>
        <v>0</v>
      </c>
      <c r="Z779">
        <f>IF(OR(M779="Posse"),1,0)</f>
        <v>0</v>
      </c>
      <c r="AA779">
        <f>IF(ISNUMBER(INDEX(AllCollegeGR, MATCH(N779,AllCollegeNCES,0))),ROUND(INDEX(AllCollegeGR, MATCH(N779,AllCollegeNCES,0))+Z779*IF(INDEX(AllCollegeGR, MATCH(N779,AllCollegeNCES,0))&gt;0.7,(1-INDEX(AllCollegeGR, MATCH(N779,AllCollegeNCES,0)))/2,0.15),2),INDEX(AllCollegeGR, MATCH(N779,AllCollegeNCES,0)))</f>
        <v>0</v>
      </c>
      <c r="AB779">
        <f>IF(ISNUMBER(INDEX(AllCollegeAAHGR, MATCH(N779,AllCollegeNCES,0))),ROUND(INDEX(AllCollegeAAHGR, MATCH(N779,AllCollegeNCES,0))+Z779*IF(INDEX(AllCollegeAAHGR, MATCH(N779,AllCollegeNCES,0))&gt;0.7,(1-INDEX(AllCollegeAAHGR, MATCH(N779,AllCollegeNCES,0)))/2,0.15),2),INDEX(AllCollegeAAHGR, MATCH(N779,AllCollegeNCES,0)))</f>
        <v>0</v>
      </c>
      <c r="AC779">
        <f>IF(OR(W779="H",W779="B"),INDEX(AllCollegeSAT25, MATCH(N779,AllCollegeNCES,0)),INDEX(AllCollegeSAT50, MATCH(N779,AllCollegeNCES,0)))</f>
        <v>0</v>
      </c>
      <c r="AD779">
        <f>INDEX(CustomWeightsGPA,MATCH(W779&amp;":"&amp;N779,CustomWeightsIndex,0))</f>
        <v>0</v>
      </c>
      <c r="AE779">
        <f>INDEX(CustomWeightsSAT,MATCH(W779&amp;":"&amp;N779,CustomWeightsIndex,0))</f>
        <v>0</v>
      </c>
      <c r="AF779">
        <f>INDEX(CustomWeightsIntercept,MATCH(W779&amp;":"&amp;N779,CustomWeightsIndex,0))</f>
        <v>0</v>
      </c>
      <c r="AG779">
        <f>AD779*S779+AE779*T779+AF779</f>
        <v>0</v>
      </c>
      <c r="AH779">
        <f>INDEX(CoefficientsGPA,MATCH(W779&amp;":"&amp;R779,CoefficientsIndex,0))</f>
        <v>0</v>
      </c>
      <c r="AI779">
        <f>INDEX(CoefficientsSAT,MATCH(W779&amp;":"&amp;R779,CoefficientsIndex,0))</f>
        <v>0</v>
      </c>
      <c r="AJ779">
        <f>INDEX(CoefficientsIntercept,MATCH(W779&amp;":"&amp;R779,CoefficientsIndex,0))</f>
        <v>0</v>
      </c>
      <c r="AK779">
        <f>AH779*S779+(T779-AC779)*AI779+AJ779</f>
        <v>0</v>
      </c>
      <c r="AL779">
        <f>IF(ISNUMBER(AG779),AG779,AK779)</f>
        <v>0</v>
      </c>
      <c r="AM779">
        <f>IF(ISNUMBER(AL779),IF(ISNUMBER(AH779),IF(AND(AH779=1,AI779=1,AJ779=1),100,MIN(99,ROUND(100*EXP(AL779)/(1+EXP(AL779)),2))),MIN(99,ROUND(100*EXP(AL779)/(1+EXP(AL779)),2))),IF(ISTEXT(R779),IF(LEFT(R779,1)="2",100,"N/A"),"N/A"))</f>
        <v>0</v>
      </c>
      <c r="AN779">
        <f>IF(ISNUMBER(AM779),IF(AM779&gt;=99,IF(OR(U779=10,U779=11),MatchLabel,SureThingLabel),IF(AM779&gt;=95,SecureLabel,IF(AM779&gt;=80,SafetyLabel,IF(AM779&gt;=50,MatchLabel,IF(AM779&gt;=20,ReachLabel,IF(AM779&gt;=10,LongshotLabel,HailMaryLabel)))))),"Other")</f>
        <v>0</v>
      </c>
      <c r="AO779">
        <f>IF(OR(I779="accepted",I779="cond. accept",I779="summer admit"),IF(J779="yes","CHOICE!","Accepted!"),IF(I779="guar. transfer","Guar. Xfer",IF(I779="denied","Denied",IF(K779=1,"Waitlist",IF(L779=1,"Deferred",IF(G779="pending","Pending",IF(OR(G779="initial materials submitted",G779="mid-year submitted",G779="final submitted"),"Submitted",IF(H779="interest","Interest","?"))))))))</f>
        <v>0</v>
      </c>
      <c r="AP779">
        <f>IF(OR(AN779=ReachLabel,AN779=LongshotLabel,AN779=HailMaryLabel),1,0)</f>
        <v>0</v>
      </c>
      <c r="AQ779">
        <f>IF(OR(AP779=1,AN779=MatchLabel),1,0)</f>
        <v>0</v>
      </c>
      <c r="AR779">
        <f>IF(OR(AN779=MatchLabel,AN779=SafetyLabel,AN779=SecureLabel,AN779=SureThingLabel),1,0)</f>
        <v>0</v>
      </c>
      <c r="AS779">
        <f>IF(OR(W779="H",W779="B",W779="I",W779="M"),IF(ISNUMBER(AB779),ROUND(AB779,2),0),IF(ISNUMBER(AA779),ROUND(AA779,2),0))</f>
        <v>0</v>
      </c>
      <c r="AT779">
        <f>IF(AS779&gt;=X779,1,0)</f>
        <v>0</v>
      </c>
      <c r="AU779">
        <f>IF(AS779&gt;=Y779,1,0)</f>
        <v>0</v>
      </c>
      <c r="AV779">
        <f>IF(AS779&lt;(X779-0.10),1,0)</f>
        <v>0</v>
      </c>
      <c r="AW779">
        <f>1-AM779/100</f>
        <v>0</v>
      </c>
      <c r="AX779">
        <f>IF(AQ779=1,AW779,1)</f>
        <v>0</v>
      </c>
      <c r="AY779">
        <f>IF(AP779=1,AW779,1)</f>
        <v>0</v>
      </c>
      <c r="AZ779">
        <f>IF(AND(AT779=1,ISNUMBER(AW779)),$AW779,1)</f>
        <v>0</v>
      </c>
      <c r="BA779">
        <f>IF(AND(AU779=1,ISNUMBER(AW779)),$AW779,1)</f>
        <v>0</v>
      </c>
      <c r="BB779">
        <f>IF(ISNUMBER(AB779),INDEX(AllCollegeMoney, MATCH(N779,AllCollegeNCES,0)),0)</f>
        <v>0</v>
      </c>
      <c r="BC779">
        <f>IF(AND(AT779=1,ISNUMBER(AW779),BB779=1),$AW779,1)</f>
        <v>0</v>
      </c>
      <c r="BD779">
        <f>IF(AND(AU779=1,ISNUMBER(AW779),BB779=1),$AW779,1)</f>
        <v>0</v>
      </c>
      <c r="BE779">
        <f>IF(ISNUMBER(AB779),INDEX(AllCollegeILPub, MATCH(N779,AllCollegeNCES,0)),0)</f>
        <v>0</v>
      </c>
      <c r="BF779">
        <f>IF(AN779=ReachLabel,AS779,0)</f>
        <v>0</v>
      </c>
      <c r="BG779">
        <f>IF(AN779=MatchLabel,AS779,0)</f>
        <v>0</v>
      </c>
      <c r="BH779">
        <f>IF(AN779=SafetyLabel,AS779,0)</f>
        <v>0</v>
      </c>
      <c r="BI779">
        <f>IF(AN779=SecureLabel,AS779,0)</f>
        <v>0</v>
      </c>
      <c r="BJ779">
        <f>IF(AN779=SureThingLabel,AS779,0)</f>
        <v>0</v>
      </c>
      <c r="BK779">
        <f>MAX(BF779:BJ779)</f>
        <v>0</v>
      </c>
      <c r="BL779">
        <f>MAX(BG779:BJ779)</f>
        <v>0</v>
      </c>
      <c r="BM779">
        <f>MAX(BH779:BJ779)</f>
        <v>0</v>
      </c>
      <c r="BN779">
        <f>IF(AND(AN779=ReachLabel,BB779=1),AS779,0)</f>
        <v>0</v>
      </c>
      <c r="BO779">
        <f>IF(AND(AN779=MatchLabel,BB779=1),AS779,0)</f>
        <v>0</v>
      </c>
      <c r="BP779">
        <f>IF(AND(AN779=SafetyLabel,BB779=1),AS779,0)</f>
        <v>0</v>
      </c>
      <c r="BQ779">
        <f>IF(AND(AN779=SecureLabel,BB779=1),AS779,0)</f>
        <v>0</v>
      </c>
      <c r="BR779">
        <f>IF(AND(AN779=SureThingLabel,BB779=1),AS779,0)</f>
        <v>0</v>
      </c>
      <c r="BS779">
        <f>MAX(BN779:BR779)</f>
        <v>0</v>
      </c>
      <c r="BT779">
        <f>MAX(BO779:BR779)</f>
        <v>0</v>
      </c>
      <c r="BU779">
        <f>MAX(BP779:BR779)</f>
        <v>0</v>
      </c>
      <c r="BV779">
        <f>IF(ISNUMBER(AB779),INDEX(AllCollegeChicago, MATCH(N779,AllCollegeNCES,0))*BB779,0)</f>
        <v>0</v>
      </c>
      <c r="BW779">
        <f>IF(ISNUMBER(AB779),INDEX(AllCollegeMoneyCode, MATCH(N779,AllCollegeNCES,0)),"?")</f>
        <v>0</v>
      </c>
      <c r="BX779">
        <f>IF(OR(BW779="---",BW779="--",BW779="+/--",BW779="+/---"),1,0)</f>
        <v>0</v>
      </c>
      <c r="BY779">
        <f>BB779*AR779*AT779</f>
        <v>0</v>
      </c>
    </row>
    <row r="780" spans="1:77">
      <c r="A780" t="s">
        <v>96</v>
      </c>
      <c r="B780">
        <v>30323076</v>
      </c>
      <c r="C780" t="s">
        <v>182</v>
      </c>
      <c r="D780" t="s">
        <v>183</v>
      </c>
      <c r="E780" t="s">
        <v>446</v>
      </c>
      <c r="F780" t="s">
        <v>578</v>
      </c>
      <c r="G780" t="s">
        <v>479</v>
      </c>
      <c r="H780" t="s">
        <v>449</v>
      </c>
      <c r="I780" t="s">
        <v>450</v>
      </c>
      <c r="J780" t="s">
        <v>450</v>
      </c>
      <c r="K780">
        <v>0</v>
      </c>
      <c r="L780" t="s">
        <v>446</v>
      </c>
      <c r="M780" t="s">
        <v>446</v>
      </c>
      <c r="N780">
        <v>153658</v>
      </c>
      <c r="O780">
        <f>INDEX(Counselor,MATCH(B780,KidIDs,0))</f>
        <v>0</v>
      </c>
      <c r="P780">
        <f>INDEX(Advisors,MATCH(B780,KidIDs,0))</f>
        <v>0</v>
      </c>
      <c r="Q780">
        <f>INDEX(Cohort,MATCH(B780,KidIDs,0))</f>
        <v>0</v>
      </c>
      <c r="R780">
        <f>INDEX(AllCollegeBarrons,MATCH(N780,AllCollegeNCES,0))</f>
        <v>0</v>
      </c>
      <c r="S780">
        <f>INDEX(KidGPAs,MATCH(B780,KidIDs,0))</f>
        <v>0</v>
      </c>
      <c r="T780">
        <f>INDEX(KidSATs,MATCH(B780,KidIDs,0))</f>
        <v>0</v>
      </c>
      <c r="U780">
        <f>INDEX(Strats,MATCH(B780,KidIDs,0))</f>
        <v>0</v>
      </c>
      <c r="V780">
        <f>INDEX(KidRace,MATCH(B780,KidIDs,0))</f>
        <v>0</v>
      </c>
      <c r="W780">
        <f>IF(OR(V780="M",V780="I"),"H",IF(V780="P","A",V780))</f>
        <v>0</v>
      </c>
      <c r="X780">
        <f>INDEX(StudentTargets,MATCH(B780,KidIDs,0))</f>
        <v>0</v>
      </c>
      <c r="Y780">
        <f>INDEX(ReachStudentTargets,MATCH(B780,KidIDs,0))</f>
        <v>0</v>
      </c>
      <c r="Z780">
        <f>IF(OR(M780="Posse"),1,0)</f>
        <v>0</v>
      </c>
      <c r="AA780">
        <f>IF(ISNUMBER(INDEX(AllCollegeGR, MATCH(N780,AllCollegeNCES,0))),ROUND(INDEX(AllCollegeGR, MATCH(N780,AllCollegeNCES,0))+Z780*IF(INDEX(AllCollegeGR, MATCH(N780,AllCollegeNCES,0))&gt;0.7,(1-INDEX(AllCollegeGR, MATCH(N780,AllCollegeNCES,0)))/2,0.15),2),INDEX(AllCollegeGR, MATCH(N780,AllCollegeNCES,0)))</f>
        <v>0</v>
      </c>
      <c r="AB780">
        <f>IF(ISNUMBER(INDEX(AllCollegeAAHGR, MATCH(N780,AllCollegeNCES,0))),ROUND(INDEX(AllCollegeAAHGR, MATCH(N780,AllCollegeNCES,0))+Z780*IF(INDEX(AllCollegeAAHGR, MATCH(N780,AllCollegeNCES,0))&gt;0.7,(1-INDEX(AllCollegeAAHGR, MATCH(N780,AllCollegeNCES,0)))/2,0.15),2),INDEX(AllCollegeAAHGR, MATCH(N780,AllCollegeNCES,0)))</f>
        <v>0</v>
      </c>
      <c r="AC780">
        <f>IF(OR(W780="H",W780="B"),INDEX(AllCollegeSAT25, MATCH(N780,AllCollegeNCES,0)),INDEX(AllCollegeSAT50, MATCH(N780,AllCollegeNCES,0)))</f>
        <v>0</v>
      </c>
      <c r="AD780">
        <f>INDEX(CustomWeightsGPA,MATCH(W780&amp;":"&amp;N780,CustomWeightsIndex,0))</f>
        <v>0</v>
      </c>
      <c r="AE780">
        <f>INDEX(CustomWeightsSAT,MATCH(W780&amp;":"&amp;N780,CustomWeightsIndex,0))</f>
        <v>0</v>
      </c>
      <c r="AF780">
        <f>INDEX(CustomWeightsIntercept,MATCH(W780&amp;":"&amp;N780,CustomWeightsIndex,0))</f>
        <v>0</v>
      </c>
      <c r="AG780">
        <f>AD780*S780+AE780*T780+AF780</f>
        <v>0</v>
      </c>
      <c r="AH780">
        <f>INDEX(CoefficientsGPA,MATCH(W780&amp;":"&amp;R780,CoefficientsIndex,0))</f>
        <v>0</v>
      </c>
      <c r="AI780">
        <f>INDEX(CoefficientsSAT,MATCH(W780&amp;":"&amp;R780,CoefficientsIndex,0))</f>
        <v>0</v>
      </c>
      <c r="AJ780">
        <f>INDEX(CoefficientsIntercept,MATCH(W780&amp;":"&amp;R780,CoefficientsIndex,0))</f>
        <v>0</v>
      </c>
      <c r="AK780">
        <f>AH780*S780+(T780-AC780)*AI780+AJ780</f>
        <v>0</v>
      </c>
      <c r="AL780">
        <f>IF(ISNUMBER(AG780),AG780,AK780)</f>
        <v>0</v>
      </c>
      <c r="AM780">
        <f>IF(ISNUMBER(AL780),IF(ISNUMBER(AH780),IF(AND(AH780=1,AI780=1,AJ780=1),100,MIN(99,ROUND(100*EXP(AL780)/(1+EXP(AL780)),2))),MIN(99,ROUND(100*EXP(AL780)/(1+EXP(AL780)),2))),IF(ISTEXT(R780),IF(LEFT(R780,1)="2",100,"N/A"),"N/A"))</f>
        <v>0</v>
      </c>
      <c r="AN780">
        <f>IF(ISNUMBER(AM780),IF(AM780&gt;=99,IF(OR(U780=10,U780=11),MatchLabel,SureThingLabel),IF(AM780&gt;=95,SecureLabel,IF(AM780&gt;=80,SafetyLabel,IF(AM780&gt;=50,MatchLabel,IF(AM780&gt;=20,ReachLabel,IF(AM780&gt;=10,LongshotLabel,HailMaryLabel)))))),"Other")</f>
        <v>0</v>
      </c>
      <c r="AO780">
        <f>IF(OR(I780="accepted",I780="cond. accept",I780="summer admit"),IF(J780="yes","CHOICE!","Accepted!"),IF(I780="guar. transfer","Guar. Xfer",IF(I780="denied","Denied",IF(K780=1,"Waitlist",IF(L780=1,"Deferred",IF(G780="pending","Pending",IF(OR(G780="initial materials submitted",G780="mid-year submitted",G780="final submitted"),"Submitted",IF(H780="interest","Interest","?"))))))))</f>
        <v>0</v>
      </c>
      <c r="AP780">
        <f>IF(OR(AN780=ReachLabel,AN780=LongshotLabel,AN780=HailMaryLabel),1,0)</f>
        <v>0</v>
      </c>
      <c r="AQ780">
        <f>IF(OR(AP780=1,AN780=MatchLabel),1,0)</f>
        <v>0</v>
      </c>
      <c r="AR780">
        <f>IF(OR(AN780=MatchLabel,AN780=SafetyLabel,AN780=SecureLabel,AN780=SureThingLabel),1,0)</f>
        <v>0</v>
      </c>
      <c r="AS780">
        <f>IF(OR(W780="H",W780="B",W780="I",W780="M"),IF(ISNUMBER(AB780),ROUND(AB780,2),0),IF(ISNUMBER(AA780),ROUND(AA780,2),0))</f>
        <v>0</v>
      </c>
      <c r="AT780">
        <f>IF(AS780&gt;=X780,1,0)</f>
        <v>0</v>
      </c>
      <c r="AU780">
        <f>IF(AS780&gt;=Y780,1,0)</f>
        <v>0</v>
      </c>
      <c r="AV780">
        <f>IF(AS780&lt;(X780-0.10),1,0)</f>
        <v>0</v>
      </c>
      <c r="AW780">
        <f>1-AM780/100</f>
        <v>0</v>
      </c>
      <c r="AX780">
        <f>IF(AQ780=1,AW780,1)</f>
        <v>0</v>
      </c>
      <c r="AY780">
        <f>IF(AP780=1,AW780,1)</f>
        <v>0</v>
      </c>
      <c r="AZ780">
        <f>IF(AND(AT780=1,ISNUMBER(AW780)),$AW780,1)</f>
        <v>0</v>
      </c>
      <c r="BA780">
        <f>IF(AND(AU780=1,ISNUMBER(AW780)),$AW780,1)</f>
        <v>0</v>
      </c>
      <c r="BB780">
        <f>IF(ISNUMBER(AB780),INDEX(AllCollegeMoney, MATCH(N780,AllCollegeNCES,0)),0)</f>
        <v>0</v>
      </c>
      <c r="BC780">
        <f>IF(AND(AT780=1,ISNUMBER(AW780),BB780=1),$AW780,1)</f>
        <v>0</v>
      </c>
      <c r="BD780">
        <f>IF(AND(AU780=1,ISNUMBER(AW780),BB780=1),$AW780,1)</f>
        <v>0</v>
      </c>
      <c r="BE780">
        <f>IF(ISNUMBER(AB780),INDEX(AllCollegeILPub, MATCH(N780,AllCollegeNCES,0)),0)</f>
        <v>0</v>
      </c>
      <c r="BF780">
        <f>IF(AN780=ReachLabel,AS780,0)</f>
        <v>0</v>
      </c>
      <c r="BG780">
        <f>IF(AN780=MatchLabel,AS780,0)</f>
        <v>0</v>
      </c>
      <c r="BH780">
        <f>IF(AN780=SafetyLabel,AS780,0)</f>
        <v>0</v>
      </c>
      <c r="BI780">
        <f>IF(AN780=SecureLabel,AS780,0)</f>
        <v>0</v>
      </c>
      <c r="BJ780">
        <f>IF(AN780=SureThingLabel,AS780,0)</f>
        <v>0</v>
      </c>
      <c r="BK780">
        <f>MAX(BF780:BJ780)</f>
        <v>0</v>
      </c>
      <c r="BL780">
        <f>MAX(BG780:BJ780)</f>
        <v>0</v>
      </c>
      <c r="BM780">
        <f>MAX(BH780:BJ780)</f>
        <v>0</v>
      </c>
      <c r="BN780">
        <f>IF(AND(AN780=ReachLabel,BB780=1),AS780,0)</f>
        <v>0</v>
      </c>
      <c r="BO780">
        <f>IF(AND(AN780=MatchLabel,BB780=1),AS780,0)</f>
        <v>0</v>
      </c>
      <c r="BP780">
        <f>IF(AND(AN780=SafetyLabel,BB780=1),AS780,0)</f>
        <v>0</v>
      </c>
      <c r="BQ780">
        <f>IF(AND(AN780=SecureLabel,BB780=1),AS780,0)</f>
        <v>0</v>
      </c>
      <c r="BR780">
        <f>IF(AND(AN780=SureThingLabel,BB780=1),AS780,0)</f>
        <v>0</v>
      </c>
      <c r="BS780">
        <f>MAX(BN780:BR780)</f>
        <v>0</v>
      </c>
      <c r="BT780">
        <f>MAX(BO780:BR780)</f>
        <v>0</v>
      </c>
      <c r="BU780">
        <f>MAX(BP780:BR780)</f>
        <v>0</v>
      </c>
      <c r="BV780">
        <f>IF(ISNUMBER(AB780),INDEX(AllCollegeChicago, MATCH(N780,AllCollegeNCES,0))*BB780,0)</f>
        <v>0</v>
      </c>
      <c r="BW780">
        <f>IF(ISNUMBER(AB780),INDEX(AllCollegeMoneyCode, MATCH(N780,AllCollegeNCES,0)),"?")</f>
        <v>0</v>
      </c>
      <c r="BX780">
        <f>IF(OR(BW780="---",BW780="--",BW780="+/--",BW780="+/---"),1,0)</f>
        <v>0</v>
      </c>
      <c r="BY780">
        <f>BB780*AR780*AT780</f>
        <v>0</v>
      </c>
    </row>
    <row r="781" spans="1:77">
      <c r="A781" t="s">
        <v>96</v>
      </c>
      <c r="B781">
        <v>30323076</v>
      </c>
      <c r="C781" t="s">
        <v>182</v>
      </c>
      <c r="D781" t="s">
        <v>183</v>
      </c>
      <c r="E781" t="s">
        <v>446</v>
      </c>
      <c r="F781" t="s">
        <v>489</v>
      </c>
      <c r="G781" t="s">
        <v>448</v>
      </c>
      <c r="H781" t="s">
        <v>449</v>
      </c>
      <c r="I781" t="s">
        <v>450</v>
      </c>
      <c r="J781" t="s">
        <v>450</v>
      </c>
      <c r="K781">
        <v>0</v>
      </c>
      <c r="L781" t="s">
        <v>446</v>
      </c>
      <c r="M781" t="s">
        <v>446</v>
      </c>
      <c r="N781">
        <v>170301</v>
      </c>
      <c r="O781">
        <f>INDEX(Counselor,MATCH(B781,KidIDs,0))</f>
        <v>0</v>
      </c>
      <c r="P781">
        <f>INDEX(Advisors,MATCH(B781,KidIDs,0))</f>
        <v>0</v>
      </c>
      <c r="Q781">
        <f>INDEX(Cohort,MATCH(B781,KidIDs,0))</f>
        <v>0</v>
      </c>
      <c r="R781">
        <f>INDEX(AllCollegeBarrons,MATCH(N781,AllCollegeNCES,0))</f>
        <v>0</v>
      </c>
      <c r="S781">
        <f>INDEX(KidGPAs,MATCH(B781,KidIDs,0))</f>
        <v>0</v>
      </c>
      <c r="T781">
        <f>INDEX(KidSATs,MATCH(B781,KidIDs,0))</f>
        <v>0</v>
      </c>
      <c r="U781">
        <f>INDEX(Strats,MATCH(B781,KidIDs,0))</f>
        <v>0</v>
      </c>
      <c r="V781">
        <f>INDEX(KidRace,MATCH(B781,KidIDs,0))</f>
        <v>0</v>
      </c>
      <c r="W781">
        <f>IF(OR(V781="M",V781="I"),"H",IF(V781="P","A",V781))</f>
        <v>0</v>
      </c>
      <c r="X781">
        <f>INDEX(StudentTargets,MATCH(B781,KidIDs,0))</f>
        <v>0</v>
      </c>
      <c r="Y781">
        <f>INDEX(ReachStudentTargets,MATCH(B781,KidIDs,0))</f>
        <v>0</v>
      </c>
      <c r="Z781">
        <f>IF(OR(M781="Posse"),1,0)</f>
        <v>0</v>
      </c>
      <c r="AA781">
        <f>IF(ISNUMBER(INDEX(AllCollegeGR, MATCH(N781,AllCollegeNCES,0))),ROUND(INDEX(AllCollegeGR, MATCH(N781,AllCollegeNCES,0))+Z781*IF(INDEX(AllCollegeGR, MATCH(N781,AllCollegeNCES,0))&gt;0.7,(1-INDEX(AllCollegeGR, MATCH(N781,AllCollegeNCES,0)))/2,0.15),2),INDEX(AllCollegeGR, MATCH(N781,AllCollegeNCES,0)))</f>
        <v>0</v>
      </c>
      <c r="AB781">
        <f>IF(ISNUMBER(INDEX(AllCollegeAAHGR, MATCH(N781,AllCollegeNCES,0))),ROUND(INDEX(AllCollegeAAHGR, MATCH(N781,AllCollegeNCES,0))+Z781*IF(INDEX(AllCollegeAAHGR, MATCH(N781,AllCollegeNCES,0))&gt;0.7,(1-INDEX(AllCollegeAAHGR, MATCH(N781,AllCollegeNCES,0)))/2,0.15),2),INDEX(AllCollegeAAHGR, MATCH(N781,AllCollegeNCES,0)))</f>
        <v>0</v>
      </c>
      <c r="AC781">
        <f>IF(OR(W781="H",W781="B"),INDEX(AllCollegeSAT25, MATCH(N781,AllCollegeNCES,0)),INDEX(AllCollegeSAT50, MATCH(N781,AllCollegeNCES,0)))</f>
        <v>0</v>
      </c>
      <c r="AD781">
        <f>INDEX(CustomWeightsGPA,MATCH(W781&amp;":"&amp;N781,CustomWeightsIndex,0))</f>
        <v>0</v>
      </c>
      <c r="AE781">
        <f>INDEX(CustomWeightsSAT,MATCH(W781&amp;":"&amp;N781,CustomWeightsIndex,0))</f>
        <v>0</v>
      </c>
      <c r="AF781">
        <f>INDEX(CustomWeightsIntercept,MATCH(W781&amp;":"&amp;N781,CustomWeightsIndex,0))</f>
        <v>0</v>
      </c>
      <c r="AG781">
        <f>AD781*S781+AE781*T781+AF781</f>
        <v>0</v>
      </c>
      <c r="AH781">
        <f>INDEX(CoefficientsGPA,MATCH(W781&amp;":"&amp;R781,CoefficientsIndex,0))</f>
        <v>0</v>
      </c>
      <c r="AI781">
        <f>INDEX(CoefficientsSAT,MATCH(W781&amp;":"&amp;R781,CoefficientsIndex,0))</f>
        <v>0</v>
      </c>
      <c r="AJ781">
        <f>INDEX(CoefficientsIntercept,MATCH(W781&amp;":"&amp;R781,CoefficientsIndex,0))</f>
        <v>0</v>
      </c>
      <c r="AK781">
        <f>AH781*S781+(T781-AC781)*AI781+AJ781</f>
        <v>0</v>
      </c>
      <c r="AL781">
        <f>IF(ISNUMBER(AG781),AG781,AK781)</f>
        <v>0</v>
      </c>
      <c r="AM781">
        <f>IF(ISNUMBER(AL781),IF(ISNUMBER(AH781),IF(AND(AH781=1,AI781=1,AJ781=1),100,MIN(99,ROUND(100*EXP(AL781)/(1+EXP(AL781)),2))),MIN(99,ROUND(100*EXP(AL781)/(1+EXP(AL781)),2))),IF(ISTEXT(R781),IF(LEFT(R781,1)="2",100,"N/A"),"N/A"))</f>
        <v>0</v>
      </c>
      <c r="AN781">
        <f>IF(ISNUMBER(AM781),IF(AM781&gt;=99,IF(OR(U781=10,U781=11),MatchLabel,SureThingLabel),IF(AM781&gt;=95,SecureLabel,IF(AM781&gt;=80,SafetyLabel,IF(AM781&gt;=50,MatchLabel,IF(AM781&gt;=20,ReachLabel,IF(AM781&gt;=10,LongshotLabel,HailMaryLabel)))))),"Other")</f>
        <v>0</v>
      </c>
      <c r="AO781">
        <f>IF(OR(I781="accepted",I781="cond. accept",I781="summer admit"),IF(J781="yes","CHOICE!","Accepted!"),IF(I781="guar. transfer","Guar. Xfer",IF(I781="denied","Denied",IF(K781=1,"Waitlist",IF(L781=1,"Deferred",IF(G781="pending","Pending",IF(OR(G781="initial materials submitted",G781="mid-year submitted",G781="final submitted"),"Submitted",IF(H781="interest","Interest","?"))))))))</f>
        <v>0</v>
      </c>
      <c r="AP781">
        <f>IF(OR(AN781=ReachLabel,AN781=LongshotLabel,AN781=HailMaryLabel),1,0)</f>
        <v>0</v>
      </c>
      <c r="AQ781">
        <f>IF(OR(AP781=1,AN781=MatchLabel),1,0)</f>
        <v>0</v>
      </c>
      <c r="AR781">
        <f>IF(OR(AN781=MatchLabel,AN781=SafetyLabel,AN781=SecureLabel,AN781=SureThingLabel),1,0)</f>
        <v>0</v>
      </c>
      <c r="AS781">
        <f>IF(OR(W781="H",W781="B",W781="I",W781="M"),IF(ISNUMBER(AB781),ROUND(AB781,2),0),IF(ISNUMBER(AA781),ROUND(AA781,2),0))</f>
        <v>0</v>
      </c>
      <c r="AT781">
        <f>IF(AS781&gt;=X781,1,0)</f>
        <v>0</v>
      </c>
      <c r="AU781">
        <f>IF(AS781&gt;=Y781,1,0)</f>
        <v>0</v>
      </c>
      <c r="AV781">
        <f>IF(AS781&lt;(X781-0.10),1,0)</f>
        <v>0</v>
      </c>
      <c r="AW781">
        <f>1-AM781/100</f>
        <v>0</v>
      </c>
      <c r="AX781">
        <f>IF(AQ781=1,AW781,1)</f>
        <v>0</v>
      </c>
      <c r="AY781">
        <f>IF(AP781=1,AW781,1)</f>
        <v>0</v>
      </c>
      <c r="AZ781">
        <f>IF(AND(AT781=1,ISNUMBER(AW781)),$AW781,1)</f>
        <v>0</v>
      </c>
      <c r="BA781">
        <f>IF(AND(AU781=1,ISNUMBER(AW781)),$AW781,1)</f>
        <v>0</v>
      </c>
      <c r="BB781">
        <f>IF(ISNUMBER(AB781),INDEX(AllCollegeMoney, MATCH(N781,AllCollegeNCES,0)),0)</f>
        <v>0</v>
      </c>
      <c r="BC781">
        <f>IF(AND(AT781=1,ISNUMBER(AW781),BB781=1),$AW781,1)</f>
        <v>0</v>
      </c>
      <c r="BD781">
        <f>IF(AND(AU781=1,ISNUMBER(AW781),BB781=1),$AW781,1)</f>
        <v>0</v>
      </c>
      <c r="BE781">
        <f>IF(ISNUMBER(AB781),INDEX(AllCollegeILPub, MATCH(N781,AllCollegeNCES,0)),0)</f>
        <v>0</v>
      </c>
      <c r="BF781">
        <f>IF(AN781=ReachLabel,AS781,0)</f>
        <v>0</v>
      </c>
      <c r="BG781">
        <f>IF(AN781=MatchLabel,AS781,0)</f>
        <v>0</v>
      </c>
      <c r="BH781">
        <f>IF(AN781=SafetyLabel,AS781,0)</f>
        <v>0</v>
      </c>
      <c r="BI781">
        <f>IF(AN781=SecureLabel,AS781,0)</f>
        <v>0</v>
      </c>
      <c r="BJ781">
        <f>IF(AN781=SureThingLabel,AS781,0)</f>
        <v>0</v>
      </c>
      <c r="BK781">
        <f>MAX(BF781:BJ781)</f>
        <v>0</v>
      </c>
      <c r="BL781">
        <f>MAX(BG781:BJ781)</f>
        <v>0</v>
      </c>
      <c r="BM781">
        <f>MAX(BH781:BJ781)</f>
        <v>0</v>
      </c>
      <c r="BN781">
        <f>IF(AND(AN781=ReachLabel,BB781=1),AS781,0)</f>
        <v>0</v>
      </c>
      <c r="BO781">
        <f>IF(AND(AN781=MatchLabel,BB781=1),AS781,0)</f>
        <v>0</v>
      </c>
      <c r="BP781">
        <f>IF(AND(AN781=SafetyLabel,BB781=1),AS781,0)</f>
        <v>0</v>
      </c>
      <c r="BQ781">
        <f>IF(AND(AN781=SecureLabel,BB781=1),AS781,0)</f>
        <v>0</v>
      </c>
      <c r="BR781">
        <f>IF(AND(AN781=SureThingLabel,BB781=1),AS781,0)</f>
        <v>0</v>
      </c>
      <c r="BS781">
        <f>MAX(BN781:BR781)</f>
        <v>0</v>
      </c>
      <c r="BT781">
        <f>MAX(BO781:BR781)</f>
        <v>0</v>
      </c>
      <c r="BU781">
        <f>MAX(BP781:BR781)</f>
        <v>0</v>
      </c>
      <c r="BV781">
        <f>IF(ISNUMBER(AB781),INDEX(AllCollegeChicago, MATCH(N781,AllCollegeNCES,0))*BB781,0)</f>
        <v>0</v>
      </c>
      <c r="BW781">
        <f>IF(ISNUMBER(AB781),INDEX(AllCollegeMoneyCode, MATCH(N781,AllCollegeNCES,0)),"?")</f>
        <v>0</v>
      </c>
      <c r="BX781">
        <f>IF(OR(BW781="---",BW781="--",BW781="+/--",BW781="+/---"),1,0)</f>
        <v>0</v>
      </c>
      <c r="BY781">
        <f>BB781*AR781*AT781</f>
        <v>0</v>
      </c>
    </row>
    <row r="782" spans="1:77">
      <c r="A782" t="s">
        <v>96</v>
      </c>
      <c r="B782">
        <v>30323076</v>
      </c>
      <c r="C782" t="s">
        <v>182</v>
      </c>
      <c r="D782" t="s">
        <v>183</v>
      </c>
      <c r="E782" t="s">
        <v>446</v>
      </c>
      <c r="F782" t="s">
        <v>610</v>
      </c>
      <c r="G782" t="s">
        <v>479</v>
      </c>
      <c r="H782" t="s">
        <v>449</v>
      </c>
      <c r="I782" t="s">
        <v>450</v>
      </c>
      <c r="J782" t="s">
        <v>450</v>
      </c>
      <c r="K782">
        <v>0</v>
      </c>
      <c r="L782" t="s">
        <v>446</v>
      </c>
      <c r="M782" t="s">
        <v>446</v>
      </c>
      <c r="N782">
        <v>154095</v>
      </c>
      <c r="O782">
        <f>INDEX(Counselor,MATCH(B782,KidIDs,0))</f>
        <v>0</v>
      </c>
      <c r="P782">
        <f>INDEX(Advisors,MATCH(B782,KidIDs,0))</f>
        <v>0</v>
      </c>
      <c r="Q782">
        <f>INDEX(Cohort,MATCH(B782,KidIDs,0))</f>
        <v>0</v>
      </c>
      <c r="R782">
        <f>INDEX(AllCollegeBarrons,MATCH(N782,AllCollegeNCES,0))</f>
        <v>0</v>
      </c>
      <c r="S782">
        <f>INDEX(KidGPAs,MATCH(B782,KidIDs,0))</f>
        <v>0</v>
      </c>
      <c r="T782">
        <f>INDEX(KidSATs,MATCH(B782,KidIDs,0))</f>
        <v>0</v>
      </c>
      <c r="U782">
        <f>INDEX(Strats,MATCH(B782,KidIDs,0))</f>
        <v>0</v>
      </c>
      <c r="V782">
        <f>INDEX(KidRace,MATCH(B782,KidIDs,0))</f>
        <v>0</v>
      </c>
      <c r="W782">
        <f>IF(OR(V782="M",V782="I"),"H",IF(V782="P","A",V782))</f>
        <v>0</v>
      </c>
      <c r="X782">
        <f>INDEX(StudentTargets,MATCH(B782,KidIDs,0))</f>
        <v>0</v>
      </c>
      <c r="Y782">
        <f>INDEX(ReachStudentTargets,MATCH(B782,KidIDs,0))</f>
        <v>0</v>
      </c>
      <c r="Z782">
        <f>IF(OR(M782="Posse"),1,0)</f>
        <v>0</v>
      </c>
      <c r="AA782">
        <f>IF(ISNUMBER(INDEX(AllCollegeGR, MATCH(N782,AllCollegeNCES,0))),ROUND(INDEX(AllCollegeGR, MATCH(N782,AllCollegeNCES,0))+Z782*IF(INDEX(AllCollegeGR, MATCH(N782,AllCollegeNCES,0))&gt;0.7,(1-INDEX(AllCollegeGR, MATCH(N782,AllCollegeNCES,0)))/2,0.15),2),INDEX(AllCollegeGR, MATCH(N782,AllCollegeNCES,0)))</f>
        <v>0</v>
      </c>
      <c r="AB782">
        <f>IF(ISNUMBER(INDEX(AllCollegeAAHGR, MATCH(N782,AllCollegeNCES,0))),ROUND(INDEX(AllCollegeAAHGR, MATCH(N782,AllCollegeNCES,0))+Z782*IF(INDEX(AllCollegeAAHGR, MATCH(N782,AllCollegeNCES,0))&gt;0.7,(1-INDEX(AllCollegeAAHGR, MATCH(N782,AllCollegeNCES,0)))/2,0.15),2),INDEX(AllCollegeAAHGR, MATCH(N782,AllCollegeNCES,0)))</f>
        <v>0</v>
      </c>
      <c r="AC782">
        <f>IF(OR(W782="H",W782="B"),INDEX(AllCollegeSAT25, MATCH(N782,AllCollegeNCES,0)),INDEX(AllCollegeSAT50, MATCH(N782,AllCollegeNCES,0)))</f>
        <v>0</v>
      </c>
      <c r="AD782">
        <f>INDEX(CustomWeightsGPA,MATCH(W782&amp;":"&amp;N782,CustomWeightsIndex,0))</f>
        <v>0</v>
      </c>
      <c r="AE782">
        <f>INDEX(CustomWeightsSAT,MATCH(W782&amp;":"&amp;N782,CustomWeightsIndex,0))</f>
        <v>0</v>
      </c>
      <c r="AF782">
        <f>INDEX(CustomWeightsIntercept,MATCH(W782&amp;":"&amp;N782,CustomWeightsIndex,0))</f>
        <v>0</v>
      </c>
      <c r="AG782">
        <f>AD782*S782+AE782*T782+AF782</f>
        <v>0</v>
      </c>
      <c r="AH782">
        <f>INDEX(CoefficientsGPA,MATCH(W782&amp;":"&amp;R782,CoefficientsIndex,0))</f>
        <v>0</v>
      </c>
      <c r="AI782">
        <f>INDEX(CoefficientsSAT,MATCH(W782&amp;":"&amp;R782,CoefficientsIndex,0))</f>
        <v>0</v>
      </c>
      <c r="AJ782">
        <f>INDEX(CoefficientsIntercept,MATCH(W782&amp;":"&amp;R782,CoefficientsIndex,0))</f>
        <v>0</v>
      </c>
      <c r="AK782">
        <f>AH782*S782+(T782-AC782)*AI782+AJ782</f>
        <v>0</v>
      </c>
      <c r="AL782">
        <f>IF(ISNUMBER(AG782),AG782,AK782)</f>
        <v>0</v>
      </c>
      <c r="AM782">
        <f>IF(ISNUMBER(AL782),IF(ISNUMBER(AH782),IF(AND(AH782=1,AI782=1,AJ782=1),100,MIN(99,ROUND(100*EXP(AL782)/(1+EXP(AL782)),2))),MIN(99,ROUND(100*EXP(AL782)/(1+EXP(AL782)),2))),IF(ISTEXT(R782),IF(LEFT(R782,1)="2",100,"N/A"),"N/A"))</f>
        <v>0</v>
      </c>
      <c r="AN782">
        <f>IF(ISNUMBER(AM782),IF(AM782&gt;=99,IF(OR(U782=10,U782=11),MatchLabel,SureThingLabel),IF(AM782&gt;=95,SecureLabel,IF(AM782&gt;=80,SafetyLabel,IF(AM782&gt;=50,MatchLabel,IF(AM782&gt;=20,ReachLabel,IF(AM782&gt;=10,LongshotLabel,HailMaryLabel)))))),"Other")</f>
        <v>0</v>
      </c>
      <c r="AO782">
        <f>IF(OR(I782="accepted",I782="cond. accept",I782="summer admit"),IF(J782="yes","CHOICE!","Accepted!"),IF(I782="guar. transfer","Guar. Xfer",IF(I782="denied","Denied",IF(K782=1,"Waitlist",IF(L782=1,"Deferred",IF(G782="pending","Pending",IF(OR(G782="initial materials submitted",G782="mid-year submitted",G782="final submitted"),"Submitted",IF(H782="interest","Interest","?"))))))))</f>
        <v>0</v>
      </c>
      <c r="AP782">
        <f>IF(OR(AN782=ReachLabel,AN782=LongshotLabel,AN782=HailMaryLabel),1,0)</f>
        <v>0</v>
      </c>
      <c r="AQ782">
        <f>IF(OR(AP782=1,AN782=MatchLabel),1,0)</f>
        <v>0</v>
      </c>
      <c r="AR782">
        <f>IF(OR(AN782=MatchLabel,AN782=SafetyLabel,AN782=SecureLabel,AN782=SureThingLabel),1,0)</f>
        <v>0</v>
      </c>
      <c r="AS782">
        <f>IF(OR(W782="H",W782="B",W782="I",W782="M"),IF(ISNUMBER(AB782),ROUND(AB782,2),0),IF(ISNUMBER(AA782),ROUND(AA782,2),0))</f>
        <v>0</v>
      </c>
      <c r="AT782">
        <f>IF(AS782&gt;=X782,1,0)</f>
        <v>0</v>
      </c>
      <c r="AU782">
        <f>IF(AS782&gt;=Y782,1,0)</f>
        <v>0</v>
      </c>
      <c r="AV782">
        <f>IF(AS782&lt;(X782-0.10),1,0)</f>
        <v>0</v>
      </c>
      <c r="AW782">
        <f>1-AM782/100</f>
        <v>0</v>
      </c>
      <c r="AX782">
        <f>IF(AQ782=1,AW782,1)</f>
        <v>0</v>
      </c>
      <c r="AY782">
        <f>IF(AP782=1,AW782,1)</f>
        <v>0</v>
      </c>
      <c r="AZ782">
        <f>IF(AND(AT782=1,ISNUMBER(AW782)),$AW782,1)</f>
        <v>0</v>
      </c>
      <c r="BA782">
        <f>IF(AND(AU782=1,ISNUMBER(AW782)),$AW782,1)</f>
        <v>0</v>
      </c>
      <c r="BB782">
        <f>IF(ISNUMBER(AB782),INDEX(AllCollegeMoney, MATCH(N782,AllCollegeNCES,0)),0)</f>
        <v>0</v>
      </c>
      <c r="BC782">
        <f>IF(AND(AT782=1,ISNUMBER(AW782),BB782=1),$AW782,1)</f>
        <v>0</v>
      </c>
      <c r="BD782">
        <f>IF(AND(AU782=1,ISNUMBER(AW782),BB782=1),$AW782,1)</f>
        <v>0</v>
      </c>
      <c r="BE782">
        <f>IF(ISNUMBER(AB782),INDEX(AllCollegeILPub, MATCH(N782,AllCollegeNCES,0)),0)</f>
        <v>0</v>
      </c>
      <c r="BF782">
        <f>IF(AN782=ReachLabel,AS782,0)</f>
        <v>0</v>
      </c>
      <c r="BG782">
        <f>IF(AN782=MatchLabel,AS782,0)</f>
        <v>0</v>
      </c>
      <c r="BH782">
        <f>IF(AN782=SafetyLabel,AS782,0)</f>
        <v>0</v>
      </c>
      <c r="BI782">
        <f>IF(AN782=SecureLabel,AS782,0)</f>
        <v>0</v>
      </c>
      <c r="BJ782">
        <f>IF(AN782=SureThingLabel,AS782,0)</f>
        <v>0</v>
      </c>
      <c r="BK782">
        <f>MAX(BF782:BJ782)</f>
        <v>0</v>
      </c>
      <c r="BL782">
        <f>MAX(BG782:BJ782)</f>
        <v>0</v>
      </c>
      <c r="BM782">
        <f>MAX(BH782:BJ782)</f>
        <v>0</v>
      </c>
      <c r="BN782">
        <f>IF(AND(AN782=ReachLabel,BB782=1),AS782,0)</f>
        <v>0</v>
      </c>
      <c r="BO782">
        <f>IF(AND(AN782=MatchLabel,BB782=1),AS782,0)</f>
        <v>0</v>
      </c>
      <c r="BP782">
        <f>IF(AND(AN782=SafetyLabel,BB782=1),AS782,0)</f>
        <v>0</v>
      </c>
      <c r="BQ782">
        <f>IF(AND(AN782=SecureLabel,BB782=1),AS782,0)</f>
        <v>0</v>
      </c>
      <c r="BR782">
        <f>IF(AND(AN782=SureThingLabel,BB782=1),AS782,0)</f>
        <v>0</v>
      </c>
      <c r="BS782">
        <f>MAX(BN782:BR782)</f>
        <v>0</v>
      </c>
      <c r="BT782">
        <f>MAX(BO782:BR782)</f>
        <v>0</v>
      </c>
      <c r="BU782">
        <f>MAX(BP782:BR782)</f>
        <v>0</v>
      </c>
      <c r="BV782">
        <f>IF(ISNUMBER(AB782),INDEX(AllCollegeChicago, MATCH(N782,AllCollegeNCES,0))*BB782,0)</f>
        <v>0</v>
      </c>
      <c r="BW782">
        <f>IF(ISNUMBER(AB782),INDEX(AllCollegeMoneyCode, MATCH(N782,AllCollegeNCES,0)),"?")</f>
        <v>0</v>
      </c>
      <c r="BX782">
        <f>IF(OR(BW782="---",BW782="--",BW782="+/--",BW782="+/---"),1,0)</f>
        <v>0</v>
      </c>
      <c r="BY782">
        <f>BB782*AR782*AT782</f>
        <v>0</v>
      </c>
    </row>
    <row r="783" spans="1:77">
      <c r="A783" t="s">
        <v>96</v>
      </c>
      <c r="B783">
        <v>30323076</v>
      </c>
      <c r="C783" t="s">
        <v>182</v>
      </c>
      <c r="D783" t="s">
        <v>183</v>
      </c>
      <c r="E783" t="s">
        <v>446</v>
      </c>
      <c r="F783" t="s">
        <v>611</v>
      </c>
      <c r="G783" t="s">
        <v>448</v>
      </c>
      <c r="H783" t="s">
        <v>449</v>
      </c>
      <c r="I783" t="s">
        <v>450</v>
      </c>
      <c r="J783" t="s">
        <v>450</v>
      </c>
      <c r="K783">
        <v>0</v>
      </c>
      <c r="L783" t="s">
        <v>446</v>
      </c>
      <c r="M783" t="s">
        <v>446</v>
      </c>
      <c r="N783">
        <v>157289</v>
      </c>
      <c r="O783">
        <f>INDEX(Counselor,MATCH(B783,KidIDs,0))</f>
        <v>0</v>
      </c>
      <c r="P783">
        <f>INDEX(Advisors,MATCH(B783,KidIDs,0))</f>
        <v>0</v>
      </c>
      <c r="Q783">
        <f>INDEX(Cohort,MATCH(B783,KidIDs,0))</f>
        <v>0</v>
      </c>
      <c r="R783">
        <f>INDEX(AllCollegeBarrons,MATCH(N783,AllCollegeNCES,0))</f>
        <v>0</v>
      </c>
      <c r="S783">
        <f>INDEX(KidGPAs,MATCH(B783,KidIDs,0))</f>
        <v>0</v>
      </c>
      <c r="T783">
        <f>INDEX(KidSATs,MATCH(B783,KidIDs,0))</f>
        <v>0</v>
      </c>
      <c r="U783">
        <f>INDEX(Strats,MATCH(B783,KidIDs,0))</f>
        <v>0</v>
      </c>
      <c r="V783">
        <f>INDEX(KidRace,MATCH(B783,KidIDs,0))</f>
        <v>0</v>
      </c>
      <c r="W783">
        <f>IF(OR(V783="M",V783="I"),"H",IF(V783="P","A",V783))</f>
        <v>0</v>
      </c>
      <c r="X783">
        <f>INDEX(StudentTargets,MATCH(B783,KidIDs,0))</f>
        <v>0</v>
      </c>
      <c r="Y783">
        <f>INDEX(ReachStudentTargets,MATCH(B783,KidIDs,0))</f>
        <v>0</v>
      </c>
      <c r="Z783">
        <f>IF(OR(M783="Posse"),1,0)</f>
        <v>0</v>
      </c>
      <c r="AA783">
        <f>IF(ISNUMBER(INDEX(AllCollegeGR, MATCH(N783,AllCollegeNCES,0))),ROUND(INDEX(AllCollegeGR, MATCH(N783,AllCollegeNCES,0))+Z783*IF(INDEX(AllCollegeGR, MATCH(N783,AllCollegeNCES,0))&gt;0.7,(1-INDEX(AllCollegeGR, MATCH(N783,AllCollegeNCES,0)))/2,0.15),2),INDEX(AllCollegeGR, MATCH(N783,AllCollegeNCES,0)))</f>
        <v>0</v>
      </c>
      <c r="AB783">
        <f>IF(ISNUMBER(INDEX(AllCollegeAAHGR, MATCH(N783,AllCollegeNCES,0))),ROUND(INDEX(AllCollegeAAHGR, MATCH(N783,AllCollegeNCES,0))+Z783*IF(INDEX(AllCollegeAAHGR, MATCH(N783,AllCollegeNCES,0))&gt;0.7,(1-INDEX(AllCollegeAAHGR, MATCH(N783,AllCollegeNCES,0)))/2,0.15),2),INDEX(AllCollegeAAHGR, MATCH(N783,AllCollegeNCES,0)))</f>
        <v>0</v>
      </c>
      <c r="AC783">
        <f>IF(OR(W783="H",W783="B"),INDEX(AllCollegeSAT25, MATCH(N783,AllCollegeNCES,0)),INDEX(AllCollegeSAT50, MATCH(N783,AllCollegeNCES,0)))</f>
        <v>0</v>
      </c>
      <c r="AD783">
        <f>INDEX(CustomWeightsGPA,MATCH(W783&amp;":"&amp;N783,CustomWeightsIndex,0))</f>
        <v>0</v>
      </c>
      <c r="AE783">
        <f>INDEX(CustomWeightsSAT,MATCH(W783&amp;":"&amp;N783,CustomWeightsIndex,0))</f>
        <v>0</v>
      </c>
      <c r="AF783">
        <f>INDEX(CustomWeightsIntercept,MATCH(W783&amp;":"&amp;N783,CustomWeightsIndex,0))</f>
        <v>0</v>
      </c>
      <c r="AG783">
        <f>AD783*S783+AE783*T783+AF783</f>
        <v>0</v>
      </c>
      <c r="AH783">
        <f>INDEX(CoefficientsGPA,MATCH(W783&amp;":"&amp;R783,CoefficientsIndex,0))</f>
        <v>0</v>
      </c>
      <c r="AI783">
        <f>INDEX(CoefficientsSAT,MATCH(W783&amp;":"&amp;R783,CoefficientsIndex,0))</f>
        <v>0</v>
      </c>
      <c r="AJ783">
        <f>INDEX(CoefficientsIntercept,MATCH(W783&amp;":"&amp;R783,CoefficientsIndex,0))</f>
        <v>0</v>
      </c>
      <c r="AK783">
        <f>AH783*S783+(T783-AC783)*AI783+AJ783</f>
        <v>0</v>
      </c>
      <c r="AL783">
        <f>IF(ISNUMBER(AG783),AG783,AK783)</f>
        <v>0</v>
      </c>
      <c r="AM783">
        <f>IF(ISNUMBER(AL783),IF(ISNUMBER(AH783),IF(AND(AH783=1,AI783=1,AJ783=1),100,MIN(99,ROUND(100*EXP(AL783)/(1+EXP(AL783)),2))),MIN(99,ROUND(100*EXP(AL783)/(1+EXP(AL783)),2))),IF(ISTEXT(R783),IF(LEFT(R783,1)="2",100,"N/A"),"N/A"))</f>
        <v>0</v>
      </c>
      <c r="AN783">
        <f>IF(ISNUMBER(AM783),IF(AM783&gt;=99,IF(OR(U783=10,U783=11),MatchLabel,SureThingLabel),IF(AM783&gt;=95,SecureLabel,IF(AM783&gt;=80,SafetyLabel,IF(AM783&gt;=50,MatchLabel,IF(AM783&gt;=20,ReachLabel,IF(AM783&gt;=10,LongshotLabel,HailMaryLabel)))))),"Other")</f>
        <v>0</v>
      </c>
      <c r="AO783">
        <f>IF(OR(I783="accepted",I783="cond. accept",I783="summer admit"),IF(J783="yes","CHOICE!","Accepted!"),IF(I783="guar. transfer","Guar. Xfer",IF(I783="denied","Denied",IF(K783=1,"Waitlist",IF(L783=1,"Deferred",IF(G783="pending","Pending",IF(OR(G783="initial materials submitted",G783="mid-year submitted",G783="final submitted"),"Submitted",IF(H783="interest","Interest","?"))))))))</f>
        <v>0</v>
      </c>
      <c r="AP783">
        <f>IF(OR(AN783=ReachLabel,AN783=LongshotLabel,AN783=HailMaryLabel),1,0)</f>
        <v>0</v>
      </c>
      <c r="AQ783">
        <f>IF(OR(AP783=1,AN783=MatchLabel),1,0)</f>
        <v>0</v>
      </c>
      <c r="AR783">
        <f>IF(OR(AN783=MatchLabel,AN783=SafetyLabel,AN783=SecureLabel,AN783=SureThingLabel),1,0)</f>
        <v>0</v>
      </c>
      <c r="AS783">
        <f>IF(OR(W783="H",W783="B",W783="I",W783="M"),IF(ISNUMBER(AB783),ROUND(AB783,2),0),IF(ISNUMBER(AA783),ROUND(AA783,2),0))</f>
        <v>0</v>
      </c>
      <c r="AT783">
        <f>IF(AS783&gt;=X783,1,0)</f>
        <v>0</v>
      </c>
      <c r="AU783">
        <f>IF(AS783&gt;=Y783,1,0)</f>
        <v>0</v>
      </c>
      <c r="AV783">
        <f>IF(AS783&lt;(X783-0.10),1,0)</f>
        <v>0</v>
      </c>
      <c r="AW783">
        <f>1-AM783/100</f>
        <v>0</v>
      </c>
      <c r="AX783">
        <f>IF(AQ783=1,AW783,1)</f>
        <v>0</v>
      </c>
      <c r="AY783">
        <f>IF(AP783=1,AW783,1)</f>
        <v>0</v>
      </c>
      <c r="AZ783">
        <f>IF(AND(AT783=1,ISNUMBER(AW783)),$AW783,1)</f>
        <v>0</v>
      </c>
      <c r="BA783">
        <f>IF(AND(AU783=1,ISNUMBER(AW783)),$AW783,1)</f>
        <v>0</v>
      </c>
      <c r="BB783">
        <f>IF(ISNUMBER(AB783),INDEX(AllCollegeMoney, MATCH(N783,AllCollegeNCES,0)),0)</f>
        <v>0</v>
      </c>
      <c r="BC783">
        <f>IF(AND(AT783=1,ISNUMBER(AW783),BB783=1),$AW783,1)</f>
        <v>0</v>
      </c>
      <c r="BD783">
        <f>IF(AND(AU783=1,ISNUMBER(AW783),BB783=1),$AW783,1)</f>
        <v>0</v>
      </c>
      <c r="BE783">
        <f>IF(ISNUMBER(AB783),INDEX(AllCollegeILPub, MATCH(N783,AllCollegeNCES,0)),0)</f>
        <v>0</v>
      </c>
      <c r="BF783">
        <f>IF(AN783=ReachLabel,AS783,0)</f>
        <v>0</v>
      </c>
      <c r="BG783">
        <f>IF(AN783=MatchLabel,AS783,0)</f>
        <v>0</v>
      </c>
      <c r="BH783">
        <f>IF(AN783=SafetyLabel,AS783,0)</f>
        <v>0</v>
      </c>
      <c r="BI783">
        <f>IF(AN783=SecureLabel,AS783,0)</f>
        <v>0</v>
      </c>
      <c r="BJ783">
        <f>IF(AN783=SureThingLabel,AS783,0)</f>
        <v>0</v>
      </c>
      <c r="BK783">
        <f>MAX(BF783:BJ783)</f>
        <v>0</v>
      </c>
      <c r="BL783">
        <f>MAX(BG783:BJ783)</f>
        <v>0</v>
      </c>
      <c r="BM783">
        <f>MAX(BH783:BJ783)</f>
        <v>0</v>
      </c>
      <c r="BN783">
        <f>IF(AND(AN783=ReachLabel,BB783=1),AS783,0)</f>
        <v>0</v>
      </c>
      <c r="BO783">
        <f>IF(AND(AN783=MatchLabel,BB783=1),AS783,0)</f>
        <v>0</v>
      </c>
      <c r="BP783">
        <f>IF(AND(AN783=SafetyLabel,BB783=1),AS783,0)</f>
        <v>0</v>
      </c>
      <c r="BQ783">
        <f>IF(AND(AN783=SecureLabel,BB783=1),AS783,0)</f>
        <v>0</v>
      </c>
      <c r="BR783">
        <f>IF(AND(AN783=SureThingLabel,BB783=1),AS783,0)</f>
        <v>0</v>
      </c>
      <c r="BS783">
        <f>MAX(BN783:BR783)</f>
        <v>0</v>
      </c>
      <c r="BT783">
        <f>MAX(BO783:BR783)</f>
        <v>0</v>
      </c>
      <c r="BU783">
        <f>MAX(BP783:BR783)</f>
        <v>0</v>
      </c>
      <c r="BV783">
        <f>IF(ISNUMBER(AB783),INDEX(AllCollegeChicago, MATCH(N783,AllCollegeNCES,0))*BB783,0)</f>
        <v>0</v>
      </c>
      <c r="BW783">
        <f>IF(ISNUMBER(AB783),INDEX(AllCollegeMoneyCode, MATCH(N783,AllCollegeNCES,0)),"?")</f>
        <v>0</v>
      </c>
      <c r="BX783">
        <f>IF(OR(BW783="---",BW783="--",BW783="+/--",BW783="+/---"),1,0)</f>
        <v>0</v>
      </c>
      <c r="BY783">
        <f>BB783*AR783*AT783</f>
        <v>0</v>
      </c>
    </row>
    <row r="784" spans="1:77">
      <c r="A784" t="s">
        <v>96</v>
      </c>
      <c r="B784">
        <v>30323076</v>
      </c>
      <c r="C784" t="s">
        <v>182</v>
      </c>
      <c r="D784" t="s">
        <v>183</v>
      </c>
      <c r="E784" t="s">
        <v>446</v>
      </c>
      <c r="F784" t="s">
        <v>612</v>
      </c>
      <c r="G784" t="s">
        <v>479</v>
      </c>
      <c r="H784" t="s">
        <v>449</v>
      </c>
      <c r="I784" t="s">
        <v>450</v>
      </c>
      <c r="J784" t="s">
        <v>450</v>
      </c>
      <c r="K784">
        <v>0</v>
      </c>
      <c r="L784" t="s">
        <v>446</v>
      </c>
      <c r="M784" t="s">
        <v>446</v>
      </c>
      <c r="N784">
        <v>152600</v>
      </c>
      <c r="O784">
        <f>INDEX(Counselor,MATCH(B784,KidIDs,0))</f>
        <v>0</v>
      </c>
      <c r="P784">
        <f>INDEX(Advisors,MATCH(B784,KidIDs,0))</f>
        <v>0</v>
      </c>
      <c r="Q784">
        <f>INDEX(Cohort,MATCH(B784,KidIDs,0))</f>
        <v>0</v>
      </c>
      <c r="R784">
        <f>INDEX(AllCollegeBarrons,MATCH(N784,AllCollegeNCES,0))</f>
        <v>0</v>
      </c>
      <c r="S784">
        <f>INDEX(KidGPAs,MATCH(B784,KidIDs,0))</f>
        <v>0</v>
      </c>
      <c r="T784">
        <f>INDEX(KidSATs,MATCH(B784,KidIDs,0))</f>
        <v>0</v>
      </c>
      <c r="U784">
        <f>INDEX(Strats,MATCH(B784,KidIDs,0))</f>
        <v>0</v>
      </c>
      <c r="V784">
        <f>INDEX(KidRace,MATCH(B784,KidIDs,0))</f>
        <v>0</v>
      </c>
      <c r="W784">
        <f>IF(OR(V784="M",V784="I"),"H",IF(V784="P","A",V784))</f>
        <v>0</v>
      </c>
      <c r="X784">
        <f>INDEX(StudentTargets,MATCH(B784,KidIDs,0))</f>
        <v>0</v>
      </c>
      <c r="Y784">
        <f>INDEX(ReachStudentTargets,MATCH(B784,KidIDs,0))</f>
        <v>0</v>
      </c>
      <c r="Z784">
        <f>IF(OR(M784="Posse"),1,0)</f>
        <v>0</v>
      </c>
      <c r="AA784">
        <f>IF(ISNUMBER(INDEX(AllCollegeGR, MATCH(N784,AllCollegeNCES,0))),ROUND(INDEX(AllCollegeGR, MATCH(N784,AllCollegeNCES,0))+Z784*IF(INDEX(AllCollegeGR, MATCH(N784,AllCollegeNCES,0))&gt;0.7,(1-INDEX(AllCollegeGR, MATCH(N784,AllCollegeNCES,0)))/2,0.15),2),INDEX(AllCollegeGR, MATCH(N784,AllCollegeNCES,0)))</f>
        <v>0</v>
      </c>
      <c r="AB784">
        <f>IF(ISNUMBER(INDEX(AllCollegeAAHGR, MATCH(N784,AllCollegeNCES,0))),ROUND(INDEX(AllCollegeAAHGR, MATCH(N784,AllCollegeNCES,0))+Z784*IF(INDEX(AllCollegeAAHGR, MATCH(N784,AllCollegeNCES,0))&gt;0.7,(1-INDEX(AllCollegeAAHGR, MATCH(N784,AllCollegeNCES,0)))/2,0.15),2),INDEX(AllCollegeAAHGR, MATCH(N784,AllCollegeNCES,0)))</f>
        <v>0</v>
      </c>
      <c r="AC784">
        <f>IF(OR(W784="H",W784="B"),INDEX(AllCollegeSAT25, MATCH(N784,AllCollegeNCES,0)),INDEX(AllCollegeSAT50, MATCH(N784,AllCollegeNCES,0)))</f>
        <v>0</v>
      </c>
      <c r="AD784">
        <f>INDEX(CustomWeightsGPA,MATCH(W784&amp;":"&amp;N784,CustomWeightsIndex,0))</f>
        <v>0</v>
      </c>
      <c r="AE784">
        <f>INDEX(CustomWeightsSAT,MATCH(W784&amp;":"&amp;N784,CustomWeightsIndex,0))</f>
        <v>0</v>
      </c>
      <c r="AF784">
        <f>INDEX(CustomWeightsIntercept,MATCH(W784&amp;":"&amp;N784,CustomWeightsIndex,0))</f>
        <v>0</v>
      </c>
      <c r="AG784">
        <f>AD784*S784+AE784*T784+AF784</f>
        <v>0</v>
      </c>
      <c r="AH784">
        <f>INDEX(CoefficientsGPA,MATCH(W784&amp;":"&amp;R784,CoefficientsIndex,0))</f>
        <v>0</v>
      </c>
      <c r="AI784">
        <f>INDEX(CoefficientsSAT,MATCH(W784&amp;":"&amp;R784,CoefficientsIndex,0))</f>
        <v>0</v>
      </c>
      <c r="AJ784">
        <f>INDEX(CoefficientsIntercept,MATCH(W784&amp;":"&amp;R784,CoefficientsIndex,0))</f>
        <v>0</v>
      </c>
      <c r="AK784">
        <f>AH784*S784+(T784-AC784)*AI784+AJ784</f>
        <v>0</v>
      </c>
      <c r="AL784">
        <f>IF(ISNUMBER(AG784),AG784,AK784)</f>
        <v>0</v>
      </c>
      <c r="AM784">
        <f>IF(ISNUMBER(AL784),IF(ISNUMBER(AH784),IF(AND(AH784=1,AI784=1,AJ784=1),100,MIN(99,ROUND(100*EXP(AL784)/(1+EXP(AL784)),2))),MIN(99,ROUND(100*EXP(AL784)/(1+EXP(AL784)),2))),IF(ISTEXT(R784),IF(LEFT(R784,1)="2",100,"N/A"),"N/A"))</f>
        <v>0</v>
      </c>
      <c r="AN784">
        <f>IF(ISNUMBER(AM784),IF(AM784&gt;=99,IF(OR(U784=10,U784=11),MatchLabel,SureThingLabel),IF(AM784&gt;=95,SecureLabel,IF(AM784&gt;=80,SafetyLabel,IF(AM784&gt;=50,MatchLabel,IF(AM784&gt;=20,ReachLabel,IF(AM784&gt;=10,LongshotLabel,HailMaryLabel)))))),"Other")</f>
        <v>0</v>
      </c>
      <c r="AO784">
        <f>IF(OR(I784="accepted",I784="cond. accept",I784="summer admit"),IF(J784="yes","CHOICE!","Accepted!"),IF(I784="guar. transfer","Guar. Xfer",IF(I784="denied","Denied",IF(K784=1,"Waitlist",IF(L784=1,"Deferred",IF(G784="pending","Pending",IF(OR(G784="initial materials submitted",G784="mid-year submitted",G784="final submitted"),"Submitted",IF(H784="interest","Interest","?"))))))))</f>
        <v>0</v>
      </c>
      <c r="AP784">
        <f>IF(OR(AN784=ReachLabel,AN784=LongshotLabel,AN784=HailMaryLabel),1,0)</f>
        <v>0</v>
      </c>
      <c r="AQ784">
        <f>IF(OR(AP784=1,AN784=MatchLabel),1,0)</f>
        <v>0</v>
      </c>
      <c r="AR784">
        <f>IF(OR(AN784=MatchLabel,AN784=SafetyLabel,AN784=SecureLabel,AN784=SureThingLabel),1,0)</f>
        <v>0</v>
      </c>
      <c r="AS784">
        <f>IF(OR(W784="H",W784="B",W784="I",W784="M"),IF(ISNUMBER(AB784),ROUND(AB784,2),0),IF(ISNUMBER(AA784),ROUND(AA784,2),0))</f>
        <v>0</v>
      </c>
      <c r="AT784">
        <f>IF(AS784&gt;=X784,1,0)</f>
        <v>0</v>
      </c>
      <c r="AU784">
        <f>IF(AS784&gt;=Y784,1,0)</f>
        <v>0</v>
      </c>
      <c r="AV784">
        <f>IF(AS784&lt;(X784-0.10),1,0)</f>
        <v>0</v>
      </c>
      <c r="AW784">
        <f>1-AM784/100</f>
        <v>0</v>
      </c>
      <c r="AX784">
        <f>IF(AQ784=1,AW784,1)</f>
        <v>0</v>
      </c>
      <c r="AY784">
        <f>IF(AP784=1,AW784,1)</f>
        <v>0</v>
      </c>
      <c r="AZ784">
        <f>IF(AND(AT784=1,ISNUMBER(AW784)),$AW784,1)</f>
        <v>0</v>
      </c>
      <c r="BA784">
        <f>IF(AND(AU784=1,ISNUMBER(AW784)),$AW784,1)</f>
        <v>0</v>
      </c>
      <c r="BB784">
        <f>IF(ISNUMBER(AB784),INDEX(AllCollegeMoney, MATCH(N784,AllCollegeNCES,0)),0)</f>
        <v>0</v>
      </c>
      <c r="BC784">
        <f>IF(AND(AT784=1,ISNUMBER(AW784),BB784=1),$AW784,1)</f>
        <v>0</v>
      </c>
      <c r="BD784">
        <f>IF(AND(AU784=1,ISNUMBER(AW784),BB784=1),$AW784,1)</f>
        <v>0</v>
      </c>
      <c r="BE784">
        <f>IF(ISNUMBER(AB784),INDEX(AllCollegeILPub, MATCH(N784,AllCollegeNCES,0)),0)</f>
        <v>0</v>
      </c>
      <c r="BF784">
        <f>IF(AN784=ReachLabel,AS784,0)</f>
        <v>0</v>
      </c>
      <c r="BG784">
        <f>IF(AN784=MatchLabel,AS784,0)</f>
        <v>0</v>
      </c>
      <c r="BH784">
        <f>IF(AN784=SafetyLabel,AS784,0)</f>
        <v>0</v>
      </c>
      <c r="BI784">
        <f>IF(AN784=SecureLabel,AS784,0)</f>
        <v>0</v>
      </c>
      <c r="BJ784">
        <f>IF(AN784=SureThingLabel,AS784,0)</f>
        <v>0</v>
      </c>
      <c r="BK784">
        <f>MAX(BF784:BJ784)</f>
        <v>0</v>
      </c>
      <c r="BL784">
        <f>MAX(BG784:BJ784)</f>
        <v>0</v>
      </c>
      <c r="BM784">
        <f>MAX(BH784:BJ784)</f>
        <v>0</v>
      </c>
      <c r="BN784">
        <f>IF(AND(AN784=ReachLabel,BB784=1),AS784,0)</f>
        <v>0</v>
      </c>
      <c r="BO784">
        <f>IF(AND(AN784=MatchLabel,BB784=1),AS784,0)</f>
        <v>0</v>
      </c>
      <c r="BP784">
        <f>IF(AND(AN784=SafetyLabel,BB784=1),AS784,0)</f>
        <v>0</v>
      </c>
      <c r="BQ784">
        <f>IF(AND(AN784=SecureLabel,BB784=1),AS784,0)</f>
        <v>0</v>
      </c>
      <c r="BR784">
        <f>IF(AND(AN784=SureThingLabel,BB784=1),AS784,0)</f>
        <v>0</v>
      </c>
      <c r="BS784">
        <f>MAX(BN784:BR784)</f>
        <v>0</v>
      </c>
      <c r="BT784">
        <f>MAX(BO784:BR784)</f>
        <v>0</v>
      </c>
      <c r="BU784">
        <f>MAX(BP784:BR784)</f>
        <v>0</v>
      </c>
      <c r="BV784">
        <f>IF(ISNUMBER(AB784),INDEX(AllCollegeChicago, MATCH(N784,AllCollegeNCES,0))*BB784,0)</f>
        <v>0</v>
      </c>
      <c r="BW784">
        <f>IF(ISNUMBER(AB784),INDEX(AllCollegeMoneyCode, MATCH(N784,AllCollegeNCES,0)),"?")</f>
        <v>0</v>
      </c>
      <c r="BX784">
        <f>IF(OR(BW784="---",BW784="--",BW784="+/--",BW784="+/---"),1,0)</f>
        <v>0</v>
      </c>
      <c r="BY784">
        <f>BB784*AR784*AT784</f>
        <v>0</v>
      </c>
    </row>
    <row r="785" spans="1:77">
      <c r="A785" t="s">
        <v>96</v>
      </c>
      <c r="B785">
        <v>30323076</v>
      </c>
      <c r="C785" t="s">
        <v>182</v>
      </c>
      <c r="D785" t="s">
        <v>183</v>
      </c>
      <c r="E785" t="s">
        <v>446</v>
      </c>
      <c r="F785" t="s">
        <v>465</v>
      </c>
      <c r="G785" t="s">
        <v>448</v>
      </c>
      <c r="H785" t="s">
        <v>449</v>
      </c>
      <c r="I785" t="s">
        <v>450</v>
      </c>
      <c r="J785" t="s">
        <v>450</v>
      </c>
      <c r="K785">
        <v>0</v>
      </c>
      <c r="L785" t="s">
        <v>446</v>
      </c>
      <c r="M785" t="s">
        <v>446</v>
      </c>
      <c r="N785">
        <v>145600</v>
      </c>
      <c r="O785">
        <f>INDEX(Counselor,MATCH(B785,KidIDs,0))</f>
        <v>0</v>
      </c>
      <c r="P785">
        <f>INDEX(Advisors,MATCH(B785,KidIDs,0))</f>
        <v>0</v>
      </c>
      <c r="Q785">
        <f>INDEX(Cohort,MATCH(B785,KidIDs,0))</f>
        <v>0</v>
      </c>
      <c r="R785">
        <f>INDEX(AllCollegeBarrons,MATCH(N785,AllCollegeNCES,0))</f>
        <v>0</v>
      </c>
      <c r="S785">
        <f>INDEX(KidGPAs,MATCH(B785,KidIDs,0))</f>
        <v>0</v>
      </c>
      <c r="T785">
        <f>INDEX(KidSATs,MATCH(B785,KidIDs,0))</f>
        <v>0</v>
      </c>
      <c r="U785">
        <f>INDEX(Strats,MATCH(B785,KidIDs,0))</f>
        <v>0</v>
      </c>
      <c r="V785">
        <f>INDEX(KidRace,MATCH(B785,KidIDs,0))</f>
        <v>0</v>
      </c>
      <c r="W785">
        <f>IF(OR(V785="M",V785="I"),"H",IF(V785="P","A",V785))</f>
        <v>0</v>
      </c>
      <c r="X785">
        <f>INDEX(StudentTargets,MATCH(B785,KidIDs,0))</f>
        <v>0</v>
      </c>
      <c r="Y785">
        <f>INDEX(ReachStudentTargets,MATCH(B785,KidIDs,0))</f>
        <v>0</v>
      </c>
      <c r="Z785">
        <f>IF(OR(M785="Posse"),1,0)</f>
        <v>0</v>
      </c>
      <c r="AA785">
        <f>IF(ISNUMBER(INDEX(AllCollegeGR, MATCH(N785,AllCollegeNCES,0))),ROUND(INDEX(AllCollegeGR, MATCH(N785,AllCollegeNCES,0))+Z785*IF(INDEX(AllCollegeGR, MATCH(N785,AllCollegeNCES,0))&gt;0.7,(1-INDEX(AllCollegeGR, MATCH(N785,AllCollegeNCES,0)))/2,0.15),2),INDEX(AllCollegeGR, MATCH(N785,AllCollegeNCES,0)))</f>
        <v>0</v>
      </c>
      <c r="AB785">
        <f>IF(ISNUMBER(INDEX(AllCollegeAAHGR, MATCH(N785,AllCollegeNCES,0))),ROUND(INDEX(AllCollegeAAHGR, MATCH(N785,AllCollegeNCES,0))+Z785*IF(INDEX(AllCollegeAAHGR, MATCH(N785,AllCollegeNCES,0))&gt;0.7,(1-INDEX(AllCollegeAAHGR, MATCH(N785,AllCollegeNCES,0)))/2,0.15),2),INDEX(AllCollegeAAHGR, MATCH(N785,AllCollegeNCES,0)))</f>
        <v>0</v>
      </c>
      <c r="AC785">
        <f>IF(OR(W785="H",W785="B"),INDEX(AllCollegeSAT25, MATCH(N785,AllCollegeNCES,0)),INDEX(AllCollegeSAT50, MATCH(N785,AllCollegeNCES,0)))</f>
        <v>0</v>
      </c>
      <c r="AD785">
        <f>INDEX(CustomWeightsGPA,MATCH(W785&amp;":"&amp;N785,CustomWeightsIndex,0))</f>
        <v>0</v>
      </c>
      <c r="AE785">
        <f>INDEX(CustomWeightsSAT,MATCH(W785&amp;":"&amp;N785,CustomWeightsIndex,0))</f>
        <v>0</v>
      </c>
      <c r="AF785">
        <f>INDEX(CustomWeightsIntercept,MATCH(W785&amp;":"&amp;N785,CustomWeightsIndex,0))</f>
        <v>0</v>
      </c>
      <c r="AG785">
        <f>AD785*S785+AE785*T785+AF785</f>
        <v>0</v>
      </c>
      <c r="AH785">
        <f>INDEX(CoefficientsGPA,MATCH(W785&amp;":"&amp;R785,CoefficientsIndex,0))</f>
        <v>0</v>
      </c>
      <c r="AI785">
        <f>INDEX(CoefficientsSAT,MATCH(W785&amp;":"&amp;R785,CoefficientsIndex,0))</f>
        <v>0</v>
      </c>
      <c r="AJ785">
        <f>INDEX(CoefficientsIntercept,MATCH(W785&amp;":"&amp;R785,CoefficientsIndex,0))</f>
        <v>0</v>
      </c>
      <c r="AK785">
        <f>AH785*S785+(T785-AC785)*AI785+AJ785</f>
        <v>0</v>
      </c>
      <c r="AL785">
        <f>IF(ISNUMBER(AG785),AG785,AK785)</f>
        <v>0</v>
      </c>
      <c r="AM785">
        <f>IF(ISNUMBER(AL785),IF(ISNUMBER(AH785),IF(AND(AH785=1,AI785=1,AJ785=1),100,MIN(99,ROUND(100*EXP(AL785)/(1+EXP(AL785)),2))),MIN(99,ROUND(100*EXP(AL785)/(1+EXP(AL785)),2))),IF(ISTEXT(R785),IF(LEFT(R785,1)="2",100,"N/A"),"N/A"))</f>
        <v>0</v>
      </c>
      <c r="AN785">
        <f>IF(ISNUMBER(AM785),IF(AM785&gt;=99,IF(OR(U785=10,U785=11),MatchLabel,SureThingLabel),IF(AM785&gt;=95,SecureLabel,IF(AM785&gt;=80,SafetyLabel,IF(AM785&gt;=50,MatchLabel,IF(AM785&gt;=20,ReachLabel,IF(AM785&gt;=10,LongshotLabel,HailMaryLabel)))))),"Other")</f>
        <v>0</v>
      </c>
      <c r="AO785">
        <f>IF(OR(I785="accepted",I785="cond. accept",I785="summer admit"),IF(J785="yes","CHOICE!","Accepted!"),IF(I785="guar. transfer","Guar. Xfer",IF(I785="denied","Denied",IF(K785=1,"Waitlist",IF(L785=1,"Deferred",IF(G785="pending","Pending",IF(OR(G785="initial materials submitted",G785="mid-year submitted",G785="final submitted"),"Submitted",IF(H785="interest","Interest","?"))))))))</f>
        <v>0</v>
      </c>
      <c r="AP785">
        <f>IF(OR(AN785=ReachLabel,AN785=LongshotLabel,AN785=HailMaryLabel),1,0)</f>
        <v>0</v>
      </c>
      <c r="AQ785">
        <f>IF(OR(AP785=1,AN785=MatchLabel),1,0)</f>
        <v>0</v>
      </c>
      <c r="AR785">
        <f>IF(OR(AN785=MatchLabel,AN785=SafetyLabel,AN785=SecureLabel,AN785=SureThingLabel),1,0)</f>
        <v>0</v>
      </c>
      <c r="AS785">
        <f>IF(OR(W785="H",W785="B",W785="I",W785="M"),IF(ISNUMBER(AB785),ROUND(AB785,2),0),IF(ISNUMBER(AA785),ROUND(AA785,2),0))</f>
        <v>0</v>
      </c>
      <c r="AT785">
        <f>IF(AS785&gt;=X785,1,0)</f>
        <v>0</v>
      </c>
      <c r="AU785">
        <f>IF(AS785&gt;=Y785,1,0)</f>
        <v>0</v>
      </c>
      <c r="AV785">
        <f>IF(AS785&lt;(X785-0.10),1,0)</f>
        <v>0</v>
      </c>
      <c r="AW785">
        <f>1-AM785/100</f>
        <v>0</v>
      </c>
      <c r="AX785">
        <f>IF(AQ785=1,AW785,1)</f>
        <v>0</v>
      </c>
      <c r="AY785">
        <f>IF(AP785=1,AW785,1)</f>
        <v>0</v>
      </c>
      <c r="AZ785">
        <f>IF(AND(AT785=1,ISNUMBER(AW785)),$AW785,1)</f>
        <v>0</v>
      </c>
      <c r="BA785">
        <f>IF(AND(AU785=1,ISNUMBER(AW785)),$AW785,1)</f>
        <v>0</v>
      </c>
      <c r="BB785">
        <f>IF(ISNUMBER(AB785),INDEX(AllCollegeMoney, MATCH(N785,AllCollegeNCES,0)),0)</f>
        <v>0</v>
      </c>
      <c r="BC785">
        <f>IF(AND(AT785=1,ISNUMBER(AW785),BB785=1),$AW785,1)</f>
        <v>0</v>
      </c>
      <c r="BD785">
        <f>IF(AND(AU785=1,ISNUMBER(AW785),BB785=1),$AW785,1)</f>
        <v>0</v>
      </c>
      <c r="BE785">
        <f>IF(ISNUMBER(AB785),INDEX(AllCollegeILPub, MATCH(N785,AllCollegeNCES,0)),0)</f>
        <v>0</v>
      </c>
      <c r="BF785">
        <f>IF(AN785=ReachLabel,AS785,0)</f>
        <v>0</v>
      </c>
      <c r="BG785">
        <f>IF(AN785=MatchLabel,AS785,0)</f>
        <v>0</v>
      </c>
      <c r="BH785">
        <f>IF(AN785=SafetyLabel,AS785,0)</f>
        <v>0</v>
      </c>
      <c r="BI785">
        <f>IF(AN785=SecureLabel,AS785,0)</f>
        <v>0</v>
      </c>
      <c r="BJ785">
        <f>IF(AN785=SureThingLabel,AS785,0)</f>
        <v>0</v>
      </c>
      <c r="BK785">
        <f>MAX(BF785:BJ785)</f>
        <v>0</v>
      </c>
      <c r="BL785">
        <f>MAX(BG785:BJ785)</f>
        <v>0</v>
      </c>
      <c r="BM785">
        <f>MAX(BH785:BJ785)</f>
        <v>0</v>
      </c>
      <c r="BN785">
        <f>IF(AND(AN785=ReachLabel,BB785=1),AS785,0)</f>
        <v>0</v>
      </c>
      <c r="BO785">
        <f>IF(AND(AN785=MatchLabel,BB785=1),AS785,0)</f>
        <v>0</v>
      </c>
      <c r="BP785">
        <f>IF(AND(AN785=SafetyLabel,BB785=1),AS785,0)</f>
        <v>0</v>
      </c>
      <c r="BQ785">
        <f>IF(AND(AN785=SecureLabel,BB785=1),AS785,0)</f>
        <v>0</v>
      </c>
      <c r="BR785">
        <f>IF(AND(AN785=SureThingLabel,BB785=1),AS785,0)</f>
        <v>0</v>
      </c>
      <c r="BS785">
        <f>MAX(BN785:BR785)</f>
        <v>0</v>
      </c>
      <c r="BT785">
        <f>MAX(BO785:BR785)</f>
        <v>0</v>
      </c>
      <c r="BU785">
        <f>MAX(BP785:BR785)</f>
        <v>0</v>
      </c>
      <c r="BV785">
        <f>IF(ISNUMBER(AB785),INDEX(AllCollegeChicago, MATCH(N785,AllCollegeNCES,0))*BB785,0)</f>
        <v>0</v>
      </c>
      <c r="BW785">
        <f>IF(ISNUMBER(AB785),INDEX(AllCollegeMoneyCode, MATCH(N785,AllCollegeNCES,0)),"?")</f>
        <v>0</v>
      </c>
      <c r="BX785">
        <f>IF(OR(BW785="---",BW785="--",BW785="+/--",BW785="+/---"),1,0)</f>
        <v>0</v>
      </c>
      <c r="BY785">
        <f>BB785*AR785*AT785</f>
        <v>0</v>
      </c>
    </row>
    <row r="786" spans="1:77">
      <c r="A786" t="s">
        <v>96</v>
      </c>
      <c r="B786">
        <v>30323076</v>
      </c>
      <c r="C786" t="s">
        <v>182</v>
      </c>
      <c r="D786" t="s">
        <v>183</v>
      </c>
      <c r="E786" t="s">
        <v>446</v>
      </c>
      <c r="F786" t="s">
        <v>613</v>
      </c>
      <c r="G786" t="s">
        <v>479</v>
      </c>
      <c r="H786" t="s">
        <v>449</v>
      </c>
      <c r="I786" t="s">
        <v>450</v>
      </c>
      <c r="J786" t="s">
        <v>450</v>
      </c>
      <c r="K786">
        <v>0</v>
      </c>
      <c r="L786" t="s">
        <v>446</v>
      </c>
      <c r="M786" t="s">
        <v>446</v>
      </c>
      <c r="N786">
        <v>172699</v>
      </c>
      <c r="O786">
        <f>INDEX(Counselor,MATCH(B786,KidIDs,0))</f>
        <v>0</v>
      </c>
      <c r="P786">
        <f>INDEX(Advisors,MATCH(B786,KidIDs,0))</f>
        <v>0</v>
      </c>
      <c r="Q786">
        <f>INDEX(Cohort,MATCH(B786,KidIDs,0))</f>
        <v>0</v>
      </c>
      <c r="R786">
        <f>INDEX(AllCollegeBarrons,MATCH(N786,AllCollegeNCES,0))</f>
        <v>0</v>
      </c>
      <c r="S786">
        <f>INDEX(KidGPAs,MATCH(B786,KidIDs,0))</f>
        <v>0</v>
      </c>
      <c r="T786">
        <f>INDEX(KidSATs,MATCH(B786,KidIDs,0))</f>
        <v>0</v>
      </c>
      <c r="U786">
        <f>INDEX(Strats,MATCH(B786,KidIDs,0))</f>
        <v>0</v>
      </c>
      <c r="V786">
        <f>INDEX(KidRace,MATCH(B786,KidIDs,0))</f>
        <v>0</v>
      </c>
      <c r="W786">
        <f>IF(OR(V786="M",V786="I"),"H",IF(V786="P","A",V786))</f>
        <v>0</v>
      </c>
      <c r="X786">
        <f>INDEX(StudentTargets,MATCH(B786,KidIDs,0))</f>
        <v>0</v>
      </c>
      <c r="Y786">
        <f>INDEX(ReachStudentTargets,MATCH(B786,KidIDs,0))</f>
        <v>0</v>
      </c>
      <c r="Z786">
        <f>IF(OR(M786="Posse"),1,0)</f>
        <v>0</v>
      </c>
      <c r="AA786">
        <f>IF(ISNUMBER(INDEX(AllCollegeGR, MATCH(N786,AllCollegeNCES,0))),ROUND(INDEX(AllCollegeGR, MATCH(N786,AllCollegeNCES,0))+Z786*IF(INDEX(AllCollegeGR, MATCH(N786,AllCollegeNCES,0))&gt;0.7,(1-INDEX(AllCollegeGR, MATCH(N786,AllCollegeNCES,0)))/2,0.15),2),INDEX(AllCollegeGR, MATCH(N786,AllCollegeNCES,0)))</f>
        <v>0</v>
      </c>
      <c r="AB786">
        <f>IF(ISNUMBER(INDEX(AllCollegeAAHGR, MATCH(N786,AllCollegeNCES,0))),ROUND(INDEX(AllCollegeAAHGR, MATCH(N786,AllCollegeNCES,0))+Z786*IF(INDEX(AllCollegeAAHGR, MATCH(N786,AllCollegeNCES,0))&gt;0.7,(1-INDEX(AllCollegeAAHGR, MATCH(N786,AllCollegeNCES,0)))/2,0.15),2),INDEX(AllCollegeAAHGR, MATCH(N786,AllCollegeNCES,0)))</f>
        <v>0</v>
      </c>
      <c r="AC786">
        <f>IF(OR(W786="H",W786="B"),INDEX(AllCollegeSAT25, MATCH(N786,AllCollegeNCES,0)),INDEX(AllCollegeSAT50, MATCH(N786,AllCollegeNCES,0)))</f>
        <v>0</v>
      </c>
      <c r="AD786">
        <f>INDEX(CustomWeightsGPA,MATCH(W786&amp;":"&amp;N786,CustomWeightsIndex,0))</f>
        <v>0</v>
      </c>
      <c r="AE786">
        <f>INDEX(CustomWeightsSAT,MATCH(W786&amp;":"&amp;N786,CustomWeightsIndex,0))</f>
        <v>0</v>
      </c>
      <c r="AF786">
        <f>INDEX(CustomWeightsIntercept,MATCH(W786&amp;":"&amp;N786,CustomWeightsIndex,0))</f>
        <v>0</v>
      </c>
      <c r="AG786">
        <f>AD786*S786+AE786*T786+AF786</f>
        <v>0</v>
      </c>
      <c r="AH786">
        <f>INDEX(CoefficientsGPA,MATCH(W786&amp;":"&amp;R786,CoefficientsIndex,0))</f>
        <v>0</v>
      </c>
      <c r="AI786">
        <f>INDEX(CoefficientsSAT,MATCH(W786&amp;":"&amp;R786,CoefficientsIndex,0))</f>
        <v>0</v>
      </c>
      <c r="AJ786">
        <f>INDEX(CoefficientsIntercept,MATCH(W786&amp;":"&amp;R786,CoefficientsIndex,0))</f>
        <v>0</v>
      </c>
      <c r="AK786">
        <f>AH786*S786+(T786-AC786)*AI786+AJ786</f>
        <v>0</v>
      </c>
      <c r="AL786">
        <f>IF(ISNUMBER(AG786),AG786,AK786)</f>
        <v>0</v>
      </c>
      <c r="AM786">
        <f>IF(ISNUMBER(AL786),IF(ISNUMBER(AH786),IF(AND(AH786=1,AI786=1,AJ786=1),100,MIN(99,ROUND(100*EXP(AL786)/(1+EXP(AL786)),2))),MIN(99,ROUND(100*EXP(AL786)/(1+EXP(AL786)),2))),IF(ISTEXT(R786),IF(LEFT(R786,1)="2",100,"N/A"),"N/A"))</f>
        <v>0</v>
      </c>
      <c r="AN786">
        <f>IF(ISNUMBER(AM786),IF(AM786&gt;=99,IF(OR(U786=10,U786=11),MatchLabel,SureThingLabel),IF(AM786&gt;=95,SecureLabel,IF(AM786&gt;=80,SafetyLabel,IF(AM786&gt;=50,MatchLabel,IF(AM786&gt;=20,ReachLabel,IF(AM786&gt;=10,LongshotLabel,HailMaryLabel)))))),"Other")</f>
        <v>0</v>
      </c>
      <c r="AO786">
        <f>IF(OR(I786="accepted",I786="cond. accept",I786="summer admit"),IF(J786="yes","CHOICE!","Accepted!"),IF(I786="guar. transfer","Guar. Xfer",IF(I786="denied","Denied",IF(K786=1,"Waitlist",IF(L786=1,"Deferred",IF(G786="pending","Pending",IF(OR(G786="initial materials submitted",G786="mid-year submitted",G786="final submitted"),"Submitted",IF(H786="interest","Interest","?"))))))))</f>
        <v>0</v>
      </c>
      <c r="AP786">
        <f>IF(OR(AN786=ReachLabel,AN786=LongshotLabel,AN786=HailMaryLabel),1,0)</f>
        <v>0</v>
      </c>
      <c r="AQ786">
        <f>IF(OR(AP786=1,AN786=MatchLabel),1,0)</f>
        <v>0</v>
      </c>
      <c r="AR786">
        <f>IF(OR(AN786=MatchLabel,AN786=SafetyLabel,AN786=SecureLabel,AN786=SureThingLabel),1,0)</f>
        <v>0</v>
      </c>
      <c r="AS786">
        <f>IF(OR(W786="H",W786="B",W786="I",W786="M"),IF(ISNUMBER(AB786),ROUND(AB786,2),0),IF(ISNUMBER(AA786),ROUND(AA786,2),0))</f>
        <v>0</v>
      </c>
      <c r="AT786">
        <f>IF(AS786&gt;=X786,1,0)</f>
        <v>0</v>
      </c>
      <c r="AU786">
        <f>IF(AS786&gt;=Y786,1,0)</f>
        <v>0</v>
      </c>
      <c r="AV786">
        <f>IF(AS786&lt;(X786-0.10),1,0)</f>
        <v>0</v>
      </c>
      <c r="AW786">
        <f>1-AM786/100</f>
        <v>0</v>
      </c>
      <c r="AX786">
        <f>IF(AQ786=1,AW786,1)</f>
        <v>0</v>
      </c>
      <c r="AY786">
        <f>IF(AP786=1,AW786,1)</f>
        <v>0</v>
      </c>
      <c r="AZ786">
        <f>IF(AND(AT786=1,ISNUMBER(AW786)),$AW786,1)</f>
        <v>0</v>
      </c>
      <c r="BA786">
        <f>IF(AND(AU786=1,ISNUMBER(AW786)),$AW786,1)</f>
        <v>0</v>
      </c>
      <c r="BB786">
        <f>IF(ISNUMBER(AB786),INDEX(AllCollegeMoney, MATCH(N786,AllCollegeNCES,0)),0)</f>
        <v>0</v>
      </c>
      <c r="BC786">
        <f>IF(AND(AT786=1,ISNUMBER(AW786),BB786=1),$AW786,1)</f>
        <v>0</v>
      </c>
      <c r="BD786">
        <f>IF(AND(AU786=1,ISNUMBER(AW786),BB786=1),$AW786,1)</f>
        <v>0</v>
      </c>
      <c r="BE786">
        <f>IF(ISNUMBER(AB786),INDEX(AllCollegeILPub, MATCH(N786,AllCollegeNCES,0)),0)</f>
        <v>0</v>
      </c>
      <c r="BF786">
        <f>IF(AN786=ReachLabel,AS786,0)</f>
        <v>0</v>
      </c>
      <c r="BG786">
        <f>IF(AN786=MatchLabel,AS786,0)</f>
        <v>0</v>
      </c>
      <c r="BH786">
        <f>IF(AN786=SafetyLabel,AS786,0)</f>
        <v>0</v>
      </c>
      <c r="BI786">
        <f>IF(AN786=SecureLabel,AS786,0)</f>
        <v>0</v>
      </c>
      <c r="BJ786">
        <f>IF(AN786=SureThingLabel,AS786,0)</f>
        <v>0</v>
      </c>
      <c r="BK786">
        <f>MAX(BF786:BJ786)</f>
        <v>0</v>
      </c>
      <c r="BL786">
        <f>MAX(BG786:BJ786)</f>
        <v>0</v>
      </c>
      <c r="BM786">
        <f>MAX(BH786:BJ786)</f>
        <v>0</v>
      </c>
      <c r="BN786">
        <f>IF(AND(AN786=ReachLabel,BB786=1),AS786,0)</f>
        <v>0</v>
      </c>
      <c r="BO786">
        <f>IF(AND(AN786=MatchLabel,BB786=1),AS786,0)</f>
        <v>0</v>
      </c>
      <c r="BP786">
        <f>IF(AND(AN786=SafetyLabel,BB786=1),AS786,0)</f>
        <v>0</v>
      </c>
      <c r="BQ786">
        <f>IF(AND(AN786=SecureLabel,BB786=1),AS786,0)</f>
        <v>0</v>
      </c>
      <c r="BR786">
        <f>IF(AND(AN786=SureThingLabel,BB786=1),AS786,0)</f>
        <v>0</v>
      </c>
      <c r="BS786">
        <f>MAX(BN786:BR786)</f>
        <v>0</v>
      </c>
      <c r="BT786">
        <f>MAX(BO786:BR786)</f>
        <v>0</v>
      </c>
      <c r="BU786">
        <f>MAX(BP786:BR786)</f>
        <v>0</v>
      </c>
      <c r="BV786">
        <f>IF(ISNUMBER(AB786),INDEX(AllCollegeChicago, MATCH(N786,AllCollegeNCES,0))*BB786,0)</f>
        <v>0</v>
      </c>
      <c r="BW786">
        <f>IF(ISNUMBER(AB786),INDEX(AllCollegeMoneyCode, MATCH(N786,AllCollegeNCES,0)),"?")</f>
        <v>0</v>
      </c>
      <c r="BX786">
        <f>IF(OR(BW786="---",BW786="--",BW786="+/--",BW786="+/---"),1,0)</f>
        <v>0</v>
      </c>
      <c r="BY786">
        <f>BB786*AR786*AT786</f>
        <v>0</v>
      </c>
    </row>
    <row r="787" spans="1:77">
      <c r="A787" t="s">
        <v>96</v>
      </c>
      <c r="B787">
        <v>30323076</v>
      </c>
      <c r="C787" t="s">
        <v>182</v>
      </c>
      <c r="D787" t="s">
        <v>183</v>
      </c>
      <c r="E787" t="s">
        <v>446</v>
      </c>
      <c r="F787" t="s">
        <v>614</v>
      </c>
      <c r="G787" t="s">
        <v>448</v>
      </c>
      <c r="H787" t="s">
        <v>449</v>
      </c>
      <c r="I787" t="s">
        <v>450</v>
      </c>
      <c r="J787" t="s">
        <v>450</v>
      </c>
      <c r="K787">
        <v>0</v>
      </c>
      <c r="L787" t="s">
        <v>446</v>
      </c>
      <c r="M787" t="s">
        <v>446</v>
      </c>
      <c r="N787">
        <v>178420</v>
      </c>
      <c r="O787">
        <f>INDEX(Counselor,MATCH(B787,KidIDs,0))</f>
        <v>0</v>
      </c>
      <c r="P787">
        <f>INDEX(Advisors,MATCH(B787,KidIDs,0))</f>
        <v>0</v>
      </c>
      <c r="Q787">
        <f>INDEX(Cohort,MATCH(B787,KidIDs,0))</f>
        <v>0</v>
      </c>
      <c r="R787">
        <f>INDEX(AllCollegeBarrons,MATCH(N787,AllCollegeNCES,0))</f>
        <v>0</v>
      </c>
      <c r="S787">
        <f>INDEX(KidGPAs,MATCH(B787,KidIDs,0))</f>
        <v>0</v>
      </c>
      <c r="T787">
        <f>INDEX(KidSATs,MATCH(B787,KidIDs,0))</f>
        <v>0</v>
      </c>
      <c r="U787">
        <f>INDEX(Strats,MATCH(B787,KidIDs,0))</f>
        <v>0</v>
      </c>
      <c r="V787">
        <f>INDEX(KidRace,MATCH(B787,KidIDs,0))</f>
        <v>0</v>
      </c>
      <c r="W787">
        <f>IF(OR(V787="M",V787="I"),"H",IF(V787="P","A",V787))</f>
        <v>0</v>
      </c>
      <c r="X787">
        <f>INDEX(StudentTargets,MATCH(B787,KidIDs,0))</f>
        <v>0</v>
      </c>
      <c r="Y787">
        <f>INDEX(ReachStudentTargets,MATCH(B787,KidIDs,0))</f>
        <v>0</v>
      </c>
      <c r="Z787">
        <f>IF(OR(M787="Posse"),1,0)</f>
        <v>0</v>
      </c>
      <c r="AA787">
        <f>IF(ISNUMBER(INDEX(AllCollegeGR, MATCH(N787,AllCollegeNCES,0))),ROUND(INDEX(AllCollegeGR, MATCH(N787,AllCollegeNCES,0))+Z787*IF(INDEX(AllCollegeGR, MATCH(N787,AllCollegeNCES,0))&gt;0.7,(1-INDEX(AllCollegeGR, MATCH(N787,AllCollegeNCES,0)))/2,0.15),2),INDEX(AllCollegeGR, MATCH(N787,AllCollegeNCES,0)))</f>
        <v>0</v>
      </c>
      <c r="AB787">
        <f>IF(ISNUMBER(INDEX(AllCollegeAAHGR, MATCH(N787,AllCollegeNCES,0))),ROUND(INDEX(AllCollegeAAHGR, MATCH(N787,AllCollegeNCES,0))+Z787*IF(INDEX(AllCollegeAAHGR, MATCH(N787,AllCollegeNCES,0))&gt;0.7,(1-INDEX(AllCollegeAAHGR, MATCH(N787,AllCollegeNCES,0)))/2,0.15),2),INDEX(AllCollegeAAHGR, MATCH(N787,AllCollegeNCES,0)))</f>
        <v>0</v>
      </c>
      <c r="AC787">
        <f>IF(OR(W787="H",W787="B"),INDEX(AllCollegeSAT25, MATCH(N787,AllCollegeNCES,0)),INDEX(AllCollegeSAT50, MATCH(N787,AllCollegeNCES,0)))</f>
        <v>0</v>
      </c>
      <c r="AD787">
        <f>INDEX(CustomWeightsGPA,MATCH(W787&amp;":"&amp;N787,CustomWeightsIndex,0))</f>
        <v>0</v>
      </c>
      <c r="AE787">
        <f>INDEX(CustomWeightsSAT,MATCH(W787&amp;":"&amp;N787,CustomWeightsIndex,0))</f>
        <v>0</v>
      </c>
      <c r="AF787">
        <f>INDEX(CustomWeightsIntercept,MATCH(W787&amp;":"&amp;N787,CustomWeightsIndex,0))</f>
        <v>0</v>
      </c>
      <c r="AG787">
        <f>AD787*S787+AE787*T787+AF787</f>
        <v>0</v>
      </c>
      <c r="AH787">
        <f>INDEX(CoefficientsGPA,MATCH(W787&amp;":"&amp;R787,CoefficientsIndex,0))</f>
        <v>0</v>
      </c>
      <c r="AI787">
        <f>INDEX(CoefficientsSAT,MATCH(W787&amp;":"&amp;R787,CoefficientsIndex,0))</f>
        <v>0</v>
      </c>
      <c r="AJ787">
        <f>INDEX(CoefficientsIntercept,MATCH(W787&amp;":"&amp;R787,CoefficientsIndex,0))</f>
        <v>0</v>
      </c>
      <c r="AK787">
        <f>AH787*S787+(T787-AC787)*AI787+AJ787</f>
        <v>0</v>
      </c>
      <c r="AL787">
        <f>IF(ISNUMBER(AG787),AG787,AK787)</f>
        <v>0</v>
      </c>
      <c r="AM787">
        <f>IF(ISNUMBER(AL787),IF(ISNUMBER(AH787),IF(AND(AH787=1,AI787=1,AJ787=1),100,MIN(99,ROUND(100*EXP(AL787)/(1+EXP(AL787)),2))),MIN(99,ROUND(100*EXP(AL787)/(1+EXP(AL787)),2))),IF(ISTEXT(R787),IF(LEFT(R787,1)="2",100,"N/A"),"N/A"))</f>
        <v>0</v>
      </c>
      <c r="AN787">
        <f>IF(ISNUMBER(AM787),IF(AM787&gt;=99,IF(OR(U787=10,U787=11),MatchLabel,SureThingLabel),IF(AM787&gt;=95,SecureLabel,IF(AM787&gt;=80,SafetyLabel,IF(AM787&gt;=50,MatchLabel,IF(AM787&gt;=20,ReachLabel,IF(AM787&gt;=10,LongshotLabel,HailMaryLabel)))))),"Other")</f>
        <v>0</v>
      </c>
      <c r="AO787">
        <f>IF(OR(I787="accepted",I787="cond. accept",I787="summer admit"),IF(J787="yes","CHOICE!","Accepted!"),IF(I787="guar. transfer","Guar. Xfer",IF(I787="denied","Denied",IF(K787=1,"Waitlist",IF(L787=1,"Deferred",IF(G787="pending","Pending",IF(OR(G787="initial materials submitted",G787="mid-year submitted",G787="final submitted"),"Submitted",IF(H787="interest","Interest","?"))))))))</f>
        <v>0</v>
      </c>
      <c r="AP787">
        <f>IF(OR(AN787=ReachLabel,AN787=LongshotLabel,AN787=HailMaryLabel),1,0)</f>
        <v>0</v>
      </c>
      <c r="AQ787">
        <f>IF(OR(AP787=1,AN787=MatchLabel),1,0)</f>
        <v>0</v>
      </c>
      <c r="AR787">
        <f>IF(OR(AN787=MatchLabel,AN787=SafetyLabel,AN787=SecureLabel,AN787=SureThingLabel),1,0)</f>
        <v>0</v>
      </c>
      <c r="AS787">
        <f>IF(OR(W787="H",W787="B",W787="I",W787="M"),IF(ISNUMBER(AB787),ROUND(AB787,2),0),IF(ISNUMBER(AA787),ROUND(AA787,2),0))</f>
        <v>0</v>
      </c>
      <c r="AT787">
        <f>IF(AS787&gt;=X787,1,0)</f>
        <v>0</v>
      </c>
      <c r="AU787">
        <f>IF(AS787&gt;=Y787,1,0)</f>
        <v>0</v>
      </c>
      <c r="AV787">
        <f>IF(AS787&lt;(X787-0.10),1,0)</f>
        <v>0</v>
      </c>
      <c r="AW787">
        <f>1-AM787/100</f>
        <v>0</v>
      </c>
      <c r="AX787">
        <f>IF(AQ787=1,AW787,1)</f>
        <v>0</v>
      </c>
      <c r="AY787">
        <f>IF(AP787=1,AW787,1)</f>
        <v>0</v>
      </c>
      <c r="AZ787">
        <f>IF(AND(AT787=1,ISNUMBER(AW787)),$AW787,1)</f>
        <v>0</v>
      </c>
      <c r="BA787">
        <f>IF(AND(AU787=1,ISNUMBER(AW787)),$AW787,1)</f>
        <v>0</v>
      </c>
      <c r="BB787">
        <f>IF(ISNUMBER(AB787),INDEX(AllCollegeMoney, MATCH(N787,AllCollegeNCES,0)),0)</f>
        <v>0</v>
      </c>
      <c r="BC787">
        <f>IF(AND(AT787=1,ISNUMBER(AW787),BB787=1),$AW787,1)</f>
        <v>0</v>
      </c>
      <c r="BD787">
        <f>IF(AND(AU787=1,ISNUMBER(AW787),BB787=1),$AW787,1)</f>
        <v>0</v>
      </c>
      <c r="BE787">
        <f>IF(ISNUMBER(AB787),INDEX(AllCollegeILPub, MATCH(N787,AllCollegeNCES,0)),0)</f>
        <v>0</v>
      </c>
      <c r="BF787">
        <f>IF(AN787=ReachLabel,AS787,0)</f>
        <v>0</v>
      </c>
      <c r="BG787">
        <f>IF(AN787=MatchLabel,AS787,0)</f>
        <v>0</v>
      </c>
      <c r="BH787">
        <f>IF(AN787=SafetyLabel,AS787,0)</f>
        <v>0</v>
      </c>
      <c r="BI787">
        <f>IF(AN787=SecureLabel,AS787,0)</f>
        <v>0</v>
      </c>
      <c r="BJ787">
        <f>IF(AN787=SureThingLabel,AS787,0)</f>
        <v>0</v>
      </c>
      <c r="BK787">
        <f>MAX(BF787:BJ787)</f>
        <v>0</v>
      </c>
      <c r="BL787">
        <f>MAX(BG787:BJ787)</f>
        <v>0</v>
      </c>
      <c r="BM787">
        <f>MAX(BH787:BJ787)</f>
        <v>0</v>
      </c>
      <c r="BN787">
        <f>IF(AND(AN787=ReachLabel,BB787=1),AS787,0)</f>
        <v>0</v>
      </c>
      <c r="BO787">
        <f>IF(AND(AN787=MatchLabel,BB787=1),AS787,0)</f>
        <v>0</v>
      </c>
      <c r="BP787">
        <f>IF(AND(AN787=SafetyLabel,BB787=1),AS787,0)</f>
        <v>0</v>
      </c>
      <c r="BQ787">
        <f>IF(AND(AN787=SecureLabel,BB787=1),AS787,0)</f>
        <v>0</v>
      </c>
      <c r="BR787">
        <f>IF(AND(AN787=SureThingLabel,BB787=1),AS787,0)</f>
        <v>0</v>
      </c>
      <c r="BS787">
        <f>MAX(BN787:BR787)</f>
        <v>0</v>
      </c>
      <c r="BT787">
        <f>MAX(BO787:BR787)</f>
        <v>0</v>
      </c>
      <c r="BU787">
        <f>MAX(BP787:BR787)</f>
        <v>0</v>
      </c>
      <c r="BV787">
        <f>IF(ISNUMBER(AB787),INDEX(AllCollegeChicago, MATCH(N787,AllCollegeNCES,0))*BB787,0)</f>
        <v>0</v>
      </c>
      <c r="BW787">
        <f>IF(ISNUMBER(AB787),INDEX(AllCollegeMoneyCode, MATCH(N787,AllCollegeNCES,0)),"?")</f>
        <v>0</v>
      </c>
      <c r="BX787">
        <f>IF(OR(BW787="---",BW787="--",BW787="+/--",BW787="+/---"),1,0)</f>
        <v>0</v>
      </c>
      <c r="BY787">
        <f>BB787*AR787*AT787</f>
        <v>0</v>
      </c>
    </row>
    <row r="788" spans="1:77">
      <c r="A788" t="s">
        <v>96</v>
      </c>
      <c r="B788">
        <v>30373557</v>
      </c>
      <c r="C788" t="s">
        <v>144</v>
      </c>
      <c r="D788" t="s">
        <v>145</v>
      </c>
      <c r="E788" t="s">
        <v>446</v>
      </c>
      <c r="F788" t="s">
        <v>579</v>
      </c>
      <c r="G788" t="s">
        <v>448</v>
      </c>
      <c r="H788" t="s">
        <v>449</v>
      </c>
      <c r="I788" t="s">
        <v>450</v>
      </c>
      <c r="J788" t="s">
        <v>450</v>
      </c>
      <c r="K788">
        <v>0</v>
      </c>
      <c r="L788" t="s">
        <v>446</v>
      </c>
      <c r="M788" t="s">
        <v>446</v>
      </c>
      <c r="N788">
        <v>142887</v>
      </c>
      <c r="O788">
        <f>INDEX(Counselor,MATCH(B788,KidIDs,0))</f>
        <v>0</v>
      </c>
      <c r="P788">
        <f>INDEX(Advisors,MATCH(B788,KidIDs,0))</f>
        <v>0</v>
      </c>
      <c r="Q788">
        <f>INDEX(Cohort,MATCH(B788,KidIDs,0))</f>
        <v>0</v>
      </c>
      <c r="R788">
        <f>INDEX(AllCollegeBarrons,MATCH(N788,AllCollegeNCES,0))</f>
        <v>0</v>
      </c>
      <c r="S788">
        <f>INDEX(KidGPAs,MATCH(B788,KidIDs,0))</f>
        <v>0</v>
      </c>
      <c r="T788">
        <f>INDEX(KidSATs,MATCH(B788,KidIDs,0))</f>
        <v>0</v>
      </c>
      <c r="U788">
        <f>INDEX(Strats,MATCH(B788,KidIDs,0))</f>
        <v>0</v>
      </c>
      <c r="V788">
        <f>INDEX(KidRace,MATCH(B788,KidIDs,0))</f>
        <v>0</v>
      </c>
      <c r="W788">
        <f>IF(OR(V788="M",V788="I"),"H",IF(V788="P","A",V788))</f>
        <v>0</v>
      </c>
      <c r="X788">
        <f>INDEX(StudentTargets,MATCH(B788,KidIDs,0))</f>
        <v>0</v>
      </c>
      <c r="Y788">
        <f>INDEX(ReachStudentTargets,MATCH(B788,KidIDs,0))</f>
        <v>0</v>
      </c>
      <c r="Z788">
        <f>IF(OR(M788="Posse"),1,0)</f>
        <v>0</v>
      </c>
      <c r="AA788">
        <f>IF(ISNUMBER(INDEX(AllCollegeGR, MATCH(N788,AllCollegeNCES,0))),ROUND(INDEX(AllCollegeGR, MATCH(N788,AllCollegeNCES,0))+Z788*IF(INDEX(AllCollegeGR, MATCH(N788,AllCollegeNCES,0))&gt;0.7,(1-INDEX(AllCollegeGR, MATCH(N788,AllCollegeNCES,0)))/2,0.15),2),INDEX(AllCollegeGR, MATCH(N788,AllCollegeNCES,0)))</f>
        <v>0</v>
      </c>
      <c r="AB788">
        <f>IF(ISNUMBER(INDEX(AllCollegeAAHGR, MATCH(N788,AllCollegeNCES,0))),ROUND(INDEX(AllCollegeAAHGR, MATCH(N788,AllCollegeNCES,0))+Z788*IF(INDEX(AllCollegeAAHGR, MATCH(N788,AllCollegeNCES,0))&gt;0.7,(1-INDEX(AllCollegeAAHGR, MATCH(N788,AllCollegeNCES,0)))/2,0.15),2),INDEX(AllCollegeAAHGR, MATCH(N788,AllCollegeNCES,0)))</f>
        <v>0</v>
      </c>
      <c r="AC788">
        <f>IF(OR(W788="H",W788="B"),INDEX(AllCollegeSAT25, MATCH(N788,AllCollegeNCES,0)),INDEX(AllCollegeSAT50, MATCH(N788,AllCollegeNCES,0)))</f>
        <v>0</v>
      </c>
      <c r="AD788">
        <f>INDEX(CustomWeightsGPA,MATCH(W788&amp;":"&amp;N788,CustomWeightsIndex,0))</f>
        <v>0</v>
      </c>
      <c r="AE788">
        <f>INDEX(CustomWeightsSAT,MATCH(W788&amp;":"&amp;N788,CustomWeightsIndex,0))</f>
        <v>0</v>
      </c>
      <c r="AF788">
        <f>INDEX(CustomWeightsIntercept,MATCH(W788&amp;":"&amp;N788,CustomWeightsIndex,0))</f>
        <v>0</v>
      </c>
      <c r="AG788">
        <f>AD788*S788+AE788*T788+AF788</f>
        <v>0</v>
      </c>
      <c r="AH788">
        <f>INDEX(CoefficientsGPA,MATCH(W788&amp;":"&amp;R788,CoefficientsIndex,0))</f>
        <v>0</v>
      </c>
      <c r="AI788">
        <f>INDEX(CoefficientsSAT,MATCH(W788&amp;":"&amp;R788,CoefficientsIndex,0))</f>
        <v>0</v>
      </c>
      <c r="AJ788">
        <f>INDEX(CoefficientsIntercept,MATCH(W788&amp;":"&amp;R788,CoefficientsIndex,0))</f>
        <v>0</v>
      </c>
      <c r="AK788">
        <f>AH788*S788+(T788-AC788)*AI788+AJ788</f>
        <v>0</v>
      </c>
      <c r="AL788">
        <f>IF(ISNUMBER(AG788),AG788,AK788)</f>
        <v>0</v>
      </c>
      <c r="AM788">
        <f>IF(ISNUMBER(AL788),IF(ISNUMBER(AH788),IF(AND(AH788=1,AI788=1,AJ788=1),100,MIN(99,ROUND(100*EXP(AL788)/(1+EXP(AL788)),2))),MIN(99,ROUND(100*EXP(AL788)/(1+EXP(AL788)),2))),IF(ISTEXT(R788),IF(LEFT(R788,1)="2",100,"N/A"),"N/A"))</f>
        <v>0</v>
      </c>
      <c r="AN788">
        <f>IF(ISNUMBER(AM788),IF(AM788&gt;=99,IF(OR(U788=10,U788=11),MatchLabel,SureThingLabel),IF(AM788&gt;=95,SecureLabel,IF(AM788&gt;=80,SafetyLabel,IF(AM788&gt;=50,MatchLabel,IF(AM788&gt;=20,ReachLabel,IF(AM788&gt;=10,LongshotLabel,HailMaryLabel)))))),"Other")</f>
        <v>0</v>
      </c>
      <c r="AO788">
        <f>IF(OR(I788="accepted",I788="cond. accept",I788="summer admit"),IF(J788="yes","CHOICE!","Accepted!"),IF(I788="guar. transfer","Guar. Xfer",IF(I788="denied","Denied",IF(K788=1,"Waitlist",IF(L788=1,"Deferred",IF(G788="pending","Pending",IF(OR(G788="initial materials submitted",G788="mid-year submitted",G788="final submitted"),"Submitted",IF(H788="interest","Interest","?"))))))))</f>
        <v>0</v>
      </c>
      <c r="AP788">
        <f>IF(OR(AN788=ReachLabel,AN788=LongshotLabel,AN788=HailMaryLabel),1,0)</f>
        <v>0</v>
      </c>
      <c r="AQ788">
        <f>IF(OR(AP788=1,AN788=MatchLabel),1,0)</f>
        <v>0</v>
      </c>
      <c r="AR788">
        <f>IF(OR(AN788=MatchLabel,AN788=SafetyLabel,AN788=SecureLabel,AN788=SureThingLabel),1,0)</f>
        <v>0</v>
      </c>
      <c r="AS788">
        <f>IF(OR(W788="H",W788="B",W788="I",W788="M"),IF(ISNUMBER(AB788),ROUND(AB788,2),0),IF(ISNUMBER(AA788),ROUND(AA788,2),0))</f>
        <v>0</v>
      </c>
      <c r="AT788">
        <f>IF(AS788&gt;=X788,1,0)</f>
        <v>0</v>
      </c>
      <c r="AU788">
        <f>IF(AS788&gt;=Y788,1,0)</f>
        <v>0</v>
      </c>
      <c r="AV788">
        <f>IF(AS788&lt;(X788-0.10),1,0)</f>
        <v>0</v>
      </c>
      <c r="AW788">
        <f>1-AM788/100</f>
        <v>0</v>
      </c>
      <c r="AX788">
        <f>IF(AQ788=1,AW788,1)</f>
        <v>0</v>
      </c>
      <c r="AY788">
        <f>IF(AP788=1,AW788,1)</f>
        <v>0</v>
      </c>
      <c r="AZ788">
        <f>IF(AND(AT788=1,ISNUMBER(AW788)),$AW788,1)</f>
        <v>0</v>
      </c>
      <c r="BA788">
        <f>IF(AND(AU788=1,ISNUMBER(AW788)),$AW788,1)</f>
        <v>0</v>
      </c>
      <c r="BB788">
        <f>IF(ISNUMBER(AB788),INDEX(AllCollegeMoney, MATCH(N788,AllCollegeNCES,0)),0)</f>
        <v>0</v>
      </c>
      <c r="BC788">
        <f>IF(AND(AT788=1,ISNUMBER(AW788),BB788=1),$AW788,1)</f>
        <v>0</v>
      </c>
      <c r="BD788">
        <f>IF(AND(AU788=1,ISNUMBER(AW788),BB788=1),$AW788,1)</f>
        <v>0</v>
      </c>
      <c r="BE788">
        <f>IF(ISNUMBER(AB788),INDEX(AllCollegeILPub, MATCH(N788,AllCollegeNCES,0)),0)</f>
        <v>0</v>
      </c>
      <c r="BF788">
        <f>IF(AN788=ReachLabel,AS788,0)</f>
        <v>0</v>
      </c>
      <c r="BG788">
        <f>IF(AN788=MatchLabel,AS788,0)</f>
        <v>0</v>
      </c>
      <c r="BH788">
        <f>IF(AN788=SafetyLabel,AS788,0)</f>
        <v>0</v>
      </c>
      <c r="BI788">
        <f>IF(AN788=SecureLabel,AS788,0)</f>
        <v>0</v>
      </c>
      <c r="BJ788">
        <f>IF(AN788=SureThingLabel,AS788,0)</f>
        <v>0</v>
      </c>
      <c r="BK788">
        <f>MAX(BF788:BJ788)</f>
        <v>0</v>
      </c>
      <c r="BL788">
        <f>MAX(BG788:BJ788)</f>
        <v>0</v>
      </c>
      <c r="BM788">
        <f>MAX(BH788:BJ788)</f>
        <v>0</v>
      </c>
      <c r="BN788">
        <f>IF(AND(AN788=ReachLabel,BB788=1),AS788,0)</f>
        <v>0</v>
      </c>
      <c r="BO788">
        <f>IF(AND(AN788=MatchLabel,BB788=1),AS788,0)</f>
        <v>0</v>
      </c>
      <c r="BP788">
        <f>IF(AND(AN788=SafetyLabel,BB788=1),AS788,0)</f>
        <v>0</v>
      </c>
      <c r="BQ788">
        <f>IF(AND(AN788=SecureLabel,BB788=1),AS788,0)</f>
        <v>0</v>
      </c>
      <c r="BR788">
        <f>IF(AND(AN788=SureThingLabel,BB788=1),AS788,0)</f>
        <v>0</v>
      </c>
      <c r="BS788">
        <f>MAX(BN788:BR788)</f>
        <v>0</v>
      </c>
      <c r="BT788">
        <f>MAX(BO788:BR788)</f>
        <v>0</v>
      </c>
      <c r="BU788">
        <f>MAX(BP788:BR788)</f>
        <v>0</v>
      </c>
      <c r="BV788">
        <f>IF(ISNUMBER(AB788),INDEX(AllCollegeChicago, MATCH(N788,AllCollegeNCES,0))*BB788,0)</f>
        <v>0</v>
      </c>
      <c r="BW788">
        <f>IF(ISNUMBER(AB788),INDEX(AllCollegeMoneyCode, MATCH(N788,AllCollegeNCES,0)),"?")</f>
        <v>0</v>
      </c>
      <c r="BX788">
        <f>IF(OR(BW788="---",BW788="--",BW788="+/--",BW788="+/---"),1,0)</f>
        <v>0</v>
      </c>
      <c r="BY788">
        <f>BB788*AR788*AT788</f>
        <v>0</v>
      </c>
    </row>
    <row r="789" spans="1:77">
      <c r="A789" t="s">
        <v>96</v>
      </c>
      <c r="B789">
        <v>30373557</v>
      </c>
      <c r="C789" t="s">
        <v>144</v>
      </c>
      <c r="D789" t="s">
        <v>145</v>
      </c>
      <c r="E789" t="s">
        <v>446</v>
      </c>
      <c r="F789" t="s">
        <v>466</v>
      </c>
      <c r="G789" t="s">
        <v>448</v>
      </c>
      <c r="H789" t="s">
        <v>449</v>
      </c>
      <c r="I789" t="s">
        <v>450</v>
      </c>
      <c r="J789" t="s">
        <v>450</v>
      </c>
      <c r="K789">
        <v>0</v>
      </c>
      <c r="L789" t="s">
        <v>446</v>
      </c>
      <c r="M789" t="s">
        <v>446</v>
      </c>
      <c r="N789">
        <v>100000001</v>
      </c>
      <c r="O789">
        <f>INDEX(Counselor,MATCH(B789,KidIDs,0))</f>
        <v>0</v>
      </c>
      <c r="P789">
        <f>INDEX(Advisors,MATCH(B789,KidIDs,0))</f>
        <v>0</v>
      </c>
      <c r="Q789">
        <f>INDEX(Cohort,MATCH(B789,KidIDs,0))</f>
        <v>0</v>
      </c>
      <c r="R789">
        <f>INDEX(AllCollegeBarrons,MATCH(N789,AllCollegeNCES,0))</f>
        <v>0</v>
      </c>
      <c r="S789">
        <f>INDEX(KidGPAs,MATCH(B789,KidIDs,0))</f>
        <v>0</v>
      </c>
      <c r="T789">
        <f>INDEX(KidSATs,MATCH(B789,KidIDs,0))</f>
        <v>0</v>
      </c>
      <c r="U789">
        <f>INDEX(Strats,MATCH(B789,KidIDs,0))</f>
        <v>0</v>
      </c>
      <c r="V789">
        <f>INDEX(KidRace,MATCH(B789,KidIDs,0))</f>
        <v>0</v>
      </c>
      <c r="W789">
        <f>IF(OR(V789="M",V789="I"),"H",IF(V789="P","A",V789))</f>
        <v>0</v>
      </c>
      <c r="X789">
        <f>INDEX(StudentTargets,MATCH(B789,KidIDs,0))</f>
        <v>0</v>
      </c>
      <c r="Y789">
        <f>INDEX(ReachStudentTargets,MATCH(B789,KidIDs,0))</f>
        <v>0</v>
      </c>
      <c r="Z789">
        <f>IF(OR(M789="Posse"),1,0)</f>
        <v>0</v>
      </c>
      <c r="AA789">
        <f>IF(ISNUMBER(INDEX(AllCollegeGR, MATCH(N789,AllCollegeNCES,0))),ROUND(INDEX(AllCollegeGR, MATCH(N789,AllCollegeNCES,0))+Z789*IF(INDEX(AllCollegeGR, MATCH(N789,AllCollegeNCES,0))&gt;0.7,(1-INDEX(AllCollegeGR, MATCH(N789,AllCollegeNCES,0)))/2,0.15),2),INDEX(AllCollegeGR, MATCH(N789,AllCollegeNCES,0)))</f>
        <v>0</v>
      </c>
      <c r="AB789">
        <f>IF(ISNUMBER(INDEX(AllCollegeAAHGR, MATCH(N789,AllCollegeNCES,0))),ROUND(INDEX(AllCollegeAAHGR, MATCH(N789,AllCollegeNCES,0))+Z789*IF(INDEX(AllCollegeAAHGR, MATCH(N789,AllCollegeNCES,0))&gt;0.7,(1-INDEX(AllCollegeAAHGR, MATCH(N789,AllCollegeNCES,0)))/2,0.15),2),INDEX(AllCollegeAAHGR, MATCH(N789,AllCollegeNCES,0)))</f>
        <v>0</v>
      </c>
      <c r="AC789">
        <f>IF(OR(W789="H",W789="B"),INDEX(AllCollegeSAT25, MATCH(N789,AllCollegeNCES,0)),INDEX(AllCollegeSAT50, MATCH(N789,AllCollegeNCES,0)))</f>
        <v>0</v>
      </c>
      <c r="AD789">
        <f>INDEX(CustomWeightsGPA,MATCH(W789&amp;":"&amp;N789,CustomWeightsIndex,0))</f>
        <v>0</v>
      </c>
      <c r="AE789">
        <f>INDEX(CustomWeightsSAT,MATCH(W789&amp;":"&amp;N789,CustomWeightsIndex,0))</f>
        <v>0</v>
      </c>
      <c r="AF789">
        <f>INDEX(CustomWeightsIntercept,MATCH(W789&amp;":"&amp;N789,CustomWeightsIndex,0))</f>
        <v>0</v>
      </c>
      <c r="AG789">
        <f>AD789*S789+AE789*T789+AF789</f>
        <v>0</v>
      </c>
      <c r="AH789">
        <f>INDEX(CoefficientsGPA,MATCH(W789&amp;":"&amp;R789,CoefficientsIndex,0))</f>
        <v>0</v>
      </c>
      <c r="AI789">
        <f>INDEX(CoefficientsSAT,MATCH(W789&amp;":"&amp;R789,CoefficientsIndex,0))</f>
        <v>0</v>
      </c>
      <c r="AJ789">
        <f>INDEX(CoefficientsIntercept,MATCH(W789&amp;":"&amp;R789,CoefficientsIndex,0))</f>
        <v>0</v>
      </c>
      <c r="AK789">
        <f>AH789*S789+(T789-AC789)*AI789+AJ789</f>
        <v>0</v>
      </c>
      <c r="AL789">
        <f>IF(ISNUMBER(AG789),AG789,AK789)</f>
        <v>0</v>
      </c>
      <c r="AM789">
        <f>IF(ISNUMBER(AL789),IF(ISNUMBER(AH789),IF(AND(AH789=1,AI789=1,AJ789=1),100,MIN(99,ROUND(100*EXP(AL789)/(1+EXP(AL789)),2))),MIN(99,ROUND(100*EXP(AL789)/(1+EXP(AL789)),2))),IF(ISTEXT(R789),IF(LEFT(R789,1)="2",100,"N/A"),"N/A"))</f>
        <v>0</v>
      </c>
      <c r="AN789">
        <f>IF(ISNUMBER(AM789),IF(AM789&gt;=99,IF(OR(U789=10,U789=11),MatchLabel,SureThingLabel),IF(AM789&gt;=95,SecureLabel,IF(AM789&gt;=80,SafetyLabel,IF(AM789&gt;=50,MatchLabel,IF(AM789&gt;=20,ReachLabel,IF(AM789&gt;=10,LongshotLabel,HailMaryLabel)))))),"Other")</f>
        <v>0</v>
      </c>
      <c r="AO789">
        <f>IF(OR(I789="accepted",I789="cond. accept",I789="summer admit"),IF(J789="yes","CHOICE!","Accepted!"),IF(I789="guar. transfer","Guar. Xfer",IF(I789="denied","Denied",IF(K789=1,"Waitlist",IF(L789=1,"Deferred",IF(G789="pending","Pending",IF(OR(G789="initial materials submitted",G789="mid-year submitted",G789="final submitted"),"Submitted",IF(H789="interest","Interest","?"))))))))</f>
        <v>0</v>
      </c>
      <c r="AP789">
        <f>IF(OR(AN789=ReachLabel,AN789=LongshotLabel,AN789=HailMaryLabel),1,0)</f>
        <v>0</v>
      </c>
      <c r="AQ789">
        <f>IF(OR(AP789=1,AN789=MatchLabel),1,0)</f>
        <v>0</v>
      </c>
      <c r="AR789">
        <f>IF(OR(AN789=MatchLabel,AN789=SafetyLabel,AN789=SecureLabel,AN789=SureThingLabel),1,0)</f>
        <v>0</v>
      </c>
      <c r="AS789">
        <f>IF(OR(W789="H",W789="B",W789="I",W789="M"),IF(ISNUMBER(AB789),ROUND(AB789,2),0),IF(ISNUMBER(AA789),ROUND(AA789,2),0))</f>
        <v>0</v>
      </c>
      <c r="AT789">
        <f>IF(AS789&gt;=X789,1,0)</f>
        <v>0</v>
      </c>
      <c r="AU789">
        <f>IF(AS789&gt;=Y789,1,0)</f>
        <v>0</v>
      </c>
      <c r="AV789">
        <f>IF(AS789&lt;(X789-0.10),1,0)</f>
        <v>0</v>
      </c>
      <c r="AW789">
        <f>1-AM789/100</f>
        <v>0</v>
      </c>
      <c r="AX789">
        <f>IF(AQ789=1,AW789,1)</f>
        <v>0</v>
      </c>
      <c r="AY789">
        <f>IF(AP789=1,AW789,1)</f>
        <v>0</v>
      </c>
      <c r="AZ789">
        <f>IF(AND(AT789=1,ISNUMBER(AW789)),$AW789,1)</f>
        <v>0</v>
      </c>
      <c r="BA789">
        <f>IF(AND(AU789=1,ISNUMBER(AW789)),$AW789,1)</f>
        <v>0</v>
      </c>
      <c r="BB789">
        <f>IF(ISNUMBER(AB789),INDEX(AllCollegeMoney, MATCH(N789,AllCollegeNCES,0)),0)</f>
        <v>0</v>
      </c>
      <c r="BC789">
        <f>IF(AND(AT789=1,ISNUMBER(AW789),BB789=1),$AW789,1)</f>
        <v>0</v>
      </c>
      <c r="BD789">
        <f>IF(AND(AU789=1,ISNUMBER(AW789),BB789=1),$AW789,1)</f>
        <v>0</v>
      </c>
      <c r="BE789">
        <f>IF(ISNUMBER(AB789),INDEX(AllCollegeILPub, MATCH(N789,AllCollegeNCES,0)),0)</f>
        <v>0</v>
      </c>
      <c r="BF789">
        <f>IF(AN789=ReachLabel,AS789,0)</f>
        <v>0</v>
      </c>
      <c r="BG789">
        <f>IF(AN789=MatchLabel,AS789,0)</f>
        <v>0</v>
      </c>
      <c r="BH789">
        <f>IF(AN789=SafetyLabel,AS789,0)</f>
        <v>0</v>
      </c>
      <c r="BI789">
        <f>IF(AN789=SecureLabel,AS789,0)</f>
        <v>0</v>
      </c>
      <c r="BJ789">
        <f>IF(AN789=SureThingLabel,AS789,0)</f>
        <v>0</v>
      </c>
      <c r="BK789">
        <f>MAX(BF789:BJ789)</f>
        <v>0</v>
      </c>
      <c r="BL789">
        <f>MAX(BG789:BJ789)</f>
        <v>0</v>
      </c>
      <c r="BM789">
        <f>MAX(BH789:BJ789)</f>
        <v>0</v>
      </c>
      <c r="BN789">
        <f>IF(AND(AN789=ReachLabel,BB789=1),AS789,0)</f>
        <v>0</v>
      </c>
      <c r="BO789">
        <f>IF(AND(AN789=MatchLabel,BB789=1),AS789,0)</f>
        <v>0</v>
      </c>
      <c r="BP789">
        <f>IF(AND(AN789=SafetyLabel,BB789=1),AS789,0)</f>
        <v>0</v>
      </c>
      <c r="BQ789">
        <f>IF(AND(AN789=SecureLabel,BB789=1),AS789,0)</f>
        <v>0</v>
      </c>
      <c r="BR789">
        <f>IF(AND(AN789=SureThingLabel,BB789=1),AS789,0)</f>
        <v>0</v>
      </c>
      <c r="BS789">
        <f>MAX(BN789:BR789)</f>
        <v>0</v>
      </c>
      <c r="BT789">
        <f>MAX(BO789:BR789)</f>
        <v>0</v>
      </c>
      <c r="BU789">
        <f>MAX(BP789:BR789)</f>
        <v>0</v>
      </c>
      <c r="BV789">
        <f>IF(ISNUMBER(AB789),INDEX(AllCollegeChicago, MATCH(N789,AllCollegeNCES,0))*BB789,0)</f>
        <v>0</v>
      </c>
      <c r="BW789">
        <f>IF(ISNUMBER(AB789),INDEX(AllCollegeMoneyCode, MATCH(N789,AllCollegeNCES,0)),"?")</f>
        <v>0</v>
      </c>
      <c r="BX789">
        <f>IF(OR(BW789="---",BW789="--",BW789="+/--",BW789="+/---"),1,0)</f>
        <v>0</v>
      </c>
      <c r="BY789">
        <f>BB789*AR789*AT789</f>
        <v>0</v>
      </c>
    </row>
    <row r="790" spans="1:77">
      <c r="A790" t="s">
        <v>96</v>
      </c>
      <c r="B790">
        <v>30373557</v>
      </c>
      <c r="C790" t="s">
        <v>144</v>
      </c>
      <c r="D790" t="s">
        <v>145</v>
      </c>
      <c r="E790" t="s">
        <v>446</v>
      </c>
      <c r="F790" t="s">
        <v>460</v>
      </c>
      <c r="G790" t="s">
        <v>448</v>
      </c>
      <c r="H790" t="s">
        <v>449</v>
      </c>
      <c r="I790" t="s">
        <v>450</v>
      </c>
      <c r="J790" t="s">
        <v>450</v>
      </c>
      <c r="K790">
        <v>0</v>
      </c>
      <c r="L790" t="s">
        <v>446</v>
      </c>
      <c r="M790" t="s">
        <v>446</v>
      </c>
      <c r="N790">
        <v>144209</v>
      </c>
      <c r="O790">
        <f>INDEX(Counselor,MATCH(B790,KidIDs,0))</f>
        <v>0</v>
      </c>
      <c r="P790">
        <f>INDEX(Advisors,MATCH(B790,KidIDs,0))</f>
        <v>0</v>
      </c>
      <c r="Q790">
        <f>INDEX(Cohort,MATCH(B790,KidIDs,0))</f>
        <v>0</v>
      </c>
      <c r="R790">
        <f>INDEX(AllCollegeBarrons,MATCH(N790,AllCollegeNCES,0))</f>
        <v>0</v>
      </c>
      <c r="S790">
        <f>INDEX(KidGPAs,MATCH(B790,KidIDs,0))</f>
        <v>0</v>
      </c>
      <c r="T790">
        <f>INDEX(KidSATs,MATCH(B790,KidIDs,0))</f>
        <v>0</v>
      </c>
      <c r="U790">
        <f>INDEX(Strats,MATCH(B790,KidIDs,0))</f>
        <v>0</v>
      </c>
      <c r="V790">
        <f>INDEX(KidRace,MATCH(B790,KidIDs,0))</f>
        <v>0</v>
      </c>
      <c r="W790">
        <f>IF(OR(V790="M",V790="I"),"H",IF(V790="P","A",V790))</f>
        <v>0</v>
      </c>
      <c r="X790">
        <f>INDEX(StudentTargets,MATCH(B790,KidIDs,0))</f>
        <v>0</v>
      </c>
      <c r="Y790">
        <f>INDEX(ReachStudentTargets,MATCH(B790,KidIDs,0))</f>
        <v>0</v>
      </c>
      <c r="Z790">
        <f>IF(OR(M790="Posse"),1,0)</f>
        <v>0</v>
      </c>
      <c r="AA790">
        <f>IF(ISNUMBER(INDEX(AllCollegeGR, MATCH(N790,AllCollegeNCES,0))),ROUND(INDEX(AllCollegeGR, MATCH(N790,AllCollegeNCES,0))+Z790*IF(INDEX(AllCollegeGR, MATCH(N790,AllCollegeNCES,0))&gt;0.7,(1-INDEX(AllCollegeGR, MATCH(N790,AllCollegeNCES,0)))/2,0.15),2),INDEX(AllCollegeGR, MATCH(N790,AllCollegeNCES,0)))</f>
        <v>0</v>
      </c>
      <c r="AB790">
        <f>IF(ISNUMBER(INDEX(AllCollegeAAHGR, MATCH(N790,AllCollegeNCES,0))),ROUND(INDEX(AllCollegeAAHGR, MATCH(N790,AllCollegeNCES,0))+Z790*IF(INDEX(AllCollegeAAHGR, MATCH(N790,AllCollegeNCES,0))&gt;0.7,(1-INDEX(AllCollegeAAHGR, MATCH(N790,AllCollegeNCES,0)))/2,0.15),2),INDEX(AllCollegeAAHGR, MATCH(N790,AllCollegeNCES,0)))</f>
        <v>0</v>
      </c>
      <c r="AC790">
        <f>IF(OR(W790="H",W790="B"),INDEX(AllCollegeSAT25, MATCH(N790,AllCollegeNCES,0)),INDEX(AllCollegeSAT50, MATCH(N790,AllCollegeNCES,0)))</f>
        <v>0</v>
      </c>
      <c r="AD790">
        <f>INDEX(CustomWeightsGPA,MATCH(W790&amp;":"&amp;N790,CustomWeightsIndex,0))</f>
        <v>0</v>
      </c>
      <c r="AE790">
        <f>INDEX(CustomWeightsSAT,MATCH(W790&amp;":"&amp;N790,CustomWeightsIndex,0))</f>
        <v>0</v>
      </c>
      <c r="AF790">
        <f>INDEX(CustomWeightsIntercept,MATCH(W790&amp;":"&amp;N790,CustomWeightsIndex,0))</f>
        <v>0</v>
      </c>
      <c r="AG790">
        <f>AD790*S790+AE790*T790+AF790</f>
        <v>0</v>
      </c>
      <c r="AH790">
        <f>INDEX(CoefficientsGPA,MATCH(W790&amp;":"&amp;R790,CoefficientsIndex,0))</f>
        <v>0</v>
      </c>
      <c r="AI790">
        <f>INDEX(CoefficientsSAT,MATCH(W790&amp;":"&amp;R790,CoefficientsIndex,0))</f>
        <v>0</v>
      </c>
      <c r="AJ790">
        <f>INDEX(CoefficientsIntercept,MATCH(W790&amp;":"&amp;R790,CoefficientsIndex,0))</f>
        <v>0</v>
      </c>
      <c r="AK790">
        <f>AH790*S790+(T790-AC790)*AI790+AJ790</f>
        <v>0</v>
      </c>
      <c r="AL790">
        <f>IF(ISNUMBER(AG790),AG790,AK790)</f>
        <v>0</v>
      </c>
      <c r="AM790">
        <f>IF(ISNUMBER(AL790),IF(ISNUMBER(AH790),IF(AND(AH790=1,AI790=1,AJ790=1),100,MIN(99,ROUND(100*EXP(AL790)/(1+EXP(AL790)),2))),MIN(99,ROUND(100*EXP(AL790)/(1+EXP(AL790)),2))),IF(ISTEXT(R790),IF(LEFT(R790,1)="2",100,"N/A"),"N/A"))</f>
        <v>0</v>
      </c>
      <c r="AN790">
        <f>IF(ISNUMBER(AM790),IF(AM790&gt;=99,IF(OR(U790=10,U790=11),MatchLabel,SureThingLabel),IF(AM790&gt;=95,SecureLabel,IF(AM790&gt;=80,SafetyLabel,IF(AM790&gt;=50,MatchLabel,IF(AM790&gt;=20,ReachLabel,IF(AM790&gt;=10,LongshotLabel,HailMaryLabel)))))),"Other")</f>
        <v>0</v>
      </c>
      <c r="AO790">
        <f>IF(OR(I790="accepted",I790="cond. accept",I790="summer admit"),IF(J790="yes","CHOICE!","Accepted!"),IF(I790="guar. transfer","Guar. Xfer",IF(I790="denied","Denied",IF(K790=1,"Waitlist",IF(L790=1,"Deferred",IF(G790="pending","Pending",IF(OR(G790="initial materials submitted",G790="mid-year submitted",G790="final submitted"),"Submitted",IF(H790="interest","Interest","?"))))))))</f>
        <v>0</v>
      </c>
      <c r="AP790">
        <f>IF(OR(AN790=ReachLabel,AN790=LongshotLabel,AN790=HailMaryLabel),1,0)</f>
        <v>0</v>
      </c>
      <c r="AQ790">
        <f>IF(OR(AP790=1,AN790=MatchLabel),1,0)</f>
        <v>0</v>
      </c>
      <c r="AR790">
        <f>IF(OR(AN790=MatchLabel,AN790=SafetyLabel,AN790=SecureLabel,AN790=SureThingLabel),1,0)</f>
        <v>0</v>
      </c>
      <c r="AS790">
        <f>IF(OR(W790="H",W790="B",W790="I",W790="M"),IF(ISNUMBER(AB790),ROUND(AB790,2),0),IF(ISNUMBER(AA790),ROUND(AA790,2),0))</f>
        <v>0</v>
      </c>
      <c r="AT790">
        <f>IF(AS790&gt;=X790,1,0)</f>
        <v>0</v>
      </c>
      <c r="AU790">
        <f>IF(AS790&gt;=Y790,1,0)</f>
        <v>0</v>
      </c>
      <c r="AV790">
        <f>IF(AS790&lt;(X790-0.10),1,0)</f>
        <v>0</v>
      </c>
      <c r="AW790">
        <f>1-AM790/100</f>
        <v>0</v>
      </c>
      <c r="AX790">
        <f>IF(AQ790=1,AW790,1)</f>
        <v>0</v>
      </c>
      <c r="AY790">
        <f>IF(AP790=1,AW790,1)</f>
        <v>0</v>
      </c>
      <c r="AZ790">
        <f>IF(AND(AT790=1,ISNUMBER(AW790)),$AW790,1)</f>
        <v>0</v>
      </c>
      <c r="BA790">
        <f>IF(AND(AU790=1,ISNUMBER(AW790)),$AW790,1)</f>
        <v>0</v>
      </c>
      <c r="BB790">
        <f>IF(ISNUMBER(AB790),INDEX(AllCollegeMoney, MATCH(N790,AllCollegeNCES,0)),0)</f>
        <v>0</v>
      </c>
      <c r="BC790">
        <f>IF(AND(AT790=1,ISNUMBER(AW790),BB790=1),$AW790,1)</f>
        <v>0</v>
      </c>
      <c r="BD790">
        <f>IF(AND(AU790=1,ISNUMBER(AW790),BB790=1),$AW790,1)</f>
        <v>0</v>
      </c>
      <c r="BE790">
        <f>IF(ISNUMBER(AB790),INDEX(AllCollegeILPub, MATCH(N790,AllCollegeNCES,0)),0)</f>
        <v>0</v>
      </c>
      <c r="BF790">
        <f>IF(AN790=ReachLabel,AS790,0)</f>
        <v>0</v>
      </c>
      <c r="BG790">
        <f>IF(AN790=MatchLabel,AS790,0)</f>
        <v>0</v>
      </c>
      <c r="BH790">
        <f>IF(AN790=SafetyLabel,AS790,0)</f>
        <v>0</v>
      </c>
      <c r="BI790">
        <f>IF(AN790=SecureLabel,AS790,0)</f>
        <v>0</v>
      </c>
      <c r="BJ790">
        <f>IF(AN790=SureThingLabel,AS790,0)</f>
        <v>0</v>
      </c>
      <c r="BK790">
        <f>MAX(BF790:BJ790)</f>
        <v>0</v>
      </c>
      <c r="BL790">
        <f>MAX(BG790:BJ790)</f>
        <v>0</v>
      </c>
      <c r="BM790">
        <f>MAX(BH790:BJ790)</f>
        <v>0</v>
      </c>
      <c r="BN790">
        <f>IF(AND(AN790=ReachLabel,BB790=1),AS790,0)</f>
        <v>0</v>
      </c>
      <c r="BO790">
        <f>IF(AND(AN790=MatchLabel,BB790=1),AS790,0)</f>
        <v>0</v>
      </c>
      <c r="BP790">
        <f>IF(AND(AN790=SafetyLabel,BB790=1),AS790,0)</f>
        <v>0</v>
      </c>
      <c r="BQ790">
        <f>IF(AND(AN790=SecureLabel,BB790=1),AS790,0)</f>
        <v>0</v>
      </c>
      <c r="BR790">
        <f>IF(AND(AN790=SureThingLabel,BB790=1),AS790,0)</f>
        <v>0</v>
      </c>
      <c r="BS790">
        <f>MAX(BN790:BR790)</f>
        <v>0</v>
      </c>
      <c r="BT790">
        <f>MAX(BO790:BR790)</f>
        <v>0</v>
      </c>
      <c r="BU790">
        <f>MAX(BP790:BR790)</f>
        <v>0</v>
      </c>
      <c r="BV790">
        <f>IF(ISNUMBER(AB790),INDEX(AllCollegeChicago, MATCH(N790,AllCollegeNCES,0))*BB790,0)</f>
        <v>0</v>
      </c>
      <c r="BW790">
        <f>IF(ISNUMBER(AB790),INDEX(AllCollegeMoneyCode, MATCH(N790,AllCollegeNCES,0)),"?")</f>
        <v>0</v>
      </c>
      <c r="BX790">
        <f>IF(OR(BW790="---",BW790="--",BW790="+/--",BW790="+/---"),1,0)</f>
        <v>0</v>
      </c>
      <c r="BY790">
        <f>BB790*AR790*AT790</f>
        <v>0</v>
      </c>
    </row>
    <row r="791" spans="1:77">
      <c r="A791" t="s">
        <v>96</v>
      </c>
      <c r="B791">
        <v>30373557</v>
      </c>
      <c r="C791" t="s">
        <v>144</v>
      </c>
      <c r="D791" t="s">
        <v>145</v>
      </c>
      <c r="E791" t="s">
        <v>446</v>
      </c>
      <c r="F791" t="s">
        <v>461</v>
      </c>
      <c r="G791" t="s">
        <v>448</v>
      </c>
      <c r="H791" t="s">
        <v>449</v>
      </c>
      <c r="I791" t="s">
        <v>450</v>
      </c>
      <c r="J791" t="s">
        <v>450</v>
      </c>
      <c r="K791">
        <v>0</v>
      </c>
      <c r="L791" t="s">
        <v>446</v>
      </c>
      <c r="M791" t="s">
        <v>446</v>
      </c>
      <c r="N791">
        <v>147536</v>
      </c>
      <c r="O791">
        <f>INDEX(Counselor,MATCH(B791,KidIDs,0))</f>
        <v>0</v>
      </c>
      <c r="P791">
        <f>INDEX(Advisors,MATCH(B791,KidIDs,0))</f>
        <v>0</v>
      </c>
      <c r="Q791">
        <f>INDEX(Cohort,MATCH(B791,KidIDs,0))</f>
        <v>0</v>
      </c>
      <c r="R791">
        <f>INDEX(AllCollegeBarrons,MATCH(N791,AllCollegeNCES,0))</f>
        <v>0</v>
      </c>
      <c r="S791">
        <f>INDEX(KidGPAs,MATCH(B791,KidIDs,0))</f>
        <v>0</v>
      </c>
      <c r="T791">
        <f>INDEX(KidSATs,MATCH(B791,KidIDs,0))</f>
        <v>0</v>
      </c>
      <c r="U791">
        <f>INDEX(Strats,MATCH(B791,KidIDs,0))</f>
        <v>0</v>
      </c>
      <c r="V791">
        <f>INDEX(KidRace,MATCH(B791,KidIDs,0))</f>
        <v>0</v>
      </c>
      <c r="W791">
        <f>IF(OR(V791="M",V791="I"),"H",IF(V791="P","A",V791))</f>
        <v>0</v>
      </c>
      <c r="X791">
        <f>INDEX(StudentTargets,MATCH(B791,KidIDs,0))</f>
        <v>0</v>
      </c>
      <c r="Y791">
        <f>INDEX(ReachStudentTargets,MATCH(B791,KidIDs,0))</f>
        <v>0</v>
      </c>
      <c r="Z791">
        <f>IF(OR(M791="Posse"),1,0)</f>
        <v>0</v>
      </c>
      <c r="AA791">
        <f>IF(ISNUMBER(INDEX(AllCollegeGR, MATCH(N791,AllCollegeNCES,0))),ROUND(INDEX(AllCollegeGR, MATCH(N791,AllCollegeNCES,0))+Z791*IF(INDEX(AllCollegeGR, MATCH(N791,AllCollegeNCES,0))&gt;0.7,(1-INDEX(AllCollegeGR, MATCH(N791,AllCollegeNCES,0)))/2,0.15),2),INDEX(AllCollegeGR, MATCH(N791,AllCollegeNCES,0)))</f>
        <v>0</v>
      </c>
      <c r="AB791">
        <f>IF(ISNUMBER(INDEX(AllCollegeAAHGR, MATCH(N791,AllCollegeNCES,0))),ROUND(INDEX(AllCollegeAAHGR, MATCH(N791,AllCollegeNCES,0))+Z791*IF(INDEX(AllCollegeAAHGR, MATCH(N791,AllCollegeNCES,0))&gt;0.7,(1-INDEX(AllCollegeAAHGR, MATCH(N791,AllCollegeNCES,0)))/2,0.15),2),INDEX(AllCollegeAAHGR, MATCH(N791,AllCollegeNCES,0)))</f>
        <v>0</v>
      </c>
      <c r="AC791">
        <f>IF(OR(W791="H",W791="B"),INDEX(AllCollegeSAT25, MATCH(N791,AllCollegeNCES,0)),INDEX(AllCollegeSAT50, MATCH(N791,AllCollegeNCES,0)))</f>
        <v>0</v>
      </c>
      <c r="AD791">
        <f>INDEX(CustomWeightsGPA,MATCH(W791&amp;":"&amp;N791,CustomWeightsIndex,0))</f>
        <v>0</v>
      </c>
      <c r="AE791">
        <f>INDEX(CustomWeightsSAT,MATCH(W791&amp;":"&amp;N791,CustomWeightsIndex,0))</f>
        <v>0</v>
      </c>
      <c r="AF791">
        <f>INDEX(CustomWeightsIntercept,MATCH(W791&amp;":"&amp;N791,CustomWeightsIndex,0))</f>
        <v>0</v>
      </c>
      <c r="AG791">
        <f>AD791*S791+AE791*T791+AF791</f>
        <v>0</v>
      </c>
      <c r="AH791">
        <f>INDEX(CoefficientsGPA,MATCH(W791&amp;":"&amp;R791,CoefficientsIndex,0))</f>
        <v>0</v>
      </c>
      <c r="AI791">
        <f>INDEX(CoefficientsSAT,MATCH(W791&amp;":"&amp;R791,CoefficientsIndex,0))</f>
        <v>0</v>
      </c>
      <c r="AJ791">
        <f>INDEX(CoefficientsIntercept,MATCH(W791&amp;":"&amp;R791,CoefficientsIndex,0))</f>
        <v>0</v>
      </c>
      <c r="AK791">
        <f>AH791*S791+(T791-AC791)*AI791+AJ791</f>
        <v>0</v>
      </c>
      <c r="AL791">
        <f>IF(ISNUMBER(AG791),AG791,AK791)</f>
        <v>0</v>
      </c>
      <c r="AM791">
        <f>IF(ISNUMBER(AL791),IF(ISNUMBER(AH791),IF(AND(AH791=1,AI791=1,AJ791=1),100,MIN(99,ROUND(100*EXP(AL791)/(1+EXP(AL791)),2))),MIN(99,ROUND(100*EXP(AL791)/(1+EXP(AL791)),2))),IF(ISTEXT(R791),IF(LEFT(R791,1)="2",100,"N/A"),"N/A"))</f>
        <v>0</v>
      </c>
      <c r="AN791">
        <f>IF(ISNUMBER(AM791),IF(AM791&gt;=99,IF(OR(U791=10,U791=11),MatchLabel,SureThingLabel),IF(AM791&gt;=95,SecureLabel,IF(AM791&gt;=80,SafetyLabel,IF(AM791&gt;=50,MatchLabel,IF(AM791&gt;=20,ReachLabel,IF(AM791&gt;=10,LongshotLabel,HailMaryLabel)))))),"Other")</f>
        <v>0</v>
      </c>
      <c r="AO791">
        <f>IF(OR(I791="accepted",I791="cond. accept",I791="summer admit"),IF(J791="yes","CHOICE!","Accepted!"),IF(I791="guar. transfer","Guar. Xfer",IF(I791="denied","Denied",IF(K791=1,"Waitlist",IF(L791=1,"Deferred",IF(G791="pending","Pending",IF(OR(G791="initial materials submitted",G791="mid-year submitted",G791="final submitted"),"Submitted",IF(H791="interest","Interest","?"))))))))</f>
        <v>0</v>
      </c>
      <c r="AP791">
        <f>IF(OR(AN791=ReachLabel,AN791=LongshotLabel,AN791=HailMaryLabel),1,0)</f>
        <v>0</v>
      </c>
      <c r="AQ791">
        <f>IF(OR(AP791=1,AN791=MatchLabel),1,0)</f>
        <v>0</v>
      </c>
      <c r="AR791">
        <f>IF(OR(AN791=MatchLabel,AN791=SafetyLabel,AN791=SecureLabel,AN791=SureThingLabel),1,0)</f>
        <v>0</v>
      </c>
      <c r="AS791">
        <f>IF(OR(W791="H",W791="B",W791="I",W791="M"),IF(ISNUMBER(AB791),ROUND(AB791,2),0),IF(ISNUMBER(AA791),ROUND(AA791,2),0))</f>
        <v>0</v>
      </c>
      <c r="AT791">
        <f>IF(AS791&gt;=X791,1,0)</f>
        <v>0</v>
      </c>
      <c r="AU791">
        <f>IF(AS791&gt;=Y791,1,0)</f>
        <v>0</v>
      </c>
      <c r="AV791">
        <f>IF(AS791&lt;(X791-0.10),1,0)</f>
        <v>0</v>
      </c>
      <c r="AW791">
        <f>1-AM791/100</f>
        <v>0</v>
      </c>
      <c r="AX791">
        <f>IF(AQ791=1,AW791,1)</f>
        <v>0</v>
      </c>
      <c r="AY791">
        <f>IF(AP791=1,AW791,1)</f>
        <v>0</v>
      </c>
      <c r="AZ791">
        <f>IF(AND(AT791=1,ISNUMBER(AW791)),$AW791,1)</f>
        <v>0</v>
      </c>
      <c r="BA791">
        <f>IF(AND(AU791=1,ISNUMBER(AW791)),$AW791,1)</f>
        <v>0</v>
      </c>
      <c r="BB791">
        <f>IF(ISNUMBER(AB791),INDEX(AllCollegeMoney, MATCH(N791,AllCollegeNCES,0)),0)</f>
        <v>0</v>
      </c>
      <c r="BC791">
        <f>IF(AND(AT791=1,ISNUMBER(AW791),BB791=1),$AW791,1)</f>
        <v>0</v>
      </c>
      <c r="BD791">
        <f>IF(AND(AU791=1,ISNUMBER(AW791),BB791=1),$AW791,1)</f>
        <v>0</v>
      </c>
      <c r="BE791">
        <f>IF(ISNUMBER(AB791),INDEX(AllCollegeILPub, MATCH(N791,AllCollegeNCES,0)),0)</f>
        <v>0</v>
      </c>
      <c r="BF791">
        <f>IF(AN791=ReachLabel,AS791,0)</f>
        <v>0</v>
      </c>
      <c r="BG791">
        <f>IF(AN791=MatchLabel,AS791,0)</f>
        <v>0</v>
      </c>
      <c r="BH791">
        <f>IF(AN791=SafetyLabel,AS791,0)</f>
        <v>0</v>
      </c>
      <c r="BI791">
        <f>IF(AN791=SecureLabel,AS791,0)</f>
        <v>0</v>
      </c>
      <c r="BJ791">
        <f>IF(AN791=SureThingLabel,AS791,0)</f>
        <v>0</v>
      </c>
      <c r="BK791">
        <f>MAX(BF791:BJ791)</f>
        <v>0</v>
      </c>
      <c r="BL791">
        <f>MAX(BG791:BJ791)</f>
        <v>0</v>
      </c>
      <c r="BM791">
        <f>MAX(BH791:BJ791)</f>
        <v>0</v>
      </c>
      <c r="BN791">
        <f>IF(AND(AN791=ReachLabel,BB791=1),AS791,0)</f>
        <v>0</v>
      </c>
      <c r="BO791">
        <f>IF(AND(AN791=MatchLabel,BB791=1),AS791,0)</f>
        <v>0</v>
      </c>
      <c r="BP791">
        <f>IF(AND(AN791=SafetyLabel,BB791=1),AS791,0)</f>
        <v>0</v>
      </c>
      <c r="BQ791">
        <f>IF(AND(AN791=SecureLabel,BB791=1),AS791,0)</f>
        <v>0</v>
      </c>
      <c r="BR791">
        <f>IF(AND(AN791=SureThingLabel,BB791=1),AS791,0)</f>
        <v>0</v>
      </c>
      <c r="BS791">
        <f>MAX(BN791:BR791)</f>
        <v>0</v>
      </c>
      <c r="BT791">
        <f>MAX(BO791:BR791)</f>
        <v>0</v>
      </c>
      <c r="BU791">
        <f>MAX(BP791:BR791)</f>
        <v>0</v>
      </c>
      <c r="BV791">
        <f>IF(ISNUMBER(AB791),INDEX(AllCollegeChicago, MATCH(N791,AllCollegeNCES,0))*BB791,0)</f>
        <v>0</v>
      </c>
      <c r="BW791">
        <f>IF(ISNUMBER(AB791),INDEX(AllCollegeMoneyCode, MATCH(N791,AllCollegeNCES,0)),"?")</f>
        <v>0</v>
      </c>
      <c r="BX791">
        <f>IF(OR(BW791="---",BW791="--",BW791="+/--",BW791="+/---"),1,0)</f>
        <v>0</v>
      </c>
      <c r="BY791">
        <f>BB791*AR791*AT791</f>
        <v>0</v>
      </c>
    </row>
    <row r="792" spans="1:77">
      <c r="A792" t="s">
        <v>96</v>
      </c>
      <c r="B792">
        <v>30373557</v>
      </c>
      <c r="C792" t="s">
        <v>144</v>
      </c>
      <c r="D792" t="s">
        <v>145</v>
      </c>
      <c r="E792" t="s">
        <v>446</v>
      </c>
      <c r="F792" t="s">
        <v>463</v>
      </c>
      <c r="G792" t="s">
        <v>448</v>
      </c>
      <c r="H792" t="s">
        <v>449</v>
      </c>
      <c r="I792" t="s">
        <v>450</v>
      </c>
      <c r="J792" t="s">
        <v>450</v>
      </c>
      <c r="K792">
        <v>0</v>
      </c>
      <c r="L792" t="s">
        <v>446</v>
      </c>
      <c r="M792" t="s">
        <v>446</v>
      </c>
      <c r="N792">
        <v>147776</v>
      </c>
      <c r="O792">
        <f>INDEX(Counselor,MATCH(B792,KidIDs,0))</f>
        <v>0</v>
      </c>
      <c r="P792">
        <f>INDEX(Advisors,MATCH(B792,KidIDs,0))</f>
        <v>0</v>
      </c>
      <c r="Q792">
        <f>INDEX(Cohort,MATCH(B792,KidIDs,0))</f>
        <v>0</v>
      </c>
      <c r="R792">
        <f>INDEX(AllCollegeBarrons,MATCH(N792,AllCollegeNCES,0))</f>
        <v>0</v>
      </c>
      <c r="S792">
        <f>INDEX(KidGPAs,MATCH(B792,KidIDs,0))</f>
        <v>0</v>
      </c>
      <c r="T792">
        <f>INDEX(KidSATs,MATCH(B792,KidIDs,0))</f>
        <v>0</v>
      </c>
      <c r="U792">
        <f>INDEX(Strats,MATCH(B792,KidIDs,0))</f>
        <v>0</v>
      </c>
      <c r="V792">
        <f>INDEX(KidRace,MATCH(B792,KidIDs,0))</f>
        <v>0</v>
      </c>
      <c r="W792">
        <f>IF(OR(V792="M",V792="I"),"H",IF(V792="P","A",V792))</f>
        <v>0</v>
      </c>
      <c r="X792">
        <f>INDEX(StudentTargets,MATCH(B792,KidIDs,0))</f>
        <v>0</v>
      </c>
      <c r="Y792">
        <f>INDEX(ReachStudentTargets,MATCH(B792,KidIDs,0))</f>
        <v>0</v>
      </c>
      <c r="Z792">
        <f>IF(OR(M792="Posse"),1,0)</f>
        <v>0</v>
      </c>
      <c r="AA792">
        <f>IF(ISNUMBER(INDEX(AllCollegeGR, MATCH(N792,AllCollegeNCES,0))),ROUND(INDEX(AllCollegeGR, MATCH(N792,AllCollegeNCES,0))+Z792*IF(INDEX(AllCollegeGR, MATCH(N792,AllCollegeNCES,0))&gt;0.7,(1-INDEX(AllCollegeGR, MATCH(N792,AllCollegeNCES,0)))/2,0.15),2),INDEX(AllCollegeGR, MATCH(N792,AllCollegeNCES,0)))</f>
        <v>0</v>
      </c>
      <c r="AB792">
        <f>IF(ISNUMBER(INDEX(AllCollegeAAHGR, MATCH(N792,AllCollegeNCES,0))),ROUND(INDEX(AllCollegeAAHGR, MATCH(N792,AllCollegeNCES,0))+Z792*IF(INDEX(AllCollegeAAHGR, MATCH(N792,AllCollegeNCES,0))&gt;0.7,(1-INDEX(AllCollegeAAHGR, MATCH(N792,AllCollegeNCES,0)))/2,0.15),2),INDEX(AllCollegeAAHGR, MATCH(N792,AllCollegeNCES,0)))</f>
        <v>0</v>
      </c>
      <c r="AC792">
        <f>IF(OR(W792="H",W792="B"),INDEX(AllCollegeSAT25, MATCH(N792,AllCollegeNCES,0)),INDEX(AllCollegeSAT50, MATCH(N792,AllCollegeNCES,0)))</f>
        <v>0</v>
      </c>
      <c r="AD792">
        <f>INDEX(CustomWeightsGPA,MATCH(W792&amp;":"&amp;N792,CustomWeightsIndex,0))</f>
        <v>0</v>
      </c>
      <c r="AE792">
        <f>INDEX(CustomWeightsSAT,MATCH(W792&amp;":"&amp;N792,CustomWeightsIndex,0))</f>
        <v>0</v>
      </c>
      <c r="AF792">
        <f>INDEX(CustomWeightsIntercept,MATCH(W792&amp;":"&amp;N792,CustomWeightsIndex,0))</f>
        <v>0</v>
      </c>
      <c r="AG792">
        <f>AD792*S792+AE792*T792+AF792</f>
        <v>0</v>
      </c>
      <c r="AH792">
        <f>INDEX(CoefficientsGPA,MATCH(W792&amp;":"&amp;R792,CoefficientsIndex,0))</f>
        <v>0</v>
      </c>
      <c r="AI792">
        <f>INDEX(CoefficientsSAT,MATCH(W792&amp;":"&amp;R792,CoefficientsIndex,0))</f>
        <v>0</v>
      </c>
      <c r="AJ792">
        <f>INDEX(CoefficientsIntercept,MATCH(W792&amp;":"&amp;R792,CoefficientsIndex,0))</f>
        <v>0</v>
      </c>
      <c r="AK792">
        <f>AH792*S792+(T792-AC792)*AI792+AJ792</f>
        <v>0</v>
      </c>
      <c r="AL792">
        <f>IF(ISNUMBER(AG792),AG792,AK792)</f>
        <v>0</v>
      </c>
      <c r="AM792">
        <f>IF(ISNUMBER(AL792),IF(ISNUMBER(AH792),IF(AND(AH792=1,AI792=1,AJ792=1),100,MIN(99,ROUND(100*EXP(AL792)/(1+EXP(AL792)),2))),MIN(99,ROUND(100*EXP(AL792)/(1+EXP(AL792)),2))),IF(ISTEXT(R792),IF(LEFT(R792,1)="2",100,"N/A"),"N/A"))</f>
        <v>0</v>
      </c>
      <c r="AN792">
        <f>IF(ISNUMBER(AM792),IF(AM792&gt;=99,IF(OR(U792=10,U792=11),MatchLabel,SureThingLabel),IF(AM792&gt;=95,SecureLabel,IF(AM792&gt;=80,SafetyLabel,IF(AM792&gt;=50,MatchLabel,IF(AM792&gt;=20,ReachLabel,IF(AM792&gt;=10,LongshotLabel,HailMaryLabel)))))),"Other")</f>
        <v>0</v>
      </c>
      <c r="AO792">
        <f>IF(OR(I792="accepted",I792="cond. accept",I792="summer admit"),IF(J792="yes","CHOICE!","Accepted!"),IF(I792="guar. transfer","Guar. Xfer",IF(I792="denied","Denied",IF(K792=1,"Waitlist",IF(L792=1,"Deferred",IF(G792="pending","Pending",IF(OR(G792="initial materials submitted",G792="mid-year submitted",G792="final submitted"),"Submitted",IF(H792="interest","Interest","?"))))))))</f>
        <v>0</v>
      </c>
      <c r="AP792">
        <f>IF(OR(AN792=ReachLabel,AN792=LongshotLabel,AN792=HailMaryLabel),1,0)</f>
        <v>0</v>
      </c>
      <c r="AQ792">
        <f>IF(OR(AP792=1,AN792=MatchLabel),1,0)</f>
        <v>0</v>
      </c>
      <c r="AR792">
        <f>IF(OR(AN792=MatchLabel,AN792=SafetyLabel,AN792=SecureLabel,AN792=SureThingLabel),1,0)</f>
        <v>0</v>
      </c>
      <c r="AS792">
        <f>IF(OR(W792="H",W792="B",W792="I",W792="M"),IF(ISNUMBER(AB792),ROUND(AB792,2),0),IF(ISNUMBER(AA792),ROUND(AA792,2),0))</f>
        <v>0</v>
      </c>
      <c r="AT792">
        <f>IF(AS792&gt;=X792,1,0)</f>
        <v>0</v>
      </c>
      <c r="AU792">
        <f>IF(AS792&gt;=Y792,1,0)</f>
        <v>0</v>
      </c>
      <c r="AV792">
        <f>IF(AS792&lt;(X792-0.10),1,0)</f>
        <v>0</v>
      </c>
      <c r="AW792">
        <f>1-AM792/100</f>
        <v>0</v>
      </c>
      <c r="AX792">
        <f>IF(AQ792=1,AW792,1)</f>
        <v>0</v>
      </c>
      <c r="AY792">
        <f>IF(AP792=1,AW792,1)</f>
        <v>0</v>
      </c>
      <c r="AZ792">
        <f>IF(AND(AT792=1,ISNUMBER(AW792)),$AW792,1)</f>
        <v>0</v>
      </c>
      <c r="BA792">
        <f>IF(AND(AU792=1,ISNUMBER(AW792)),$AW792,1)</f>
        <v>0</v>
      </c>
      <c r="BB792">
        <f>IF(ISNUMBER(AB792),INDEX(AllCollegeMoney, MATCH(N792,AllCollegeNCES,0)),0)</f>
        <v>0</v>
      </c>
      <c r="BC792">
        <f>IF(AND(AT792=1,ISNUMBER(AW792),BB792=1),$AW792,1)</f>
        <v>0</v>
      </c>
      <c r="BD792">
        <f>IF(AND(AU792=1,ISNUMBER(AW792),BB792=1),$AW792,1)</f>
        <v>0</v>
      </c>
      <c r="BE792">
        <f>IF(ISNUMBER(AB792),INDEX(AllCollegeILPub, MATCH(N792,AllCollegeNCES,0)),0)</f>
        <v>0</v>
      </c>
      <c r="BF792">
        <f>IF(AN792=ReachLabel,AS792,0)</f>
        <v>0</v>
      </c>
      <c r="BG792">
        <f>IF(AN792=MatchLabel,AS792,0)</f>
        <v>0</v>
      </c>
      <c r="BH792">
        <f>IF(AN792=SafetyLabel,AS792,0)</f>
        <v>0</v>
      </c>
      <c r="BI792">
        <f>IF(AN792=SecureLabel,AS792,0)</f>
        <v>0</v>
      </c>
      <c r="BJ792">
        <f>IF(AN792=SureThingLabel,AS792,0)</f>
        <v>0</v>
      </c>
      <c r="BK792">
        <f>MAX(BF792:BJ792)</f>
        <v>0</v>
      </c>
      <c r="BL792">
        <f>MAX(BG792:BJ792)</f>
        <v>0</v>
      </c>
      <c r="BM792">
        <f>MAX(BH792:BJ792)</f>
        <v>0</v>
      </c>
      <c r="BN792">
        <f>IF(AND(AN792=ReachLabel,BB792=1),AS792,0)</f>
        <v>0</v>
      </c>
      <c r="BO792">
        <f>IF(AND(AN792=MatchLabel,BB792=1),AS792,0)</f>
        <v>0</v>
      </c>
      <c r="BP792">
        <f>IF(AND(AN792=SafetyLabel,BB792=1),AS792,0)</f>
        <v>0</v>
      </c>
      <c r="BQ792">
        <f>IF(AND(AN792=SecureLabel,BB792=1),AS792,0)</f>
        <v>0</v>
      </c>
      <c r="BR792">
        <f>IF(AND(AN792=SureThingLabel,BB792=1),AS792,0)</f>
        <v>0</v>
      </c>
      <c r="BS792">
        <f>MAX(BN792:BR792)</f>
        <v>0</v>
      </c>
      <c r="BT792">
        <f>MAX(BO792:BR792)</f>
        <v>0</v>
      </c>
      <c r="BU792">
        <f>MAX(BP792:BR792)</f>
        <v>0</v>
      </c>
      <c r="BV792">
        <f>IF(ISNUMBER(AB792),INDEX(AllCollegeChicago, MATCH(N792,AllCollegeNCES,0))*BB792,0)</f>
        <v>0</v>
      </c>
      <c r="BW792">
        <f>IF(ISNUMBER(AB792),INDEX(AllCollegeMoneyCode, MATCH(N792,AllCollegeNCES,0)),"?")</f>
        <v>0</v>
      </c>
      <c r="BX792">
        <f>IF(OR(BW792="---",BW792="--",BW792="+/--",BW792="+/---"),1,0)</f>
        <v>0</v>
      </c>
      <c r="BY792">
        <f>BB792*AR792*AT792</f>
        <v>0</v>
      </c>
    </row>
    <row r="793" spans="1:77">
      <c r="A793" t="s">
        <v>96</v>
      </c>
      <c r="B793">
        <v>30373557</v>
      </c>
      <c r="C793" t="s">
        <v>144</v>
      </c>
      <c r="D793" t="s">
        <v>145</v>
      </c>
      <c r="E793" t="s">
        <v>446</v>
      </c>
      <c r="F793" t="s">
        <v>615</v>
      </c>
      <c r="G793" t="s">
        <v>448</v>
      </c>
      <c r="H793" t="s">
        <v>449</v>
      </c>
      <c r="I793" t="s">
        <v>450</v>
      </c>
      <c r="J793" t="s">
        <v>450</v>
      </c>
      <c r="K793">
        <v>0</v>
      </c>
      <c r="L793" t="s">
        <v>446</v>
      </c>
      <c r="M793" t="s">
        <v>446</v>
      </c>
      <c r="N793">
        <v>393180</v>
      </c>
      <c r="O793">
        <f>INDEX(Counselor,MATCH(B793,KidIDs,0))</f>
        <v>0</v>
      </c>
      <c r="P793">
        <f>INDEX(Advisors,MATCH(B793,KidIDs,0))</f>
        <v>0</v>
      </c>
      <c r="Q793">
        <f>INDEX(Cohort,MATCH(B793,KidIDs,0))</f>
        <v>0</v>
      </c>
      <c r="R793">
        <f>INDEX(AllCollegeBarrons,MATCH(N793,AllCollegeNCES,0))</f>
        <v>0</v>
      </c>
      <c r="S793">
        <f>INDEX(KidGPAs,MATCH(B793,KidIDs,0))</f>
        <v>0</v>
      </c>
      <c r="T793">
        <f>INDEX(KidSATs,MATCH(B793,KidIDs,0))</f>
        <v>0</v>
      </c>
      <c r="U793">
        <f>INDEX(Strats,MATCH(B793,KidIDs,0))</f>
        <v>0</v>
      </c>
      <c r="V793">
        <f>INDEX(KidRace,MATCH(B793,KidIDs,0))</f>
        <v>0</v>
      </c>
      <c r="W793">
        <f>IF(OR(V793="M",V793="I"),"H",IF(V793="P","A",V793))</f>
        <v>0</v>
      </c>
      <c r="X793">
        <f>INDEX(StudentTargets,MATCH(B793,KidIDs,0))</f>
        <v>0</v>
      </c>
      <c r="Y793">
        <f>INDEX(ReachStudentTargets,MATCH(B793,KidIDs,0))</f>
        <v>0</v>
      </c>
      <c r="Z793">
        <f>IF(OR(M793="Posse"),1,0)</f>
        <v>0</v>
      </c>
      <c r="AA793">
        <f>IF(ISNUMBER(INDEX(AllCollegeGR, MATCH(N793,AllCollegeNCES,0))),ROUND(INDEX(AllCollegeGR, MATCH(N793,AllCollegeNCES,0))+Z793*IF(INDEX(AllCollegeGR, MATCH(N793,AllCollegeNCES,0))&gt;0.7,(1-INDEX(AllCollegeGR, MATCH(N793,AllCollegeNCES,0)))/2,0.15),2),INDEX(AllCollegeGR, MATCH(N793,AllCollegeNCES,0)))</f>
        <v>0</v>
      </c>
      <c r="AB793">
        <f>IF(ISNUMBER(INDEX(AllCollegeAAHGR, MATCH(N793,AllCollegeNCES,0))),ROUND(INDEX(AllCollegeAAHGR, MATCH(N793,AllCollegeNCES,0))+Z793*IF(INDEX(AllCollegeAAHGR, MATCH(N793,AllCollegeNCES,0))&gt;0.7,(1-INDEX(AllCollegeAAHGR, MATCH(N793,AllCollegeNCES,0)))/2,0.15),2),INDEX(AllCollegeAAHGR, MATCH(N793,AllCollegeNCES,0)))</f>
        <v>0</v>
      </c>
      <c r="AC793">
        <f>IF(OR(W793="H",W793="B"),INDEX(AllCollegeSAT25, MATCH(N793,AllCollegeNCES,0)),INDEX(AllCollegeSAT50, MATCH(N793,AllCollegeNCES,0)))</f>
        <v>0</v>
      </c>
      <c r="AD793">
        <f>INDEX(CustomWeightsGPA,MATCH(W793&amp;":"&amp;N793,CustomWeightsIndex,0))</f>
        <v>0</v>
      </c>
      <c r="AE793">
        <f>INDEX(CustomWeightsSAT,MATCH(W793&amp;":"&amp;N793,CustomWeightsIndex,0))</f>
        <v>0</v>
      </c>
      <c r="AF793">
        <f>INDEX(CustomWeightsIntercept,MATCH(W793&amp;":"&amp;N793,CustomWeightsIndex,0))</f>
        <v>0</v>
      </c>
      <c r="AG793">
        <f>AD793*S793+AE793*T793+AF793</f>
        <v>0</v>
      </c>
      <c r="AH793">
        <f>INDEX(CoefficientsGPA,MATCH(W793&amp;":"&amp;R793,CoefficientsIndex,0))</f>
        <v>0</v>
      </c>
      <c r="AI793">
        <f>INDEX(CoefficientsSAT,MATCH(W793&amp;":"&amp;R793,CoefficientsIndex,0))</f>
        <v>0</v>
      </c>
      <c r="AJ793">
        <f>INDEX(CoefficientsIntercept,MATCH(W793&amp;":"&amp;R793,CoefficientsIndex,0))</f>
        <v>0</v>
      </c>
      <c r="AK793">
        <f>AH793*S793+(T793-AC793)*AI793+AJ793</f>
        <v>0</v>
      </c>
      <c r="AL793">
        <f>IF(ISNUMBER(AG793),AG793,AK793)</f>
        <v>0</v>
      </c>
      <c r="AM793">
        <f>IF(ISNUMBER(AL793),IF(ISNUMBER(AH793),IF(AND(AH793=1,AI793=1,AJ793=1),100,MIN(99,ROUND(100*EXP(AL793)/(1+EXP(AL793)),2))),MIN(99,ROUND(100*EXP(AL793)/(1+EXP(AL793)),2))),IF(ISTEXT(R793),IF(LEFT(R793,1)="2",100,"N/A"),"N/A"))</f>
        <v>0</v>
      </c>
      <c r="AN793">
        <f>IF(ISNUMBER(AM793),IF(AM793&gt;=99,IF(OR(U793=10,U793=11),MatchLabel,SureThingLabel),IF(AM793&gt;=95,SecureLabel,IF(AM793&gt;=80,SafetyLabel,IF(AM793&gt;=50,MatchLabel,IF(AM793&gt;=20,ReachLabel,IF(AM793&gt;=10,LongshotLabel,HailMaryLabel)))))),"Other")</f>
        <v>0</v>
      </c>
      <c r="AO793">
        <f>IF(OR(I793="accepted",I793="cond. accept",I793="summer admit"),IF(J793="yes","CHOICE!","Accepted!"),IF(I793="guar. transfer","Guar. Xfer",IF(I793="denied","Denied",IF(K793=1,"Waitlist",IF(L793=1,"Deferred",IF(G793="pending","Pending",IF(OR(G793="initial materials submitted",G793="mid-year submitted",G793="final submitted"),"Submitted",IF(H793="interest","Interest","?"))))))))</f>
        <v>0</v>
      </c>
      <c r="AP793">
        <f>IF(OR(AN793=ReachLabel,AN793=LongshotLabel,AN793=HailMaryLabel),1,0)</f>
        <v>0</v>
      </c>
      <c r="AQ793">
        <f>IF(OR(AP793=1,AN793=MatchLabel),1,0)</f>
        <v>0</v>
      </c>
      <c r="AR793">
        <f>IF(OR(AN793=MatchLabel,AN793=SafetyLabel,AN793=SecureLabel,AN793=SureThingLabel),1,0)</f>
        <v>0</v>
      </c>
      <c r="AS793">
        <f>IF(OR(W793="H",W793="B",W793="I",W793="M"),IF(ISNUMBER(AB793),ROUND(AB793,2),0),IF(ISNUMBER(AA793),ROUND(AA793,2),0))</f>
        <v>0</v>
      </c>
      <c r="AT793">
        <f>IF(AS793&gt;=X793,1,0)</f>
        <v>0</v>
      </c>
      <c r="AU793">
        <f>IF(AS793&gt;=Y793,1,0)</f>
        <v>0</v>
      </c>
      <c r="AV793">
        <f>IF(AS793&lt;(X793-0.10),1,0)</f>
        <v>0</v>
      </c>
      <c r="AW793">
        <f>1-AM793/100</f>
        <v>0</v>
      </c>
      <c r="AX793">
        <f>IF(AQ793=1,AW793,1)</f>
        <v>0</v>
      </c>
      <c r="AY793">
        <f>IF(AP793=1,AW793,1)</f>
        <v>0</v>
      </c>
      <c r="AZ793">
        <f>IF(AND(AT793=1,ISNUMBER(AW793)),$AW793,1)</f>
        <v>0</v>
      </c>
      <c r="BA793">
        <f>IF(AND(AU793=1,ISNUMBER(AW793)),$AW793,1)</f>
        <v>0</v>
      </c>
      <c r="BB793">
        <f>IF(ISNUMBER(AB793),INDEX(AllCollegeMoney, MATCH(N793,AllCollegeNCES,0)),0)</f>
        <v>0</v>
      </c>
      <c r="BC793">
        <f>IF(AND(AT793=1,ISNUMBER(AW793),BB793=1),$AW793,1)</f>
        <v>0</v>
      </c>
      <c r="BD793">
        <f>IF(AND(AU793=1,ISNUMBER(AW793),BB793=1),$AW793,1)</f>
        <v>0</v>
      </c>
      <c r="BE793">
        <f>IF(ISNUMBER(AB793),INDEX(AllCollegeILPub, MATCH(N793,AllCollegeNCES,0)),0)</f>
        <v>0</v>
      </c>
      <c r="BF793">
        <f>IF(AN793=ReachLabel,AS793,0)</f>
        <v>0</v>
      </c>
      <c r="BG793">
        <f>IF(AN793=MatchLabel,AS793,0)</f>
        <v>0</v>
      </c>
      <c r="BH793">
        <f>IF(AN793=SafetyLabel,AS793,0)</f>
        <v>0</v>
      </c>
      <c r="BI793">
        <f>IF(AN793=SecureLabel,AS793,0)</f>
        <v>0</v>
      </c>
      <c r="BJ793">
        <f>IF(AN793=SureThingLabel,AS793,0)</f>
        <v>0</v>
      </c>
      <c r="BK793">
        <f>MAX(BF793:BJ793)</f>
        <v>0</v>
      </c>
      <c r="BL793">
        <f>MAX(BG793:BJ793)</f>
        <v>0</v>
      </c>
      <c r="BM793">
        <f>MAX(BH793:BJ793)</f>
        <v>0</v>
      </c>
      <c r="BN793">
        <f>IF(AND(AN793=ReachLabel,BB793=1),AS793,0)</f>
        <v>0</v>
      </c>
      <c r="BO793">
        <f>IF(AND(AN793=MatchLabel,BB793=1),AS793,0)</f>
        <v>0</v>
      </c>
      <c r="BP793">
        <f>IF(AND(AN793=SafetyLabel,BB793=1),AS793,0)</f>
        <v>0</v>
      </c>
      <c r="BQ793">
        <f>IF(AND(AN793=SecureLabel,BB793=1),AS793,0)</f>
        <v>0</v>
      </c>
      <c r="BR793">
        <f>IF(AND(AN793=SureThingLabel,BB793=1),AS793,0)</f>
        <v>0</v>
      </c>
      <c r="BS793">
        <f>MAX(BN793:BR793)</f>
        <v>0</v>
      </c>
      <c r="BT793">
        <f>MAX(BO793:BR793)</f>
        <v>0</v>
      </c>
      <c r="BU793">
        <f>MAX(BP793:BR793)</f>
        <v>0</v>
      </c>
      <c r="BV793">
        <f>IF(ISNUMBER(AB793),INDEX(AllCollegeChicago, MATCH(N793,AllCollegeNCES,0))*BB793,0)</f>
        <v>0</v>
      </c>
      <c r="BW793">
        <f>IF(ISNUMBER(AB793),INDEX(AllCollegeMoneyCode, MATCH(N793,AllCollegeNCES,0)),"?")</f>
        <v>0</v>
      </c>
      <c r="BX793">
        <f>IF(OR(BW793="---",BW793="--",BW793="+/--",BW793="+/---"),1,0)</f>
        <v>0</v>
      </c>
      <c r="BY793">
        <f>BB793*AR793*AT793</f>
        <v>0</v>
      </c>
    </row>
    <row r="794" spans="1:77">
      <c r="A794" t="s">
        <v>96</v>
      </c>
      <c r="B794">
        <v>30490744</v>
      </c>
      <c r="C794" t="s">
        <v>218</v>
      </c>
      <c r="D794" t="s">
        <v>219</v>
      </c>
      <c r="E794" t="s">
        <v>446</v>
      </c>
      <c r="F794" t="s">
        <v>512</v>
      </c>
      <c r="G794" t="s">
        <v>479</v>
      </c>
      <c r="H794" t="s">
        <v>449</v>
      </c>
      <c r="I794" t="s">
        <v>450</v>
      </c>
      <c r="J794" t="s">
        <v>450</v>
      </c>
      <c r="K794">
        <v>0</v>
      </c>
      <c r="L794" t="s">
        <v>446</v>
      </c>
      <c r="M794" t="s">
        <v>446</v>
      </c>
      <c r="N794">
        <v>150400</v>
      </c>
      <c r="O794">
        <f>INDEX(Counselor,MATCH(B794,KidIDs,0))</f>
        <v>0</v>
      </c>
      <c r="P794">
        <f>INDEX(Advisors,MATCH(B794,KidIDs,0))</f>
        <v>0</v>
      </c>
      <c r="Q794">
        <f>INDEX(Cohort,MATCH(B794,KidIDs,0))</f>
        <v>0</v>
      </c>
      <c r="R794">
        <f>INDEX(AllCollegeBarrons,MATCH(N794,AllCollegeNCES,0))</f>
        <v>0</v>
      </c>
      <c r="S794">
        <f>INDEX(KidGPAs,MATCH(B794,KidIDs,0))</f>
        <v>0</v>
      </c>
      <c r="T794">
        <f>INDEX(KidSATs,MATCH(B794,KidIDs,0))</f>
        <v>0</v>
      </c>
      <c r="U794">
        <f>INDEX(Strats,MATCH(B794,KidIDs,0))</f>
        <v>0</v>
      </c>
      <c r="V794">
        <f>INDEX(KidRace,MATCH(B794,KidIDs,0))</f>
        <v>0</v>
      </c>
      <c r="W794">
        <f>IF(OR(V794="M",V794="I"),"H",IF(V794="P","A",V794))</f>
        <v>0</v>
      </c>
      <c r="X794">
        <f>INDEX(StudentTargets,MATCH(B794,KidIDs,0))</f>
        <v>0</v>
      </c>
      <c r="Y794">
        <f>INDEX(ReachStudentTargets,MATCH(B794,KidIDs,0))</f>
        <v>0</v>
      </c>
      <c r="Z794">
        <f>IF(OR(M794="Posse"),1,0)</f>
        <v>0</v>
      </c>
      <c r="AA794">
        <f>IF(ISNUMBER(INDEX(AllCollegeGR, MATCH(N794,AllCollegeNCES,0))),ROUND(INDEX(AllCollegeGR, MATCH(N794,AllCollegeNCES,0))+Z794*IF(INDEX(AllCollegeGR, MATCH(N794,AllCollegeNCES,0))&gt;0.7,(1-INDEX(AllCollegeGR, MATCH(N794,AllCollegeNCES,0)))/2,0.15),2),INDEX(AllCollegeGR, MATCH(N794,AllCollegeNCES,0)))</f>
        <v>0</v>
      </c>
      <c r="AB794">
        <f>IF(ISNUMBER(INDEX(AllCollegeAAHGR, MATCH(N794,AllCollegeNCES,0))),ROUND(INDEX(AllCollegeAAHGR, MATCH(N794,AllCollegeNCES,0))+Z794*IF(INDEX(AllCollegeAAHGR, MATCH(N794,AllCollegeNCES,0))&gt;0.7,(1-INDEX(AllCollegeAAHGR, MATCH(N794,AllCollegeNCES,0)))/2,0.15),2),INDEX(AllCollegeAAHGR, MATCH(N794,AllCollegeNCES,0)))</f>
        <v>0</v>
      </c>
      <c r="AC794">
        <f>IF(OR(W794="H",W794="B"),INDEX(AllCollegeSAT25, MATCH(N794,AllCollegeNCES,0)),INDEX(AllCollegeSAT50, MATCH(N794,AllCollegeNCES,0)))</f>
        <v>0</v>
      </c>
      <c r="AD794">
        <f>INDEX(CustomWeightsGPA,MATCH(W794&amp;":"&amp;N794,CustomWeightsIndex,0))</f>
        <v>0</v>
      </c>
      <c r="AE794">
        <f>INDEX(CustomWeightsSAT,MATCH(W794&amp;":"&amp;N794,CustomWeightsIndex,0))</f>
        <v>0</v>
      </c>
      <c r="AF794">
        <f>INDEX(CustomWeightsIntercept,MATCH(W794&amp;":"&amp;N794,CustomWeightsIndex,0))</f>
        <v>0</v>
      </c>
      <c r="AG794">
        <f>AD794*S794+AE794*T794+AF794</f>
        <v>0</v>
      </c>
      <c r="AH794">
        <f>INDEX(CoefficientsGPA,MATCH(W794&amp;":"&amp;R794,CoefficientsIndex,0))</f>
        <v>0</v>
      </c>
      <c r="AI794">
        <f>INDEX(CoefficientsSAT,MATCH(W794&amp;":"&amp;R794,CoefficientsIndex,0))</f>
        <v>0</v>
      </c>
      <c r="AJ794">
        <f>INDEX(CoefficientsIntercept,MATCH(W794&amp;":"&amp;R794,CoefficientsIndex,0))</f>
        <v>0</v>
      </c>
      <c r="AK794">
        <f>AH794*S794+(T794-AC794)*AI794+AJ794</f>
        <v>0</v>
      </c>
      <c r="AL794">
        <f>IF(ISNUMBER(AG794),AG794,AK794)</f>
        <v>0</v>
      </c>
      <c r="AM794">
        <f>IF(ISNUMBER(AL794),IF(ISNUMBER(AH794),IF(AND(AH794=1,AI794=1,AJ794=1),100,MIN(99,ROUND(100*EXP(AL794)/(1+EXP(AL794)),2))),MIN(99,ROUND(100*EXP(AL794)/(1+EXP(AL794)),2))),IF(ISTEXT(R794),IF(LEFT(R794,1)="2",100,"N/A"),"N/A"))</f>
        <v>0</v>
      </c>
      <c r="AN794">
        <f>IF(ISNUMBER(AM794),IF(AM794&gt;=99,IF(OR(U794=10,U794=11),MatchLabel,SureThingLabel),IF(AM794&gt;=95,SecureLabel,IF(AM794&gt;=80,SafetyLabel,IF(AM794&gt;=50,MatchLabel,IF(AM794&gt;=20,ReachLabel,IF(AM794&gt;=10,LongshotLabel,HailMaryLabel)))))),"Other")</f>
        <v>0</v>
      </c>
      <c r="AO794">
        <f>IF(OR(I794="accepted",I794="cond. accept",I794="summer admit"),IF(J794="yes","CHOICE!","Accepted!"),IF(I794="guar. transfer","Guar. Xfer",IF(I794="denied","Denied",IF(K794=1,"Waitlist",IF(L794=1,"Deferred",IF(G794="pending","Pending",IF(OR(G794="initial materials submitted",G794="mid-year submitted",G794="final submitted"),"Submitted",IF(H794="interest","Interest","?"))))))))</f>
        <v>0</v>
      </c>
      <c r="AP794">
        <f>IF(OR(AN794=ReachLabel,AN794=LongshotLabel,AN794=HailMaryLabel),1,0)</f>
        <v>0</v>
      </c>
      <c r="AQ794">
        <f>IF(OR(AP794=1,AN794=MatchLabel),1,0)</f>
        <v>0</v>
      </c>
      <c r="AR794">
        <f>IF(OR(AN794=MatchLabel,AN794=SafetyLabel,AN794=SecureLabel,AN794=SureThingLabel),1,0)</f>
        <v>0</v>
      </c>
      <c r="AS794">
        <f>IF(OR(W794="H",W794="B",W794="I",W794="M"),IF(ISNUMBER(AB794),ROUND(AB794,2),0),IF(ISNUMBER(AA794),ROUND(AA794,2),0))</f>
        <v>0</v>
      </c>
      <c r="AT794">
        <f>IF(AS794&gt;=X794,1,0)</f>
        <v>0</v>
      </c>
      <c r="AU794">
        <f>IF(AS794&gt;=Y794,1,0)</f>
        <v>0</v>
      </c>
      <c r="AV794">
        <f>IF(AS794&lt;(X794-0.10),1,0)</f>
        <v>0</v>
      </c>
      <c r="AW794">
        <f>1-AM794/100</f>
        <v>0</v>
      </c>
      <c r="AX794">
        <f>IF(AQ794=1,AW794,1)</f>
        <v>0</v>
      </c>
      <c r="AY794">
        <f>IF(AP794=1,AW794,1)</f>
        <v>0</v>
      </c>
      <c r="AZ794">
        <f>IF(AND(AT794=1,ISNUMBER(AW794)),$AW794,1)</f>
        <v>0</v>
      </c>
      <c r="BA794">
        <f>IF(AND(AU794=1,ISNUMBER(AW794)),$AW794,1)</f>
        <v>0</v>
      </c>
      <c r="BB794">
        <f>IF(ISNUMBER(AB794),INDEX(AllCollegeMoney, MATCH(N794,AllCollegeNCES,0)),0)</f>
        <v>0</v>
      </c>
      <c r="BC794">
        <f>IF(AND(AT794=1,ISNUMBER(AW794),BB794=1),$AW794,1)</f>
        <v>0</v>
      </c>
      <c r="BD794">
        <f>IF(AND(AU794=1,ISNUMBER(AW794),BB794=1),$AW794,1)</f>
        <v>0</v>
      </c>
      <c r="BE794">
        <f>IF(ISNUMBER(AB794),INDEX(AllCollegeILPub, MATCH(N794,AllCollegeNCES,0)),0)</f>
        <v>0</v>
      </c>
      <c r="BF794">
        <f>IF(AN794=ReachLabel,AS794,0)</f>
        <v>0</v>
      </c>
      <c r="BG794">
        <f>IF(AN794=MatchLabel,AS794,0)</f>
        <v>0</v>
      </c>
      <c r="BH794">
        <f>IF(AN794=SafetyLabel,AS794,0)</f>
        <v>0</v>
      </c>
      <c r="BI794">
        <f>IF(AN794=SecureLabel,AS794,0)</f>
        <v>0</v>
      </c>
      <c r="BJ794">
        <f>IF(AN794=SureThingLabel,AS794,0)</f>
        <v>0</v>
      </c>
      <c r="BK794">
        <f>MAX(BF794:BJ794)</f>
        <v>0</v>
      </c>
      <c r="BL794">
        <f>MAX(BG794:BJ794)</f>
        <v>0</v>
      </c>
      <c r="BM794">
        <f>MAX(BH794:BJ794)</f>
        <v>0</v>
      </c>
      <c r="BN794">
        <f>IF(AND(AN794=ReachLabel,BB794=1),AS794,0)</f>
        <v>0</v>
      </c>
      <c r="BO794">
        <f>IF(AND(AN794=MatchLabel,BB794=1),AS794,0)</f>
        <v>0</v>
      </c>
      <c r="BP794">
        <f>IF(AND(AN794=SafetyLabel,BB794=1),AS794,0)</f>
        <v>0</v>
      </c>
      <c r="BQ794">
        <f>IF(AND(AN794=SecureLabel,BB794=1),AS794,0)</f>
        <v>0</v>
      </c>
      <c r="BR794">
        <f>IF(AND(AN794=SureThingLabel,BB794=1),AS794,0)</f>
        <v>0</v>
      </c>
      <c r="BS794">
        <f>MAX(BN794:BR794)</f>
        <v>0</v>
      </c>
      <c r="BT794">
        <f>MAX(BO794:BR794)</f>
        <v>0</v>
      </c>
      <c r="BU794">
        <f>MAX(BP794:BR794)</f>
        <v>0</v>
      </c>
      <c r="BV794">
        <f>IF(ISNUMBER(AB794),INDEX(AllCollegeChicago, MATCH(N794,AllCollegeNCES,0))*BB794,0)</f>
        <v>0</v>
      </c>
      <c r="BW794">
        <f>IF(ISNUMBER(AB794),INDEX(AllCollegeMoneyCode, MATCH(N794,AllCollegeNCES,0)),"?")</f>
        <v>0</v>
      </c>
      <c r="BX794">
        <f>IF(OR(BW794="---",BW794="--",BW794="+/--",BW794="+/---"),1,0)</f>
        <v>0</v>
      </c>
      <c r="BY794">
        <f>BB794*AR794*AT794</f>
        <v>0</v>
      </c>
    </row>
    <row r="795" spans="1:77">
      <c r="A795" t="s">
        <v>96</v>
      </c>
      <c r="B795">
        <v>30490744</v>
      </c>
      <c r="C795" t="s">
        <v>218</v>
      </c>
      <c r="D795" t="s">
        <v>219</v>
      </c>
      <c r="E795" t="s">
        <v>446</v>
      </c>
      <c r="F795" t="s">
        <v>600</v>
      </c>
      <c r="G795" t="s">
        <v>479</v>
      </c>
      <c r="H795" t="s">
        <v>449</v>
      </c>
      <c r="I795" t="s">
        <v>450</v>
      </c>
      <c r="J795" t="s">
        <v>450</v>
      </c>
      <c r="K795">
        <v>0</v>
      </c>
      <c r="L795" t="s">
        <v>446</v>
      </c>
      <c r="M795" t="s">
        <v>446</v>
      </c>
      <c r="N795">
        <v>122612</v>
      </c>
      <c r="O795">
        <f>INDEX(Counselor,MATCH(B795,KidIDs,0))</f>
        <v>0</v>
      </c>
      <c r="P795">
        <f>INDEX(Advisors,MATCH(B795,KidIDs,0))</f>
        <v>0</v>
      </c>
      <c r="Q795">
        <f>INDEX(Cohort,MATCH(B795,KidIDs,0))</f>
        <v>0</v>
      </c>
      <c r="R795">
        <f>INDEX(AllCollegeBarrons,MATCH(N795,AllCollegeNCES,0))</f>
        <v>0</v>
      </c>
      <c r="S795">
        <f>INDEX(KidGPAs,MATCH(B795,KidIDs,0))</f>
        <v>0</v>
      </c>
      <c r="T795">
        <f>INDEX(KidSATs,MATCH(B795,KidIDs,0))</f>
        <v>0</v>
      </c>
      <c r="U795">
        <f>INDEX(Strats,MATCH(B795,KidIDs,0))</f>
        <v>0</v>
      </c>
      <c r="V795">
        <f>INDEX(KidRace,MATCH(B795,KidIDs,0))</f>
        <v>0</v>
      </c>
      <c r="W795">
        <f>IF(OR(V795="M",V795="I"),"H",IF(V795="P","A",V795))</f>
        <v>0</v>
      </c>
      <c r="X795">
        <f>INDEX(StudentTargets,MATCH(B795,KidIDs,0))</f>
        <v>0</v>
      </c>
      <c r="Y795">
        <f>INDEX(ReachStudentTargets,MATCH(B795,KidIDs,0))</f>
        <v>0</v>
      </c>
      <c r="Z795">
        <f>IF(OR(M795="Posse"),1,0)</f>
        <v>0</v>
      </c>
      <c r="AA795">
        <f>IF(ISNUMBER(INDEX(AllCollegeGR, MATCH(N795,AllCollegeNCES,0))),ROUND(INDEX(AllCollegeGR, MATCH(N795,AllCollegeNCES,0))+Z795*IF(INDEX(AllCollegeGR, MATCH(N795,AllCollegeNCES,0))&gt;0.7,(1-INDEX(AllCollegeGR, MATCH(N795,AllCollegeNCES,0)))/2,0.15),2),INDEX(AllCollegeGR, MATCH(N795,AllCollegeNCES,0)))</f>
        <v>0</v>
      </c>
      <c r="AB795">
        <f>IF(ISNUMBER(INDEX(AllCollegeAAHGR, MATCH(N795,AllCollegeNCES,0))),ROUND(INDEX(AllCollegeAAHGR, MATCH(N795,AllCollegeNCES,0))+Z795*IF(INDEX(AllCollegeAAHGR, MATCH(N795,AllCollegeNCES,0))&gt;0.7,(1-INDEX(AllCollegeAAHGR, MATCH(N795,AllCollegeNCES,0)))/2,0.15),2),INDEX(AllCollegeAAHGR, MATCH(N795,AllCollegeNCES,0)))</f>
        <v>0</v>
      </c>
      <c r="AC795">
        <f>IF(OR(W795="H",W795="B"),INDEX(AllCollegeSAT25, MATCH(N795,AllCollegeNCES,0)),INDEX(AllCollegeSAT50, MATCH(N795,AllCollegeNCES,0)))</f>
        <v>0</v>
      </c>
      <c r="AD795">
        <f>INDEX(CustomWeightsGPA,MATCH(W795&amp;":"&amp;N795,CustomWeightsIndex,0))</f>
        <v>0</v>
      </c>
      <c r="AE795">
        <f>INDEX(CustomWeightsSAT,MATCH(W795&amp;":"&amp;N795,CustomWeightsIndex,0))</f>
        <v>0</v>
      </c>
      <c r="AF795">
        <f>INDEX(CustomWeightsIntercept,MATCH(W795&amp;":"&amp;N795,CustomWeightsIndex,0))</f>
        <v>0</v>
      </c>
      <c r="AG795">
        <f>AD795*S795+AE795*T795+AF795</f>
        <v>0</v>
      </c>
      <c r="AH795">
        <f>INDEX(CoefficientsGPA,MATCH(W795&amp;":"&amp;R795,CoefficientsIndex,0))</f>
        <v>0</v>
      </c>
      <c r="AI795">
        <f>INDEX(CoefficientsSAT,MATCH(W795&amp;":"&amp;R795,CoefficientsIndex,0))</f>
        <v>0</v>
      </c>
      <c r="AJ795">
        <f>INDEX(CoefficientsIntercept,MATCH(W795&amp;":"&amp;R795,CoefficientsIndex,0))</f>
        <v>0</v>
      </c>
      <c r="AK795">
        <f>AH795*S795+(T795-AC795)*AI795+AJ795</f>
        <v>0</v>
      </c>
      <c r="AL795">
        <f>IF(ISNUMBER(AG795),AG795,AK795)</f>
        <v>0</v>
      </c>
      <c r="AM795">
        <f>IF(ISNUMBER(AL795),IF(ISNUMBER(AH795),IF(AND(AH795=1,AI795=1,AJ795=1),100,MIN(99,ROUND(100*EXP(AL795)/(1+EXP(AL795)),2))),MIN(99,ROUND(100*EXP(AL795)/(1+EXP(AL795)),2))),IF(ISTEXT(R795),IF(LEFT(R795,1)="2",100,"N/A"),"N/A"))</f>
        <v>0</v>
      </c>
      <c r="AN795">
        <f>IF(ISNUMBER(AM795),IF(AM795&gt;=99,IF(OR(U795=10,U795=11),MatchLabel,SureThingLabel),IF(AM795&gt;=95,SecureLabel,IF(AM795&gt;=80,SafetyLabel,IF(AM795&gt;=50,MatchLabel,IF(AM795&gt;=20,ReachLabel,IF(AM795&gt;=10,LongshotLabel,HailMaryLabel)))))),"Other")</f>
        <v>0</v>
      </c>
      <c r="AO795">
        <f>IF(OR(I795="accepted",I795="cond. accept",I795="summer admit"),IF(J795="yes","CHOICE!","Accepted!"),IF(I795="guar. transfer","Guar. Xfer",IF(I795="denied","Denied",IF(K795=1,"Waitlist",IF(L795=1,"Deferred",IF(G795="pending","Pending",IF(OR(G795="initial materials submitted",G795="mid-year submitted",G795="final submitted"),"Submitted",IF(H795="interest","Interest","?"))))))))</f>
        <v>0</v>
      </c>
      <c r="AP795">
        <f>IF(OR(AN795=ReachLabel,AN795=LongshotLabel,AN795=HailMaryLabel),1,0)</f>
        <v>0</v>
      </c>
      <c r="AQ795">
        <f>IF(OR(AP795=1,AN795=MatchLabel),1,0)</f>
        <v>0</v>
      </c>
      <c r="AR795">
        <f>IF(OR(AN795=MatchLabel,AN795=SafetyLabel,AN795=SecureLabel,AN795=SureThingLabel),1,0)</f>
        <v>0</v>
      </c>
      <c r="AS795">
        <f>IF(OR(W795="H",W795="B",W795="I",W795="M"),IF(ISNUMBER(AB795),ROUND(AB795,2),0),IF(ISNUMBER(AA795),ROUND(AA795,2),0))</f>
        <v>0</v>
      </c>
      <c r="AT795">
        <f>IF(AS795&gt;=X795,1,0)</f>
        <v>0</v>
      </c>
      <c r="AU795">
        <f>IF(AS795&gt;=Y795,1,0)</f>
        <v>0</v>
      </c>
      <c r="AV795">
        <f>IF(AS795&lt;(X795-0.10),1,0)</f>
        <v>0</v>
      </c>
      <c r="AW795">
        <f>1-AM795/100</f>
        <v>0</v>
      </c>
      <c r="AX795">
        <f>IF(AQ795=1,AW795,1)</f>
        <v>0</v>
      </c>
      <c r="AY795">
        <f>IF(AP795=1,AW795,1)</f>
        <v>0</v>
      </c>
      <c r="AZ795">
        <f>IF(AND(AT795=1,ISNUMBER(AW795)),$AW795,1)</f>
        <v>0</v>
      </c>
      <c r="BA795">
        <f>IF(AND(AU795=1,ISNUMBER(AW795)),$AW795,1)</f>
        <v>0</v>
      </c>
      <c r="BB795">
        <f>IF(ISNUMBER(AB795),INDEX(AllCollegeMoney, MATCH(N795,AllCollegeNCES,0)),0)</f>
        <v>0</v>
      </c>
      <c r="BC795">
        <f>IF(AND(AT795=1,ISNUMBER(AW795),BB795=1),$AW795,1)</f>
        <v>0</v>
      </c>
      <c r="BD795">
        <f>IF(AND(AU795=1,ISNUMBER(AW795),BB795=1),$AW795,1)</f>
        <v>0</v>
      </c>
      <c r="BE795">
        <f>IF(ISNUMBER(AB795),INDEX(AllCollegeILPub, MATCH(N795,AllCollegeNCES,0)),0)</f>
        <v>0</v>
      </c>
      <c r="BF795">
        <f>IF(AN795=ReachLabel,AS795,0)</f>
        <v>0</v>
      </c>
      <c r="BG795">
        <f>IF(AN795=MatchLabel,AS795,0)</f>
        <v>0</v>
      </c>
      <c r="BH795">
        <f>IF(AN795=SafetyLabel,AS795,0)</f>
        <v>0</v>
      </c>
      <c r="BI795">
        <f>IF(AN795=SecureLabel,AS795,0)</f>
        <v>0</v>
      </c>
      <c r="BJ795">
        <f>IF(AN795=SureThingLabel,AS795,0)</f>
        <v>0</v>
      </c>
      <c r="BK795">
        <f>MAX(BF795:BJ795)</f>
        <v>0</v>
      </c>
      <c r="BL795">
        <f>MAX(BG795:BJ795)</f>
        <v>0</v>
      </c>
      <c r="BM795">
        <f>MAX(BH795:BJ795)</f>
        <v>0</v>
      </c>
      <c r="BN795">
        <f>IF(AND(AN795=ReachLabel,BB795=1),AS795,0)</f>
        <v>0</v>
      </c>
      <c r="BO795">
        <f>IF(AND(AN795=MatchLabel,BB795=1),AS795,0)</f>
        <v>0</v>
      </c>
      <c r="BP795">
        <f>IF(AND(AN795=SafetyLabel,BB795=1),AS795,0)</f>
        <v>0</v>
      </c>
      <c r="BQ795">
        <f>IF(AND(AN795=SecureLabel,BB795=1),AS795,0)</f>
        <v>0</v>
      </c>
      <c r="BR795">
        <f>IF(AND(AN795=SureThingLabel,BB795=1),AS795,0)</f>
        <v>0</v>
      </c>
      <c r="BS795">
        <f>MAX(BN795:BR795)</f>
        <v>0</v>
      </c>
      <c r="BT795">
        <f>MAX(BO795:BR795)</f>
        <v>0</v>
      </c>
      <c r="BU795">
        <f>MAX(BP795:BR795)</f>
        <v>0</v>
      </c>
      <c r="BV795">
        <f>IF(ISNUMBER(AB795),INDEX(AllCollegeChicago, MATCH(N795,AllCollegeNCES,0))*BB795,0)</f>
        <v>0</v>
      </c>
      <c r="BW795">
        <f>IF(ISNUMBER(AB795),INDEX(AllCollegeMoneyCode, MATCH(N795,AllCollegeNCES,0)),"?")</f>
        <v>0</v>
      </c>
      <c r="BX795">
        <f>IF(OR(BW795="---",BW795="--",BW795="+/--",BW795="+/---"),1,0)</f>
        <v>0</v>
      </c>
      <c r="BY795">
        <f>BB795*AR795*AT795</f>
        <v>0</v>
      </c>
    </row>
    <row r="796" spans="1:77">
      <c r="A796" t="s">
        <v>96</v>
      </c>
      <c r="B796">
        <v>30490744</v>
      </c>
      <c r="C796" t="s">
        <v>218</v>
      </c>
      <c r="D796" t="s">
        <v>219</v>
      </c>
      <c r="E796" t="s">
        <v>446</v>
      </c>
      <c r="F796" t="s">
        <v>616</v>
      </c>
      <c r="G796" t="s">
        <v>479</v>
      </c>
      <c r="H796" t="s">
        <v>449</v>
      </c>
      <c r="I796" t="s">
        <v>450</v>
      </c>
      <c r="J796" t="s">
        <v>450</v>
      </c>
      <c r="K796">
        <v>0</v>
      </c>
      <c r="L796" t="s">
        <v>446</v>
      </c>
      <c r="M796" t="s">
        <v>446</v>
      </c>
      <c r="N796">
        <v>196413</v>
      </c>
      <c r="O796">
        <f>INDEX(Counselor,MATCH(B796,KidIDs,0))</f>
        <v>0</v>
      </c>
      <c r="P796">
        <f>INDEX(Advisors,MATCH(B796,KidIDs,0))</f>
        <v>0</v>
      </c>
      <c r="Q796">
        <f>INDEX(Cohort,MATCH(B796,KidIDs,0))</f>
        <v>0</v>
      </c>
      <c r="R796">
        <f>INDEX(AllCollegeBarrons,MATCH(N796,AllCollegeNCES,0))</f>
        <v>0</v>
      </c>
      <c r="S796">
        <f>INDEX(KidGPAs,MATCH(B796,KidIDs,0))</f>
        <v>0</v>
      </c>
      <c r="T796">
        <f>INDEX(KidSATs,MATCH(B796,KidIDs,0))</f>
        <v>0</v>
      </c>
      <c r="U796">
        <f>INDEX(Strats,MATCH(B796,KidIDs,0))</f>
        <v>0</v>
      </c>
      <c r="V796">
        <f>INDEX(KidRace,MATCH(B796,KidIDs,0))</f>
        <v>0</v>
      </c>
      <c r="W796">
        <f>IF(OR(V796="M",V796="I"),"H",IF(V796="P","A",V796))</f>
        <v>0</v>
      </c>
      <c r="X796">
        <f>INDEX(StudentTargets,MATCH(B796,KidIDs,0))</f>
        <v>0</v>
      </c>
      <c r="Y796">
        <f>INDEX(ReachStudentTargets,MATCH(B796,KidIDs,0))</f>
        <v>0</v>
      </c>
      <c r="Z796">
        <f>IF(OR(M796="Posse"),1,0)</f>
        <v>0</v>
      </c>
      <c r="AA796">
        <f>IF(ISNUMBER(INDEX(AllCollegeGR, MATCH(N796,AllCollegeNCES,0))),ROUND(INDEX(AllCollegeGR, MATCH(N796,AllCollegeNCES,0))+Z796*IF(INDEX(AllCollegeGR, MATCH(N796,AllCollegeNCES,0))&gt;0.7,(1-INDEX(AllCollegeGR, MATCH(N796,AllCollegeNCES,0)))/2,0.15),2),INDEX(AllCollegeGR, MATCH(N796,AllCollegeNCES,0)))</f>
        <v>0</v>
      </c>
      <c r="AB796">
        <f>IF(ISNUMBER(INDEX(AllCollegeAAHGR, MATCH(N796,AllCollegeNCES,0))),ROUND(INDEX(AllCollegeAAHGR, MATCH(N796,AllCollegeNCES,0))+Z796*IF(INDEX(AllCollegeAAHGR, MATCH(N796,AllCollegeNCES,0))&gt;0.7,(1-INDEX(AllCollegeAAHGR, MATCH(N796,AllCollegeNCES,0)))/2,0.15),2),INDEX(AllCollegeAAHGR, MATCH(N796,AllCollegeNCES,0)))</f>
        <v>0</v>
      </c>
      <c r="AC796">
        <f>IF(OR(W796="H",W796="B"),INDEX(AllCollegeSAT25, MATCH(N796,AllCollegeNCES,0)),INDEX(AllCollegeSAT50, MATCH(N796,AllCollegeNCES,0)))</f>
        <v>0</v>
      </c>
      <c r="AD796">
        <f>INDEX(CustomWeightsGPA,MATCH(W796&amp;":"&amp;N796,CustomWeightsIndex,0))</f>
        <v>0</v>
      </c>
      <c r="AE796">
        <f>INDEX(CustomWeightsSAT,MATCH(W796&amp;":"&amp;N796,CustomWeightsIndex,0))</f>
        <v>0</v>
      </c>
      <c r="AF796">
        <f>INDEX(CustomWeightsIntercept,MATCH(W796&amp;":"&amp;N796,CustomWeightsIndex,0))</f>
        <v>0</v>
      </c>
      <c r="AG796">
        <f>AD796*S796+AE796*T796+AF796</f>
        <v>0</v>
      </c>
      <c r="AH796">
        <f>INDEX(CoefficientsGPA,MATCH(W796&amp;":"&amp;R796,CoefficientsIndex,0))</f>
        <v>0</v>
      </c>
      <c r="AI796">
        <f>INDEX(CoefficientsSAT,MATCH(W796&amp;":"&amp;R796,CoefficientsIndex,0))</f>
        <v>0</v>
      </c>
      <c r="AJ796">
        <f>INDEX(CoefficientsIntercept,MATCH(W796&amp;":"&amp;R796,CoefficientsIndex,0))</f>
        <v>0</v>
      </c>
      <c r="AK796">
        <f>AH796*S796+(T796-AC796)*AI796+AJ796</f>
        <v>0</v>
      </c>
      <c r="AL796">
        <f>IF(ISNUMBER(AG796),AG796,AK796)</f>
        <v>0</v>
      </c>
      <c r="AM796">
        <f>IF(ISNUMBER(AL796),IF(ISNUMBER(AH796),IF(AND(AH796=1,AI796=1,AJ796=1),100,MIN(99,ROUND(100*EXP(AL796)/(1+EXP(AL796)),2))),MIN(99,ROUND(100*EXP(AL796)/(1+EXP(AL796)),2))),IF(ISTEXT(R796),IF(LEFT(R796,1)="2",100,"N/A"),"N/A"))</f>
        <v>0</v>
      </c>
      <c r="AN796">
        <f>IF(ISNUMBER(AM796),IF(AM796&gt;=99,IF(OR(U796=10,U796=11),MatchLabel,SureThingLabel),IF(AM796&gt;=95,SecureLabel,IF(AM796&gt;=80,SafetyLabel,IF(AM796&gt;=50,MatchLabel,IF(AM796&gt;=20,ReachLabel,IF(AM796&gt;=10,LongshotLabel,HailMaryLabel)))))),"Other")</f>
        <v>0</v>
      </c>
      <c r="AO796">
        <f>IF(OR(I796="accepted",I796="cond. accept",I796="summer admit"),IF(J796="yes","CHOICE!","Accepted!"),IF(I796="guar. transfer","Guar. Xfer",IF(I796="denied","Denied",IF(K796=1,"Waitlist",IF(L796=1,"Deferred",IF(G796="pending","Pending",IF(OR(G796="initial materials submitted",G796="mid-year submitted",G796="final submitted"),"Submitted",IF(H796="interest","Interest","?"))))))))</f>
        <v>0</v>
      </c>
      <c r="AP796">
        <f>IF(OR(AN796=ReachLabel,AN796=LongshotLabel,AN796=HailMaryLabel),1,0)</f>
        <v>0</v>
      </c>
      <c r="AQ796">
        <f>IF(OR(AP796=1,AN796=MatchLabel),1,0)</f>
        <v>0</v>
      </c>
      <c r="AR796">
        <f>IF(OR(AN796=MatchLabel,AN796=SafetyLabel,AN796=SecureLabel,AN796=SureThingLabel),1,0)</f>
        <v>0</v>
      </c>
      <c r="AS796">
        <f>IF(OR(W796="H",W796="B",W796="I",W796="M"),IF(ISNUMBER(AB796),ROUND(AB796,2),0),IF(ISNUMBER(AA796),ROUND(AA796,2),0))</f>
        <v>0</v>
      </c>
      <c r="AT796">
        <f>IF(AS796&gt;=X796,1,0)</f>
        <v>0</v>
      </c>
      <c r="AU796">
        <f>IF(AS796&gt;=Y796,1,0)</f>
        <v>0</v>
      </c>
      <c r="AV796">
        <f>IF(AS796&lt;(X796-0.10),1,0)</f>
        <v>0</v>
      </c>
      <c r="AW796">
        <f>1-AM796/100</f>
        <v>0</v>
      </c>
      <c r="AX796">
        <f>IF(AQ796=1,AW796,1)</f>
        <v>0</v>
      </c>
      <c r="AY796">
        <f>IF(AP796=1,AW796,1)</f>
        <v>0</v>
      </c>
      <c r="AZ796">
        <f>IF(AND(AT796=1,ISNUMBER(AW796)),$AW796,1)</f>
        <v>0</v>
      </c>
      <c r="BA796">
        <f>IF(AND(AU796=1,ISNUMBER(AW796)),$AW796,1)</f>
        <v>0</v>
      </c>
      <c r="BB796">
        <f>IF(ISNUMBER(AB796),INDEX(AllCollegeMoney, MATCH(N796,AllCollegeNCES,0)),0)</f>
        <v>0</v>
      </c>
      <c r="BC796">
        <f>IF(AND(AT796=1,ISNUMBER(AW796),BB796=1),$AW796,1)</f>
        <v>0</v>
      </c>
      <c r="BD796">
        <f>IF(AND(AU796=1,ISNUMBER(AW796),BB796=1),$AW796,1)</f>
        <v>0</v>
      </c>
      <c r="BE796">
        <f>IF(ISNUMBER(AB796),INDEX(AllCollegeILPub, MATCH(N796,AllCollegeNCES,0)),0)</f>
        <v>0</v>
      </c>
      <c r="BF796">
        <f>IF(AN796=ReachLabel,AS796,0)</f>
        <v>0</v>
      </c>
      <c r="BG796">
        <f>IF(AN796=MatchLabel,AS796,0)</f>
        <v>0</v>
      </c>
      <c r="BH796">
        <f>IF(AN796=SafetyLabel,AS796,0)</f>
        <v>0</v>
      </c>
      <c r="BI796">
        <f>IF(AN796=SecureLabel,AS796,0)</f>
        <v>0</v>
      </c>
      <c r="BJ796">
        <f>IF(AN796=SureThingLabel,AS796,0)</f>
        <v>0</v>
      </c>
      <c r="BK796">
        <f>MAX(BF796:BJ796)</f>
        <v>0</v>
      </c>
      <c r="BL796">
        <f>MAX(BG796:BJ796)</f>
        <v>0</v>
      </c>
      <c r="BM796">
        <f>MAX(BH796:BJ796)</f>
        <v>0</v>
      </c>
      <c r="BN796">
        <f>IF(AND(AN796=ReachLabel,BB796=1),AS796,0)</f>
        <v>0</v>
      </c>
      <c r="BO796">
        <f>IF(AND(AN796=MatchLabel,BB796=1),AS796,0)</f>
        <v>0</v>
      </c>
      <c r="BP796">
        <f>IF(AND(AN796=SafetyLabel,BB796=1),AS796,0)</f>
        <v>0</v>
      </c>
      <c r="BQ796">
        <f>IF(AND(AN796=SecureLabel,BB796=1),AS796,0)</f>
        <v>0</v>
      </c>
      <c r="BR796">
        <f>IF(AND(AN796=SureThingLabel,BB796=1),AS796,0)</f>
        <v>0</v>
      </c>
      <c r="BS796">
        <f>MAX(BN796:BR796)</f>
        <v>0</v>
      </c>
      <c r="BT796">
        <f>MAX(BO796:BR796)</f>
        <v>0</v>
      </c>
      <c r="BU796">
        <f>MAX(BP796:BR796)</f>
        <v>0</v>
      </c>
      <c r="BV796">
        <f>IF(ISNUMBER(AB796),INDEX(AllCollegeChicago, MATCH(N796,AllCollegeNCES,0))*BB796,0)</f>
        <v>0</v>
      </c>
      <c r="BW796">
        <f>IF(ISNUMBER(AB796),INDEX(AllCollegeMoneyCode, MATCH(N796,AllCollegeNCES,0)),"?")</f>
        <v>0</v>
      </c>
      <c r="BX796">
        <f>IF(OR(BW796="---",BW796="--",BW796="+/--",BW796="+/---"),1,0)</f>
        <v>0</v>
      </c>
      <c r="BY796">
        <f>BB796*AR796*AT796</f>
        <v>0</v>
      </c>
    </row>
    <row r="797" spans="1:77">
      <c r="A797" t="s">
        <v>96</v>
      </c>
      <c r="B797">
        <v>30490744</v>
      </c>
      <c r="C797" t="s">
        <v>218</v>
      </c>
      <c r="D797" t="s">
        <v>219</v>
      </c>
      <c r="E797" t="s">
        <v>446</v>
      </c>
      <c r="F797" t="s">
        <v>617</v>
      </c>
      <c r="G797" t="s">
        <v>479</v>
      </c>
      <c r="H797" t="s">
        <v>449</v>
      </c>
      <c r="I797" t="s">
        <v>450</v>
      </c>
      <c r="J797" t="s">
        <v>450</v>
      </c>
      <c r="K797">
        <v>0</v>
      </c>
      <c r="L797" t="s">
        <v>446</v>
      </c>
      <c r="M797" t="s">
        <v>446</v>
      </c>
      <c r="N797">
        <v>150163</v>
      </c>
      <c r="O797">
        <f>INDEX(Counselor,MATCH(B797,KidIDs,0))</f>
        <v>0</v>
      </c>
      <c r="P797">
        <f>INDEX(Advisors,MATCH(B797,KidIDs,0))</f>
        <v>0</v>
      </c>
      <c r="Q797">
        <f>INDEX(Cohort,MATCH(B797,KidIDs,0))</f>
        <v>0</v>
      </c>
      <c r="R797">
        <f>INDEX(AllCollegeBarrons,MATCH(N797,AllCollegeNCES,0))</f>
        <v>0</v>
      </c>
      <c r="S797">
        <f>INDEX(KidGPAs,MATCH(B797,KidIDs,0))</f>
        <v>0</v>
      </c>
      <c r="T797">
        <f>INDEX(KidSATs,MATCH(B797,KidIDs,0))</f>
        <v>0</v>
      </c>
      <c r="U797">
        <f>INDEX(Strats,MATCH(B797,KidIDs,0))</f>
        <v>0</v>
      </c>
      <c r="V797">
        <f>INDEX(KidRace,MATCH(B797,KidIDs,0))</f>
        <v>0</v>
      </c>
      <c r="W797">
        <f>IF(OR(V797="M",V797="I"),"H",IF(V797="P","A",V797))</f>
        <v>0</v>
      </c>
      <c r="X797">
        <f>INDEX(StudentTargets,MATCH(B797,KidIDs,0))</f>
        <v>0</v>
      </c>
      <c r="Y797">
        <f>INDEX(ReachStudentTargets,MATCH(B797,KidIDs,0))</f>
        <v>0</v>
      </c>
      <c r="Z797">
        <f>IF(OR(M797="Posse"),1,0)</f>
        <v>0</v>
      </c>
      <c r="AA797">
        <f>IF(ISNUMBER(INDEX(AllCollegeGR, MATCH(N797,AllCollegeNCES,0))),ROUND(INDEX(AllCollegeGR, MATCH(N797,AllCollegeNCES,0))+Z797*IF(INDEX(AllCollegeGR, MATCH(N797,AllCollegeNCES,0))&gt;0.7,(1-INDEX(AllCollegeGR, MATCH(N797,AllCollegeNCES,0)))/2,0.15),2),INDEX(AllCollegeGR, MATCH(N797,AllCollegeNCES,0)))</f>
        <v>0</v>
      </c>
      <c r="AB797">
        <f>IF(ISNUMBER(INDEX(AllCollegeAAHGR, MATCH(N797,AllCollegeNCES,0))),ROUND(INDEX(AllCollegeAAHGR, MATCH(N797,AllCollegeNCES,0))+Z797*IF(INDEX(AllCollegeAAHGR, MATCH(N797,AllCollegeNCES,0))&gt;0.7,(1-INDEX(AllCollegeAAHGR, MATCH(N797,AllCollegeNCES,0)))/2,0.15),2),INDEX(AllCollegeAAHGR, MATCH(N797,AllCollegeNCES,0)))</f>
        <v>0</v>
      </c>
      <c r="AC797">
        <f>IF(OR(W797="H",W797="B"),INDEX(AllCollegeSAT25, MATCH(N797,AllCollegeNCES,0)),INDEX(AllCollegeSAT50, MATCH(N797,AllCollegeNCES,0)))</f>
        <v>0</v>
      </c>
      <c r="AD797">
        <f>INDEX(CustomWeightsGPA,MATCH(W797&amp;":"&amp;N797,CustomWeightsIndex,0))</f>
        <v>0</v>
      </c>
      <c r="AE797">
        <f>INDEX(CustomWeightsSAT,MATCH(W797&amp;":"&amp;N797,CustomWeightsIndex,0))</f>
        <v>0</v>
      </c>
      <c r="AF797">
        <f>INDEX(CustomWeightsIntercept,MATCH(W797&amp;":"&amp;N797,CustomWeightsIndex,0))</f>
        <v>0</v>
      </c>
      <c r="AG797">
        <f>AD797*S797+AE797*T797+AF797</f>
        <v>0</v>
      </c>
      <c r="AH797">
        <f>INDEX(CoefficientsGPA,MATCH(W797&amp;":"&amp;R797,CoefficientsIndex,0))</f>
        <v>0</v>
      </c>
      <c r="AI797">
        <f>INDEX(CoefficientsSAT,MATCH(W797&amp;":"&amp;R797,CoefficientsIndex,0))</f>
        <v>0</v>
      </c>
      <c r="AJ797">
        <f>INDEX(CoefficientsIntercept,MATCH(W797&amp;":"&amp;R797,CoefficientsIndex,0))</f>
        <v>0</v>
      </c>
      <c r="AK797">
        <f>AH797*S797+(T797-AC797)*AI797+AJ797</f>
        <v>0</v>
      </c>
      <c r="AL797">
        <f>IF(ISNUMBER(AG797),AG797,AK797)</f>
        <v>0</v>
      </c>
      <c r="AM797">
        <f>IF(ISNUMBER(AL797),IF(ISNUMBER(AH797),IF(AND(AH797=1,AI797=1,AJ797=1),100,MIN(99,ROUND(100*EXP(AL797)/(1+EXP(AL797)),2))),MIN(99,ROUND(100*EXP(AL797)/(1+EXP(AL797)),2))),IF(ISTEXT(R797),IF(LEFT(R797,1)="2",100,"N/A"),"N/A"))</f>
        <v>0</v>
      </c>
      <c r="AN797">
        <f>IF(ISNUMBER(AM797),IF(AM797&gt;=99,IF(OR(U797=10,U797=11),MatchLabel,SureThingLabel),IF(AM797&gt;=95,SecureLabel,IF(AM797&gt;=80,SafetyLabel,IF(AM797&gt;=50,MatchLabel,IF(AM797&gt;=20,ReachLabel,IF(AM797&gt;=10,LongshotLabel,HailMaryLabel)))))),"Other")</f>
        <v>0</v>
      </c>
      <c r="AO797">
        <f>IF(OR(I797="accepted",I797="cond. accept",I797="summer admit"),IF(J797="yes","CHOICE!","Accepted!"),IF(I797="guar. transfer","Guar. Xfer",IF(I797="denied","Denied",IF(K797=1,"Waitlist",IF(L797=1,"Deferred",IF(G797="pending","Pending",IF(OR(G797="initial materials submitted",G797="mid-year submitted",G797="final submitted"),"Submitted",IF(H797="interest","Interest","?"))))))))</f>
        <v>0</v>
      </c>
      <c r="AP797">
        <f>IF(OR(AN797=ReachLabel,AN797=LongshotLabel,AN797=HailMaryLabel),1,0)</f>
        <v>0</v>
      </c>
      <c r="AQ797">
        <f>IF(OR(AP797=1,AN797=MatchLabel),1,0)</f>
        <v>0</v>
      </c>
      <c r="AR797">
        <f>IF(OR(AN797=MatchLabel,AN797=SafetyLabel,AN797=SecureLabel,AN797=SureThingLabel),1,0)</f>
        <v>0</v>
      </c>
      <c r="AS797">
        <f>IF(OR(W797="H",W797="B",W797="I",W797="M"),IF(ISNUMBER(AB797),ROUND(AB797,2),0),IF(ISNUMBER(AA797),ROUND(AA797,2),0))</f>
        <v>0</v>
      </c>
      <c r="AT797">
        <f>IF(AS797&gt;=X797,1,0)</f>
        <v>0</v>
      </c>
      <c r="AU797">
        <f>IF(AS797&gt;=Y797,1,0)</f>
        <v>0</v>
      </c>
      <c r="AV797">
        <f>IF(AS797&lt;(X797-0.10),1,0)</f>
        <v>0</v>
      </c>
      <c r="AW797">
        <f>1-AM797/100</f>
        <v>0</v>
      </c>
      <c r="AX797">
        <f>IF(AQ797=1,AW797,1)</f>
        <v>0</v>
      </c>
      <c r="AY797">
        <f>IF(AP797=1,AW797,1)</f>
        <v>0</v>
      </c>
      <c r="AZ797">
        <f>IF(AND(AT797=1,ISNUMBER(AW797)),$AW797,1)</f>
        <v>0</v>
      </c>
      <c r="BA797">
        <f>IF(AND(AU797=1,ISNUMBER(AW797)),$AW797,1)</f>
        <v>0</v>
      </c>
      <c r="BB797">
        <f>IF(ISNUMBER(AB797),INDEX(AllCollegeMoney, MATCH(N797,AllCollegeNCES,0)),0)</f>
        <v>0</v>
      </c>
      <c r="BC797">
        <f>IF(AND(AT797=1,ISNUMBER(AW797),BB797=1),$AW797,1)</f>
        <v>0</v>
      </c>
      <c r="BD797">
        <f>IF(AND(AU797=1,ISNUMBER(AW797),BB797=1),$AW797,1)</f>
        <v>0</v>
      </c>
      <c r="BE797">
        <f>IF(ISNUMBER(AB797),INDEX(AllCollegeILPub, MATCH(N797,AllCollegeNCES,0)),0)</f>
        <v>0</v>
      </c>
      <c r="BF797">
        <f>IF(AN797=ReachLabel,AS797,0)</f>
        <v>0</v>
      </c>
      <c r="BG797">
        <f>IF(AN797=MatchLabel,AS797,0)</f>
        <v>0</v>
      </c>
      <c r="BH797">
        <f>IF(AN797=SafetyLabel,AS797,0)</f>
        <v>0</v>
      </c>
      <c r="BI797">
        <f>IF(AN797=SecureLabel,AS797,0)</f>
        <v>0</v>
      </c>
      <c r="BJ797">
        <f>IF(AN797=SureThingLabel,AS797,0)</f>
        <v>0</v>
      </c>
      <c r="BK797">
        <f>MAX(BF797:BJ797)</f>
        <v>0</v>
      </c>
      <c r="BL797">
        <f>MAX(BG797:BJ797)</f>
        <v>0</v>
      </c>
      <c r="BM797">
        <f>MAX(BH797:BJ797)</f>
        <v>0</v>
      </c>
      <c r="BN797">
        <f>IF(AND(AN797=ReachLabel,BB797=1),AS797,0)</f>
        <v>0</v>
      </c>
      <c r="BO797">
        <f>IF(AND(AN797=MatchLabel,BB797=1),AS797,0)</f>
        <v>0</v>
      </c>
      <c r="BP797">
        <f>IF(AND(AN797=SafetyLabel,BB797=1),AS797,0)</f>
        <v>0</v>
      </c>
      <c r="BQ797">
        <f>IF(AND(AN797=SecureLabel,BB797=1),AS797,0)</f>
        <v>0</v>
      </c>
      <c r="BR797">
        <f>IF(AND(AN797=SureThingLabel,BB797=1),AS797,0)</f>
        <v>0</v>
      </c>
      <c r="BS797">
        <f>MAX(BN797:BR797)</f>
        <v>0</v>
      </c>
      <c r="BT797">
        <f>MAX(BO797:BR797)</f>
        <v>0</v>
      </c>
      <c r="BU797">
        <f>MAX(BP797:BR797)</f>
        <v>0</v>
      </c>
      <c r="BV797">
        <f>IF(ISNUMBER(AB797),INDEX(AllCollegeChicago, MATCH(N797,AllCollegeNCES,0))*BB797,0)</f>
        <v>0</v>
      </c>
      <c r="BW797">
        <f>IF(ISNUMBER(AB797),INDEX(AllCollegeMoneyCode, MATCH(N797,AllCollegeNCES,0)),"?")</f>
        <v>0</v>
      </c>
      <c r="BX797">
        <f>IF(OR(BW797="---",BW797="--",BW797="+/--",BW797="+/---"),1,0)</f>
        <v>0</v>
      </c>
      <c r="BY797">
        <f>BB797*AR797*AT797</f>
        <v>0</v>
      </c>
    </row>
    <row r="798" spans="1:77">
      <c r="A798" t="s">
        <v>96</v>
      </c>
      <c r="B798">
        <v>30490744</v>
      </c>
      <c r="C798" t="s">
        <v>218</v>
      </c>
      <c r="D798" t="s">
        <v>219</v>
      </c>
      <c r="E798" t="s">
        <v>446</v>
      </c>
      <c r="F798" t="s">
        <v>473</v>
      </c>
      <c r="G798" t="s">
        <v>479</v>
      </c>
      <c r="H798" t="s">
        <v>449</v>
      </c>
      <c r="I798" t="s">
        <v>450</v>
      </c>
      <c r="J798" t="s">
        <v>450</v>
      </c>
      <c r="K798">
        <v>0</v>
      </c>
      <c r="L798" t="s">
        <v>446</v>
      </c>
      <c r="M798" t="s">
        <v>446</v>
      </c>
      <c r="N798">
        <v>221519</v>
      </c>
      <c r="O798">
        <f>INDEX(Counselor,MATCH(B798,KidIDs,0))</f>
        <v>0</v>
      </c>
      <c r="P798">
        <f>INDEX(Advisors,MATCH(B798,KidIDs,0))</f>
        <v>0</v>
      </c>
      <c r="Q798">
        <f>INDEX(Cohort,MATCH(B798,KidIDs,0))</f>
        <v>0</v>
      </c>
      <c r="R798">
        <f>INDEX(AllCollegeBarrons,MATCH(N798,AllCollegeNCES,0))</f>
        <v>0</v>
      </c>
      <c r="S798">
        <f>INDEX(KidGPAs,MATCH(B798,KidIDs,0))</f>
        <v>0</v>
      </c>
      <c r="T798">
        <f>INDEX(KidSATs,MATCH(B798,KidIDs,0))</f>
        <v>0</v>
      </c>
      <c r="U798">
        <f>INDEX(Strats,MATCH(B798,KidIDs,0))</f>
        <v>0</v>
      </c>
      <c r="V798">
        <f>INDEX(KidRace,MATCH(B798,KidIDs,0))</f>
        <v>0</v>
      </c>
      <c r="W798">
        <f>IF(OR(V798="M",V798="I"),"H",IF(V798="P","A",V798))</f>
        <v>0</v>
      </c>
      <c r="X798">
        <f>INDEX(StudentTargets,MATCH(B798,KidIDs,0))</f>
        <v>0</v>
      </c>
      <c r="Y798">
        <f>INDEX(ReachStudentTargets,MATCH(B798,KidIDs,0))</f>
        <v>0</v>
      </c>
      <c r="Z798">
        <f>IF(OR(M798="Posse"),1,0)</f>
        <v>0</v>
      </c>
      <c r="AA798">
        <f>IF(ISNUMBER(INDEX(AllCollegeGR, MATCH(N798,AllCollegeNCES,0))),ROUND(INDEX(AllCollegeGR, MATCH(N798,AllCollegeNCES,0))+Z798*IF(INDEX(AllCollegeGR, MATCH(N798,AllCollegeNCES,0))&gt;0.7,(1-INDEX(AllCollegeGR, MATCH(N798,AllCollegeNCES,0)))/2,0.15),2),INDEX(AllCollegeGR, MATCH(N798,AllCollegeNCES,0)))</f>
        <v>0</v>
      </c>
      <c r="AB798">
        <f>IF(ISNUMBER(INDEX(AllCollegeAAHGR, MATCH(N798,AllCollegeNCES,0))),ROUND(INDEX(AllCollegeAAHGR, MATCH(N798,AllCollegeNCES,0))+Z798*IF(INDEX(AllCollegeAAHGR, MATCH(N798,AllCollegeNCES,0))&gt;0.7,(1-INDEX(AllCollegeAAHGR, MATCH(N798,AllCollegeNCES,0)))/2,0.15),2),INDEX(AllCollegeAAHGR, MATCH(N798,AllCollegeNCES,0)))</f>
        <v>0</v>
      </c>
      <c r="AC798">
        <f>IF(OR(W798="H",W798="B"),INDEX(AllCollegeSAT25, MATCH(N798,AllCollegeNCES,0)),INDEX(AllCollegeSAT50, MATCH(N798,AllCollegeNCES,0)))</f>
        <v>0</v>
      </c>
      <c r="AD798">
        <f>INDEX(CustomWeightsGPA,MATCH(W798&amp;":"&amp;N798,CustomWeightsIndex,0))</f>
        <v>0</v>
      </c>
      <c r="AE798">
        <f>INDEX(CustomWeightsSAT,MATCH(W798&amp;":"&amp;N798,CustomWeightsIndex,0))</f>
        <v>0</v>
      </c>
      <c r="AF798">
        <f>INDEX(CustomWeightsIntercept,MATCH(W798&amp;":"&amp;N798,CustomWeightsIndex,0))</f>
        <v>0</v>
      </c>
      <c r="AG798">
        <f>AD798*S798+AE798*T798+AF798</f>
        <v>0</v>
      </c>
      <c r="AH798">
        <f>INDEX(CoefficientsGPA,MATCH(W798&amp;":"&amp;R798,CoefficientsIndex,0))</f>
        <v>0</v>
      </c>
      <c r="AI798">
        <f>INDEX(CoefficientsSAT,MATCH(W798&amp;":"&amp;R798,CoefficientsIndex,0))</f>
        <v>0</v>
      </c>
      <c r="AJ798">
        <f>INDEX(CoefficientsIntercept,MATCH(W798&amp;":"&amp;R798,CoefficientsIndex,0))</f>
        <v>0</v>
      </c>
      <c r="AK798">
        <f>AH798*S798+(T798-AC798)*AI798+AJ798</f>
        <v>0</v>
      </c>
      <c r="AL798">
        <f>IF(ISNUMBER(AG798),AG798,AK798)</f>
        <v>0</v>
      </c>
      <c r="AM798">
        <f>IF(ISNUMBER(AL798),IF(ISNUMBER(AH798),IF(AND(AH798=1,AI798=1,AJ798=1),100,MIN(99,ROUND(100*EXP(AL798)/(1+EXP(AL798)),2))),MIN(99,ROUND(100*EXP(AL798)/(1+EXP(AL798)),2))),IF(ISTEXT(R798),IF(LEFT(R798,1)="2",100,"N/A"),"N/A"))</f>
        <v>0</v>
      </c>
      <c r="AN798">
        <f>IF(ISNUMBER(AM798),IF(AM798&gt;=99,IF(OR(U798=10,U798=11),MatchLabel,SureThingLabel),IF(AM798&gt;=95,SecureLabel,IF(AM798&gt;=80,SafetyLabel,IF(AM798&gt;=50,MatchLabel,IF(AM798&gt;=20,ReachLabel,IF(AM798&gt;=10,LongshotLabel,HailMaryLabel)))))),"Other")</f>
        <v>0</v>
      </c>
      <c r="AO798">
        <f>IF(OR(I798="accepted",I798="cond. accept",I798="summer admit"),IF(J798="yes","CHOICE!","Accepted!"),IF(I798="guar. transfer","Guar. Xfer",IF(I798="denied","Denied",IF(K798=1,"Waitlist",IF(L798=1,"Deferred",IF(G798="pending","Pending",IF(OR(G798="initial materials submitted",G798="mid-year submitted",G798="final submitted"),"Submitted",IF(H798="interest","Interest","?"))))))))</f>
        <v>0</v>
      </c>
      <c r="AP798">
        <f>IF(OR(AN798=ReachLabel,AN798=LongshotLabel,AN798=HailMaryLabel),1,0)</f>
        <v>0</v>
      </c>
      <c r="AQ798">
        <f>IF(OR(AP798=1,AN798=MatchLabel),1,0)</f>
        <v>0</v>
      </c>
      <c r="AR798">
        <f>IF(OR(AN798=MatchLabel,AN798=SafetyLabel,AN798=SecureLabel,AN798=SureThingLabel),1,0)</f>
        <v>0</v>
      </c>
      <c r="AS798">
        <f>IF(OR(W798="H",W798="B",W798="I",W798="M"),IF(ISNUMBER(AB798),ROUND(AB798,2),0),IF(ISNUMBER(AA798),ROUND(AA798,2),0))</f>
        <v>0</v>
      </c>
      <c r="AT798">
        <f>IF(AS798&gt;=X798,1,0)</f>
        <v>0</v>
      </c>
      <c r="AU798">
        <f>IF(AS798&gt;=Y798,1,0)</f>
        <v>0</v>
      </c>
      <c r="AV798">
        <f>IF(AS798&lt;(X798-0.10),1,0)</f>
        <v>0</v>
      </c>
      <c r="AW798">
        <f>1-AM798/100</f>
        <v>0</v>
      </c>
      <c r="AX798">
        <f>IF(AQ798=1,AW798,1)</f>
        <v>0</v>
      </c>
      <c r="AY798">
        <f>IF(AP798=1,AW798,1)</f>
        <v>0</v>
      </c>
      <c r="AZ798">
        <f>IF(AND(AT798=1,ISNUMBER(AW798)),$AW798,1)</f>
        <v>0</v>
      </c>
      <c r="BA798">
        <f>IF(AND(AU798=1,ISNUMBER(AW798)),$AW798,1)</f>
        <v>0</v>
      </c>
      <c r="BB798">
        <f>IF(ISNUMBER(AB798),INDEX(AllCollegeMoney, MATCH(N798,AllCollegeNCES,0)),0)</f>
        <v>0</v>
      </c>
      <c r="BC798">
        <f>IF(AND(AT798=1,ISNUMBER(AW798),BB798=1),$AW798,1)</f>
        <v>0</v>
      </c>
      <c r="BD798">
        <f>IF(AND(AU798=1,ISNUMBER(AW798),BB798=1),$AW798,1)</f>
        <v>0</v>
      </c>
      <c r="BE798">
        <f>IF(ISNUMBER(AB798),INDEX(AllCollegeILPub, MATCH(N798,AllCollegeNCES,0)),0)</f>
        <v>0</v>
      </c>
      <c r="BF798">
        <f>IF(AN798=ReachLabel,AS798,0)</f>
        <v>0</v>
      </c>
      <c r="BG798">
        <f>IF(AN798=MatchLabel,AS798,0)</f>
        <v>0</v>
      </c>
      <c r="BH798">
        <f>IF(AN798=SafetyLabel,AS798,0)</f>
        <v>0</v>
      </c>
      <c r="BI798">
        <f>IF(AN798=SecureLabel,AS798,0)</f>
        <v>0</v>
      </c>
      <c r="BJ798">
        <f>IF(AN798=SureThingLabel,AS798,0)</f>
        <v>0</v>
      </c>
      <c r="BK798">
        <f>MAX(BF798:BJ798)</f>
        <v>0</v>
      </c>
      <c r="BL798">
        <f>MAX(BG798:BJ798)</f>
        <v>0</v>
      </c>
      <c r="BM798">
        <f>MAX(BH798:BJ798)</f>
        <v>0</v>
      </c>
      <c r="BN798">
        <f>IF(AND(AN798=ReachLabel,BB798=1),AS798,0)</f>
        <v>0</v>
      </c>
      <c r="BO798">
        <f>IF(AND(AN798=MatchLabel,BB798=1),AS798,0)</f>
        <v>0</v>
      </c>
      <c r="BP798">
        <f>IF(AND(AN798=SafetyLabel,BB798=1),AS798,0)</f>
        <v>0</v>
      </c>
      <c r="BQ798">
        <f>IF(AND(AN798=SecureLabel,BB798=1),AS798,0)</f>
        <v>0</v>
      </c>
      <c r="BR798">
        <f>IF(AND(AN798=SureThingLabel,BB798=1),AS798,0)</f>
        <v>0</v>
      </c>
      <c r="BS798">
        <f>MAX(BN798:BR798)</f>
        <v>0</v>
      </c>
      <c r="BT798">
        <f>MAX(BO798:BR798)</f>
        <v>0</v>
      </c>
      <c r="BU798">
        <f>MAX(BP798:BR798)</f>
        <v>0</v>
      </c>
      <c r="BV798">
        <f>IF(ISNUMBER(AB798),INDEX(AllCollegeChicago, MATCH(N798,AllCollegeNCES,0))*BB798,0)</f>
        <v>0</v>
      </c>
      <c r="BW798">
        <f>IF(ISNUMBER(AB798),INDEX(AllCollegeMoneyCode, MATCH(N798,AllCollegeNCES,0)),"?")</f>
        <v>0</v>
      </c>
      <c r="BX798">
        <f>IF(OR(BW798="---",BW798="--",BW798="+/--",BW798="+/---"),1,0)</f>
        <v>0</v>
      </c>
      <c r="BY798">
        <f>BB798*AR798*AT798</f>
        <v>0</v>
      </c>
    </row>
    <row r="799" spans="1:77">
      <c r="A799" t="s">
        <v>96</v>
      </c>
      <c r="B799">
        <v>30490744</v>
      </c>
      <c r="C799" t="s">
        <v>218</v>
      </c>
      <c r="D799" t="s">
        <v>219</v>
      </c>
      <c r="E799" t="s">
        <v>446</v>
      </c>
      <c r="F799" t="s">
        <v>475</v>
      </c>
      <c r="G799" t="s">
        <v>479</v>
      </c>
      <c r="H799" t="s">
        <v>449</v>
      </c>
      <c r="I799" t="s">
        <v>450</v>
      </c>
      <c r="J799" t="s">
        <v>450</v>
      </c>
      <c r="K799">
        <v>0</v>
      </c>
      <c r="L799" t="s">
        <v>446</v>
      </c>
      <c r="M799" t="s">
        <v>446</v>
      </c>
      <c r="N799">
        <v>145637</v>
      </c>
      <c r="O799">
        <f>INDEX(Counselor,MATCH(B799,KidIDs,0))</f>
        <v>0</v>
      </c>
      <c r="P799">
        <f>INDEX(Advisors,MATCH(B799,KidIDs,0))</f>
        <v>0</v>
      </c>
      <c r="Q799">
        <f>INDEX(Cohort,MATCH(B799,KidIDs,0))</f>
        <v>0</v>
      </c>
      <c r="R799">
        <f>INDEX(AllCollegeBarrons,MATCH(N799,AllCollegeNCES,0))</f>
        <v>0</v>
      </c>
      <c r="S799">
        <f>INDEX(KidGPAs,MATCH(B799,KidIDs,0))</f>
        <v>0</v>
      </c>
      <c r="T799">
        <f>INDEX(KidSATs,MATCH(B799,KidIDs,0))</f>
        <v>0</v>
      </c>
      <c r="U799">
        <f>INDEX(Strats,MATCH(B799,KidIDs,0))</f>
        <v>0</v>
      </c>
      <c r="V799">
        <f>INDEX(KidRace,MATCH(B799,KidIDs,0))</f>
        <v>0</v>
      </c>
      <c r="W799">
        <f>IF(OR(V799="M",V799="I"),"H",IF(V799="P","A",V799))</f>
        <v>0</v>
      </c>
      <c r="X799">
        <f>INDEX(StudentTargets,MATCH(B799,KidIDs,0))</f>
        <v>0</v>
      </c>
      <c r="Y799">
        <f>INDEX(ReachStudentTargets,MATCH(B799,KidIDs,0))</f>
        <v>0</v>
      </c>
      <c r="Z799">
        <f>IF(OR(M799="Posse"),1,0)</f>
        <v>0</v>
      </c>
      <c r="AA799">
        <f>IF(ISNUMBER(INDEX(AllCollegeGR, MATCH(N799,AllCollegeNCES,0))),ROUND(INDEX(AllCollegeGR, MATCH(N799,AllCollegeNCES,0))+Z799*IF(INDEX(AllCollegeGR, MATCH(N799,AllCollegeNCES,0))&gt;0.7,(1-INDEX(AllCollegeGR, MATCH(N799,AllCollegeNCES,0)))/2,0.15),2),INDEX(AllCollegeGR, MATCH(N799,AllCollegeNCES,0)))</f>
        <v>0</v>
      </c>
      <c r="AB799">
        <f>IF(ISNUMBER(INDEX(AllCollegeAAHGR, MATCH(N799,AllCollegeNCES,0))),ROUND(INDEX(AllCollegeAAHGR, MATCH(N799,AllCollegeNCES,0))+Z799*IF(INDEX(AllCollegeAAHGR, MATCH(N799,AllCollegeNCES,0))&gt;0.7,(1-INDEX(AllCollegeAAHGR, MATCH(N799,AllCollegeNCES,0)))/2,0.15),2),INDEX(AllCollegeAAHGR, MATCH(N799,AllCollegeNCES,0)))</f>
        <v>0</v>
      </c>
      <c r="AC799">
        <f>IF(OR(W799="H",W799="B"),INDEX(AllCollegeSAT25, MATCH(N799,AllCollegeNCES,0)),INDEX(AllCollegeSAT50, MATCH(N799,AllCollegeNCES,0)))</f>
        <v>0</v>
      </c>
      <c r="AD799">
        <f>INDEX(CustomWeightsGPA,MATCH(W799&amp;":"&amp;N799,CustomWeightsIndex,0))</f>
        <v>0</v>
      </c>
      <c r="AE799">
        <f>INDEX(CustomWeightsSAT,MATCH(W799&amp;":"&amp;N799,CustomWeightsIndex,0))</f>
        <v>0</v>
      </c>
      <c r="AF799">
        <f>INDEX(CustomWeightsIntercept,MATCH(W799&amp;":"&amp;N799,CustomWeightsIndex,0))</f>
        <v>0</v>
      </c>
      <c r="AG799">
        <f>AD799*S799+AE799*T799+AF799</f>
        <v>0</v>
      </c>
      <c r="AH799">
        <f>INDEX(CoefficientsGPA,MATCH(W799&amp;":"&amp;R799,CoefficientsIndex,0))</f>
        <v>0</v>
      </c>
      <c r="AI799">
        <f>INDEX(CoefficientsSAT,MATCH(W799&amp;":"&amp;R799,CoefficientsIndex,0))</f>
        <v>0</v>
      </c>
      <c r="AJ799">
        <f>INDEX(CoefficientsIntercept,MATCH(W799&amp;":"&amp;R799,CoefficientsIndex,0))</f>
        <v>0</v>
      </c>
      <c r="AK799">
        <f>AH799*S799+(T799-AC799)*AI799+AJ799</f>
        <v>0</v>
      </c>
      <c r="AL799">
        <f>IF(ISNUMBER(AG799),AG799,AK799)</f>
        <v>0</v>
      </c>
      <c r="AM799">
        <f>IF(ISNUMBER(AL799),IF(ISNUMBER(AH799),IF(AND(AH799=1,AI799=1,AJ799=1),100,MIN(99,ROUND(100*EXP(AL799)/(1+EXP(AL799)),2))),MIN(99,ROUND(100*EXP(AL799)/(1+EXP(AL799)),2))),IF(ISTEXT(R799),IF(LEFT(R799,1)="2",100,"N/A"),"N/A"))</f>
        <v>0</v>
      </c>
      <c r="AN799">
        <f>IF(ISNUMBER(AM799),IF(AM799&gt;=99,IF(OR(U799=10,U799=11),MatchLabel,SureThingLabel),IF(AM799&gt;=95,SecureLabel,IF(AM799&gt;=80,SafetyLabel,IF(AM799&gt;=50,MatchLabel,IF(AM799&gt;=20,ReachLabel,IF(AM799&gt;=10,LongshotLabel,HailMaryLabel)))))),"Other")</f>
        <v>0</v>
      </c>
      <c r="AO799">
        <f>IF(OR(I799="accepted",I799="cond. accept",I799="summer admit"),IF(J799="yes","CHOICE!","Accepted!"),IF(I799="guar. transfer","Guar. Xfer",IF(I799="denied","Denied",IF(K799=1,"Waitlist",IF(L799=1,"Deferred",IF(G799="pending","Pending",IF(OR(G799="initial materials submitted",G799="mid-year submitted",G799="final submitted"),"Submitted",IF(H799="interest","Interest","?"))))))))</f>
        <v>0</v>
      </c>
      <c r="AP799">
        <f>IF(OR(AN799=ReachLabel,AN799=LongshotLabel,AN799=HailMaryLabel),1,0)</f>
        <v>0</v>
      </c>
      <c r="AQ799">
        <f>IF(OR(AP799=1,AN799=MatchLabel),1,0)</f>
        <v>0</v>
      </c>
      <c r="AR799">
        <f>IF(OR(AN799=MatchLabel,AN799=SafetyLabel,AN799=SecureLabel,AN799=SureThingLabel),1,0)</f>
        <v>0</v>
      </c>
      <c r="AS799">
        <f>IF(OR(W799="H",W799="B",W799="I",W799="M"),IF(ISNUMBER(AB799),ROUND(AB799,2),0),IF(ISNUMBER(AA799),ROUND(AA799,2),0))</f>
        <v>0</v>
      </c>
      <c r="AT799">
        <f>IF(AS799&gt;=X799,1,0)</f>
        <v>0</v>
      </c>
      <c r="AU799">
        <f>IF(AS799&gt;=Y799,1,0)</f>
        <v>0</v>
      </c>
      <c r="AV799">
        <f>IF(AS799&lt;(X799-0.10),1,0)</f>
        <v>0</v>
      </c>
      <c r="AW799">
        <f>1-AM799/100</f>
        <v>0</v>
      </c>
      <c r="AX799">
        <f>IF(AQ799=1,AW799,1)</f>
        <v>0</v>
      </c>
      <c r="AY799">
        <f>IF(AP799=1,AW799,1)</f>
        <v>0</v>
      </c>
      <c r="AZ799">
        <f>IF(AND(AT799=1,ISNUMBER(AW799)),$AW799,1)</f>
        <v>0</v>
      </c>
      <c r="BA799">
        <f>IF(AND(AU799=1,ISNUMBER(AW799)),$AW799,1)</f>
        <v>0</v>
      </c>
      <c r="BB799">
        <f>IF(ISNUMBER(AB799),INDEX(AllCollegeMoney, MATCH(N799,AllCollegeNCES,0)),0)</f>
        <v>0</v>
      </c>
      <c r="BC799">
        <f>IF(AND(AT799=1,ISNUMBER(AW799),BB799=1),$AW799,1)</f>
        <v>0</v>
      </c>
      <c r="BD799">
        <f>IF(AND(AU799=1,ISNUMBER(AW799),BB799=1),$AW799,1)</f>
        <v>0</v>
      </c>
      <c r="BE799">
        <f>IF(ISNUMBER(AB799),INDEX(AllCollegeILPub, MATCH(N799,AllCollegeNCES,0)),0)</f>
        <v>0</v>
      </c>
      <c r="BF799">
        <f>IF(AN799=ReachLabel,AS799,0)</f>
        <v>0</v>
      </c>
      <c r="BG799">
        <f>IF(AN799=MatchLabel,AS799,0)</f>
        <v>0</v>
      </c>
      <c r="BH799">
        <f>IF(AN799=SafetyLabel,AS799,0)</f>
        <v>0</v>
      </c>
      <c r="BI799">
        <f>IF(AN799=SecureLabel,AS799,0)</f>
        <v>0</v>
      </c>
      <c r="BJ799">
        <f>IF(AN799=SureThingLabel,AS799,0)</f>
        <v>0</v>
      </c>
      <c r="BK799">
        <f>MAX(BF799:BJ799)</f>
        <v>0</v>
      </c>
      <c r="BL799">
        <f>MAX(BG799:BJ799)</f>
        <v>0</v>
      </c>
      <c r="BM799">
        <f>MAX(BH799:BJ799)</f>
        <v>0</v>
      </c>
      <c r="BN799">
        <f>IF(AND(AN799=ReachLabel,BB799=1),AS799,0)</f>
        <v>0</v>
      </c>
      <c r="BO799">
        <f>IF(AND(AN799=MatchLabel,BB799=1),AS799,0)</f>
        <v>0</v>
      </c>
      <c r="BP799">
        <f>IF(AND(AN799=SafetyLabel,BB799=1),AS799,0)</f>
        <v>0</v>
      </c>
      <c r="BQ799">
        <f>IF(AND(AN799=SecureLabel,BB799=1),AS799,0)</f>
        <v>0</v>
      </c>
      <c r="BR799">
        <f>IF(AND(AN799=SureThingLabel,BB799=1),AS799,0)</f>
        <v>0</v>
      </c>
      <c r="BS799">
        <f>MAX(BN799:BR799)</f>
        <v>0</v>
      </c>
      <c r="BT799">
        <f>MAX(BO799:BR799)</f>
        <v>0</v>
      </c>
      <c r="BU799">
        <f>MAX(BP799:BR799)</f>
        <v>0</v>
      </c>
      <c r="BV799">
        <f>IF(ISNUMBER(AB799),INDEX(AllCollegeChicago, MATCH(N799,AllCollegeNCES,0))*BB799,0)</f>
        <v>0</v>
      </c>
      <c r="BW799">
        <f>IF(ISNUMBER(AB799),INDEX(AllCollegeMoneyCode, MATCH(N799,AllCollegeNCES,0)),"?")</f>
        <v>0</v>
      </c>
      <c r="BX799">
        <f>IF(OR(BW799="---",BW799="--",BW799="+/--",BW799="+/---"),1,0)</f>
        <v>0</v>
      </c>
      <c r="BY799">
        <f>BB799*AR799*AT799</f>
        <v>0</v>
      </c>
    </row>
    <row r="800" spans="1:77">
      <c r="A800" t="s">
        <v>96</v>
      </c>
      <c r="B800">
        <v>30490744</v>
      </c>
      <c r="C800" t="s">
        <v>218</v>
      </c>
      <c r="D800" t="s">
        <v>219</v>
      </c>
      <c r="E800" t="s">
        <v>446</v>
      </c>
      <c r="F800" t="s">
        <v>447</v>
      </c>
      <c r="G800" t="s">
        <v>479</v>
      </c>
      <c r="H800" t="s">
        <v>449</v>
      </c>
      <c r="I800" t="s">
        <v>450</v>
      </c>
      <c r="J800" t="s">
        <v>450</v>
      </c>
      <c r="K800">
        <v>0</v>
      </c>
      <c r="L800" t="s">
        <v>446</v>
      </c>
      <c r="M800" t="s">
        <v>446</v>
      </c>
      <c r="N800">
        <v>148496</v>
      </c>
      <c r="O800">
        <f>INDEX(Counselor,MATCH(B800,KidIDs,0))</f>
        <v>0</v>
      </c>
      <c r="P800">
        <f>INDEX(Advisors,MATCH(B800,KidIDs,0))</f>
        <v>0</v>
      </c>
      <c r="Q800">
        <f>INDEX(Cohort,MATCH(B800,KidIDs,0))</f>
        <v>0</v>
      </c>
      <c r="R800">
        <f>INDEX(AllCollegeBarrons,MATCH(N800,AllCollegeNCES,0))</f>
        <v>0</v>
      </c>
      <c r="S800">
        <f>INDEX(KidGPAs,MATCH(B800,KidIDs,0))</f>
        <v>0</v>
      </c>
      <c r="T800">
        <f>INDEX(KidSATs,MATCH(B800,KidIDs,0))</f>
        <v>0</v>
      </c>
      <c r="U800">
        <f>INDEX(Strats,MATCH(B800,KidIDs,0))</f>
        <v>0</v>
      </c>
      <c r="V800">
        <f>INDEX(KidRace,MATCH(B800,KidIDs,0))</f>
        <v>0</v>
      </c>
      <c r="W800">
        <f>IF(OR(V800="M",V800="I"),"H",IF(V800="P","A",V800))</f>
        <v>0</v>
      </c>
      <c r="X800">
        <f>INDEX(StudentTargets,MATCH(B800,KidIDs,0))</f>
        <v>0</v>
      </c>
      <c r="Y800">
        <f>INDEX(ReachStudentTargets,MATCH(B800,KidIDs,0))</f>
        <v>0</v>
      </c>
      <c r="Z800">
        <f>IF(OR(M800="Posse"),1,0)</f>
        <v>0</v>
      </c>
      <c r="AA800">
        <f>IF(ISNUMBER(INDEX(AllCollegeGR, MATCH(N800,AllCollegeNCES,0))),ROUND(INDEX(AllCollegeGR, MATCH(N800,AllCollegeNCES,0))+Z800*IF(INDEX(AllCollegeGR, MATCH(N800,AllCollegeNCES,0))&gt;0.7,(1-INDEX(AllCollegeGR, MATCH(N800,AllCollegeNCES,0)))/2,0.15),2),INDEX(AllCollegeGR, MATCH(N800,AllCollegeNCES,0)))</f>
        <v>0</v>
      </c>
      <c r="AB800">
        <f>IF(ISNUMBER(INDEX(AllCollegeAAHGR, MATCH(N800,AllCollegeNCES,0))),ROUND(INDEX(AllCollegeAAHGR, MATCH(N800,AllCollegeNCES,0))+Z800*IF(INDEX(AllCollegeAAHGR, MATCH(N800,AllCollegeNCES,0))&gt;0.7,(1-INDEX(AllCollegeAAHGR, MATCH(N800,AllCollegeNCES,0)))/2,0.15),2),INDEX(AllCollegeAAHGR, MATCH(N800,AllCollegeNCES,0)))</f>
        <v>0</v>
      </c>
      <c r="AC800">
        <f>IF(OR(W800="H",W800="B"),INDEX(AllCollegeSAT25, MATCH(N800,AllCollegeNCES,0)),INDEX(AllCollegeSAT50, MATCH(N800,AllCollegeNCES,0)))</f>
        <v>0</v>
      </c>
      <c r="AD800">
        <f>INDEX(CustomWeightsGPA,MATCH(W800&amp;":"&amp;N800,CustomWeightsIndex,0))</f>
        <v>0</v>
      </c>
      <c r="AE800">
        <f>INDEX(CustomWeightsSAT,MATCH(W800&amp;":"&amp;N800,CustomWeightsIndex,0))</f>
        <v>0</v>
      </c>
      <c r="AF800">
        <f>INDEX(CustomWeightsIntercept,MATCH(W800&amp;":"&amp;N800,CustomWeightsIndex,0))</f>
        <v>0</v>
      </c>
      <c r="AG800">
        <f>AD800*S800+AE800*T800+AF800</f>
        <v>0</v>
      </c>
      <c r="AH800">
        <f>INDEX(CoefficientsGPA,MATCH(W800&amp;":"&amp;R800,CoefficientsIndex,0))</f>
        <v>0</v>
      </c>
      <c r="AI800">
        <f>INDEX(CoefficientsSAT,MATCH(W800&amp;":"&amp;R800,CoefficientsIndex,0))</f>
        <v>0</v>
      </c>
      <c r="AJ800">
        <f>INDEX(CoefficientsIntercept,MATCH(W800&amp;":"&amp;R800,CoefficientsIndex,0))</f>
        <v>0</v>
      </c>
      <c r="AK800">
        <f>AH800*S800+(T800-AC800)*AI800+AJ800</f>
        <v>0</v>
      </c>
      <c r="AL800">
        <f>IF(ISNUMBER(AG800),AG800,AK800)</f>
        <v>0</v>
      </c>
      <c r="AM800">
        <f>IF(ISNUMBER(AL800),IF(ISNUMBER(AH800),IF(AND(AH800=1,AI800=1,AJ800=1),100,MIN(99,ROUND(100*EXP(AL800)/(1+EXP(AL800)),2))),MIN(99,ROUND(100*EXP(AL800)/(1+EXP(AL800)),2))),IF(ISTEXT(R800),IF(LEFT(R800,1)="2",100,"N/A"),"N/A"))</f>
        <v>0</v>
      </c>
      <c r="AN800">
        <f>IF(ISNUMBER(AM800),IF(AM800&gt;=99,IF(OR(U800=10,U800=11),MatchLabel,SureThingLabel),IF(AM800&gt;=95,SecureLabel,IF(AM800&gt;=80,SafetyLabel,IF(AM800&gt;=50,MatchLabel,IF(AM800&gt;=20,ReachLabel,IF(AM800&gt;=10,LongshotLabel,HailMaryLabel)))))),"Other")</f>
        <v>0</v>
      </c>
      <c r="AO800">
        <f>IF(OR(I800="accepted",I800="cond. accept",I800="summer admit"),IF(J800="yes","CHOICE!","Accepted!"),IF(I800="guar. transfer","Guar. Xfer",IF(I800="denied","Denied",IF(K800=1,"Waitlist",IF(L800=1,"Deferred",IF(G800="pending","Pending",IF(OR(G800="initial materials submitted",G800="mid-year submitted",G800="final submitted"),"Submitted",IF(H800="interest","Interest","?"))))))))</f>
        <v>0</v>
      </c>
      <c r="AP800">
        <f>IF(OR(AN800=ReachLabel,AN800=LongshotLabel,AN800=HailMaryLabel),1,0)</f>
        <v>0</v>
      </c>
      <c r="AQ800">
        <f>IF(OR(AP800=1,AN800=MatchLabel),1,0)</f>
        <v>0</v>
      </c>
      <c r="AR800">
        <f>IF(OR(AN800=MatchLabel,AN800=SafetyLabel,AN800=SecureLabel,AN800=SureThingLabel),1,0)</f>
        <v>0</v>
      </c>
      <c r="AS800">
        <f>IF(OR(W800="H",W800="B",W800="I",W800="M"),IF(ISNUMBER(AB800),ROUND(AB800,2),0),IF(ISNUMBER(AA800),ROUND(AA800,2),0))</f>
        <v>0</v>
      </c>
      <c r="AT800">
        <f>IF(AS800&gt;=X800,1,0)</f>
        <v>0</v>
      </c>
      <c r="AU800">
        <f>IF(AS800&gt;=Y800,1,0)</f>
        <v>0</v>
      </c>
      <c r="AV800">
        <f>IF(AS800&lt;(X800-0.10),1,0)</f>
        <v>0</v>
      </c>
      <c r="AW800">
        <f>1-AM800/100</f>
        <v>0</v>
      </c>
      <c r="AX800">
        <f>IF(AQ800=1,AW800,1)</f>
        <v>0</v>
      </c>
      <c r="AY800">
        <f>IF(AP800=1,AW800,1)</f>
        <v>0</v>
      </c>
      <c r="AZ800">
        <f>IF(AND(AT800=1,ISNUMBER(AW800)),$AW800,1)</f>
        <v>0</v>
      </c>
      <c r="BA800">
        <f>IF(AND(AU800=1,ISNUMBER(AW800)),$AW800,1)</f>
        <v>0</v>
      </c>
      <c r="BB800">
        <f>IF(ISNUMBER(AB800),INDEX(AllCollegeMoney, MATCH(N800,AllCollegeNCES,0)),0)</f>
        <v>0</v>
      </c>
      <c r="BC800">
        <f>IF(AND(AT800=1,ISNUMBER(AW800),BB800=1),$AW800,1)</f>
        <v>0</v>
      </c>
      <c r="BD800">
        <f>IF(AND(AU800=1,ISNUMBER(AW800),BB800=1),$AW800,1)</f>
        <v>0</v>
      </c>
      <c r="BE800">
        <f>IF(ISNUMBER(AB800),INDEX(AllCollegeILPub, MATCH(N800,AllCollegeNCES,0)),0)</f>
        <v>0</v>
      </c>
      <c r="BF800">
        <f>IF(AN800=ReachLabel,AS800,0)</f>
        <v>0</v>
      </c>
      <c r="BG800">
        <f>IF(AN800=MatchLabel,AS800,0)</f>
        <v>0</v>
      </c>
      <c r="BH800">
        <f>IF(AN800=SafetyLabel,AS800,0)</f>
        <v>0</v>
      </c>
      <c r="BI800">
        <f>IF(AN800=SecureLabel,AS800,0)</f>
        <v>0</v>
      </c>
      <c r="BJ800">
        <f>IF(AN800=SureThingLabel,AS800,0)</f>
        <v>0</v>
      </c>
      <c r="BK800">
        <f>MAX(BF800:BJ800)</f>
        <v>0</v>
      </c>
      <c r="BL800">
        <f>MAX(BG800:BJ800)</f>
        <v>0</v>
      </c>
      <c r="BM800">
        <f>MAX(BH800:BJ800)</f>
        <v>0</v>
      </c>
      <c r="BN800">
        <f>IF(AND(AN800=ReachLabel,BB800=1),AS800,0)</f>
        <v>0</v>
      </c>
      <c r="BO800">
        <f>IF(AND(AN800=MatchLabel,BB800=1),AS800,0)</f>
        <v>0</v>
      </c>
      <c r="BP800">
        <f>IF(AND(AN800=SafetyLabel,BB800=1),AS800,0)</f>
        <v>0</v>
      </c>
      <c r="BQ800">
        <f>IF(AND(AN800=SecureLabel,BB800=1),AS800,0)</f>
        <v>0</v>
      </c>
      <c r="BR800">
        <f>IF(AND(AN800=SureThingLabel,BB800=1),AS800,0)</f>
        <v>0</v>
      </c>
      <c r="BS800">
        <f>MAX(BN800:BR800)</f>
        <v>0</v>
      </c>
      <c r="BT800">
        <f>MAX(BO800:BR800)</f>
        <v>0</v>
      </c>
      <c r="BU800">
        <f>MAX(BP800:BR800)</f>
        <v>0</v>
      </c>
      <c r="BV800">
        <f>IF(ISNUMBER(AB800),INDEX(AllCollegeChicago, MATCH(N800,AllCollegeNCES,0))*BB800,0)</f>
        <v>0</v>
      </c>
      <c r="BW800">
        <f>IF(ISNUMBER(AB800),INDEX(AllCollegeMoneyCode, MATCH(N800,AllCollegeNCES,0)),"?")</f>
        <v>0</v>
      </c>
      <c r="BX800">
        <f>IF(OR(BW800="---",BW800="--",BW800="+/--",BW800="+/---"),1,0)</f>
        <v>0</v>
      </c>
      <c r="BY800">
        <f>BB800*AR800*AT800</f>
        <v>0</v>
      </c>
    </row>
    <row r="801" spans="1:77">
      <c r="A801" t="s">
        <v>96</v>
      </c>
      <c r="B801">
        <v>30490744</v>
      </c>
      <c r="C801" t="s">
        <v>218</v>
      </c>
      <c r="D801" t="s">
        <v>219</v>
      </c>
      <c r="E801" t="s">
        <v>446</v>
      </c>
      <c r="F801" t="s">
        <v>525</v>
      </c>
      <c r="G801" t="s">
        <v>479</v>
      </c>
      <c r="H801" t="s">
        <v>449</v>
      </c>
      <c r="I801" t="s">
        <v>450</v>
      </c>
      <c r="J801" t="s">
        <v>450</v>
      </c>
      <c r="K801">
        <v>0</v>
      </c>
      <c r="L801" t="s">
        <v>446</v>
      </c>
      <c r="M801" t="s">
        <v>446</v>
      </c>
      <c r="N801">
        <v>209056</v>
      </c>
      <c r="O801">
        <f>INDEX(Counselor,MATCH(B801,KidIDs,0))</f>
        <v>0</v>
      </c>
      <c r="P801">
        <f>INDEX(Advisors,MATCH(B801,KidIDs,0))</f>
        <v>0</v>
      </c>
      <c r="Q801">
        <f>INDEX(Cohort,MATCH(B801,KidIDs,0))</f>
        <v>0</v>
      </c>
      <c r="R801">
        <f>INDEX(AllCollegeBarrons,MATCH(N801,AllCollegeNCES,0))</f>
        <v>0</v>
      </c>
      <c r="S801">
        <f>INDEX(KidGPAs,MATCH(B801,KidIDs,0))</f>
        <v>0</v>
      </c>
      <c r="T801">
        <f>INDEX(KidSATs,MATCH(B801,KidIDs,0))</f>
        <v>0</v>
      </c>
      <c r="U801">
        <f>INDEX(Strats,MATCH(B801,KidIDs,0))</f>
        <v>0</v>
      </c>
      <c r="V801">
        <f>INDEX(KidRace,MATCH(B801,KidIDs,0))</f>
        <v>0</v>
      </c>
      <c r="W801">
        <f>IF(OR(V801="M",V801="I"),"H",IF(V801="P","A",V801))</f>
        <v>0</v>
      </c>
      <c r="X801">
        <f>INDEX(StudentTargets,MATCH(B801,KidIDs,0))</f>
        <v>0</v>
      </c>
      <c r="Y801">
        <f>INDEX(ReachStudentTargets,MATCH(B801,KidIDs,0))</f>
        <v>0</v>
      </c>
      <c r="Z801">
        <f>IF(OR(M801="Posse"),1,0)</f>
        <v>0</v>
      </c>
      <c r="AA801">
        <f>IF(ISNUMBER(INDEX(AllCollegeGR, MATCH(N801,AllCollegeNCES,0))),ROUND(INDEX(AllCollegeGR, MATCH(N801,AllCollegeNCES,0))+Z801*IF(INDEX(AllCollegeGR, MATCH(N801,AllCollegeNCES,0))&gt;0.7,(1-INDEX(AllCollegeGR, MATCH(N801,AllCollegeNCES,0)))/2,0.15),2),INDEX(AllCollegeGR, MATCH(N801,AllCollegeNCES,0)))</f>
        <v>0</v>
      </c>
      <c r="AB801">
        <f>IF(ISNUMBER(INDEX(AllCollegeAAHGR, MATCH(N801,AllCollegeNCES,0))),ROUND(INDEX(AllCollegeAAHGR, MATCH(N801,AllCollegeNCES,0))+Z801*IF(INDEX(AllCollegeAAHGR, MATCH(N801,AllCollegeNCES,0))&gt;0.7,(1-INDEX(AllCollegeAAHGR, MATCH(N801,AllCollegeNCES,0)))/2,0.15),2),INDEX(AllCollegeAAHGR, MATCH(N801,AllCollegeNCES,0)))</f>
        <v>0</v>
      </c>
      <c r="AC801">
        <f>IF(OR(W801="H",W801="B"),INDEX(AllCollegeSAT25, MATCH(N801,AllCollegeNCES,0)),INDEX(AllCollegeSAT50, MATCH(N801,AllCollegeNCES,0)))</f>
        <v>0</v>
      </c>
      <c r="AD801">
        <f>INDEX(CustomWeightsGPA,MATCH(W801&amp;":"&amp;N801,CustomWeightsIndex,0))</f>
        <v>0</v>
      </c>
      <c r="AE801">
        <f>INDEX(CustomWeightsSAT,MATCH(W801&amp;":"&amp;N801,CustomWeightsIndex,0))</f>
        <v>0</v>
      </c>
      <c r="AF801">
        <f>INDEX(CustomWeightsIntercept,MATCH(W801&amp;":"&amp;N801,CustomWeightsIndex,0))</f>
        <v>0</v>
      </c>
      <c r="AG801">
        <f>AD801*S801+AE801*T801+AF801</f>
        <v>0</v>
      </c>
      <c r="AH801">
        <f>INDEX(CoefficientsGPA,MATCH(W801&amp;":"&amp;R801,CoefficientsIndex,0))</f>
        <v>0</v>
      </c>
      <c r="AI801">
        <f>INDEX(CoefficientsSAT,MATCH(W801&amp;":"&amp;R801,CoefficientsIndex,0))</f>
        <v>0</v>
      </c>
      <c r="AJ801">
        <f>INDEX(CoefficientsIntercept,MATCH(W801&amp;":"&amp;R801,CoefficientsIndex,0))</f>
        <v>0</v>
      </c>
      <c r="AK801">
        <f>AH801*S801+(T801-AC801)*AI801+AJ801</f>
        <v>0</v>
      </c>
      <c r="AL801">
        <f>IF(ISNUMBER(AG801),AG801,AK801)</f>
        <v>0</v>
      </c>
      <c r="AM801">
        <f>IF(ISNUMBER(AL801),IF(ISNUMBER(AH801),IF(AND(AH801=1,AI801=1,AJ801=1),100,MIN(99,ROUND(100*EXP(AL801)/(1+EXP(AL801)),2))),MIN(99,ROUND(100*EXP(AL801)/(1+EXP(AL801)),2))),IF(ISTEXT(R801),IF(LEFT(R801,1)="2",100,"N/A"),"N/A"))</f>
        <v>0</v>
      </c>
      <c r="AN801">
        <f>IF(ISNUMBER(AM801),IF(AM801&gt;=99,IF(OR(U801=10,U801=11),MatchLabel,SureThingLabel),IF(AM801&gt;=95,SecureLabel,IF(AM801&gt;=80,SafetyLabel,IF(AM801&gt;=50,MatchLabel,IF(AM801&gt;=20,ReachLabel,IF(AM801&gt;=10,LongshotLabel,HailMaryLabel)))))),"Other")</f>
        <v>0</v>
      </c>
      <c r="AO801">
        <f>IF(OR(I801="accepted",I801="cond. accept",I801="summer admit"),IF(J801="yes","CHOICE!","Accepted!"),IF(I801="guar. transfer","Guar. Xfer",IF(I801="denied","Denied",IF(K801=1,"Waitlist",IF(L801=1,"Deferred",IF(G801="pending","Pending",IF(OR(G801="initial materials submitted",G801="mid-year submitted",G801="final submitted"),"Submitted",IF(H801="interest","Interest","?"))))))))</f>
        <v>0</v>
      </c>
      <c r="AP801">
        <f>IF(OR(AN801=ReachLabel,AN801=LongshotLabel,AN801=HailMaryLabel),1,0)</f>
        <v>0</v>
      </c>
      <c r="AQ801">
        <f>IF(OR(AP801=1,AN801=MatchLabel),1,0)</f>
        <v>0</v>
      </c>
      <c r="AR801">
        <f>IF(OR(AN801=MatchLabel,AN801=SafetyLabel,AN801=SecureLabel,AN801=SureThingLabel),1,0)</f>
        <v>0</v>
      </c>
      <c r="AS801">
        <f>IF(OR(W801="H",W801="B",W801="I",W801="M"),IF(ISNUMBER(AB801),ROUND(AB801,2),0),IF(ISNUMBER(AA801),ROUND(AA801,2),0))</f>
        <v>0</v>
      </c>
      <c r="AT801">
        <f>IF(AS801&gt;=X801,1,0)</f>
        <v>0</v>
      </c>
      <c r="AU801">
        <f>IF(AS801&gt;=Y801,1,0)</f>
        <v>0</v>
      </c>
      <c r="AV801">
        <f>IF(AS801&lt;(X801-0.10),1,0)</f>
        <v>0</v>
      </c>
      <c r="AW801">
        <f>1-AM801/100</f>
        <v>0</v>
      </c>
      <c r="AX801">
        <f>IF(AQ801=1,AW801,1)</f>
        <v>0</v>
      </c>
      <c r="AY801">
        <f>IF(AP801=1,AW801,1)</f>
        <v>0</v>
      </c>
      <c r="AZ801">
        <f>IF(AND(AT801=1,ISNUMBER(AW801)),$AW801,1)</f>
        <v>0</v>
      </c>
      <c r="BA801">
        <f>IF(AND(AU801=1,ISNUMBER(AW801)),$AW801,1)</f>
        <v>0</v>
      </c>
      <c r="BB801">
        <f>IF(ISNUMBER(AB801),INDEX(AllCollegeMoney, MATCH(N801,AllCollegeNCES,0)),0)</f>
        <v>0</v>
      </c>
      <c r="BC801">
        <f>IF(AND(AT801=1,ISNUMBER(AW801),BB801=1),$AW801,1)</f>
        <v>0</v>
      </c>
      <c r="BD801">
        <f>IF(AND(AU801=1,ISNUMBER(AW801),BB801=1),$AW801,1)</f>
        <v>0</v>
      </c>
      <c r="BE801">
        <f>IF(ISNUMBER(AB801),INDEX(AllCollegeILPub, MATCH(N801,AllCollegeNCES,0)),0)</f>
        <v>0</v>
      </c>
      <c r="BF801">
        <f>IF(AN801=ReachLabel,AS801,0)</f>
        <v>0</v>
      </c>
      <c r="BG801">
        <f>IF(AN801=MatchLabel,AS801,0)</f>
        <v>0</v>
      </c>
      <c r="BH801">
        <f>IF(AN801=SafetyLabel,AS801,0)</f>
        <v>0</v>
      </c>
      <c r="BI801">
        <f>IF(AN801=SecureLabel,AS801,0)</f>
        <v>0</v>
      </c>
      <c r="BJ801">
        <f>IF(AN801=SureThingLabel,AS801,0)</f>
        <v>0</v>
      </c>
      <c r="BK801">
        <f>MAX(BF801:BJ801)</f>
        <v>0</v>
      </c>
      <c r="BL801">
        <f>MAX(BG801:BJ801)</f>
        <v>0</v>
      </c>
      <c r="BM801">
        <f>MAX(BH801:BJ801)</f>
        <v>0</v>
      </c>
      <c r="BN801">
        <f>IF(AND(AN801=ReachLabel,BB801=1),AS801,0)</f>
        <v>0</v>
      </c>
      <c r="BO801">
        <f>IF(AND(AN801=MatchLabel,BB801=1),AS801,0)</f>
        <v>0</v>
      </c>
      <c r="BP801">
        <f>IF(AND(AN801=SafetyLabel,BB801=1),AS801,0)</f>
        <v>0</v>
      </c>
      <c r="BQ801">
        <f>IF(AND(AN801=SecureLabel,BB801=1),AS801,0)</f>
        <v>0</v>
      </c>
      <c r="BR801">
        <f>IF(AND(AN801=SureThingLabel,BB801=1),AS801,0)</f>
        <v>0</v>
      </c>
      <c r="BS801">
        <f>MAX(BN801:BR801)</f>
        <v>0</v>
      </c>
      <c r="BT801">
        <f>MAX(BO801:BR801)</f>
        <v>0</v>
      </c>
      <c r="BU801">
        <f>MAX(BP801:BR801)</f>
        <v>0</v>
      </c>
      <c r="BV801">
        <f>IF(ISNUMBER(AB801),INDEX(AllCollegeChicago, MATCH(N801,AllCollegeNCES,0))*BB801,0)</f>
        <v>0</v>
      </c>
      <c r="BW801">
        <f>IF(ISNUMBER(AB801),INDEX(AllCollegeMoneyCode, MATCH(N801,AllCollegeNCES,0)),"?")</f>
        <v>0</v>
      </c>
      <c r="BX801">
        <f>IF(OR(BW801="---",BW801="--",BW801="+/--",BW801="+/---"),1,0)</f>
        <v>0</v>
      </c>
      <c r="BY801">
        <f>BB801*AR801*AT801</f>
        <v>0</v>
      </c>
    </row>
    <row r="802" spans="1:77">
      <c r="A802" t="s">
        <v>96</v>
      </c>
      <c r="B802">
        <v>30490744</v>
      </c>
      <c r="C802" t="s">
        <v>218</v>
      </c>
      <c r="D802" t="s">
        <v>219</v>
      </c>
      <c r="E802" t="s">
        <v>446</v>
      </c>
      <c r="F802" t="s">
        <v>476</v>
      </c>
      <c r="G802" t="s">
        <v>479</v>
      </c>
      <c r="H802" t="s">
        <v>449</v>
      </c>
      <c r="I802" t="s">
        <v>450</v>
      </c>
      <c r="J802" t="s">
        <v>450</v>
      </c>
      <c r="K802">
        <v>0</v>
      </c>
      <c r="L802" t="s">
        <v>446</v>
      </c>
      <c r="M802" t="s">
        <v>446</v>
      </c>
      <c r="N802">
        <v>213668</v>
      </c>
      <c r="O802">
        <f>INDEX(Counselor,MATCH(B802,KidIDs,0))</f>
        <v>0</v>
      </c>
      <c r="P802">
        <f>INDEX(Advisors,MATCH(B802,KidIDs,0))</f>
        <v>0</v>
      </c>
      <c r="Q802">
        <f>INDEX(Cohort,MATCH(B802,KidIDs,0))</f>
        <v>0</v>
      </c>
      <c r="R802">
        <f>INDEX(AllCollegeBarrons,MATCH(N802,AllCollegeNCES,0))</f>
        <v>0</v>
      </c>
      <c r="S802">
        <f>INDEX(KidGPAs,MATCH(B802,KidIDs,0))</f>
        <v>0</v>
      </c>
      <c r="T802">
        <f>INDEX(KidSATs,MATCH(B802,KidIDs,0))</f>
        <v>0</v>
      </c>
      <c r="U802">
        <f>INDEX(Strats,MATCH(B802,KidIDs,0))</f>
        <v>0</v>
      </c>
      <c r="V802">
        <f>INDEX(KidRace,MATCH(B802,KidIDs,0))</f>
        <v>0</v>
      </c>
      <c r="W802">
        <f>IF(OR(V802="M",V802="I"),"H",IF(V802="P","A",V802))</f>
        <v>0</v>
      </c>
      <c r="X802">
        <f>INDEX(StudentTargets,MATCH(B802,KidIDs,0))</f>
        <v>0</v>
      </c>
      <c r="Y802">
        <f>INDEX(ReachStudentTargets,MATCH(B802,KidIDs,0))</f>
        <v>0</v>
      </c>
      <c r="Z802">
        <f>IF(OR(M802="Posse"),1,0)</f>
        <v>0</v>
      </c>
      <c r="AA802">
        <f>IF(ISNUMBER(INDEX(AllCollegeGR, MATCH(N802,AllCollegeNCES,0))),ROUND(INDEX(AllCollegeGR, MATCH(N802,AllCollegeNCES,0))+Z802*IF(INDEX(AllCollegeGR, MATCH(N802,AllCollegeNCES,0))&gt;0.7,(1-INDEX(AllCollegeGR, MATCH(N802,AllCollegeNCES,0)))/2,0.15),2),INDEX(AllCollegeGR, MATCH(N802,AllCollegeNCES,0)))</f>
        <v>0</v>
      </c>
      <c r="AB802">
        <f>IF(ISNUMBER(INDEX(AllCollegeAAHGR, MATCH(N802,AllCollegeNCES,0))),ROUND(INDEX(AllCollegeAAHGR, MATCH(N802,AllCollegeNCES,0))+Z802*IF(INDEX(AllCollegeAAHGR, MATCH(N802,AllCollegeNCES,0))&gt;0.7,(1-INDEX(AllCollegeAAHGR, MATCH(N802,AllCollegeNCES,0)))/2,0.15),2),INDEX(AllCollegeAAHGR, MATCH(N802,AllCollegeNCES,0)))</f>
        <v>0</v>
      </c>
      <c r="AC802">
        <f>IF(OR(W802="H",W802="B"),INDEX(AllCollegeSAT25, MATCH(N802,AllCollegeNCES,0)),INDEX(AllCollegeSAT50, MATCH(N802,AllCollegeNCES,0)))</f>
        <v>0</v>
      </c>
      <c r="AD802">
        <f>INDEX(CustomWeightsGPA,MATCH(W802&amp;":"&amp;N802,CustomWeightsIndex,0))</f>
        <v>0</v>
      </c>
      <c r="AE802">
        <f>INDEX(CustomWeightsSAT,MATCH(W802&amp;":"&amp;N802,CustomWeightsIndex,0))</f>
        <v>0</v>
      </c>
      <c r="AF802">
        <f>INDEX(CustomWeightsIntercept,MATCH(W802&amp;":"&amp;N802,CustomWeightsIndex,0))</f>
        <v>0</v>
      </c>
      <c r="AG802">
        <f>AD802*S802+AE802*T802+AF802</f>
        <v>0</v>
      </c>
      <c r="AH802">
        <f>INDEX(CoefficientsGPA,MATCH(W802&amp;":"&amp;R802,CoefficientsIndex,0))</f>
        <v>0</v>
      </c>
      <c r="AI802">
        <f>INDEX(CoefficientsSAT,MATCH(W802&amp;":"&amp;R802,CoefficientsIndex,0))</f>
        <v>0</v>
      </c>
      <c r="AJ802">
        <f>INDEX(CoefficientsIntercept,MATCH(W802&amp;":"&amp;R802,CoefficientsIndex,0))</f>
        <v>0</v>
      </c>
      <c r="AK802">
        <f>AH802*S802+(T802-AC802)*AI802+AJ802</f>
        <v>0</v>
      </c>
      <c r="AL802">
        <f>IF(ISNUMBER(AG802),AG802,AK802)</f>
        <v>0</v>
      </c>
      <c r="AM802">
        <f>IF(ISNUMBER(AL802),IF(ISNUMBER(AH802),IF(AND(AH802=1,AI802=1,AJ802=1),100,MIN(99,ROUND(100*EXP(AL802)/(1+EXP(AL802)),2))),MIN(99,ROUND(100*EXP(AL802)/(1+EXP(AL802)),2))),IF(ISTEXT(R802),IF(LEFT(R802,1)="2",100,"N/A"),"N/A"))</f>
        <v>0</v>
      </c>
      <c r="AN802">
        <f>IF(ISNUMBER(AM802),IF(AM802&gt;=99,IF(OR(U802=10,U802=11),MatchLabel,SureThingLabel),IF(AM802&gt;=95,SecureLabel,IF(AM802&gt;=80,SafetyLabel,IF(AM802&gt;=50,MatchLabel,IF(AM802&gt;=20,ReachLabel,IF(AM802&gt;=10,LongshotLabel,HailMaryLabel)))))),"Other")</f>
        <v>0</v>
      </c>
      <c r="AO802">
        <f>IF(OR(I802="accepted",I802="cond. accept",I802="summer admit"),IF(J802="yes","CHOICE!","Accepted!"),IF(I802="guar. transfer","Guar. Xfer",IF(I802="denied","Denied",IF(K802=1,"Waitlist",IF(L802=1,"Deferred",IF(G802="pending","Pending",IF(OR(G802="initial materials submitted",G802="mid-year submitted",G802="final submitted"),"Submitted",IF(H802="interest","Interest","?"))))))))</f>
        <v>0</v>
      </c>
      <c r="AP802">
        <f>IF(OR(AN802=ReachLabel,AN802=LongshotLabel,AN802=HailMaryLabel),1,0)</f>
        <v>0</v>
      </c>
      <c r="AQ802">
        <f>IF(OR(AP802=1,AN802=MatchLabel),1,0)</f>
        <v>0</v>
      </c>
      <c r="AR802">
        <f>IF(OR(AN802=MatchLabel,AN802=SafetyLabel,AN802=SecureLabel,AN802=SureThingLabel),1,0)</f>
        <v>0</v>
      </c>
      <c r="AS802">
        <f>IF(OR(W802="H",W802="B",W802="I",W802="M"),IF(ISNUMBER(AB802),ROUND(AB802,2),0),IF(ISNUMBER(AA802),ROUND(AA802,2),0))</f>
        <v>0</v>
      </c>
      <c r="AT802">
        <f>IF(AS802&gt;=X802,1,0)</f>
        <v>0</v>
      </c>
      <c r="AU802">
        <f>IF(AS802&gt;=Y802,1,0)</f>
        <v>0</v>
      </c>
      <c r="AV802">
        <f>IF(AS802&lt;(X802-0.10),1,0)</f>
        <v>0</v>
      </c>
      <c r="AW802">
        <f>1-AM802/100</f>
        <v>0</v>
      </c>
      <c r="AX802">
        <f>IF(AQ802=1,AW802,1)</f>
        <v>0</v>
      </c>
      <c r="AY802">
        <f>IF(AP802=1,AW802,1)</f>
        <v>0</v>
      </c>
      <c r="AZ802">
        <f>IF(AND(AT802=1,ISNUMBER(AW802)),$AW802,1)</f>
        <v>0</v>
      </c>
      <c r="BA802">
        <f>IF(AND(AU802=1,ISNUMBER(AW802)),$AW802,1)</f>
        <v>0</v>
      </c>
      <c r="BB802">
        <f>IF(ISNUMBER(AB802),INDEX(AllCollegeMoney, MATCH(N802,AllCollegeNCES,0)),0)</f>
        <v>0</v>
      </c>
      <c r="BC802">
        <f>IF(AND(AT802=1,ISNUMBER(AW802),BB802=1),$AW802,1)</f>
        <v>0</v>
      </c>
      <c r="BD802">
        <f>IF(AND(AU802=1,ISNUMBER(AW802),BB802=1),$AW802,1)</f>
        <v>0</v>
      </c>
      <c r="BE802">
        <f>IF(ISNUMBER(AB802),INDEX(AllCollegeILPub, MATCH(N802,AllCollegeNCES,0)),0)</f>
        <v>0</v>
      </c>
      <c r="BF802">
        <f>IF(AN802=ReachLabel,AS802,0)</f>
        <v>0</v>
      </c>
      <c r="BG802">
        <f>IF(AN802=MatchLabel,AS802,0)</f>
        <v>0</v>
      </c>
      <c r="BH802">
        <f>IF(AN802=SafetyLabel,AS802,0)</f>
        <v>0</v>
      </c>
      <c r="BI802">
        <f>IF(AN802=SecureLabel,AS802,0)</f>
        <v>0</v>
      </c>
      <c r="BJ802">
        <f>IF(AN802=SureThingLabel,AS802,0)</f>
        <v>0</v>
      </c>
      <c r="BK802">
        <f>MAX(BF802:BJ802)</f>
        <v>0</v>
      </c>
      <c r="BL802">
        <f>MAX(BG802:BJ802)</f>
        <v>0</v>
      </c>
      <c r="BM802">
        <f>MAX(BH802:BJ802)</f>
        <v>0</v>
      </c>
      <c r="BN802">
        <f>IF(AND(AN802=ReachLabel,BB802=1),AS802,0)</f>
        <v>0</v>
      </c>
      <c r="BO802">
        <f>IF(AND(AN802=MatchLabel,BB802=1),AS802,0)</f>
        <v>0</v>
      </c>
      <c r="BP802">
        <f>IF(AND(AN802=SafetyLabel,BB802=1),AS802,0)</f>
        <v>0</v>
      </c>
      <c r="BQ802">
        <f>IF(AND(AN802=SecureLabel,BB802=1),AS802,0)</f>
        <v>0</v>
      </c>
      <c r="BR802">
        <f>IF(AND(AN802=SureThingLabel,BB802=1),AS802,0)</f>
        <v>0</v>
      </c>
      <c r="BS802">
        <f>MAX(BN802:BR802)</f>
        <v>0</v>
      </c>
      <c r="BT802">
        <f>MAX(BO802:BR802)</f>
        <v>0</v>
      </c>
      <c r="BU802">
        <f>MAX(BP802:BR802)</f>
        <v>0</v>
      </c>
      <c r="BV802">
        <f>IF(ISNUMBER(AB802),INDEX(AllCollegeChicago, MATCH(N802,AllCollegeNCES,0))*BB802,0)</f>
        <v>0</v>
      </c>
      <c r="BW802">
        <f>IF(ISNUMBER(AB802),INDEX(AllCollegeMoneyCode, MATCH(N802,AllCollegeNCES,0)),"?")</f>
        <v>0</v>
      </c>
      <c r="BX802">
        <f>IF(OR(BW802="---",BW802="--",BW802="+/--",BW802="+/---"),1,0)</f>
        <v>0</v>
      </c>
      <c r="BY802">
        <f>BB802*AR802*AT802</f>
        <v>0</v>
      </c>
    </row>
    <row r="803" spans="1:77">
      <c r="A803" t="s">
        <v>96</v>
      </c>
      <c r="B803">
        <v>30490744</v>
      </c>
      <c r="C803" t="s">
        <v>218</v>
      </c>
      <c r="D803" t="s">
        <v>219</v>
      </c>
      <c r="E803" t="s">
        <v>446</v>
      </c>
      <c r="F803" t="s">
        <v>477</v>
      </c>
      <c r="G803" t="s">
        <v>479</v>
      </c>
      <c r="H803" t="s">
        <v>449</v>
      </c>
      <c r="I803" t="s">
        <v>450</v>
      </c>
      <c r="J803" t="s">
        <v>450</v>
      </c>
      <c r="K803">
        <v>0</v>
      </c>
      <c r="L803" t="s">
        <v>446</v>
      </c>
      <c r="M803" t="s">
        <v>446</v>
      </c>
      <c r="N803">
        <v>146427</v>
      </c>
      <c r="O803">
        <f>INDEX(Counselor,MATCH(B803,KidIDs,0))</f>
        <v>0</v>
      </c>
      <c r="P803">
        <f>INDEX(Advisors,MATCH(B803,KidIDs,0))</f>
        <v>0</v>
      </c>
      <c r="Q803">
        <f>INDEX(Cohort,MATCH(B803,KidIDs,0))</f>
        <v>0</v>
      </c>
      <c r="R803">
        <f>INDEX(AllCollegeBarrons,MATCH(N803,AllCollegeNCES,0))</f>
        <v>0</v>
      </c>
      <c r="S803">
        <f>INDEX(KidGPAs,MATCH(B803,KidIDs,0))</f>
        <v>0</v>
      </c>
      <c r="T803">
        <f>INDEX(KidSATs,MATCH(B803,KidIDs,0))</f>
        <v>0</v>
      </c>
      <c r="U803">
        <f>INDEX(Strats,MATCH(B803,KidIDs,0))</f>
        <v>0</v>
      </c>
      <c r="V803">
        <f>INDEX(KidRace,MATCH(B803,KidIDs,0))</f>
        <v>0</v>
      </c>
      <c r="W803">
        <f>IF(OR(V803="M",V803="I"),"H",IF(V803="P","A",V803))</f>
        <v>0</v>
      </c>
      <c r="X803">
        <f>INDEX(StudentTargets,MATCH(B803,KidIDs,0))</f>
        <v>0</v>
      </c>
      <c r="Y803">
        <f>INDEX(ReachStudentTargets,MATCH(B803,KidIDs,0))</f>
        <v>0</v>
      </c>
      <c r="Z803">
        <f>IF(OR(M803="Posse"),1,0)</f>
        <v>0</v>
      </c>
      <c r="AA803">
        <f>IF(ISNUMBER(INDEX(AllCollegeGR, MATCH(N803,AllCollegeNCES,0))),ROUND(INDEX(AllCollegeGR, MATCH(N803,AllCollegeNCES,0))+Z803*IF(INDEX(AllCollegeGR, MATCH(N803,AllCollegeNCES,0))&gt;0.7,(1-INDEX(AllCollegeGR, MATCH(N803,AllCollegeNCES,0)))/2,0.15),2),INDEX(AllCollegeGR, MATCH(N803,AllCollegeNCES,0)))</f>
        <v>0</v>
      </c>
      <c r="AB803">
        <f>IF(ISNUMBER(INDEX(AllCollegeAAHGR, MATCH(N803,AllCollegeNCES,0))),ROUND(INDEX(AllCollegeAAHGR, MATCH(N803,AllCollegeNCES,0))+Z803*IF(INDEX(AllCollegeAAHGR, MATCH(N803,AllCollegeNCES,0))&gt;0.7,(1-INDEX(AllCollegeAAHGR, MATCH(N803,AllCollegeNCES,0)))/2,0.15),2),INDEX(AllCollegeAAHGR, MATCH(N803,AllCollegeNCES,0)))</f>
        <v>0</v>
      </c>
      <c r="AC803">
        <f>IF(OR(W803="H",W803="B"),INDEX(AllCollegeSAT25, MATCH(N803,AllCollegeNCES,0)),INDEX(AllCollegeSAT50, MATCH(N803,AllCollegeNCES,0)))</f>
        <v>0</v>
      </c>
      <c r="AD803">
        <f>INDEX(CustomWeightsGPA,MATCH(W803&amp;":"&amp;N803,CustomWeightsIndex,0))</f>
        <v>0</v>
      </c>
      <c r="AE803">
        <f>INDEX(CustomWeightsSAT,MATCH(W803&amp;":"&amp;N803,CustomWeightsIndex,0))</f>
        <v>0</v>
      </c>
      <c r="AF803">
        <f>INDEX(CustomWeightsIntercept,MATCH(W803&amp;":"&amp;N803,CustomWeightsIndex,0))</f>
        <v>0</v>
      </c>
      <c r="AG803">
        <f>AD803*S803+AE803*T803+AF803</f>
        <v>0</v>
      </c>
      <c r="AH803">
        <f>INDEX(CoefficientsGPA,MATCH(W803&amp;":"&amp;R803,CoefficientsIndex,0))</f>
        <v>0</v>
      </c>
      <c r="AI803">
        <f>INDEX(CoefficientsSAT,MATCH(W803&amp;":"&amp;R803,CoefficientsIndex,0))</f>
        <v>0</v>
      </c>
      <c r="AJ803">
        <f>INDEX(CoefficientsIntercept,MATCH(W803&amp;":"&amp;R803,CoefficientsIndex,0))</f>
        <v>0</v>
      </c>
      <c r="AK803">
        <f>AH803*S803+(T803-AC803)*AI803+AJ803</f>
        <v>0</v>
      </c>
      <c r="AL803">
        <f>IF(ISNUMBER(AG803),AG803,AK803)</f>
        <v>0</v>
      </c>
      <c r="AM803">
        <f>IF(ISNUMBER(AL803),IF(ISNUMBER(AH803),IF(AND(AH803=1,AI803=1,AJ803=1),100,MIN(99,ROUND(100*EXP(AL803)/(1+EXP(AL803)),2))),MIN(99,ROUND(100*EXP(AL803)/(1+EXP(AL803)),2))),IF(ISTEXT(R803),IF(LEFT(R803,1)="2",100,"N/A"),"N/A"))</f>
        <v>0</v>
      </c>
      <c r="AN803">
        <f>IF(ISNUMBER(AM803),IF(AM803&gt;=99,IF(OR(U803=10,U803=11),MatchLabel,SureThingLabel),IF(AM803&gt;=95,SecureLabel,IF(AM803&gt;=80,SafetyLabel,IF(AM803&gt;=50,MatchLabel,IF(AM803&gt;=20,ReachLabel,IF(AM803&gt;=10,LongshotLabel,HailMaryLabel)))))),"Other")</f>
        <v>0</v>
      </c>
      <c r="AO803">
        <f>IF(OR(I803="accepted",I803="cond. accept",I803="summer admit"),IF(J803="yes","CHOICE!","Accepted!"),IF(I803="guar. transfer","Guar. Xfer",IF(I803="denied","Denied",IF(K803=1,"Waitlist",IF(L803=1,"Deferred",IF(G803="pending","Pending",IF(OR(G803="initial materials submitted",G803="mid-year submitted",G803="final submitted"),"Submitted",IF(H803="interest","Interest","?"))))))))</f>
        <v>0</v>
      </c>
      <c r="AP803">
        <f>IF(OR(AN803=ReachLabel,AN803=LongshotLabel,AN803=HailMaryLabel),1,0)</f>
        <v>0</v>
      </c>
      <c r="AQ803">
        <f>IF(OR(AP803=1,AN803=MatchLabel),1,0)</f>
        <v>0</v>
      </c>
      <c r="AR803">
        <f>IF(OR(AN803=MatchLabel,AN803=SafetyLabel,AN803=SecureLabel,AN803=SureThingLabel),1,0)</f>
        <v>0</v>
      </c>
      <c r="AS803">
        <f>IF(OR(W803="H",W803="B",W803="I",W803="M"),IF(ISNUMBER(AB803),ROUND(AB803,2),0),IF(ISNUMBER(AA803),ROUND(AA803,2),0))</f>
        <v>0</v>
      </c>
      <c r="AT803">
        <f>IF(AS803&gt;=X803,1,0)</f>
        <v>0</v>
      </c>
      <c r="AU803">
        <f>IF(AS803&gt;=Y803,1,0)</f>
        <v>0</v>
      </c>
      <c r="AV803">
        <f>IF(AS803&lt;(X803-0.10),1,0)</f>
        <v>0</v>
      </c>
      <c r="AW803">
        <f>1-AM803/100</f>
        <v>0</v>
      </c>
      <c r="AX803">
        <f>IF(AQ803=1,AW803,1)</f>
        <v>0</v>
      </c>
      <c r="AY803">
        <f>IF(AP803=1,AW803,1)</f>
        <v>0</v>
      </c>
      <c r="AZ803">
        <f>IF(AND(AT803=1,ISNUMBER(AW803)),$AW803,1)</f>
        <v>0</v>
      </c>
      <c r="BA803">
        <f>IF(AND(AU803=1,ISNUMBER(AW803)),$AW803,1)</f>
        <v>0</v>
      </c>
      <c r="BB803">
        <f>IF(ISNUMBER(AB803),INDEX(AllCollegeMoney, MATCH(N803,AllCollegeNCES,0)),0)</f>
        <v>0</v>
      </c>
      <c r="BC803">
        <f>IF(AND(AT803=1,ISNUMBER(AW803),BB803=1),$AW803,1)</f>
        <v>0</v>
      </c>
      <c r="BD803">
        <f>IF(AND(AU803=1,ISNUMBER(AW803),BB803=1),$AW803,1)</f>
        <v>0</v>
      </c>
      <c r="BE803">
        <f>IF(ISNUMBER(AB803),INDEX(AllCollegeILPub, MATCH(N803,AllCollegeNCES,0)),0)</f>
        <v>0</v>
      </c>
      <c r="BF803">
        <f>IF(AN803=ReachLabel,AS803,0)</f>
        <v>0</v>
      </c>
      <c r="BG803">
        <f>IF(AN803=MatchLabel,AS803,0)</f>
        <v>0</v>
      </c>
      <c r="BH803">
        <f>IF(AN803=SafetyLabel,AS803,0)</f>
        <v>0</v>
      </c>
      <c r="BI803">
        <f>IF(AN803=SecureLabel,AS803,0)</f>
        <v>0</v>
      </c>
      <c r="BJ803">
        <f>IF(AN803=SureThingLabel,AS803,0)</f>
        <v>0</v>
      </c>
      <c r="BK803">
        <f>MAX(BF803:BJ803)</f>
        <v>0</v>
      </c>
      <c r="BL803">
        <f>MAX(BG803:BJ803)</f>
        <v>0</v>
      </c>
      <c r="BM803">
        <f>MAX(BH803:BJ803)</f>
        <v>0</v>
      </c>
      <c r="BN803">
        <f>IF(AND(AN803=ReachLabel,BB803=1),AS803,0)</f>
        <v>0</v>
      </c>
      <c r="BO803">
        <f>IF(AND(AN803=MatchLabel,BB803=1),AS803,0)</f>
        <v>0</v>
      </c>
      <c r="BP803">
        <f>IF(AND(AN803=SafetyLabel,BB803=1),AS803,0)</f>
        <v>0</v>
      </c>
      <c r="BQ803">
        <f>IF(AND(AN803=SecureLabel,BB803=1),AS803,0)</f>
        <v>0</v>
      </c>
      <c r="BR803">
        <f>IF(AND(AN803=SureThingLabel,BB803=1),AS803,0)</f>
        <v>0</v>
      </c>
      <c r="BS803">
        <f>MAX(BN803:BR803)</f>
        <v>0</v>
      </c>
      <c r="BT803">
        <f>MAX(BO803:BR803)</f>
        <v>0</v>
      </c>
      <c r="BU803">
        <f>MAX(BP803:BR803)</f>
        <v>0</v>
      </c>
      <c r="BV803">
        <f>IF(ISNUMBER(AB803),INDEX(AllCollegeChicago, MATCH(N803,AllCollegeNCES,0))*BB803,0)</f>
        <v>0</v>
      </c>
      <c r="BW803">
        <f>IF(ISNUMBER(AB803),INDEX(AllCollegeMoneyCode, MATCH(N803,AllCollegeNCES,0)),"?")</f>
        <v>0</v>
      </c>
      <c r="BX803">
        <f>IF(OR(BW803="---",BW803="--",BW803="+/--",BW803="+/---"),1,0)</f>
        <v>0</v>
      </c>
      <c r="BY803">
        <f>BB803*AR803*AT803</f>
        <v>0</v>
      </c>
    </row>
    <row r="804" spans="1:77">
      <c r="A804" t="s">
        <v>96</v>
      </c>
      <c r="B804">
        <v>30490744</v>
      </c>
      <c r="C804" t="s">
        <v>218</v>
      </c>
      <c r="D804" t="s">
        <v>219</v>
      </c>
      <c r="E804" t="s">
        <v>446</v>
      </c>
      <c r="F804" t="s">
        <v>569</v>
      </c>
      <c r="G804" t="s">
        <v>448</v>
      </c>
      <c r="H804" t="s">
        <v>449</v>
      </c>
      <c r="I804" t="s">
        <v>450</v>
      </c>
      <c r="J804" t="s">
        <v>450</v>
      </c>
      <c r="K804">
        <v>0</v>
      </c>
      <c r="L804" t="s">
        <v>446</v>
      </c>
      <c r="M804" t="s">
        <v>446</v>
      </c>
      <c r="N804">
        <v>171100</v>
      </c>
      <c r="O804">
        <f>INDEX(Counselor,MATCH(B804,KidIDs,0))</f>
        <v>0</v>
      </c>
      <c r="P804">
        <f>INDEX(Advisors,MATCH(B804,KidIDs,0))</f>
        <v>0</v>
      </c>
      <c r="Q804">
        <f>INDEX(Cohort,MATCH(B804,KidIDs,0))</f>
        <v>0</v>
      </c>
      <c r="R804">
        <f>INDEX(AllCollegeBarrons,MATCH(N804,AllCollegeNCES,0))</f>
        <v>0</v>
      </c>
      <c r="S804">
        <f>INDEX(KidGPAs,MATCH(B804,KidIDs,0))</f>
        <v>0</v>
      </c>
      <c r="T804">
        <f>INDEX(KidSATs,MATCH(B804,KidIDs,0))</f>
        <v>0</v>
      </c>
      <c r="U804">
        <f>INDEX(Strats,MATCH(B804,KidIDs,0))</f>
        <v>0</v>
      </c>
      <c r="V804">
        <f>INDEX(KidRace,MATCH(B804,KidIDs,0))</f>
        <v>0</v>
      </c>
      <c r="W804">
        <f>IF(OR(V804="M",V804="I"),"H",IF(V804="P","A",V804))</f>
        <v>0</v>
      </c>
      <c r="X804">
        <f>INDEX(StudentTargets,MATCH(B804,KidIDs,0))</f>
        <v>0</v>
      </c>
      <c r="Y804">
        <f>INDEX(ReachStudentTargets,MATCH(B804,KidIDs,0))</f>
        <v>0</v>
      </c>
      <c r="Z804">
        <f>IF(OR(M804="Posse"),1,0)</f>
        <v>0</v>
      </c>
      <c r="AA804">
        <f>IF(ISNUMBER(INDEX(AllCollegeGR, MATCH(N804,AllCollegeNCES,0))),ROUND(INDEX(AllCollegeGR, MATCH(N804,AllCollegeNCES,0))+Z804*IF(INDEX(AllCollegeGR, MATCH(N804,AllCollegeNCES,0))&gt;0.7,(1-INDEX(AllCollegeGR, MATCH(N804,AllCollegeNCES,0)))/2,0.15),2),INDEX(AllCollegeGR, MATCH(N804,AllCollegeNCES,0)))</f>
        <v>0</v>
      </c>
      <c r="AB804">
        <f>IF(ISNUMBER(INDEX(AllCollegeAAHGR, MATCH(N804,AllCollegeNCES,0))),ROUND(INDEX(AllCollegeAAHGR, MATCH(N804,AllCollegeNCES,0))+Z804*IF(INDEX(AllCollegeAAHGR, MATCH(N804,AllCollegeNCES,0))&gt;0.7,(1-INDEX(AllCollegeAAHGR, MATCH(N804,AllCollegeNCES,0)))/2,0.15),2),INDEX(AllCollegeAAHGR, MATCH(N804,AllCollegeNCES,0)))</f>
        <v>0</v>
      </c>
      <c r="AC804">
        <f>IF(OR(W804="H",W804="B"),INDEX(AllCollegeSAT25, MATCH(N804,AllCollegeNCES,0)),INDEX(AllCollegeSAT50, MATCH(N804,AllCollegeNCES,0)))</f>
        <v>0</v>
      </c>
      <c r="AD804">
        <f>INDEX(CustomWeightsGPA,MATCH(W804&amp;":"&amp;N804,CustomWeightsIndex,0))</f>
        <v>0</v>
      </c>
      <c r="AE804">
        <f>INDEX(CustomWeightsSAT,MATCH(W804&amp;":"&amp;N804,CustomWeightsIndex,0))</f>
        <v>0</v>
      </c>
      <c r="AF804">
        <f>INDEX(CustomWeightsIntercept,MATCH(W804&amp;":"&amp;N804,CustomWeightsIndex,0))</f>
        <v>0</v>
      </c>
      <c r="AG804">
        <f>AD804*S804+AE804*T804+AF804</f>
        <v>0</v>
      </c>
      <c r="AH804">
        <f>INDEX(CoefficientsGPA,MATCH(W804&amp;":"&amp;R804,CoefficientsIndex,0))</f>
        <v>0</v>
      </c>
      <c r="AI804">
        <f>INDEX(CoefficientsSAT,MATCH(W804&amp;":"&amp;R804,CoefficientsIndex,0))</f>
        <v>0</v>
      </c>
      <c r="AJ804">
        <f>INDEX(CoefficientsIntercept,MATCH(W804&amp;":"&amp;R804,CoefficientsIndex,0))</f>
        <v>0</v>
      </c>
      <c r="AK804">
        <f>AH804*S804+(T804-AC804)*AI804+AJ804</f>
        <v>0</v>
      </c>
      <c r="AL804">
        <f>IF(ISNUMBER(AG804),AG804,AK804)</f>
        <v>0</v>
      </c>
      <c r="AM804">
        <f>IF(ISNUMBER(AL804),IF(ISNUMBER(AH804),IF(AND(AH804=1,AI804=1,AJ804=1),100,MIN(99,ROUND(100*EXP(AL804)/(1+EXP(AL804)),2))),MIN(99,ROUND(100*EXP(AL804)/(1+EXP(AL804)),2))),IF(ISTEXT(R804),IF(LEFT(R804,1)="2",100,"N/A"),"N/A"))</f>
        <v>0</v>
      </c>
      <c r="AN804">
        <f>IF(ISNUMBER(AM804),IF(AM804&gt;=99,IF(OR(U804=10,U804=11),MatchLabel,SureThingLabel),IF(AM804&gt;=95,SecureLabel,IF(AM804&gt;=80,SafetyLabel,IF(AM804&gt;=50,MatchLabel,IF(AM804&gt;=20,ReachLabel,IF(AM804&gt;=10,LongshotLabel,HailMaryLabel)))))),"Other")</f>
        <v>0</v>
      </c>
      <c r="AO804">
        <f>IF(OR(I804="accepted",I804="cond. accept",I804="summer admit"),IF(J804="yes","CHOICE!","Accepted!"),IF(I804="guar. transfer","Guar. Xfer",IF(I804="denied","Denied",IF(K804=1,"Waitlist",IF(L804=1,"Deferred",IF(G804="pending","Pending",IF(OR(G804="initial materials submitted",G804="mid-year submitted",G804="final submitted"),"Submitted",IF(H804="interest","Interest","?"))))))))</f>
        <v>0</v>
      </c>
      <c r="AP804">
        <f>IF(OR(AN804=ReachLabel,AN804=LongshotLabel,AN804=HailMaryLabel),1,0)</f>
        <v>0</v>
      </c>
      <c r="AQ804">
        <f>IF(OR(AP804=1,AN804=MatchLabel),1,0)</f>
        <v>0</v>
      </c>
      <c r="AR804">
        <f>IF(OR(AN804=MatchLabel,AN804=SafetyLabel,AN804=SecureLabel,AN804=SureThingLabel),1,0)</f>
        <v>0</v>
      </c>
      <c r="AS804">
        <f>IF(OR(W804="H",W804="B",W804="I",W804="M"),IF(ISNUMBER(AB804),ROUND(AB804,2),0),IF(ISNUMBER(AA804),ROUND(AA804,2),0))</f>
        <v>0</v>
      </c>
      <c r="AT804">
        <f>IF(AS804&gt;=X804,1,0)</f>
        <v>0</v>
      </c>
      <c r="AU804">
        <f>IF(AS804&gt;=Y804,1,0)</f>
        <v>0</v>
      </c>
      <c r="AV804">
        <f>IF(AS804&lt;(X804-0.10),1,0)</f>
        <v>0</v>
      </c>
      <c r="AW804">
        <f>1-AM804/100</f>
        <v>0</v>
      </c>
      <c r="AX804">
        <f>IF(AQ804=1,AW804,1)</f>
        <v>0</v>
      </c>
      <c r="AY804">
        <f>IF(AP804=1,AW804,1)</f>
        <v>0</v>
      </c>
      <c r="AZ804">
        <f>IF(AND(AT804=1,ISNUMBER(AW804)),$AW804,1)</f>
        <v>0</v>
      </c>
      <c r="BA804">
        <f>IF(AND(AU804=1,ISNUMBER(AW804)),$AW804,1)</f>
        <v>0</v>
      </c>
      <c r="BB804">
        <f>IF(ISNUMBER(AB804),INDEX(AllCollegeMoney, MATCH(N804,AllCollegeNCES,0)),0)</f>
        <v>0</v>
      </c>
      <c r="BC804">
        <f>IF(AND(AT804=1,ISNUMBER(AW804),BB804=1),$AW804,1)</f>
        <v>0</v>
      </c>
      <c r="BD804">
        <f>IF(AND(AU804=1,ISNUMBER(AW804),BB804=1),$AW804,1)</f>
        <v>0</v>
      </c>
      <c r="BE804">
        <f>IF(ISNUMBER(AB804),INDEX(AllCollegeILPub, MATCH(N804,AllCollegeNCES,0)),0)</f>
        <v>0</v>
      </c>
      <c r="BF804">
        <f>IF(AN804=ReachLabel,AS804,0)</f>
        <v>0</v>
      </c>
      <c r="BG804">
        <f>IF(AN804=MatchLabel,AS804,0)</f>
        <v>0</v>
      </c>
      <c r="BH804">
        <f>IF(AN804=SafetyLabel,AS804,0)</f>
        <v>0</v>
      </c>
      <c r="BI804">
        <f>IF(AN804=SecureLabel,AS804,0)</f>
        <v>0</v>
      </c>
      <c r="BJ804">
        <f>IF(AN804=SureThingLabel,AS804,0)</f>
        <v>0</v>
      </c>
      <c r="BK804">
        <f>MAX(BF804:BJ804)</f>
        <v>0</v>
      </c>
      <c r="BL804">
        <f>MAX(BG804:BJ804)</f>
        <v>0</v>
      </c>
      <c r="BM804">
        <f>MAX(BH804:BJ804)</f>
        <v>0</v>
      </c>
      <c r="BN804">
        <f>IF(AND(AN804=ReachLabel,BB804=1),AS804,0)</f>
        <v>0</v>
      </c>
      <c r="BO804">
        <f>IF(AND(AN804=MatchLabel,BB804=1),AS804,0)</f>
        <v>0</v>
      </c>
      <c r="BP804">
        <f>IF(AND(AN804=SafetyLabel,BB804=1),AS804,0)</f>
        <v>0</v>
      </c>
      <c r="BQ804">
        <f>IF(AND(AN804=SecureLabel,BB804=1),AS804,0)</f>
        <v>0</v>
      </c>
      <c r="BR804">
        <f>IF(AND(AN804=SureThingLabel,BB804=1),AS804,0)</f>
        <v>0</v>
      </c>
      <c r="BS804">
        <f>MAX(BN804:BR804)</f>
        <v>0</v>
      </c>
      <c r="BT804">
        <f>MAX(BO804:BR804)</f>
        <v>0</v>
      </c>
      <c r="BU804">
        <f>MAX(BP804:BR804)</f>
        <v>0</v>
      </c>
      <c r="BV804">
        <f>IF(ISNUMBER(AB804),INDEX(AllCollegeChicago, MATCH(N804,AllCollegeNCES,0))*BB804,0)</f>
        <v>0</v>
      </c>
      <c r="BW804">
        <f>IF(ISNUMBER(AB804),INDEX(AllCollegeMoneyCode, MATCH(N804,AllCollegeNCES,0)),"?")</f>
        <v>0</v>
      </c>
      <c r="BX804">
        <f>IF(OR(BW804="---",BW804="--",BW804="+/--",BW804="+/---"),1,0)</f>
        <v>0</v>
      </c>
      <c r="BY804">
        <f>BB804*AR804*AT804</f>
        <v>0</v>
      </c>
    </row>
    <row r="805" spans="1:77">
      <c r="A805" t="s">
        <v>96</v>
      </c>
      <c r="B805">
        <v>30490744</v>
      </c>
      <c r="C805" t="s">
        <v>218</v>
      </c>
      <c r="D805" t="s">
        <v>219</v>
      </c>
      <c r="E805" t="s">
        <v>446</v>
      </c>
      <c r="F805" t="s">
        <v>489</v>
      </c>
      <c r="G805" t="s">
        <v>479</v>
      </c>
      <c r="H805" t="s">
        <v>449</v>
      </c>
      <c r="I805" t="s">
        <v>450</v>
      </c>
      <c r="J805" t="s">
        <v>450</v>
      </c>
      <c r="K805">
        <v>0</v>
      </c>
      <c r="L805" t="s">
        <v>446</v>
      </c>
      <c r="M805" t="s">
        <v>446</v>
      </c>
      <c r="N805">
        <v>170301</v>
      </c>
      <c r="O805">
        <f>INDEX(Counselor,MATCH(B805,KidIDs,0))</f>
        <v>0</v>
      </c>
      <c r="P805">
        <f>INDEX(Advisors,MATCH(B805,KidIDs,0))</f>
        <v>0</v>
      </c>
      <c r="Q805">
        <f>INDEX(Cohort,MATCH(B805,KidIDs,0))</f>
        <v>0</v>
      </c>
      <c r="R805">
        <f>INDEX(AllCollegeBarrons,MATCH(N805,AllCollegeNCES,0))</f>
        <v>0</v>
      </c>
      <c r="S805">
        <f>INDEX(KidGPAs,MATCH(B805,KidIDs,0))</f>
        <v>0</v>
      </c>
      <c r="T805">
        <f>INDEX(KidSATs,MATCH(B805,KidIDs,0))</f>
        <v>0</v>
      </c>
      <c r="U805">
        <f>INDEX(Strats,MATCH(B805,KidIDs,0))</f>
        <v>0</v>
      </c>
      <c r="V805">
        <f>INDEX(KidRace,MATCH(B805,KidIDs,0))</f>
        <v>0</v>
      </c>
      <c r="W805">
        <f>IF(OR(V805="M",V805="I"),"H",IF(V805="P","A",V805))</f>
        <v>0</v>
      </c>
      <c r="X805">
        <f>INDEX(StudentTargets,MATCH(B805,KidIDs,0))</f>
        <v>0</v>
      </c>
      <c r="Y805">
        <f>INDEX(ReachStudentTargets,MATCH(B805,KidIDs,0))</f>
        <v>0</v>
      </c>
      <c r="Z805">
        <f>IF(OR(M805="Posse"),1,0)</f>
        <v>0</v>
      </c>
      <c r="AA805">
        <f>IF(ISNUMBER(INDEX(AllCollegeGR, MATCH(N805,AllCollegeNCES,0))),ROUND(INDEX(AllCollegeGR, MATCH(N805,AllCollegeNCES,0))+Z805*IF(INDEX(AllCollegeGR, MATCH(N805,AllCollegeNCES,0))&gt;0.7,(1-INDEX(AllCollegeGR, MATCH(N805,AllCollegeNCES,0)))/2,0.15),2),INDEX(AllCollegeGR, MATCH(N805,AllCollegeNCES,0)))</f>
        <v>0</v>
      </c>
      <c r="AB805">
        <f>IF(ISNUMBER(INDEX(AllCollegeAAHGR, MATCH(N805,AllCollegeNCES,0))),ROUND(INDEX(AllCollegeAAHGR, MATCH(N805,AllCollegeNCES,0))+Z805*IF(INDEX(AllCollegeAAHGR, MATCH(N805,AllCollegeNCES,0))&gt;0.7,(1-INDEX(AllCollegeAAHGR, MATCH(N805,AllCollegeNCES,0)))/2,0.15),2),INDEX(AllCollegeAAHGR, MATCH(N805,AllCollegeNCES,0)))</f>
        <v>0</v>
      </c>
      <c r="AC805">
        <f>IF(OR(W805="H",W805="B"),INDEX(AllCollegeSAT25, MATCH(N805,AllCollegeNCES,0)),INDEX(AllCollegeSAT50, MATCH(N805,AllCollegeNCES,0)))</f>
        <v>0</v>
      </c>
      <c r="AD805">
        <f>INDEX(CustomWeightsGPA,MATCH(W805&amp;":"&amp;N805,CustomWeightsIndex,0))</f>
        <v>0</v>
      </c>
      <c r="AE805">
        <f>INDEX(CustomWeightsSAT,MATCH(W805&amp;":"&amp;N805,CustomWeightsIndex,0))</f>
        <v>0</v>
      </c>
      <c r="AF805">
        <f>INDEX(CustomWeightsIntercept,MATCH(W805&amp;":"&amp;N805,CustomWeightsIndex,0))</f>
        <v>0</v>
      </c>
      <c r="AG805">
        <f>AD805*S805+AE805*T805+AF805</f>
        <v>0</v>
      </c>
      <c r="AH805">
        <f>INDEX(CoefficientsGPA,MATCH(W805&amp;":"&amp;R805,CoefficientsIndex,0))</f>
        <v>0</v>
      </c>
      <c r="AI805">
        <f>INDEX(CoefficientsSAT,MATCH(W805&amp;":"&amp;R805,CoefficientsIndex,0))</f>
        <v>0</v>
      </c>
      <c r="AJ805">
        <f>INDEX(CoefficientsIntercept,MATCH(W805&amp;":"&amp;R805,CoefficientsIndex,0))</f>
        <v>0</v>
      </c>
      <c r="AK805">
        <f>AH805*S805+(T805-AC805)*AI805+AJ805</f>
        <v>0</v>
      </c>
      <c r="AL805">
        <f>IF(ISNUMBER(AG805),AG805,AK805)</f>
        <v>0</v>
      </c>
      <c r="AM805">
        <f>IF(ISNUMBER(AL805),IF(ISNUMBER(AH805),IF(AND(AH805=1,AI805=1,AJ805=1),100,MIN(99,ROUND(100*EXP(AL805)/(1+EXP(AL805)),2))),MIN(99,ROUND(100*EXP(AL805)/(1+EXP(AL805)),2))),IF(ISTEXT(R805),IF(LEFT(R805,1)="2",100,"N/A"),"N/A"))</f>
        <v>0</v>
      </c>
      <c r="AN805">
        <f>IF(ISNUMBER(AM805),IF(AM805&gt;=99,IF(OR(U805=10,U805=11),MatchLabel,SureThingLabel),IF(AM805&gt;=95,SecureLabel,IF(AM805&gt;=80,SafetyLabel,IF(AM805&gt;=50,MatchLabel,IF(AM805&gt;=20,ReachLabel,IF(AM805&gt;=10,LongshotLabel,HailMaryLabel)))))),"Other")</f>
        <v>0</v>
      </c>
      <c r="AO805">
        <f>IF(OR(I805="accepted",I805="cond. accept",I805="summer admit"),IF(J805="yes","CHOICE!","Accepted!"),IF(I805="guar. transfer","Guar. Xfer",IF(I805="denied","Denied",IF(K805=1,"Waitlist",IF(L805=1,"Deferred",IF(G805="pending","Pending",IF(OR(G805="initial materials submitted",G805="mid-year submitted",G805="final submitted"),"Submitted",IF(H805="interest","Interest","?"))))))))</f>
        <v>0</v>
      </c>
      <c r="AP805">
        <f>IF(OR(AN805=ReachLabel,AN805=LongshotLabel,AN805=HailMaryLabel),1,0)</f>
        <v>0</v>
      </c>
      <c r="AQ805">
        <f>IF(OR(AP805=1,AN805=MatchLabel),1,0)</f>
        <v>0</v>
      </c>
      <c r="AR805">
        <f>IF(OR(AN805=MatchLabel,AN805=SafetyLabel,AN805=SecureLabel,AN805=SureThingLabel),1,0)</f>
        <v>0</v>
      </c>
      <c r="AS805">
        <f>IF(OR(W805="H",W805="B",W805="I",W805="M"),IF(ISNUMBER(AB805),ROUND(AB805,2),0),IF(ISNUMBER(AA805),ROUND(AA805,2),0))</f>
        <v>0</v>
      </c>
      <c r="AT805">
        <f>IF(AS805&gt;=X805,1,0)</f>
        <v>0</v>
      </c>
      <c r="AU805">
        <f>IF(AS805&gt;=Y805,1,0)</f>
        <v>0</v>
      </c>
      <c r="AV805">
        <f>IF(AS805&lt;(X805-0.10),1,0)</f>
        <v>0</v>
      </c>
      <c r="AW805">
        <f>1-AM805/100</f>
        <v>0</v>
      </c>
      <c r="AX805">
        <f>IF(AQ805=1,AW805,1)</f>
        <v>0</v>
      </c>
      <c r="AY805">
        <f>IF(AP805=1,AW805,1)</f>
        <v>0</v>
      </c>
      <c r="AZ805">
        <f>IF(AND(AT805=1,ISNUMBER(AW805)),$AW805,1)</f>
        <v>0</v>
      </c>
      <c r="BA805">
        <f>IF(AND(AU805=1,ISNUMBER(AW805)),$AW805,1)</f>
        <v>0</v>
      </c>
      <c r="BB805">
        <f>IF(ISNUMBER(AB805),INDEX(AllCollegeMoney, MATCH(N805,AllCollegeNCES,0)),0)</f>
        <v>0</v>
      </c>
      <c r="BC805">
        <f>IF(AND(AT805=1,ISNUMBER(AW805),BB805=1),$AW805,1)</f>
        <v>0</v>
      </c>
      <c r="BD805">
        <f>IF(AND(AU805=1,ISNUMBER(AW805),BB805=1),$AW805,1)</f>
        <v>0</v>
      </c>
      <c r="BE805">
        <f>IF(ISNUMBER(AB805),INDEX(AllCollegeILPub, MATCH(N805,AllCollegeNCES,0)),0)</f>
        <v>0</v>
      </c>
      <c r="BF805">
        <f>IF(AN805=ReachLabel,AS805,0)</f>
        <v>0</v>
      </c>
      <c r="BG805">
        <f>IF(AN805=MatchLabel,AS805,0)</f>
        <v>0</v>
      </c>
      <c r="BH805">
        <f>IF(AN805=SafetyLabel,AS805,0)</f>
        <v>0</v>
      </c>
      <c r="BI805">
        <f>IF(AN805=SecureLabel,AS805,0)</f>
        <v>0</v>
      </c>
      <c r="BJ805">
        <f>IF(AN805=SureThingLabel,AS805,0)</f>
        <v>0</v>
      </c>
      <c r="BK805">
        <f>MAX(BF805:BJ805)</f>
        <v>0</v>
      </c>
      <c r="BL805">
        <f>MAX(BG805:BJ805)</f>
        <v>0</v>
      </c>
      <c r="BM805">
        <f>MAX(BH805:BJ805)</f>
        <v>0</v>
      </c>
      <c r="BN805">
        <f>IF(AND(AN805=ReachLabel,BB805=1),AS805,0)</f>
        <v>0</v>
      </c>
      <c r="BO805">
        <f>IF(AND(AN805=MatchLabel,BB805=1),AS805,0)</f>
        <v>0</v>
      </c>
      <c r="BP805">
        <f>IF(AND(AN805=SafetyLabel,BB805=1),AS805,0)</f>
        <v>0</v>
      </c>
      <c r="BQ805">
        <f>IF(AND(AN805=SecureLabel,BB805=1),AS805,0)</f>
        <v>0</v>
      </c>
      <c r="BR805">
        <f>IF(AND(AN805=SureThingLabel,BB805=1),AS805,0)</f>
        <v>0</v>
      </c>
      <c r="BS805">
        <f>MAX(BN805:BR805)</f>
        <v>0</v>
      </c>
      <c r="BT805">
        <f>MAX(BO805:BR805)</f>
        <v>0</v>
      </c>
      <c r="BU805">
        <f>MAX(BP805:BR805)</f>
        <v>0</v>
      </c>
      <c r="BV805">
        <f>IF(ISNUMBER(AB805),INDEX(AllCollegeChicago, MATCH(N805,AllCollegeNCES,0))*BB805,0)</f>
        <v>0</v>
      </c>
      <c r="BW805">
        <f>IF(ISNUMBER(AB805),INDEX(AllCollegeMoneyCode, MATCH(N805,AllCollegeNCES,0)),"?")</f>
        <v>0</v>
      </c>
      <c r="BX805">
        <f>IF(OR(BW805="---",BW805="--",BW805="+/--",BW805="+/---"),1,0)</f>
        <v>0</v>
      </c>
      <c r="BY805">
        <f>BB805*AR805*AT805</f>
        <v>0</v>
      </c>
    </row>
    <row r="806" spans="1:77">
      <c r="A806" t="s">
        <v>96</v>
      </c>
      <c r="B806">
        <v>30490744</v>
      </c>
      <c r="C806" t="s">
        <v>218</v>
      </c>
      <c r="D806" t="s">
        <v>219</v>
      </c>
      <c r="E806" t="s">
        <v>446</v>
      </c>
      <c r="F806" t="s">
        <v>501</v>
      </c>
      <c r="G806" t="s">
        <v>479</v>
      </c>
      <c r="H806" t="s">
        <v>449</v>
      </c>
      <c r="I806" t="s">
        <v>450</v>
      </c>
      <c r="J806" t="s">
        <v>450</v>
      </c>
      <c r="K806">
        <v>0</v>
      </c>
      <c r="L806" t="s">
        <v>446</v>
      </c>
      <c r="M806" t="s">
        <v>446</v>
      </c>
      <c r="N806">
        <v>144740</v>
      </c>
      <c r="O806">
        <f>INDEX(Counselor,MATCH(B806,KidIDs,0))</f>
        <v>0</v>
      </c>
      <c r="P806">
        <f>INDEX(Advisors,MATCH(B806,KidIDs,0))</f>
        <v>0</v>
      </c>
      <c r="Q806">
        <f>INDEX(Cohort,MATCH(B806,KidIDs,0))</f>
        <v>0</v>
      </c>
      <c r="R806">
        <f>INDEX(AllCollegeBarrons,MATCH(N806,AllCollegeNCES,0))</f>
        <v>0</v>
      </c>
      <c r="S806">
        <f>INDEX(KidGPAs,MATCH(B806,KidIDs,0))</f>
        <v>0</v>
      </c>
      <c r="T806">
        <f>INDEX(KidSATs,MATCH(B806,KidIDs,0))</f>
        <v>0</v>
      </c>
      <c r="U806">
        <f>INDEX(Strats,MATCH(B806,KidIDs,0))</f>
        <v>0</v>
      </c>
      <c r="V806">
        <f>INDEX(KidRace,MATCH(B806,KidIDs,0))</f>
        <v>0</v>
      </c>
      <c r="W806">
        <f>IF(OR(V806="M",V806="I"),"H",IF(V806="P","A",V806))</f>
        <v>0</v>
      </c>
      <c r="X806">
        <f>INDEX(StudentTargets,MATCH(B806,KidIDs,0))</f>
        <v>0</v>
      </c>
      <c r="Y806">
        <f>INDEX(ReachStudentTargets,MATCH(B806,KidIDs,0))</f>
        <v>0</v>
      </c>
      <c r="Z806">
        <f>IF(OR(M806="Posse"),1,0)</f>
        <v>0</v>
      </c>
      <c r="AA806">
        <f>IF(ISNUMBER(INDEX(AllCollegeGR, MATCH(N806,AllCollegeNCES,0))),ROUND(INDEX(AllCollegeGR, MATCH(N806,AllCollegeNCES,0))+Z806*IF(INDEX(AllCollegeGR, MATCH(N806,AllCollegeNCES,0))&gt;0.7,(1-INDEX(AllCollegeGR, MATCH(N806,AllCollegeNCES,0)))/2,0.15),2),INDEX(AllCollegeGR, MATCH(N806,AllCollegeNCES,0)))</f>
        <v>0</v>
      </c>
      <c r="AB806">
        <f>IF(ISNUMBER(INDEX(AllCollegeAAHGR, MATCH(N806,AllCollegeNCES,0))),ROUND(INDEX(AllCollegeAAHGR, MATCH(N806,AllCollegeNCES,0))+Z806*IF(INDEX(AllCollegeAAHGR, MATCH(N806,AllCollegeNCES,0))&gt;0.7,(1-INDEX(AllCollegeAAHGR, MATCH(N806,AllCollegeNCES,0)))/2,0.15),2),INDEX(AllCollegeAAHGR, MATCH(N806,AllCollegeNCES,0)))</f>
        <v>0</v>
      </c>
      <c r="AC806">
        <f>IF(OR(W806="H",W806="B"),INDEX(AllCollegeSAT25, MATCH(N806,AllCollegeNCES,0)),INDEX(AllCollegeSAT50, MATCH(N806,AllCollegeNCES,0)))</f>
        <v>0</v>
      </c>
      <c r="AD806">
        <f>INDEX(CustomWeightsGPA,MATCH(W806&amp;":"&amp;N806,CustomWeightsIndex,0))</f>
        <v>0</v>
      </c>
      <c r="AE806">
        <f>INDEX(CustomWeightsSAT,MATCH(W806&amp;":"&amp;N806,CustomWeightsIndex,0))</f>
        <v>0</v>
      </c>
      <c r="AF806">
        <f>INDEX(CustomWeightsIntercept,MATCH(W806&amp;":"&amp;N806,CustomWeightsIndex,0))</f>
        <v>0</v>
      </c>
      <c r="AG806">
        <f>AD806*S806+AE806*T806+AF806</f>
        <v>0</v>
      </c>
      <c r="AH806">
        <f>INDEX(CoefficientsGPA,MATCH(W806&amp;":"&amp;R806,CoefficientsIndex,0))</f>
        <v>0</v>
      </c>
      <c r="AI806">
        <f>INDEX(CoefficientsSAT,MATCH(W806&amp;":"&amp;R806,CoefficientsIndex,0))</f>
        <v>0</v>
      </c>
      <c r="AJ806">
        <f>INDEX(CoefficientsIntercept,MATCH(W806&amp;":"&amp;R806,CoefficientsIndex,0))</f>
        <v>0</v>
      </c>
      <c r="AK806">
        <f>AH806*S806+(T806-AC806)*AI806+AJ806</f>
        <v>0</v>
      </c>
      <c r="AL806">
        <f>IF(ISNUMBER(AG806),AG806,AK806)</f>
        <v>0</v>
      </c>
      <c r="AM806">
        <f>IF(ISNUMBER(AL806),IF(ISNUMBER(AH806),IF(AND(AH806=1,AI806=1,AJ806=1),100,MIN(99,ROUND(100*EXP(AL806)/(1+EXP(AL806)),2))),MIN(99,ROUND(100*EXP(AL806)/(1+EXP(AL806)),2))),IF(ISTEXT(R806),IF(LEFT(R806,1)="2",100,"N/A"),"N/A"))</f>
        <v>0</v>
      </c>
      <c r="AN806">
        <f>IF(ISNUMBER(AM806),IF(AM806&gt;=99,IF(OR(U806=10,U806=11),MatchLabel,SureThingLabel),IF(AM806&gt;=95,SecureLabel,IF(AM806&gt;=80,SafetyLabel,IF(AM806&gt;=50,MatchLabel,IF(AM806&gt;=20,ReachLabel,IF(AM806&gt;=10,LongshotLabel,HailMaryLabel)))))),"Other")</f>
        <v>0</v>
      </c>
      <c r="AO806">
        <f>IF(OR(I806="accepted",I806="cond. accept",I806="summer admit"),IF(J806="yes","CHOICE!","Accepted!"),IF(I806="guar. transfer","Guar. Xfer",IF(I806="denied","Denied",IF(K806=1,"Waitlist",IF(L806=1,"Deferred",IF(G806="pending","Pending",IF(OR(G806="initial materials submitted",G806="mid-year submitted",G806="final submitted"),"Submitted",IF(H806="interest","Interest","?"))))))))</f>
        <v>0</v>
      </c>
      <c r="AP806">
        <f>IF(OR(AN806=ReachLabel,AN806=LongshotLabel,AN806=HailMaryLabel),1,0)</f>
        <v>0</v>
      </c>
      <c r="AQ806">
        <f>IF(OR(AP806=1,AN806=MatchLabel),1,0)</f>
        <v>0</v>
      </c>
      <c r="AR806">
        <f>IF(OR(AN806=MatchLabel,AN806=SafetyLabel,AN806=SecureLabel,AN806=SureThingLabel),1,0)</f>
        <v>0</v>
      </c>
      <c r="AS806">
        <f>IF(OR(W806="H",W806="B",W806="I",W806="M"),IF(ISNUMBER(AB806),ROUND(AB806,2),0),IF(ISNUMBER(AA806),ROUND(AA806,2),0))</f>
        <v>0</v>
      </c>
      <c r="AT806">
        <f>IF(AS806&gt;=X806,1,0)</f>
        <v>0</v>
      </c>
      <c r="AU806">
        <f>IF(AS806&gt;=Y806,1,0)</f>
        <v>0</v>
      </c>
      <c r="AV806">
        <f>IF(AS806&lt;(X806-0.10),1,0)</f>
        <v>0</v>
      </c>
      <c r="AW806">
        <f>1-AM806/100</f>
        <v>0</v>
      </c>
      <c r="AX806">
        <f>IF(AQ806=1,AW806,1)</f>
        <v>0</v>
      </c>
      <c r="AY806">
        <f>IF(AP806=1,AW806,1)</f>
        <v>0</v>
      </c>
      <c r="AZ806">
        <f>IF(AND(AT806=1,ISNUMBER(AW806)),$AW806,1)</f>
        <v>0</v>
      </c>
      <c r="BA806">
        <f>IF(AND(AU806=1,ISNUMBER(AW806)),$AW806,1)</f>
        <v>0</v>
      </c>
      <c r="BB806">
        <f>IF(ISNUMBER(AB806),INDEX(AllCollegeMoney, MATCH(N806,AllCollegeNCES,0)),0)</f>
        <v>0</v>
      </c>
      <c r="BC806">
        <f>IF(AND(AT806=1,ISNUMBER(AW806),BB806=1),$AW806,1)</f>
        <v>0</v>
      </c>
      <c r="BD806">
        <f>IF(AND(AU806=1,ISNUMBER(AW806),BB806=1),$AW806,1)</f>
        <v>0</v>
      </c>
      <c r="BE806">
        <f>IF(ISNUMBER(AB806),INDEX(AllCollegeILPub, MATCH(N806,AllCollegeNCES,0)),0)</f>
        <v>0</v>
      </c>
      <c r="BF806">
        <f>IF(AN806=ReachLabel,AS806,0)</f>
        <v>0</v>
      </c>
      <c r="BG806">
        <f>IF(AN806=MatchLabel,AS806,0)</f>
        <v>0</v>
      </c>
      <c r="BH806">
        <f>IF(AN806=SafetyLabel,AS806,0)</f>
        <v>0</v>
      </c>
      <c r="BI806">
        <f>IF(AN806=SecureLabel,AS806,0)</f>
        <v>0</v>
      </c>
      <c r="BJ806">
        <f>IF(AN806=SureThingLabel,AS806,0)</f>
        <v>0</v>
      </c>
      <c r="BK806">
        <f>MAX(BF806:BJ806)</f>
        <v>0</v>
      </c>
      <c r="BL806">
        <f>MAX(BG806:BJ806)</f>
        <v>0</v>
      </c>
      <c r="BM806">
        <f>MAX(BH806:BJ806)</f>
        <v>0</v>
      </c>
      <c r="BN806">
        <f>IF(AND(AN806=ReachLabel,BB806=1),AS806,0)</f>
        <v>0</v>
      </c>
      <c r="BO806">
        <f>IF(AND(AN806=MatchLabel,BB806=1),AS806,0)</f>
        <v>0</v>
      </c>
      <c r="BP806">
        <f>IF(AND(AN806=SafetyLabel,BB806=1),AS806,0)</f>
        <v>0</v>
      </c>
      <c r="BQ806">
        <f>IF(AND(AN806=SecureLabel,BB806=1),AS806,0)</f>
        <v>0</v>
      </c>
      <c r="BR806">
        <f>IF(AND(AN806=SureThingLabel,BB806=1),AS806,0)</f>
        <v>0</v>
      </c>
      <c r="BS806">
        <f>MAX(BN806:BR806)</f>
        <v>0</v>
      </c>
      <c r="BT806">
        <f>MAX(BO806:BR806)</f>
        <v>0</v>
      </c>
      <c r="BU806">
        <f>MAX(BP806:BR806)</f>
        <v>0</v>
      </c>
      <c r="BV806">
        <f>IF(ISNUMBER(AB806),INDEX(AllCollegeChicago, MATCH(N806,AllCollegeNCES,0))*BB806,0)</f>
        <v>0</v>
      </c>
      <c r="BW806">
        <f>IF(ISNUMBER(AB806),INDEX(AllCollegeMoneyCode, MATCH(N806,AllCollegeNCES,0)),"?")</f>
        <v>0</v>
      </c>
      <c r="BX806">
        <f>IF(OR(BW806="---",BW806="--",BW806="+/--",BW806="+/---"),1,0)</f>
        <v>0</v>
      </c>
      <c r="BY806">
        <f>BB806*AR806*AT806</f>
        <v>0</v>
      </c>
    </row>
    <row r="807" spans="1:77">
      <c r="A807" t="s">
        <v>96</v>
      </c>
      <c r="B807">
        <v>30490744</v>
      </c>
      <c r="C807" t="s">
        <v>218</v>
      </c>
      <c r="D807" t="s">
        <v>219</v>
      </c>
      <c r="E807" t="s">
        <v>446</v>
      </c>
      <c r="F807" t="s">
        <v>478</v>
      </c>
      <c r="G807" t="s">
        <v>479</v>
      </c>
      <c r="H807" t="s">
        <v>449</v>
      </c>
      <c r="I807" t="s">
        <v>450</v>
      </c>
      <c r="J807" t="s">
        <v>450</v>
      </c>
      <c r="K807">
        <v>0</v>
      </c>
      <c r="L807" t="s">
        <v>446</v>
      </c>
      <c r="M807" t="s">
        <v>446</v>
      </c>
      <c r="N807">
        <v>168546</v>
      </c>
      <c r="O807">
        <f>INDEX(Counselor,MATCH(B807,KidIDs,0))</f>
        <v>0</v>
      </c>
      <c r="P807">
        <f>INDEX(Advisors,MATCH(B807,KidIDs,0))</f>
        <v>0</v>
      </c>
      <c r="Q807">
        <f>INDEX(Cohort,MATCH(B807,KidIDs,0))</f>
        <v>0</v>
      </c>
      <c r="R807">
        <f>INDEX(AllCollegeBarrons,MATCH(N807,AllCollegeNCES,0))</f>
        <v>0</v>
      </c>
      <c r="S807">
        <f>INDEX(KidGPAs,MATCH(B807,KidIDs,0))</f>
        <v>0</v>
      </c>
      <c r="T807">
        <f>INDEX(KidSATs,MATCH(B807,KidIDs,0))</f>
        <v>0</v>
      </c>
      <c r="U807">
        <f>INDEX(Strats,MATCH(B807,KidIDs,0))</f>
        <v>0</v>
      </c>
      <c r="V807">
        <f>INDEX(KidRace,MATCH(B807,KidIDs,0))</f>
        <v>0</v>
      </c>
      <c r="W807">
        <f>IF(OR(V807="M",V807="I"),"H",IF(V807="P","A",V807))</f>
        <v>0</v>
      </c>
      <c r="X807">
        <f>INDEX(StudentTargets,MATCH(B807,KidIDs,0))</f>
        <v>0</v>
      </c>
      <c r="Y807">
        <f>INDEX(ReachStudentTargets,MATCH(B807,KidIDs,0))</f>
        <v>0</v>
      </c>
      <c r="Z807">
        <f>IF(OR(M807="Posse"),1,0)</f>
        <v>0</v>
      </c>
      <c r="AA807">
        <f>IF(ISNUMBER(INDEX(AllCollegeGR, MATCH(N807,AllCollegeNCES,0))),ROUND(INDEX(AllCollegeGR, MATCH(N807,AllCollegeNCES,0))+Z807*IF(INDEX(AllCollegeGR, MATCH(N807,AllCollegeNCES,0))&gt;0.7,(1-INDEX(AllCollegeGR, MATCH(N807,AllCollegeNCES,0)))/2,0.15),2),INDEX(AllCollegeGR, MATCH(N807,AllCollegeNCES,0)))</f>
        <v>0</v>
      </c>
      <c r="AB807">
        <f>IF(ISNUMBER(INDEX(AllCollegeAAHGR, MATCH(N807,AllCollegeNCES,0))),ROUND(INDEX(AllCollegeAAHGR, MATCH(N807,AllCollegeNCES,0))+Z807*IF(INDEX(AllCollegeAAHGR, MATCH(N807,AllCollegeNCES,0))&gt;0.7,(1-INDEX(AllCollegeAAHGR, MATCH(N807,AllCollegeNCES,0)))/2,0.15),2),INDEX(AllCollegeAAHGR, MATCH(N807,AllCollegeNCES,0)))</f>
        <v>0</v>
      </c>
      <c r="AC807">
        <f>IF(OR(W807="H",W807="B"),INDEX(AllCollegeSAT25, MATCH(N807,AllCollegeNCES,0)),INDEX(AllCollegeSAT50, MATCH(N807,AllCollegeNCES,0)))</f>
        <v>0</v>
      </c>
      <c r="AD807">
        <f>INDEX(CustomWeightsGPA,MATCH(W807&amp;":"&amp;N807,CustomWeightsIndex,0))</f>
        <v>0</v>
      </c>
      <c r="AE807">
        <f>INDEX(CustomWeightsSAT,MATCH(W807&amp;":"&amp;N807,CustomWeightsIndex,0))</f>
        <v>0</v>
      </c>
      <c r="AF807">
        <f>INDEX(CustomWeightsIntercept,MATCH(W807&amp;":"&amp;N807,CustomWeightsIndex,0))</f>
        <v>0</v>
      </c>
      <c r="AG807">
        <f>AD807*S807+AE807*T807+AF807</f>
        <v>0</v>
      </c>
      <c r="AH807">
        <f>INDEX(CoefficientsGPA,MATCH(W807&amp;":"&amp;R807,CoefficientsIndex,0))</f>
        <v>0</v>
      </c>
      <c r="AI807">
        <f>INDEX(CoefficientsSAT,MATCH(W807&amp;":"&amp;R807,CoefficientsIndex,0))</f>
        <v>0</v>
      </c>
      <c r="AJ807">
        <f>INDEX(CoefficientsIntercept,MATCH(W807&amp;":"&amp;R807,CoefficientsIndex,0))</f>
        <v>0</v>
      </c>
      <c r="AK807">
        <f>AH807*S807+(T807-AC807)*AI807+AJ807</f>
        <v>0</v>
      </c>
      <c r="AL807">
        <f>IF(ISNUMBER(AG807),AG807,AK807)</f>
        <v>0</v>
      </c>
      <c r="AM807">
        <f>IF(ISNUMBER(AL807),IF(ISNUMBER(AH807),IF(AND(AH807=1,AI807=1,AJ807=1),100,MIN(99,ROUND(100*EXP(AL807)/(1+EXP(AL807)),2))),MIN(99,ROUND(100*EXP(AL807)/(1+EXP(AL807)),2))),IF(ISTEXT(R807),IF(LEFT(R807,1)="2",100,"N/A"),"N/A"))</f>
        <v>0</v>
      </c>
      <c r="AN807">
        <f>IF(ISNUMBER(AM807),IF(AM807&gt;=99,IF(OR(U807=10,U807=11),MatchLabel,SureThingLabel),IF(AM807&gt;=95,SecureLabel,IF(AM807&gt;=80,SafetyLabel,IF(AM807&gt;=50,MatchLabel,IF(AM807&gt;=20,ReachLabel,IF(AM807&gt;=10,LongshotLabel,HailMaryLabel)))))),"Other")</f>
        <v>0</v>
      </c>
      <c r="AO807">
        <f>IF(OR(I807="accepted",I807="cond. accept",I807="summer admit"),IF(J807="yes","CHOICE!","Accepted!"),IF(I807="guar. transfer","Guar. Xfer",IF(I807="denied","Denied",IF(K807=1,"Waitlist",IF(L807=1,"Deferred",IF(G807="pending","Pending",IF(OR(G807="initial materials submitted",G807="mid-year submitted",G807="final submitted"),"Submitted",IF(H807="interest","Interest","?"))))))))</f>
        <v>0</v>
      </c>
      <c r="AP807">
        <f>IF(OR(AN807=ReachLabel,AN807=LongshotLabel,AN807=HailMaryLabel),1,0)</f>
        <v>0</v>
      </c>
      <c r="AQ807">
        <f>IF(OR(AP807=1,AN807=MatchLabel),1,0)</f>
        <v>0</v>
      </c>
      <c r="AR807">
        <f>IF(OR(AN807=MatchLabel,AN807=SafetyLabel,AN807=SecureLabel,AN807=SureThingLabel),1,0)</f>
        <v>0</v>
      </c>
      <c r="AS807">
        <f>IF(OR(W807="H",W807="B",W807="I",W807="M"),IF(ISNUMBER(AB807),ROUND(AB807,2),0),IF(ISNUMBER(AA807),ROUND(AA807,2),0))</f>
        <v>0</v>
      </c>
      <c r="AT807">
        <f>IF(AS807&gt;=X807,1,0)</f>
        <v>0</v>
      </c>
      <c r="AU807">
        <f>IF(AS807&gt;=Y807,1,0)</f>
        <v>0</v>
      </c>
      <c r="AV807">
        <f>IF(AS807&lt;(X807-0.10),1,0)</f>
        <v>0</v>
      </c>
      <c r="AW807">
        <f>1-AM807/100</f>
        <v>0</v>
      </c>
      <c r="AX807">
        <f>IF(AQ807=1,AW807,1)</f>
        <v>0</v>
      </c>
      <c r="AY807">
        <f>IF(AP807=1,AW807,1)</f>
        <v>0</v>
      </c>
      <c r="AZ807">
        <f>IF(AND(AT807=1,ISNUMBER(AW807)),$AW807,1)</f>
        <v>0</v>
      </c>
      <c r="BA807">
        <f>IF(AND(AU807=1,ISNUMBER(AW807)),$AW807,1)</f>
        <v>0</v>
      </c>
      <c r="BB807">
        <f>IF(ISNUMBER(AB807),INDEX(AllCollegeMoney, MATCH(N807,AllCollegeNCES,0)),0)</f>
        <v>0</v>
      </c>
      <c r="BC807">
        <f>IF(AND(AT807=1,ISNUMBER(AW807),BB807=1),$AW807,1)</f>
        <v>0</v>
      </c>
      <c r="BD807">
        <f>IF(AND(AU807=1,ISNUMBER(AW807),BB807=1),$AW807,1)</f>
        <v>0</v>
      </c>
      <c r="BE807">
        <f>IF(ISNUMBER(AB807),INDEX(AllCollegeILPub, MATCH(N807,AllCollegeNCES,0)),0)</f>
        <v>0</v>
      </c>
      <c r="BF807">
        <f>IF(AN807=ReachLabel,AS807,0)</f>
        <v>0</v>
      </c>
      <c r="BG807">
        <f>IF(AN807=MatchLabel,AS807,0)</f>
        <v>0</v>
      </c>
      <c r="BH807">
        <f>IF(AN807=SafetyLabel,AS807,0)</f>
        <v>0</v>
      </c>
      <c r="BI807">
        <f>IF(AN807=SecureLabel,AS807,0)</f>
        <v>0</v>
      </c>
      <c r="BJ807">
        <f>IF(AN807=SureThingLabel,AS807,0)</f>
        <v>0</v>
      </c>
      <c r="BK807">
        <f>MAX(BF807:BJ807)</f>
        <v>0</v>
      </c>
      <c r="BL807">
        <f>MAX(BG807:BJ807)</f>
        <v>0</v>
      </c>
      <c r="BM807">
        <f>MAX(BH807:BJ807)</f>
        <v>0</v>
      </c>
      <c r="BN807">
        <f>IF(AND(AN807=ReachLabel,BB807=1),AS807,0)</f>
        <v>0</v>
      </c>
      <c r="BO807">
        <f>IF(AND(AN807=MatchLabel,BB807=1),AS807,0)</f>
        <v>0</v>
      </c>
      <c r="BP807">
        <f>IF(AND(AN807=SafetyLabel,BB807=1),AS807,0)</f>
        <v>0</v>
      </c>
      <c r="BQ807">
        <f>IF(AND(AN807=SecureLabel,BB807=1),AS807,0)</f>
        <v>0</v>
      </c>
      <c r="BR807">
        <f>IF(AND(AN807=SureThingLabel,BB807=1),AS807,0)</f>
        <v>0</v>
      </c>
      <c r="BS807">
        <f>MAX(BN807:BR807)</f>
        <v>0</v>
      </c>
      <c r="BT807">
        <f>MAX(BO807:BR807)</f>
        <v>0</v>
      </c>
      <c r="BU807">
        <f>MAX(BP807:BR807)</f>
        <v>0</v>
      </c>
      <c r="BV807">
        <f>IF(ISNUMBER(AB807),INDEX(AllCollegeChicago, MATCH(N807,AllCollegeNCES,0))*BB807,0)</f>
        <v>0</v>
      </c>
      <c r="BW807">
        <f>IF(ISNUMBER(AB807),INDEX(AllCollegeMoneyCode, MATCH(N807,AllCollegeNCES,0)),"?")</f>
        <v>0</v>
      </c>
      <c r="BX807">
        <f>IF(OR(BW807="---",BW807="--",BW807="+/--",BW807="+/---"),1,0)</f>
        <v>0</v>
      </c>
      <c r="BY807">
        <f>BB807*AR807*AT807</f>
        <v>0</v>
      </c>
    </row>
    <row r="808" spans="1:77">
      <c r="A808" t="s">
        <v>96</v>
      </c>
      <c r="B808">
        <v>30490744</v>
      </c>
      <c r="C808" t="s">
        <v>218</v>
      </c>
      <c r="D808" t="s">
        <v>219</v>
      </c>
      <c r="E808" t="s">
        <v>446</v>
      </c>
      <c r="F808" t="s">
        <v>611</v>
      </c>
      <c r="G808" t="s">
        <v>448</v>
      </c>
      <c r="H808" t="s">
        <v>449</v>
      </c>
      <c r="I808" t="s">
        <v>450</v>
      </c>
      <c r="J808" t="s">
        <v>450</v>
      </c>
      <c r="K808">
        <v>0</v>
      </c>
      <c r="L808" t="s">
        <v>446</v>
      </c>
      <c r="M808" t="s">
        <v>446</v>
      </c>
      <c r="N808">
        <v>157289</v>
      </c>
      <c r="O808">
        <f>INDEX(Counselor,MATCH(B808,KidIDs,0))</f>
        <v>0</v>
      </c>
      <c r="P808">
        <f>INDEX(Advisors,MATCH(B808,KidIDs,0))</f>
        <v>0</v>
      </c>
      <c r="Q808">
        <f>INDEX(Cohort,MATCH(B808,KidIDs,0))</f>
        <v>0</v>
      </c>
      <c r="R808">
        <f>INDEX(AllCollegeBarrons,MATCH(N808,AllCollegeNCES,0))</f>
        <v>0</v>
      </c>
      <c r="S808">
        <f>INDEX(KidGPAs,MATCH(B808,KidIDs,0))</f>
        <v>0</v>
      </c>
      <c r="T808">
        <f>INDEX(KidSATs,MATCH(B808,KidIDs,0))</f>
        <v>0</v>
      </c>
      <c r="U808">
        <f>INDEX(Strats,MATCH(B808,KidIDs,0))</f>
        <v>0</v>
      </c>
      <c r="V808">
        <f>INDEX(KidRace,MATCH(B808,KidIDs,0))</f>
        <v>0</v>
      </c>
      <c r="W808">
        <f>IF(OR(V808="M",V808="I"),"H",IF(V808="P","A",V808))</f>
        <v>0</v>
      </c>
      <c r="X808">
        <f>INDEX(StudentTargets,MATCH(B808,KidIDs,0))</f>
        <v>0</v>
      </c>
      <c r="Y808">
        <f>INDEX(ReachStudentTargets,MATCH(B808,KidIDs,0))</f>
        <v>0</v>
      </c>
      <c r="Z808">
        <f>IF(OR(M808="Posse"),1,0)</f>
        <v>0</v>
      </c>
      <c r="AA808">
        <f>IF(ISNUMBER(INDEX(AllCollegeGR, MATCH(N808,AllCollegeNCES,0))),ROUND(INDEX(AllCollegeGR, MATCH(N808,AllCollegeNCES,0))+Z808*IF(INDEX(AllCollegeGR, MATCH(N808,AllCollegeNCES,0))&gt;0.7,(1-INDEX(AllCollegeGR, MATCH(N808,AllCollegeNCES,0)))/2,0.15),2),INDEX(AllCollegeGR, MATCH(N808,AllCollegeNCES,0)))</f>
        <v>0</v>
      </c>
      <c r="AB808">
        <f>IF(ISNUMBER(INDEX(AllCollegeAAHGR, MATCH(N808,AllCollegeNCES,0))),ROUND(INDEX(AllCollegeAAHGR, MATCH(N808,AllCollegeNCES,0))+Z808*IF(INDEX(AllCollegeAAHGR, MATCH(N808,AllCollegeNCES,0))&gt;0.7,(1-INDEX(AllCollegeAAHGR, MATCH(N808,AllCollegeNCES,0)))/2,0.15),2),INDEX(AllCollegeAAHGR, MATCH(N808,AllCollegeNCES,0)))</f>
        <v>0</v>
      </c>
      <c r="AC808">
        <f>IF(OR(W808="H",W808="B"),INDEX(AllCollegeSAT25, MATCH(N808,AllCollegeNCES,0)),INDEX(AllCollegeSAT50, MATCH(N808,AllCollegeNCES,0)))</f>
        <v>0</v>
      </c>
      <c r="AD808">
        <f>INDEX(CustomWeightsGPA,MATCH(W808&amp;":"&amp;N808,CustomWeightsIndex,0))</f>
        <v>0</v>
      </c>
      <c r="AE808">
        <f>INDEX(CustomWeightsSAT,MATCH(W808&amp;":"&amp;N808,CustomWeightsIndex,0))</f>
        <v>0</v>
      </c>
      <c r="AF808">
        <f>INDEX(CustomWeightsIntercept,MATCH(W808&amp;":"&amp;N808,CustomWeightsIndex,0))</f>
        <v>0</v>
      </c>
      <c r="AG808">
        <f>AD808*S808+AE808*T808+AF808</f>
        <v>0</v>
      </c>
      <c r="AH808">
        <f>INDEX(CoefficientsGPA,MATCH(W808&amp;":"&amp;R808,CoefficientsIndex,0))</f>
        <v>0</v>
      </c>
      <c r="AI808">
        <f>INDEX(CoefficientsSAT,MATCH(W808&amp;":"&amp;R808,CoefficientsIndex,0))</f>
        <v>0</v>
      </c>
      <c r="AJ808">
        <f>INDEX(CoefficientsIntercept,MATCH(W808&amp;":"&amp;R808,CoefficientsIndex,0))</f>
        <v>0</v>
      </c>
      <c r="AK808">
        <f>AH808*S808+(T808-AC808)*AI808+AJ808</f>
        <v>0</v>
      </c>
      <c r="AL808">
        <f>IF(ISNUMBER(AG808),AG808,AK808)</f>
        <v>0</v>
      </c>
      <c r="AM808">
        <f>IF(ISNUMBER(AL808),IF(ISNUMBER(AH808),IF(AND(AH808=1,AI808=1,AJ808=1),100,MIN(99,ROUND(100*EXP(AL808)/(1+EXP(AL808)),2))),MIN(99,ROUND(100*EXP(AL808)/(1+EXP(AL808)),2))),IF(ISTEXT(R808),IF(LEFT(R808,1)="2",100,"N/A"),"N/A"))</f>
        <v>0</v>
      </c>
      <c r="AN808">
        <f>IF(ISNUMBER(AM808),IF(AM808&gt;=99,IF(OR(U808=10,U808=11),MatchLabel,SureThingLabel),IF(AM808&gt;=95,SecureLabel,IF(AM808&gt;=80,SafetyLabel,IF(AM808&gt;=50,MatchLabel,IF(AM808&gt;=20,ReachLabel,IF(AM808&gt;=10,LongshotLabel,HailMaryLabel)))))),"Other")</f>
        <v>0</v>
      </c>
      <c r="AO808">
        <f>IF(OR(I808="accepted",I808="cond. accept",I808="summer admit"),IF(J808="yes","CHOICE!","Accepted!"),IF(I808="guar. transfer","Guar. Xfer",IF(I808="denied","Denied",IF(K808=1,"Waitlist",IF(L808=1,"Deferred",IF(G808="pending","Pending",IF(OR(G808="initial materials submitted",G808="mid-year submitted",G808="final submitted"),"Submitted",IF(H808="interest","Interest","?"))))))))</f>
        <v>0</v>
      </c>
      <c r="AP808">
        <f>IF(OR(AN808=ReachLabel,AN808=LongshotLabel,AN808=HailMaryLabel),1,0)</f>
        <v>0</v>
      </c>
      <c r="AQ808">
        <f>IF(OR(AP808=1,AN808=MatchLabel),1,0)</f>
        <v>0</v>
      </c>
      <c r="AR808">
        <f>IF(OR(AN808=MatchLabel,AN808=SafetyLabel,AN808=SecureLabel,AN808=SureThingLabel),1,0)</f>
        <v>0</v>
      </c>
      <c r="AS808">
        <f>IF(OR(W808="H",W808="B",W808="I",W808="M"),IF(ISNUMBER(AB808),ROUND(AB808,2),0),IF(ISNUMBER(AA808),ROUND(AA808,2),0))</f>
        <v>0</v>
      </c>
      <c r="AT808">
        <f>IF(AS808&gt;=X808,1,0)</f>
        <v>0</v>
      </c>
      <c r="AU808">
        <f>IF(AS808&gt;=Y808,1,0)</f>
        <v>0</v>
      </c>
      <c r="AV808">
        <f>IF(AS808&lt;(X808-0.10),1,0)</f>
        <v>0</v>
      </c>
      <c r="AW808">
        <f>1-AM808/100</f>
        <v>0</v>
      </c>
      <c r="AX808">
        <f>IF(AQ808=1,AW808,1)</f>
        <v>0</v>
      </c>
      <c r="AY808">
        <f>IF(AP808=1,AW808,1)</f>
        <v>0</v>
      </c>
      <c r="AZ808">
        <f>IF(AND(AT808=1,ISNUMBER(AW808)),$AW808,1)</f>
        <v>0</v>
      </c>
      <c r="BA808">
        <f>IF(AND(AU808=1,ISNUMBER(AW808)),$AW808,1)</f>
        <v>0</v>
      </c>
      <c r="BB808">
        <f>IF(ISNUMBER(AB808),INDEX(AllCollegeMoney, MATCH(N808,AllCollegeNCES,0)),0)</f>
        <v>0</v>
      </c>
      <c r="BC808">
        <f>IF(AND(AT808=1,ISNUMBER(AW808),BB808=1),$AW808,1)</f>
        <v>0</v>
      </c>
      <c r="BD808">
        <f>IF(AND(AU808=1,ISNUMBER(AW808),BB808=1),$AW808,1)</f>
        <v>0</v>
      </c>
      <c r="BE808">
        <f>IF(ISNUMBER(AB808),INDEX(AllCollegeILPub, MATCH(N808,AllCollegeNCES,0)),0)</f>
        <v>0</v>
      </c>
      <c r="BF808">
        <f>IF(AN808=ReachLabel,AS808,0)</f>
        <v>0</v>
      </c>
      <c r="BG808">
        <f>IF(AN808=MatchLabel,AS808,0)</f>
        <v>0</v>
      </c>
      <c r="BH808">
        <f>IF(AN808=SafetyLabel,AS808,0)</f>
        <v>0</v>
      </c>
      <c r="BI808">
        <f>IF(AN808=SecureLabel,AS808,0)</f>
        <v>0</v>
      </c>
      <c r="BJ808">
        <f>IF(AN808=SureThingLabel,AS808,0)</f>
        <v>0</v>
      </c>
      <c r="BK808">
        <f>MAX(BF808:BJ808)</f>
        <v>0</v>
      </c>
      <c r="BL808">
        <f>MAX(BG808:BJ808)</f>
        <v>0</v>
      </c>
      <c r="BM808">
        <f>MAX(BH808:BJ808)</f>
        <v>0</v>
      </c>
      <c r="BN808">
        <f>IF(AND(AN808=ReachLabel,BB808=1),AS808,0)</f>
        <v>0</v>
      </c>
      <c r="BO808">
        <f>IF(AND(AN808=MatchLabel,BB808=1),AS808,0)</f>
        <v>0</v>
      </c>
      <c r="BP808">
        <f>IF(AND(AN808=SafetyLabel,BB808=1),AS808,0)</f>
        <v>0</v>
      </c>
      <c r="BQ808">
        <f>IF(AND(AN808=SecureLabel,BB808=1),AS808,0)</f>
        <v>0</v>
      </c>
      <c r="BR808">
        <f>IF(AND(AN808=SureThingLabel,BB808=1),AS808,0)</f>
        <v>0</v>
      </c>
      <c r="BS808">
        <f>MAX(BN808:BR808)</f>
        <v>0</v>
      </c>
      <c r="BT808">
        <f>MAX(BO808:BR808)</f>
        <v>0</v>
      </c>
      <c r="BU808">
        <f>MAX(BP808:BR808)</f>
        <v>0</v>
      </c>
      <c r="BV808">
        <f>IF(ISNUMBER(AB808),INDEX(AllCollegeChicago, MATCH(N808,AllCollegeNCES,0))*BB808,0)</f>
        <v>0</v>
      </c>
      <c r="BW808">
        <f>IF(ISNUMBER(AB808),INDEX(AllCollegeMoneyCode, MATCH(N808,AllCollegeNCES,0)),"?")</f>
        <v>0</v>
      </c>
      <c r="BX808">
        <f>IF(OR(BW808="---",BW808="--",BW808="+/--",BW808="+/---"),1,0)</f>
        <v>0</v>
      </c>
      <c r="BY808">
        <f>BB808*AR808*AT808</f>
        <v>0</v>
      </c>
    </row>
    <row r="809" spans="1:77">
      <c r="A809" t="s">
        <v>96</v>
      </c>
      <c r="B809">
        <v>30490744</v>
      </c>
      <c r="C809" t="s">
        <v>218</v>
      </c>
      <c r="D809" t="s">
        <v>219</v>
      </c>
      <c r="E809" t="s">
        <v>446</v>
      </c>
      <c r="F809" t="s">
        <v>502</v>
      </c>
      <c r="G809" t="s">
        <v>479</v>
      </c>
      <c r="H809" t="s">
        <v>449</v>
      </c>
      <c r="I809" t="s">
        <v>450</v>
      </c>
      <c r="J809" t="s">
        <v>450</v>
      </c>
      <c r="K809">
        <v>0</v>
      </c>
      <c r="L809" t="s">
        <v>446</v>
      </c>
      <c r="M809" t="s">
        <v>446</v>
      </c>
      <c r="N809">
        <v>170082</v>
      </c>
      <c r="O809">
        <f>INDEX(Counselor,MATCH(B809,KidIDs,0))</f>
        <v>0</v>
      </c>
      <c r="P809">
        <f>INDEX(Advisors,MATCH(B809,KidIDs,0))</f>
        <v>0</v>
      </c>
      <c r="Q809">
        <f>INDEX(Cohort,MATCH(B809,KidIDs,0))</f>
        <v>0</v>
      </c>
      <c r="R809">
        <f>INDEX(AllCollegeBarrons,MATCH(N809,AllCollegeNCES,0))</f>
        <v>0</v>
      </c>
      <c r="S809">
        <f>INDEX(KidGPAs,MATCH(B809,KidIDs,0))</f>
        <v>0</v>
      </c>
      <c r="T809">
        <f>INDEX(KidSATs,MATCH(B809,KidIDs,0))</f>
        <v>0</v>
      </c>
      <c r="U809">
        <f>INDEX(Strats,MATCH(B809,KidIDs,0))</f>
        <v>0</v>
      </c>
      <c r="V809">
        <f>INDEX(KidRace,MATCH(B809,KidIDs,0))</f>
        <v>0</v>
      </c>
      <c r="W809">
        <f>IF(OR(V809="M",V809="I"),"H",IF(V809="P","A",V809))</f>
        <v>0</v>
      </c>
      <c r="X809">
        <f>INDEX(StudentTargets,MATCH(B809,KidIDs,0))</f>
        <v>0</v>
      </c>
      <c r="Y809">
        <f>INDEX(ReachStudentTargets,MATCH(B809,KidIDs,0))</f>
        <v>0</v>
      </c>
      <c r="Z809">
        <f>IF(OR(M809="Posse"),1,0)</f>
        <v>0</v>
      </c>
      <c r="AA809">
        <f>IF(ISNUMBER(INDEX(AllCollegeGR, MATCH(N809,AllCollegeNCES,0))),ROUND(INDEX(AllCollegeGR, MATCH(N809,AllCollegeNCES,0))+Z809*IF(INDEX(AllCollegeGR, MATCH(N809,AllCollegeNCES,0))&gt;0.7,(1-INDEX(AllCollegeGR, MATCH(N809,AllCollegeNCES,0)))/2,0.15),2),INDEX(AllCollegeGR, MATCH(N809,AllCollegeNCES,0)))</f>
        <v>0</v>
      </c>
      <c r="AB809">
        <f>IF(ISNUMBER(INDEX(AllCollegeAAHGR, MATCH(N809,AllCollegeNCES,0))),ROUND(INDEX(AllCollegeAAHGR, MATCH(N809,AllCollegeNCES,0))+Z809*IF(INDEX(AllCollegeAAHGR, MATCH(N809,AllCollegeNCES,0))&gt;0.7,(1-INDEX(AllCollegeAAHGR, MATCH(N809,AllCollegeNCES,0)))/2,0.15),2),INDEX(AllCollegeAAHGR, MATCH(N809,AllCollegeNCES,0)))</f>
        <v>0</v>
      </c>
      <c r="AC809">
        <f>IF(OR(W809="H",W809="B"),INDEX(AllCollegeSAT25, MATCH(N809,AllCollegeNCES,0)),INDEX(AllCollegeSAT50, MATCH(N809,AllCollegeNCES,0)))</f>
        <v>0</v>
      </c>
      <c r="AD809">
        <f>INDEX(CustomWeightsGPA,MATCH(W809&amp;":"&amp;N809,CustomWeightsIndex,0))</f>
        <v>0</v>
      </c>
      <c r="AE809">
        <f>INDEX(CustomWeightsSAT,MATCH(W809&amp;":"&amp;N809,CustomWeightsIndex,0))</f>
        <v>0</v>
      </c>
      <c r="AF809">
        <f>INDEX(CustomWeightsIntercept,MATCH(W809&amp;":"&amp;N809,CustomWeightsIndex,0))</f>
        <v>0</v>
      </c>
      <c r="AG809">
        <f>AD809*S809+AE809*T809+AF809</f>
        <v>0</v>
      </c>
      <c r="AH809">
        <f>INDEX(CoefficientsGPA,MATCH(W809&amp;":"&amp;R809,CoefficientsIndex,0))</f>
        <v>0</v>
      </c>
      <c r="AI809">
        <f>INDEX(CoefficientsSAT,MATCH(W809&amp;":"&amp;R809,CoefficientsIndex,0))</f>
        <v>0</v>
      </c>
      <c r="AJ809">
        <f>INDEX(CoefficientsIntercept,MATCH(W809&amp;":"&amp;R809,CoefficientsIndex,0))</f>
        <v>0</v>
      </c>
      <c r="AK809">
        <f>AH809*S809+(T809-AC809)*AI809+AJ809</f>
        <v>0</v>
      </c>
      <c r="AL809">
        <f>IF(ISNUMBER(AG809),AG809,AK809)</f>
        <v>0</v>
      </c>
      <c r="AM809">
        <f>IF(ISNUMBER(AL809),IF(ISNUMBER(AH809),IF(AND(AH809=1,AI809=1,AJ809=1),100,MIN(99,ROUND(100*EXP(AL809)/(1+EXP(AL809)),2))),MIN(99,ROUND(100*EXP(AL809)/(1+EXP(AL809)),2))),IF(ISTEXT(R809),IF(LEFT(R809,1)="2",100,"N/A"),"N/A"))</f>
        <v>0</v>
      </c>
      <c r="AN809">
        <f>IF(ISNUMBER(AM809),IF(AM809&gt;=99,IF(OR(U809=10,U809=11),MatchLabel,SureThingLabel),IF(AM809&gt;=95,SecureLabel,IF(AM809&gt;=80,SafetyLabel,IF(AM809&gt;=50,MatchLabel,IF(AM809&gt;=20,ReachLabel,IF(AM809&gt;=10,LongshotLabel,HailMaryLabel)))))),"Other")</f>
        <v>0</v>
      </c>
      <c r="AO809">
        <f>IF(OR(I809="accepted",I809="cond. accept",I809="summer admit"),IF(J809="yes","CHOICE!","Accepted!"),IF(I809="guar. transfer","Guar. Xfer",IF(I809="denied","Denied",IF(K809=1,"Waitlist",IF(L809=1,"Deferred",IF(G809="pending","Pending",IF(OR(G809="initial materials submitted",G809="mid-year submitted",G809="final submitted"),"Submitted",IF(H809="interest","Interest","?"))))))))</f>
        <v>0</v>
      </c>
      <c r="AP809">
        <f>IF(OR(AN809=ReachLabel,AN809=LongshotLabel,AN809=HailMaryLabel),1,0)</f>
        <v>0</v>
      </c>
      <c r="AQ809">
        <f>IF(OR(AP809=1,AN809=MatchLabel),1,0)</f>
        <v>0</v>
      </c>
      <c r="AR809">
        <f>IF(OR(AN809=MatchLabel,AN809=SafetyLabel,AN809=SecureLabel,AN809=SureThingLabel),1,0)</f>
        <v>0</v>
      </c>
      <c r="AS809">
        <f>IF(OR(W809="H",W809="B",W809="I",W809="M"),IF(ISNUMBER(AB809),ROUND(AB809,2),0),IF(ISNUMBER(AA809),ROUND(AA809,2),0))</f>
        <v>0</v>
      </c>
      <c r="AT809">
        <f>IF(AS809&gt;=X809,1,0)</f>
        <v>0</v>
      </c>
      <c r="AU809">
        <f>IF(AS809&gt;=Y809,1,0)</f>
        <v>0</v>
      </c>
      <c r="AV809">
        <f>IF(AS809&lt;(X809-0.10),1,0)</f>
        <v>0</v>
      </c>
      <c r="AW809">
        <f>1-AM809/100</f>
        <v>0</v>
      </c>
      <c r="AX809">
        <f>IF(AQ809=1,AW809,1)</f>
        <v>0</v>
      </c>
      <c r="AY809">
        <f>IF(AP809=1,AW809,1)</f>
        <v>0</v>
      </c>
      <c r="AZ809">
        <f>IF(AND(AT809=1,ISNUMBER(AW809)),$AW809,1)</f>
        <v>0</v>
      </c>
      <c r="BA809">
        <f>IF(AND(AU809=1,ISNUMBER(AW809)),$AW809,1)</f>
        <v>0</v>
      </c>
      <c r="BB809">
        <f>IF(ISNUMBER(AB809),INDEX(AllCollegeMoney, MATCH(N809,AllCollegeNCES,0)),0)</f>
        <v>0</v>
      </c>
      <c r="BC809">
        <f>IF(AND(AT809=1,ISNUMBER(AW809),BB809=1),$AW809,1)</f>
        <v>0</v>
      </c>
      <c r="BD809">
        <f>IF(AND(AU809=1,ISNUMBER(AW809),BB809=1),$AW809,1)</f>
        <v>0</v>
      </c>
      <c r="BE809">
        <f>IF(ISNUMBER(AB809),INDEX(AllCollegeILPub, MATCH(N809,AllCollegeNCES,0)),0)</f>
        <v>0</v>
      </c>
      <c r="BF809">
        <f>IF(AN809=ReachLabel,AS809,0)</f>
        <v>0</v>
      </c>
      <c r="BG809">
        <f>IF(AN809=MatchLabel,AS809,0)</f>
        <v>0</v>
      </c>
      <c r="BH809">
        <f>IF(AN809=SafetyLabel,AS809,0)</f>
        <v>0</v>
      </c>
      <c r="BI809">
        <f>IF(AN809=SecureLabel,AS809,0)</f>
        <v>0</v>
      </c>
      <c r="BJ809">
        <f>IF(AN809=SureThingLabel,AS809,0)</f>
        <v>0</v>
      </c>
      <c r="BK809">
        <f>MAX(BF809:BJ809)</f>
        <v>0</v>
      </c>
      <c r="BL809">
        <f>MAX(BG809:BJ809)</f>
        <v>0</v>
      </c>
      <c r="BM809">
        <f>MAX(BH809:BJ809)</f>
        <v>0</v>
      </c>
      <c r="BN809">
        <f>IF(AND(AN809=ReachLabel,BB809=1),AS809,0)</f>
        <v>0</v>
      </c>
      <c r="BO809">
        <f>IF(AND(AN809=MatchLabel,BB809=1),AS809,0)</f>
        <v>0</v>
      </c>
      <c r="BP809">
        <f>IF(AND(AN809=SafetyLabel,BB809=1),AS809,0)</f>
        <v>0</v>
      </c>
      <c r="BQ809">
        <f>IF(AND(AN809=SecureLabel,BB809=1),AS809,0)</f>
        <v>0</v>
      </c>
      <c r="BR809">
        <f>IF(AND(AN809=SureThingLabel,BB809=1),AS809,0)</f>
        <v>0</v>
      </c>
      <c r="BS809">
        <f>MAX(BN809:BR809)</f>
        <v>0</v>
      </c>
      <c r="BT809">
        <f>MAX(BO809:BR809)</f>
        <v>0</v>
      </c>
      <c r="BU809">
        <f>MAX(BP809:BR809)</f>
        <v>0</v>
      </c>
      <c r="BV809">
        <f>IF(ISNUMBER(AB809),INDEX(AllCollegeChicago, MATCH(N809,AllCollegeNCES,0))*BB809,0)</f>
        <v>0</v>
      </c>
      <c r="BW809">
        <f>IF(ISNUMBER(AB809),INDEX(AllCollegeMoneyCode, MATCH(N809,AllCollegeNCES,0)),"?")</f>
        <v>0</v>
      </c>
      <c r="BX809">
        <f>IF(OR(BW809="---",BW809="--",BW809="+/--",BW809="+/---"),1,0)</f>
        <v>0</v>
      </c>
      <c r="BY809">
        <f>BB809*AR809*AT809</f>
        <v>0</v>
      </c>
    </row>
    <row r="810" spans="1:77">
      <c r="A810" t="s">
        <v>96</v>
      </c>
      <c r="B810">
        <v>30490744</v>
      </c>
      <c r="C810" t="s">
        <v>218</v>
      </c>
      <c r="D810" t="s">
        <v>219</v>
      </c>
      <c r="E810" t="s">
        <v>446</v>
      </c>
      <c r="F810" t="s">
        <v>519</v>
      </c>
      <c r="G810" t="s">
        <v>479</v>
      </c>
      <c r="H810" t="s">
        <v>449</v>
      </c>
      <c r="I810" t="s">
        <v>450</v>
      </c>
      <c r="J810" t="s">
        <v>450</v>
      </c>
      <c r="K810">
        <v>0</v>
      </c>
      <c r="L810" t="s">
        <v>446</v>
      </c>
      <c r="M810" t="s">
        <v>446</v>
      </c>
      <c r="N810">
        <v>145813</v>
      </c>
      <c r="O810">
        <f>INDEX(Counselor,MATCH(B810,KidIDs,0))</f>
        <v>0</v>
      </c>
      <c r="P810">
        <f>INDEX(Advisors,MATCH(B810,KidIDs,0))</f>
        <v>0</v>
      </c>
      <c r="Q810">
        <f>INDEX(Cohort,MATCH(B810,KidIDs,0))</f>
        <v>0</v>
      </c>
      <c r="R810">
        <f>INDEX(AllCollegeBarrons,MATCH(N810,AllCollegeNCES,0))</f>
        <v>0</v>
      </c>
      <c r="S810">
        <f>INDEX(KidGPAs,MATCH(B810,KidIDs,0))</f>
        <v>0</v>
      </c>
      <c r="T810">
        <f>INDEX(KidSATs,MATCH(B810,KidIDs,0))</f>
        <v>0</v>
      </c>
      <c r="U810">
        <f>INDEX(Strats,MATCH(B810,KidIDs,0))</f>
        <v>0</v>
      </c>
      <c r="V810">
        <f>INDEX(KidRace,MATCH(B810,KidIDs,0))</f>
        <v>0</v>
      </c>
      <c r="W810">
        <f>IF(OR(V810="M",V810="I"),"H",IF(V810="P","A",V810))</f>
        <v>0</v>
      </c>
      <c r="X810">
        <f>INDEX(StudentTargets,MATCH(B810,KidIDs,0))</f>
        <v>0</v>
      </c>
      <c r="Y810">
        <f>INDEX(ReachStudentTargets,MATCH(B810,KidIDs,0))</f>
        <v>0</v>
      </c>
      <c r="Z810">
        <f>IF(OR(M810="Posse"),1,0)</f>
        <v>0</v>
      </c>
      <c r="AA810">
        <f>IF(ISNUMBER(INDEX(AllCollegeGR, MATCH(N810,AllCollegeNCES,0))),ROUND(INDEX(AllCollegeGR, MATCH(N810,AllCollegeNCES,0))+Z810*IF(INDEX(AllCollegeGR, MATCH(N810,AllCollegeNCES,0))&gt;0.7,(1-INDEX(AllCollegeGR, MATCH(N810,AllCollegeNCES,0)))/2,0.15),2),INDEX(AllCollegeGR, MATCH(N810,AllCollegeNCES,0)))</f>
        <v>0</v>
      </c>
      <c r="AB810">
        <f>IF(ISNUMBER(INDEX(AllCollegeAAHGR, MATCH(N810,AllCollegeNCES,0))),ROUND(INDEX(AllCollegeAAHGR, MATCH(N810,AllCollegeNCES,0))+Z810*IF(INDEX(AllCollegeAAHGR, MATCH(N810,AllCollegeNCES,0))&gt;0.7,(1-INDEX(AllCollegeAAHGR, MATCH(N810,AllCollegeNCES,0)))/2,0.15),2),INDEX(AllCollegeAAHGR, MATCH(N810,AllCollegeNCES,0)))</f>
        <v>0</v>
      </c>
      <c r="AC810">
        <f>IF(OR(W810="H",W810="B"),INDEX(AllCollegeSAT25, MATCH(N810,AllCollegeNCES,0)),INDEX(AllCollegeSAT50, MATCH(N810,AllCollegeNCES,0)))</f>
        <v>0</v>
      </c>
      <c r="AD810">
        <f>INDEX(CustomWeightsGPA,MATCH(W810&amp;":"&amp;N810,CustomWeightsIndex,0))</f>
        <v>0</v>
      </c>
      <c r="AE810">
        <f>INDEX(CustomWeightsSAT,MATCH(W810&amp;":"&amp;N810,CustomWeightsIndex,0))</f>
        <v>0</v>
      </c>
      <c r="AF810">
        <f>INDEX(CustomWeightsIntercept,MATCH(W810&amp;":"&amp;N810,CustomWeightsIndex,0))</f>
        <v>0</v>
      </c>
      <c r="AG810">
        <f>AD810*S810+AE810*T810+AF810</f>
        <v>0</v>
      </c>
      <c r="AH810">
        <f>INDEX(CoefficientsGPA,MATCH(W810&amp;":"&amp;R810,CoefficientsIndex,0))</f>
        <v>0</v>
      </c>
      <c r="AI810">
        <f>INDEX(CoefficientsSAT,MATCH(W810&amp;":"&amp;R810,CoefficientsIndex,0))</f>
        <v>0</v>
      </c>
      <c r="AJ810">
        <f>INDEX(CoefficientsIntercept,MATCH(W810&amp;":"&amp;R810,CoefficientsIndex,0))</f>
        <v>0</v>
      </c>
      <c r="AK810">
        <f>AH810*S810+(T810-AC810)*AI810+AJ810</f>
        <v>0</v>
      </c>
      <c r="AL810">
        <f>IF(ISNUMBER(AG810),AG810,AK810)</f>
        <v>0</v>
      </c>
      <c r="AM810">
        <f>IF(ISNUMBER(AL810),IF(ISNUMBER(AH810),IF(AND(AH810=1,AI810=1,AJ810=1),100,MIN(99,ROUND(100*EXP(AL810)/(1+EXP(AL810)),2))),MIN(99,ROUND(100*EXP(AL810)/(1+EXP(AL810)),2))),IF(ISTEXT(R810),IF(LEFT(R810,1)="2",100,"N/A"),"N/A"))</f>
        <v>0</v>
      </c>
      <c r="AN810">
        <f>IF(ISNUMBER(AM810),IF(AM810&gt;=99,IF(OR(U810=10,U810=11),MatchLabel,SureThingLabel),IF(AM810&gt;=95,SecureLabel,IF(AM810&gt;=80,SafetyLabel,IF(AM810&gt;=50,MatchLabel,IF(AM810&gt;=20,ReachLabel,IF(AM810&gt;=10,LongshotLabel,HailMaryLabel)))))),"Other")</f>
        <v>0</v>
      </c>
      <c r="AO810">
        <f>IF(OR(I810="accepted",I810="cond. accept",I810="summer admit"),IF(J810="yes","CHOICE!","Accepted!"),IF(I810="guar. transfer","Guar. Xfer",IF(I810="denied","Denied",IF(K810=1,"Waitlist",IF(L810=1,"Deferred",IF(G810="pending","Pending",IF(OR(G810="initial materials submitted",G810="mid-year submitted",G810="final submitted"),"Submitted",IF(H810="interest","Interest","?"))))))))</f>
        <v>0</v>
      </c>
      <c r="AP810">
        <f>IF(OR(AN810=ReachLabel,AN810=LongshotLabel,AN810=HailMaryLabel),1,0)</f>
        <v>0</v>
      </c>
      <c r="AQ810">
        <f>IF(OR(AP810=1,AN810=MatchLabel),1,0)</f>
        <v>0</v>
      </c>
      <c r="AR810">
        <f>IF(OR(AN810=MatchLabel,AN810=SafetyLabel,AN810=SecureLabel,AN810=SureThingLabel),1,0)</f>
        <v>0</v>
      </c>
      <c r="AS810">
        <f>IF(OR(W810="H",W810="B",W810="I",W810="M"),IF(ISNUMBER(AB810),ROUND(AB810,2),0),IF(ISNUMBER(AA810),ROUND(AA810,2),0))</f>
        <v>0</v>
      </c>
      <c r="AT810">
        <f>IF(AS810&gt;=X810,1,0)</f>
        <v>0</v>
      </c>
      <c r="AU810">
        <f>IF(AS810&gt;=Y810,1,0)</f>
        <v>0</v>
      </c>
      <c r="AV810">
        <f>IF(AS810&lt;(X810-0.10),1,0)</f>
        <v>0</v>
      </c>
      <c r="AW810">
        <f>1-AM810/100</f>
        <v>0</v>
      </c>
      <c r="AX810">
        <f>IF(AQ810=1,AW810,1)</f>
        <v>0</v>
      </c>
      <c r="AY810">
        <f>IF(AP810=1,AW810,1)</f>
        <v>0</v>
      </c>
      <c r="AZ810">
        <f>IF(AND(AT810=1,ISNUMBER(AW810)),$AW810,1)</f>
        <v>0</v>
      </c>
      <c r="BA810">
        <f>IF(AND(AU810=1,ISNUMBER(AW810)),$AW810,1)</f>
        <v>0</v>
      </c>
      <c r="BB810">
        <f>IF(ISNUMBER(AB810),INDEX(AllCollegeMoney, MATCH(N810,AllCollegeNCES,0)),0)</f>
        <v>0</v>
      </c>
      <c r="BC810">
        <f>IF(AND(AT810=1,ISNUMBER(AW810),BB810=1),$AW810,1)</f>
        <v>0</v>
      </c>
      <c r="BD810">
        <f>IF(AND(AU810=1,ISNUMBER(AW810),BB810=1),$AW810,1)</f>
        <v>0</v>
      </c>
      <c r="BE810">
        <f>IF(ISNUMBER(AB810),INDEX(AllCollegeILPub, MATCH(N810,AllCollegeNCES,0)),0)</f>
        <v>0</v>
      </c>
      <c r="BF810">
        <f>IF(AN810=ReachLabel,AS810,0)</f>
        <v>0</v>
      </c>
      <c r="BG810">
        <f>IF(AN810=MatchLabel,AS810,0)</f>
        <v>0</v>
      </c>
      <c r="BH810">
        <f>IF(AN810=SafetyLabel,AS810,0)</f>
        <v>0</v>
      </c>
      <c r="BI810">
        <f>IF(AN810=SecureLabel,AS810,0)</f>
        <v>0</v>
      </c>
      <c r="BJ810">
        <f>IF(AN810=SureThingLabel,AS810,0)</f>
        <v>0</v>
      </c>
      <c r="BK810">
        <f>MAX(BF810:BJ810)</f>
        <v>0</v>
      </c>
      <c r="BL810">
        <f>MAX(BG810:BJ810)</f>
        <v>0</v>
      </c>
      <c r="BM810">
        <f>MAX(BH810:BJ810)</f>
        <v>0</v>
      </c>
      <c r="BN810">
        <f>IF(AND(AN810=ReachLabel,BB810=1),AS810,0)</f>
        <v>0</v>
      </c>
      <c r="BO810">
        <f>IF(AND(AN810=MatchLabel,BB810=1),AS810,0)</f>
        <v>0</v>
      </c>
      <c r="BP810">
        <f>IF(AND(AN810=SafetyLabel,BB810=1),AS810,0)</f>
        <v>0</v>
      </c>
      <c r="BQ810">
        <f>IF(AND(AN810=SecureLabel,BB810=1),AS810,0)</f>
        <v>0</v>
      </c>
      <c r="BR810">
        <f>IF(AND(AN810=SureThingLabel,BB810=1),AS810,0)</f>
        <v>0</v>
      </c>
      <c r="BS810">
        <f>MAX(BN810:BR810)</f>
        <v>0</v>
      </c>
      <c r="BT810">
        <f>MAX(BO810:BR810)</f>
        <v>0</v>
      </c>
      <c r="BU810">
        <f>MAX(BP810:BR810)</f>
        <v>0</v>
      </c>
      <c r="BV810">
        <f>IF(ISNUMBER(AB810),INDEX(AllCollegeChicago, MATCH(N810,AllCollegeNCES,0))*BB810,0)</f>
        <v>0</v>
      </c>
      <c r="BW810">
        <f>IF(ISNUMBER(AB810),INDEX(AllCollegeMoneyCode, MATCH(N810,AllCollegeNCES,0)),"?")</f>
        <v>0</v>
      </c>
      <c r="BX810">
        <f>IF(OR(BW810="---",BW810="--",BW810="+/--",BW810="+/---"),1,0)</f>
        <v>0</v>
      </c>
      <c r="BY810">
        <f>BB810*AR810*AT810</f>
        <v>0</v>
      </c>
    </row>
    <row r="811" spans="1:77">
      <c r="A811" t="s">
        <v>96</v>
      </c>
      <c r="B811">
        <v>30490744</v>
      </c>
      <c r="C811" t="s">
        <v>218</v>
      </c>
      <c r="D811" t="s">
        <v>219</v>
      </c>
      <c r="E811" t="s">
        <v>446</v>
      </c>
      <c r="F811" t="s">
        <v>618</v>
      </c>
      <c r="G811" t="s">
        <v>479</v>
      </c>
      <c r="H811" t="s">
        <v>449</v>
      </c>
      <c r="I811" t="s">
        <v>450</v>
      </c>
      <c r="J811" t="s">
        <v>450</v>
      </c>
      <c r="K811">
        <v>0</v>
      </c>
      <c r="L811" t="s">
        <v>446</v>
      </c>
      <c r="M811" t="s">
        <v>446</v>
      </c>
      <c r="N811">
        <v>238476</v>
      </c>
      <c r="O811">
        <f>INDEX(Counselor,MATCH(B811,KidIDs,0))</f>
        <v>0</v>
      </c>
      <c r="P811">
        <f>INDEX(Advisors,MATCH(B811,KidIDs,0))</f>
        <v>0</v>
      </c>
      <c r="Q811">
        <f>INDEX(Cohort,MATCH(B811,KidIDs,0))</f>
        <v>0</v>
      </c>
      <c r="R811">
        <f>INDEX(AllCollegeBarrons,MATCH(N811,AllCollegeNCES,0))</f>
        <v>0</v>
      </c>
      <c r="S811">
        <f>INDEX(KidGPAs,MATCH(B811,KidIDs,0))</f>
        <v>0</v>
      </c>
      <c r="T811">
        <f>INDEX(KidSATs,MATCH(B811,KidIDs,0))</f>
        <v>0</v>
      </c>
      <c r="U811">
        <f>INDEX(Strats,MATCH(B811,KidIDs,0))</f>
        <v>0</v>
      </c>
      <c r="V811">
        <f>INDEX(KidRace,MATCH(B811,KidIDs,0))</f>
        <v>0</v>
      </c>
      <c r="W811">
        <f>IF(OR(V811="M",V811="I"),"H",IF(V811="P","A",V811))</f>
        <v>0</v>
      </c>
      <c r="X811">
        <f>INDEX(StudentTargets,MATCH(B811,KidIDs,0))</f>
        <v>0</v>
      </c>
      <c r="Y811">
        <f>INDEX(ReachStudentTargets,MATCH(B811,KidIDs,0))</f>
        <v>0</v>
      </c>
      <c r="Z811">
        <f>IF(OR(M811="Posse"),1,0)</f>
        <v>0</v>
      </c>
      <c r="AA811">
        <f>IF(ISNUMBER(INDEX(AllCollegeGR, MATCH(N811,AllCollegeNCES,0))),ROUND(INDEX(AllCollegeGR, MATCH(N811,AllCollegeNCES,0))+Z811*IF(INDEX(AllCollegeGR, MATCH(N811,AllCollegeNCES,0))&gt;0.7,(1-INDEX(AllCollegeGR, MATCH(N811,AllCollegeNCES,0)))/2,0.15),2),INDEX(AllCollegeGR, MATCH(N811,AllCollegeNCES,0)))</f>
        <v>0</v>
      </c>
      <c r="AB811">
        <f>IF(ISNUMBER(INDEX(AllCollegeAAHGR, MATCH(N811,AllCollegeNCES,0))),ROUND(INDEX(AllCollegeAAHGR, MATCH(N811,AllCollegeNCES,0))+Z811*IF(INDEX(AllCollegeAAHGR, MATCH(N811,AllCollegeNCES,0))&gt;0.7,(1-INDEX(AllCollegeAAHGR, MATCH(N811,AllCollegeNCES,0)))/2,0.15),2),INDEX(AllCollegeAAHGR, MATCH(N811,AllCollegeNCES,0)))</f>
        <v>0</v>
      </c>
      <c r="AC811">
        <f>IF(OR(W811="H",W811="B"),INDEX(AllCollegeSAT25, MATCH(N811,AllCollegeNCES,0)),INDEX(AllCollegeSAT50, MATCH(N811,AllCollegeNCES,0)))</f>
        <v>0</v>
      </c>
      <c r="AD811">
        <f>INDEX(CustomWeightsGPA,MATCH(W811&amp;":"&amp;N811,CustomWeightsIndex,0))</f>
        <v>0</v>
      </c>
      <c r="AE811">
        <f>INDEX(CustomWeightsSAT,MATCH(W811&amp;":"&amp;N811,CustomWeightsIndex,0))</f>
        <v>0</v>
      </c>
      <c r="AF811">
        <f>INDEX(CustomWeightsIntercept,MATCH(W811&amp;":"&amp;N811,CustomWeightsIndex,0))</f>
        <v>0</v>
      </c>
      <c r="AG811">
        <f>AD811*S811+AE811*T811+AF811</f>
        <v>0</v>
      </c>
      <c r="AH811">
        <f>INDEX(CoefficientsGPA,MATCH(W811&amp;":"&amp;R811,CoefficientsIndex,0))</f>
        <v>0</v>
      </c>
      <c r="AI811">
        <f>INDEX(CoefficientsSAT,MATCH(W811&amp;":"&amp;R811,CoefficientsIndex,0))</f>
        <v>0</v>
      </c>
      <c r="AJ811">
        <f>INDEX(CoefficientsIntercept,MATCH(W811&amp;":"&amp;R811,CoefficientsIndex,0))</f>
        <v>0</v>
      </c>
      <c r="AK811">
        <f>AH811*S811+(T811-AC811)*AI811+AJ811</f>
        <v>0</v>
      </c>
      <c r="AL811">
        <f>IF(ISNUMBER(AG811),AG811,AK811)</f>
        <v>0</v>
      </c>
      <c r="AM811">
        <f>IF(ISNUMBER(AL811),IF(ISNUMBER(AH811),IF(AND(AH811=1,AI811=1,AJ811=1),100,MIN(99,ROUND(100*EXP(AL811)/(1+EXP(AL811)),2))),MIN(99,ROUND(100*EXP(AL811)/(1+EXP(AL811)),2))),IF(ISTEXT(R811),IF(LEFT(R811,1)="2",100,"N/A"),"N/A"))</f>
        <v>0</v>
      </c>
      <c r="AN811">
        <f>IF(ISNUMBER(AM811),IF(AM811&gt;=99,IF(OR(U811=10,U811=11),MatchLabel,SureThingLabel),IF(AM811&gt;=95,SecureLabel,IF(AM811&gt;=80,SafetyLabel,IF(AM811&gt;=50,MatchLabel,IF(AM811&gt;=20,ReachLabel,IF(AM811&gt;=10,LongshotLabel,HailMaryLabel)))))),"Other")</f>
        <v>0</v>
      </c>
      <c r="AO811">
        <f>IF(OR(I811="accepted",I811="cond. accept",I811="summer admit"),IF(J811="yes","CHOICE!","Accepted!"),IF(I811="guar. transfer","Guar. Xfer",IF(I811="denied","Denied",IF(K811=1,"Waitlist",IF(L811=1,"Deferred",IF(G811="pending","Pending",IF(OR(G811="initial materials submitted",G811="mid-year submitted",G811="final submitted"),"Submitted",IF(H811="interest","Interest","?"))))))))</f>
        <v>0</v>
      </c>
      <c r="AP811">
        <f>IF(OR(AN811=ReachLabel,AN811=LongshotLabel,AN811=HailMaryLabel),1,0)</f>
        <v>0</v>
      </c>
      <c r="AQ811">
        <f>IF(OR(AP811=1,AN811=MatchLabel),1,0)</f>
        <v>0</v>
      </c>
      <c r="AR811">
        <f>IF(OR(AN811=MatchLabel,AN811=SafetyLabel,AN811=SecureLabel,AN811=SureThingLabel),1,0)</f>
        <v>0</v>
      </c>
      <c r="AS811">
        <f>IF(OR(W811="H",W811="B",W811="I",W811="M"),IF(ISNUMBER(AB811),ROUND(AB811,2),0),IF(ISNUMBER(AA811),ROUND(AA811,2),0))</f>
        <v>0</v>
      </c>
      <c r="AT811">
        <f>IF(AS811&gt;=X811,1,0)</f>
        <v>0</v>
      </c>
      <c r="AU811">
        <f>IF(AS811&gt;=Y811,1,0)</f>
        <v>0</v>
      </c>
      <c r="AV811">
        <f>IF(AS811&lt;(X811-0.10),1,0)</f>
        <v>0</v>
      </c>
      <c r="AW811">
        <f>1-AM811/100</f>
        <v>0</v>
      </c>
      <c r="AX811">
        <f>IF(AQ811=1,AW811,1)</f>
        <v>0</v>
      </c>
      <c r="AY811">
        <f>IF(AP811=1,AW811,1)</f>
        <v>0</v>
      </c>
      <c r="AZ811">
        <f>IF(AND(AT811=1,ISNUMBER(AW811)),$AW811,1)</f>
        <v>0</v>
      </c>
      <c r="BA811">
        <f>IF(AND(AU811=1,ISNUMBER(AW811)),$AW811,1)</f>
        <v>0</v>
      </c>
      <c r="BB811">
        <f>IF(ISNUMBER(AB811),INDEX(AllCollegeMoney, MATCH(N811,AllCollegeNCES,0)),0)</f>
        <v>0</v>
      </c>
      <c r="BC811">
        <f>IF(AND(AT811=1,ISNUMBER(AW811),BB811=1),$AW811,1)</f>
        <v>0</v>
      </c>
      <c r="BD811">
        <f>IF(AND(AU811=1,ISNUMBER(AW811),BB811=1),$AW811,1)</f>
        <v>0</v>
      </c>
      <c r="BE811">
        <f>IF(ISNUMBER(AB811),INDEX(AllCollegeILPub, MATCH(N811,AllCollegeNCES,0)),0)</f>
        <v>0</v>
      </c>
      <c r="BF811">
        <f>IF(AN811=ReachLabel,AS811,0)</f>
        <v>0</v>
      </c>
      <c r="BG811">
        <f>IF(AN811=MatchLabel,AS811,0)</f>
        <v>0</v>
      </c>
      <c r="BH811">
        <f>IF(AN811=SafetyLabel,AS811,0)</f>
        <v>0</v>
      </c>
      <c r="BI811">
        <f>IF(AN811=SecureLabel,AS811,0)</f>
        <v>0</v>
      </c>
      <c r="BJ811">
        <f>IF(AN811=SureThingLabel,AS811,0)</f>
        <v>0</v>
      </c>
      <c r="BK811">
        <f>MAX(BF811:BJ811)</f>
        <v>0</v>
      </c>
      <c r="BL811">
        <f>MAX(BG811:BJ811)</f>
        <v>0</v>
      </c>
      <c r="BM811">
        <f>MAX(BH811:BJ811)</f>
        <v>0</v>
      </c>
      <c r="BN811">
        <f>IF(AND(AN811=ReachLabel,BB811=1),AS811,0)</f>
        <v>0</v>
      </c>
      <c r="BO811">
        <f>IF(AND(AN811=MatchLabel,BB811=1),AS811,0)</f>
        <v>0</v>
      </c>
      <c r="BP811">
        <f>IF(AND(AN811=SafetyLabel,BB811=1),AS811,0)</f>
        <v>0</v>
      </c>
      <c r="BQ811">
        <f>IF(AND(AN811=SecureLabel,BB811=1),AS811,0)</f>
        <v>0</v>
      </c>
      <c r="BR811">
        <f>IF(AND(AN811=SureThingLabel,BB811=1),AS811,0)</f>
        <v>0</v>
      </c>
      <c r="BS811">
        <f>MAX(BN811:BR811)</f>
        <v>0</v>
      </c>
      <c r="BT811">
        <f>MAX(BO811:BR811)</f>
        <v>0</v>
      </c>
      <c r="BU811">
        <f>MAX(BP811:BR811)</f>
        <v>0</v>
      </c>
      <c r="BV811">
        <f>IF(ISNUMBER(AB811),INDEX(AllCollegeChicago, MATCH(N811,AllCollegeNCES,0))*BB811,0)</f>
        <v>0</v>
      </c>
      <c r="BW811">
        <f>IF(ISNUMBER(AB811),INDEX(AllCollegeMoneyCode, MATCH(N811,AllCollegeNCES,0)),"?")</f>
        <v>0</v>
      </c>
      <c r="BX811">
        <f>IF(OR(BW811="---",BW811="--",BW811="+/--",BW811="+/---"),1,0)</f>
        <v>0</v>
      </c>
      <c r="BY811">
        <f>BB811*AR811*AT811</f>
        <v>0</v>
      </c>
    </row>
    <row r="812" spans="1:77">
      <c r="A812" t="s">
        <v>96</v>
      </c>
      <c r="B812">
        <v>30490744</v>
      </c>
      <c r="C812" t="s">
        <v>218</v>
      </c>
      <c r="D812" t="s">
        <v>219</v>
      </c>
      <c r="E812" t="s">
        <v>446</v>
      </c>
      <c r="F812" t="s">
        <v>453</v>
      </c>
      <c r="G812" t="s">
        <v>448</v>
      </c>
      <c r="H812" t="s">
        <v>449</v>
      </c>
      <c r="I812" t="s">
        <v>450</v>
      </c>
      <c r="J812" t="s">
        <v>450</v>
      </c>
      <c r="K812">
        <v>0</v>
      </c>
      <c r="L812" t="s">
        <v>446</v>
      </c>
      <c r="M812" t="s">
        <v>454</v>
      </c>
      <c r="N812">
        <v>150774</v>
      </c>
      <c r="O812">
        <f>INDEX(Counselor,MATCH(B812,KidIDs,0))</f>
        <v>0</v>
      </c>
      <c r="P812">
        <f>INDEX(Advisors,MATCH(B812,KidIDs,0))</f>
        <v>0</v>
      </c>
      <c r="Q812">
        <f>INDEX(Cohort,MATCH(B812,KidIDs,0))</f>
        <v>0</v>
      </c>
      <c r="R812">
        <f>INDEX(AllCollegeBarrons,MATCH(N812,AllCollegeNCES,0))</f>
        <v>0</v>
      </c>
      <c r="S812">
        <f>INDEX(KidGPAs,MATCH(B812,KidIDs,0))</f>
        <v>0</v>
      </c>
      <c r="T812">
        <f>INDEX(KidSATs,MATCH(B812,KidIDs,0))</f>
        <v>0</v>
      </c>
      <c r="U812">
        <f>INDEX(Strats,MATCH(B812,KidIDs,0))</f>
        <v>0</v>
      </c>
      <c r="V812">
        <f>INDEX(KidRace,MATCH(B812,KidIDs,0))</f>
        <v>0</v>
      </c>
      <c r="W812">
        <f>IF(OR(V812="M",V812="I"),"H",IF(V812="P","A",V812))</f>
        <v>0</v>
      </c>
      <c r="X812">
        <f>INDEX(StudentTargets,MATCH(B812,KidIDs,0))</f>
        <v>0</v>
      </c>
      <c r="Y812">
        <f>INDEX(ReachStudentTargets,MATCH(B812,KidIDs,0))</f>
        <v>0</v>
      </c>
      <c r="Z812">
        <f>IF(OR(M812="Posse"),1,0)</f>
        <v>0</v>
      </c>
      <c r="AA812">
        <f>IF(ISNUMBER(INDEX(AllCollegeGR, MATCH(N812,AllCollegeNCES,0))),ROUND(INDEX(AllCollegeGR, MATCH(N812,AllCollegeNCES,0))+Z812*IF(INDEX(AllCollegeGR, MATCH(N812,AllCollegeNCES,0))&gt;0.7,(1-INDEX(AllCollegeGR, MATCH(N812,AllCollegeNCES,0)))/2,0.15),2),INDEX(AllCollegeGR, MATCH(N812,AllCollegeNCES,0)))</f>
        <v>0</v>
      </c>
      <c r="AB812">
        <f>IF(ISNUMBER(INDEX(AllCollegeAAHGR, MATCH(N812,AllCollegeNCES,0))),ROUND(INDEX(AllCollegeAAHGR, MATCH(N812,AllCollegeNCES,0))+Z812*IF(INDEX(AllCollegeAAHGR, MATCH(N812,AllCollegeNCES,0))&gt;0.7,(1-INDEX(AllCollegeAAHGR, MATCH(N812,AllCollegeNCES,0)))/2,0.15),2),INDEX(AllCollegeAAHGR, MATCH(N812,AllCollegeNCES,0)))</f>
        <v>0</v>
      </c>
      <c r="AC812">
        <f>IF(OR(W812="H",W812="B"),INDEX(AllCollegeSAT25, MATCH(N812,AllCollegeNCES,0)),INDEX(AllCollegeSAT50, MATCH(N812,AllCollegeNCES,0)))</f>
        <v>0</v>
      </c>
      <c r="AD812">
        <f>INDEX(CustomWeightsGPA,MATCH(W812&amp;":"&amp;N812,CustomWeightsIndex,0))</f>
        <v>0</v>
      </c>
      <c r="AE812">
        <f>INDEX(CustomWeightsSAT,MATCH(W812&amp;":"&amp;N812,CustomWeightsIndex,0))</f>
        <v>0</v>
      </c>
      <c r="AF812">
        <f>INDEX(CustomWeightsIntercept,MATCH(W812&amp;":"&amp;N812,CustomWeightsIndex,0))</f>
        <v>0</v>
      </c>
      <c r="AG812">
        <f>AD812*S812+AE812*T812+AF812</f>
        <v>0</v>
      </c>
      <c r="AH812">
        <f>INDEX(CoefficientsGPA,MATCH(W812&amp;":"&amp;R812,CoefficientsIndex,0))</f>
        <v>0</v>
      </c>
      <c r="AI812">
        <f>INDEX(CoefficientsSAT,MATCH(W812&amp;":"&amp;R812,CoefficientsIndex,0))</f>
        <v>0</v>
      </c>
      <c r="AJ812">
        <f>INDEX(CoefficientsIntercept,MATCH(W812&amp;":"&amp;R812,CoefficientsIndex,0))</f>
        <v>0</v>
      </c>
      <c r="AK812">
        <f>AH812*S812+(T812-AC812)*AI812+AJ812</f>
        <v>0</v>
      </c>
      <c r="AL812">
        <f>IF(ISNUMBER(AG812),AG812,AK812)</f>
        <v>0</v>
      </c>
      <c r="AM812">
        <f>IF(ISNUMBER(AL812),IF(ISNUMBER(AH812),IF(AND(AH812=1,AI812=1,AJ812=1),100,MIN(99,ROUND(100*EXP(AL812)/(1+EXP(AL812)),2))),MIN(99,ROUND(100*EXP(AL812)/(1+EXP(AL812)),2))),IF(ISTEXT(R812),IF(LEFT(R812,1)="2",100,"N/A"),"N/A"))</f>
        <v>0</v>
      </c>
      <c r="AN812">
        <f>IF(ISNUMBER(AM812),IF(AM812&gt;=99,IF(OR(U812=10,U812=11),MatchLabel,SureThingLabel),IF(AM812&gt;=95,SecureLabel,IF(AM812&gt;=80,SafetyLabel,IF(AM812&gt;=50,MatchLabel,IF(AM812&gt;=20,ReachLabel,IF(AM812&gt;=10,LongshotLabel,HailMaryLabel)))))),"Other")</f>
        <v>0</v>
      </c>
      <c r="AO812">
        <f>IF(OR(I812="accepted",I812="cond. accept",I812="summer admit"),IF(J812="yes","CHOICE!","Accepted!"),IF(I812="guar. transfer","Guar. Xfer",IF(I812="denied","Denied",IF(K812=1,"Waitlist",IF(L812=1,"Deferred",IF(G812="pending","Pending",IF(OR(G812="initial materials submitted",G812="mid-year submitted",G812="final submitted"),"Submitted",IF(H812="interest","Interest","?"))))))))</f>
        <v>0</v>
      </c>
      <c r="AP812">
        <f>IF(OR(AN812=ReachLabel,AN812=LongshotLabel,AN812=HailMaryLabel),1,0)</f>
        <v>0</v>
      </c>
      <c r="AQ812">
        <f>IF(OR(AP812=1,AN812=MatchLabel),1,0)</f>
        <v>0</v>
      </c>
      <c r="AR812">
        <f>IF(OR(AN812=MatchLabel,AN812=SafetyLabel,AN812=SecureLabel,AN812=SureThingLabel),1,0)</f>
        <v>0</v>
      </c>
      <c r="AS812">
        <f>IF(OR(W812="H",W812="B",W812="I",W812="M"),IF(ISNUMBER(AB812),ROUND(AB812,2),0),IF(ISNUMBER(AA812),ROUND(AA812,2),0))</f>
        <v>0</v>
      </c>
      <c r="AT812">
        <f>IF(AS812&gt;=X812,1,0)</f>
        <v>0</v>
      </c>
      <c r="AU812">
        <f>IF(AS812&gt;=Y812,1,0)</f>
        <v>0</v>
      </c>
      <c r="AV812">
        <f>IF(AS812&lt;(X812-0.10),1,0)</f>
        <v>0</v>
      </c>
      <c r="AW812">
        <f>1-AM812/100</f>
        <v>0</v>
      </c>
      <c r="AX812">
        <f>IF(AQ812=1,AW812,1)</f>
        <v>0</v>
      </c>
      <c r="AY812">
        <f>IF(AP812=1,AW812,1)</f>
        <v>0</v>
      </c>
      <c r="AZ812">
        <f>IF(AND(AT812=1,ISNUMBER(AW812)),$AW812,1)</f>
        <v>0</v>
      </c>
      <c r="BA812">
        <f>IF(AND(AU812=1,ISNUMBER(AW812)),$AW812,1)</f>
        <v>0</v>
      </c>
      <c r="BB812">
        <f>IF(ISNUMBER(AB812),INDEX(AllCollegeMoney, MATCH(N812,AllCollegeNCES,0)),0)</f>
        <v>0</v>
      </c>
      <c r="BC812">
        <f>IF(AND(AT812=1,ISNUMBER(AW812),BB812=1),$AW812,1)</f>
        <v>0</v>
      </c>
      <c r="BD812">
        <f>IF(AND(AU812=1,ISNUMBER(AW812),BB812=1),$AW812,1)</f>
        <v>0</v>
      </c>
      <c r="BE812">
        <f>IF(ISNUMBER(AB812),INDEX(AllCollegeILPub, MATCH(N812,AllCollegeNCES,0)),0)</f>
        <v>0</v>
      </c>
      <c r="BF812">
        <f>IF(AN812=ReachLabel,AS812,0)</f>
        <v>0</v>
      </c>
      <c r="BG812">
        <f>IF(AN812=MatchLabel,AS812,0)</f>
        <v>0</v>
      </c>
      <c r="BH812">
        <f>IF(AN812=SafetyLabel,AS812,0)</f>
        <v>0</v>
      </c>
      <c r="BI812">
        <f>IF(AN812=SecureLabel,AS812,0)</f>
        <v>0</v>
      </c>
      <c r="BJ812">
        <f>IF(AN812=SureThingLabel,AS812,0)</f>
        <v>0</v>
      </c>
      <c r="BK812">
        <f>MAX(BF812:BJ812)</f>
        <v>0</v>
      </c>
      <c r="BL812">
        <f>MAX(BG812:BJ812)</f>
        <v>0</v>
      </c>
      <c r="BM812">
        <f>MAX(BH812:BJ812)</f>
        <v>0</v>
      </c>
      <c r="BN812">
        <f>IF(AND(AN812=ReachLabel,BB812=1),AS812,0)</f>
        <v>0</v>
      </c>
      <c r="BO812">
        <f>IF(AND(AN812=MatchLabel,BB812=1),AS812,0)</f>
        <v>0</v>
      </c>
      <c r="BP812">
        <f>IF(AND(AN812=SafetyLabel,BB812=1),AS812,0)</f>
        <v>0</v>
      </c>
      <c r="BQ812">
        <f>IF(AND(AN812=SecureLabel,BB812=1),AS812,0)</f>
        <v>0</v>
      </c>
      <c r="BR812">
        <f>IF(AND(AN812=SureThingLabel,BB812=1),AS812,0)</f>
        <v>0</v>
      </c>
      <c r="BS812">
        <f>MAX(BN812:BR812)</f>
        <v>0</v>
      </c>
      <c r="BT812">
        <f>MAX(BO812:BR812)</f>
        <v>0</v>
      </c>
      <c r="BU812">
        <f>MAX(BP812:BR812)</f>
        <v>0</v>
      </c>
      <c r="BV812">
        <f>IF(ISNUMBER(AB812),INDEX(AllCollegeChicago, MATCH(N812,AllCollegeNCES,0))*BB812,0)</f>
        <v>0</v>
      </c>
      <c r="BW812">
        <f>IF(ISNUMBER(AB812),INDEX(AllCollegeMoneyCode, MATCH(N812,AllCollegeNCES,0)),"?")</f>
        <v>0</v>
      </c>
      <c r="BX812">
        <f>IF(OR(BW812="---",BW812="--",BW812="+/--",BW812="+/---"),1,0)</f>
        <v>0</v>
      </c>
      <c r="BY812">
        <f>BB812*AR812*AT812</f>
        <v>0</v>
      </c>
    </row>
  </sheetData>
  <autoFilter ref="A1:BY81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4417"/>
  <sheetViews>
    <sheetView workbookViewId="0"/>
  </sheetViews>
  <sheetFormatPr defaultRowHeight="15"/>
  <cols>
    <col min="2" max="2" width="40.7109375" customWidth="1"/>
    <col min="3" max="3" width="22.7109375" customWidth="1"/>
    <col min="4" max="5" width="7.7109375" style="92" customWidth="1"/>
    <col min="6" max="12" width="7.7109375" customWidth="1"/>
  </cols>
  <sheetData>
    <row r="1" spans="1:13">
      <c r="A1" s="93" t="s">
        <v>629</v>
      </c>
      <c r="B1" s="93" t="s">
        <v>619</v>
      </c>
      <c r="C1" s="93" t="s">
        <v>620</v>
      </c>
      <c r="D1" s="93" t="s">
        <v>621</v>
      </c>
      <c r="E1" s="93" t="s">
        <v>622</v>
      </c>
      <c r="F1" s="93" t="s">
        <v>623</v>
      </c>
      <c r="G1" s="93" t="s">
        <v>624</v>
      </c>
      <c r="H1" s="93" t="s">
        <v>443</v>
      </c>
      <c r="I1" s="93" t="s">
        <v>367</v>
      </c>
      <c r="J1" s="93" t="s">
        <v>625</v>
      </c>
      <c r="K1" s="93" t="s">
        <v>626</v>
      </c>
      <c r="L1" s="93" t="s">
        <v>627</v>
      </c>
      <c r="M1" s="93" t="s">
        <v>628</v>
      </c>
    </row>
    <row r="2" spans="1:13">
      <c r="A2" s="93">
        <v>145600</v>
      </c>
      <c r="B2" t="s">
        <v>632</v>
      </c>
      <c r="C2" t="s">
        <v>4916</v>
      </c>
      <c r="D2" s="92">
        <v>0.62</v>
      </c>
      <c r="E2" s="92">
        <v>0.54</v>
      </c>
      <c r="F2">
        <v>1080</v>
      </c>
      <c r="G2">
        <v>1195</v>
      </c>
      <c r="H2" t="s">
        <v>4927</v>
      </c>
      <c r="I2">
        <v>1</v>
      </c>
      <c r="J2" t="s">
        <v>97</v>
      </c>
      <c r="K2">
        <v>1</v>
      </c>
      <c r="L2">
        <v>1</v>
      </c>
      <c r="M2" t="s">
        <v>4934</v>
      </c>
    </row>
    <row r="3" spans="1:13">
      <c r="A3" s="93">
        <v>145637</v>
      </c>
      <c r="B3" t="s">
        <v>633</v>
      </c>
      <c r="C3" t="s">
        <v>4917</v>
      </c>
      <c r="D3" s="92">
        <v>0.85</v>
      </c>
      <c r="E3" s="92">
        <v>0.75</v>
      </c>
      <c r="F3">
        <v>1320</v>
      </c>
      <c r="G3">
        <v>1415</v>
      </c>
      <c r="H3" t="s">
        <v>4928</v>
      </c>
      <c r="I3">
        <v>1</v>
      </c>
      <c r="J3" t="s">
        <v>97</v>
      </c>
      <c r="K3">
        <v>1</v>
      </c>
      <c r="L3">
        <v>0</v>
      </c>
      <c r="M3" t="s">
        <v>11</v>
      </c>
    </row>
    <row r="4" spans="1:13">
      <c r="A4" s="93">
        <v>147536</v>
      </c>
      <c r="B4" t="s">
        <v>634</v>
      </c>
      <c r="C4" t="s">
        <v>4918</v>
      </c>
      <c r="D4" s="92">
        <v>0.3</v>
      </c>
      <c r="E4" s="92">
        <v>0.29</v>
      </c>
      <c r="F4" t="s">
        <v>446</v>
      </c>
      <c r="G4" t="s">
        <v>446</v>
      </c>
      <c r="H4" t="s">
        <v>4927</v>
      </c>
      <c r="I4">
        <v>1</v>
      </c>
      <c r="J4" t="s">
        <v>97</v>
      </c>
      <c r="K4">
        <v>0</v>
      </c>
      <c r="L4">
        <v>1</v>
      </c>
      <c r="M4" t="s">
        <v>4935</v>
      </c>
    </row>
    <row r="5" spans="1:13">
      <c r="A5" s="93">
        <v>144166</v>
      </c>
      <c r="B5" t="s">
        <v>635</v>
      </c>
      <c r="C5" t="s">
        <v>4919</v>
      </c>
      <c r="D5" s="92">
        <v>0.36</v>
      </c>
      <c r="E5" s="92">
        <v>0.35</v>
      </c>
      <c r="F5" t="s">
        <v>446</v>
      </c>
      <c r="G5" t="s">
        <v>446</v>
      </c>
      <c r="H5" t="s">
        <v>4927</v>
      </c>
      <c r="I5">
        <v>1</v>
      </c>
      <c r="J5" t="s">
        <v>97</v>
      </c>
      <c r="K5">
        <v>1</v>
      </c>
      <c r="L5">
        <v>1</v>
      </c>
      <c r="M5" t="s">
        <v>4935</v>
      </c>
    </row>
    <row r="6" spans="1:13">
      <c r="A6" s="93">
        <v>145813</v>
      </c>
      <c r="B6" t="s">
        <v>519</v>
      </c>
      <c r="C6" t="s">
        <v>4916</v>
      </c>
      <c r="D6" s="92">
        <v>0.67</v>
      </c>
      <c r="E6" s="92">
        <v>0.51</v>
      </c>
      <c r="F6">
        <v>1000</v>
      </c>
      <c r="G6">
        <v>1100</v>
      </c>
      <c r="H6" t="s">
        <v>4928</v>
      </c>
      <c r="I6">
        <v>1</v>
      </c>
      <c r="J6" t="s">
        <v>97</v>
      </c>
      <c r="K6">
        <v>1</v>
      </c>
      <c r="L6">
        <v>0</v>
      </c>
      <c r="M6" t="s">
        <v>11</v>
      </c>
    </row>
    <row r="7" spans="1:13">
      <c r="A7" s="93">
        <v>144209</v>
      </c>
      <c r="B7" t="s">
        <v>636</v>
      </c>
      <c r="C7" t="s">
        <v>4919</v>
      </c>
      <c r="D7" s="92">
        <v>0.32</v>
      </c>
      <c r="E7" s="92">
        <v>0.3</v>
      </c>
      <c r="F7" t="s">
        <v>446</v>
      </c>
      <c r="G7" t="s">
        <v>446</v>
      </c>
      <c r="H7" t="s">
        <v>4927</v>
      </c>
      <c r="I7">
        <v>1</v>
      </c>
      <c r="J7" t="s">
        <v>97</v>
      </c>
      <c r="K7">
        <v>1</v>
      </c>
      <c r="L7">
        <v>1</v>
      </c>
      <c r="M7" t="s">
        <v>4935</v>
      </c>
    </row>
    <row r="8" spans="1:13">
      <c r="A8" s="93">
        <v>147703</v>
      </c>
      <c r="B8" t="s">
        <v>457</v>
      </c>
      <c r="C8" t="s">
        <v>4920</v>
      </c>
      <c r="D8" s="92">
        <v>0.51</v>
      </c>
      <c r="E8" s="92">
        <v>0.39</v>
      </c>
      <c r="F8" t="s">
        <v>446</v>
      </c>
      <c r="G8" t="s">
        <v>446</v>
      </c>
      <c r="H8" t="s">
        <v>4927</v>
      </c>
      <c r="I8">
        <v>1</v>
      </c>
      <c r="J8" t="s">
        <v>97</v>
      </c>
      <c r="K8">
        <v>1</v>
      </c>
      <c r="L8">
        <v>0</v>
      </c>
      <c r="M8" t="s">
        <v>11</v>
      </c>
    </row>
    <row r="9" spans="1:13">
      <c r="A9" s="93">
        <v>144218</v>
      </c>
      <c r="B9" t="s">
        <v>637</v>
      </c>
      <c r="C9" t="s">
        <v>4919</v>
      </c>
      <c r="D9" s="92">
        <v>0.38</v>
      </c>
      <c r="E9" s="92">
        <v>0.31</v>
      </c>
      <c r="F9" t="s">
        <v>446</v>
      </c>
      <c r="G9" t="s">
        <v>446</v>
      </c>
      <c r="H9" t="s">
        <v>4927</v>
      </c>
      <c r="I9">
        <v>1</v>
      </c>
      <c r="J9" t="s">
        <v>97</v>
      </c>
      <c r="K9">
        <v>1</v>
      </c>
      <c r="L9">
        <v>1</v>
      </c>
      <c r="M9" t="s">
        <v>4935</v>
      </c>
    </row>
    <row r="10" spans="1:13">
      <c r="A10" s="93">
        <v>148496</v>
      </c>
      <c r="B10" t="s">
        <v>447</v>
      </c>
      <c r="C10" t="s">
        <v>4920</v>
      </c>
      <c r="D10" s="92">
        <v>0.75</v>
      </c>
      <c r="E10" s="92">
        <v>0.71</v>
      </c>
      <c r="F10">
        <v>910</v>
      </c>
      <c r="G10">
        <v>1035</v>
      </c>
      <c r="H10" t="s">
        <v>4928</v>
      </c>
      <c r="I10">
        <v>1</v>
      </c>
      <c r="J10" t="s">
        <v>97</v>
      </c>
      <c r="K10">
        <v>0</v>
      </c>
      <c r="L10">
        <v>1</v>
      </c>
      <c r="M10" t="s">
        <v>4934</v>
      </c>
    </row>
    <row r="11" spans="1:13">
      <c r="A11" s="93">
        <v>149532</v>
      </c>
      <c r="B11" t="s">
        <v>638</v>
      </c>
      <c r="C11" t="s">
        <v>4919</v>
      </c>
      <c r="D11" s="92">
        <v>0.32</v>
      </c>
      <c r="E11" s="92">
        <v>0.29</v>
      </c>
      <c r="F11" t="s">
        <v>446</v>
      </c>
      <c r="G11" t="s">
        <v>446</v>
      </c>
      <c r="H11" t="s">
        <v>4927</v>
      </c>
      <c r="I11">
        <v>1</v>
      </c>
      <c r="J11" t="s">
        <v>97</v>
      </c>
      <c r="K11">
        <v>1</v>
      </c>
      <c r="L11">
        <v>1</v>
      </c>
      <c r="M11" t="s">
        <v>4935</v>
      </c>
    </row>
    <row r="12" spans="1:13">
      <c r="A12" s="93">
        <v>144740</v>
      </c>
      <c r="B12" t="s">
        <v>501</v>
      </c>
      <c r="C12" t="s">
        <v>4916</v>
      </c>
      <c r="D12" s="92">
        <v>0.7</v>
      </c>
      <c r="E12" s="92">
        <v>0.59</v>
      </c>
      <c r="F12" t="s">
        <v>446</v>
      </c>
      <c r="G12" t="s">
        <v>446</v>
      </c>
      <c r="H12" t="s">
        <v>4929</v>
      </c>
      <c r="I12">
        <v>1</v>
      </c>
      <c r="J12" t="s">
        <v>97</v>
      </c>
      <c r="K12">
        <v>0</v>
      </c>
      <c r="L12">
        <v>1</v>
      </c>
      <c r="M12" t="s">
        <v>4934</v>
      </c>
    </row>
    <row r="13" spans="1:13">
      <c r="A13" s="93">
        <v>149772</v>
      </c>
      <c r="B13" t="s">
        <v>456</v>
      </c>
      <c r="C13" t="s">
        <v>4920</v>
      </c>
      <c r="D13" s="92">
        <v>0.51</v>
      </c>
      <c r="E13" s="92">
        <v>0.41</v>
      </c>
      <c r="F13" t="s">
        <v>446</v>
      </c>
      <c r="G13" t="s">
        <v>446</v>
      </c>
      <c r="H13" t="s">
        <v>4927</v>
      </c>
      <c r="I13">
        <v>1</v>
      </c>
      <c r="J13" t="s">
        <v>97</v>
      </c>
      <c r="K13">
        <v>1</v>
      </c>
      <c r="L13">
        <v>0</v>
      </c>
      <c r="M13" t="s">
        <v>11</v>
      </c>
    </row>
    <row r="14" spans="1:13">
      <c r="A14" s="93">
        <v>144281</v>
      </c>
      <c r="B14" t="s">
        <v>562</v>
      </c>
      <c r="C14" t="s">
        <v>4920</v>
      </c>
      <c r="D14" s="92">
        <v>0.51</v>
      </c>
      <c r="E14" s="92">
        <v>0.4</v>
      </c>
      <c r="F14" t="s">
        <v>446</v>
      </c>
      <c r="G14" t="s">
        <v>446</v>
      </c>
      <c r="H14" t="s">
        <v>4927</v>
      </c>
      <c r="I14">
        <v>1</v>
      </c>
      <c r="J14" t="s">
        <v>97</v>
      </c>
      <c r="K14">
        <v>0</v>
      </c>
      <c r="L14">
        <v>1</v>
      </c>
      <c r="M14" t="s">
        <v>4934</v>
      </c>
    </row>
    <row r="15" spans="1:13">
      <c r="A15" s="93">
        <v>170976</v>
      </c>
      <c r="B15" t="s">
        <v>639</v>
      </c>
      <c r="C15" t="s">
        <v>4921</v>
      </c>
      <c r="D15" s="92">
        <v>0.9399999999999999</v>
      </c>
      <c r="E15" s="92">
        <v>0.89</v>
      </c>
      <c r="F15" t="s">
        <v>446</v>
      </c>
      <c r="G15" t="s">
        <v>446</v>
      </c>
      <c r="H15" t="s">
        <v>4929</v>
      </c>
      <c r="I15">
        <v>1</v>
      </c>
      <c r="J15" t="s">
        <v>97</v>
      </c>
      <c r="K15">
        <v>0</v>
      </c>
      <c r="L15">
        <v>0</v>
      </c>
      <c r="M15" t="s">
        <v>11</v>
      </c>
    </row>
    <row r="16" spans="1:13">
      <c r="A16" s="93">
        <v>147776</v>
      </c>
      <c r="B16" t="s">
        <v>463</v>
      </c>
      <c r="C16" t="s">
        <v>4918</v>
      </c>
      <c r="D16" s="92">
        <v>0.25</v>
      </c>
      <c r="E16" s="92">
        <v>0.18</v>
      </c>
      <c r="F16" t="s">
        <v>446</v>
      </c>
      <c r="G16" t="s">
        <v>446</v>
      </c>
      <c r="H16" t="s">
        <v>4927</v>
      </c>
      <c r="I16">
        <v>1</v>
      </c>
      <c r="J16" t="s">
        <v>97</v>
      </c>
      <c r="K16">
        <v>1</v>
      </c>
      <c r="L16">
        <v>1</v>
      </c>
      <c r="M16" t="s">
        <v>4934</v>
      </c>
    </row>
    <row r="17" spans="1:13">
      <c r="A17" s="93">
        <v>144193</v>
      </c>
      <c r="B17" t="s">
        <v>640</v>
      </c>
      <c r="C17" t="s">
        <v>4919</v>
      </c>
      <c r="D17" s="92">
        <v>0.36</v>
      </c>
      <c r="E17" s="92">
        <v>0.29</v>
      </c>
      <c r="F17" t="s">
        <v>446</v>
      </c>
      <c r="G17" t="s">
        <v>446</v>
      </c>
      <c r="H17" t="s">
        <v>4927</v>
      </c>
      <c r="I17">
        <v>1</v>
      </c>
      <c r="J17" t="s">
        <v>97</v>
      </c>
      <c r="K17">
        <v>1</v>
      </c>
      <c r="L17">
        <v>1</v>
      </c>
      <c r="M17" t="s">
        <v>4935</v>
      </c>
    </row>
    <row r="18" spans="1:13">
      <c r="A18" s="93">
        <v>144892</v>
      </c>
      <c r="B18" t="s">
        <v>458</v>
      </c>
      <c r="C18" t="s">
        <v>4920</v>
      </c>
      <c r="D18" s="92">
        <v>0.51</v>
      </c>
      <c r="E18" s="92">
        <v>0.37</v>
      </c>
      <c r="F18">
        <v>900</v>
      </c>
      <c r="G18">
        <v>1020</v>
      </c>
      <c r="H18" t="s">
        <v>4927</v>
      </c>
      <c r="I18">
        <v>1</v>
      </c>
      <c r="J18" t="s">
        <v>97</v>
      </c>
      <c r="K18">
        <v>1</v>
      </c>
      <c r="L18">
        <v>0</v>
      </c>
      <c r="M18" t="s">
        <v>11</v>
      </c>
    </row>
    <row r="19" spans="1:13">
      <c r="A19" s="93">
        <v>144157</v>
      </c>
      <c r="B19" t="s">
        <v>641</v>
      </c>
      <c r="C19" t="s">
        <v>4919</v>
      </c>
      <c r="D19" s="92">
        <v>0.33</v>
      </c>
      <c r="E19" s="92">
        <v>0.3</v>
      </c>
      <c r="F19" t="s">
        <v>446</v>
      </c>
      <c r="G19" t="s">
        <v>446</v>
      </c>
      <c r="H19" t="s">
        <v>4927</v>
      </c>
      <c r="I19">
        <v>1</v>
      </c>
      <c r="J19" t="s">
        <v>97</v>
      </c>
      <c r="K19">
        <v>1</v>
      </c>
      <c r="L19">
        <v>1</v>
      </c>
      <c r="M19" t="s">
        <v>4935</v>
      </c>
    </row>
    <row r="20" spans="1:13">
      <c r="A20" s="93">
        <v>148627</v>
      </c>
      <c r="B20" t="s">
        <v>541</v>
      </c>
      <c r="C20" t="s">
        <v>4920</v>
      </c>
      <c r="D20" s="92">
        <v>0.54</v>
      </c>
      <c r="E20" s="92">
        <v>0.47</v>
      </c>
      <c r="F20" t="s">
        <v>446</v>
      </c>
      <c r="G20" t="s">
        <v>446</v>
      </c>
      <c r="H20" t="s">
        <v>4927</v>
      </c>
      <c r="I20">
        <v>1</v>
      </c>
      <c r="J20" t="s">
        <v>97</v>
      </c>
      <c r="K20">
        <v>0</v>
      </c>
      <c r="L20">
        <v>1</v>
      </c>
      <c r="M20" t="s">
        <v>4934</v>
      </c>
    </row>
    <row r="21" spans="1:13">
      <c r="A21" s="93">
        <v>148487</v>
      </c>
      <c r="B21" t="s">
        <v>642</v>
      </c>
      <c r="C21" t="s">
        <v>4916</v>
      </c>
      <c r="D21" s="92">
        <v>0.46</v>
      </c>
      <c r="E21" s="92">
        <v>0.39</v>
      </c>
      <c r="F21">
        <v>860</v>
      </c>
      <c r="G21">
        <v>990</v>
      </c>
      <c r="H21" t="s">
        <v>4927</v>
      </c>
      <c r="I21">
        <v>1</v>
      </c>
      <c r="J21" t="s">
        <v>97</v>
      </c>
      <c r="K21">
        <v>0</v>
      </c>
      <c r="L21">
        <v>1</v>
      </c>
      <c r="M21" t="s">
        <v>4934</v>
      </c>
    </row>
    <row r="22" spans="1:13">
      <c r="A22" s="93">
        <v>147679</v>
      </c>
      <c r="B22" t="s">
        <v>506</v>
      </c>
      <c r="C22" t="s">
        <v>4920</v>
      </c>
      <c r="D22" s="92">
        <v>0.61</v>
      </c>
      <c r="E22" s="92">
        <v>0.48</v>
      </c>
      <c r="F22">
        <v>890</v>
      </c>
      <c r="G22">
        <v>1025</v>
      </c>
      <c r="H22" t="s">
        <v>4927</v>
      </c>
      <c r="I22">
        <v>1</v>
      </c>
      <c r="J22" t="s">
        <v>97</v>
      </c>
      <c r="K22">
        <v>0</v>
      </c>
      <c r="L22">
        <v>1</v>
      </c>
      <c r="M22" t="s">
        <v>4934</v>
      </c>
    </row>
    <row r="23" spans="1:13">
      <c r="A23" s="93">
        <v>240444</v>
      </c>
      <c r="B23" t="s">
        <v>643</v>
      </c>
      <c r="C23" t="s">
        <v>4922</v>
      </c>
      <c r="D23" s="92">
        <v>0.89</v>
      </c>
      <c r="E23" s="92">
        <v>0.84</v>
      </c>
      <c r="F23">
        <v>1240</v>
      </c>
      <c r="G23">
        <v>1335</v>
      </c>
      <c r="H23" t="s">
        <v>4929</v>
      </c>
      <c r="I23">
        <v>1</v>
      </c>
      <c r="J23" t="s">
        <v>97</v>
      </c>
      <c r="K23">
        <v>0</v>
      </c>
      <c r="L23">
        <v>0</v>
      </c>
      <c r="M23" t="s">
        <v>11</v>
      </c>
    </row>
    <row r="24" spans="1:13">
      <c r="A24" s="93">
        <v>145725</v>
      </c>
      <c r="B24" t="s">
        <v>518</v>
      </c>
      <c r="C24" t="s">
        <v>4917</v>
      </c>
      <c r="D24" s="92">
        <v>0.71</v>
      </c>
      <c r="E24" s="92">
        <v>0.54</v>
      </c>
      <c r="F24">
        <v>1230</v>
      </c>
      <c r="G24">
        <v>1320</v>
      </c>
      <c r="H24" t="s">
        <v>4927</v>
      </c>
      <c r="I24">
        <v>1</v>
      </c>
      <c r="J24" t="s">
        <v>97</v>
      </c>
      <c r="K24">
        <v>0</v>
      </c>
      <c r="L24">
        <v>1</v>
      </c>
      <c r="M24" t="s">
        <v>4934</v>
      </c>
    </row>
    <row r="25" spans="1:13">
      <c r="A25" s="93">
        <v>149222</v>
      </c>
      <c r="B25" t="s">
        <v>644</v>
      </c>
      <c r="C25" t="s">
        <v>4920</v>
      </c>
      <c r="D25" s="92">
        <v>0.43</v>
      </c>
      <c r="E25" s="92">
        <v>0.26</v>
      </c>
      <c r="F25">
        <v>930</v>
      </c>
      <c r="G25">
        <v>1045</v>
      </c>
      <c r="H25" t="s">
        <v>4929</v>
      </c>
      <c r="I25">
        <v>1</v>
      </c>
      <c r="J25" t="s">
        <v>97</v>
      </c>
      <c r="K25">
        <v>1</v>
      </c>
      <c r="L25">
        <v>0</v>
      </c>
      <c r="M25" t="s">
        <v>11</v>
      </c>
    </row>
    <row r="26" spans="1:13">
      <c r="A26" s="93">
        <v>144005</v>
      </c>
      <c r="B26" t="s">
        <v>645</v>
      </c>
      <c r="C26" t="s">
        <v>4920</v>
      </c>
      <c r="D26" s="92">
        <v>0.18</v>
      </c>
      <c r="E26" s="92">
        <v>0.17</v>
      </c>
      <c r="F26" t="s">
        <v>446</v>
      </c>
      <c r="G26" t="s">
        <v>446</v>
      </c>
      <c r="H26" t="s">
        <v>4929</v>
      </c>
      <c r="I26">
        <v>1</v>
      </c>
      <c r="J26" t="s">
        <v>97</v>
      </c>
      <c r="K26">
        <v>1</v>
      </c>
      <c r="L26">
        <v>1</v>
      </c>
      <c r="M26" t="s">
        <v>4934</v>
      </c>
    </row>
    <row r="27" spans="1:13">
      <c r="A27" s="93">
        <v>144175</v>
      </c>
      <c r="B27" t="s">
        <v>646</v>
      </c>
      <c r="C27" t="s">
        <v>4919</v>
      </c>
      <c r="D27" s="92">
        <v>0.29</v>
      </c>
      <c r="E27" s="92">
        <v>0.29</v>
      </c>
      <c r="F27" t="s">
        <v>446</v>
      </c>
      <c r="G27" t="s">
        <v>446</v>
      </c>
      <c r="H27" t="s">
        <v>4927</v>
      </c>
      <c r="I27">
        <v>1</v>
      </c>
      <c r="J27" t="s">
        <v>97</v>
      </c>
      <c r="K27">
        <v>1</v>
      </c>
      <c r="L27">
        <v>1</v>
      </c>
      <c r="M27" t="s">
        <v>4935</v>
      </c>
    </row>
    <row r="28" spans="1:13">
      <c r="A28" s="93">
        <v>168546</v>
      </c>
      <c r="B28" t="s">
        <v>478</v>
      </c>
      <c r="C28" t="s">
        <v>4920</v>
      </c>
      <c r="D28" s="92">
        <v>0.74</v>
      </c>
      <c r="E28" s="92">
        <v>0.58</v>
      </c>
      <c r="F28" t="s">
        <v>446</v>
      </c>
      <c r="G28" t="s">
        <v>446</v>
      </c>
      <c r="H28" t="s">
        <v>4929</v>
      </c>
      <c r="I28">
        <v>1</v>
      </c>
      <c r="J28" t="s">
        <v>97</v>
      </c>
      <c r="K28">
        <v>0</v>
      </c>
      <c r="L28">
        <v>0</v>
      </c>
      <c r="M28" t="s">
        <v>11</v>
      </c>
    </row>
    <row r="29" spans="1:13">
      <c r="A29" s="93">
        <v>100000001</v>
      </c>
      <c r="B29" t="s">
        <v>466</v>
      </c>
      <c r="C29" t="s">
        <v>4923</v>
      </c>
      <c r="D29" s="92">
        <v>0.51</v>
      </c>
      <c r="E29" s="92">
        <v>0.46</v>
      </c>
      <c r="F29" t="s">
        <v>446</v>
      </c>
      <c r="G29" t="s">
        <v>446</v>
      </c>
      <c r="H29" t="s">
        <v>4927</v>
      </c>
      <c r="I29">
        <v>1</v>
      </c>
      <c r="J29" t="s">
        <v>97</v>
      </c>
      <c r="K29">
        <v>0</v>
      </c>
      <c r="L29">
        <v>1</v>
      </c>
      <c r="M29" t="s">
        <v>4935</v>
      </c>
    </row>
    <row r="30" spans="1:13">
      <c r="A30" s="93">
        <v>144184</v>
      </c>
      <c r="B30" t="s">
        <v>647</v>
      </c>
      <c r="C30" t="s">
        <v>4919</v>
      </c>
      <c r="D30" s="92">
        <v>0.34</v>
      </c>
      <c r="E30" s="92">
        <v>0.31</v>
      </c>
      <c r="F30" t="s">
        <v>446</v>
      </c>
      <c r="G30" t="s">
        <v>446</v>
      </c>
      <c r="H30" t="s">
        <v>4927</v>
      </c>
      <c r="I30">
        <v>1</v>
      </c>
      <c r="J30" t="s">
        <v>97</v>
      </c>
      <c r="K30">
        <v>1</v>
      </c>
      <c r="L30">
        <v>1</v>
      </c>
      <c r="M30" t="s">
        <v>4935</v>
      </c>
    </row>
    <row r="31" spans="1:13">
      <c r="A31" s="93">
        <v>146719</v>
      </c>
      <c r="B31" t="s">
        <v>535</v>
      </c>
      <c r="C31" t="s">
        <v>4916</v>
      </c>
      <c r="D31" s="92">
        <v>0.72</v>
      </c>
      <c r="E31" s="92">
        <v>0.63</v>
      </c>
      <c r="F31">
        <v>1160</v>
      </c>
      <c r="G31">
        <v>1260</v>
      </c>
      <c r="H31" t="s">
        <v>4929</v>
      </c>
      <c r="I31">
        <v>1</v>
      </c>
      <c r="J31" t="s">
        <v>97</v>
      </c>
      <c r="K31">
        <v>0</v>
      </c>
      <c r="L31">
        <v>1</v>
      </c>
      <c r="M31" t="s">
        <v>4934</v>
      </c>
    </row>
    <row r="32" spans="1:13">
      <c r="A32" s="93">
        <v>183026</v>
      </c>
      <c r="B32" t="s">
        <v>648</v>
      </c>
      <c r="C32" t="s">
        <v>4920</v>
      </c>
      <c r="D32" s="92">
        <v>0.37</v>
      </c>
      <c r="E32" s="92">
        <v>0.14</v>
      </c>
      <c r="F32" t="s">
        <v>446</v>
      </c>
      <c r="G32" t="s">
        <v>446</v>
      </c>
      <c r="H32" t="s">
        <v>4930</v>
      </c>
      <c r="I32">
        <v>0</v>
      </c>
      <c r="J32" t="s">
        <v>97</v>
      </c>
      <c r="K32">
        <v>0</v>
      </c>
      <c r="L32">
        <v>0</v>
      </c>
      <c r="M32" t="s">
        <v>11</v>
      </c>
    </row>
    <row r="33" spans="1:13">
      <c r="A33" s="93">
        <v>147767</v>
      </c>
      <c r="B33" t="s">
        <v>493</v>
      </c>
      <c r="C33" t="s">
        <v>4921</v>
      </c>
      <c r="D33" s="92">
        <v>0.95</v>
      </c>
      <c r="E33" s="92">
        <v>0.93</v>
      </c>
      <c r="F33">
        <v>1470</v>
      </c>
      <c r="G33">
        <v>1520</v>
      </c>
      <c r="H33" t="s">
        <v>4927</v>
      </c>
      <c r="I33">
        <v>1</v>
      </c>
      <c r="J33" t="s">
        <v>97</v>
      </c>
      <c r="K33">
        <v>0</v>
      </c>
      <c r="L33">
        <v>1</v>
      </c>
      <c r="M33" t="s">
        <v>11</v>
      </c>
    </row>
    <row r="34" spans="1:13">
      <c r="A34" s="93">
        <v>147411</v>
      </c>
      <c r="B34" t="s">
        <v>649</v>
      </c>
      <c r="C34" t="s">
        <v>4919</v>
      </c>
      <c r="D34" s="92">
        <v>0.29</v>
      </c>
      <c r="E34" s="92">
        <v>0.28</v>
      </c>
      <c r="F34" t="s">
        <v>446</v>
      </c>
      <c r="G34" t="s">
        <v>446</v>
      </c>
      <c r="H34" t="s">
        <v>4927</v>
      </c>
      <c r="I34">
        <v>1</v>
      </c>
      <c r="J34" t="s">
        <v>97</v>
      </c>
      <c r="K34">
        <v>1</v>
      </c>
      <c r="L34">
        <v>1</v>
      </c>
      <c r="M34" t="s">
        <v>4935</v>
      </c>
    </row>
    <row r="35" spans="1:13">
      <c r="A35" s="93">
        <v>144351</v>
      </c>
      <c r="B35" t="s">
        <v>650</v>
      </c>
      <c r="C35" t="s">
        <v>4920</v>
      </c>
      <c r="D35" s="92">
        <v>0.47</v>
      </c>
      <c r="E35" s="92">
        <v>0.34</v>
      </c>
      <c r="F35" t="s">
        <v>446</v>
      </c>
      <c r="G35" t="s">
        <v>446</v>
      </c>
      <c r="H35" t="s">
        <v>4927</v>
      </c>
      <c r="I35">
        <v>1</v>
      </c>
      <c r="J35" t="s">
        <v>97</v>
      </c>
      <c r="K35">
        <v>0</v>
      </c>
      <c r="L35">
        <v>1</v>
      </c>
      <c r="M35" t="s">
        <v>4934</v>
      </c>
    </row>
    <row r="36" spans="1:13">
      <c r="A36" s="93" t="s">
        <v>630</v>
      </c>
      <c r="B36" t="s">
        <v>651</v>
      </c>
      <c r="C36" t="s">
        <v>4917</v>
      </c>
      <c r="D36" s="92">
        <v>0.88</v>
      </c>
      <c r="E36" s="92">
        <v>0.8</v>
      </c>
      <c r="F36" t="s">
        <v>446</v>
      </c>
      <c r="G36" t="s">
        <v>446</v>
      </c>
      <c r="H36" t="s">
        <v>4927</v>
      </c>
      <c r="I36">
        <v>1</v>
      </c>
      <c r="J36" t="s">
        <v>97</v>
      </c>
      <c r="K36">
        <v>0</v>
      </c>
      <c r="L36">
        <v>0</v>
      </c>
      <c r="M36" t="s">
        <v>11</v>
      </c>
    </row>
    <row r="37" spans="1:13">
      <c r="A37" s="93">
        <v>147916</v>
      </c>
      <c r="B37" t="s">
        <v>652</v>
      </c>
      <c r="C37" t="s">
        <v>4919</v>
      </c>
      <c r="D37" s="92">
        <v>0.41</v>
      </c>
      <c r="E37" s="92">
        <v>0.28</v>
      </c>
      <c r="F37" t="s">
        <v>446</v>
      </c>
      <c r="G37" t="s">
        <v>446</v>
      </c>
      <c r="H37" t="s">
        <v>4929</v>
      </c>
      <c r="I37">
        <v>1</v>
      </c>
      <c r="J37" t="s">
        <v>97</v>
      </c>
      <c r="K37">
        <v>1</v>
      </c>
      <c r="L37">
        <v>0</v>
      </c>
      <c r="M37" t="s">
        <v>11</v>
      </c>
    </row>
    <row r="38" spans="1:13">
      <c r="A38" s="93">
        <v>143358</v>
      </c>
      <c r="B38" t="s">
        <v>653</v>
      </c>
      <c r="C38" t="s">
        <v>4916</v>
      </c>
      <c r="D38" s="92">
        <v>0.74</v>
      </c>
      <c r="E38" s="92">
        <v>0.61</v>
      </c>
      <c r="F38">
        <v>1060</v>
      </c>
      <c r="G38">
        <v>1170</v>
      </c>
      <c r="H38" t="s">
        <v>4929</v>
      </c>
      <c r="I38">
        <v>1</v>
      </c>
      <c r="J38" t="s">
        <v>97</v>
      </c>
      <c r="K38">
        <v>0</v>
      </c>
      <c r="L38">
        <v>0</v>
      </c>
      <c r="M38" t="s">
        <v>11</v>
      </c>
    </row>
    <row r="39" spans="1:13">
      <c r="A39" s="93">
        <v>175856</v>
      </c>
      <c r="B39" t="s">
        <v>654</v>
      </c>
      <c r="C39" t="s">
        <v>4918</v>
      </c>
      <c r="D39" s="92">
        <v>0.39</v>
      </c>
      <c r="E39" s="92">
        <v>0.54</v>
      </c>
      <c r="F39">
        <v>940</v>
      </c>
      <c r="G39">
        <v>960</v>
      </c>
      <c r="H39" t="s">
        <v>4931</v>
      </c>
      <c r="I39">
        <v>0</v>
      </c>
      <c r="J39" t="s">
        <v>153</v>
      </c>
      <c r="K39">
        <v>0</v>
      </c>
      <c r="L39">
        <v>0</v>
      </c>
      <c r="M39" t="s">
        <v>11</v>
      </c>
    </row>
    <row r="40" spans="1:13">
      <c r="A40" s="93">
        <v>148654</v>
      </c>
      <c r="B40" t="s">
        <v>655</v>
      </c>
      <c r="C40" t="s">
        <v>4920</v>
      </c>
      <c r="D40" s="92">
        <v>0.54</v>
      </c>
      <c r="E40" s="92">
        <v>0.44</v>
      </c>
      <c r="F40">
        <v>990</v>
      </c>
      <c r="G40">
        <v>1120</v>
      </c>
      <c r="H40" t="s">
        <v>4928</v>
      </c>
      <c r="I40">
        <v>1</v>
      </c>
      <c r="J40" t="s">
        <v>97</v>
      </c>
      <c r="K40">
        <v>1</v>
      </c>
      <c r="L40">
        <v>0</v>
      </c>
      <c r="M40" t="s">
        <v>11</v>
      </c>
    </row>
    <row r="41" spans="1:13">
      <c r="A41" s="93">
        <v>170082</v>
      </c>
      <c r="B41" t="s">
        <v>502</v>
      </c>
      <c r="C41" t="s">
        <v>4920</v>
      </c>
      <c r="D41" s="92">
        <v>0.67</v>
      </c>
      <c r="E41" s="92">
        <v>0.55</v>
      </c>
      <c r="F41" t="s">
        <v>446</v>
      </c>
      <c r="G41" t="s">
        <v>446</v>
      </c>
      <c r="H41" t="s">
        <v>4931</v>
      </c>
      <c r="I41">
        <v>0</v>
      </c>
      <c r="J41" t="s">
        <v>97</v>
      </c>
      <c r="K41">
        <v>0</v>
      </c>
      <c r="L41">
        <v>0</v>
      </c>
      <c r="M41" t="s">
        <v>11</v>
      </c>
    </row>
    <row r="42" spans="1:13">
      <c r="A42" s="93">
        <v>145336</v>
      </c>
      <c r="B42" t="s">
        <v>656</v>
      </c>
      <c r="C42" t="s">
        <v>4918</v>
      </c>
      <c r="D42" s="92">
        <v>0.2</v>
      </c>
      <c r="E42" s="92">
        <v>0.17</v>
      </c>
      <c r="F42">
        <v>830</v>
      </c>
      <c r="G42">
        <v>945</v>
      </c>
      <c r="H42" t="s">
        <v>4929</v>
      </c>
      <c r="I42">
        <v>1</v>
      </c>
      <c r="J42" t="s">
        <v>97</v>
      </c>
      <c r="K42">
        <v>1</v>
      </c>
      <c r="L42">
        <v>1</v>
      </c>
      <c r="M42" t="s">
        <v>4934</v>
      </c>
    </row>
    <row r="43" spans="1:13">
      <c r="A43" s="93">
        <v>144883</v>
      </c>
      <c r="B43" t="s">
        <v>657</v>
      </c>
      <c r="C43" t="s">
        <v>4923</v>
      </c>
      <c r="D43" s="92">
        <v>0.12</v>
      </c>
      <c r="E43" s="92">
        <v>0.12</v>
      </c>
      <c r="F43" t="s">
        <v>446</v>
      </c>
      <c r="G43" t="s">
        <v>446</v>
      </c>
      <c r="H43" t="s">
        <v>4927</v>
      </c>
      <c r="I43">
        <v>1</v>
      </c>
      <c r="J43" t="s">
        <v>97</v>
      </c>
      <c r="K43">
        <v>0</v>
      </c>
      <c r="L43">
        <v>1</v>
      </c>
      <c r="M43" t="s">
        <v>4935</v>
      </c>
    </row>
    <row r="44" spans="1:13">
      <c r="A44" s="93">
        <v>144865</v>
      </c>
      <c r="B44" t="s">
        <v>658</v>
      </c>
      <c r="C44" t="s">
        <v>4919</v>
      </c>
      <c r="D44" s="92">
        <v>0.37</v>
      </c>
      <c r="E44" s="92">
        <v>0.29</v>
      </c>
      <c r="F44" t="s">
        <v>446</v>
      </c>
      <c r="G44" t="s">
        <v>446</v>
      </c>
      <c r="H44" t="s">
        <v>4927</v>
      </c>
      <c r="I44">
        <v>1</v>
      </c>
      <c r="J44" t="s">
        <v>97</v>
      </c>
      <c r="K44">
        <v>1</v>
      </c>
      <c r="L44">
        <v>1</v>
      </c>
      <c r="M44" t="s">
        <v>4935</v>
      </c>
    </row>
    <row r="45" spans="1:13">
      <c r="A45" s="93">
        <v>147378</v>
      </c>
      <c r="B45" t="s">
        <v>659</v>
      </c>
      <c r="C45" t="s">
        <v>4919</v>
      </c>
      <c r="D45" s="92">
        <v>0.44</v>
      </c>
      <c r="E45" s="92">
        <v>0.37</v>
      </c>
      <c r="F45" t="s">
        <v>446</v>
      </c>
      <c r="G45" t="s">
        <v>446</v>
      </c>
      <c r="H45" t="s">
        <v>4931</v>
      </c>
      <c r="I45">
        <v>0</v>
      </c>
      <c r="J45" t="s">
        <v>97</v>
      </c>
      <c r="K45">
        <v>1</v>
      </c>
      <c r="L45">
        <v>1</v>
      </c>
      <c r="M45" t="s">
        <v>4935</v>
      </c>
    </row>
    <row r="46" spans="1:13">
      <c r="A46" s="93">
        <v>131520</v>
      </c>
      <c r="B46" t="s">
        <v>660</v>
      </c>
      <c r="C46" t="s">
        <v>4920</v>
      </c>
      <c r="D46" s="92">
        <v>0.64</v>
      </c>
      <c r="E46" s="92">
        <v>0.77</v>
      </c>
      <c r="F46">
        <v>1080</v>
      </c>
      <c r="G46">
        <v>1185</v>
      </c>
      <c r="H46" t="s">
        <v>4930</v>
      </c>
      <c r="I46">
        <v>0</v>
      </c>
      <c r="J46" t="s">
        <v>153</v>
      </c>
      <c r="K46">
        <v>0</v>
      </c>
      <c r="L46">
        <v>0</v>
      </c>
      <c r="M46" t="s">
        <v>11</v>
      </c>
    </row>
    <row r="47" spans="1:13">
      <c r="A47" s="93">
        <v>149231</v>
      </c>
      <c r="B47" t="s">
        <v>661</v>
      </c>
      <c r="C47" t="s">
        <v>4920</v>
      </c>
      <c r="D47" s="92">
        <v>0.49</v>
      </c>
      <c r="E47" s="92">
        <v>0.32</v>
      </c>
      <c r="F47">
        <v>920</v>
      </c>
      <c r="G47">
        <v>1040</v>
      </c>
      <c r="H47" t="s">
        <v>4927</v>
      </c>
      <c r="I47">
        <v>1</v>
      </c>
      <c r="J47" t="s">
        <v>97</v>
      </c>
      <c r="K47">
        <v>1</v>
      </c>
      <c r="L47">
        <v>0</v>
      </c>
      <c r="M47" t="s">
        <v>11</v>
      </c>
    </row>
    <row r="48" spans="1:13">
      <c r="A48" s="93">
        <v>138947</v>
      </c>
      <c r="B48" t="s">
        <v>662</v>
      </c>
      <c r="C48" t="s">
        <v>4918</v>
      </c>
      <c r="D48" s="92">
        <v>0.42</v>
      </c>
      <c r="E48" s="92">
        <v>0.57</v>
      </c>
      <c r="F48">
        <v>860</v>
      </c>
      <c r="G48">
        <v>955</v>
      </c>
      <c r="H48" t="s">
        <v>4930</v>
      </c>
      <c r="I48">
        <v>0</v>
      </c>
      <c r="J48" t="s">
        <v>153</v>
      </c>
      <c r="K48">
        <v>0</v>
      </c>
      <c r="L48">
        <v>0</v>
      </c>
      <c r="M48" t="s">
        <v>11</v>
      </c>
    </row>
    <row r="49" spans="1:13">
      <c r="A49" s="93">
        <v>146612</v>
      </c>
      <c r="B49" t="s">
        <v>571</v>
      </c>
      <c r="C49" t="s">
        <v>4920</v>
      </c>
      <c r="D49" s="92">
        <v>0.66</v>
      </c>
      <c r="E49" s="92">
        <v>0.5600000000000001</v>
      </c>
      <c r="F49">
        <v>1050</v>
      </c>
      <c r="G49">
        <v>1145</v>
      </c>
      <c r="H49" t="s">
        <v>4929</v>
      </c>
      <c r="I49">
        <v>1</v>
      </c>
      <c r="J49" t="s">
        <v>97</v>
      </c>
      <c r="K49">
        <v>0</v>
      </c>
      <c r="L49">
        <v>1</v>
      </c>
      <c r="M49" t="s">
        <v>4934</v>
      </c>
    </row>
    <row r="50" spans="1:13">
      <c r="A50" s="93">
        <v>146700</v>
      </c>
      <c r="B50" t="s">
        <v>663</v>
      </c>
      <c r="C50" t="s">
        <v>4919</v>
      </c>
      <c r="D50" s="92">
        <v>0.25</v>
      </c>
      <c r="E50" s="92">
        <v>0.25</v>
      </c>
      <c r="F50" t="s">
        <v>446</v>
      </c>
      <c r="G50" t="s">
        <v>446</v>
      </c>
      <c r="H50" t="s">
        <v>4930</v>
      </c>
      <c r="I50">
        <v>0</v>
      </c>
      <c r="J50" t="s">
        <v>97</v>
      </c>
      <c r="K50">
        <v>0</v>
      </c>
      <c r="L50">
        <v>1</v>
      </c>
      <c r="M50" t="s">
        <v>4935</v>
      </c>
    </row>
    <row r="51" spans="1:13">
      <c r="A51" s="93">
        <v>100654</v>
      </c>
      <c r="B51" t="s">
        <v>664</v>
      </c>
      <c r="C51" t="s">
        <v>4920</v>
      </c>
      <c r="D51" s="92">
        <v>0.28</v>
      </c>
      <c r="E51" s="92">
        <v>0.43</v>
      </c>
      <c r="F51">
        <v>850</v>
      </c>
      <c r="G51">
        <v>945</v>
      </c>
      <c r="H51" t="s">
        <v>4930</v>
      </c>
      <c r="I51">
        <v>0</v>
      </c>
      <c r="J51" t="s">
        <v>153</v>
      </c>
      <c r="K51">
        <v>0</v>
      </c>
      <c r="L51">
        <v>0</v>
      </c>
      <c r="M51" t="s">
        <v>11</v>
      </c>
    </row>
    <row r="52" spans="1:13">
      <c r="A52" s="93">
        <v>169248</v>
      </c>
      <c r="B52" t="s">
        <v>480</v>
      </c>
      <c r="C52" t="s">
        <v>4920</v>
      </c>
      <c r="D52" s="92">
        <v>0.62</v>
      </c>
      <c r="E52" s="92">
        <v>0.51</v>
      </c>
      <c r="F52">
        <v>1010</v>
      </c>
      <c r="G52">
        <v>1115</v>
      </c>
      <c r="H52" t="s">
        <v>4929</v>
      </c>
      <c r="I52">
        <v>1</v>
      </c>
      <c r="J52" t="s">
        <v>97</v>
      </c>
      <c r="K52">
        <v>0</v>
      </c>
      <c r="L52">
        <v>0</v>
      </c>
      <c r="M52" t="s">
        <v>11</v>
      </c>
    </row>
    <row r="53" spans="1:13">
      <c r="A53" s="93">
        <v>213668</v>
      </c>
      <c r="B53" t="s">
        <v>476</v>
      </c>
      <c r="C53" t="s">
        <v>4920</v>
      </c>
      <c r="D53" s="92">
        <v>0.8</v>
      </c>
      <c r="E53" s="92">
        <v>0.7</v>
      </c>
      <c r="F53">
        <v>1080</v>
      </c>
      <c r="G53">
        <v>1165</v>
      </c>
      <c r="H53" t="s">
        <v>4928</v>
      </c>
      <c r="I53">
        <v>1</v>
      </c>
      <c r="J53" t="s">
        <v>97</v>
      </c>
      <c r="K53">
        <v>0</v>
      </c>
      <c r="L53">
        <v>0</v>
      </c>
      <c r="M53" t="s">
        <v>11</v>
      </c>
    </row>
    <row r="54" spans="1:13">
      <c r="A54" s="93">
        <v>231174</v>
      </c>
      <c r="B54" t="s">
        <v>665</v>
      </c>
      <c r="C54" t="s">
        <v>4917</v>
      </c>
      <c r="D54" s="92">
        <v>0.77</v>
      </c>
      <c r="E54" s="92">
        <v>0.73</v>
      </c>
      <c r="F54">
        <v>1240</v>
      </c>
      <c r="G54">
        <v>1325</v>
      </c>
      <c r="H54" t="s">
        <v>4927</v>
      </c>
      <c r="I54">
        <v>1</v>
      </c>
      <c r="J54" t="s">
        <v>97</v>
      </c>
      <c r="K54">
        <v>0</v>
      </c>
      <c r="L54">
        <v>0</v>
      </c>
      <c r="M54" t="s">
        <v>11</v>
      </c>
    </row>
    <row r="55" spans="1:13">
      <c r="A55" s="93">
        <v>454227</v>
      </c>
      <c r="B55" t="s">
        <v>666</v>
      </c>
      <c r="C55" t="s">
        <v>4924</v>
      </c>
      <c r="D55" s="92">
        <v>0.6</v>
      </c>
      <c r="E55" s="92">
        <v>0.45</v>
      </c>
      <c r="F55" t="s">
        <v>446</v>
      </c>
      <c r="G55" t="s">
        <v>446</v>
      </c>
      <c r="H55" t="s">
        <v>4930</v>
      </c>
      <c r="I55">
        <v>0</v>
      </c>
      <c r="J55" t="s">
        <v>97</v>
      </c>
      <c r="K55">
        <v>0</v>
      </c>
      <c r="L55">
        <v>1</v>
      </c>
      <c r="M55" t="s">
        <v>4935</v>
      </c>
    </row>
    <row r="56" spans="1:13">
      <c r="A56" s="93">
        <v>212674</v>
      </c>
      <c r="B56" t="s">
        <v>472</v>
      </c>
      <c r="C56" t="s">
        <v>4917</v>
      </c>
      <c r="D56" s="92">
        <v>0.82</v>
      </c>
      <c r="E56" s="92">
        <v>0.8100000000000001</v>
      </c>
      <c r="F56">
        <v>1280</v>
      </c>
      <c r="G56">
        <v>1355</v>
      </c>
      <c r="H56" t="s">
        <v>4928</v>
      </c>
      <c r="I56">
        <v>1</v>
      </c>
      <c r="J56" t="s">
        <v>97</v>
      </c>
      <c r="K56">
        <v>0</v>
      </c>
      <c r="L56">
        <v>0</v>
      </c>
      <c r="M56" t="s">
        <v>11</v>
      </c>
    </row>
    <row r="57" spans="1:13">
      <c r="A57" s="93">
        <v>221838</v>
      </c>
      <c r="B57" t="s">
        <v>667</v>
      </c>
      <c r="C57" t="s">
        <v>4920</v>
      </c>
      <c r="D57" s="92">
        <v>0.31</v>
      </c>
      <c r="E57" s="92">
        <v>0.43</v>
      </c>
      <c r="F57" t="s">
        <v>446</v>
      </c>
      <c r="G57" t="s">
        <v>446</v>
      </c>
      <c r="H57" t="s">
        <v>4930</v>
      </c>
      <c r="I57">
        <v>0</v>
      </c>
      <c r="J57" t="s">
        <v>153</v>
      </c>
      <c r="K57">
        <v>0</v>
      </c>
      <c r="L57">
        <v>0</v>
      </c>
      <c r="M57" t="s">
        <v>11</v>
      </c>
    </row>
    <row r="58" spans="1:13">
      <c r="A58" s="93">
        <v>140553</v>
      </c>
      <c r="B58" t="s">
        <v>668</v>
      </c>
      <c r="C58" t="s">
        <v>4920</v>
      </c>
      <c r="D58" s="92">
        <v>0.47</v>
      </c>
      <c r="E58" s="92">
        <v>0.62</v>
      </c>
      <c r="F58">
        <v>1040</v>
      </c>
      <c r="G58">
        <v>1140</v>
      </c>
      <c r="H58" t="s">
        <v>4930</v>
      </c>
      <c r="I58">
        <v>0</v>
      </c>
      <c r="J58" t="s">
        <v>153</v>
      </c>
      <c r="K58">
        <v>0</v>
      </c>
      <c r="L58">
        <v>0</v>
      </c>
      <c r="M58" t="s">
        <v>11</v>
      </c>
    </row>
    <row r="59" spans="1:13">
      <c r="A59" s="93">
        <v>144050</v>
      </c>
      <c r="B59" t="s">
        <v>494</v>
      </c>
      <c r="C59" t="s">
        <v>4921</v>
      </c>
      <c r="D59" s="92">
        <v>0.96</v>
      </c>
      <c r="E59" s="92">
        <v>0.93</v>
      </c>
      <c r="F59">
        <v>1510</v>
      </c>
      <c r="G59">
        <v>1545</v>
      </c>
      <c r="H59" t="s">
        <v>4927</v>
      </c>
      <c r="I59">
        <v>1</v>
      </c>
      <c r="J59" t="s">
        <v>97</v>
      </c>
      <c r="K59">
        <v>0</v>
      </c>
      <c r="L59">
        <v>1</v>
      </c>
      <c r="M59" t="s">
        <v>11</v>
      </c>
    </row>
    <row r="60" spans="1:13">
      <c r="A60" s="93">
        <v>144962</v>
      </c>
      <c r="B60" t="s">
        <v>669</v>
      </c>
      <c r="C60" t="s">
        <v>4920</v>
      </c>
      <c r="D60" s="92">
        <v>0.6899999999999999</v>
      </c>
      <c r="E60" s="92">
        <v>0.58</v>
      </c>
      <c r="F60">
        <v>1010</v>
      </c>
      <c r="G60">
        <v>1115</v>
      </c>
      <c r="H60" t="s">
        <v>4929</v>
      </c>
      <c r="I60">
        <v>1</v>
      </c>
      <c r="J60" t="s">
        <v>97</v>
      </c>
      <c r="K60">
        <v>0</v>
      </c>
      <c r="L60">
        <v>1</v>
      </c>
      <c r="M60" t="s">
        <v>4934</v>
      </c>
    </row>
    <row r="61" spans="1:13">
      <c r="A61" s="93">
        <v>201690</v>
      </c>
      <c r="B61" t="s">
        <v>670</v>
      </c>
      <c r="C61" t="s">
        <v>4920</v>
      </c>
      <c r="D61" s="92">
        <v>0.23</v>
      </c>
      <c r="E61" s="92">
        <v>0.38</v>
      </c>
      <c r="F61">
        <v>800</v>
      </c>
      <c r="G61">
        <v>885</v>
      </c>
      <c r="H61" t="s">
        <v>4931</v>
      </c>
      <c r="I61">
        <v>0</v>
      </c>
      <c r="J61" t="s">
        <v>153</v>
      </c>
      <c r="K61">
        <v>0</v>
      </c>
      <c r="L61">
        <v>0</v>
      </c>
      <c r="M61" t="s">
        <v>11</v>
      </c>
    </row>
    <row r="62" spans="1:13">
      <c r="A62" s="93">
        <v>146427</v>
      </c>
      <c r="B62" t="s">
        <v>477</v>
      </c>
      <c r="C62" t="s">
        <v>4916</v>
      </c>
      <c r="D62" s="92">
        <v>0.73</v>
      </c>
      <c r="E62" s="92">
        <v>0.6899999999999999</v>
      </c>
      <c r="F62">
        <v>1150</v>
      </c>
      <c r="G62">
        <v>1265</v>
      </c>
      <c r="H62" t="s">
        <v>4929</v>
      </c>
      <c r="I62">
        <v>1</v>
      </c>
      <c r="J62" t="s">
        <v>97</v>
      </c>
      <c r="K62">
        <v>0</v>
      </c>
      <c r="L62">
        <v>0</v>
      </c>
      <c r="M62" t="s">
        <v>11</v>
      </c>
    </row>
    <row r="63" spans="1:13">
      <c r="A63" s="93">
        <v>384342</v>
      </c>
      <c r="B63" t="s">
        <v>671</v>
      </c>
      <c r="C63" t="s">
        <v>4919</v>
      </c>
      <c r="D63" s="92">
        <v>0.48</v>
      </c>
      <c r="E63" s="92">
        <v>0.3</v>
      </c>
      <c r="F63" t="s">
        <v>446</v>
      </c>
      <c r="G63" t="s">
        <v>446</v>
      </c>
      <c r="H63" t="s">
        <v>4931</v>
      </c>
      <c r="I63">
        <v>0</v>
      </c>
      <c r="J63" t="s">
        <v>97</v>
      </c>
      <c r="K63">
        <v>1</v>
      </c>
      <c r="L63">
        <v>0</v>
      </c>
      <c r="M63" t="s">
        <v>11</v>
      </c>
    </row>
    <row r="64" spans="1:13">
      <c r="A64" s="93">
        <v>139940</v>
      </c>
      <c r="B64" t="s">
        <v>672</v>
      </c>
      <c r="C64" t="s">
        <v>4916</v>
      </c>
      <c r="D64" s="92">
        <v>0.5600000000000001</v>
      </c>
      <c r="E64" s="92">
        <v>0.57</v>
      </c>
      <c r="F64">
        <v>1050</v>
      </c>
      <c r="G64">
        <v>1170</v>
      </c>
      <c r="H64" t="s">
        <v>4930</v>
      </c>
      <c r="I64">
        <v>0</v>
      </c>
      <c r="J64" t="s">
        <v>97</v>
      </c>
      <c r="K64">
        <v>0</v>
      </c>
      <c r="L64">
        <v>0</v>
      </c>
      <c r="M64" t="s">
        <v>11</v>
      </c>
    </row>
    <row r="65" spans="1:13">
      <c r="A65" s="93">
        <v>145691</v>
      </c>
      <c r="B65" t="s">
        <v>529</v>
      </c>
      <c r="C65" t="s">
        <v>4916</v>
      </c>
      <c r="D65" s="92">
        <v>0.65</v>
      </c>
      <c r="E65" s="92">
        <v>0.48</v>
      </c>
      <c r="F65">
        <v>950</v>
      </c>
      <c r="G65">
        <v>1050</v>
      </c>
      <c r="H65" t="s">
        <v>4928</v>
      </c>
      <c r="I65">
        <v>1</v>
      </c>
      <c r="J65" t="s">
        <v>97</v>
      </c>
      <c r="K65">
        <v>0</v>
      </c>
      <c r="L65">
        <v>0</v>
      </c>
      <c r="M65" t="s">
        <v>11</v>
      </c>
    </row>
    <row r="66" spans="1:13">
      <c r="A66" s="93">
        <v>475033</v>
      </c>
      <c r="B66" t="s">
        <v>673</v>
      </c>
      <c r="C66" t="s">
        <v>4924</v>
      </c>
      <c r="D66" s="92">
        <v>0.25</v>
      </c>
      <c r="E66" s="92">
        <v>0.25</v>
      </c>
      <c r="F66" t="s">
        <v>446</v>
      </c>
      <c r="G66" t="s">
        <v>446</v>
      </c>
      <c r="H66" t="s">
        <v>4932</v>
      </c>
      <c r="I66">
        <v>0</v>
      </c>
      <c r="J66" t="s">
        <v>97</v>
      </c>
      <c r="K66">
        <v>0</v>
      </c>
      <c r="L66">
        <v>0</v>
      </c>
      <c r="M66" t="s">
        <v>11</v>
      </c>
    </row>
    <row r="67" spans="1:13">
      <c r="A67" s="93">
        <v>149365</v>
      </c>
      <c r="B67" t="s">
        <v>674</v>
      </c>
      <c r="C67" t="s">
        <v>4919</v>
      </c>
      <c r="D67" s="92">
        <v>0.31</v>
      </c>
      <c r="E67" s="92">
        <v>0.26</v>
      </c>
      <c r="F67" t="s">
        <v>446</v>
      </c>
      <c r="G67" t="s">
        <v>446</v>
      </c>
      <c r="H67" t="s">
        <v>4927</v>
      </c>
      <c r="I67">
        <v>1</v>
      </c>
      <c r="J67" t="s">
        <v>97</v>
      </c>
      <c r="K67">
        <v>1</v>
      </c>
      <c r="L67">
        <v>1</v>
      </c>
      <c r="M67" t="s">
        <v>4935</v>
      </c>
    </row>
    <row r="68" spans="1:13">
      <c r="A68" s="93">
        <v>152080</v>
      </c>
      <c r="B68" t="s">
        <v>491</v>
      </c>
      <c r="C68" t="s">
        <v>4921</v>
      </c>
      <c r="D68" s="92">
        <v>0.96</v>
      </c>
      <c r="E68" s="92">
        <v>0.9399999999999999</v>
      </c>
      <c r="F68">
        <v>1410</v>
      </c>
      <c r="G68">
        <v>1480</v>
      </c>
      <c r="H68" t="s">
        <v>4927</v>
      </c>
      <c r="I68">
        <v>1</v>
      </c>
      <c r="J68" t="s">
        <v>97</v>
      </c>
      <c r="K68">
        <v>0</v>
      </c>
      <c r="L68">
        <v>0</v>
      </c>
      <c r="M68" t="s">
        <v>11</v>
      </c>
    </row>
    <row r="69" spans="1:13">
      <c r="A69" s="93">
        <v>153658</v>
      </c>
      <c r="B69" t="s">
        <v>675</v>
      </c>
      <c r="C69" t="s">
        <v>4916</v>
      </c>
      <c r="D69" s="92">
        <v>0.74</v>
      </c>
      <c r="E69" s="92">
        <v>0.63</v>
      </c>
      <c r="F69">
        <v>1110</v>
      </c>
      <c r="G69">
        <v>1225</v>
      </c>
      <c r="H69" t="s">
        <v>4929</v>
      </c>
      <c r="I69">
        <v>1</v>
      </c>
      <c r="J69" t="s">
        <v>97</v>
      </c>
      <c r="K69">
        <v>0</v>
      </c>
      <c r="L69">
        <v>0</v>
      </c>
      <c r="M69" t="s">
        <v>11</v>
      </c>
    </row>
    <row r="70" spans="1:13">
      <c r="A70" s="93">
        <v>179867</v>
      </c>
      <c r="B70" t="s">
        <v>676</v>
      </c>
      <c r="C70" t="s">
        <v>4921</v>
      </c>
      <c r="D70" s="92">
        <v>0.93</v>
      </c>
      <c r="E70" s="92">
        <v>0.91</v>
      </c>
      <c r="F70">
        <v>1490</v>
      </c>
      <c r="G70">
        <v>1530</v>
      </c>
      <c r="H70" t="s">
        <v>4927</v>
      </c>
      <c r="I70">
        <v>1</v>
      </c>
      <c r="J70" t="s">
        <v>97</v>
      </c>
      <c r="K70">
        <v>0</v>
      </c>
      <c r="L70">
        <v>0</v>
      </c>
      <c r="M70" t="s">
        <v>11</v>
      </c>
    </row>
    <row r="71" spans="1:13">
      <c r="A71" s="93">
        <v>148007</v>
      </c>
      <c r="B71" t="s">
        <v>677</v>
      </c>
      <c r="C71" t="s">
        <v>4919</v>
      </c>
      <c r="D71" s="92">
        <v>0.29</v>
      </c>
      <c r="E71" s="92">
        <v>0.28</v>
      </c>
      <c r="F71" t="s">
        <v>446</v>
      </c>
      <c r="G71" t="s">
        <v>446</v>
      </c>
      <c r="H71" t="s">
        <v>4931</v>
      </c>
      <c r="I71">
        <v>0</v>
      </c>
      <c r="J71" t="s">
        <v>97</v>
      </c>
      <c r="K71">
        <v>1</v>
      </c>
      <c r="L71">
        <v>1</v>
      </c>
      <c r="M71" t="s">
        <v>4935</v>
      </c>
    </row>
    <row r="72" spans="1:13">
      <c r="A72" s="93">
        <v>177551</v>
      </c>
      <c r="B72" t="s">
        <v>678</v>
      </c>
      <c r="C72" t="s">
        <v>4923</v>
      </c>
      <c r="D72" s="92">
        <v>0.19</v>
      </c>
      <c r="E72" s="92">
        <v>0.31</v>
      </c>
      <c r="F72" t="s">
        <v>446</v>
      </c>
      <c r="G72" t="s">
        <v>446</v>
      </c>
      <c r="H72" t="s">
        <v>4928</v>
      </c>
      <c r="I72">
        <v>1</v>
      </c>
      <c r="J72" t="s">
        <v>153</v>
      </c>
      <c r="K72">
        <v>0</v>
      </c>
      <c r="L72">
        <v>0</v>
      </c>
      <c r="M72" t="s">
        <v>11</v>
      </c>
    </row>
    <row r="73" spans="1:13">
      <c r="A73" s="93">
        <v>193900</v>
      </c>
      <c r="B73" t="s">
        <v>679</v>
      </c>
      <c r="C73" t="s">
        <v>4921</v>
      </c>
      <c r="D73" s="92">
        <v>0.87</v>
      </c>
      <c r="E73" s="92">
        <v>0.85</v>
      </c>
      <c r="F73">
        <v>1450</v>
      </c>
      <c r="G73">
        <v>1510</v>
      </c>
      <c r="H73" t="s">
        <v>4929</v>
      </c>
      <c r="I73">
        <v>1</v>
      </c>
      <c r="J73" t="s">
        <v>97</v>
      </c>
      <c r="K73">
        <v>0</v>
      </c>
      <c r="L73">
        <v>0</v>
      </c>
      <c r="M73" t="s">
        <v>11</v>
      </c>
    </row>
    <row r="74" spans="1:13">
      <c r="A74" s="93">
        <v>104151</v>
      </c>
      <c r="B74" t="s">
        <v>680</v>
      </c>
      <c r="C74" t="s">
        <v>4916</v>
      </c>
      <c r="D74" s="92">
        <v>0.66</v>
      </c>
      <c r="E74" s="92">
        <v>0.59</v>
      </c>
      <c r="F74" t="s">
        <v>446</v>
      </c>
      <c r="G74" t="s">
        <v>446</v>
      </c>
      <c r="H74" t="s">
        <v>4930</v>
      </c>
      <c r="I74">
        <v>0</v>
      </c>
      <c r="J74" t="s">
        <v>97</v>
      </c>
      <c r="K74">
        <v>0</v>
      </c>
      <c r="L74">
        <v>0</v>
      </c>
      <c r="M74" t="s">
        <v>11</v>
      </c>
    </row>
    <row r="75" spans="1:13">
      <c r="A75" s="93">
        <v>121345</v>
      </c>
      <c r="B75" t="s">
        <v>520</v>
      </c>
      <c r="C75" t="s">
        <v>4921</v>
      </c>
      <c r="D75" s="92">
        <v>0.93</v>
      </c>
      <c r="E75" s="92">
        <v>0.95</v>
      </c>
      <c r="F75">
        <v>1470</v>
      </c>
      <c r="G75">
        <v>1520</v>
      </c>
      <c r="H75" t="s">
        <v>4927</v>
      </c>
      <c r="I75">
        <v>1</v>
      </c>
      <c r="J75" t="s">
        <v>97</v>
      </c>
      <c r="K75">
        <v>0</v>
      </c>
      <c r="L75">
        <v>0</v>
      </c>
      <c r="M75" t="s">
        <v>11</v>
      </c>
    </row>
    <row r="76" spans="1:13">
      <c r="A76" s="93">
        <v>146481</v>
      </c>
      <c r="B76" t="s">
        <v>557</v>
      </c>
      <c r="C76" t="s">
        <v>4916</v>
      </c>
      <c r="D76" s="92">
        <v>0.75</v>
      </c>
      <c r="E76" s="92">
        <v>0.72</v>
      </c>
      <c r="F76">
        <v>1130</v>
      </c>
      <c r="G76">
        <v>1235</v>
      </c>
      <c r="H76" t="s">
        <v>4929</v>
      </c>
      <c r="I76">
        <v>1</v>
      </c>
      <c r="J76" t="s">
        <v>97</v>
      </c>
      <c r="K76">
        <v>0</v>
      </c>
      <c r="L76">
        <v>1</v>
      </c>
      <c r="M76" t="s">
        <v>4934</v>
      </c>
    </row>
    <row r="77" spans="1:13">
      <c r="A77" s="93">
        <v>148876</v>
      </c>
      <c r="B77" t="s">
        <v>681</v>
      </c>
      <c r="C77" t="s">
        <v>4923</v>
      </c>
      <c r="D77" s="92">
        <v>0.15</v>
      </c>
      <c r="E77" s="92">
        <v>0.16</v>
      </c>
      <c r="F77" t="s">
        <v>446</v>
      </c>
      <c r="G77" t="s">
        <v>446</v>
      </c>
      <c r="H77" t="s">
        <v>4929</v>
      </c>
      <c r="I77">
        <v>1</v>
      </c>
      <c r="J77" t="s">
        <v>97</v>
      </c>
      <c r="K77">
        <v>0</v>
      </c>
      <c r="L77">
        <v>1</v>
      </c>
      <c r="M77" t="s">
        <v>4934</v>
      </c>
    </row>
    <row r="78" spans="1:13">
      <c r="A78" s="93">
        <v>150987</v>
      </c>
      <c r="B78" t="s">
        <v>682</v>
      </c>
      <c r="C78" t="s">
        <v>4919</v>
      </c>
      <c r="D78" s="92">
        <v>0.35</v>
      </c>
      <c r="E78" s="92">
        <v>0.26</v>
      </c>
      <c r="F78" t="s">
        <v>446</v>
      </c>
      <c r="G78" t="s">
        <v>446</v>
      </c>
      <c r="H78" t="s">
        <v>4932</v>
      </c>
      <c r="I78">
        <v>0</v>
      </c>
      <c r="J78" t="s">
        <v>97</v>
      </c>
      <c r="K78">
        <v>0</v>
      </c>
      <c r="L78">
        <v>0</v>
      </c>
      <c r="M78" t="s">
        <v>11</v>
      </c>
    </row>
    <row r="79" spans="1:13">
      <c r="A79" s="93">
        <v>190415</v>
      </c>
      <c r="B79" t="s">
        <v>522</v>
      </c>
      <c r="C79" t="s">
        <v>4921</v>
      </c>
      <c r="D79" s="92">
        <v>0.9399999999999999</v>
      </c>
      <c r="E79" s="92">
        <v>0.9</v>
      </c>
      <c r="F79">
        <v>1450</v>
      </c>
      <c r="G79">
        <v>1505</v>
      </c>
      <c r="H79" t="s">
        <v>4927</v>
      </c>
      <c r="I79">
        <v>1</v>
      </c>
      <c r="J79" t="s">
        <v>97</v>
      </c>
      <c r="K79">
        <v>0</v>
      </c>
      <c r="L79">
        <v>0</v>
      </c>
      <c r="M79" t="s">
        <v>11</v>
      </c>
    </row>
    <row r="80" spans="1:13">
      <c r="A80" s="93">
        <v>220181</v>
      </c>
      <c r="B80" t="s">
        <v>683</v>
      </c>
      <c r="C80" t="s">
        <v>4918</v>
      </c>
      <c r="D80" s="92">
        <v>0.45</v>
      </c>
      <c r="E80" s="92">
        <v>0.61</v>
      </c>
      <c r="F80">
        <v>1060</v>
      </c>
      <c r="G80">
        <v>1210</v>
      </c>
      <c r="H80" t="s">
        <v>4933</v>
      </c>
      <c r="I80">
        <v>0</v>
      </c>
      <c r="J80" t="s">
        <v>153</v>
      </c>
      <c r="K80">
        <v>0</v>
      </c>
      <c r="L80">
        <v>0</v>
      </c>
      <c r="M80" t="s">
        <v>11</v>
      </c>
    </row>
    <row r="81" spans="1:13">
      <c r="A81" s="93">
        <v>230959</v>
      </c>
      <c r="B81" t="s">
        <v>684</v>
      </c>
      <c r="C81" t="s">
        <v>4921</v>
      </c>
      <c r="D81" s="92">
        <v>0.91</v>
      </c>
      <c r="E81" s="92">
        <v>0.85</v>
      </c>
      <c r="F81">
        <v>1380</v>
      </c>
      <c r="G81">
        <v>1455</v>
      </c>
      <c r="H81" t="s">
        <v>4928</v>
      </c>
      <c r="I81">
        <v>1</v>
      </c>
      <c r="J81" t="s">
        <v>97</v>
      </c>
      <c r="K81">
        <v>0</v>
      </c>
      <c r="L81">
        <v>0</v>
      </c>
      <c r="M81" t="s">
        <v>11</v>
      </c>
    </row>
    <row r="82" spans="1:13">
      <c r="A82" s="93">
        <v>243744</v>
      </c>
      <c r="B82" t="s">
        <v>521</v>
      </c>
      <c r="C82" t="s">
        <v>4921</v>
      </c>
      <c r="D82" s="92">
        <v>0.96</v>
      </c>
      <c r="E82" s="92">
        <v>0.9399999999999999</v>
      </c>
      <c r="F82">
        <v>1470</v>
      </c>
      <c r="G82">
        <v>1520</v>
      </c>
      <c r="H82" t="s">
        <v>4927</v>
      </c>
      <c r="I82">
        <v>1</v>
      </c>
      <c r="J82" t="s">
        <v>97</v>
      </c>
      <c r="K82">
        <v>0</v>
      </c>
      <c r="L82">
        <v>0</v>
      </c>
      <c r="M82" t="s">
        <v>11</v>
      </c>
    </row>
    <row r="83" spans="1:13">
      <c r="A83" s="93">
        <v>433387</v>
      </c>
      <c r="B83" t="s">
        <v>685</v>
      </c>
      <c r="C83" t="s">
        <v>4923</v>
      </c>
      <c r="D83" s="92">
        <v>0.48</v>
      </c>
      <c r="E83" s="92">
        <v>0.36</v>
      </c>
      <c r="F83" t="s">
        <v>446</v>
      </c>
      <c r="G83" t="s">
        <v>446</v>
      </c>
      <c r="H83" t="s">
        <v>4931</v>
      </c>
      <c r="I83">
        <v>0</v>
      </c>
      <c r="J83" t="s">
        <v>97</v>
      </c>
      <c r="K83">
        <v>0</v>
      </c>
      <c r="L83">
        <v>0</v>
      </c>
      <c r="M83" t="s">
        <v>11</v>
      </c>
    </row>
    <row r="84" spans="1:13">
      <c r="A84" s="93">
        <v>147800</v>
      </c>
      <c r="B84" t="s">
        <v>686</v>
      </c>
      <c r="C84" t="s">
        <v>4919</v>
      </c>
      <c r="D84" s="92">
        <v>0.43</v>
      </c>
      <c r="E84" s="92">
        <v>0.38</v>
      </c>
      <c r="F84" t="s">
        <v>446</v>
      </c>
      <c r="G84" t="s">
        <v>446</v>
      </c>
      <c r="H84" t="s">
        <v>4931</v>
      </c>
      <c r="I84">
        <v>0</v>
      </c>
      <c r="J84" t="s">
        <v>97</v>
      </c>
      <c r="K84">
        <v>1</v>
      </c>
      <c r="L84">
        <v>1</v>
      </c>
      <c r="M84" t="s">
        <v>4935</v>
      </c>
    </row>
    <row r="85" spans="1:13">
      <c r="A85" s="93">
        <v>170301</v>
      </c>
      <c r="B85" t="s">
        <v>489</v>
      </c>
      <c r="C85" t="s">
        <v>4916</v>
      </c>
      <c r="D85" s="92">
        <v>0.79</v>
      </c>
      <c r="E85" s="92">
        <v>0.6</v>
      </c>
      <c r="F85">
        <v>1100</v>
      </c>
      <c r="G85">
        <v>1215</v>
      </c>
      <c r="H85" t="s">
        <v>4928</v>
      </c>
      <c r="I85">
        <v>1</v>
      </c>
      <c r="J85" t="s">
        <v>97</v>
      </c>
      <c r="K85">
        <v>0</v>
      </c>
      <c r="L85">
        <v>0</v>
      </c>
      <c r="M85" t="s">
        <v>11</v>
      </c>
    </row>
    <row r="86" spans="1:13">
      <c r="A86" s="93">
        <v>190099</v>
      </c>
      <c r="B86" t="s">
        <v>495</v>
      </c>
      <c r="C86" t="s">
        <v>4921</v>
      </c>
      <c r="D86" s="92">
        <v>0.9</v>
      </c>
      <c r="E86" s="92">
        <v>0.93</v>
      </c>
      <c r="F86">
        <v>1350</v>
      </c>
      <c r="G86">
        <v>1425</v>
      </c>
      <c r="H86" t="s">
        <v>4927</v>
      </c>
      <c r="I86">
        <v>1</v>
      </c>
      <c r="J86" t="s">
        <v>97</v>
      </c>
      <c r="K86">
        <v>0</v>
      </c>
      <c r="L86">
        <v>0</v>
      </c>
      <c r="M86" t="s">
        <v>11</v>
      </c>
    </row>
    <row r="87" spans="1:13">
      <c r="A87" s="93">
        <v>215062</v>
      </c>
      <c r="B87" t="s">
        <v>687</v>
      </c>
      <c r="C87" t="s">
        <v>4921</v>
      </c>
      <c r="D87" s="92">
        <v>0.96</v>
      </c>
      <c r="E87" s="92">
        <v>0.96</v>
      </c>
      <c r="F87">
        <v>1480</v>
      </c>
      <c r="G87">
        <v>1525</v>
      </c>
      <c r="H87" t="s">
        <v>4927</v>
      </c>
      <c r="I87">
        <v>1</v>
      </c>
      <c r="J87" t="s">
        <v>97</v>
      </c>
      <c r="K87">
        <v>0</v>
      </c>
      <c r="L87">
        <v>0</v>
      </c>
      <c r="M87" t="s">
        <v>11</v>
      </c>
    </row>
    <row r="88" spans="1:13">
      <c r="A88" s="93">
        <v>217156</v>
      </c>
      <c r="B88" t="s">
        <v>688</v>
      </c>
      <c r="C88" t="s">
        <v>4921</v>
      </c>
      <c r="D88" s="92">
        <v>0.96</v>
      </c>
      <c r="E88" s="92">
        <v>0.96</v>
      </c>
      <c r="F88">
        <v>1460</v>
      </c>
      <c r="G88">
        <v>1515</v>
      </c>
      <c r="H88" t="s">
        <v>4931</v>
      </c>
      <c r="I88">
        <v>0</v>
      </c>
      <c r="J88" t="s">
        <v>97</v>
      </c>
      <c r="K88">
        <v>0</v>
      </c>
      <c r="L88">
        <v>0</v>
      </c>
      <c r="M88" t="s">
        <v>11</v>
      </c>
    </row>
    <row r="89" spans="1:13">
      <c r="A89" s="93">
        <v>239105</v>
      </c>
      <c r="B89" t="s">
        <v>689</v>
      </c>
      <c r="C89" t="s">
        <v>4916</v>
      </c>
      <c r="D89" s="92">
        <v>0.8100000000000001</v>
      </c>
      <c r="E89" s="92">
        <v>0.76</v>
      </c>
      <c r="F89">
        <v>1210</v>
      </c>
      <c r="G89">
        <v>1290</v>
      </c>
      <c r="H89" t="s">
        <v>4930</v>
      </c>
      <c r="I89">
        <v>0</v>
      </c>
      <c r="J89" t="s">
        <v>97</v>
      </c>
      <c r="K89">
        <v>0</v>
      </c>
      <c r="L89">
        <v>0</v>
      </c>
      <c r="M89" t="s">
        <v>11</v>
      </c>
    </row>
    <row r="90" spans="1:13">
      <c r="A90" s="93">
        <v>153278</v>
      </c>
      <c r="B90" t="s">
        <v>690</v>
      </c>
      <c r="C90" t="s">
        <v>4920</v>
      </c>
      <c r="D90" s="92">
        <v>0.43</v>
      </c>
      <c r="E90" s="92">
        <v>0.29</v>
      </c>
      <c r="F90" t="s">
        <v>446</v>
      </c>
      <c r="G90" t="s">
        <v>446</v>
      </c>
      <c r="H90" t="s">
        <v>4930</v>
      </c>
      <c r="I90">
        <v>0</v>
      </c>
      <c r="J90" t="s">
        <v>97</v>
      </c>
      <c r="K90">
        <v>0</v>
      </c>
      <c r="L90">
        <v>0</v>
      </c>
      <c r="M90" t="s">
        <v>11</v>
      </c>
    </row>
    <row r="91" spans="1:13">
      <c r="A91" s="93">
        <v>172617</v>
      </c>
      <c r="B91" t="s">
        <v>691</v>
      </c>
      <c r="C91" t="s">
        <v>4919</v>
      </c>
      <c r="D91" s="92">
        <v>0.33</v>
      </c>
      <c r="E91" s="92">
        <v>0.23</v>
      </c>
      <c r="F91" t="s">
        <v>446</v>
      </c>
      <c r="G91" t="s">
        <v>446</v>
      </c>
      <c r="H91" t="s">
        <v>4932</v>
      </c>
      <c r="I91">
        <v>0</v>
      </c>
      <c r="J91" t="s">
        <v>97</v>
      </c>
      <c r="K91">
        <v>0</v>
      </c>
      <c r="L91">
        <v>0</v>
      </c>
      <c r="M91" t="s">
        <v>11</v>
      </c>
    </row>
    <row r="92" spans="1:13">
      <c r="A92" s="93">
        <v>202523</v>
      </c>
      <c r="B92" t="s">
        <v>471</v>
      </c>
      <c r="C92" t="s">
        <v>4922</v>
      </c>
      <c r="D92" s="92">
        <v>0.8100000000000001</v>
      </c>
      <c r="E92" s="92">
        <v>0.8100000000000001</v>
      </c>
      <c r="F92">
        <v>1230</v>
      </c>
      <c r="G92">
        <v>1330</v>
      </c>
      <c r="H92" t="s">
        <v>4928</v>
      </c>
      <c r="I92">
        <v>1</v>
      </c>
      <c r="J92" t="s">
        <v>97</v>
      </c>
      <c r="K92">
        <v>0</v>
      </c>
      <c r="L92">
        <v>0</v>
      </c>
      <c r="M92" t="s">
        <v>11</v>
      </c>
    </row>
    <row r="93" spans="1:13">
      <c r="A93" s="93">
        <v>204501</v>
      </c>
      <c r="B93" t="s">
        <v>692</v>
      </c>
      <c r="C93" t="s">
        <v>4922</v>
      </c>
      <c r="D93" s="92">
        <v>0.82</v>
      </c>
      <c r="E93" s="92">
        <v>0.8100000000000001</v>
      </c>
      <c r="F93">
        <v>1340</v>
      </c>
      <c r="G93">
        <v>1400</v>
      </c>
      <c r="H93" t="s">
        <v>4927</v>
      </c>
      <c r="I93">
        <v>1</v>
      </c>
      <c r="J93" t="s">
        <v>97</v>
      </c>
      <c r="K93">
        <v>0</v>
      </c>
      <c r="L93">
        <v>0</v>
      </c>
      <c r="M93" t="s">
        <v>11</v>
      </c>
    </row>
    <row r="94" spans="1:13">
      <c r="A94" s="93">
        <v>216597</v>
      </c>
      <c r="B94" t="s">
        <v>511</v>
      </c>
      <c r="C94" t="s">
        <v>4922</v>
      </c>
      <c r="D94" s="92">
        <v>0.91</v>
      </c>
      <c r="E94" s="92">
        <v>0.88</v>
      </c>
      <c r="F94">
        <v>1350</v>
      </c>
      <c r="G94">
        <v>1420</v>
      </c>
      <c r="H94" t="s">
        <v>4927</v>
      </c>
      <c r="I94">
        <v>1</v>
      </c>
      <c r="J94" t="s">
        <v>97</v>
      </c>
      <c r="K94">
        <v>0</v>
      </c>
      <c r="L94">
        <v>0</v>
      </c>
      <c r="M94" t="s">
        <v>11</v>
      </c>
    </row>
    <row r="95" spans="1:13">
      <c r="A95" s="93">
        <v>229063</v>
      </c>
      <c r="B95" t="s">
        <v>693</v>
      </c>
      <c r="C95" t="s">
        <v>4918</v>
      </c>
      <c r="D95" s="92">
        <v>0.23</v>
      </c>
      <c r="E95" s="92">
        <v>0.37</v>
      </c>
      <c r="F95">
        <v>820</v>
      </c>
      <c r="G95">
        <v>910</v>
      </c>
      <c r="H95" t="s">
        <v>4930</v>
      </c>
      <c r="I95">
        <v>0</v>
      </c>
      <c r="J95" t="s">
        <v>153</v>
      </c>
      <c r="K95">
        <v>0</v>
      </c>
      <c r="L95">
        <v>0</v>
      </c>
      <c r="M95" t="s">
        <v>11</v>
      </c>
    </row>
    <row r="96" spans="1:13">
      <c r="A96" s="93">
        <v>128902</v>
      </c>
      <c r="B96" t="s">
        <v>584</v>
      </c>
      <c r="C96" t="s">
        <v>4922</v>
      </c>
      <c r="D96" s="92">
        <v>0.82</v>
      </c>
      <c r="E96" s="92">
        <v>0.82</v>
      </c>
      <c r="F96">
        <v>1330</v>
      </c>
      <c r="G96">
        <v>1405</v>
      </c>
      <c r="H96" t="s">
        <v>4930</v>
      </c>
      <c r="I96">
        <v>0</v>
      </c>
      <c r="J96" t="s">
        <v>97</v>
      </c>
      <c r="K96">
        <v>0</v>
      </c>
      <c r="L96">
        <v>0</v>
      </c>
      <c r="M96" t="s">
        <v>11</v>
      </c>
    </row>
    <row r="97" spans="1:13">
      <c r="A97" s="93">
        <v>147341</v>
      </c>
      <c r="B97" t="s">
        <v>526</v>
      </c>
      <c r="C97" t="s">
        <v>4920</v>
      </c>
      <c r="D97" s="92">
        <v>0.59</v>
      </c>
      <c r="E97" s="92">
        <v>0.43</v>
      </c>
      <c r="F97">
        <v>1080</v>
      </c>
      <c r="G97">
        <v>1190</v>
      </c>
      <c r="H97" t="s">
        <v>4928</v>
      </c>
      <c r="I97">
        <v>1</v>
      </c>
      <c r="J97" t="s">
        <v>97</v>
      </c>
      <c r="K97">
        <v>0</v>
      </c>
      <c r="L97">
        <v>0</v>
      </c>
      <c r="M97" t="s">
        <v>11</v>
      </c>
    </row>
    <row r="98" spans="1:13">
      <c r="A98" s="93">
        <v>153603</v>
      </c>
      <c r="B98" t="s">
        <v>694</v>
      </c>
      <c r="C98" t="s">
        <v>4920</v>
      </c>
      <c r="D98" s="92">
        <v>0.76</v>
      </c>
      <c r="E98" s="92">
        <v>0.63</v>
      </c>
      <c r="F98">
        <v>1080</v>
      </c>
      <c r="G98">
        <v>1195</v>
      </c>
      <c r="H98" t="s">
        <v>4929</v>
      </c>
      <c r="I98">
        <v>1</v>
      </c>
      <c r="J98" t="s">
        <v>97</v>
      </c>
      <c r="K98">
        <v>0</v>
      </c>
      <c r="L98">
        <v>0</v>
      </c>
      <c r="M98" t="s">
        <v>11</v>
      </c>
    </row>
    <row r="99" spans="1:13">
      <c r="A99" s="93">
        <v>153834</v>
      </c>
      <c r="B99" t="s">
        <v>481</v>
      </c>
      <c r="C99" t="s">
        <v>4920</v>
      </c>
      <c r="D99" s="92">
        <v>0.75</v>
      </c>
      <c r="E99" s="92">
        <v>0.51</v>
      </c>
      <c r="F99">
        <v>1110</v>
      </c>
      <c r="G99">
        <v>1225</v>
      </c>
      <c r="H99" t="s">
        <v>4929</v>
      </c>
      <c r="I99">
        <v>1</v>
      </c>
      <c r="J99" t="s">
        <v>97</v>
      </c>
      <c r="K99">
        <v>0</v>
      </c>
      <c r="L99">
        <v>0</v>
      </c>
      <c r="M99" t="s">
        <v>11</v>
      </c>
    </row>
    <row r="100" spans="1:13">
      <c r="A100" s="93">
        <v>174844</v>
      </c>
      <c r="B100" t="s">
        <v>695</v>
      </c>
      <c r="C100" t="s">
        <v>4917</v>
      </c>
      <c r="D100" s="92">
        <v>0.85</v>
      </c>
      <c r="E100" s="92">
        <v>0.76</v>
      </c>
      <c r="F100">
        <v>1310</v>
      </c>
      <c r="G100">
        <v>1385</v>
      </c>
      <c r="H100" t="s">
        <v>4928</v>
      </c>
      <c r="I100">
        <v>1</v>
      </c>
      <c r="J100" t="s">
        <v>97</v>
      </c>
      <c r="K100">
        <v>0</v>
      </c>
      <c r="L100">
        <v>0</v>
      </c>
      <c r="M100" t="s">
        <v>11</v>
      </c>
    </row>
    <row r="101" spans="1:13">
      <c r="A101" s="93">
        <v>199102</v>
      </c>
      <c r="B101" t="s">
        <v>696</v>
      </c>
      <c r="C101" t="s">
        <v>4918</v>
      </c>
      <c r="D101" s="92">
        <v>0.53</v>
      </c>
      <c r="E101" s="92">
        <v>0.6899999999999999</v>
      </c>
      <c r="F101">
        <v>990</v>
      </c>
      <c r="G101">
        <v>1080</v>
      </c>
      <c r="H101" t="s">
        <v>4930</v>
      </c>
      <c r="I101">
        <v>0</v>
      </c>
      <c r="J101" t="s">
        <v>153</v>
      </c>
      <c r="K101">
        <v>0</v>
      </c>
      <c r="L101">
        <v>0</v>
      </c>
      <c r="M101" t="s">
        <v>11</v>
      </c>
    </row>
    <row r="102" spans="1:13">
      <c r="A102" s="93">
        <v>123961</v>
      </c>
      <c r="B102" t="s">
        <v>697</v>
      </c>
      <c r="C102" t="s">
        <v>4920</v>
      </c>
      <c r="D102" s="92">
        <v>0.92</v>
      </c>
      <c r="E102" s="92">
        <v>0.91</v>
      </c>
      <c r="F102">
        <v>1410</v>
      </c>
      <c r="G102">
        <v>1475</v>
      </c>
      <c r="H102" t="s">
        <v>4927</v>
      </c>
      <c r="I102">
        <v>1</v>
      </c>
      <c r="J102" t="s">
        <v>97</v>
      </c>
      <c r="K102">
        <v>0</v>
      </c>
      <c r="L102">
        <v>0</v>
      </c>
      <c r="M102" t="s">
        <v>11</v>
      </c>
    </row>
    <row r="103" spans="1:13">
      <c r="A103" s="93">
        <v>143118</v>
      </c>
      <c r="B103" t="s">
        <v>452</v>
      </c>
      <c r="C103" t="s">
        <v>4920</v>
      </c>
      <c r="D103" s="92">
        <v>0.5600000000000001</v>
      </c>
      <c r="E103" s="92">
        <v>0.51</v>
      </c>
      <c r="F103">
        <v>960</v>
      </c>
      <c r="G103">
        <v>1045</v>
      </c>
      <c r="H103" t="s">
        <v>4929</v>
      </c>
      <c r="I103">
        <v>1</v>
      </c>
      <c r="J103" t="s">
        <v>97</v>
      </c>
      <c r="K103">
        <v>0</v>
      </c>
      <c r="L103">
        <v>1</v>
      </c>
      <c r="M103" t="s">
        <v>4934</v>
      </c>
    </row>
    <row r="104" spans="1:13">
      <c r="A104" s="93">
        <v>146506</v>
      </c>
      <c r="B104" t="s">
        <v>698</v>
      </c>
      <c r="C104" t="s">
        <v>4919</v>
      </c>
      <c r="D104" s="92">
        <v>0.57</v>
      </c>
      <c r="E104" s="92">
        <v>0.39</v>
      </c>
      <c r="F104" t="s">
        <v>446</v>
      </c>
      <c r="G104" t="s">
        <v>446</v>
      </c>
      <c r="H104" t="s">
        <v>4927</v>
      </c>
      <c r="I104">
        <v>1</v>
      </c>
      <c r="J104" t="s">
        <v>97</v>
      </c>
      <c r="K104">
        <v>1</v>
      </c>
      <c r="L104">
        <v>0</v>
      </c>
      <c r="M104" t="s">
        <v>11</v>
      </c>
    </row>
    <row r="105" spans="1:13">
      <c r="A105" s="93">
        <v>153144</v>
      </c>
      <c r="B105" t="s">
        <v>699</v>
      </c>
      <c r="C105" t="s">
        <v>4916</v>
      </c>
      <c r="D105" s="92">
        <v>0.63</v>
      </c>
      <c r="E105" s="92">
        <v>0.5</v>
      </c>
      <c r="F105" t="s">
        <v>446</v>
      </c>
      <c r="G105" t="s">
        <v>446</v>
      </c>
      <c r="H105" t="s">
        <v>4930</v>
      </c>
      <c r="I105">
        <v>0</v>
      </c>
      <c r="J105" t="s">
        <v>97</v>
      </c>
      <c r="K105">
        <v>0</v>
      </c>
      <c r="L105">
        <v>0</v>
      </c>
      <c r="M105" t="s">
        <v>11</v>
      </c>
    </row>
    <row r="106" spans="1:13">
      <c r="A106" s="93">
        <v>154022</v>
      </c>
      <c r="B106" t="s">
        <v>700</v>
      </c>
      <c r="C106" t="s">
        <v>4920</v>
      </c>
      <c r="D106" s="92">
        <v>0.09</v>
      </c>
      <c r="E106" s="92">
        <v>0.06</v>
      </c>
      <c r="F106" t="s">
        <v>446</v>
      </c>
      <c r="G106" t="s">
        <v>446</v>
      </c>
      <c r="H106" t="s">
        <v>4930</v>
      </c>
      <c r="I106">
        <v>0</v>
      </c>
      <c r="J106" t="s">
        <v>97</v>
      </c>
      <c r="K106">
        <v>0</v>
      </c>
      <c r="L106">
        <v>0</v>
      </c>
      <c r="M106" t="s">
        <v>11</v>
      </c>
    </row>
    <row r="107" spans="1:13">
      <c r="A107" s="93">
        <v>160621</v>
      </c>
      <c r="B107" t="s">
        <v>701</v>
      </c>
      <c r="C107" t="s">
        <v>4918</v>
      </c>
      <c r="D107" s="92">
        <v>0.32</v>
      </c>
      <c r="E107" s="92">
        <v>0.47</v>
      </c>
      <c r="F107">
        <v>850</v>
      </c>
      <c r="G107">
        <v>930</v>
      </c>
      <c r="H107" t="s">
        <v>4930</v>
      </c>
      <c r="I107">
        <v>0</v>
      </c>
      <c r="J107" t="s">
        <v>153</v>
      </c>
      <c r="K107">
        <v>0</v>
      </c>
      <c r="L107">
        <v>0</v>
      </c>
      <c r="M107" t="s">
        <v>11</v>
      </c>
    </row>
    <row r="108" spans="1:13">
      <c r="A108" s="93">
        <v>169798</v>
      </c>
      <c r="B108" t="s">
        <v>702</v>
      </c>
      <c r="C108" t="s">
        <v>4920</v>
      </c>
      <c r="D108" s="92">
        <v>0.48</v>
      </c>
      <c r="E108" s="92">
        <v>0.37</v>
      </c>
      <c r="F108">
        <v>930</v>
      </c>
      <c r="G108">
        <v>1055</v>
      </c>
      <c r="H108" t="s">
        <v>4931</v>
      </c>
      <c r="I108">
        <v>0</v>
      </c>
      <c r="J108" t="s">
        <v>97</v>
      </c>
      <c r="K108">
        <v>0</v>
      </c>
      <c r="L108">
        <v>0</v>
      </c>
      <c r="M108" t="s">
        <v>11</v>
      </c>
    </row>
    <row r="109" spans="1:13">
      <c r="A109" s="93">
        <v>104717</v>
      </c>
      <c r="B109" t="s">
        <v>703</v>
      </c>
      <c r="C109" t="s">
        <v>4916</v>
      </c>
      <c r="D109" s="92">
        <v>0.45</v>
      </c>
      <c r="E109" s="92">
        <v>0.39</v>
      </c>
      <c r="F109" t="s">
        <v>446</v>
      </c>
      <c r="G109" t="s">
        <v>446</v>
      </c>
      <c r="H109" t="s">
        <v>4930</v>
      </c>
      <c r="I109">
        <v>0</v>
      </c>
      <c r="J109" t="s">
        <v>97</v>
      </c>
      <c r="K109">
        <v>0</v>
      </c>
      <c r="L109">
        <v>0</v>
      </c>
      <c r="M109" t="s">
        <v>11</v>
      </c>
    </row>
    <row r="110" spans="1:13">
      <c r="A110" s="93">
        <v>126827</v>
      </c>
      <c r="B110" t="s">
        <v>704</v>
      </c>
      <c r="C110" t="s">
        <v>4923</v>
      </c>
      <c r="D110" s="92">
        <v>0.21</v>
      </c>
      <c r="E110" s="92">
        <v>0.17</v>
      </c>
      <c r="F110" t="s">
        <v>446</v>
      </c>
      <c r="G110" t="s">
        <v>446</v>
      </c>
      <c r="H110" t="s">
        <v>4930</v>
      </c>
      <c r="I110">
        <v>0</v>
      </c>
      <c r="J110" t="s">
        <v>97</v>
      </c>
      <c r="K110">
        <v>0</v>
      </c>
      <c r="L110">
        <v>0</v>
      </c>
      <c r="M110" t="s">
        <v>11</v>
      </c>
    </row>
    <row r="111" spans="1:13">
      <c r="A111" s="93">
        <v>130590</v>
      </c>
      <c r="B111" t="s">
        <v>585</v>
      </c>
      <c r="C111" t="s">
        <v>4917</v>
      </c>
      <c r="D111" s="92">
        <v>0.83</v>
      </c>
      <c r="E111" s="92">
        <v>0.82</v>
      </c>
      <c r="F111">
        <v>1330</v>
      </c>
      <c r="G111">
        <v>1405</v>
      </c>
      <c r="H111" t="s">
        <v>4929</v>
      </c>
      <c r="I111">
        <v>1</v>
      </c>
      <c r="J111" t="s">
        <v>97</v>
      </c>
      <c r="K111">
        <v>0</v>
      </c>
      <c r="L111">
        <v>0</v>
      </c>
      <c r="M111" t="s">
        <v>11</v>
      </c>
    </row>
    <row r="112" spans="1:13">
      <c r="A112" s="93">
        <v>144485</v>
      </c>
      <c r="B112" t="s">
        <v>705</v>
      </c>
      <c r="C112" t="s">
        <v>4919</v>
      </c>
      <c r="D112" s="92">
        <v>0.25</v>
      </c>
      <c r="E112" s="92">
        <v>0.25</v>
      </c>
      <c r="F112" t="s">
        <v>446</v>
      </c>
      <c r="G112" t="s">
        <v>446</v>
      </c>
      <c r="H112" t="s">
        <v>4930</v>
      </c>
      <c r="I112">
        <v>0</v>
      </c>
      <c r="J112" t="s">
        <v>97</v>
      </c>
      <c r="K112">
        <v>0</v>
      </c>
      <c r="L112">
        <v>1</v>
      </c>
      <c r="M112" t="s">
        <v>4935</v>
      </c>
    </row>
    <row r="113" spans="1:13">
      <c r="A113" s="93">
        <v>147244</v>
      </c>
      <c r="B113" t="s">
        <v>568</v>
      </c>
      <c r="C113" t="s">
        <v>4920</v>
      </c>
      <c r="D113" s="92">
        <v>0.5600000000000001</v>
      </c>
      <c r="E113" s="92">
        <v>0.42</v>
      </c>
      <c r="F113">
        <v>960</v>
      </c>
      <c r="G113">
        <v>1075</v>
      </c>
      <c r="H113" t="s">
        <v>4931</v>
      </c>
      <c r="I113">
        <v>0</v>
      </c>
      <c r="J113" t="s">
        <v>97</v>
      </c>
      <c r="K113">
        <v>0</v>
      </c>
      <c r="L113">
        <v>0</v>
      </c>
      <c r="M113" t="s">
        <v>11</v>
      </c>
    </row>
    <row r="114" spans="1:13">
      <c r="A114" s="93">
        <v>156295</v>
      </c>
      <c r="B114" t="s">
        <v>706</v>
      </c>
      <c r="C114" t="s">
        <v>4920</v>
      </c>
      <c r="D114" s="92">
        <v>0.67</v>
      </c>
      <c r="E114" s="92">
        <v>0.64</v>
      </c>
      <c r="F114">
        <v>1140</v>
      </c>
      <c r="G114">
        <v>1225</v>
      </c>
      <c r="H114" t="s">
        <v>4927</v>
      </c>
      <c r="I114">
        <v>1</v>
      </c>
      <c r="J114" t="s">
        <v>97</v>
      </c>
      <c r="K114">
        <v>0</v>
      </c>
      <c r="L114">
        <v>0</v>
      </c>
      <c r="M114" t="s">
        <v>11</v>
      </c>
    </row>
    <row r="115" spans="1:13">
      <c r="A115" s="93">
        <v>162928</v>
      </c>
      <c r="B115" t="s">
        <v>707</v>
      </c>
      <c r="C115" t="s">
        <v>4921</v>
      </c>
      <c r="D115" s="92">
        <v>0.95</v>
      </c>
      <c r="E115" s="92">
        <v>0.9399999999999999</v>
      </c>
      <c r="F115" t="s">
        <v>446</v>
      </c>
      <c r="G115" t="s">
        <v>446</v>
      </c>
      <c r="H115" t="s">
        <v>4927</v>
      </c>
      <c r="I115">
        <v>1</v>
      </c>
      <c r="J115" t="s">
        <v>97</v>
      </c>
      <c r="K115">
        <v>0</v>
      </c>
      <c r="L115">
        <v>0</v>
      </c>
      <c r="M115" t="s">
        <v>11</v>
      </c>
    </row>
    <row r="116" spans="1:13">
      <c r="A116" s="93">
        <v>164988</v>
      </c>
      <c r="B116" t="s">
        <v>708</v>
      </c>
      <c r="C116" t="s">
        <v>4921</v>
      </c>
      <c r="D116" s="92">
        <v>0.89</v>
      </c>
      <c r="E116" s="92">
        <v>0.87</v>
      </c>
      <c r="F116">
        <v>1360</v>
      </c>
      <c r="G116">
        <v>1440</v>
      </c>
      <c r="H116" t="s">
        <v>4927</v>
      </c>
      <c r="I116">
        <v>1</v>
      </c>
      <c r="J116" t="s">
        <v>97</v>
      </c>
      <c r="K116">
        <v>0</v>
      </c>
      <c r="L116">
        <v>0</v>
      </c>
      <c r="M116" t="s">
        <v>11</v>
      </c>
    </row>
    <row r="117" spans="1:13">
      <c r="A117" s="93">
        <v>173258</v>
      </c>
      <c r="B117" t="s">
        <v>539</v>
      </c>
      <c r="C117" t="s">
        <v>4921</v>
      </c>
      <c r="D117" s="92">
        <v>0.91</v>
      </c>
      <c r="E117" s="92">
        <v>0.85</v>
      </c>
      <c r="F117">
        <v>1410</v>
      </c>
      <c r="G117">
        <v>1480</v>
      </c>
      <c r="H117" t="s">
        <v>4931</v>
      </c>
      <c r="I117">
        <v>0</v>
      </c>
      <c r="J117" t="s">
        <v>97</v>
      </c>
      <c r="K117">
        <v>0</v>
      </c>
      <c r="L117">
        <v>0</v>
      </c>
      <c r="M117" t="s">
        <v>11</v>
      </c>
    </row>
    <row r="118" spans="1:13">
      <c r="A118" s="93">
        <v>179159</v>
      </c>
      <c r="B118" t="s">
        <v>709</v>
      </c>
      <c r="C118" t="s">
        <v>4917</v>
      </c>
      <c r="D118" s="92">
        <v>0.8</v>
      </c>
      <c r="E118" s="92">
        <v>0.7</v>
      </c>
      <c r="F118">
        <v>1280</v>
      </c>
      <c r="G118">
        <v>1355</v>
      </c>
      <c r="H118" t="s">
        <v>4933</v>
      </c>
      <c r="I118">
        <v>0</v>
      </c>
      <c r="J118" t="s">
        <v>97</v>
      </c>
      <c r="K118">
        <v>0</v>
      </c>
      <c r="L118">
        <v>0</v>
      </c>
      <c r="M118" t="s">
        <v>11</v>
      </c>
    </row>
    <row r="119" spans="1:13">
      <c r="A119" s="93">
        <v>213543</v>
      </c>
      <c r="B119" t="s">
        <v>710</v>
      </c>
      <c r="C119" t="s">
        <v>4922</v>
      </c>
      <c r="D119" s="92">
        <v>0.87</v>
      </c>
      <c r="E119" s="92">
        <v>0.83</v>
      </c>
      <c r="F119">
        <v>1320</v>
      </c>
      <c r="G119">
        <v>1405</v>
      </c>
      <c r="H119" t="s">
        <v>4927</v>
      </c>
      <c r="I119">
        <v>1</v>
      </c>
      <c r="J119" t="s">
        <v>97</v>
      </c>
      <c r="K119">
        <v>0</v>
      </c>
      <c r="L119">
        <v>0</v>
      </c>
      <c r="M119" t="s">
        <v>11</v>
      </c>
    </row>
    <row r="120" spans="1:13">
      <c r="A120" s="93">
        <v>243780</v>
      </c>
      <c r="B120" t="s">
        <v>711</v>
      </c>
      <c r="C120" t="s">
        <v>4922</v>
      </c>
      <c r="D120" s="92">
        <v>0.83</v>
      </c>
      <c r="E120" s="92">
        <v>0.76</v>
      </c>
      <c r="F120">
        <v>1190</v>
      </c>
      <c r="G120">
        <v>1310</v>
      </c>
      <c r="H120" t="s">
        <v>4930</v>
      </c>
      <c r="I120">
        <v>0</v>
      </c>
      <c r="J120" t="s">
        <v>97</v>
      </c>
      <c r="K120">
        <v>0</v>
      </c>
      <c r="L120">
        <v>0</v>
      </c>
      <c r="M120" t="s">
        <v>11</v>
      </c>
    </row>
    <row r="121" spans="1:13">
      <c r="A121" s="93">
        <v>366191</v>
      </c>
      <c r="B121" t="s">
        <v>712</v>
      </c>
      <c r="C121" t="s">
        <v>4919</v>
      </c>
      <c r="D121" s="92">
        <v>0.25</v>
      </c>
      <c r="E121" s="92">
        <v>0.25</v>
      </c>
      <c r="F121" t="s">
        <v>446</v>
      </c>
      <c r="G121" t="s">
        <v>446</v>
      </c>
      <c r="H121" t="s">
        <v>4930</v>
      </c>
      <c r="I121">
        <v>0</v>
      </c>
      <c r="J121" t="s">
        <v>97</v>
      </c>
      <c r="K121">
        <v>0</v>
      </c>
      <c r="L121">
        <v>1</v>
      </c>
      <c r="M121" t="s">
        <v>4935</v>
      </c>
    </row>
    <row r="122" spans="1:13">
      <c r="A122" s="93">
        <v>139658</v>
      </c>
      <c r="B122" t="s">
        <v>713</v>
      </c>
      <c r="C122" t="s">
        <v>4921</v>
      </c>
      <c r="D122" s="92">
        <v>0.9</v>
      </c>
      <c r="E122" s="92">
        <v>0.89</v>
      </c>
      <c r="F122">
        <v>1420</v>
      </c>
      <c r="G122">
        <v>1480</v>
      </c>
      <c r="H122" t="s">
        <v>4929</v>
      </c>
      <c r="I122">
        <v>1</v>
      </c>
      <c r="J122" t="s">
        <v>97</v>
      </c>
      <c r="K122">
        <v>0</v>
      </c>
      <c r="L122">
        <v>0</v>
      </c>
      <c r="M122" t="s">
        <v>11</v>
      </c>
    </row>
    <row r="123" spans="1:13">
      <c r="A123" s="93">
        <v>143978</v>
      </c>
      <c r="B123" t="s">
        <v>714</v>
      </c>
      <c r="C123" t="s">
        <v>4924</v>
      </c>
      <c r="D123" s="92">
        <v>0.25</v>
      </c>
      <c r="E123" s="92">
        <v>0.25</v>
      </c>
      <c r="F123" t="s">
        <v>446</v>
      </c>
      <c r="G123" t="s">
        <v>446</v>
      </c>
      <c r="H123" t="s">
        <v>4932</v>
      </c>
      <c r="I123">
        <v>0</v>
      </c>
      <c r="J123" t="s">
        <v>97</v>
      </c>
      <c r="K123">
        <v>0</v>
      </c>
      <c r="L123">
        <v>1</v>
      </c>
      <c r="M123" t="s">
        <v>4935</v>
      </c>
    </row>
    <row r="124" spans="1:13">
      <c r="A124" s="93">
        <v>146296</v>
      </c>
      <c r="B124" t="s">
        <v>715</v>
      </c>
      <c r="C124" t="s">
        <v>4919</v>
      </c>
      <c r="D124" s="92">
        <v>0.31</v>
      </c>
      <c r="E124" s="92">
        <v>0.24</v>
      </c>
      <c r="F124" t="s">
        <v>446</v>
      </c>
      <c r="G124" t="s">
        <v>446</v>
      </c>
      <c r="H124" t="s">
        <v>4927</v>
      </c>
      <c r="I124">
        <v>1</v>
      </c>
      <c r="J124" t="s">
        <v>97</v>
      </c>
      <c r="K124">
        <v>1</v>
      </c>
      <c r="L124">
        <v>1</v>
      </c>
      <c r="M124" t="s">
        <v>4935</v>
      </c>
    </row>
    <row r="125" spans="1:13">
      <c r="A125" s="93">
        <v>146676</v>
      </c>
      <c r="B125" t="s">
        <v>716</v>
      </c>
      <c r="C125" t="s">
        <v>4924</v>
      </c>
      <c r="D125" s="92">
        <v>0.07000000000000001</v>
      </c>
      <c r="E125" s="92">
        <v>0.03</v>
      </c>
      <c r="F125">
        <v>710</v>
      </c>
      <c r="G125">
        <v>755</v>
      </c>
      <c r="H125" t="s">
        <v>4930</v>
      </c>
      <c r="I125">
        <v>0</v>
      </c>
      <c r="J125" t="s">
        <v>97</v>
      </c>
      <c r="K125">
        <v>0</v>
      </c>
      <c r="L125">
        <v>0</v>
      </c>
      <c r="M125" t="s">
        <v>11</v>
      </c>
    </row>
    <row r="126" spans="1:13">
      <c r="A126" s="93">
        <v>147369</v>
      </c>
      <c r="B126" t="s">
        <v>717</v>
      </c>
      <c r="C126" t="s">
        <v>4923</v>
      </c>
      <c r="D126" s="92">
        <v>0.6</v>
      </c>
      <c r="E126" s="92">
        <v>0.44</v>
      </c>
      <c r="F126" t="s">
        <v>446</v>
      </c>
      <c r="G126" t="s">
        <v>446</v>
      </c>
      <c r="H126" t="s">
        <v>4930</v>
      </c>
      <c r="I126">
        <v>0</v>
      </c>
      <c r="J126" t="s">
        <v>97</v>
      </c>
      <c r="K126">
        <v>0</v>
      </c>
      <c r="L126">
        <v>1</v>
      </c>
      <c r="M126" t="s">
        <v>4934</v>
      </c>
    </row>
    <row r="127" spans="1:13">
      <c r="A127" s="93">
        <v>149763</v>
      </c>
      <c r="B127" t="s">
        <v>718</v>
      </c>
      <c r="C127" t="s">
        <v>4924</v>
      </c>
      <c r="D127" s="92">
        <v>0.25</v>
      </c>
      <c r="E127" s="92">
        <v>0.25</v>
      </c>
      <c r="F127" t="s">
        <v>446</v>
      </c>
      <c r="G127" t="s">
        <v>446</v>
      </c>
      <c r="H127" t="s">
        <v>4932</v>
      </c>
      <c r="I127">
        <v>0</v>
      </c>
      <c r="J127" t="s">
        <v>97</v>
      </c>
      <c r="K127">
        <v>0</v>
      </c>
      <c r="L127">
        <v>1</v>
      </c>
      <c r="M127" t="s">
        <v>4935</v>
      </c>
    </row>
    <row r="128" spans="1:13">
      <c r="A128" s="93">
        <v>159009</v>
      </c>
      <c r="B128" t="s">
        <v>719</v>
      </c>
      <c r="C128" t="s">
        <v>4920</v>
      </c>
      <c r="D128" s="92">
        <v>0.33</v>
      </c>
      <c r="E128" s="92">
        <v>0.47</v>
      </c>
      <c r="F128">
        <v>820</v>
      </c>
      <c r="G128">
        <v>930</v>
      </c>
      <c r="H128" t="s">
        <v>4931</v>
      </c>
      <c r="I128">
        <v>0</v>
      </c>
      <c r="J128" t="s">
        <v>153</v>
      </c>
      <c r="K128">
        <v>0</v>
      </c>
      <c r="L128">
        <v>0</v>
      </c>
      <c r="M128" t="s">
        <v>11</v>
      </c>
    </row>
    <row r="129" spans="1:13">
      <c r="A129" s="93">
        <v>160904</v>
      </c>
      <c r="B129" t="s">
        <v>720</v>
      </c>
      <c r="C129" t="s">
        <v>4920</v>
      </c>
      <c r="D129" s="92">
        <v>0.48</v>
      </c>
      <c r="E129" s="92">
        <v>0.61</v>
      </c>
      <c r="F129">
        <v>990</v>
      </c>
      <c r="G129">
        <v>1070</v>
      </c>
      <c r="H129" t="s">
        <v>4933</v>
      </c>
      <c r="I129">
        <v>0</v>
      </c>
      <c r="J129" t="s">
        <v>153</v>
      </c>
      <c r="K129">
        <v>0</v>
      </c>
      <c r="L129">
        <v>0</v>
      </c>
      <c r="M129" t="s">
        <v>11</v>
      </c>
    </row>
    <row r="130" spans="1:13">
      <c r="A130" s="93">
        <v>202480</v>
      </c>
      <c r="B130" t="s">
        <v>488</v>
      </c>
      <c r="C130" t="s">
        <v>4920</v>
      </c>
      <c r="D130" s="92">
        <v>0.8</v>
      </c>
      <c r="E130" s="92">
        <v>0.68</v>
      </c>
      <c r="F130">
        <v>1140</v>
      </c>
      <c r="G130">
        <v>1240</v>
      </c>
      <c r="H130" t="s">
        <v>4930</v>
      </c>
      <c r="I130">
        <v>0</v>
      </c>
      <c r="J130" t="s">
        <v>97</v>
      </c>
      <c r="K130">
        <v>0</v>
      </c>
      <c r="L130">
        <v>0</v>
      </c>
      <c r="M130" t="s">
        <v>11</v>
      </c>
    </row>
    <row r="131" spans="1:13">
      <c r="A131" s="93">
        <v>100724</v>
      </c>
      <c r="B131" t="s">
        <v>721</v>
      </c>
      <c r="C131" t="s">
        <v>4923</v>
      </c>
      <c r="D131" s="92">
        <v>0.28</v>
      </c>
      <c r="E131" s="92">
        <v>0.44</v>
      </c>
      <c r="F131">
        <v>850</v>
      </c>
      <c r="G131">
        <v>945</v>
      </c>
      <c r="H131" t="s">
        <v>4931</v>
      </c>
      <c r="I131">
        <v>0</v>
      </c>
      <c r="J131" t="s">
        <v>153</v>
      </c>
      <c r="K131">
        <v>0</v>
      </c>
      <c r="L131">
        <v>0</v>
      </c>
      <c r="M131" t="s">
        <v>11</v>
      </c>
    </row>
    <row r="132" spans="1:13">
      <c r="A132" s="93">
        <v>150400</v>
      </c>
      <c r="B132" t="s">
        <v>512</v>
      </c>
      <c r="C132" t="s">
        <v>4917</v>
      </c>
      <c r="D132" s="92">
        <v>0.85</v>
      </c>
      <c r="E132" s="92">
        <v>0.82</v>
      </c>
      <c r="F132">
        <v>1160</v>
      </c>
      <c r="G132">
        <v>1290</v>
      </c>
      <c r="H132" t="s">
        <v>4930</v>
      </c>
      <c r="I132">
        <v>0</v>
      </c>
      <c r="J132" t="s">
        <v>97</v>
      </c>
      <c r="K132">
        <v>0</v>
      </c>
      <c r="L132">
        <v>0</v>
      </c>
      <c r="M132" t="s">
        <v>11</v>
      </c>
    </row>
    <row r="133" spans="1:13">
      <c r="A133" s="93">
        <v>166027</v>
      </c>
      <c r="B133" t="s">
        <v>722</v>
      </c>
      <c r="C133" t="s">
        <v>4921</v>
      </c>
      <c r="D133" s="92">
        <v>0.97</v>
      </c>
      <c r="E133" s="92">
        <v>0.97</v>
      </c>
      <c r="F133">
        <v>1480</v>
      </c>
      <c r="G133">
        <v>1530</v>
      </c>
      <c r="H133" t="s">
        <v>4927</v>
      </c>
      <c r="I133">
        <v>1</v>
      </c>
      <c r="J133" t="s">
        <v>97</v>
      </c>
      <c r="K133">
        <v>0</v>
      </c>
      <c r="L133">
        <v>0</v>
      </c>
      <c r="M133" t="s">
        <v>11</v>
      </c>
    </row>
    <row r="134" spans="1:13">
      <c r="A134" s="93">
        <v>170532</v>
      </c>
      <c r="B134" t="s">
        <v>474</v>
      </c>
      <c r="C134" t="s">
        <v>4917</v>
      </c>
      <c r="D134" s="92">
        <v>0.8100000000000001</v>
      </c>
      <c r="E134" s="92">
        <v>0.75</v>
      </c>
      <c r="F134">
        <v>1160</v>
      </c>
      <c r="G134">
        <v>1270</v>
      </c>
      <c r="H134" t="s">
        <v>4929</v>
      </c>
      <c r="I134">
        <v>1</v>
      </c>
      <c r="J134" t="s">
        <v>97</v>
      </c>
      <c r="K134">
        <v>0</v>
      </c>
      <c r="L134">
        <v>0</v>
      </c>
      <c r="M134" t="s">
        <v>11</v>
      </c>
    </row>
    <row r="135" spans="1:13">
      <c r="A135" s="93">
        <v>171100</v>
      </c>
      <c r="B135" t="s">
        <v>569</v>
      </c>
      <c r="C135" t="s">
        <v>4916</v>
      </c>
      <c r="D135" s="92">
        <v>0.82</v>
      </c>
      <c r="E135" s="92">
        <v>0.67</v>
      </c>
      <c r="F135">
        <v>1100</v>
      </c>
      <c r="G135">
        <v>1210</v>
      </c>
      <c r="H135" t="s">
        <v>4930</v>
      </c>
      <c r="I135">
        <v>0</v>
      </c>
      <c r="J135" t="s">
        <v>97</v>
      </c>
      <c r="K135">
        <v>0</v>
      </c>
      <c r="L135">
        <v>0</v>
      </c>
      <c r="M135" t="s">
        <v>11</v>
      </c>
    </row>
    <row r="136" spans="1:13">
      <c r="A136" s="93">
        <v>178396</v>
      </c>
      <c r="B136" t="s">
        <v>723</v>
      </c>
      <c r="C136" t="s">
        <v>4916</v>
      </c>
      <c r="D136" s="92">
        <v>0.73</v>
      </c>
      <c r="E136" s="92">
        <v>0.66</v>
      </c>
      <c r="F136">
        <v>1140</v>
      </c>
      <c r="G136">
        <v>1255</v>
      </c>
      <c r="H136" t="s">
        <v>4930</v>
      </c>
      <c r="I136">
        <v>0</v>
      </c>
      <c r="J136" t="s">
        <v>97</v>
      </c>
      <c r="K136">
        <v>0</v>
      </c>
      <c r="L136">
        <v>0</v>
      </c>
      <c r="M136" t="s">
        <v>11</v>
      </c>
    </row>
    <row r="137" spans="1:13">
      <c r="A137" s="93">
        <v>238333</v>
      </c>
      <c r="B137" t="s">
        <v>503</v>
      </c>
      <c r="C137" t="s">
        <v>4917</v>
      </c>
      <c r="D137" s="92">
        <v>0.75</v>
      </c>
      <c r="E137" s="92">
        <v>0.66</v>
      </c>
      <c r="F137">
        <v>1200</v>
      </c>
      <c r="G137">
        <v>1295</v>
      </c>
      <c r="H137" t="s">
        <v>4930</v>
      </c>
      <c r="I137">
        <v>0</v>
      </c>
      <c r="J137" t="s">
        <v>97</v>
      </c>
      <c r="K137">
        <v>0</v>
      </c>
      <c r="L137">
        <v>0</v>
      </c>
      <c r="M137" t="s">
        <v>11</v>
      </c>
    </row>
    <row r="138" spans="1:13">
      <c r="A138" s="93">
        <v>449339</v>
      </c>
      <c r="B138" t="s">
        <v>724</v>
      </c>
      <c r="C138" t="s">
        <v>4923</v>
      </c>
      <c r="D138" s="92">
        <v>0.36</v>
      </c>
      <c r="E138" s="92">
        <v>0.33</v>
      </c>
      <c r="F138" t="s">
        <v>446</v>
      </c>
      <c r="G138" t="s">
        <v>446</v>
      </c>
      <c r="H138" t="s">
        <v>4931</v>
      </c>
      <c r="I138">
        <v>0</v>
      </c>
      <c r="J138" t="s">
        <v>97</v>
      </c>
      <c r="K138">
        <v>0</v>
      </c>
      <c r="L138">
        <v>0</v>
      </c>
      <c r="M138" t="s">
        <v>11</v>
      </c>
    </row>
    <row r="139" spans="1:13">
      <c r="A139" s="93">
        <v>102377</v>
      </c>
      <c r="B139" t="s">
        <v>725</v>
      </c>
      <c r="C139" t="s">
        <v>4920</v>
      </c>
      <c r="D139" s="92">
        <v>0.57</v>
      </c>
      <c r="E139" s="92">
        <v>0.6899999999999999</v>
      </c>
      <c r="F139">
        <v>970</v>
      </c>
      <c r="G139">
        <v>1090</v>
      </c>
      <c r="H139" t="s">
        <v>4929</v>
      </c>
      <c r="I139">
        <v>1</v>
      </c>
      <c r="J139" t="s">
        <v>153</v>
      </c>
      <c r="K139">
        <v>0</v>
      </c>
      <c r="L139">
        <v>0</v>
      </c>
      <c r="M139" t="s">
        <v>11</v>
      </c>
    </row>
    <row r="140" spans="1:13">
      <c r="A140" s="93">
        <v>120254</v>
      </c>
      <c r="B140" t="s">
        <v>523</v>
      </c>
      <c r="C140" t="s">
        <v>4922</v>
      </c>
      <c r="D140" s="92">
        <v>0.84</v>
      </c>
      <c r="E140" s="92">
        <v>0.82</v>
      </c>
      <c r="F140">
        <v>1340</v>
      </c>
      <c r="G140">
        <v>1415</v>
      </c>
      <c r="H140" t="s">
        <v>4931</v>
      </c>
      <c r="I140">
        <v>0</v>
      </c>
      <c r="J140" t="s">
        <v>97</v>
      </c>
      <c r="K140">
        <v>0</v>
      </c>
      <c r="L140">
        <v>0</v>
      </c>
      <c r="M140" t="s">
        <v>11</v>
      </c>
    </row>
    <row r="141" spans="1:13">
      <c r="A141" s="93">
        <v>126678</v>
      </c>
      <c r="B141" t="s">
        <v>726</v>
      </c>
      <c r="C141" t="s">
        <v>4921</v>
      </c>
      <c r="D141" s="92">
        <v>0.86</v>
      </c>
      <c r="E141" s="92">
        <v>0.79</v>
      </c>
      <c r="F141" t="s">
        <v>446</v>
      </c>
      <c r="G141" t="s">
        <v>446</v>
      </c>
      <c r="H141" t="s">
        <v>4931</v>
      </c>
      <c r="I141">
        <v>0</v>
      </c>
      <c r="J141" t="s">
        <v>97</v>
      </c>
      <c r="K141">
        <v>0</v>
      </c>
      <c r="L141">
        <v>0</v>
      </c>
      <c r="M141" t="s">
        <v>11</v>
      </c>
    </row>
    <row r="142" spans="1:13">
      <c r="A142" s="93">
        <v>138600</v>
      </c>
      <c r="B142" t="s">
        <v>727</v>
      </c>
      <c r="C142" t="s">
        <v>4916</v>
      </c>
      <c r="D142" s="92">
        <v>0.73</v>
      </c>
      <c r="E142" s="92">
        <v>0.72</v>
      </c>
      <c r="F142" t="s">
        <v>446</v>
      </c>
      <c r="G142" t="s">
        <v>446</v>
      </c>
      <c r="H142" t="s">
        <v>4931</v>
      </c>
      <c r="I142">
        <v>0</v>
      </c>
      <c r="J142" t="s">
        <v>97</v>
      </c>
      <c r="K142">
        <v>0</v>
      </c>
      <c r="L142">
        <v>0</v>
      </c>
      <c r="M142" t="s">
        <v>11</v>
      </c>
    </row>
    <row r="143" spans="1:13">
      <c r="A143" s="93">
        <v>145239</v>
      </c>
      <c r="B143" t="s">
        <v>728</v>
      </c>
      <c r="C143" t="s">
        <v>4925</v>
      </c>
      <c r="D143" s="92">
        <v>0.25</v>
      </c>
      <c r="E143" s="92">
        <v>0.25</v>
      </c>
      <c r="F143" t="s">
        <v>446</v>
      </c>
      <c r="G143" t="s">
        <v>446</v>
      </c>
      <c r="H143" t="s">
        <v>4929</v>
      </c>
      <c r="I143">
        <v>1</v>
      </c>
      <c r="J143" t="s">
        <v>97</v>
      </c>
      <c r="K143">
        <v>0</v>
      </c>
      <c r="L143">
        <v>1</v>
      </c>
      <c r="M143" t="s">
        <v>4935</v>
      </c>
    </row>
    <row r="144" spans="1:13">
      <c r="A144" s="93">
        <v>146472</v>
      </c>
      <c r="B144" t="s">
        <v>729</v>
      </c>
      <c r="C144" t="s">
        <v>4919</v>
      </c>
      <c r="D144" s="92">
        <v>0.36</v>
      </c>
      <c r="E144" s="92">
        <v>0.31</v>
      </c>
      <c r="F144" t="s">
        <v>446</v>
      </c>
      <c r="G144" t="s">
        <v>446</v>
      </c>
      <c r="H144" t="s">
        <v>4927</v>
      </c>
      <c r="I144">
        <v>1</v>
      </c>
      <c r="J144" t="s">
        <v>97</v>
      </c>
      <c r="K144">
        <v>1</v>
      </c>
      <c r="L144">
        <v>1</v>
      </c>
      <c r="M144" t="s">
        <v>4935</v>
      </c>
    </row>
    <row r="145" spans="1:13">
      <c r="A145" s="93">
        <v>147828</v>
      </c>
      <c r="B145" t="s">
        <v>455</v>
      </c>
      <c r="C145" t="s">
        <v>4920</v>
      </c>
      <c r="D145" s="92">
        <v>0.64</v>
      </c>
      <c r="E145" s="92">
        <v>0.46</v>
      </c>
      <c r="F145">
        <v>970</v>
      </c>
      <c r="G145">
        <v>1085</v>
      </c>
      <c r="H145" t="s">
        <v>4928</v>
      </c>
      <c r="I145">
        <v>1</v>
      </c>
      <c r="J145" t="s">
        <v>97</v>
      </c>
      <c r="K145">
        <v>0</v>
      </c>
      <c r="L145">
        <v>1</v>
      </c>
      <c r="M145" t="s">
        <v>4934</v>
      </c>
    </row>
    <row r="146" spans="1:13">
      <c r="A146" s="93">
        <v>148511</v>
      </c>
      <c r="B146" t="s">
        <v>730</v>
      </c>
      <c r="C146" t="s">
        <v>4924</v>
      </c>
      <c r="D146" s="92">
        <v>0.25</v>
      </c>
      <c r="E146" s="92">
        <v>0.25</v>
      </c>
      <c r="F146" t="s">
        <v>446</v>
      </c>
      <c r="G146" t="s">
        <v>446</v>
      </c>
      <c r="H146" t="s">
        <v>4932</v>
      </c>
      <c r="I146">
        <v>0</v>
      </c>
      <c r="J146" t="s">
        <v>97</v>
      </c>
      <c r="K146">
        <v>0</v>
      </c>
      <c r="L146">
        <v>1</v>
      </c>
      <c r="M146" t="s">
        <v>4935</v>
      </c>
    </row>
    <row r="147" spans="1:13">
      <c r="A147" s="93">
        <v>148584</v>
      </c>
      <c r="B147" t="s">
        <v>731</v>
      </c>
      <c r="C147" t="s">
        <v>4920</v>
      </c>
      <c r="D147" s="92">
        <v>0.62</v>
      </c>
      <c r="E147" s="92">
        <v>0.47</v>
      </c>
      <c r="F147">
        <v>920</v>
      </c>
      <c r="G147">
        <v>1045</v>
      </c>
      <c r="H147" t="s">
        <v>4929</v>
      </c>
      <c r="I147">
        <v>1</v>
      </c>
      <c r="J147" t="s">
        <v>97</v>
      </c>
      <c r="K147">
        <v>0</v>
      </c>
      <c r="L147">
        <v>1</v>
      </c>
      <c r="M147" t="s">
        <v>4934</v>
      </c>
    </row>
    <row r="148" spans="1:13">
      <c r="A148" s="93">
        <v>149505</v>
      </c>
      <c r="B148" t="s">
        <v>732</v>
      </c>
      <c r="C148" t="s">
        <v>4920</v>
      </c>
      <c r="D148" s="92">
        <v>0.66</v>
      </c>
      <c r="E148" s="92">
        <v>0.46</v>
      </c>
      <c r="F148">
        <v>950</v>
      </c>
      <c r="G148">
        <v>1085</v>
      </c>
      <c r="H148" t="s">
        <v>4931</v>
      </c>
      <c r="I148">
        <v>0</v>
      </c>
      <c r="J148" t="s">
        <v>97</v>
      </c>
      <c r="K148">
        <v>0</v>
      </c>
      <c r="L148">
        <v>1</v>
      </c>
      <c r="M148" t="s">
        <v>4934</v>
      </c>
    </row>
    <row r="149" spans="1:13">
      <c r="A149" s="93">
        <v>151324</v>
      </c>
      <c r="B149" t="s">
        <v>733</v>
      </c>
      <c r="C149" t="s">
        <v>4918</v>
      </c>
      <c r="D149" s="92">
        <v>0.41</v>
      </c>
      <c r="E149" s="92">
        <v>0.27</v>
      </c>
      <c r="F149" t="s">
        <v>446</v>
      </c>
      <c r="G149" t="s">
        <v>446</v>
      </c>
      <c r="H149" t="s">
        <v>4929</v>
      </c>
      <c r="I149">
        <v>1</v>
      </c>
      <c r="J149" t="s">
        <v>97</v>
      </c>
      <c r="K149">
        <v>0</v>
      </c>
      <c r="L149">
        <v>0</v>
      </c>
      <c r="M149" t="s">
        <v>11</v>
      </c>
    </row>
    <row r="150" spans="1:13">
      <c r="A150" s="93">
        <v>152390</v>
      </c>
      <c r="B150" t="s">
        <v>734</v>
      </c>
      <c r="C150" t="s">
        <v>4920</v>
      </c>
      <c r="D150" s="92">
        <v>0.78</v>
      </c>
      <c r="E150" s="92">
        <v>0.7</v>
      </c>
      <c r="F150">
        <v>1060</v>
      </c>
      <c r="G150">
        <v>1160</v>
      </c>
      <c r="H150" t="s">
        <v>4930</v>
      </c>
      <c r="I150">
        <v>0</v>
      </c>
      <c r="J150" t="s">
        <v>97</v>
      </c>
      <c r="K150">
        <v>0</v>
      </c>
      <c r="L150">
        <v>0</v>
      </c>
      <c r="M150" t="s">
        <v>11</v>
      </c>
    </row>
    <row r="151" spans="1:13">
      <c r="A151" s="93">
        <v>152600</v>
      </c>
      <c r="B151" t="s">
        <v>612</v>
      </c>
      <c r="C151" t="s">
        <v>4920</v>
      </c>
      <c r="D151" s="92">
        <v>0.71</v>
      </c>
      <c r="E151" s="92">
        <v>0.55</v>
      </c>
      <c r="F151" t="s">
        <v>446</v>
      </c>
      <c r="G151" t="s">
        <v>446</v>
      </c>
      <c r="H151" t="s">
        <v>4930</v>
      </c>
      <c r="I151">
        <v>0</v>
      </c>
      <c r="J151" t="s">
        <v>97</v>
      </c>
      <c r="K151">
        <v>0</v>
      </c>
      <c r="L151">
        <v>0</v>
      </c>
      <c r="M151" t="s">
        <v>11</v>
      </c>
    </row>
    <row r="152" spans="1:13">
      <c r="A152" s="93">
        <v>154493</v>
      </c>
      <c r="B152" t="s">
        <v>735</v>
      </c>
      <c r="C152" t="s">
        <v>4923</v>
      </c>
      <c r="D152" s="92">
        <v>0.35</v>
      </c>
      <c r="E152" s="92">
        <v>0.12</v>
      </c>
      <c r="F152">
        <v>930</v>
      </c>
      <c r="G152">
        <v>1055</v>
      </c>
      <c r="H152" t="s">
        <v>4930</v>
      </c>
      <c r="I152">
        <v>0</v>
      </c>
      <c r="J152" t="s">
        <v>97</v>
      </c>
      <c r="K152">
        <v>0</v>
      </c>
      <c r="L152">
        <v>0</v>
      </c>
      <c r="M152" t="s">
        <v>11</v>
      </c>
    </row>
    <row r="153" spans="1:13">
      <c r="A153" s="93">
        <v>163204</v>
      </c>
      <c r="B153" t="s">
        <v>736</v>
      </c>
      <c r="C153" t="s">
        <v>4918</v>
      </c>
      <c r="D153" s="92">
        <v>0.12</v>
      </c>
      <c r="E153" s="92">
        <v>0.08</v>
      </c>
      <c r="F153" t="s">
        <v>446</v>
      </c>
      <c r="G153" t="s">
        <v>446</v>
      </c>
      <c r="H153" t="s">
        <v>4932</v>
      </c>
      <c r="I153">
        <v>0</v>
      </c>
      <c r="J153" t="s">
        <v>97</v>
      </c>
      <c r="K153">
        <v>0</v>
      </c>
      <c r="L153">
        <v>0</v>
      </c>
      <c r="M153" t="s">
        <v>11</v>
      </c>
    </row>
    <row r="154" spans="1:13">
      <c r="A154" s="93">
        <v>163453</v>
      </c>
      <c r="B154" t="s">
        <v>737</v>
      </c>
      <c r="C154" t="s">
        <v>4918</v>
      </c>
      <c r="D154" s="92">
        <v>0.44</v>
      </c>
      <c r="E154" s="92">
        <v>0.57</v>
      </c>
      <c r="F154">
        <v>850</v>
      </c>
      <c r="G154">
        <v>970</v>
      </c>
      <c r="H154" t="s">
        <v>4930</v>
      </c>
      <c r="I154">
        <v>0</v>
      </c>
      <c r="J154" t="s">
        <v>153</v>
      </c>
      <c r="K154">
        <v>0</v>
      </c>
      <c r="L154">
        <v>0</v>
      </c>
      <c r="M154" t="s">
        <v>11</v>
      </c>
    </row>
    <row r="155" spans="1:13">
      <c r="A155" s="93">
        <v>172699</v>
      </c>
      <c r="B155" t="s">
        <v>613</v>
      </c>
      <c r="C155" t="s">
        <v>4920</v>
      </c>
      <c r="D155" s="92">
        <v>0.5600000000000001</v>
      </c>
      <c r="E155" s="92">
        <v>0.39</v>
      </c>
      <c r="F155">
        <v>1000</v>
      </c>
      <c r="G155">
        <v>1110</v>
      </c>
      <c r="H155" t="s">
        <v>4930</v>
      </c>
      <c r="I155">
        <v>0</v>
      </c>
      <c r="J155" t="s">
        <v>97</v>
      </c>
      <c r="K155">
        <v>0</v>
      </c>
      <c r="L155">
        <v>0</v>
      </c>
      <c r="M155" t="s">
        <v>11</v>
      </c>
    </row>
    <row r="156" spans="1:13">
      <c r="A156" s="93">
        <v>177940</v>
      </c>
      <c r="B156" t="s">
        <v>738</v>
      </c>
      <c r="C156" t="s">
        <v>4923</v>
      </c>
      <c r="D156" s="92">
        <v>0.27</v>
      </c>
      <c r="E156" s="92">
        <v>0.39</v>
      </c>
      <c r="F156" t="s">
        <v>446</v>
      </c>
      <c r="G156" t="s">
        <v>446</v>
      </c>
      <c r="H156" t="s">
        <v>4931</v>
      </c>
      <c r="I156">
        <v>0</v>
      </c>
      <c r="J156" t="s">
        <v>153</v>
      </c>
      <c r="K156">
        <v>0</v>
      </c>
      <c r="L156">
        <v>0</v>
      </c>
      <c r="M156" t="s">
        <v>11</v>
      </c>
    </row>
    <row r="157" spans="1:13">
      <c r="A157" s="93">
        <v>206589</v>
      </c>
      <c r="B157" t="s">
        <v>486</v>
      </c>
      <c r="C157" t="s">
        <v>4916</v>
      </c>
      <c r="D157" s="92">
        <v>0.83</v>
      </c>
      <c r="E157" s="92">
        <v>0.78</v>
      </c>
      <c r="F157">
        <v>1220</v>
      </c>
      <c r="G157">
        <v>1325</v>
      </c>
      <c r="H157" t="s">
        <v>4929</v>
      </c>
      <c r="I157">
        <v>1</v>
      </c>
      <c r="J157" t="s">
        <v>97</v>
      </c>
      <c r="K157">
        <v>0</v>
      </c>
      <c r="L157">
        <v>0</v>
      </c>
      <c r="M157" t="s">
        <v>11</v>
      </c>
    </row>
    <row r="158" spans="1:13">
      <c r="A158" s="93">
        <v>239628</v>
      </c>
      <c r="B158" t="s">
        <v>536</v>
      </c>
      <c r="C158" t="s">
        <v>4920</v>
      </c>
      <c r="D158" s="92">
        <v>0.65</v>
      </c>
      <c r="E158" s="92">
        <v>0.44</v>
      </c>
      <c r="F158">
        <v>1040</v>
      </c>
      <c r="G158">
        <v>1160</v>
      </c>
      <c r="H158" t="s">
        <v>4929</v>
      </c>
      <c r="I158">
        <v>1</v>
      </c>
      <c r="J158" t="s">
        <v>97</v>
      </c>
      <c r="K158">
        <v>0</v>
      </c>
      <c r="L158">
        <v>0</v>
      </c>
      <c r="M158" t="s">
        <v>11</v>
      </c>
    </row>
    <row r="159" spans="1:13">
      <c r="A159" s="93">
        <v>102298</v>
      </c>
      <c r="B159" t="s">
        <v>739</v>
      </c>
      <c r="C159" t="s">
        <v>4920</v>
      </c>
      <c r="D159" s="92">
        <v>0.25</v>
      </c>
      <c r="E159" s="92">
        <v>0.43</v>
      </c>
      <c r="F159" t="s">
        <v>446</v>
      </c>
      <c r="G159" t="s">
        <v>446</v>
      </c>
      <c r="H159" t="s">
        <v>4931</v>
      </c>
      <c r="I159">
        <v>0</v>
      </c>
      <c r="J159" t="s">
        <v>153</v>
      </c>
      <c r="K159">
        <v>0</v>
      </c>
      <c r="L159">
        <v>0</v>
      </c>
      <c r="M159" t="s">
        <v>11</v>
      </c>
    </row>
    <row r="160" spans="1:13">
      <c r="A160" s="93">
        <v>106412</v>
      </c>
      <c r="B160" t="s">
        <v>740</v>
      </c>
      <c r="C160" t="s">
        <v>4920</v>
      </c>
      <c r="D160" s="92">
        <v>0.41</v>
      </c>
      <c r="E160" s="92">
        <v>0.5600000000000001</v>
      </c>
      <c r="F160">
        <v>800</v>
      </c>
      <c r="G160">
        <v>885</v>
      </c>
      <c r="H160" t="s">
        <v>4932</v>
      </c>
      <c r="I160">
        <v>0</v>
      </c>
      <c r="J160" t="s">
        <v>153</v>
      </c>
      <c r="K160">
        <v>0</v>
      </c>
      <c r="L160">
        <v>0</v>
      </c>
      <c r="M160" t="s">
        <v>11</v>
      </c>
    </row>
    <row r="161" spans="1:13">
      <c r="A161" s="93">
        <v>130697</v>
      </c>
      <c r="B161" t="s">
        <v>599</v>
      </c>
      <c r="C161" t="s">
        <v>4921</v>
      </c>
      <c r="D161" s="92">
        <v>0.91</v>
      </c>
      <c r="E161" s="92">
        <v>0.9</v>
      </c>
      <c r="F161">
        <v>1300</v>
      </c>
      <c r="G161">
        <v>1405</v>
      </c>
      <c r="H161" t="s">
        <v>4927</v>
      </c>
      <c r="I161">
        <v>1</v>
      </c>
      <c r="J161" t="s">
        <v>97</v>
      </c>
      <c r="K161">
        <v>0</v>
      </c>
      <c r="L161">
        <v>0</v>
      </c>
      <c r="M161" t="s">
        <v>11</v>
      </c>
    </row>
    <row r="162" spans="1:13">
      <c r="A162" s="93">
        <v>131469</v>
      </c>
      <c r="B162" t="s">
        <v>741</v>
      </c>
      <c r="C162" t="s">
        <v>4922</v>
      </c>
      <c r="D162" s="92">
        <v>0.84</v>
      </c>
      <c r="E162" s="92">
        <v>0.78</v>
      </c>
      <c r="F162">
        <v>1310</v>
      </c>
      <c r="G162">
        <v>1400</v>
      </c>
      <c r="H162" t="s">
        <v>4931</v>
      </c>
      <c r="I162">
        <v>0</v>
      </c>
      <c r="J162" t="s">
        <v>97</v>
      </c>
      <c r="K162">
        <v>0</v>
      </c>
      <c r="L162">
        <v>0</v>
      </c>
      <c r="M162" t="s">
        <v>11</v>
      </c>
    </row>
    <row r="163" spans="1:13">
      <c r="A163" s="93">
        <v>141060</v>
      </c>
      <c r="B163" t="s">
        <v>742</v>
      </c>
      <c r="C163" t="s">
        <v>4920</v>
      </c>
      <c r="D163" s="92">
        <v>0.76</v>
      </c>
      <c r="E163" s="92">
        <v>0.88</v>
      </c>
      <c r="F163" t="s">
        <v>446</v>
      </c>
      <c r="G163" t="s">
        <v>446</v>
      </c>
      <c r="H163" t="s">
        <v>4930</v>
      </c>
      <c r="I163">
        <v>0</v>
      </c>
      <c r="J163" t="s">
        <v>153</v>
      </c>
      <c r="K163">
        <v>0</v>
      </c>
      <c r="L163">
        <v>0</v>
      </c>
      <c r="M163" t="s">
        <v>11</v>
      </c>
    </row>
    <row r="164" spans="1:13">
      <c r="A164" s="93">
        <v>142522</v>
      </c>
      <c r="B164" t="s">
        <v>743</v>
      </c>
      <c r="C164" t="s">
        <v>4923</v>
      </c>
      <c r="D164" s="92">
        <v>0.49</v>
      </c>
      <c r="E164" s="92">
        <v>0.43</v>
      </c>
      <c r="F164">
        <v>990</v>
      </c>
      <c r="G164">
        <v>1095</v>
      </c>
      <c r="H164" t="s">
        <v>4931</v>
      </c>
      <c r="I164">
        <v>0</v>
      </c>
      <c r="J164" t="s">
        <v>97</v>
      </c>
      <c r="K164">
        <v>0</v>
      </c>
      <c r="L164">
        <v>0</v>
      </c>
      <c r="M164" t="s">
        <v>11</v>
      </c>
    </row>
    <row r="165" spans="1:13">
      <c r="A165" s="93">
        <v>142832</v>
      </c>
      <c r="B165" t="s">
        <v>744</v>
      </c>
      <c r="C165" t="s">
        <v>4924</v>
      </c>
      <c r="D165" s="92">
        <v>0.25</v>
      </c>
      <c r="E165" s="92">
        <v>0.25</v>
      </c>
      <c r="F165" t="s">
        <v>446</v>
      </c>
      <c r="G165" t="s">
        <v>446</v>
      </c>
      <c r="H165" t="s">
        <v>4932</v>
      </c>
      <c r="I165">
        <v>0</v>
      </c>
      <c r="J165" t="s">
        <v>97</v>
      </c>
      <c r="K165">
        <v>0</v>
      </c>
      <c r="L165">
        <v>1</v>
      </c>
      <c r="M165" t="s">
        <v>4935</v>
      </c>
    </row>
    <row r="166" spans="1:13">
      <c r="A166" s="93">
        <v>142887</v>
      </c>
      <c r="B166" t="s">
        <v>745</v>
      </c>
      <c r="C166" t="s">
        <v>4923</v>
      </c>
      <c r="D166" s="92">
        <v>0.5600000000000001</v>
      </c>
      <c r="E166" s="92">
        <v>0.61</v>
      </c>
      <c r="F166" t="s">
        <v>446</v>
      </c>
      <c r="G166" t="s">
        <v>446</v>
      </c>
      <c r="H166" t="s">
        <v>4930</v>
      </c>
      <c r="I166">
        <v>0</v>
      </c>
      <c r="J166" t="s">
        <v>97</v>
      </c>
      <c r="K166">
        <v>0</v>
      </c>
      <c r="L166">
        <v>1</v>
      </c>
      <c r="M166" t="s">
        <v>4934</v>
      </c>
    </row>
    <row r="167" spans="1:13">
      <c r="A167" s="93">
        <v>145558</v>
      </c>
      <c r="B167" t="s">
        <v>746</v>
      </c>
      <c r="C167" t="s">
        <v>4924</v>
      </c>
      <c r="D167" s="92">
        <v>0.25</v>
      </c>
      <c r="E167" s="92">
        <v>0.25</v>
      </c>
      <c r="F167" t="s">
        <v>446</v>
      </c>
      <c r="G167" t="s">
        <v>446</v>
      </c>
      <c r="H167" t="s">
        <v>4932</v>
      </c>
      <c r="I167">
        <v>0</v>
      </c>
      <c r="J167" t="s">
        <v>97</v>
      </c>
      <c r="K167">
        <v>0</v>
      </c>
      <c r="L167">
        <v>1</v>
      </c>
      <c r="M167" t="s">
        <v>4935</v>
      </c>
    </row>
    <row r="168" spans="1:13">
      <c r="A168" s="93">
        <v>145682</v>
      </c>
      <c r="B168" t="s">
        <v>747</v>
      </c>
      <c r="C168" t="s">
        <v>4919</v>
      </c>
      <c r="D168" s="92">
        <v>0.44</v>
      </c>
      <c r="E168" s="92">
        <v>0.26</v>
      </c>
      <c r="F168" t="s">
        <v>446</v>
      </c>
      <c r="G168" t="s">
        <v>446</v>
      </c>
      <c r="H168" t="s">
        <v>4928</v>
      </c>
      <c r="I168">
        <v>1</v>
      </c>
      <c r="J168" t="s">
        <v>97</v>
      </c>
      <c r="K168">
        <v>1</v>
      </c>
      <c r="L168">
        <v>0</v>
      </c>
      <c r="M168" t="s">
        <v>11</v>
      </c>
    </row>
    <row r="169" spans="1:13">
      <c r="A169" s="93">
        <v>148131</v>
      </c>
      <c r="B169" t="s">
        <v>748</v>
      </c>
      <c r="C169" t="s">
        <v>4920</v>
      </c>
      <c r="D169" s="92">
        <v>0.48</v>
      </c>
      <c r="E169" s="92">
        <v>0.28</v>
      </c>
      <c r="F169">
        <v>1060</v>
      </c>
      <c r="G169">
        <v>1150</v>
      </c>
      <c r="H169" t="s">
        <v>4931</v>
      </c>
      <c r="I169">
        <v>0</v>
      </c>
      <c r="J169" t="s">
        <v>97</v>
      </c>
      <c r="K169">
        <v>0</v>
      </c>
      <c r="L169">
        <v>0</v>
      </c>
      <c r="M169" t="s">
        <v>11</v>
      </c>
    </row>
    <row r="170" spans="1:13">
      <c r="A170" s="93">
        <v>148991</v>
      </c>
      <c r="B170" t="s">
        <v>749</v>
      </c>
      <c r="C170" t="s">
        <v>4919</v>
      </c>
      <c r="D170" s="92">
        <v>0.48</v>
      </c>
      <c r="E170" s="92">
        <v>0.35</v>
      </c>
      <c r="F170" t="s">
        <v>446</v>
      </c>
      <c r="G170" t="s">
        <v>446</v>
      </c>
      <c r="H170" t="s">
        <v>4929</v>
      </c>
      <c r="I170">
        <v>1</v>
      </c>
      <c r="J170" t="s">
        <v>97</v>
      </c>
      <c r="K170">
        <v>1</v>
      </c>
      <c r="L170">
        <v>0</v>
      </c>
      <c r="M170" t="s">
        <v>11</v>
      </c>
    </row>
    <row r="171" spans="1:13">
      <c r="A171" s="93">
        <v>149842</v>
      </c>
      <c r="B171" t="s">
        <v>750</v>
      </c>
      <c r="C171" t="s">
        <v>4919</v>
      </c>
      <c r="D171" s="92">
        <v>0.48</v>
      </c>
      <c r="E171" s="92">
        <v>0.41</v>
      </c>
      <c r="F171" t="s">
        <v>446</v>
      </c>
      <c r="G171" t="s">
        <v>446</v>
      </c>
      <c r="H171" t="s">
        <v>4931</v>
      </c>
      <c r="I171">
        <v>0</v>
      </c>
      <c r="J171" t="s">
        <v>97</v>
      </c>
      <c r="K171">
        <v>1</v>
      </c>
      <c r="L171">
        <v>1</v>
      </c>
      <c r="M171" t="s">
        <v>4935</v>
      </c>
    </row>
    <row r="172" spans="1:13">
      <c r="A172" s="93">
        <v>151111</v>
      </c>
      <c r="B172" t="s">
        <v>751</v>
      </c>
      <c r="C172" t="s">
        <v>4920</v>
      </c>
      <c r="D172" s="92">
        <v>0.57</v>
      </c>
      <c r="E172" s="92">
        <v>0.49</v>
      </c>
      <c r="F172">
        <v>1040</v>
      </c>
      <c r="G172">
        <v>1135</v>
      </c>
      <c r="H172" t="s">
        <v>4930</v>
      </c>
      <c r="I172">
        <v>0</v>
      </c>
      <c r="J172" t="s">
        <v>97</v>
      </c>
      <c r="K172">
        <v>0</v>
      </c>
      <c r="L172">
        <v>0</v>
      </c>
      <c r="M172" t="s">
        <v>11</v>
      </c>
    </row>
    <row r="173" spans="1:13">
      <c r="A173" s="93">
        <v>153384</v>
      </c>
      <c r="B173" t="s">
        <v>500</v>
      </c>
      <c r="C173" t="s">
        <v>4921</v>
      </c>
      <c r="D173" s="92">
        <v>0.87</v>
      </c>
      <c r="E173" s="92">
        <v>0.84</v>
      </c>
      <c r="F173">
        <v>1370</v>
      </c>
      <c r="G173">
        <v>1450</v>
      </c>
      <c r="H173" t="s">
        <v>4927</v>
      </c>
      <c r="I173">
        <v>1</v>
      </c>
      <c r="J173" t="s">
        <v>97</v>
      </c>
      <c r="K173">
        <v>0</v>
      </c>
      <c r="L173">
        <v>0</v>
      </c>
      <c r="M173" t="s">
        <v>11</v>
      </c>
    </row>
    <row r="174" spans="1:13">
      <c r="A174" s="93">
        <v>154110</v>
      </c>
      <c r="B174" t="s">
        <v>752</v>
      </c>
      <c r="C174" t="s">
        <v>4919</v>
      </c>
      <c r="D174" s="92">
        <v>0.53</v>
      </c>
      <c r="E174" s="92">
        <v>0.46</v>
      </c>
      <c r="F174" t="s">
        <v>446</v>
      </c>
      <c r="G174" t="s">
        <v>446</v>
      </c>
      <c r="H174" t="s">
        <v>4932</v>
      </c>
      <c r="I174">
        <v>0</v>
      </c>
      <c r="J174" t="s">
        <v>97</v>
      </c>
      <c r="K174">
        <v>0</v>
      </c>
      <c r="L174">
        <v>0</v>
      </c>
      <c r="M174" t="s">
        <v>11</v>
      </c>
    </row>
    <row r="175" spans="1:13">
      <c r="A175" s="93">
        <v>159391</v>
      </c>
      <c r="B175" t="s">
        <v>753</v>
      </c>
      <c r="C175" t="s">
        <v>4916</v>
      </c>
      <c r="D175" s="92">
        <v>0.66</v>
      </c>
      <c r="E175" s="92">
        <v>0.57</v>
      </c>
      <c r="F175">
        <v>1140</v>
      </c>
      <c r="G175">
        <v>1240</v>
      </c>
      <c r="H175" t="s">
        <v>4933</v>
      </c>
      <c r="I175">
        <v>0</v>
      </c>
      <c r="J175" t="s">
        <v>97</v>
      </c>
      <c r="K175">
        <v>0</v>
      </c>
      <c r="L175">
        <v>0</v>
      </c>
      <c r="M175" t="s">
        <v>11</v>
      </c>
    </row>
    <row r="176" spans="1:13">
      <c r="A176" s="93">
        <v>164155</v>
      </c>
      <c r="B176" t="s">
        <v>754</v>
      </c>
      <c r="C176" t="s">
        <v>4921</v>
      </c>
      <c r="D176" s="92">
        <v>0.91</v>
      </c>
      <c r="E176" s="92">
        <v>0.88</v>
      </c>
      <c r="F176">
        <v>1200</v>
      </c>
      <c r="G176">
        <v>1310</v>
      </c>
      <c r="H176" t="s">
        <v>4932</v>
      </c>
      <c r="I176">
        <v>0</v>
      </c>
      <c r="J176" t="s">
        <v>97</v>
      </c>
      <c r="K176">
        <v>0</v>
      </c>
      <c r="L176">
        <v>0</v>
      </c>
      <c r="M176" t="s">
        <v>11</v>
      </c>
    </row>
    <row r="177" spans="1:13">
      <c r="A177" s="93">
        <v>170055</v>
      </c>
      <c r="B177" t="s">
        <v>755</v>
      </c>
      <c r="C177" t="s">
        <v>4919</v>
      </c>
      <c r="D177" s="92">
        <v>0.29</v>
      </c>
      <c r="E177" s="92">
        <v>0.23</v>
      </c>
      <c r="F177" t="s">
        <v>446</v>
      </c>
      <c r="G177" t="s">
        <v>446</v>
      </c>
      <c r="H177" t="s">
        <v>4932</v>
      </c>
      <c r="I177">
        <v>0</v>
      </c>
      <c r="J177" t="s">
        <v>97</v>
      </c>
      <c r="K177">
        <v>0</v>
      </c>
      <c r="L177">
        <v>0</v>
      </c>
      <c r="M177" t="s">
        <v>11</v>
      </c>
    </row>
    <row r="178" spans="1:13">
      <c r="A178" s="93">
        <v>172644</v>
      </c>
      <c r="B178" t="s">
        <v>756</v>
      </c>
      <c r="C178" t="s">
        <v>4920</v>
      </c>
      <c r="D178" s="92">
        <v>0.5600000000000001</v>
      </c>
      <c r="E178" s="92">
        <v>0.36</v>
      </c>
      <c r="F178">
        <v>1030</v>
      </c>
      <c r="G178">
        <v>1145</v>
      </c>
      <c r="H178" t="s">
        <v>4931</v>
      </c>
      <c r="I178">
        <v>0</v>
      </c>
      <c r="J178" t="s">
        <v>97</v>
      </c>
      <c r="K178">
        <v>0</v>
      </c>
      <c r="L178">
        <v>0</v>
      </c>
      <c r="M178" t="s">
        <v>11</v>
      </c>
    </row>
    <row r="179" spans="1:13">
      <c r="A179" s="93">
        <v>173902</v>
      </c>
      <c r="B179" t="s">
        <v>499</v>
      </c>
      <c r="C179" t="s">
        <v>4922</v>
      </c>
      <c r="D179" s="92">
        <v>0.9</v>
      </c>
      <c r="E179" s="92">
        <v>0.87</v>
      </c>
      <c r="F179">
        <v>1340</v>
      </c>
      <c r="G179">
        <v>1430</v>
      </c>
      <c r="H179" t="s">
        <v>4927</v>
      </c>
      <c r="I179">
        <v>1</v>
      </c>
      <c r="J179" t="s">
        <v>97</v>
      </c>
      <c r="K179">
        <v>0</v>
      </c>
      <c r="L179">
        <v>0</v>
      </c>
      <c r="M179" t="s">
        <v>11</v>
      </c>
    </row>
    <row r="180" spans="1:13">
      <c r="A180" s="93">
        <v>175014</v>
      </c>
      <c r="B180" t="s">
        <v>757</v>
      </c>
      <c r="C180" t="s">
        <v>4923</v>
      </c>
      <c r="D180" s="92">
        <v>0.18</v>
      </c>
      <c r="E180" s="92">
        <v>1</v>
      </c>
      <c r="F180" t="s">
        <v>446</v>
      </c>
      <c r="G180" t="s">
        <v>446</v>
      </c>
      <c r="H180" t="s">
        <v>4930</v>
      </c>
      <c r="I180">
        <v>0</v>
      </c>
      <c r="J180" t="s">
        <v>97</v>
      </c>
      <c r="K180">
        <v>0</v>
      </c>
      <c r="L180">
        <v>0</v>
      </c>
      <c r="M180" t="s">
        <v>11</v>
      </c>
    </row>
    <row r="181" spans="1:13">
      <c r="A181" s="93">
        <v>176044</v>
      </c>
      <c r="B181" t="s">
        <v>758</v>
      </c>
      <c r="C181" t="s">
        <v>4918</v>
      </c>
      <c r="D181" s="92">
        <v>0.27</v>
      </c>
      <c r="E181" s="92">
        <v>0.42</v>
      </c>
      <c r="F181">
        <v>800</v>
      </c>
      <c r="G181">
        <v>885</v>
      </c>
      <c r="H181" t="s">
        <v>4932</v>
      </c>
      <c r="I181">
        <v>0</v>
      </c>
      <c r="J181" t="s">
        <v>153</v>
      </c>
      <c r="K181">
        <v>0</v>
      </c>
      <c r="L181">
        <v>0</v>
      </c>
      <c r="M181" t="s">
        <v>11</v>
      </c>
    </row>
    <row r="182" spans="1:13">
      <c r="A182" s="93">
        <v>176318</v>
      </c>
      <c r="B182" t="s">
        <v>759</v>
      </c>
      <c r="C182" t="s">
        <v>4920</v>
      </c>
      <c r="D182" s="92">
        <v>0.23</v>
      </c>
      <c r="E182" s="92">
        <v>0.39</v>
      </c>
      <c r="F182" t="s">
        <v>446</v>
      </c>
      <c r="G182" t="s">
        <v>446</v>
      </c>
      <c r="H182" t="s">
        <v>4931</v>
      </c>
      <c r="I182">
        <v>0</v>
      </c>
      <c r="J182" t="s">
        <v>153</v>
      </c>
      <c r="K182">
        <v>0</v>
      </c>
      <c r="L182">
        <v>0</v>
      </c>
      <c r="M182" t="s">
        <v>11</v>
      </c>
    </row>
    <row r="183" spans="1:13">
      <c r="A183" s="93">
        <v>195030</v>
      </c>
      <c r="B183" t="s">
        <v>601</v>
      </c>
      <c r="C183" t="s">
        <v>4922</v>
      </c>
      <c r="D183" s="92">
        <v>0.86</v>
      </c>
      <c r="E183" s="92">
        <v>0.76</v>
      </c>
      <c r="F183">
        <v>1370</v>
      </c>
      <c r="G183">
        <v>1445</v>
      </c>
      <c r="H183" t="s">
        <v>4930</v>
      </c>
      <c r="I183">
        <v>0</v>
      </c>
      <c r="J183" t="s">
        <v>97</v>
      </c>
      <c r="K183">
        <v>0</v>
      </c>
      <c r="L183">
        <v>0</v>
      </c>
      <c r="M183" t="s">
        <v>11</v>
      </c>
    </row>
    <row r="184" spans="1:13">
      <c r="A184" s="93">
        <v>198385</v>
      </c>
      <c r="B184" t="s">
        <v>572</v>
      </c>
      <c r="C184" t="s">
        <v>4921</v>
      </c>
      <c r="D184" s="92">
        <v>0.9</v>
      </c>
      <c r="E184" s="92">
        <v>0.92</v>
      </c>
      <c r="F184" t="s">
        <v>446</v>
      </c>
      <c r="G184" t="s">
        <v>446</v>
      </c>
      <c r="H184" t="s">
        <v>4928</v>
      </c>
      <c r="I184">
        <v>1</v>
      </c>
      <c r="J184" t="s">
        <v>97</v>
      </c>
      <c r="K184">
        <v>0</v>
      </c>
      <c r="L184">
        <v>0</v>
      </c>
      <c r="M184" t="s">
        <v>11</v>
      </c>
    </row>
    <row r="185" spans="1:13">
      <c r="A185" s="93">
        <v>201645</v>
      </c>
      <c r="B185" t="s">
        <v>760</v>
      </c>
      <c r="C185" t="s">
        <v>4922</v>
      </c>
      <c r="D185" s="92">
        <v>0.84</v>
      </c>
      <c r="E185" s="92">
        <v>0.76</v>
      </c>
      <c r="F185">
        <v>1410</v>
      </c>
      <c r="G185">
        <v>1470</v>
      </c>
      <c r="H185" t="s">
        <v>4930</v>
      </c>
      <c r="I185">
        <v>0</v>
      </c>
      <c r="J185" t="s">
        <v>97</v>
      </c>
      <c r="K185">
        <v>0</v>
      </c>
      <c r="L185">
        <v>0</v>
      </c>
      <c r="M185" t="s">
        <v>11</v>
      </c>
    </row>
    <row r="186" spans="1:13">
      <c r="A186" s="93">
        <v>203535</v>
      </c>
      <c r="B186" t="s">
        <v>761</v>
      </c>
      <c r="C186" t="s">
        <v>4922</v>
      </c>
      <c r="D186" s="92">
        <v>0.89</v>
      </c>
      <c r="E186" s="92">
        <v>0.87</v>
      </c>
      <c r="F186">
        <v>1340</v>
      </c>
      <c r="G186">
        <v>1420</v>
      </c>
      <c r="H186" t="s">
        <v>4931</v>
      </c>
      <c r="I186">
        <v>0</v>
      </c>
      <c r="J186" t="s">
        <v>97</v>
      </c>
      <c r="K186">
        <v>0</v>
      </c>
      <c r="L186">
        <v>0</v>
      </c>
      <c r="M186" t="s">
        <v>11</v>
      </c>
    </row>
    <row r="187" spans="1:13">
      <c r="A187" s="93">
        <v>206491</v>
      </c>
      <c r="B187" t="s">
        <v>762</v>
      </c>
      <c r="C187" t="s">
        <v>4920</v>
      </c>
      <c r="D187" s="92">
        <v>0.18</v>
      </c>
      <c r="E187" s="92">
        <v>0.33</v>
      </c>
      <c r="F187">
        <v>850</v>
      </c>
      <c r="G187">
        <v>945</v>
      </c>
      <c r="H187" t="s">
        <v>4928</v>
      </c>
      <c r="I187">
        <v>1</v>
      </c>
      <c r="J187" t="s">
        <v>153</v>
      </c>
      <c r="K187">
        <v>0</v>
      </c>
      <c r="L187">
        <v>0</v>
      </c>
      <c r="M187" t="s">
        <v>11</v>
      </c>
    </row>
    <row r="188" spans="1:13">
      <c r="A188" s="93">
        <v>227182</v>
      </c>
      <c r="B188" t="s">
        <v>763</v>
      </c>
      <c r="C188" t="s">
        <v>4919</v>
      </c>
      <c r="D188" s="92">
        <v>0.18</v>
      </c>
      <c r="E188" s="92">
        <v>0.17</v>
      </c>
      <c r="F188" t="s">
        <v>446</v>
      </c>
      <c r="G188" t="s">
        <v>446</v>
      </c>
      <c r="H188" t="s">
        <v>4932</v>
      </c>
      <c r="I188">
        <v>0</v>
      </c>
      <c r="J188" t="s">
        <v>97</v>
      </c>
      <c r="K188">
        <v>0</v>
      </c>
      <c r="L188">
        <v>0</v>
      </c>
      <c r="M188" t="s">
        <v>11</v>
      </c>
    </row>
    <row r="189" spans="1:13">
      <c r="A189" s="93">
        <v>227526</v>
      </c>
      <c r="B189" t="s">
        <v>764</v>
      </c>
      <c r="C189" t="s">
        <v>4918</v>
      </c>
      <c r="D189" s="92">
        <v>0.42</v>
      </c>
      <c r="E189" s="92">
        <v>0.57</v>
      </c>
      <c r="F189">
        <v>840</v>
      </c>
      <c r="G189">
        <v>945</v>
      </c>
      <c r="H189" t="s">
        <v>4930</v>
      </c>
      <c r="I189">
        <v>0</v>
      </c>
      <c r="J189" t="s">
        <v>153</v>
      </c>
      <c r="K189">
        <v>0</v>
      </c>
      <c r="L189">
        <v>0</v>
      </c>
      <c r="M189" t="s">
        <v>11</v>
      </c>
    </row>
    <row r="190" spans="1:13">
      <c r="A190" s="93">
        <v>232557</v>
      </c>
      <c r="B190" t="s">
        <v>765</v>
      </c>
      <c r="C190" t="s">
        <v>4920</v>
      </c>
      <c r="D190" s="92">
        <v>0.65</v>
      </c>
      <c r="E190" s="92">
        <v>0.5</v>
      </c>
      <c r="F190" t="s">
        <v>446</v>
      </c>
      <c r="G190" t="s">
        <v>446</v>
      </c>
      <c r="H190" t="s">
        <v>4930</v>
      </c>
      <c r="I190">
        <v>0</v>
      </c>
      <c r="J190" t="s">
        <v>97</v>
      </c>
      <c r="K190">
        <v>0</v>
      </c>
      <c r="L190">
        <v>0</v>
      </c>
      <c r="M190" t="s">
        <v>11</v>
      </c>
    </row>
    <row r="191" spans="1:13">
      <c r="A191" s="93">
        <v>238263</v>
      </c>
      <c r="B191" t="s">
        <v>766</v>
      </c>
      <c r="C191" t="s">
        <v>4923</v>
      </c>
      <c r="D191" s="92">
        <v>0.25</v>
      </c>
      <c r="E191" s="92">
        <v>0.25</v>
      </c>
      <c r="F191" t="s">
        <v>446</v>
      </c>
      <c r="G191" t="s">
        <v>446</v>
      </c>
      <c r="H191" t="s">
        <v>4932</v>
      </c>
      <c r="I191">
        <v>0</v>
      </c>
      <c r="J191" t="s">
        <v>97</v>
      </c>
      <c r="K191">
        <v>0</v>
      </c>
      <c r="L191">
        <v>0</v>
      </c>
      <c r="M191" t="s">
        <v>11</v>
      </c>
    </row>
    <row r="192" spans="1:13">
      <c r="A192" s="93">
        <v>239318</v>
      </c>
      <c r="B192" t="s">
        <v>767</v>
      </c>
      <c r="C192" t="s">
        <v>4917</v>
      </c>
      <c r="D192" s="92">
        <v>0.67</v>
      </c>
      <c r="E192" s="92">
        <v>0.54</v>
      </c>
      <c r="F192">
        <v>1180</v>
      </c>
      <c r="G192">
        <v>1275</v>
      </c>
      <c r="H192" t="s">
        <v>4930</v>
      </c>
      <c r="I192">
        <v>0</v>
      </c>
      <c r="J192" t="s">
        <v>97</v>
      </c>
      <c r="K192">
        <v>0</v>
      </c>
      <c r="L192">
        <v>0</v>
      </c>
      <c r="M192" t="s">
        <v>11</v>
      </c>
    </row>
    <row r="193" spans="1:13">
      <c r="A193" s="93">
        <v>459994</v>
      </c>
      <c r="B193" t="s">
        <v>768</v>
      </c>
      <c r="C193" t="s">
        <v>4923</v>
      </c>
      <c r="D193" s="92">
        <v>0.3</v>
      </c>
      <c r="E193" s="92">
        <v>0.67</v>
      </c>
      <c r="F193" t="s">
        <v>446</v>
      </c>
      <c r="G193" t="s">
        <v>446</v>
      </c>
      <c r="H193" t="s">
        <v>4930</v>
      </c>
      <c r="I193">
        <v>0</v>
      </c>
      <c r="J193" t="s">
        <v>97</v>
      </c>
      <c r="K193">
        <v>0</v>
      </c>
      <c r="L193">
        <v>0</v>
      </c>
      <c r="M193" t="s">
        <v>11</v>
      </c>
    </row>
    <row r="194" spans="1:13">
      <c r="A194" s="93" t="s">
        <v>631</v>
      </c>
      <c r="B194" t="s">
        <v>769</v>
      </c>
      <c r="C194" t="s">
        <v>4916</v>
      </c>
      <c r="D194" s="92">
        <v>0.61</v>
      </c>
      <c r="E194" s="92">
        <v>0.55</v>
      </c>
      <c r="F194" t="s">
        <v>446</v>
      </c>
      <c r="G194" t="s">
        <v>446</v>
      </c>
      <c r="H194" t="s">
        <v>4932</v>
      </c>
      <c r="I194">
        <v>0</v>
      </c>
      <c r="J194" t="s">
        <v>97</v>
      </c>
      <c r="K194">
        <v>0</v>
      </c>
      <c r="L194">
        <v>0</v>
      </c>
      <c r="M194" t="s">
        <v>11</v>
      </c>
    </row>
    <row r="195" spans="1:13">
      <c r="A195" s="93">
        <v>104179</v>
      </c>
      <c r="B195" t="s">
        <v>770</v>
      </c>
      <c r="C195" t="s">
        <v>4920</v>
      </c>
      <c r="D195" s="92">
        <v>0.64</v>
      </c>
      <c r="E195" s="92">
        <v>0.59</v>
      </c>
      <c r="F195">
        <v>1120</v>
      </c>
      <c r="G195">
        <v>1245</v>
      </c>
      <c r="H195" t="s">
        <v>4930</v>
      </c>
      <c r="I195">
        <v>0</v>
      </c>
      <c r="J195" t="s">
        <v>97</v>
      </c>
      <c r="K195">
        <v>0</v>
      </c>
      <c r="L195">
        <v>0</v>
      </c>
      <c r="M195" t="s">
        <v>11</v>
      </c>
    </row>
    <row r="196" spans="1:13">
      <c r="A196" s="93">
        <v>130183</v>
      </c>
      <c r="B196" t="s">
        <v>771</v>
      </c>
      <c r="C196" t="s">
        <v>4920</v>
      </c>
      <c r="D196" s="92">
        <v>0.23</v>
      </c>
      <c r="E196" s="92">
        <v>0.14</v>
      </c>
      <c r="F196" t="s">
        <v>446</v>
      </c>
      <c r="G196" t="s">
        <v>446</v>
      </c>
      <c r="H196" t="s">
        <v>4930</v>
      </c>
      <c r="I196">
        <v>0</v>
      </c>
      <c r="J196" t="s">
        <v>97</v>
      </c>
      <c r="K196">
        <v>0</v>
      </c>
      <c r="L196">
        <v>0</v>
      </c>
      <c r="M196" t="s">
        <v>11</v>
      </c>
    </row>
    <row r="197" spans="1:13">
      <c r="A197" s="93">
        <v>131496</v>
      </c>
      <c r="B197" t="s">
        <v>492</v>
      </c>
      <c r="C197" t="s">
        <v>4921</v>
      </c>
      <c r="D197" s="92">
        <v>0.95</v>
      </c>
      <c r="E197" s="92">
        <v>0.9399999999999999</v>
      </c>
      <c r="F197">
        <v>1410</v>
      </c>
      <c r="G197">
        <v>1480</v>
      </c>
      <c r="H197" t="s">
        <v>4927</v>
      </c>
      <c r="I197">
        <v>1</v>
      </c>
      <c r="J197" t="s">
        <v>97</v>
      </c>
      <c r="K197">
        <v>0</v>
      </c>
      <c r="L197">
        <v>0</v>
      </c>
      <c r="M197" t="s">
        <v>11</v>
      </c>
    </row>
    <row r="198" spans="1:13">
      <c r="A198" s="93">
        <v>132471</v>
      </c>
      <c r="B198" t="s">
        <v>772</v>
      </c>
      <c r="C198" t="s">
        <v>4920</v>
      </c>
      <c r="D198" s="92">
        <v>0.37</v>
      </c>
      <c r="E198" s="92">
        <v>0.37</v>
      </c>
      <c r="F198" t="s">
        <v>446</v>
      </c>
      <c r="G198" t="s">
        <v>446</v>
      </c>
      <c r="H198" t="s">
        <v>4930</v>
      </c>
      <c r="I198">
        <v>0</v>
      </c>
      <c r="J198" t="s">
        <v>97</v>
      </c>
      <c r="K198">
        <v>0</v>
      </c>
      <c r="L198">
        <v>0</v>
      </c>
      <c r="M198" t="s">
        <v>11</v>
      </c>
    </row>
    <row r="199" spans="1:13">
      <c r="A199" s="93">
        <v>135726</v>
      </c>
      <c r="B199" t="s">
        <v>773</v>
      </c>
      <c r="C199" t="s">
        <v>4922</v>
      </c>
      <c r="D199" s="92">
        <v>0.84</v>
      </c>
      <c r="E199" s="92">
        <v>0.84</v>
      </c>
      <c r="F199">
        <v>1300</v>
      </c>
      <c r="G199">
        <v>1380</v>
      </c>
      <c r="H199" t="s">
        <v>4930</v>
      </c>
      <c r="I199">
        <v>0</v>
      </c>
      <c r="J199" t="s">
        <v>97</v>
      </c>
      <c r="K199">
        <v>0</v>
      </c>
      <c r="L199">
        <v>0</v>
      </c>
      <c r="M199" t="s">
        <v>11</v>
      </c>
    </row>
    <row r="200" spans="1:13">
      <c r="A200" s="93">
        <v>143048</v>
      </c>
      <c r="B200" t="s">
        <v>517</v>
      </c>
      <c r="C200" t="s">
        <v>4926</v>
      </c>
      <c r="D200" s="92">
        <v>0.68</v>
      </c>
      <c r="E200" s="92">
        <v>0.5600000000000001</v>
      </c>
      <c r="F200" t="s">
        <v>446</v>
      </c>
      <c r="G200" t="s">
        <v>446</v>
      </c>
      <c r="H200" t="s">
        <v>4930</v>
      </c>
      <c r="I200">
        <v>0</v>
      </c>
      <c r="J200" t="s">
        <v>97</v>
      </c>
      <c r="K200">
        <v>0</v>
      </c>
      <c r="L200">
        <v>1</v>
      </c>
      <c r="M200" t="s">
        <v>4935</v>
      </c>
    </row>
    <row r="201" spans="1:13">
      <c r="A201" s="93">
        <v>143084</v>
      </c>
      <c r="B201" t="s">
        <v>774</v>
      </c>
      <c r="C201" t="s">
        <v>4916</v>
      </c>
      <c r="D201" s="92">
        <v>0.75</v>
      </c>
      <c r="E201" s="92">
        <v>0.65</v>
      </c>
      <c r="F201" t="s">
        <v>446</v>
      </c>
      <c r="G201" t="s">
        <v>446</v>
      </c>
      <c r="H201" t="s">
        <v>4929</v>
      </c>
      <c r="I201">
        <v>1</v>
      </c>
      <c r="J201" t="s">
        <v>97</v>
      </c>
      <c r="K201">
        <v>0</v>
      </c>
      <c r="L201">
        <v>0</v>
      </c>
      <c r="M201" t="s">
        <v>11</v>
      </c>
    </row>
    <row r="202" spans="1:13">
      <c r="A202" s="93">
        <v>146418</v>
      </c>
      <c r="B202" t="s">
        <v>775</v>
      </c>
      <c r="C202" t="s">
        <v>4919</v>
      </c>
      <c r="D202" s="92">
        <v>0.49</v>
      </c>
      <c r="E202" s="92">
        <v>0.38</v>
      </c>
      <c r="F202" t="s">
        <v>446</v>
      </c>
      <c r="G202" t="s">
        <v>446</v>
      </c>
      <c r="H202" t="s">
        <v>4928</v>
      </c>
      <c r="I202">
        <v>1</v>
      </c>
      <c r="J202" t="s">
        <v>97</v>
      </c>
      <c r="K202">
        <v>1</v>
      </c>
      <c r="L202">
        <v>0</v>
      </c>
      <c r="M202" t="s">
        <v>11</v>
      </c>
    </row>
    <row r="203" spans="1:13">
      <c r="A203" s="93">
        <v>146685</v>
      </c>
      <c r="B203" t="s">
        <v>776</v>
      </c>
      <c r="C203" t="s">
        <v>4919</v>
      </c>
      <c r="D203" s="92">
        <v>0.46</v>
      </c>
      <c r="E203" s="92">
        <v>0.31</v>
      </c>
      <c r="F203" t="s">
        <v>446</v>
      </c>
      <c r="G203" t="s">
        <v>446</v>
      </c>
      <c r="H203" t="s">
        <v>4931</v>
      </c>
      <c r="I203">
        <v>0</v>
      </c>
      <c r="J203" t="s">
        <v>97</v>
      </c>
      <c r="K203">
        <v>1</v>
      </c>
      <c r="L203">
        <v>0</v>
      </c>
      <c r="M203" t="s">
        <v>11</v>
      </c>
    </row>
    <row r="204" spans="1:13">
      <c r="A204" s="93">
        <v>147013</v>
      </c>
      <c r="B204" t="s">
        <v>777</v>
      </c>
      <c r="C204" t="s">
        <v>4920</v>
      </c>
      <c r="D204" s="92">
        <v>0.5600000000000001</v>
      </c>
      <c r="E204" s="92">
        <v>0.44</v>
      </c>
      <c r="F204" t="s">
        <v>446</v>
      </c>
      <c r="G204" t="s">
        <v>446</v>
      </c>
      <c r="H204" t="s">
        <v>4930</v>
      </c>
      <c r="I204">
        <v>0</v>
      </c>
      <c r="J204" t="s">
        <v>97</v>
      </c>
      <c r="K204">
        <v>0</v>
      </c>
      <c r="L204">
        <v>0</v>
      </c>
      <c r="M204" t="s">
        <v>11</v>
      </c>
    </row>
    <row r="205" spans="1:13">
      <c r="A205" s="93">
        <v>149514</v>
      </c>
      <c r="B205" t="s">
        <v>778</v>
      </c>
      <c r="C205" t="s">
        <v>4916</v>
      </c>
      <c r="D205" s="92">
        <v>0.53</v>
      </c>
      <c r="E205" s="92">
        <v>0.33</v>
      </c>
      <c r="F205">
        <v>980</v>
      </c>
      <c r="G205">
        <v>1050</v>
      </c>
      <c r="H205" t="s">
        <v>4930</v>
      </c>
      <c r="I205">
        <v>0</v>
      </c>
      <c r="J205" t="s">
        <v>97</v>
      </c>
      <c r="K205">
        <v>0</v>
      </c>
      <c r="L205">
        <v>1</v>
      </c>
      <c r="M205" t="s">
        <v>4934</v>
      </c>
    </row>
    <row r="206" spans="1:13">
      <c r="A206" s="93">
        <v>150136</v>
      </c>
      <c r="B206" t="s">
        <v>779</v>
      </c>
      <c r="C206" t="s">
        <v>4920</v>
      </c>
      <c r="D206" s="92">
        <v>0.68</v>
      </c>
      <c r="E206" s="92">
        <v>0.58</v>
      </c>
      <c r="F206">
        <v>1010</v>
      </c>
      <c r="G206">
        <v>1110</v>
      </c>
      <c r="H206" t="s">
        <v>4929</v>
      </c>
      <c r="I206">
        <v>1</v>
      </c>
      <c r="J206" t="s">
        <v>97</v>
      </c>
      <c r="K206">
        <v>0</v>
      </c>
      <c r="L206">
        <v>0</v>
      </c>
      <c r="M206" t="s">
        <v>11</v>
      </c>
    </row>
    <row r="207" spans="1:13">
      <c r="A207" s="93">
        <v>150774</v>
      </c>
      <c r="B207" t="s">
        <v>780</v>
      </c>
      <c r="C207" t="s">
        <v>4923</v>
      </c>
      <c r="D207" s="92">
        <v>0.39</v>
      </c>
      <c r="E207" s="92">
        <v>0.46</v>
      </c>
      <c r="F207">
        <v>1110</v>
      </c>
      <c r="G207">
        <v>1215</v>
      </c>
      <c r="H207" t="s">
        <v>4931</v>
      </c>
      <c r="I207">
        <v>0</v>
      </c>
      <c r="J207" t="s">
        <v>97</v>
      </c>
      <c r="K207">
        <v>0</v>
      </c>
      <c r="L207">
        <v>0</v>
      </c>
      <c r="M207" t="s">
        <v>11</v>
      </c>
    </row>
    <row r="208" spans="1:13">
      <c r="A208" s="93">
        <v>152530</v>
      </c>
      <c r="B208" t="s">
        <v>781</v>
      </c>
      <c r="C208" t="s">
        <v>4920</v>
      </c>
      <c r="D208" s="92">
        <v>0.77</v>
      </c>
      <c r="E208" s="92">
        <v>0.58</v>
      </c>
      <c r="F208" t="s">
        <v>446</v>
      </c>
      <c r="G208" t="s">
        <v>446</v>
      </c>
      <c r="H208" t="s">
        <v>4930</v>
      </c>
      <c r="I208">
        <v>0</v>
      </c>
      <c r="J208" t="s">
        <v>97</v>
      </c>
      <c r="K208">
        <v>0</v>
      </c>
      <c r="L208">
        <v>0</v>
      </c>
      <c r="M208" t="s">
        <v>11</v>
      </c>
    </row>
    <row r="209" spans="1:13">
      <c r="A209" s="93">
        <v>152673</v>
      </c>
      <c r="B209" t="s">
        <v>782</v>
      </c>
      <c r="C209" t="s">
        <v>4916</v>
      </c>
      <c r="D209" s="92">
        <v>0.77</v>
      </c>
      <c r="E209" s="92">
        <v>0.73</v>
      </c>
      <c r="F209">
        <v>1140</v>
      </c>
      <c r="G209">
        <v>1240</v>
      </c>
      <c r="H209" t="s">
        <v>4931</v>
      </c>
      <c r="I209">
        <v>0</v>
      </c>
      <c r="J209" t="s">
        <v>97</v>
      </c>
      <c r="K209">
        <v>0</v>
      </c>
      <c r="L209">
        <v>0</v>
      </c>
      <c r="M209" t="s">
        <v>11</v>
      </c>
    </row>
    <row r="210" spans="1:13">
      <c r="A210" s="93">
        <v>153737</v>
      </c>
      <c r="B210" t="s">
        <v>783</v>
      </c>
      <c r="C210" t="s">
        <v>4919</v>
      </c>
      <c r="D210" s="92">
        <v>0.41</v>
      </c>
      <c r="E210" s="92">
        <v>0.21</v>
      </c>
      <c r="F210" t="s">
        <v>446</v>
      </c>
      <c r="G210" t="s">
        <v>446</v>
      </c>
      <c r="H210" t="s">
        <v>4927</v>
      </c>
      <c r="I210">
        <v>1</v>
      </c>
      <c r="J210" t="s">
        <v>97</v>
      </c>
      <c r="K210">
        <v>0</v>
      </c>
      <c r="L210">
        <v>0</v>
      </c>
      <c r="M210" t="s">
        <v>11</v>
      </c>
    </row>
    <row r="211" spans="1:13">
      <c r="A211" s="93">
        <v>154101</v>
      </c>
      <c r="B211" t="s">
        <v>784</v>
      </c>
      <c r="C211" t="s">
        <v>4920</v>
      </c>
      <c r="D211" s="92">
        <v>0.6899999999999999</v>
      </c>
      <c r="E211" s="92">
        <v>0.43</v>
      </c>
      <c r="F211">
        <v>1040</v>
      </c>
      <c r="G211">
        <v>1160</v>
      </c>
      <c r="H211" t="s">
        <v>4930</v>
      </c>
      <c r="I211">
        <v>0</v>
      </c>
      <c r="J211" t="s">
        <v>97</v>
      </c>
      <c r="K211">
        <v>0</v>
      </c>
      <c r="L211">
        <v>0</v>
      </c>
      <c r="M211" t="s">
        <v>11</v>
      </c>
    </row>
    <row r="212" spans="1:13">
      <c r="A212" s="93">
        <v>154590</v>
      </c>
      <c r="B212" t="s">
        <v>785</v>
      </c>
      <c r="C212" t="s">
        <v>4920</v>
      </c>
      <c r="D212" s="92">
        <v>0.33</v>
      </c>
      <c r="E212" s="92">
        <v>0.2</v>
      </c>
      <c r="F212">
        <v>890</v>
      </c>
      <c r="G212">
        <v>985</v>
      </c>
      <c r="H212" t="s">
        <v>4930</v>
      </c>
      <c r="I212">
        <v>0</v>
      </c>
      <c r="J212" t="s">
        <v>97</v>
      </c>
      <c r="K212">
        <v>0</v>
      </c>
      <c r="L212">
        <v>0</v>
      </c>
      <c r="M212" t="s">
        <v>11</v>
      </c>
    </row>
    <row r="213" spans="1:13">
      <c r="A213" s="93">
        <v>155317</v>
      </c>
      <c r="B213" t="s">
        <v>786</v>
      </c>
      <c r="C213" t="s">
        <v>4920</v>
      </c>
      <c r="D213" s="92">
        <v>0.66</v>
      </c>
      <c r="E213" s="92">
        <v>0.5</v>
      </c>
      <c r="F213">
        <v>1080</v>
      </c>
      <c r="G213">
        <v>1210</v>
      </c>
      <c r="H213" t="s">
        <v>4930</v>
      </c>
      <c r="I213">
        <v>0</v>
      </c>
      <c r="J213" t="s">
        <v>97</v>
      </c>
      <c r="K213">
        <v>0</v>
      </c>
      <c r="L213">
        <v>0</v>
      </c>
      <c r="M213" t="s">
        <v>11</v>
      </c>
    </row>
    <row r="214" spans="1:13">
      <c r="A214" s="93">
        <v>157085</v>
      </c>
      <c r="B214" t="s">
        <v>787</v>
      </c>
      <c r="C214" t="s">
        <v>4920</v>
      </c>
      <c r="D214" s="92">
        <v>0.68</v>
      </c>
      <c r="E214" s="92">
        <v>0.57</v>
      </c>
      <c r="F214">
        <v>1110</v>
      </c>
      <c r="G214">
        <v>1225</v>
      </c>
      <c r="H214" t="s">
        <v>4930</v>
      </c>
      <c r="I214">
        <v>0</v>
      </c>
      <c r="J214" t="s">
        <v>97</v>
      </c>
      <c r="K214">
        <v>0</v>
      </c>
      <c r="L214">
        <v>0</v>
      </c>
      <c r="M214" t="s">
        <v>11</v>
      </c>
    </row>
    <row r="215" spans="1:13">
      <c r="A215" s="93">
        <v>161004</v>
      </c>
      <c r="B215" t="s">
        <v>788</v>
      </c>
      <c r="C215" t="s">
        <v>4921</v>
      </c>
      <c r="D215" s="92">
        <v>0.9399999999999999</v>
      </c>
      <c r="E215" s="92">
        <v>0.91</v>
      </c>
      <c r="F215" t="s">
        <v>446</v>
      </c>
      <c r="G215" t="s">
        <v>446</v>
      </c>
      <c r="H215" t="s">
        <v>4927</v>
      </c>
      <c r="I215">
        <v>1</v>
      </c>
      <c r="J215" t="s">
        <v>97</v>
      </c>
      <c r="K215">
        <v>0</v>
      </c>
      <c r="L215">
        <v>0</v>
      </c>
      <c r="M215" t="s">
        <v>11</v>
      </c>
    </row>
    <row r="216" spans="1:13">
      <c r="A216" s="93">
        <v>164924</v>
      </c>
      <c r="B216" t="s">
        <v>789</v>
      </c>
      <c r="C216" t="s">
        <v>4921</v>
      </c>
      <c r="D216" s="92">
        <v>0.91</v>
      </c>
      <c r="E216" s="92">
        <v>0.87</v>
      </c>
      <c r="F216">
        <v>1420</v>
      </c>
      <c r="G216">
        <v>1475</v>
      </c>
      <c r="H216" t="s">
        <v>4928</v>
      </c>
      <c r="I216">
        <v>1</v>
      </c>
      <c r="J216" t="s">
        <v>97</v>
      </c>
      <c r="K216">
        <v>0</v>
      </c>
      <c r="L216">
        <v>0</v>
      </c>
      <c r="M216" t="s">
        <v>11</v>
      </c>
    </row>
    <row r="217" spans="1:13">
      <c r="A217" s="93">
        <v>168148</v>
      </c>
      <c r="B217" t="s">
        <v>790</v>
      </c>
      <c r="C217" t="s">
        <v>4921</v>
      </c>
      <c r="D217" s="92">
        <v>0.9399999999999999</v>
      </c>
      <c r="E217" s="92">
        <v>0.9</v>
      </c>
      <c r="F217">
        <v>1440</v>
      </c>
      <c r="G217">
        <v>1495</v>
      </c>
      <c r="H217" t="s">
        <v>4931</v>
      </c>
      <c r="I217">
        <v>0</v>
      </c>
      <c r="J217" t="s">
        <v>97</v>
      </c>
      <c r="K217">
        <v>0</v>
      </c>
      <c r="L217">
        <v>0</v>
      </c>
      <c r="M217" t="s">
        <v>11</v>
      </c>
    </row>
    <row r="218" spans="1:13">
      <c r="A218" s="93">
        <v>174817</v>
      </c>
      <c r="B218" t="s">
        <v>791</v>
      </c>
      <c r="C218" t="s">
        <v>4916</v>
      </c>
      <c r="D218" s="92">
        <v>0.61</v>
      </c>
      <c r="E218" s="92">
        <v>0.54</v>
      </c>
      <c r="F218" t="s">
        <v>446</v>
      </c>
      <c r="G218" t="s">
        <v>446</v>
      </c>
      <c r="H218" t="s">
        <v>4931</v>
      </c>
      <c r="I218">
        <v>0</v>
      </c>
      <c r="J218" t="s">
        <v>97</v>
      </c>
      <c r="K218">
        <v>0</v>
      </c>
      <c r="L218">
        <v>0</v>
      </c>
      <c r="M218" t="s">
        <v>11</v>
      </c>
    </row>
    <row r="219" spans="1:13">
      <c r="A219" s="93">
        <v>178402</v>
      </c>
      <c r="B219" t="s">
        <v>792</v>
      </c>
      <c r="C219" t="s">
        <v>4916</v>
      </c>
      <c r="D219" s="92">
        <v>0.51</v>
      </c>
      <c r="E219" s="92">
        <v>0.42</v>
      </c>
      <c r="F219">
        <v>1080</v>
      </c>
      <c r="G219">
        <v>1225</v>
      </c>
      <c r="H219" t="s">
        <v>4932</v>
      </c>
      <c r="I219">
        <v>0</v>
      </c>
      <c r="J219" t="s">
        <v>97</v>
      </c>
      <c r="K219">
        <v>0</v>
      </c>
      <c r="L219">
        <v>0</v>
      </c>
      <c r="M219" t="s">
        <v>11</v>
      </c>
    </row>
    <row r="220" spans="1:13">
      <c r="A220" s="93">
        <v>178420</v>
      </c>
      <c r="B220" t="s">
        <v>793</v>
      </c>
      <c r="C220" t="s">
        <v>4920</v>
      </c>
      <c r="D220" s="92">
        <v>0.55</v>
      </c>
      <c r="E220" s="92">
        <v>0.39</v>
      </c>
      <c r="F220">
        <v>1110</v>
      </c>
      <c r="G220">
        <v>1225</v>
      </c>
      <c r="H220" t="s">
        <v>4931</v>
      </c>
      <c r="I220">
        <v>0</v>
      </c>
      <c r="J220" t="s">
        <v>97</v>
      </c>
      <c r="K220">
        <v>0</v>
      </c>
      <c r="L220">
        <v>0</v>
      </c>
      <c r="M220" t="s">
        <v>11</v>
      </c>
    </row>
    <row r="221" spans="1:13">
      <c r="A221" s="93">
        <v>180814</v>
      </c>
      <c r="B221" t="s">
        <v>794</v>
      </c>
      <c r="C221" t="s">
        <v>4923</v>
      </c>
      <c r="D221" s="92">
        <v>0.23</v>
      </c>
      <c r="E221" s="92">
        <v>0.13</v>
      </c>
      <c r="F221" t="s">
        <v>446</v>
      </c>
      <c r="G221" t="s">
        <v>446</v>
      </c>
      <c r="H221" t="s">
        <v>4930</v>
      </c>
      <c r="I221">
        <v>0</v>
      </c>
      <c r="J221" t="s">
        <v>97</v>
      </c>
      <c r="K221">
        <v>0</v>
      </c>
      <c r="L221">
        <v>0</v>
      </c>
      <c r="M221" t="s">
        <v>11</v>
      </c>
    </row>
    <row r="222" spans="1:13">
      <c r="A222" s="93">
        <v>181783</v>
      </c>
      <c r="B222" t="s">
        <v>795</v>
      </c>
      <c r="C222" t="s">
        <v>4920</v>
      </c>
      <c r="D222" s="92">
        <v>0.51</v>
      </c>
      <c r="E222" s="92">
        <v>0.36</v>
      </c>
      <c r="F222" t="s">
        <v>446</v>
      </c>
      <c r="G222" t="s">
        <v>446</v>
      </c>
      <c r="H222" t="s">
        <v>4932</v>
      </c>
      <c r="I222">
        <v>0</v>
      </c>
      <c r="J222" t="s">
        <v>97</v>
      </c>
      <c r="K222">
        <v>0</v>
      </c>
      <c r="L222">
        <v>0</v>
      </c>
      <c r="M222" t="s">
        <v>11</v>
      </c>
    </row>
    <row r="223" spans="1:13">
      <c r="A223" s="93">
        <v>182670</v>
      </c>
      <c r="B223" t="s">
        <v>796</v>
      </c>
      <c r="C223" t="s">
        <v>4921</v>
      </c>
      <c r="D223" s="92">
        <v>0.9399999999999999</v>
      </c>
      <c r="E223" s="92">
        <v>0.88</v>
      </c>
      <c r="F223">
        <v>1440</v>
      </c>
      <c r="G223">
        <v>1500</v>
      </c>
      <c r="H223" t="s">
        <v>4931</v>
      </c>
      <c r="I223">
        <v>0</v>
      </c>
      <c r="J223" t="s">
        <v>97</v>
      </c>
      <c r="K223">
        <v>0</v>
      </c>
      <c r="L223">
        <v>0</v>
      </c>
      <c r="M223" t="s">
        <v>11</v>
      </c>
    </row>
    <row r="224" spans="1:13">
      <c r="A224" s="93">
        <v>191515</v>
      </c>
      <c r="B224" t="s">
        <v>797</v>
      </c>
      <c r="C224" t="s">
        <v>4921</v>
      </c>
      <c r="D224" s="92">
        <v>0.92</v>
      </c>
      <c r="E224" s="92">
        <v>0.92</v>
      </c>
      <c r="F224">
        <v>1410</v>
      </c>
      <c r="G224">
        <v>1475</v>
      </c>
      <c r="H224" t="s">
        <v>4928</v>
      </c>
      <c r="I224">
        <v>1</v>
      </c>
      <c r="J224" t="s">
        <v>97</v>
      </c>
      <c r="K224">
        <v>0</v>
      </c>
      <c r="L224">
        <v>0</v>
      </c>
      <c r="M224" t="s">
        <v>11</v>
      </c>
    </row>
    <row r="225" spans="1:13">
      <c r="A225" s="93">
        <v>191630</v>
      </c>
      <c r="B225" t="s">
        <v>798</v>
      </c>
      <c r="C225" t="s">
        <v>4917</v>
      </c>
      <c r="D225" s="92">
        <v>0.76</v>
      </c>
      <c r="E225" s="92">
        <v>0.71</v>
      </c>
      <c r="F225">
        <v>1170</v>
      </c>
      <c r="G225">
        <v>1270</v>
      </c>
      <c r="H225" t="s">
        <v>4930</v>
      </c>
      <c r="I225">
        <v>0</v>
      </c>
      <c r="J225" t="s">
        <v>97</v>
      </c>
      <c r="K225">
        <v>0</v>
      </c>
      <c r="L225">
        <v>0</v>
      </c>
      <c r="M225" t="s">
        <v>11</v>
      </c>
    </row>
    <row r="226" spans="1:13">
      <c r="A226" s="93">
        <v>196413</v>
      </c>
      <c r="B226" t="s">
        <v>616</v>
      </c>
      <c r="C226" t="s">
        <v>4916</v>
      </c>
      <c r="D226" s="92">
        <v>0.82</v>
      </c>
      <c r="E226" s="92">
        <v>0.8</v>
      </c>
      <c r="F226">
        <v>1220</v>
      </c>
      <c r="G226">
        <v>1310</v>
      </c>
      <c r="H226" t="s">
        <v>4930</v>
      </c>
      <c r="I226">
        <v>0</v>
      </c>
      <c r="J226" t="s">
        <v>97</v>
      </c>
      <c r="K226">
        <v>0</v>
      </c>
      <c r="L226">
        <v>0</v>
      </c>
      <c r="M226" t="s">
        <v>11</v>
      </c>
    </row>
    <row r="227" spans="1:13">
      <c r="A227" s="93">
        <v>204796</v>
      </c>
      <c r="B227" t="s">
        <v>799</v>
      </c>
      <c r="C227" t="s">
        <v>4917</v>
      </c>
      <c r="D227" s="92">
        <v>0.88</v>
      </c>
      <c r="E227" s="92">
        <v>0.8100000000000001</v>
      </c>
      <c r="F227">
        <v>1250</v>
      </c>
      <c r="G227">
        <v>1345</v>
      </c>
      <c r="H227" t="s">
        <v>4930</v>
      </c>
      <c r="I227">
        <v>0</v>
      </c>
      <c r="J227" t="s">
        <v>97</v>
      </c>
      <c r="K227">
        <v>0</v>
      </c>
      <c r="L227">
        <v>0</v>
      </c>
      <c r="M227" t="s">
        <v>11</v>
      </c>
    </row>
    <row r="228" spans="1:13">
      <c r="A228" s="93">
        <v>213385</v>
      </c>
      <c r="B228" t="s">
        <v>484</v>
      </c>
      <c r="C228" t="s">
        <v>4922</v>
      </c>
      <c r="D228" s="92">
        <v>0.88</v>
      </c>
      <c r="E228" s="92">
        <v>0.82</v>
      </c>
      <c r="F228">
        <v>1300</v>
      </c>
      <c r="G228">
        <v>1380</v>
      </c>
      <c r="H228" t="s">
        <v>4930</v>
      </c>
      <c r="I228">
        <v>0</v>
      </c>
      <c r="J228" t="s">
        <v>97</v>
      </c>
      <c r="K228">
        <v>0</v>
      </c>
      <c r="L228">
        <v>0</v>
      </c>
      <c r="M228" t="s">
        <v>11</v>
      </c>
    </row>
    <row r="229" spans="1:13">
      <c r="A229" s="93">
        <v>228778</v>
      </c>
      <c r="B229" t="s">
        <v>800</v>
      </c>
      <c r="C229" t="s">
        <v>4917</v>
      </c>
      <c r="D229" s="92">
        <v>0.88</v>
      </c>
      <c r="E229" s="92">
        <v>0.8100000000000001</v>
      </c>
      <c r="F229">
        <v>1230</v>
      </c>
      <c r="G229">
        <v>1365</v>
      </c>
      <c r="H229" t="s">
        <v>4932</v>
      </c>
      <c r="I229">
        <v>0</v>
      </c>
      <c r="J229" t="s">
        <v>97</v>
      </c>
      <c r="K229">
        <v>0</v>
      </c>
      <c r="L229">
        <v>0</v>
      </c>
      <c r="M229" t="s">
        <v>11</v>
      </c>
    </row>
    <row r="230" spans="1:13">
      <c r="A230" s="93">
        <v>232265</v>
      </c>
      <c r="B230" t="s">
        <v>801</v>
      </c>
      <c r="C230" t="s">
        <v>4918</v>
      </c>
      <c r="D230" s="92">
        <v>0.57</v>
      </c>
      <c r="E230" s="92">
        <v>0.72</v>
      </c>
      <c r="F230" t="s">
        <v>446</v>
      </c>
      <c r="G230" t="s">
        <v>446</v>
      </c>
      <c r="H230" t="s">
        <v>4930</v>
      </c>
      <c r="I230">
        <v>0</v>
      </c>
      <c r="J230" t="s">
        <v>153</v>
      </c>
      <c r="K230">
        <v>0</v>
      </c>
      <c r="L230">
        <v>0</v>
      </c>
      <c r="M230" t="s">
        <v>11</v>
      </c>
    </row>
    <row r="231" spans="1:13">
      <c r="A231" s="93">
        <v>233374</v>
      </c>
      <c r="B231" t="s">
        <v>802</v>
      </c>
      <c r="C231" t="s">
        <v>4922</v>
      </c>
      <c r="D231" s="92">
        <v>0.89</v>
      </c>
      <c r="E231" s="92">
        <v>0.88</v>
      </c>
      <c r="F231" t="s">
        <v>446</v>
      </c>
      <c r="G231" t="s">
        <v>446</v>
      </c>
      <c r="H231" t="s">
        <v>4931</v>
      </c>
      <c r="I231">
        <v>0</v>
      </c>
      <c r="J231" t="s">
        <v>97</v>
      </c>
      <c r="K231">
        <v>0</v>
      </c>
      <c r="L231">
        <v>0</v>
      </c>
      <c r="M231" t="s">
        <v>11</v>
      </c>
    </row>
    <row r="232" spans="1:13">
      <c r="A232" s="93">
        <v>413413</v>
      </c>
      <c r="B232" t="s">
        <v>803</v>
      </c>
      <c r="C232" t="s">
        <v>4923</v>
      </c>
      <c r="D232" s="92">
        <v>0.5</v>
      </c>
      <c r="E232" s="92" t="s">
        <v>446</v>
      </c>
      <c r="F232" t="s">
        <v>446</v>
      </c>
      <c r="G232" t="s">
        <v>446</v>
      </c>
      <c r="H232" t="s">
        <v>4930</v>
      </c>
      <c r="I232">
        <v>0</v>
      </c>
      <c r="J232" t="s">
        <v>97</v>
      </c>
      <c r="K232">
        <v>0</v>
      </c>
      <c r="L232">
        <v>0</v>
      </c>
      <c r="M232" t="s">
        <v>11</v>
      </c>
    </row>
    <row r="233" spans="1:13">
      <c r="A233" s="93">
        <v>445027</v>
      </c>
      <c r="B233" t="s">
        <v>804</v>
      </c>
      <c r="C233" t="s">
        <v>4923</v>
      </c>
      <c r="D233" s="92">
        <v>0.11</v>
      </c>
      <c r="E233" s="92">
        <v>0.12</v>
      </c>
      <c r="F233" t="s">
        <v>446</v>
      </c>
      <c r="G233" t="s">
        <v>446</v>
      </c>
      <c r="H233" t="s">
        <v>4931</v>
      </c>
      <c r="I233">
        <v>0</v>
      </c>
      <c r="J233" t="s">
        <v>97</v>
      </c>
      <c r="K233">
        <v>0</v>
      </c>
      <c r="L233">
        <v>1</v>
      </c>
      <c r="M233" t="s">
        <v>4935</v>
      </c>
    </row>
    <row r="234" spans="1:13">
      <c r="A234" s="93">
        <v>100663</v>
      </c>
      <c r="B234" t="s">
        <v>805</v>
      </c>
      <c r="C234" t="s">
        <v>4920</v>
      </c>
      <c r="D234" s="92">
        <v>0.62</v>
      </c>
      <c r="E234" s="92">
        <v>0.5600000000000001</v>
      </c>
      <c r="F234">
        <v>1140</v>
      </c>
      <c r="G234">
        <v>1255</v>
      </c>
      <c r="H234" t="s">
        <v>4930</v>
      </c>
      <c r="I234">
        <v>0</v>
      </c>
      <c r="J234" t="s">
        <v>97</v>
      </c>
      <c r="K234">
        <v>0</v>
      </c>
      <c r="L234">
        <v>0</v>
      </c>
      <c r="M234" t="s">
        <v>11</v>
      </c>
    </row>
    <row r="235" spans="1:13">
      <c r="A235" s="93">
        <v>100751</v>
      </c>
      <c r="B235" t="s">
        <v>806</v>
      </c>
      <c r="C235" t="s">
        <v>4920</v>
      </c>
      <c r="D235" s="92">
        <v>0.72</v>
      </c>
      <c r="E235" s="92">
        <v>0.6</v>
      </c>
      <c r="F235">
        <v>1080</v>
      </c>
      <c r="G235">
        <v>1240</v>
      </c>
      <c r="H235" t="s">
        <v>4930</v>
      </c>
      <c r="I235">
        <v>0</v>
      </c>
      <c r="J235" t="s">
        <v>97</v>
      </c>
      <c r="K235">
        <v>0</v>
      </c>
      <c r="L235">
        <v>0</v>
      </c>
      <c r="M235" t="s">
        <v>11</v>
      </c>
    </row>
    <row r="236" spans="1:13">
      <c r="A236" s="93">
        <v>112260</v>
      </c>
      <c r="B236" t="s">
        <v>807</v>
      </c>
      <c r="C236" t="s">
        <v>4921</v>
      </c>
      <c r="D236" s="92">
        <v>0.93</v>
      </c>
      <c r="E236" s="92">
        <v>0.9399999999999999</v>
      </c>
      <c r="F236">
        <v>1420</v>
      </c>
      <c r="G236">
        <v>1475</v>
      </c>
      <c r="H236" t="s">
        <v>4927</v>
      </c>
      <c r="I236">
        <v>1</v>
      </c>
      <c r="J236" t="s">
        <v>97</v>
      </c>
      <c r="K236">
        <v>0</v>
      </c>
      <c r="L236">
        <v>0</v>
      </c>
      <c r="M236" t="s">
        <v>11</v>
      </c>
    </row>
    <row r="237" spans="1:13">
      <c r="A237" s="93">
        <v>114789</v>
      </c>
      <c r="B237" t="s">
        <v>808</v>
      </c>
      <c r="C237" t="s">
        <v>4919</v>
      </c>
      <c r="D237" s="92">
        <v>0.26</v>
      </c>
      <c r="E237" s="92">
        <v>0.23</v>
      </c>
      <c r="F237" t="s">
        <v>446</v>
      </c>
      <c r="G237" t="s">
        <v>446</v>
      </c>
      <c r="H237" t="s">
        <v>4932</v>
      </c>
      <c r="I237">
        <v>0</v>
      </c>
      <c r="J237" t="s">
        <v>97</v>
      </c>
      <c r="K237">
        <v>0</v>
      </c>
      <c r="L237">
        <v>0</v>
      </c>
      <c r="M237" t="s">
        <v>11</v>
      </c>
    </row>
    <row r="238" spans="1:13">
      <c r="A238" s="93">
        <v>114859</v>
      </c>
      <c r="B238" t="s">
        <v>809</v>
      </c>
      <c r="C238" t="s">
        <v>4919</v>
      </c>
      <c r="D238" s="92">
        <v>0.41</v>
      </c>
      <c r="E238" s="92">
        <v>0.34</v>
      </c>
      <c r="F238" t="s">
        <v>446</v>
      </c>
      <c r="G238" t="s">
        <v>446</v>
      </c>
      <c r="H238" t="s">
        <v>4932</v>
      </c>
      <c r="I238">
        <v>0</v>
      </c>
      <c r="J238" t="s">
        <v>97</v>
      </c>
      <c r="K238">
        <v>0</v>
      </c>
      <c r="L238">
        <v>0</v>
      </c>
      <c r="M238" t="s">
        <v>11</v>
      </c>
    </row>
    <row r="239" spans="1:13">
      <c r="A239" s="93">
        <v>119164</v>
      </c>
      <c r="B239" t="s">
        <v>810</v>
      </c>
      <c r="C239" t="s">
        <v>4919</v>
      </c>
      <c r="D239" s="92">
        <v>0.44</v>
      </c>
      <c r="E239" s="92">
        <v>0.38</v>
      </c>
      <c r="F239" t="s">
        <v>446</v>
      </c>
      <c r="G239" t="s">
        <v>446</v>
      </c>
      <c r="H239" t="s">
        <v>4932</v>
      </c>
      <c r="I239">
        <v>0</v>
      </c>
      <c r="J239" t="s">
        <v>97</v>
      </c>
      <c r="K239">
        <v>0</v>
      </c>
      <c r="L239">
        <v>0</v>
      </c>
      <c r="M239" t="s">
        <v>11</v>
      </c>
    </row>
    <row r="240" spans="1:13">
      <c r="A240" s="93">
        <v>121257</v>
      </c>
      <c r="B240" t="s">
        <v>811</v>
      </c>
      <c r="C240" t="s">
        <v>4921</v>
      </c>
      <c r="D240" s="92">
        <v>0.86</v>
      </c>
      <c r="E240" s="92">
        <v>0.87</v>
      </c>
      <c r="F240" t="s">
        <v>446</v>
      </c>
      <c r="G240" t="s">
        <v>446</v>
      </c>
      <c r="H240" t="s">
        <v>4927</v>
      </c>
      <c r="I240">
        <v>1</v>
      </c>
      <c r="J240" t="s">
        <v>97</v>
      </c>
      <c r="K240">
        <v>0</v>
      </c>
      <c r="L240">
        <v>0</v>
      </c>
      <c r="M240" t="s">
        <v>11</v>
      </c>
    </row>
    <row r="241" spans="1:13">
      <c r="A241" s="93">
        <v>122339</v>
      </c>
      <c r="B241" t="s">
        <v>812</v>
      </c>
      <c r="C241" t="s">
        <v>4919</v>
      </c>
      <c r="D241" s="92">
        <v>0.28</v>
      </c>
      <c r="E241" s="92">
        <v>0.27</v>
      </c>
      <c r="F241" t="s">
        <v>446</v>
      </c>
      <c r="G241" t="s">
        <v>446</v>
      </c>
      <c r="H241" t="s">
        <v>4932</v>
      </c>
      <c r="I241">
        <v>0</v>
      </c>
      <c r="J241" t="s">
        <v>97</v>
      </c>
      <c r="K241">
        <v>0</v>
      </c>
      <c r="L241">
        <v>0</v>
      </c>
      <c r="M241" t="s">
        <v>11</v>
      </c>
    </row>
    <row r="242" spans="1:13">
      <c r="A242" s="93">
        <v>122436</v>
      </c>
      <c r="B242" t="s">
        <v>813</v>
      </c>
      <c r="C242" t="s">
        <v>4916</v>
      </c>
      <c r="D242" s="92">
        <v>0.8</v>
      </c>
      <c r="E242" s="92">
        <v>0.79</v>
      </c>
      <c r="F242" t="s">
        <v>446</v>
      </c>
      <c r="G242" t="s">
        <v>446</v>
      </c>
      <c r="H242" t="s">
        <v>4930</v>
      </c>
      <c r="I242">
        <v>0</v>
      </c>
      <c r="J242" t="s">
        <v>97</v>
      </c>
      <c r="K242">
        <v>0</v>
      </c>
      <c r="L242">
        <v>0</v>
      </c>
      <c r="M242" t="s">
        <v>11</v>
      </c>
    </row>
    <row r="243" spans="1:13">
      <c r="A243" s="93">
        <v>125231</v>
      </c>
      <c r="B243" t="s">
        <v>814</v>
      </c>
      <c r="C243" t="s">
        <v>4923</v>
      </c>
      <c r="D243" s="92">
        <v>0.33</v>
      </c>
      <c r="E243" s="92" t="s">
        <v>446</v>
      </c>
      <c r="F243" t="s">
        <v>446</v>
      </c>
      <c r="G243" t="s">
        <v>446</v>
      </c>
      <c r="H243" t="s">
        <v>4932</v>
      </c>
      <c r="I243">
        <v>0</v>
      </c>
      <c r="J243" t="s">
        <v>97</v>
      </c>
      <c r="K243">
        <v>0</v>
      </c>
      <c r="L243">
        <v>0</v>
      </c>
      <c r="M243" t="s">
        <v>11</v>
      </c>
    </row>
    <row r="244" spans="1:13">
      <c r="A244" s="93">
        <v>126562</v>
      </c>
      <c r="B244" t="s">
        <v>815</v>
      </c>
      <c r="C244" t="s">
        <v>4920</v>
      </c>
      <c r="D244" s="92">
        <v>0.48</v>
      </c>
      <c r="E244" s="92">
        <v>0.46</v>
      </c>
      <c r="F244">
        <v>1030</v>
      </c>
      <c r="G244">
        <v>1140</v>
      </c>
      <c r="H244" t="s">
        <v>4932</v>
      </c>
      <c r="I244">
        <v>0</v>
      </c>
      <c r="J244" t="s">
        <v>97</v>
      </c>
      <c r="K244">
        <v>0</v>
      </c>
      <c r="L244">
        <v>0</v>
      </c>
      <c r="M244" t="s">
        <v>11</v>
      </c>
    </row>
    <row r="245" spans="1:13">
      <c r="A245" s="93">
        <v>127060</v>
      </c>
      <c r="B245" t="s">
        <v>816</v>
      </c>
      <c r="C245" t="s">
        <v>4916</v>
      </c>
      <c r="D245" s="92">
        <v>0.76</v>
      </c>
      <c r="E245" s="92">
        <v>0.6899999999999999</v>
      </c>
      <c r="F245">
        <v>1200</v>
      </c>
      <c r="G245">
        <v>1295</v>
      </c>
      <c r="H245" t="s">
        <v>4930</v>
      </c>
      <c r="I245">
        <v>0</v>
      </c>
      <c r="J245" t="s">
        <v>97</v>
      </c>
      <c r="K245">
        <v>0</v>
      </c>
      <c r="L245">
        <v>0</v>
      </c>
      <c r="M245" t="s">
        <v>11</v>
      </c>
    </row>
    <row r="246" spans="1:13">
      <c r="A246" s="93">
        <v>131113</v>
      </c>
      <c r="B246" t="s">
        <v>817</v>
      </c>
      <c r="C246" t="s">
        <v>4923</v>
      </c>
      <c r="D246" s="92">
        <v>0.23</v>
      </c>
      <c r="E246" s="92">
        <v>0.13</v>
      </c>
      <c r="F246" t="s">
        <v>446</v>
      </c>
      <c r="G246" t="s">
        <v>446</v>
      </c>
      <c r="H246" t="s">
        <v>4931</v>
      </c>
      <c r="I246">
        <v>0</v>
      </c>
      <c r="J246" t="s">
        <v>97</v>
      </c>
      <c r="K246">
        <v>0</v>
      </c>
      <c r="L246">
        <v>0</v>
      </c>
      <c r="M246" t="s">
        <v>11</v>
      </c>
    </row>
    <row r="247" spans="1:13">
      <c r="A247" s="93">
        <v>132602</v>
      </c>
      <c r="B247" t="s">
        <v>818</v>
      </c>
      <c r="C247" t="s">
        <v>4920</v>
      </c>
      <c r="D247" s="92">
        <v>0.32</v>
      </c>
      <c r="E247" s="92">
        <v>0.46</v>
      </c>
      <c r="F247">
        <v>820</v>
      </c>
      <c r="G247">
        <v>905</v>
      </c>
      <c r="H247" t="s">
        <v>4931</v>
      </c>
      <c r="I247">
        <v>0</v>
      </c>
      <c r="J247" t="s">
        <v>153</v>
      </c>
      <c r="K247">
        <v>0</v>
      </c>
      <c r="L247">
        <v>0</v>
      </c>
      <c r="M247" t="s">
        <v>11</v>
      </c>
    </row>
    <row r="248" spans="1:13">
      <c r="A248" s="93">
        <v>132657</v>
      </c>
      <c r="B248" t="s">
        <v>819</v>
      </c>
      <c r="C248" t="s">
        <v>4918</v>
      </c>
      <c r="D248" s="92">
        <v>0.54</v>
      </c>
      <c r="E248" s="92">
        <v>0.51</v>
      </c>
      <c r="F248">
        <v>1030</v>
      </c>
      <c r="G248">
        <v>1115</v>
      </c>
      <c r="H248" t="s">
        <v>4930</v>
      </c>
      <c r="I248">
        <v>0</v>
      </c>
      <c r="J248" t="s">
        <v>97</v>
      </c>
      <c r="K248">
        <v>0</v>
      </c>
      <c r="L248">
        <v>0</v>
      </c>
      <c r="M248" t="s">
        <v>11</v>
      </c>
    </row>
    <row r="249" spans="1:13">
      <c r="A249" s="93">
        <v>133650</v>
      </c>
      <c r="B249" t="s">
        <v>820</v>
      </c>
      <c r="C249" t="s">
        <v>4920</v>
      </c>
      <c r="D249" s="92">
        <v>0.55</v>
      </c>
      <c r="E249" s="92">
        <v>0.7</v>
      </c>
      <c r="F249">
        <v>1010</v>
      </c>
      <c r="G249">
        <v>1080</v>
      </c>
      <c r="H249" t="s">
        <v>4930</v>
      </c>
      <c r="I249">
        <v>0</v>
      </c>
      <c r="J249" t="s">
        <v>153</v>
      </c>
      <c r="K249">
        <v>0</v>
      </c>
      <c r="L249">
        <v>0</v>
      </c>
      <c r="M249" t="s">
        <v>11</v>
      </c>
    </row>
    <row r="250" spans="1:13">
      <c r="A250" s="93">
        <v>134945</v>
      </c>
      <c r="B250" t="s">
        <v>821</v>
      </c>
      <c r="C250" t="s">
        <v>4920</v>
      </c>
      <c r="D250" s="92">
        <v>0.51</v>
      </c>
      <c r="E250" s="92">
        <v>0.38</v>
      </c>
      <c r="F250">
        <v>1020</v>
      </c>
      <c r="G250">
        <v>1135</v>
      </c>
      <c r="H250" t="s">
        <v>4930</v>
      </c>
      <c r="I250">
        <v>0</v>
      </c>
      <c r="J250" t="s">
        <v>97</v>
      </c>
      <c r="K250">
        <v>0</v>
      </c>
      <c r="L250">
        <v>0</v>
      </c>
      <c r="M250" t="s">
        <v>11</v>
      </c>
    </row>
    <row r="251" spans="1:13">
      <c r="A251" s="93">
        <v>135717</v>
      </c>
      <c r="B251" t="s">
        <v>822</v>
      </c>
      <c r="C251" t="s">
        <v>4923</v>
      </c>
      <c r="D251" s="92">
        <v>0.25</v>
      </c>
      <c r="E251" s="92">
        <v>0.25</v>
      </c>
      <c r="F251" t="s">
        <v>446</v>
      </c>
      <c r="G251" t="s">
        <v>446</v>
      </c>
      <c r="H251" t="s">
        <v>4932</v>
      </c>
      <c r="I251">
        <v>0</v>
      </c>
      <c r="J251" t="s">
        <v>97</v>
      </c>
      <c r="K251">
        <v>0</v>
      </c>
      <c r="L251">
        <v>0</v>
      </c>
      <c r="M251" t="s">
        <v>11</v>
      </c>
    </row>
    <row r="252" spans="1:13">
      <c r="A252" s="93">
        <v>138309</v>
      </c>
      <c r="B252" t="s">
        <v>823</v>
      </c>
      <c r="C252" t="s">
        <v>4923</v>
      </c>
      <c r="D252" s="92">
        <v>0.35</v>
      </c>
      <c r="E252" s="92">
        <v>0</v>
      </c>
      <c r="F252" t="s">
        <v>446</v>
      </c>
      <c r="G252" t="s">
        <v>446</v>
      </c>
      <c r="H252" t="s">
        <v>4930</v>
      </c>
      <c r="I252">
        <v>0</v>
      </c>
      <c r="J252" t="s">
        <v>97</v>
      </c>
      <c r="K252">
        <v>0</v>
      </c>
      <c r="L252">
        <v>0</v>
      </c>
      <c r="M252" t="s">
        <v>11</v>
      </c>
    </row>
    <row r="253" spans="1:13">
      <c r="A253" s="93">
        <v>140012</v>
      </c>
      <c r="B253" t="s">
        <v>824</v>
      </c>
      <c r="C253" t="s">
        <v>4919</v>
      </c>
      <c r="D253" s="92">
        <v>0.43</v>
      </c>
      <c r="E253" s="92">
        <v>0.38</v>
      </c>
      <c r="F253" t="s">
        <v>446</v>
      </c>
      <c r="G253" t="s">
        <v>446</v>
      </c>
      <c r="H253" t="s">
        <v>4932</v>
      </c>
      <c r="I253">
        <v>0</v>
      </c>
      <c r="J253" t="s">
        <v>97</v>
      </c>
      <c r="K253">
        <v>0</v>
      </c>
      <c r="L253">
        <v>0</v>
      </c>
      <c r="M253" t="s">
        <v>11</v>
      </c>
    </row>
    <row r="254" spans="1:13">
      <c r="A254" s="93">
        <v>141264</v>
      </c>
      <c r="B254" t="s">
        <v>825</v>
      </c>
      <c r="C254" t="s">
        <v>4920</v>
      </c>
      <c r="D254" s="92">
        <v>0.41</v>
      </c>
      <c r="E254" s="92">
        <v>0.4</v>
      </c>
      <c r="F254">
        <v>940</v>
      </c>
      <c r="G254">
        <v>1040</v>
      </c>
      <c r="H254" t="s">
        <v>4932</v>
      </c>
      <c r="I254">
        <v>0</v>
      </c>
      <c r="J254" t="s">
        <v>97</v>
      </c>
      <c r="K254">
        <v>0</v>
      </c>
      <c r="L254">
        <v>0</v>
      </c>
      <c r="M254" t="s">
        <v>11</v>
      </c>
    </row>
    <row r="255" spans="1:13">
      <c r="A255" s="93">
        <v>144944</v>
      </c>
      <c r="B255" t="s">
        <v>826</v>
      </c>
      <c r="C255" t="s">
        <v>4919</v>
      </c>
      <c r="D255" s="92">
        <v>0.5</v>
      </c>
      <c r="E255" s="92">
        <v>0.44</v>
      </c>
      <c r="F255" t="s">
        <v>446</v>
      </c>
      <c r="G255" t="s">
        <v>446</v>
      </c>
      <c r="H255" t="s">
        <v>4931</v>
      </c>
      <c r="I255">
        <v>0</v>
      </c>
      <c r="J255" t="s">
        <v>97</v>
      </c>
      <c r="K255">
        <v>1</v>
      </c>
      <c r="L255">
        <v>1</v>
      </c>
      <c r="M255" t="s">
        <v>4935</v>
      </c>
    </row>
    <row r="256" spans="1:13">
      <c r="A256" s="93">
        <v>144971</v>
      </c>
      <c r="B256" t="s">
        <v>827</v>
      </c>
      <c r="C256" t="s">
        <v>4920</v>
      </c>
      <c r="D256" s="92">
        <v>0.54</v>
      </c>
      <c r="E256" s="92">
        <v>0.23</v>
      </c>
      <c r="F256">
        <v>870</v>
      </c>
      <c r="G256">
        <v>1015</v>
      </c>
      <c r="H256" t="s">
        <v>4930</v>
      </c>
      <c r="I256">
        <v>0</v>
      </c>
      <c r="J256" t="s">
        <v>97</v>
      </c>
      <c r="K256">
        <v>0</v>
      </c>
      <c r="L256">
        <v>0</v>
      </c>
      <c r="M256" t="s">
        <v>11</v>
      </c>
    </row>
    <row r="257" spans="1:13">
      <c r="A257" s="93">
        <v>145619</v>
      </c>
      <c r="B257" t="s">
        <v>828</v>
      </c>
      <c r="C257" t="s">
        <v>4920</v>
      </c>
      <c r="D257" s="92">
        <v>0.46</v>
      </c>
      <c r="E257" s="92">
        <v>0.36</v>
      </c>
      <c r="F257">
        <v>1050</v>
      </c>
      <c r="G257">
        <v>1165</v>
      </c>
      <c r="H257" t="s">
        <v>4929</v>
      </c>
      <c r="I257">
        <v>1</v>
      </c>
      <c r="J257" t="s">
        <v>97</v>
      </c>
      <c r="K257">
        <v>0</v>
      </c>
      <c r="L257">
        <v>1</v>
      </c>
      <c r="M257" t="s">
        <v>4934</v>
      </c>
    </row>
    <row r="258" spans="1:13">
      <c r="A258" s="93">
        <v>146339</v>
      </c>
      <c r="B258" t="s">
        <v>829</v>
      </c>
      <c r="C258" t="s">
        <v>4920</v>
      </c>
      <c r="D258" s="92">
        <v>0.61</v>
      </c>
      <c r="E258" s="92">
        <v>0.47</v>
      </c>
      <c r="F258">
        <v>910</v>
      </c>
      <c r="G258">
        <v>1025</v>
      </c>
      <c r="H258" t="s">
        <v>4930</v>
      </c>
      <c r="I258">
        <v>0</v>
      </c>
      <c r="J258" t="s">
        <v>97</v>
      </c>
      <c r="K258">
        <v>0</v>
      </c>
      <c r="L258">
        <v>1</v>
      </c>
      <c r="M258" t="s">
        <v>4935</v>
      </c>
    </row>
    <row r="259" spans="1:13">
      <c r="A259" s="93">
        <v>146816</v>
      </c>
      <c r="B259" t="s">
        <v>830</v>
      </c>
      <c r="C259" t="s">
        <v>4919</v>
      </c>
      <c r="D259" s="92" t="s">
        <v>446</v>
      </c>
      <c r="E259" s="92" t="s">
        <v>446</v>
      </c>
      <c r="F259" t="s">
        <v>446</v>
      </c>
      <c r="G259" t="s">
        <v>446</v>
      </c>
      <c r="H259" t="s">
        <v>4930</v>
      </c>
      <c r="I259">
        <v>0</v>
      </c>
      <c r="J259" t="s">
        <v>97</v>
      </c>
      <c r="K259">
        <v>0</v>
      </c>
      <c r="L259">
        <v>1</v>
      </c>
      <c r="M259" t="s">
        <v>4935</v>
      </c>
    </row>
    <row r="260" spans="1:13">
      <c r="A260" s="93">
        <v>147660</v>
      </c>
      <c r="B260" t="s">
        <v>831</v>
      </c>
      <c r="C260" t="s">
        <v>4916</v>
      </c>
      <c r="D260" s="92">
        <v>0.67</v>
      </c>
      <c r="E260" s="92">
        <v>0.62</v>
      </c>
      <c r="F260">
        <v>1030</v>
      </c>
      <c r="G260">
        <v>1130</v>
      </c>
      <c r="H260" t="s">
        <v>4928</v>
      </c>
      <c r="I260">
        <v>1</v>
      </c>
      <c r="J260" t="s">
        <v>97</v>
      </c>
      <c r="K260">
        <v>0</v>
      </c>
      <c r="L260">
        <v>1</v>
      </c>
      <c r="M260" t="s">
        <v>4934</v>
      </c>
    </row>
    <row r="261" spans="1:13">
      <c r="A261" s="93">
        <v>148405</v>
      </c>
      <c r="B261" t="s">
        <v>832</v>
      </c>
      <c r="C261" t="s">
        <v>4920</v>
      </c>
      <c r="D261" s="92">
        <v>0.39</v>
      </c>
      <c r="E261" s="92">
        <v>0.24</v>
      </c>
      <c r="F261">
        <v>880</v>
      </c>
      <c r="G261">
        <v>1000</v>
      </c>
      <c r="H261" t="s">
        <v>4930</v>
      </c>
      <c r="I261">
        <v>0</v>
      </c>
      <c r="J261" t="s">
        <v>97</v>
      </c>
      <c r="K261">
        <v>0</v>
      </c>
      <c r="L261">
        <v>0</v>
      </c>
      <c r="M261" t="s">
        <v>11</v>
      </c>
    </row>
    <row r="262" spans="1:13">
      <c r="A262" s="93">
        <v>149727</v>
      </c>
      <c r="B262" t="s">
        <v>833</v>
      </c>
      <c r="C262" t="s">
        <v>4919</v>
      </c>
      <c r="D262" s="92">
        <v>0.44</v>
      </c>
      <c r="E262" s="92">
        <v>0.33</v>
      </c>
      <c r="F262" t="s">
        <v>446</v>
      </c>
      <c r="G262" t="s">
        <v>446</v>
      </c>
      <c r="H262" t="s">
        <v>4931</v>
      </c>
      <c r="I262">
        <v>0</v>
      </c>
      <c r="J262" t="s">
        <v>97</v>
      </c>
      <c r="K262">
        <v>1</v>
      </c>
      <c r="L262">
        <v>1</v>
      </c>
      <c r="M262" t="s">
        <v>4935</v>
      </c>
    </row>
    <row r="263" spans="1:13">
      <c r="A263" s="93">
        <v>151290</v>
      </c>
      <c r="B263" t="s">
        <v>834</v>
      </c>
      <c r="C263" t="s">
        <v>4918</v>
      </c>
      <c r="D263" s="92">
        <v>0.39</v>
      </c>
      <c r="E263" s="92">
        <v>0.26</v>
      </c>
      <c r="F263" t="s">
        <v>446</v>
      </c>
      <c r="G263" t="s">
        <v>446</v>
      </c>
      <c r="H263" t="s">
        <v>4930</v>
      </c>
      <c r="I263">
        <v>0</v>
      </c>
      <c r="J263" t="s">
        <v>97</v>
      </c>
      <c r="K263">
        <v>0</v>
      </c>
      <c r="L263">
        <v>0</v>
      </c>
      <c r="M263" t="s">
        <v>11</v>
      </c>
    </row>
    <row r="264" spans="1:13">
      <c r="A264" s="93">
        <v>152099</v>
      </c>
      <c r="B264" t="s">
        <v>835</v>
      </c>
      <c r="C264" t="s">
        <v>4923</v>
      </c>
      <c r="D264" s="92">
        <v>0.51</v>
      </c>
      <c r="E264" s="92">
        <v>0.42</v>
      </c>
      <c r="F264">
        <v>960</v>
      </c>
      <c r="G264">
        <v>1070</v>
      </c>
      <c r="H264" t="s">
        <v>4929</v>
      </c>
      <c r="I264">
        <v>1</v>
      </c>
      <c r="J264" t="s">
        <v>97</v>
      </c>
      <c r="K264">
        <v>0</v>
      </c>
      <c r="L264">
        <v>0</v>
      </c>
      <c r="M264" t="s">
        <v>11</v>
      </c>
    </row>
    <row r="265" spans="1:13">
      <c r="A265" s="93">
        <v>153162</v>
      </c>
      <c r="B265" t="s">
        <v>836</v>
      </c>
      <c r="C265" t="s">
        <v>4916</v>
      </c>
      <c r="D265" s="92">
        <v>0.67</v>
      </c>
      <c r="E265" s="92">
        <v>0.61</v>
      </c>
      <c r="F265">
        <v>1160</v>
      </c>
      <c r="G265">
        <v>1280</v>
      </c>
      <c r="H265" t="s">
        <v>4930</v>
      </c>
      <c r="I265">
        <v>0</v>
      </c>
      <c r="J265" t="s">
        <v>97</v>
      </c>
      <c r="K265">
        <v>0</v>
      </c>
      <c r="L265">
        <v>0</v>
      </c>
      <c r="M265" t="s">
        <v>11</v>
      </c>
    </row>
    <row r="266" spans="1:13">
      <c r="A266" s="93">
        <v>153269</v>
      </c>
      <c r="B266" t="s">
        <v>837</v>
      </c>
      <c r="C266" t="s">
        <v>4917</v>
      </c>
      <c r="D266" s="92">
        <v>0.78</v>
      </c>
      <c r="E266" s="92">
        <v>0.66</v>
      </c>
      <c r="F266">
        <v>1210</v>
      </c>
      <c r="G266">
        <v>1305</v>
      </c>
      <c r="H266" t="s">
        <v>4930</v>
      </c>
      <c r="I266">
        <v>0</v>
      </c>
      <c r="J266" t="s">
        <v>97</v>
      </c>
      <c r="K266">
        <v>0</v>
      </c>
      <c r="L266">
        <v>0</v>
      </c>
      <c r="M266" t="s">
        <v>11</v>
      </c>
    </row>
    <row r="267" spans="1:13">
      <c r="A267" s="93">
        <v>153621</v>
      </c>
      <c r="B267" t="s">
        <v>838</v>
      </c>
      <c r="C267" t="s">
        <v>4920</v>
      </c>
      <c r="D267" s="92">
        <v>0.27</v>
      </c>
      <c r="E267" s="92">
        <v>0.14</v>
      </c>
      <c r="F267">
        <v>850</v>
      </c>
      <c r="G267">
        <v>945</v>
      </c>
      <c r="H267" t="s">
        <v>4930</v>
      </c>
      <c r="I267">
        <v>0</v>
      </c>
      <c r="J267" t="s">
        <v>97</v>
      </c>
      <c r="K267">
        <v>0</v>
      </c>
      <c r="L267">
        <v>0</v>
      </c>
      <c r="M267" t="s">
        <v>11</v>
      </c>
    </row>
    <row r="268" spans="1:13">
      <c r="A268" s="93">
        <v>157289</v>
      </c>
      <c r="B268" t="s">
        <v>611</v>
      </c>
      <c r="C268" t="s">
        <v>4920</v>
      </c>
      <c r="D268" s="92">
        <v>0.62</v>
      </c>
      <c r="E268" s="92">
        <v>0.5600000000000001</v>
      </c>
      <c r="F268">
        <v>1040</v>
      </c>
      <c r="G268">
        <v>1175</v>
      </c>
      <c r="H268" t="s">
        <v>4931</v>
      </c>
      <c r="I268">
        <v>0</v>
      </c>
      <c r="J268" t="s">
        <v>97</v>
      </c>
      <c r="K268">
        <v>0</v>
      </c>
      <c r="L268">
        <v>0</v>
      </c>
      <c r="M268" t="s">
        <v>11</v>
      </c>
    </row>
    <row r="269" spans="1:13">
      <c r="A269" s="93">
        <v>158802</v>
      </c>
      <c r="B269" t="s">
        <v>839</v>
      </c>
      <c r="C269" t="s">
        <v>4916</v>
      </c>
      <c r="D269" s="92">
        <v>0.52</v>
      </c>
      <c r="E269" s="92">
        <v>0.68</v>
      </c>
      <c r="F269">
        <v>970</v>
      </c>
      <c r="G269">
        <v>1055</v>
      </c>
      <c r="H269" t="s">
        <v>4930</v>
      </c>
      <c r="I269">
        <v>0</v>
      </c>
      <c r="J269" t="s">
        <v>153</v>
      </c>
      <c r="K269">
        <v>0</v>
      </c>
      <c r="L269">
        <v>0</v>
      </c>
      <c r="M269" t="s">
        <v>11</v>
      </c>
    </row>
    <row r="270" spans="1:13">
      <c r="A270" s="93">
        <v>159656</v>
      </c>
      <c r="B270" t="s">
        <v>840</v>
      </c>
      <c r="C270" t="s">
        <v>4916</v>
      </c>
      <c r="D270" s="92">
        <v>0.61</v>
      </c>
      <c r="E270" s="92">
        <v>0.58</v>
      </c>
      <c r="F270" t="s">
        <v>446</v>
      </c>
      <c r="G270" t="s">
        <v>446</v>
      </c>
      <c r="H270" t="s">
        <v>4930</v>
      </c>
      <c r="I270">
        <v>0</v>
      </c>
      <c r="J270" t="s">
        <v>97</v>
      </c>
      <c r="K270">
        <v>0</v>
      </c>
      <c r="L270">
        <v>0</v>
      </c>
      <c r="M270" t="s">
        <v>11</v>
      </c>
    </row>
    <row r="271" spans="1:13">
      <c r="A271" s="93">
        <v>160630</v>
      </c>
      <c r="B271" t="s">
        <v>841</v>
      </c>
      <c r="C271" t="s">
        <v>4918</v>
      </c>
      <c r="D271" s="92">
        <v>0.19</v>
      </c>
      <c r="E271" s="92">
        <v>0.33</v>
      </c>
      <c r="F271" t="s">
        <v>446</v>
      </c>
      <c r="G271" t="s">
        <v>446</v>
      </c>
      <c r="H271" t="s">
        <v>4932</v>
      </c>
      <c r="I271">
        <v>0</v>
      </c>
      <c r="J271" t="s">
        <v>153</v>
      </c>
      <c r="K271">
        <v>0</v>
      </c>
      <c r="L271">
        <v>0</v>
      </c>
      <c r="M271" t="s">
        <v>11</v>
      </c>
    </row>
    <row r="272" spans="1:13">
      <c r="A272" s="93">
        <v>161545</v>
      </c>
      <c r="B272" t="s">
        <v>842</v>
      </c>
      <c r="C272" t="s">
        <v>4919</v>
      </c>
      <c r="D272" s="92">
        <v>0.31</v>
      </c>
      <c r="E272" s="92">
        <v>0.23</v>
      </c>
      <c r="F272" t="s">
        <v>446</v>
      </c>
      <c r="G272" t="s">
        <v>446</v>
      </c>
      <c r="H272" t="s">
        <v>4932</v>
      </c>
      <c r="I272">
        <v>0</v>
      </c>
      <c r="J272" t="s">
        <v>97</v>
      </c>
      <c r="K272">
        <v>0</v>
      </c>
      <c r="L272">
        <v>0</v>
      </c>
      <c r="M272" t="s">
        <v>11</v>
      </c>
    </row>
    <row r="273" spans="1:13">
      <c r="A273" s="93">
        <v>168847</v>
      </c>
      <c r="B273" t="s">
        <v>843</v>
      </c>
      <c r="C273" t="s">
        <v>4923</v>
      </c>
      <c r="D273" s="92">
        <v>0.16</v>
      </c>
      <c r="E273" s="92">
        <v>0.05</v>
      </c>
      <c r="F273" t="s">
        <v>446</v>
      </c>
      <c r="G273" t="s">
        <v>446</v>
      </c>
      <c r="H273" t="s">
        <v>4931</v>
      </c>
      <c r="I273">
        <v>0</v>
      </c>
      <c r="J273" t="s">
        <v>97</v>
      </c>
      <c r="K273">
        <v>0</v>
      </c>
      <c r="L273">
        <v>0</v>
      </c>
      <c r="M273" t="s">
        <v>11</v>
      </c>
    </row>
    <row r="274" spans="1:13">
      <c r="A274" s="93">
        <v>169910</v>
      </c>
      <c r="B274" t="s">
        <v>844</v>
      </c>
      <c r="C274" t="s">
        <v>4920</v>
      </c>
      <c r="D274" s="92">
        <v>0.55</v>
      </c>
      <c r="E274" s="92">
        <v>0.37</v>
      </c>
      <c r="F274">
        <v>930</v>
      </c>
      <c r="G274">
        <v>1040</v>
      </c>
      <c r="H274" t="s">
        <v>4931</v>
      </c>
      <c r="I274">
        <v>0</v>
      </c>
      <c r="J274" t="s">
        <v>97</v>
      </c>
      <c r="K274">
        <v>0</v>
      </c>
      <c r="L274">
        <v>0</v>
      </c>
      <c r="M274" t="s">
        <v>11</v>
      </c>
    </row>
    <row r="275" spans="1:13">
      <c r="A275" s="93">
        <v>176080</v>
      </c>
      <c r="B275" t="s">
        <v>845</v>
      </c>
      <c r="C275" t="s">
        <v>4920</v>
      </c>
      <c r="D275" s="92">
        <v>0.6</v>
      </c>
      <c r="E275" s="92">
        <v>0.45</v>
      </c>
      <c r="F275">
        <v>1080</v>
      </c>
      <c r="G275">
        <v>1225</v>
      </c>
      <c r="H275" t="s">
        <v>4933</v>
      </c>
      <c r="I275">
        <v>0</v>
      </c>
      <c r="J275" t="s">
        <v>97</v>
      </c>
      <c r="K275">
        <v>0</v>
      </c>
      <c r="L275">
        <v>0</v>
      </c>
      <c r="M275" t="s">
        <v>11</v>
      </c>
    </row>
    <row r="276" spans="1:13">
      <c r="A276" s="93">
        <v>178059</v>
      </c>
      <c r="B276" t="s">
        <v>846</v>
      </c>
      <c r="C276" t="s">
        <v>4916</v>
      </c>
      <c r="D276" s="92">
        <v>0.73</v>
      </c>
      <c r="E276" s="92">
        <v>0.59</v>
      </c>
      <c r="F276">
        <v>1010</v>
      </c>
      <c r="G276">
        <v>1125</v>
      </c>
      <c r="H276" t="s">
        <v>4930</v>
      </c>
      <c r="I276">
        <v>0</v>
      </c>
      <c r="J276" t="s">
        <v>97</v>
      </c>
      <c r="K276">
        <v>0</v>
      </c>
      <c r="L276">
        <v>0</v>
      </c>
      <c r="M276" t="s">
        <v>11</v>
      </c>
    </row>
    <row r="277" spans="1:13">
      <c r="A277" s="93">
        <v>182005</v>
      </c>
      <c r="B277" t="s">
        <v>847</v>
      </c>
      <c r="C277" t="s">
        <v>4923</v>
      </c>
      <c r="D277" s="92">
        <v>0.25</v>
      </c>
      <c r="E277" s="92">
        <v>0.25</v>
      </c>
      <c r="F277" t="s">
        <v>446</v>
      </c>
      <c r="G277" t="s">
        <v>446</v>
      </c>
      <c r="H277" t="s">
        <v>4932</v>
      </c>
      <c r="I277">
        <v>0</v>
      </c>
      <c r="J277" t="s">
        <v>97</v>
      </c>
      <c r="K277">
        <v>0</v>
      </c>
      <c r="L277">
        <v>0</v>
      </c>
      <c r="M277" t="s">
        <v>11</v>
      </c>
    </row>
    <row r="278" spans="1:13">
      <c r="A278" s="93">
        <v>186131</v>
      </c>
      <c r="B278" t="s">
        <v>848</v>
      </c>
      <c r="C278" t="s">
        <v>4921</v>
      </c>
      <c r="D278" s="92">
        <v>0.98</v>
      </c>
      <c r="E278" s="92">
        <v>0.97</v>
      </c>
      <c r="F278">
        <v>1460</v>
      </c>
      <c r="G278">
        <v>1515</v>
      </c>
      <c r="H278" t="s">
        <v>4931</v>
      </c>
      <c r="I278">
        <v>0</v>
      </c>
      <c r="J278" t="s">
        <v>97</v>
      </c>
      <c r="K278">
        <v>0</v>
      </c>
      <c r="L278">
        <v>0</v>
      </c>
      <c r="M278" t="s">
        <v>11</v>
      </c>
    </row>
    <row r="279" spans="1:13">
      <c r="A279" s="93">
        <v>188854</v>
      </c>
      <c r="B279" t="s">
        <v>849</v>
      </c>
      <c r="C279" t="s">
        <v>4924</v>
      </c>
      <c r="D279" s="92">
        <v>0.65</v>
      </c>
      <c r="E279" s="92">
        <v>0.61</v>
      </c>
      <c r="F279" t="s">
        <v>446</v>
      </c>
      <c r="G279" t="s">
        <v>446</v>
      </c>
      <c r="H279" t="s">
        <v>4930</v>
      </c>
      <c r="I279">
        <v>0</v>
      </c>
      <c r="J279" t="s">
        <v>97</v>
      </c>
      <c r="K279">
        <v>0</v>
      </c>
      <c r="L279">
        <v>0</v>
      </c>
      <c r="M279" t="s">
        <v>11</v>
      </c>
    </row>
    <row r="280" spans="1:13">
      <c r="A280" s="93">
        <v>190150</v>
      </c>
      <c r="B280" t="s">
        <v>850</v>
      </c>
      <c r="C280" t="s">
        <v>4921</v>
      </c>
      <c r="D280" s="92">
        <v>0.97</v>
      </c>
      <c r="E280" s="92">
        <v>0.97</v>
      </c>
      <c r="F280">
        <v>1470</v>
      </c>
      <c r="G280">
        <v>1520</v>
      </c>
      <c r="H280" t="s">
        <v>4927</v>
      </c>
      <c r="I280">
        <v>1</v>
      </c>
      <c r="J280" t="s">
        <v>97</v>
      </c>
      <c r="K280">
        <v>0</v>
      </c>
      <c r="L280">
        <v>0</v>
      </c>
      <c r="M280" t="s">
        <v>11</v>
      </c>
    </row>
    <row r="281" spans="1:13">
      <c r="A281" s="93">
        <v>196097</v>
      </c>
      <c r="B281" t="s">
        <v>851</v>
      </c>
      <c r="C281" t="s">
        <v>4922</v>
      </c>
      <c r="D281" s="92">
        <v>0.78</v>
      </c>
      <c r="E281" s="92">
        <v>0.74</v>
      </c>
      <c r="F281">
        <v>1300</v>
      </c>
      <c r="G281">
        <v>1390</v>
      </c>
      <c r="H281" t="s">
        <v>4932</v>
      </c>
      <c r="I281">
        <v>0</v>
      </c>
      <c r="J281" t="s">
        <v>97</v>
      </c>
      <c r="K281">
        <v>0</v>
      </c>
      <c r="L281">
        <v>0</v>
      </c>
      <c r="M281" t="s">
        <v>11</v>
      </c>
    </row>
    <row r="282" spans="1:13">
      <c r="A282" s="93">
        <v>199120</v>
      </c>
      <c r="B282" t="s">
        <v>852</v>
      </c>
      <c r="C282" t="s">
        <v>4917</v>
      </c>
      <c r="D282" s="92">
        <v>0.9</v>
      </c>
      <c r="E282" s="92">
        <v>0.88</v>
      </c>
      <c r="F282">
        <v>1140</v>
      </c>
      <c r="G282">
        <v>1260</v>
      </c>
      <c r="H282" t="s">
        <v>4932</v>
      </c>
      <c r="I282">
        <v>0</v>
      </c>
      <c r="J282" t="s">
        <v>97</v>
      </c>
      <c r="K282">
        <v>0</v>
      </c>
      <c r="L282">
        <v>0</v>
      </c>
      <c r="M282" t="s">
        <v>11</v>
      </c>
    </row>
    <row r="283" spans="1:13">
      <c r="A283" s="93">
        <v>199148</v>
      </c>
      <c r="B283" t="s">
        <v>853</v>
      </c>
      <c r="C283" t="s">
        <v>4920</v>
      </c>
      <c r="D283" s="92">
        <v>0.58</v>
      </c>
      <c r="E283" s="92">
        <v>0.59</v>
      </c>
      <c r="F283">
        <v>1100</v>
      </c>
      <c r="G283">
        <v>1180</v>
      </c>
      <c r="H283" t="s">
        <v>4930</v>
      </c>
      <c r="I283">
        <v>0</v>
      </c>
      <c r="J283" t="s">
        <v>97</v>
      </c>
      <c r="K283">
        <v>0</v>
      </c>
      <c r="L283">
        <v>0</v>
      </c>
      <c r="M283" t="s">
        <v>11</v>
      </c>
    </row>
    <row r="284" spans="1:13">
      <c r="A284" s="93">
        <v>199847</v>
      </c>
      <c r="B284" t="s">
        <v>528</v>
      </c>
      <c r="C284" t="s">
        <v>4922</v>
      </c>
      <c r="D284" s="92">
        <v>0.9</v>
      </c>
      <c r="E284" s="92">
        <v>0.88</v>
      </c>
      <c r="F284" t="s">
        <v>446</v>
      </c>
      <c r="G284" t="s">
        <v>446</v>
      </c>
      <c r="H284" t="s">
        <v>4928</v>
      </c>
      <c r="I284">
        <v>1</v>
      </c>
      <c r="J284" t="s">
        <v>97</v>
      </c>
      <c r="K284">
        <v>0</v>
      </c>
      <c r="L284">
        <v>0</v>
      </c>
      <c r="M284" t="s">
        <v>11</v>
      </c>
    </row>
    <row r="285" spans="1:13">
      <c r="A285" s="93">
        <v>204486</v>
      </c>
      <c r="B285" t="s">
        <v>854</v>
      </c>
      <c r="C285" t="s">
        <v>4923</v>
      </c>
      <c r="D285" s="92">
        <v>0.4</v>
      </c>
      <c r="E285" s="92">
        <v>0.21</v>
      </c>
      <c r="F285" t="s">
        <v>446</v>
      </c>
      <c r="G285" t="s">
        <v>446</v>
      </c>
      <c r="H285" t="s">
        <v>4930</v>
      </c>
      <c r="I285">
        <v>0</v>
      </c>
      <c r="J285" t="s">
        <v>97</v>
      </c>
      <c r="K285">
        <v>0</v>
      </c>
      <c r="L285">
        <v>0</v>
      </c>
      <c r="M285" t="s">
        <v>11</v>
      </c>
    </row>
    <row r="286" spans="1:13">
      <c r="A286" s="93">
        <v>211361</v>
      </c>
      <c r="B286" t="s">
        <v>855</v>
      </c>
      <c r="C286" t="s">
        <v>4918</v>
      </c>
      <c r="D286" s="92">
        <v>0.5</v>
      </c>
      <c r="E286" s="92">
        <v>0.34</v>
      </c>
      <c r="F286">
        <v>940</v>
      </c>
      <c r="G286">
        <v>1045</v>
      </c>
      <c r="H286" t="s">
        <v>4932</v>
      </c>
      <c r="I286">
        <v>0</v>
      </c>
      <c r="J286" t="s">
        <v>97</v>
      </c>
      <c r="K286">
        <v>0</v>
      </c>
      <c r="L286">
        <v>0</v>
      </c>
      <c r="M286" t="s">
        <v>11</v>
      </c>
    </row>
    <row r="287" spans="1:13">
      <c r="A287" s="93">
        <v>212911</v>
      </c>
      <c r="B287" t="s">
        <v>856</v>
      </c>
      <c r="C287" t="s">
        <v>4921</v>
      </c>
      <c r="D287" s="92">
        <v>0.91</v>
      </c>
      <c r="E287" s="92">
        <v>0.9</v>
      </c>
      <c r="F287">
        <v>1420</v>
      </c>
      <c r="G287">
        <v>1480</v>
      </c>
      <c r="H287" t="s">
        <v>4931</v>
      </c>
      <c r="I287">
        <v>0</v>
      </c>
      <c r="J287" t="s">
        <v>97</v>
      </c>
      <c r="K287">
        <v>0</v>
      </c>
      <c r="L287">
        <v>0</v>
      </c>
      <c r="M287" t="s">
        <v>11</v>
      </c>
    </row>
    <row r="288" spans="1:13">
      <c r="A288" s="93">
        <v>216287</v>
      </c>
      <c r="B288" t="s">
        <v>497</v>
      </c>
      <c r="C288" t="s">
        <v>4921</v>
      </c>
      <c r="D288" s="92">
        <v>0.9399999999999999</v>
      </c>
      <c r="E288" s="92">
        <v>0.91</v>
      </c>
      <c r="F288">
        <v>1430</v>
      </c>
      <c r="G288">
        <v>1495</v>
      </c>
      <c r="H288" t="s">
        <v>4929</v>
      </c>
      <c r="I288">
        <v>1</v>
      </c>
      <c r="J288" t="s">
        <v>97</v>
      </c>
      <c r="K288">
        <v>0</v>
      </c>
      <c r="L288">
        <v>0</v>
      </c>
      <c r="M288" t="s">
        <v>11</v>
      </c>
    </row>
    <row r="289" spans="1:13">
      <c r="A289" s="93">
        <v>216339</v>
      </c>
      <c r="B289" t="s">
        <v>857</v>
      </c>
      <c r="C289" t="s">
        <v>4916</v>
      </c>
      <c r="D289" s="92">
        <v>0.75</v>
      </c>
      <c r="E289" s="92">
        <v>0.63</v>
      </c>
      <c r="F289" t="s">
        <v>446</v>
      </c>
      <c r="G289" t="s">
        <v>446</v>
      </c>
      <c r="H289" t="s">
        <v>4930</v>
      </c>
      <c r="I289">
        <v>0</v>
      </c>
      <c r="J289" t="s">
        <v>97</v>
      </c>
      <c r="K289">
        <v>0</v>
      </c>
      <c r="L289">
        <v>0</v>
      </c>
      <c r="M289" t="s">
        <v>11</v>
      </c>
    </row>
    <row r="290" spans="1:13">
      <c r="A290" s="93">
        <v>217721</v>
      </c>
      <c r="B290" t="s">
        <v>858</v>
      </c>
      <c r="C290" t="s">
        <v>4923</v>
      </c>
      <c r="D290" s="92">
        <v>0.25</v>
      </c>
      <c r="E290" s="92">
        <v>0.39</v>
      </c>
      <c r="F290" t="s">
        <v>446</v>
      </c>
      <c r="G290" t="s">
        <v>446</v>
      </c>
      <c r="H290" t="s">
        <v>4931</v>
      </c>
      <c r="I290">
        <v>0</v>
      </c>
      <c r="J290" t="s">
        <v>153</v>
      </c>
      <c r="K290">
        <v>0</v>
      </c>
      <c r="L290">
        <v>0</v>
      </c>
      <c r="M290" t="s">
        <v>11</v>
      </c>
    </row>
    <row r="291" spans="1:13">
      <c r="A291" s="93">
        <v>220862</v>
      </c>
      <c r="B291" t="s">
        <v>859</v>
      </c>
      <c r="C291" t="s">
        <v>4920</v>
      </c>
      <c r="D291" s="92">
        <v>0.54</v>
      </c>
      <c r="E291" s="92">
        <v>0.48</v>
      </c>
      <c r="F291" t="s">
        <v>446</v>
      </c>
      <c r="G291" t="s">
        <v>446</v>
      </c>
      <c r="H291" t="s">
        <v>4929</v>
      </c>
      <c r="I291">
        <v>1</v>
      </c>
      <c r="J291" t="s">
        <v>97</v>
      </c>
      <c r="K291">
        <v>0</v>
      </c>
      <c r="L291">
        <v>0</v>
      </c>
      <c r="M291" t="s">
        <v>11</v>
      </c>
    </row>
    <row r="292" spans="1:13">
      <c r="A292" s="93">
        <v>221999</v>
      </c>
      <c r="B292" t="s">
        <v>496</v>
      </c>
      <c r="C292" t="s">
        <v>4921</v>
      </c>
      <c r="D292" s="92">
        <v>0.93</v>
      </c>
      <c r="E292" s="92">
        <v>0.91</v>
      </c>
      <c r="F292">
        <v>1480</v>
      </c>
      <c r="G292">
        <v>1525</v>
      </c>
      <c r="H292" t="s">
        <v>4931</v>
      </c>
      <c r="I292">
        <v>0</v>
      </c>
      <c r="J292" t="s">
        <v>97</v>
      </c>
      <c r="K292">
        <v>0</v>
      </c>
      <c r="L292">
        <v>0</v>
      </c>
      <c r="M292" t="s">
        <v>11</v>
      </c>
    </row>
    <row r="293" spans="1:13">
      <c r="A293" s="93">
        <v>225511</v>
      </c>
      <c r="B293" t="s">
        <v>860</v>
      </c>
      <c r="C293" t="s">
        <v>4916</v>
      </c>
      <c r="D293" s="92">
        <v>0.62</v>
      </c>
      <c r="E293" s="92">
        <v>0.57</v>
      </c>
      <c r="F293">
        <v>1140</v>
      </c>
      <c r="G293">
        <v>1235</v>
      </c>
      <c r="H293" t="s">
        <v>4932</v>
      </c>
      <c r="I293">
        <v>0</v>
      </c>
      <c r="J293" t="s">
        <v>97</v>
      </c>
      <c r="K293">
        <v>0</v>
      </c>
      <c r="L293">
        <v>0</v>
      </c>
      <c r="M293" t="s">
        <v>11</v>
      </c>
    </row>
    <row r="294" spans="1:13">
      <c r="A294" s="93">
        <v>227368</v>
      </c>
      <c r="B294" t="s">
        <v>861</v>
      </c>
      <c r="C294" t="s">
        <v>4923</v>
      </c>
      <c r="D294" s="92">
        <v>0.51</v>
      </c>
      <c r="E294" s="92">
        <v>0.51</v>
      </c>
      <c r="F294" t="s">
        <v>446</v>
      </c>
      <c r="G294" t="s">
        <v>446</v>
      </c>
      <c r="H294" t="s">
        <v>4932</v>
      </c>
      <c r="I294">
        <v>0</v>
      </c>
      <c r="J294" t="s">
        <v>97</v>
      </c>
      <c r="K294">
        <v>0</v>
      </c>
      <c r="L294">
        <v>0</v>
      </c>
      <c r="M294" t="s">
        <v>11</v>
      </c>
    </row>
    <row r="295" spans="1:13">
      <c r="A295" s="93">
        <v>227757</v>
      </c>
      <c r="B295" t="s">
        <v>862</v>
      </c>
      <c r="C295" t="s">
        <v>4921</v>
      </c>
      <c r="D295" s="92">
        <v>0.92</v>
      </c>
      <c r="E295" s="92">
        <v>0.88</v>
      </c>
      <c r="F295">
        <v>1490</v>
      </c>
      <c r="G295">
        <v>1530</v>
      </c>
      <c r="H295" t="s">
        <v>4927</v>
      </c>
      <c r="I295">
        <v>1</v>
      </c>
      <c r="J295" t="s">
        <v>97</v>
      </c>
      <c r="K295">
        <v>0</v>
      </c>
      <c r="L295">
        <v>0</v>
      </c>
      <c r="M295" t="s">
        <v>11</v>
      </c>
    </row>
    <row r="296" spans="1:13">
      <c r="A296" s="93">
        <v>232946</v>
      </c>
      <c r="B296" t="s">
        <v>863</v>
      </c>
      <c r="C296" t="s">
        <v>4919</v>
      </c>
      <c r="D296" s="92">
        <v>0.41</v>
      </c>
      <c r="E296" s="92">
        <v>0.35</v>
      </c>
      <c r="F296" t="s">
        <v>446</v>
      </c>
      <c r="G296" t="s">
        <v>446</v>
      </c>
      <c r="H296" t="s">
        <v>4932</v>
      </c>
      <c r="I296">
        <v>0</v>
      </c>
      <c r="J296" t="s">
        <v>97</v>
      </c>
      <c r="K296">
        <v>0</v>
      </c>
      <c r="L296">
        <v>0</v>
      </c>
      <c r="M296" t="s">
        <v>11</v>
      </c>
    </row>
    <row r="297" spans="1:13">
      <c r="A297" s="93">
        <v>234076</v>
      </c>
      <c r="B297" t="s">
        <v>864</v>
      </c>
      <c r="C297" t="s">
        <v>4921</v>
      </c>
      <c r="D297" s="92">
        <v>0.9399999999999999</v>
      </c>
      <c r="E297" s="92">
        <v>0.9</v>
      </c>
      <c r="F297">
        <v>1380</v>
      </c>
      <c r="G297">
        <v>1440</v>
      </c>
      <c r="H297" t="s">
        <v>4930</v>
      </c>
      <c r="I297">
        <v>0</v>
      </c>
      <c r="J297" t="s">
        <v>97</v>
      </c>
      <c r="K297">
        <v>0</v>
      </c>
      <c r="L297">
        <v>0</v>
      </c>
      <c r="M297" t="s">
        <v>11</v>
      </c>
    </row>
    <row r="298" spans="1:13">
      <c r="A298" s="93">
        <v>234207</v>
      </c>
      <c r="B298" t="s">
        <v>865</v>
      </c>
      <c r="C298" t="s">
        <v>4921</v>
      </c>
      <c r="D298" s="92">
        <v>0.9399999999999999</v>
      </c>
      <c r="E298" s="92">
        <v>0.92</v>
      </c>
      <c r="F298">
        <v>1410</v>
      </c>
      <c r="G298">
        <v>1470</v>
      </c>
      <c r="H298" t="s">
        <v>4927</v>
      </c>
      <c r="I298">
        <v>1</v>
      </c>
      <c r="J298" t="s">
        <v>97</v>
      </c>
      <c r="K298">
        <v>0</v>
      </c>
      <c r="L298">
        <v>0</v>
      </c>
      <c r="M298" t="s">
        <v>11</v>
      </c>
    </row>
    <row r="299" spans="1:13">
      <c r="A299" s="93">
        <v>238476</v>
      </c>
      <c r="B299" t="s">
        <v>618</v>
      </c>
      <c r="C299" t="s">
        <v>4920</v>
      </c>
      <c r="D299" s="92">
        <v>0.65</v>
      </c>
      <c r="E299" s="92">
        <v>0.47</v>
      </c>
      <c r="F299">
        <v>980</v>
      </c>
      <c r="G299">
        <v>1090</v>
      </c>
      <c r="H299" t="s">
        <v>4930</v>
      </c>
      <c r="I299">
        <v>0</v>
      </c>
      <c r="J299" t="s">
        <v>97</v>
      </c>
      <c r="K299">
        <v>0</v>
      </c>
      <c r="L299">
        <v>1</v>
      </c>
      <c r="M299" t="s">
        <v>4934</v>
      </c>
    </row>
    <row r="300" spans="1:13">
      <c r="A300" s="93">
        <v>238616</v>
      </c>
      <c r="B300" t="s">
        <v>866</v>
      </c>
      <c r="C300" t="s">
        <v>4920</v>
      </c>
      <c r="D300" s="92">
        <v>0.62</v>
      </c>
      <c r="E300" s="92">
        <v>0.42</v>
      </c>
      <c r="F300">
        <v>1040</v>
      </c>
      <c r="G300">
        <v>1140</v>
      </c>
      <c r="H300" t="s">
        <v>4930</v>
      </c>
      <c r="I300">
        <v>0</v>
      </c>
      <c r="J300" t="s">
        <v>97</v>
      </c>
      <c r="K300">
        <v>0</v>
      </c>
      <c r="L300">
        <v>0</v>
      </c>
      <c r="M300" t="s">
        <v>11</v>
      </c>
    </row>
    <row r="301" spans="1:13">
      <c r="A301" s="93">
        <v>238980</v>
      </c>
      <c r="B301" t="s">
        <v>867</v>
      </c>
      <c r="C301" t="s">
        <v>4920</v>
      </c>
      <c r="D301" s="92">
        <v>0.45</v>
      </c>
      <c r="E301" s="92">
        <v>0.31</v>
      </c>
      <c r="F301" t="s">
        <v>446</v>
      </c>
      <c r="G301" t="s">
        <v>446</v>
      </c>
      <c r="H301" t="s">
        <v>4930</v>
      </c>
      <c r="I301">
        <v>0</v>
      </c>
      <c r="J301" t="s">
        <v>97</v>
      </c>
      <c r="K301">
        <v>0</v>
      </c>
      <c r="L301">
        <v>0</v>
      </c>
      <c r="M301" t="s">
        <v>11</v>
      </c>
    </row>
    <row r="302" spans="1:13">
      <c r="A302" s="93">
        <v>239248</v>
      </c>
      <c r="B302" t="s">
        <v>868</v>
      </c>
      <c r="C302" t="s">
        <v>4919</v>
      </c>
      <c r="D302" s="92">
        <v>0.25</v>
      </c>
      <c r="E302" s="92">
        <v>0.22</v>
      </c>
      <c r="F302" t="s">
        <v>446</v>
      </c>
      <c r="G302" t="s">
        <v>446</v>
      </c>
      <c r="H302" t="s">
        <v>4932</v>
      </c>
      <c r="I302">
        <v>0</v>
      </c>
      <c r="J302" t="s">
        <v>97</v>
      </c>
      <c r="K302">
        <v>0</v>
      </c>
      <c r="L302">
        <v>0</v>
      </c>
      <c r="M302" t="s">
        <v>11</v>
      </c>
    </row>
    <row r="303" spans="1:13">
      <c r="A303" s="93">
        <v>239716</v>
      </c>
      <c r="B303" t="s">
        <v>869</v>
      </c>
      <c r="C303" t="s">
        <v>4916</v>
      </c>
      <c r="D303" s="92">
        <v>0.75</v>
      </c>
      <c r="E303" s="92">
        <v>0.72</v>
      </c>
      <c r="F303">
        <v>1210</v>
      </c>
      <c r="G303">
        <v>1275</v>
      </c>
      <c r="H303" t="s">
        <v>4931</v>
      </c>
      <c r="I303">
        <v>0</v>
      </c>
      <c r="J303" t="s">
        <v>97</v>
      </c>
      <c r="K303">
        <v>0</v>
      </c>
      <c r="L303">
        <v>0</v>
      </c>
      <c r="M303" t="s">
        <v>11</v>
      </c>
    </row>
    <row r="304" spans="1:13">
      <c r="A304" s="93">
        <v>240277</v>
      </c>
      <c r="B304" t="s">
        <v>870</v>
      </c>
      <c r="C304" t="s">
        <v>4920</v>
      </c>
      <c r="D304" s="92">
        <v>0.55</v>
      </c>
      <c r="E304" s="92">
        <v>0.43</v>
      </c>
      <c r="F304">
        <v>970</v>
      </c>
      <c r="G304">
        <v>1090</v>
      </c>
      <c r="H304" t="s">
        <v>4931</v>
      </c>
      <c r="I304">
        <v>0</v>
      </c>
      <c r="J304" t="s">
        <v>97</v>
      </c>
      <c r="K304">
        <v>0</v>
      </c>
      <c r="L304">
        <v>0</v>
      </c>
      <c r="M304" t="s">
        <v>11</v>
      </c>
    </row>
    <row r="305" spans="1:13">
      <c r="A305" s="93">
        <v>240392</v>
      </c>
      <c r="B305" t="s">
        <v>871</v>
      </c>
      <c r="C305" t="s">
        <v>4924</v>
      </c>
      <c r="D305" s="92">
        <v>0.24</v>
      </c>
      <c r="E305" s="92">
        <v>0.16</v>
      </c>
      <c r="F305" t="s">
        <v>446</v>
      </c>
      <c r="G305" t="s">
        <v>446</v>
      </c>
      <c r="H305" t="s">
        <v>4930</v>
      </c>
      <c r="I305">
        <v>0</v>
      </c>
      <c r="J305" t="s">
        <v>97</v>
      </c>
      <c r="K305">
        <v>0</v>
      </c>
      <c r="L305">
        <v>0</v>
      </c>
      <c r="M305" t="s">
        <v>11</v>
      </c>
    </row>
    <row r="306" spans="1:13">
      <c r="A306" s="93">
        <v>244437</v>
      </c>
      <c r="B306" t="s">
        <v>872</v>
      </c>
      <c r="C306" t="s">
        <v>4925</v>
      </c>
      <c r="D306" s="92">
        <v>0.32</v>
      </c>
      <c r="E306" s="92">
        <v>0.28</v>
      </c>
      <c r="F306" t="s">
        <v>446</v>
      </c>
      <c r="G306" t="s">
        <v>446</v>
      </c>
      <c r="H306" t="s">
        <v>4932</v>
      </c>
      <c r="I306">
        <v>0</v>
      </c>
      <c r="J306" t="s">
        <v>97</v>
      </c>
      <c r="K306">
        <v>0</v>
      </c>
      <c r="L306">
        <v>0</v>
      </c>
      <c r="M306" t="s">
        <v>11</v>
      </c>
    </row>
    <row r="307" spans="1:13">
      <c r="A307" s="93">
        <v>247834</v>
      </c>
      <c r="B307" t="s">
        <v>873</v>
      </c>
      <c r="C307" t="s">
        <v>4923</v>
      </c>
      <c r="D307" s="92" t="s">
        <v>446</v>
      </c>
      <c r="E307" s="92" t="s">
        <v>446</v>
      </c>
      <c r="F307" t="s">
        <v>446</v>
      </c>
      <c r="G307" t="s">
        <v>446</v>
      </c>
      <c r="H307" t="s">
        <v>4932</v>
      </c>
      <c r="I307">
        <v>0</v>
      </c>
      <c r="J307" t="s">
        <v>97</v>
      </c>
      <c r="K307">
        <v>0</v>
      </c>
      <c r="L307">
        <v>0</v>
      </c>
      <c r="M307" t="s">
        <v>11</v>
      </c>
    </row>
    <row r="308" spans="1:13">
      <c r="A308" s="93">
        <v>399911</v>
      </c>
      <c r="B308" t="s">
        <v>874</v>
      </c>
      <c r="C308" t="s">
        <v>4917</v>
      </c>
      <c r="D308" s="92">
        <v>0.89</v>
      </c>
      <c r="E308" s="92">
        <v>0.88</v>
      </c>
      <c r="F308">
        <v>1200</v>
      </c>
      <c r="G308">
        <v>1300</v>
      </c>
      <c r="H308" t="s">
        <v>4931</v>
      </c>
      <c r="I308">
        <v>0</v>
      </c>
      <c r="J308" t="s">
        <v>97</v>
      </c>
      <c r="K308">
        <v>0</v>
      </c>
      <c r="L308">
        <v>0</v>
      </c>
      <c r="M308" t="s">
        <v>11</v>
      </c>
    </row>
    <row r="309" spans="1:13">
      <c r="A309" s="93">
        <v>485139</v>
      </c>
      <c r="B309" t="s">
        <v>875</v>
      </c>
      <c r="C309" t="s">
        <v>4919</v>
      </c>
      <c r="D309" s="92">
        <v>0.25</v>
      </c>
      <c r="E309" s="92">
        <v>0.25</v>
      </c>
      <c r="F309" t="s">
        <v>446</v>
      </c>
      <c r="G309" t="s">
        <v>446</v>
      </c>
      <c r="H309" t="s">
        <v>4930</v>
      </c>
      <c r="I309">
        <v>0</v>
      </c>
      <c r="J309" t="s">
        <v>97</v>
      </c>
      <c r="K309">
        <v>0</v>
      </c>
      <c r="L309">
        <v>1</v>
      </c>
      <c r="M309" t="s">
        <v>4935</v>
      </c>
    </row>
    <row r="310" spans="1:13">
      <c r="A310" s="93">
        <v>490805</v>
      </c>
      <c r="B310" t="s">
        <v>876</v>
      </c>
      <c r="C310" t="s">
        <v>4920</v>
      </c>
      <c r="D310" s="92">
        <v>0.4</v>
      </c>
      <c r="E310" s="92">
        <v>0.33</v>
      </c>
      <c r="F310">
        <v>990</v>
      </c>
      <c r="G310">
        <v>1090</v>
      </c>
      <c r="H310" t="s">
        <v>4929</v>
      </c>
      <c r="I310">
        <v>1</v>
      </c>
      <c r="J310" t="s">
        <v>97</v>
      </c>
      <c r="K310">
        <v>0</v>
      </c>
      <c r="L310">
        <v>0</v>
      </c>
      <c r="M310" t="s">
        <v>11</v>
      </c>
    </row>
    <row r="311" spans="1:13">
      <c r="A311" s="93">
        <v>101541</v>
      </c>
      <c r="B311" t="s">
        <v>877</v>
      </c>
      <c r="C311" t="s">
        <v>4920</v>
      </c>
      <c r="D311" s="92">
        <v>0.48</v>
      </c>
      <c r="E311" s="92">
        <v>0.67</v>
      </c>
      <c r="F311" t="s">
        <v>446</v>
      </c>
      <c r="G311" t="s">
        <v>446</v>
      </c>
      <c r="H311" t="s">
        <v>4931</v>
      </c>
      <c r="I311">
        <v>0</v>
      </c>
      <c r="J311" t="s">
        <v>97</v>
      </c>
      <c r="K311">
        <v>0</v>
      </c>
      <c r="L311">
        <v>0</v>
      </c>
      <c r="M311" t="s">
        <v>11</v>
      </c>
    </row>
    <row r="312" spans="1:13">
      <c r="A312" s="93">
        <v>102076</v>
      </c>
      <c r="B312" t="s">
        <v>878</v>
      </c>
      <c r="C312" t="s">
        <v>4919</v>
      </c>
      <c r="D312" s="92">
        <v>0.63</v>
      </c>
      <c r="E312" s="92">
        <v>0.59</v>
      </c>
      <c r="F312" t="s">
        <v>446</v>
      </c>
      <c r="G312" t="s">
        <v>446</v>
      </c>
      <c r="H312" t="s">
        <v>4932</v>
      </c>
      <c r="I312">
        <v>0</v>
      </c>
      <c r="J312" t="s">
        <v>97</v>
      </c>
      <c r="K312">
        <v>0</v>
      </c>
      <c r="L312">
        <v>0</v>
      </c>
      <c r="M312" t="s">
        <v>11</v>
      </c>
    </row>
    <row r="313" spans="1:13">
      <c r="A313" s="93">
        <v>104708</v>
      </c>
      <c r="B313" t="s">
        <v>879</v>
      </c>
      <c r="C313" t="s">
        <v>4919</v>
      </c>
      <c r="D313" s="92">
        <v>0.24</v>
      </c>
      <c r="E313" s="92">
        <v>0.21</v>
      </c>
      <c r="F313" t="s">
        <v>446</v>
      </c>
      <c r="G313" t="s">
        <v>446</v>
      </c>
      <c r="H313" t="s">
        <v>4932</v>
      </c>
      <c r="I313">
        <v>0</v>
      </c>
      <c r="J313" t="s">
        <v>97</v>
      </c>
      <c r="K313">
        <v>0</v>
      </c>
      <c r="L313">
        <v>0</v>
      </c>
      <c r="M313" t="s">
        <v>11</v>
      </c>
    </row>
    <row r="314" spans="1:13">
      <c r="A314" s="93">
        <v>105154</v>
      </c>
      <c r="B314" t="s">
        <v>880</v>
      </c>
      <c r="C314" t="s">
        <v>4919</v>
      </c>
      <c r="D314" s="92">
        <v>0.27</v>
      </c>
      <c r="E314" s="92">
        <v>0.24</v>
      </c>
      <c r="F314" t="s">
        <v>446</v>
      </c>
      <c r="G314" t="s">
        <v>446</v>
      </c>
      <c r="H314" t="s">
        <v>4932</v>
      </c>
      <c r="I314">
        <v>0</v>
      </c>
      <c r="J314" t="s">
        <v>97</v>
      </c>
      <c r="K314">
        <v>0</v>
      </c>
      <c r="L314">
        <v>0</v>
      </c>
      <c r="M314" t="s">
        <v>11</v>
      </c>
    </row>
    <row r="315" spans="1:13">
      <c r="A315" s="93">
        <v>105330</v>
      </c>
      <c r="B315" t="s">
        <v>881</v>
      </c>
      <c r="C315" t="s">
        <v>4916</v>
      </c>
      <c r="D315" s="92">
        <v>0.59</v>
      </c>
      <c r="E315" s="92">
        <v>0.52</v>
      </c>
      <c r="F315" t="s">
        <v>446</v>
      </c>
      <c r="G315" t="s">
        <v>446</v>
      </c>
      <c r="H315" t="s">
        <v>4931</v>
      </c>
      <c r="I315">
        <v>0</v>
      </c>
      <c r="J315" t="s">
        <v>97</v>
      </c>
      <c r="K315">
        <v>0</v>
      </c>
      <c r="L315">
        <v>0</v>
      </c>
      <c r="M315" t="s">
        <v>11</v>
      </c>
    </row>
    <row r="316" spans="1:13">
      <c r="A316" s="93">
        <v>105668</v>
      </c>
      <c r="B316" t="s">
        <v>882</v>
      </c>
      <c r="C316" t="s">
        <v>4919</v>
      </c>
      <c r="D316" s="92">
        <v>0.21</v>
      </c>
      <c r="E316" s="92">
        <v>0.2</v>
      </c>
      <c r="F316" t="s">
        <v>446</v>
      </c>
      <c r="G316" t="s">
        <v>446</v>
      </c>
      <c r="H316" t="s">
        <v>4932</v>
      </c>
      <c r="I316">
        <v>0</v>
      </c>
      <c r="J316" t="s">
        <v>97</v>
      </c>
      <c r="K316">
        <v>0</v>
      </c>
      <c r="L316">
        <v>0</v>
      </c>
      <c r="M316" t="s">
        <v>11</v>
      </c>
    </row>
    <row r="317" spans="1:13">
      <c r="A317" s="93">
        <v>106458</v>
      </c>
      <c r="B317" t="s">
        <v>883</v>
      </c>
      <c r="C317" t="s">
        <v>4920</v>
      </c>
      <c r="D317" s="92">
        <v>0.52</v>
      </c>
      <c r="E317" s="92">
        <v>0.4</v>
      </c>
      <c r="F317">
        <v>1040</v>
      </c>
      <c r="G317">
        <v>1140</v>
      </c>
      <c r="H317" t="s">
        <v>4932</v>
      </c>
      <c r="I317">
        <v>0</v>
      </c>
      <c r="J317" t="s">
        <v>97</v>
      </c>
      <c r="K317">
        <v>0</v>
      </c>
      <c r="L317">
        <v>0</v>
      </c>
      <c r="M317" t="s">
        <v>11</v>
      </c>
    </row>
    <row r="318" spans="1:13">
      <c r="A318" s="93">
        <v>107600</v>
      </c>
      <c r="B318" t="s">
        <v>884</v>
      </c>
      <c r="C318" t="s">
        <v>4918</v>
      </c>
      <c r="D318" s="92">
        <v>0.28</v>
      </c>
      <c r="E318" s="92">
        <v>0.43</v>
      </c>
      <c r="F318" t="s">
        <v>446</v>
      </c>
      <c r="G318" t="s">
        <v>446</v>
      </c>
      <c r="H318" t="s">
        <v>4931</v>
      </c>
      <c r="I318">
        <v>0</v>
      </c>
      <c r="J318" t="s">
        <v>153</v>
      </c>
      <c r="K318">
        <v>0</v>
      </c>
      <c r="L318">
        <v>0</v>
      </c>
      <c r="M318" t="s">
        <v>11</v>
      </c>
    </row>
    <row r="319" spans="1:13">
      <c r="A319" s="93">
        <v>108232</v>
      </c>
      <c r="B319" t="s">
        <v>885</v>
      </c>
      <c r="C319" t="s">
        <v>4923</v>
      </c>
      <c r="D319" s="92">
        <v>0.41</v>
      </c>
      <c r="E319" s="92">
        <v>0.26</v>
      </c>
      <c r="F319" t="s">
        <v>446</v>
      </c>
      <c r="G319" t="s">
        <v>446</v>
      </c>
      <c r="H319" t="s">
        <v>4930</v>
      </c>
      <c r="I319">
        <v>0</v>
      </c>
      <c r="J319" t="s">
        <v>97</v>
      </c>
      <c r="K319">
        <v>0</v>
      </c>
      <c r="L319">
        <v>0</v>
      </c>
      <c r="M319" t="s">
        <v>11</v>
      </c>
    </row>
    <row r="320" spans="1:13">
      <c r="A320" s="93">
        <v>109819</v>
      </c>
      <c r="B320" t="s">
        <v>886</v>
      </c>
      <c r="C320" t="s">
        <v>4923</v>
      </c>
      <c r="D320" s="92">
        <v>0.25</v>
      </c>
      <c r="E320" s="92">
        <v>0.25</v>
      </c>
      <c r="F320" t="s">
        <v>446</v>
      </c>
      <c r="G320" t="s">
        <v>446</v>
      </c>
      <c r="H320" t="s">
        <v>4932</v>
      </c>
      <c r="I320">
        <v>0</v>
      </c>
      <c r="J320" t="s">
        <v>97</v>
      </c>
      <c r="K320">
        <v>0</v>
      </c>
      <c r="L320">
        <v>0</v>
      </c>
      <c r="M320" t="s">
        <v>11</v>
      </c>
    </row>
    <row r="321" spans="1:13">
      <c r="A321" s="93">
        <v>110547</v>
      </c>
      <c r="B321" t="s">
        <v>887</v>
      </c>
      <c r="C321" t="s">
        <v>4918</v>
      </c>
      <c r="D321" s="92">
        <v>0.53</v>
      </c>
      <c r="E321" s="92">
        <v>0.52</v>
      </c>
      <c r="F321" t="s">
        <v>446</v>
      </c>
      <c r="G321" t="s">
        <v>446</v>
      </c>
      <c r="H321" t="s">
        <v>4932</v>
      </c>
      <c r="I321">
        <v>0</v>
      </c>
      <c r="J321" t="s">
        <v>97</v>
      </c>
      <c r="K321">
        <v>0</v>
      </c>
      <c r="L321">
        <v>0</v>
      </c>
      <c r="M321" t="s">
        <v>11</v>
      </c>
    </row>
    <row r="322" spans="1:13">
      <c r="A322" s="93">
        <v>110617</v>
      </c>
      <c r="B322" t="s">
        <v>888</v>
      </c>
      <c r="C322" t="s">
        <v>4920</v>
      </c>
      <c r="D322" s="92">
        <v>0.57</v>
      </c>
      <c r="E322" s="92">
        <v>0.55</v>
      </c>
      <c r="F322" t="s">
        <v>446</v>
      </c>
      <c r="G322" t="s">
        <v>446</v>
      </c>
      <c r="H322" t="s">
        <v>4932</v>
      </c>
      <c r="I322">
        <v>0</v>
      </c>
      <c r="J322" t="s">
        <v>97</v>
      </c>
      <c r="K322">
        <v>0</v>
      </c>
      <c r="L322">
        <v>0</v>
      </c>
      <c r="M322" t="s">
        <v>11</v>
      </c>
    </row>
    <row r="323" spans="1:13">
      <c r="A323" s="93">
        <v>111948</v>
      </c>
      <c r="B323" t="s">
        <v>889</v>
      </c>
      <c r="C323" t="s">
        <v>4916</v>
      </c>
      <c r="D323" s="92">
        <v>0.8</v>
      </c>
      <c r="E323" s="92">
        <v>0.74</v>
      </c>
      <c r="F323">
        <v>1210</v>
      </c>
      <c r="G323">
        <v>1310</v>
      </c>
      <c r="H323" t="s">
        <v>4930</v>
      </c>
      <c r="I323">
        <v>0</v>
      </c>
      <c r="J323" t="s">
        <v>97</v>
      </c>
      <c r="K323">
        <v>0</v>
      </c>
      <c r="L323">
        <v>0</v>
      </c>
      <c r="M323" t="s">
        <v>11</v>
      </c>
    </row>
    <row r="324" spans="1:13">
      <c r="A324" s="93">
        <v>112251</v>
      </c>
      <c r="B324" t="s">
        <v>890</v>
      </c>
      <c r="C324" t="s">
        <v>4924</v>
      </c>
      <c r="D324" s="92">
        <v>0.25</v>
      </c>
      <c r="E324" s="92">
        <v>0.25</v>
      </c>
      <c r="F324" t="s">
        <v>446</v>
      </c>
      <c r="G324" t="s">
        <v>446</v>
      </c>
      <c r="H324" t="s">
        <v>4932</v>
      </c>
      <c r="I324">
        <v>0</v>
      </c>
      <c r="J324" t="s">
        <v>97</v>
      </c>
      <c r="K324">
        <v>0</v>
      </c>
      <c r="L324">
        <v>0</v>
      </c>
      <c r="M324" t="s">
        <v>11</v>
      </c>
    </row>
    <row r="325" spans="1:13">
      <c r="A325" s="93">
        <v>113698</v>
      </c>
      <c r="B325" t="s">
        <v>581</v>
      </c>
      <c r="C325" t="s">
        <v>4920</v>
      </c>
      <c r="D325" s="92">
        <v>0.74</v>
      </c>
      <c r="E325" s="92">
        <v>0.6899999999999999</v>
      </c>
      <c r="F325">
        <v>1060</v>
      </c>
      <c r="G325">
        <v>1170</v>
      </c>
      <c r="H325" t="s">
        <v>4930</v>
      </c>
      <c r="I325">
        <v>0</v>
      </c>
      <c r="J325" t="s">
        <v>97</v>
      </c>
      <c r="K325">
        <v>0</v>
      </c>
      <c r="L325">
        <v>0</v>
      </c>
      <c r="M325" t="s">
        <v>11</v>
      </c>
    </row>
    <row r="326" spans="1:13">
      <c r="A326" s="93">
        <v>113856</v>
      </c>
      <c r="B326" t="s">
        <v>891</v>
      </c>
      <c r="C326" t="s">
        <v>4919</v>
      </c>
      <c r="D326" s="92">
        <v>0.33</v>
      </c>
      <c r="E326" s="92">
        <v>0.26</v>
      </c>
      <c r="F326" t="s">
        <v>446</v>
      </c>
      <c r="G326" t="s">
        <v>446</v>
      </c>
      <c r="H326" t="s">
        <v>4932</v>
      </c>
      <c r="I326">
        <v>0</v>
      </c>
      <c r="J326" t="s">
        <v>97</v>
      </c>
      <c r="K326">
        <v>0</v>
      </c>
      <c r="L326">
        <v>0</v>
      </c>
      <c r="M326" t="s">
        <v>11</v>
      </c>
    </row>
    <row r="327" spans="1:13">
      <c r="A327" s="93">
        <v>113980</v>
      </c>
      <c r="B327" t="s">
        <v>892</v>
      </c>
      <c r="C327" t="s">
        <v>4919</v>
      </c>
      <c r="D327" s="92">
        <v>0.43</v>
      </c>
      <c r="E327" s="92">
        <v>0.35</v>
      </c>
      <c r="F327" t="s">
        <v>446</v>
      </c>
      <c r="G327" t="s">
        <v>446</v>
      </c>
      <c r="H327" t="s">
        <v>4932</v>
      </c>
      <c r="I327">
        <v>0</v>
      </c>
      <c r="J327" t="s">
        <v>97</v>
      </c>
      <c r="K327">
        <v>0</v>
      </c>
      <c r="L327">
        <v>0</v>
      </c>
      <c r="M327" t="s">
        <v>11</v>
      </c>
    </row>
    <row r="328" spans="1:13">
      <c r="A328" s="93">
        <v>115296</v>
      </c>
      <c r="B328" t="s">
        <v>893</v>
      </c>
      <c r="C328" t="s">
        <v>4919</v>
      </c>
      <c r="D328" s="92">
        <v>0.36</v>
      </c>
      <c r="E328" s="92">
        <v>0.31</v>
      </c>
      <c r="F328" t="s">
        <v>446</v>
      </c>
      <c r="G328" t="s">
        <v>446</v>
      </c>
      <c r="H328" t="s">
        <v>4932</v>
      </c>
      <c r="I328">
        <v>0</v>
      </c>
      <c r="J328" t="s">
        <v>97</v>
      </c>
      <c r="K328">
        <v>0</v>
      </c>
      <c r="L328">
        <v>0</v>
      </c>
      <c r="M328" t="s">
        <v>11</v>
      </c>
    </row>
    <row r="329" spans="1:13">
      <c r="A329" s="93">
        <v>115728</v>
      </c>
      <c r="B329" t="s">
        <v>894</v>
      </c>
      <c r="C329" t="s">
        <v>4918</v>
      </c>
      <c r="D329" s="92">
        <v>0.49</v>
      </c>
      <c r="E329" s="92">
        <v>0.5</v>
      </c>
      <c r="F329" t="s">
        <v>446</v>
      </c>
      <c r="G329" t="s">
        <v>446</v>
      </c>
      <c r="H329" t="s">
        <v>4930</v>
      </c>
      <c r="I329">
        <v>0</v>
      </c>
      <c r="J329" t="s">
        <v>97</v>
      </c>
      <c r="K329">
        <v>0</v>
      </c>
      <c r="L329">
        <v>0</v>
      </c>
      <c r="M329" t="s">
        <v>11</v>
      </c>
    </row>
    <row r="330" spans="1:13">
      <c r="A330" s="93">
        <v>116439</v>
      </c>
      <c r="B330" t="s">
        <v>895</v>
      </c>
      <c r="C330" t="s">
        <v>4919</v>
      </c>
      <c r="D330" s="92">
        <v>0.6</v>
      </c>
      <c r="E330" s="92">
        <v>0.48</v>
      </c>
      <c r="F330" t="s">
        <v>446</v>
      </c>
      <c r="G330" t="s">
        <v>446</v>
      </c>
      <c r="H330" t="s">
        <v>4932</v>
      </c>
      <c r="I330">
        <v>0</v>
      </c>
      <c r="J330" t="s">
        <v>97</v>
      </c>
      <c r="K330">
        <v>0</v>
      </c>
      <c r="L330">
        <v>0</v>
      </c>
      <c r="M330" t="s">
        <v>11</v>
      </c>
    </row>
    <row r="331" spans="1:13">
      <c r="A331" s="93">
        <v>117946</v>
      </c>
      <c r="B331" t="s">
        <v>516</v>
      </c>
      <c r="C331" t="s">
        <v>4917</v>
      </c>
      <c r="D331" s="92">
        <v>0.79</v>
      </c>
      <c r="E331" s="92">
        <v>0.78</v>
      </c>
      <c r="F331">
        <v>1250</v>
      </c>
      <c r="G331">
        <v>1335</v>
      </c>
      <c r="H331" t="s">
        <v>4930</v>
      </c>
      <c r="I331">
        <v>0</v>
      </c>
      <c r="J331" t="s">
        <v>97</v>
      </c>
      <c r="K331">
        <v>0</v>
      </c>
      <c r="L331">
        <v>0</v>
      </c>
      <c r="M331" t="s">
        <v>11</v>
      </c>
    </row>
    <row r="332" spans="1:13">
      <c r="A332" s="93">
        <v>118718</v>
      </c>
      <c r="B332" t="s">
        <v>896</v>
      </c>
      <c r="C332" t="s">
        <v>4919</v>
      </c>
      <c r="D332" s="92">
        <v>0.37</v>
      </c>
      <c r="E332" s="92">
        <v>0.24</v>
      </c>
      <c r="F332" t="s">
        <v>446</v>
      </c>
      <c r="G332" t="s">
        <v>446</v>
      </c>
      <c r="H332" t="s">
        <v>4932</v>
      </c>
      <c r="I332">
        <v>0</v>
      </c>
      <c r="J332" t="s">
        <v>97</v>
      </c>
      <c r="K332">
        <v>0</v>
      </c>
      <c r="L332">
        <v>0</v>
      </c>
      <c r="M332" t="s">
        <v>11</v>
      </c>
    </row>
    <row r="333" spans="1:13">
      <c r="A333" s="93">
        <v>118912</v>
      </c>
      <c r="B333" t="s">
        <v>897</v>
      </c>
      <c r="C333" t="s">
        <v>4923</v>
      </c>
      <c r="D333" s="92">
        <v>0.25</v>
      </c>
      <c r="E333" s="92">
        <v>0.25</v>
      </c>
      <c r="F333" t="s">
        <v>446</v>
      </c>
      <c r="G333" t="s">
        <v>446</v>
      </c>
      <c r="H333" t="s">
        <v>4932</v>
      </c>
      <c r="I333">
        <v>0</v>
      </c>
      <c r="J333" t="s">
        <v>97</v>
      </c>
      <c r="K333">
        <v>0</v>
      </c>
      <c r="L333">
        <v>0</v>
      </c>
      <c r="M333" t="s">
        <v>11</v>
      </c>
    </row>
    <row r="334" spans="1:13">
      <c r="A334" s="93">
        <v>119173</v>
      </c>
      <c r="B334" t="s">
        <v>898</v>
      </c>
      <c r="C334" t="s">
        <v>4916</v>
      </c>
      <c r="D334" s="92">
        <v>0.63</v>
      </c>
      <c r="E334" s="92">
        <v>0.65</v>
      </c>
      <c r="F334" t="s">
        <v>446</v>
      </c>
      <c r="G334" t="s">
        <v>446</v>
      </c>
      <c r="H334" t="s">
        <v>4930</v>
      </c>
      <c r="I334">
        <v>0</v>
      </c>
      <c r="J334" t="s">
        <v>97</v>
      </c>
      <c r="K334">
        <v>0</v>
      </c>
      <c r="L334">
        <v>0</v>
      </c>
      <c r="M334" t="s">
        <v>11</v>
      </c>
    </row>
    <row r="335" spans="1:13">
      <c r="A335" s="93">
        <v>119216</v>
      </c>
      <c r="B335" t="s">
        <v>899</v>
      </c>
      <c r="C335" t="s">
        <v>4919</v>
      </c>
      <c r="D335" s="92">
        <v>0.36</v>
      </c>
      <c r="E335" s="92">
        <v>0.32</v>
      </c>
      <c r="F335" t="s">
        <v>446</v>
      </c>
      <c r="G335" t="s">
        <v>446</v>
      </c>
      <c r="H335" t="s">
        <v>4932</v>
      </c>
      <c r="I335">
        <v>0</v>
      </c>
      <c r="J335" t="s">
        <v>97</v>
      </c>
      <c r="K335">
        <v>0</v>
      </c>
      <c r="L335">
        <v>0</v>
      </c>
      <c r="M335" t="s">
        <v>11</v>
      </c>
    </row>
    <row r="336" spans="1:13">
      <c r="A336" s="93">
        <v>120403</v>
      </c>
      <c r="B336" t="s">
        <v>900</v>
      </c>
      <c r="C336" t="s">
        <v>4926</v>
      </c>
      <c r="D336" s="92">
        <v>0.7</v>
      </c>
      <c r="E336" s="92">
        <v>0.63</v>
      </c>
      <c r="F336">
        <v>1130</v>
      </c>
      <c r="G336">
        <v>1245</v>
      </c>
      <c r="H336" t="s">
        <v>4930</v>
      </c>
      <c r="I336">
        <v>0</v>
      </c>
      <c r="J336" t="s">
        <v>97</v>
      </c>
      <c r="K336">
        <v>0</v>
      </c>
      <c r="L336">
        <v>0</v>
      </c>
      <c r="M336" t="s">
        <v>11</v>
      </c>
    </row>
    <row r="337" spans="1:13">
      <c r="A337" s="93">
        <v>122384</v>
      </c>
      <c r="B337" t="s">
        <v>901</v>
      </c>
      <c r="C337" t="s">
        <v>4919</v>
      </c>
      <c r="D337" s="92">
        <v>0.47</v>
      </c>
      <c r="E337" s="92">
        <v>0.38</v>
      </c>
      <c r="F337" t="s">
        <v>446</v>
      </c>
      <c r="G337" t="s">
        <v>446</v>
      </c>
      <c r="H337" t="s">
        <v>4932</v>
      </c>
      <c r="I337">
        <v>0</v>
      </c>
      <c r="J337" t="s">
        <v>97</v>
      </c>
      <c r="K337">
        <v>0</v>
      </c>
      <c r="L337">
        <v>0</v>
      </c>
      <c r="M337" t="s">
        <v>11</v>
      </c>
    </row>
    <row r="338" spans="1:13">
      <c r="A338" s="93">
        <v>122409</v>
      </c>
      <c r="B338" t="s">
        <v>902</v>
      </c>
      <c r="C338" t="s">
        <v>4920</v>
      </c>
      <c r="D338" s="92">
        <v>0.76</v>
      </c>
      <c r="E338" s="92">
        <v>0.75</v>
      </c>
      <c r="F338" t="s">
        <v>446</v>
      </c>
      <c r="G338" t="s">
        <v>446</v>
      </c>
      <c r="H338" t="s">
        <v>4932</v>
      </c>
      <c r="I338">
        <v>0</v>
      </c>
      <c r="J338" t="s">
        <v>97</v>
      </c>
      <c r="K338">
        <v>0</v>
      </c>
      <c r="L338">
        <v>0</v>
      </c>
      <c r="M338" t="s">
        <v>11</v>
      </c>
    </row>
    <row r="339" spans="1:13">
      <c r="A339" s="93">
        <v>122612</v>
      </c>
      <c r="B339" t="s">
        <v>600</v>
      </c>
      <c r="C339" t="s">
        <v>4916</v>
      </c>
      <c r="D339" s="92">
        <v>0.76</v>
      </c>
      <c r="E339" s="92">
        <v>0.8100000000000001</v>
      </c>
      <c r="F339">
        <v>1190</v>
      </c>
      <c r="G339">
        <v>1290</v>
      </c>
      <c r="H339" t="s">
        <v>4930</v>
      </c>
      <c r="I339">
        <v>0</v>
      </c>
      <c r="J339" t="s">
        <v>97</v>
      </c>
      <c r="K339">
        <v>0</v>
      </c>
      <c r="L339">
        <v>0</v>
      </c>
      <c r="M339" t="s">
        <v>11</v>
      </c>
    </row>
    <row r="340" spans="1:13">
      <c r="A340" s="93">
        <v>122746</v>
      </c>
      <c r="B340" t="s">
        <v>903</v>
      </c>
      <c r="C340" t="s">
        <v>4919</v>
      </c>
      <c r="D340" s="92">
        <v>0.32</v>
      </c>
      <c r="E340" s="92">
        <v>0.28</v>
      </c>
      <c r="F340" t="s">
        <v>446</v>
      </c>
      <c r="G340" t="s">
        <v>446</v>
      </c>
      <c r="H340" t="s">
        <v>4932</v>
      </c>
      <c r="I340">
        <v>0</v>
      </c>
      <c r="J340" t="s">
        <v>97</v>
      </c>
      <c r="K340">
        <v>0</v>
      </c>
      <c r="L340">
        <v>0</v>
      </c>
      <c r="M340" t="s">
        <v>11</v>
      </c>
    </row>
    <row r="341" spans="1:13">
      <c r="A341" s="93">
        <v>122977</v>
      </c>
      <c r="B341" t="s">
        <v>904</v>
      </c>
      <c r="C341" t="s">
        <v>4923</v>
      </c>
      <c r="D341" s="92">
        <v>0.25</v>
      </c>
      <c r="E341" s="92">
        <v>0.25</v>
      </c>
      <c r="F341" t="s">
        <v>446</v>
      </c>
      <c r="G341" t="s">
        <v>446</v>
      </c>
      <c r="H341" t="s">
        <v>4932</v>
      </c>
      <c r="I341">
        <v>0</v>
      </c>
      <c r="J341" t="s">
        <v>97</v>
      </c>
      <c r="K341">
        <v>0</v>
      </c>
      <c r="L341">
        <v>0</v>
      </c>
      <c r="M341" t="s">
        <v>11</v>
      </c>
    </row>
    <row r="342" spans="1:13">
      <c r="A342" s="93">
        <v>124113</v>
      </c>
      <c r="B342" t="s">
        <v>905</v>
      </c>
      <c r="C342" t="s">
        <v>4919</v>
      </c>
      <c r="D342" s="92">
        <v>0.36</v>
      </c>
      <c r="E342" s="92">
        <v>0.36</v>
      </c>
      <c r="F342" t="s">
        <v>446</v>
      </c>
      <c r="G342" t="s">
        <v>446</v>
      </c>
      <c r="H342" t="s">
        <v>4932</v>
      </c>
      <c r="I342">
        <v>0</v>
      </c>
      <c r="J342" t="s">
        <v>97</v>
      </c>
      <c r="K342">
        <v>0</v>
      </c>
      <c r="L342">
        <v>0</v>
      </c>
      <c r="M342" t="s">
        <v>11</v>
      </c>
    </row>
    <row r="343" spans="1:13">
      <c r="A343" s="93">
        <v>125028</v>
      </c>
      <c r="B343" t="s">
        <v>906</v>
      </c>
      <c r="C343" t="s">
        <v>4919</v>
      </c>
      <c r="D343" s="92">
        <v>0.44</v>
      </c>
      <c r="E343" s="92">
        <v>0.39</v>
      </c>
      <c r="F343" t="s">
        <v>446</v>
      </c>
      <c r="G343" t="s">
        <v>446</v>
      </c>
      <c r="H343" t="s">
        <v>4932</v>
      </c>
      <c r="I343">
        <v>0</v>
      </c>
      <c r="J343" t="s">
        <v>97</v>
      </c>
      <c r="K343">
        <v>0</v>
      </c>
      <c r="L343">
        <v>0</v>
      </c>
      <c r="M343" t="s">
        <v>11</v>
      </c>
    </row>
    <row r="344" spans="1:13">
      <c r="A344" s="93">
        <v>126614</v>
      </c>
      <c r="B344" t="s">
        <v>907</v>
      </c>
      <c r="C344" t="s">
        <v>4916</v>
      </c>
      <c r="D344" s="92">
        <v>0.74</v>
      </c>
      <c r="E344" s="92">
        <v>0.68</v>
      </c>
      <c r="F344">
        <v>1170</v>
      </c>
      <c r="G344">
        <v>1280</v>
      </c>
      <c r="H344" t="s">
        <v>4932</v>
      </c>
      <c r="I344">
        <v>0</v>
      </c>
      <c r="J344" t="s">
        <v>97</v>
      </c>
      <c r="K344">
        <v>0</v>
      </c>
      <c r="L344">
        <v>0</v>
      </c>
      <c r="M344" t="s">
        <v>11</v>
      </c>
    </row>
    <row r="345" spans="1:13">
      <c r="A345" s="93">
        <v>126669</v>
      </c>
      <c r="B345" t="s">
        <v>908</v>
      </c>
      <c r="C345" t="s">
        <v>4916</v>
      </c>
      <c r="D345" s="92">
        <v>0.58</v>
      </c>
      <c r="E345" s="92">
        <v>0.39</v>
      </c>
      <c r="F345" t="s">
        <v>446</v>
      </c>
      <c r="G345" t="s">
        <v>446</v>
      </c>
      <c r="H345" t="s">
        <v>4930</v>
      </c>
      <c r="I345">
        <v>0</v>
      </c>
      <c r="J345" t="s">
        <v>97</v>
      </c>
      <c r="K345">
        <v>0</v>
      </c>
      <c r="L345">
        <v>0</v>
      </c>
      <c r="M345" t="s">
        <v>11</v>
      </c>
    </row>
    <row r="346" spans="1:13">
      <c r="A346" s="93">
        <v>126818</v>
      </c>
      <c r="B346" t="s">
        <v>909</v>
      </c>
      <c r="C346" t="s">
        <v>4916</v>
      </c>
      <c r="D346" s="92">
        <v>0.6899999999999999</v>
      </c>
      <c r="E346" s="92">
        <v>0.6</v>
      </c>
      <c r="F346">
        <v>1080</v>
      </c>
      <c r="G346">
        <v>1185</v>
      </c>
      <c r="H346" t="s">
        <v>4930</v>
      </c>
      <c r="I346">
        <v>0</v>
      </c>
      <c r="J346" t="s">
        <v>97</v>
      </c>
      <c r="K346">
        <v>0</v>
      </c>
      <c r="L346">
        <v>0</v>
      </c>
      <c r="M346" t="s">
        <v>11</v>
      </c>
    </row>
    <row r="347" spans="1:13">
      <c r="A347" s="93">
        <v>127565</v>
      </c>
      <c r="B347" t="s">
        <v>910</v>
      </c>
      <c r="C347" t="s">
        <v>4918</v>
      </c>
      <c r="D347" s="92">
        <v>0.3</v>
      </c>
      <c r="E347" s="92">
        <v>0.25</v>
      </c>
      <c r="F347">
        <v>910</v>
      </c>
      <c r="G347">
        <v>1025</v>
      </c>
      <c r="H347" t="s">
        <v>4932</v>
      </c>
      <c r="I347">
        <v>0</v>
      </c>
      <c r="J347" t="s">
        <v>97</v>
      </c>
      <c r="K347">
        <v>0</v>
      </c>
      <c r="L347">
        <v>0</v>
      </c>
      <c r="M347" t="s">
        <v>11</v>
      </c>
    </row>
    <row r="348" spans="1:13">
      <c r="A348" s="93">
        <v>127820</v>
      </c>
      <c r="B348" t="s">
        <v>911</v>
      </c>
      <c r="C348" t="s">
        <v>4923</v>
      </c>
      <c r="D348" s="92">
        <v>0.25</v>
      </c>
      <c r="E348" s="92">
        <v>0.25</v>
      </c>
      <c r="F348" t="s">
        <v>446</v>
      </c>
      <c r="G348" t="s">
        <v>446</v>
      </c>
      <c r="H348" t="s">
        <v>4932</v>
      </c>
      <c r="I348">
        <v>0</v>
      </c>
      <c r="J348" t="s">
        <v>97</v>
      </c>
      <c r="K348">
        <v>0</v>
      </c>
      <c r="L348">
        <v>0</v>
      </c>
      <c r="M348" t="s">
        <v>11</v>
      </c>
    </row>
    <row r="349" spans="1:13">
      <c r="A349" s="93">
        <v>127918</v>
      </c>
      <c r="B349" t="s">
        <v>912</v>
      </c>
      <c r="C349" t="s">
        <v>4920</v>
      </c>
      <c r="D349" s="92">
        <v>0.64</v>
      </c>
      <c r="E349" s="92">
        <v>0.61</v>
      </c>
      <c r="F349">
        <v>1030</v>
      </c>
      <c r="G349">
        <v>1150</v>
      </c>
      <c r="H349" t="s">
        <v>4930</v>
      </c>
      <c r="I349">
        <v>0</v>
      </c>
      <c r="J349" t="s">
        <v>97</v>
      </c>
      <c r="K349">
        <v>0</v>
      </c>
      <c r="L349">
        <v>0</v>
      </c>
      <c r="M349" t="s">
        <v>11</v>
      </c>
    </row>
    <row r="350" spans="1:13">
      <c r="A350" s="93">
        <v>129215</v>
      </c>
      <c r="B350" t="s">
        <v>913</v>
      </c>
      <c r="C350" t="s">
        <v>4920</v>
      </c>
      <c r="D350" s="92">
        <v>0.5600000000000001</v>
      </c>
      <c r="E350" s="92">
        <v>0.5</v>
      </c>
      <c r="F350" t="s">
        <v>446</v>
      </c>
      <c r="G350" t="s">
        <v>446</v>
      </c>
      <c r="H350" t="s">
        <v>4932</v>
      </c>
      <c r="I350">
        <v>0</v>
      </c>
      <c r="J350" t="s">
        <v>97</v>
      </c>
      <c r="K350">
        <v>0</v>
      </c>
      <c r="L350">
        <v>0</v>
      </c>
      <c r="M350" t="s">
        <v>11</v>
      </c>
    </row>
    <row r="351" spans="1:13">
      <c r="A351" s="93">
        <v>130794</v>
      </c>
      <c r="B351" t="s">
        <v>914</v>
      </c>
      <c r="C351" t="s">
        <v>4921</v>
      </c>
      <c r="D351" s="92">
        <v>0.97</v>
      </c>
      <c r="E351" s="92">
        <v>0.95</v>
      </c>
      <c r="F351">
        <v>1480</v>
      </c>
      <c r="G351">
        <v>1530</v>
      </c>
      <c r="H351" t="s">
        <v>4927</v>
      </c>
      <c r="I351">
        <v>1</v>
      </c>
      <c r="J351" t="s">
        <v>97</v>
      </c>
      <c r="K351">
        <v>0</v>
      </c>
      <c r="L351">
        <v>0</v>
      </c>
      <c r="M351" t="s">
        <v>11</v>
      </c>
    </row>
    <row r="352" spans="1:13">
      <c r="A352" s="93">
        <v>131159</v>
      </c>
      <c r="B352" t="s">
        <v>915</v>
      </c>
      <c r="C352" t="s">
        <v>4917</v>
      </c>
      <c r="D352" s="92">
        <v>0.79</v>
      </c>
      <c r="E352" s="92">
        <v>0.76</v>
      </c>
      <c r="F352">
        <v>1280</v>
      </c>
      <c r="G352">
        <v>1360</v>
      </c>
      <c r="H352" t="s">
        <v>4931</v>
      </c>
      <c r="I352">
        <v>0</v>
      </c>
      <c r="J352" t="s">
        <v>97</v>
      </c>
      <c r="K352">
        <v>0</v>
      </c>
      <c r="L352">
        <v>0</v>
      </c>
      <c r="M352" t="s">
        <v>11</v>
      </c>
    </row>
    <row r="353" spans="1:13">
      <c r="A353" s="93">
        <v>132709</v>
      </c>
      <c r="B353" t="s">
        <v>916</v>
      </c>
      <c r="C353" t="s">
        <v>4923</v>
      </c>
      <c r="D353" s="92">
        <v>0.25</v>
      </c>
      <c r="E353" s="92">
        <v>0.25</v>
      </c>
      <c r="F353" t="s">
        <v>446</v>
      </c>
      <c r="G353" t="s">
        <v>446</v>
      </c>
      <c r="H353" t="s">
        <v>4932</v>
      </c>
      <c r="I353">
        <v>0</v>
      </c>
      <c r="J353" t="s">
        <v>97</v>
      </c>
      <c r="K353">
        <v>0</v>
      </c>
      <c r="L353">
        <v>0</v>
      </c>
      <c r="M353" t="s">
        <v>11</v>
      </c>
    </row>
    <row r="354" spans="1:13">
      <c r="A354" s="93">
        <v>132851</v>
      </c>
      <c r="B354" t="s">
        <v>917</v>
      </c>
      <c r="C354" t="s">
        <v>4923</v>
      </c>
      <c r="D354" s="92">
        <v>0.25</v>
      </c>
      <c r="E354" s="92">
        <v>0.25</v>
      </c>
      <c r="F354" t="s">
        <v>446</v>
      </c>
      <c r="G354" t="s">
        <v>446</v>
      </c>
      <c r="H354" t="s">
        <v>4932</v>
      </c>
      <c r="I354">
        <v>0</v>
      </c>
      <c r="J354" t="s">
        <v>97</v>
      </c>
      <c r="K354">
        <v>0</v>
      </c>
      <c r="L354">
        <v>0</v>
      </c>
      <c r="M354" t="s">
        <v>11</v>
      </c>
    </row>
    <row r="355" spans="1:13">
      <c r="A355" s="93">
        <v>132903</v>
      </c>
      <c r="B355" t="s">
        <v>918</v>
      </c>
      <c r="C355" t="s">
        <v>4916</v>
      </c>
      <c r="D355" s="92">
        <v>0.75</v>
      </c>
      <c r="E355" s="92">
        <v>0.72</v>
      </c>
      <c r="F355">
        <v>1170</v>
      </c>
      <c r="G355">
        <v>1260</v>
      </c>
      <c r="H355" t="s">
        <v>4932</v>
      </c>
      <c r="I355">
        <v>0</v>
      </c>
      <c r="J355" t="s">
        <v>97</v>
      </c>
      <c r="K355">
        <v>0</v>
      </c>
      <c r="L355">
        <v>0</v>
      </c>
      <c r="M355" t="s">
        <v>11</v>
      </c>
    </row>
    <row r="356" spans="1:13">
      <c r="A356" s="93">
        <v>133553</v>
      </c>
      <c r="B356" t="s">
        <v>919</v>
      </c>
      <c r="C356" t="s">
        <v>4916</v>
      </c>
      <c r="D356" s="92">
        <v>0.62</v>
      </c>
      <c r="E356" s="92">
        <v>0.52</v>
      </c>
      <c r="F356">
        <v>1140</v>
      </c>
      <c r="G356">
        <v>1235</v>
      </c>
      <c r="H356" t="s">
        <v>4930</v>
      </c>
      <c r="I356">
        <v>0</v>
      </c>
      <c r="J356" t="s">
        <v>97</v>
      </c>
      <c r="K356">
        <v>0</v>
      </c>
      <c r="L356">
        <v>0</v>
      </c>
      <c r="M356" t="s">
        <v>11</v>
      </c>
    </row>
    <row r="357" spans="1:13">
      <c r="A357" s="93">
        <v>134130</v>
      </c>
      <c r="B357" t="s">
        <v>920</v>
      </c>
      <c r="C357" t="s">
        <v>4917</v>
      </c>
      <c r="D357" s="92">
        <v>0.91</v>
      </c>
      <c r="E357" s="92">
        <v>0.9</v>
      </c>
      <c r="F357">
        <v>1300</v>
      </c>
      <c r="G357">
        <v>1385</v>
      </c>
      <c r="H357" t="s">
        <v>4932</v>
      </c>
      <c r="I357">
        <v>0</v>
      </c>
      <c r="J357" t="s">
        <v>97</v>
      </c>
      <c r="K357">
        <v>0</v>
      </c>
      <c r="L357">
        <v>0</v>
      </c>
      <c r="M357" t="s">
        <v>11</v>
      </c>
    </row>
    <row r="358" spans="1:13">
      <c r="A358" s="93">
        <v>136172</v>
      </c>
      <c r="B358" t="s">
        <v>921</v>
      </c>
      <c r="C358" t="s">
        <v>4916</v>
      </c>
      <c r="D358" s="92">
        <v>0.62</v>
      </c>
      <c r="E358" s="92">
        <v>0.57</v>
      </c>
      <c r="F358">
        <v>1000</v>
      </c>
      <c r="G358">
        <v>1105</v>
      </c>
      <c r="H358" t="s">
        <v>4932</v>
      </c>
      <c r="I358">
        <v>0</v>
      </c>
      <c r="J358" t="s">
        <v>97</v>
      </c>
      <c r="K358">
        <v>0</v>
      </c>
      <c r="L358">
        <v>0</v>
      </c>
      <c r="M358" t="s">
        <v>11</v>
      </c>
    </row>
    <row r="359" spans="1:13">
      <c r="A359" s="93">
        <v>136215</v>
      </c>
      <c r="B359" t="s">
        <v>922</v>
      </c>
      <c r="C359" t="s">
        <v>4920</v>
      </c>
      <c r="D359" s="92">
        <v>0.6</v>
      </c>
      <c r="E359" s="92">
        <v>0.49</v>
      </c>
      <c r="F359">
        <v>1040</v>
      </c>
      <c r="G359">
        <v>1175</v>
      </c>
      <c r="H359" t="s">
        <v>4930</v>
      </c>
      <c r="I359">
        <v>0</v>
      </c>
      <c r="J359" t="s">
        <v>97</v>
      </c>
      <c r="K359">
        <v>0</v>
      </c>
      <c r="L359">
        <v>0</v>
      </c>
      <c r="M359" t="s">
        <v>11</v>
      </c>
    </row>
    <row r="360" spans="1:13">
      <c r="A360" s="93">
        <v>137564</v>
      </c>
      <c r="B360" t="s">
        <v>923</v>
      </c>
      <c r="C360" t="s">
        <v>4920</v>
      </c>
      <c r="D360" s="92">
        <v>0.46</v>
      </c>
      <c r="E360" s="92">
        <v>0.39</v>
      </c>
      <c r="F360">
        <v>1010</v>
      </c>
      <c r="G360">
        <v>1110</v>
      </c>
      <c r="H360" t="s">
        <v>4930</v>
      </c>
      <c r="I360">
        <v>0</v>
      </c>
      <c r="J360" t="s">
        <v>97</v>
      </c>
      <c r="K360">
        <v>0</v>
      </c>
      <c r="L360">
        <v>0</v>
      </c>
      <c r="M360" t="s">
        <v>11</v>
      </c>
    </row>
    <row r="361" spans="1:13">
      <c r="A361" s="93">
        <v>137847</v>
      </c>
      <c r="B361" t="s">
        <v>603</v>
      </c>
      <c r="C361" t="s">
        <v>4920</v>
      </c>
      <c r="D361" s="92">
        <v>0.62</v>
      </c>
      <c r="E361" s="92">
        <v>0.53</v>
      </c>
      <c r="F361">
        <v>1070</v>
      </c>
      <c r="G361">
        <v>1155</v>
      </c>
      <c r="H361" t="s">
        <v>4930</v>
      </c>
      <c r="I361">
        <v>0</v>
      </c>
      <c r="J361" t="s">
        <v>97</v>
      </c>
      <c r="K361">
        <v>0</v>
      </c>
      <c r="L361">
        <v>0</v>
      </c>
      <c r="M361" t="s">
        <v>11</v>
      </c>
    </row>
    <row r="362" spans="1:13">
      <c r="A362" s="93">
        <v>138187</v>
      </c>
      <c r="B362" t="s">
        <v>924</v>
      </c>
      <c r="C362" t="s">
        <v>4923</v>
      </c>
      <c r="D362" s="92">
        <v>0.25</v>
      </c>
      <c r="E362" s="92">
        <v>0.25</v>
      </c>
      <c r="F362" t="s">
        <v>446</v>
      </c>
      <c r="G362" t="s">
        <v>446</v>
      </c>
      <c r="H362" t="s">
        <v>4932</v>
      </c>
      <c r="I362">
        <v>0</v>
      </c>
      <c r="J362" t="s">
        <v>97</v>
      </c>
      <c r="K362">
        <v>0</v>
      </c>
      <c r="L362">
        <v>0</v>
      </c>
      <c r="M362" t="s">
        <v>11</v>
      </c>
    </row>
    <row r="363" spans="1:13">
      <c r="A363" s="93">
        <v>138716</v>
      </c>
      <c r="B363" t="s">
        <v>925</v>
      </c>
      <c r="C363" t="s">
        <v>4920</v>
      </c>
      <c r="D363" s="92">
        <v>0.35</v>
      </c>
      <c r="E363" s="92">
        <v>0.49</v>
      </c>
      <c r="F363" t="s">
        <v>446</v>
      </c>
      <c r="G363" t="s">
        <v>446</v>
      </c>
      <c r="H363" t="s">
        <v>4932</v>
      </c>
      <c r="I363">
        <v>0</v>
      </c>
      <c r="J363" t="s">
        <v>153</v>
      </c>
      <c r="K363">
        <v>0</v>
      </c>
      <c r="L363">
        <v>0</v>
      </c>
      <c r="M363" t="s">
        <v>11</v>
      </c>
    </row>
    <row r="364" spans="1:13">
      <c r="A364" s="93">
        <v>139968</v>
      </c>
      <c r="B364" t="s">
        <v>926</v>
      </c>
      <c r="C364" t="s">
        <v>4923</v>
      </c>
      <c r="D364" s="92">
        <v>0.17</v>
      </c>
      <c r="E364" s="92">
        <v>0.08</v>
      </c>
      <c r="F364">
        <v>900</v>
      </c>
      <c r="G364">
        <v>990</v>
      </c>
      <c r="H364" t="s">
        <v>4932</v>
      </c>
      <c r="I364">
        <v>0</v>
      </c>
      <c r="J364" t="s">
        <v>97</v>
      </c>
      <c r="K364">
        <v>0</v>
      </c>
      <c r="L364">
        <v>0</v>
      </c>
      <c r="M364" t="s">
        <v>11</v>
      </c>
    </row>
    <row r="365" spans="1:13">
      <c r="A365" s="93">
        <v>140562</v>
      </c>
      <c r="B365" t="s">
        <v>927</v>
      </c>
      <c r="C365" t="s">
        <v>4924</v>
      </c>
      <c r="D365" s="92">
        <v>0.25</v>
      </c>
      <c r="E365" s="92">
        <v>0.25</v>
      </c>
      <c r="F365" t="s">
        <v>446</v>
      </c>
      <c r="G365" t="s">
        <v>446</v>
      </c>
      <c r="H365" t="s">
        <v>4932</v>
      </c>
      <c r="I365">
        <v>0</v>
      </c>
      <c r="J365" t="s">
        <v>153</v>
      </c>
      <c r="K365">
        <v>0</v>
      </c>
      <c r="L365">
        <v>0</v>
      </c>
      <c r="M365" t="s">
        <v>11</v>
      </c>
    </row>
    <row r="366" spans="1:13">
      <c r="A366" s="93">
        <v>140951</v>
      </c>
      <c r="B366" t="s">
        <v>928</v>
      </c>
      <c r="C366" t="s">
        <v>4920</v>
      </c>
      <c r="D366" s="92">
        <v>0.71</v>
      </c>
      <c r="E366" s="92">
        <v>0.62</v>
      </c>
      <c r="F366" t="s">
        <v>446</v>
      </c>
      <c r="G366" t="s">
        <v>446</v>
      </c>
      <c r="H366" t="s">
        <v>4930</v>
      </c>
      <c r="I366">
        <v>0</v>
      </c>
      <c r="J366" t="s">
        <v>97</v>
      </c>
      <c r="K366">
        <v>0</v>
      </c>
      <c r="L366">
        <v>0</v>
      </c>
      <c r="M366" t="s">
        <v>11</v>
      </c>
    </row>
    <row r="367" spans="1:13">
      <c r="A367" s="93">
        <v>140960</v>
      </c>
      <c r="B367" t="s">
        <v>929</v>
      </c>
      <c r="C367" t="s">
        <v>4920</v>
      </c>
      <c r="D367" s="92">
        <v>0.24</v>
      </c>
      <c r="E367" s="92">
        <v>0.39</v>
      </c>
      <c r="F367" t="s">
        <v>446</v>
      </c>
      <c r="G367" t="s">
        <v>446</v>
      </c>
      <c r="H367" t="s">
        <v>4930</v>
      </c>
      <c r="I367">
        <v>0</v>
      </c>
      <c r="J367" t="s">
        <v>153</v>
      </c>
      <c r="K367">
        <v>0</v>
      </c>
      <c r="L367">
        <v>0</v>
      </c>
      <c r="M367" t="s">
        <v>11</v>
      </c>
    </row>
    <row r="368" spans="1:13">
      <c r="A368" s="93">
        <v>143215</v>
      </c>
      <c r="B368" t="s">
        <v>930</v>
      </c>
      <c r="C368" t="s">
        <v>4919</v>
      </c>
      <c r="D368" s="92">
        <v>0.38</v>
      </c>
      <c r="E368" s="92">
        <v>0.27</v>
      </c>
      <c r="F368" t="s">
        <v>446</v>
      </c>
      <c r="G368" t="s">
        <v>446</v>
      </c>
      <c r="H368" t="s">
        <v>4931</v>
      </c>
      <c r="I368">
        <v>0</v>
      </c>
      <c r="J368" t="s">
        <v>97</v>
      </c>
      <c r="K368">
        <v>1</v>
      </c>
      <c r="L368">
        <v>0</v>
      </c>
      <c r="M368" t="s">
        <v>11</v>
      </c>
    </row>
    <row r="369" spans="1:13">
      <c r="A369" s="93">
        <v>143288</v>
      </c>
      <c r="B369" t="s">
        <v>931</v>
      </c>
      <c r="C369" t="s">
        <v>4918</v>
      </c>
      <c r="D369" s="92">
        <v>0.44</v>
      </c>
      <c r="E369" s="92">
        <v>0.29</v>
      </c>
      <c r="F369">
        <v>890</v>
      </c>
      <c r="G369">
        <v>1005</v>
      </c>
      <c r="H369" t="s">
        <v>4930</v>
      </c>
      <c r="I369">
        <v>0</v>
      </c>
      <c r="J369" t="s">
        <v>97</v>
      </c>
      <c r="K369">
        <v>0</v>
      </c>
      <c r="L369">
        <v>0</v>
      </c>
      <c r="M369" t="s">
        <v>11</v>
      </c>
    </row>
    <row r="370" spans="1:13">
      <c r="A370" s="93">
        <v>143613</v>
      </c>
      <c r="B370" t="s">
        <v>932</v>
      </c>
      <c r="C370" t="s">
        <v>4919</v>
      </c>
      <c r="D370" s="92">
        <v>0.48</v>
      </c>
      <c r="E370" s="92">
        <v>0.42</v>
      </c>
      <c r="F370" t="s">
        <v>446</v>
      </c>
      <c r="G370" t="s">
        <v>446</v>
      </c>
      <c r="H370" t="s">
        <v>4931</v>
      </c>
      <c r="I370">
        <v>0</v>
      </c>
      <c r="J370" t="s">
        <v>97</v>
      </c>
      <c r="K370">
        <v>1</v>
      </c>
      <c r="L370">
        <v>0</v>
      </c>
      <c r="M370" t="s">
        <v>11</v>
      </c>
    </row>
    <row r="371" spans="1:13">
      <c r="A371" s="93">
        <v>145372</v>
      </c>
      <c r="B371" t="s">
        <v>933</v>
      </c>
      <c r="C371" t="s">
        <v>4920</v>
      </c>
      <c r="D371" s="92">
        <v>0.51</v>
      </c>
      <c r="E371" s="92">
        <v>0.33</v>
      </c>
      <c r="F371">
        <v>900</v>
      </c>
      <c r="G371">
        <v>1035</v>
      </c>
      <c r="H371" t="s">
        <v>4930</v>
      </c>
      <c r="I371">
        <v>0</v>
      </c>
      <c r="J371" t="s">
        <v>97</v>
      </c>
      <c r="K371">
        <v>0</v>
      </c>
      <c r="L371">
        <v>0</v>
      </c>
      <c r="M371" t="s">
        <v>11</v>
      </c>
    </row>
    <row r="372" spans="1:13">
      <c r="A372" s="93">
        <v>145646</v>
      </c>
      <c r="B372" t="s">
        <v>934</v>
      </c>
      <c r="C372" t="s">
        <v>4916</v>
      </c>
      <c r="D372" s="92">
        <v>0.8</v>
      </c>
      <c r="E372" s="92">
        <v>0.71</v>
      </c>
      <c r="F372">
        <v>1110</v>
      </c>
      <c r="G372">
        <v>1210</v>
      </c>
      <c r="H372" t="s">
        <v>4931</v>
      </c>
      <c r="I372">
        <v>0</v>
      </c>
      <c r="J372" t="s">
        <v>97</v>
      </c>
      <c r="K372">
        <v>0</v>
      </c>
      <c r="L372">
        <v>0</v>
      </c>
      <c r="M372" t="s">
        <v>11</v>
      </c>
    </row>
    <row r="373" spans="1:13">
      <c r="A373" s="93">
        <v>146205</v>
      </c>
      <c r="B373" t="s">
        <v>935</v>
      </c>
      <c r="C373" t="s">
        <v>4919</v>
      </c>
      <c r="D373" s="92">
        <v>0.38</v>
      </c>
      <c r="E373" s="92">
        <v>0.29</v>
      </c>
      <c r="F373" t="s">
        <v>446</v>
      </c>
      <c r="G373" t="s">
        <v>446</v>
      </c>
      <c r="H373" t="s">
        <v>4931</v>
      </c>
      <c r="I373">
        <v>0</v>
      </c>
      <c r="J373" t="s">
        <v>97</v>
      </c>
      <c r="K373">
        <v>1</v>
      </c>
      <c r="L373">
        <v>0</v>
      </c>
      <c r="M373" t="s">
        <v>11</v>
      </c>
    </row>
    <row r="374" spans="1:13">
      <c r="A374" s="93">
        <v>147004</v>
      </c>
      <c r="B374" t="s">
        <v>936</v>
      </c>
      <c r="C374" t="s">
        <v>4919</v>
      </c>
      <c r="D374" s="92">
        <v>0.42</v>
      </c>
      <c r="E374" s="92">
        <v>0.36</v>
      </c>
      <c r="F374" t="s">
        <v>446</v>
      </c>
      <c r="G374" t="s">
        <v>446</v>
      </c>
      <c r="H374" t="s">
        <v>4928</v>
      </c>
      <c r="I374">
        <v>1</v>
      </c>
      <c r="J374" t="s">
        <v>97</v>
      </c>
      <c r="K374">
        <v>1</v>
      </c>
      <c r="L374">
        <v>1</v>
      </c>
      <c r="M374" t="s">
        <v>4935</v>
      </c>
    </row>
    <row r="375" spans="1:13">
      <c r="A375" s="93">
        <v>147129</v>
      </c>
      <c r="B375" t="s">
        <v>937</v>
      </c>
      <c r="C375" t="s">
        <v>4918</v>
      </c>
      <c r="D375" s="92">
        <v>0.48</v>
      </c>
      <c r="E375" s="92">
        <v>1</v>
      </c>
      <c r="F375">
        <v>800</v>
      </c>
      <c r="G375">
        <v>980</v>
      </c>
      <c r="H375" t="s">
        <v>4930</v>
      </c>
      <c r="I375">
        <v>0</v>
      </c>
      <c r="J375" t="s">
        <v>97</v>
      </c>
      <c r="K375">
        <v>0</v>
      </c>
      <c r="L375">
        <v>0</v>
      </c>
      <c r="M375" t="s">
        <v>11</v>
      </c>
    </row>
    <row r="376" spans="1:13">
      <c r="A376" s="93">
        <v>148380</v>
      </c>
      <c r="B376" t="s">
        <v>938</v>
      </c>
      <c r="C376" t="s">
        <v>4919</v>
      </c>
      <c r="D376" s="92">
        <v>0.41</v>
      </c>
      <c r="E376" s="92">
        <v>0.32</v>
      </c>
      <c r="F376" t="s">
        <v>446</v>
      </c>
      <c r="G376" t="s">
        <v>446</v>
      </c>
      <c r="H376" t="s">
        <v>4928</v>
      </c>
      <c r="I376">
        <v>1</v>
      </c>
      <c r="J376" t="s">
        <v>97</v>
      </c>
      <c r="K376">
        <v>1</v>
      </c>
      <c r="L376">
        <v>0</v>
      </c>
      <c r="M376" t="s">
        <v>11</v>
      </c>
    </row>
    <row r="377" spans="1:13">
      <c r="A377" s="93">
        <v>149310</v>
      </c>
      <c r="B377" t="s">
        <v>939</v>
      </c>
      <c r="C377" t="s">
        <v>4919</v>
      </c>
      <c r="D377" s="92">
        <v>0.25</v>
      </c>
      <c r="E377" s="92">
        <v>0.25</v>
      </c>
      <c r="F377" t="s">
        <v>446</v>
      </c>
      <c r="G377" t="s">
        <v>446</v>
      </c>
      <c r="H377" t="s">
        <v>4930</v>
      </c>
      <c r="I377">
        <v>0</v>
      </c>
      <c r="J377" t="s">
        <v>97</v>
      </c>
      <c r="K377">
        <v>0</v>
      </c>
      <c r="L377">
        <v>1</v>
      </c>
      <c r="M377" t="s">
        <v>4935</v>
      </c>
    </row>
    <row r="378" spans="1:13">
      <c r="A378" s="93">
        <v>149639</v>
      </c>
      <c r="B378" t="s">
        <v>940</v>
      </c>
      <c r="C378" t="s">
        <v>4923</v>
      </c>
      <c r="D378" s="92">
        <v>0.68</v>
      </c>
      <c r="E378" s="92">
        <v>0.53</v>
      </c>
      <c r="F378" t="s">
        <v>446</v>
      </c>
      <c r="G378" t="s">
        <v>446</v>
      </c>
      <c r="H378" t="s">
        <v>4930</v>
      </c>
      <c r="I378">
        <v>0</v>
      </c>
      <c r="J378" t="s">
        <v>97</v>
      </c>
      <c r="K378">
        <v>0</v>
      </c>
      <c r="L378">
        <v>1</v>
      </c>
      <c r="M378" t="s">
        <v>4935</v>
      </c>
    </row>
    <row r="379" spans="1:13">
      <c r="A379" s="93">
        <v>150172</v>
      </c>
      <c r="B379" t="s">
        <v>941</v>
      </c>
      <c r="C379" t="s">
        <v>4920</v>
      </c>
      <c r="D379" s="92">
        <v>0.27</v>
      </c>
      <c r="E379" s="92">
        <v>0.23</v>
      </c>
      <c r="F379" t="s">
        <v>446</v>
      </c>
      <c r="G379" t="s">
        <v>446</v>
      </c>
      <c r="H379" t="s">
        <v>4931</v>
      </c>
      <c r="I379">
        <v>0</v>
      </c>
      <c r="J379" t="s">
        <v>97</v>
      </c>
      <c r="K379">
        <v>0</v>
      </c>
      <c r="L379">
        <v>1</v>
      </c>
      <c r="M379" t="s">
        <v>4935</v>
      </c>
    </row>
    <row r="380" spans="1:13">
      <c r="A380" s="93">
        <v>150668</v>
      </c>
      <c r="B380" t="s">
        <v>942</v>
      </c>
      <c r="C380" t="s">
        <v>4920</v>
      </c>
      <c r="D380" s="92">
        <v>0.64</v>
      </c>
      <c r="E380" s="92">
        <v>0.43</v>
      </c>
      <c r="F380">
        <v>990</v>
      </c>
      <c r="G380">
        <v>1130</v>
      </c>
      <c r="H380" t="s">
        <v>4929</v>
      </c>
      <c r="I380">
        <v>1</v>
      </c>
      <c r="J380" t="s">
        <v>97</v>
      </c>
      <c r="K380">
        <v>0</v>
      </c>
      <c r="L380">
        <v>0</v>
      </c>
      <c r="M380" t="s">
        <v>11</v>
      </c>
    </row>
    <row r="381" spans="1:13">
      <c r="A381" s="93">
        <v>150677</v>
      </c>
      <c r="B381" t="s">
        <v>943</v>
      </c>
      <c r="C381" t="s">
        <v>4920</v>
      </c>
      <c r="D381" s="92">
        <v>0.57</v>
      </c>
      <c r="E381" s="92">
        <v>0.41</v>
      </c>
      <c r="F381">
        <v>990</v>
      </c>
      <c r="G381">
        <v>1105</v>
      </c>
      <c r="H381" t="s">
        <v>4931</v>
      </c>
      <c r="I381">
        <v>0</v>
      </c>
      <c r="J381" t="s">
        <v>97</v>
      </c>
      <c r="K381">
        <v>0</v>
      </c>
      <c r="L381">
        <v>0</v>
      </c>
      <c r="M381" t="s">
        <v>11</v>
      </c>
    </row>
    <row r="382" spans="1:13">
      <c r="A382" s="93">
        <v>151102</v>
      </c>
      <c r="B382" t="s">
        <v>944</v>
      </c>
      <c r="C382" t="s">
        <v>4920</v>
      </c>
      <c r="D382" s="92">
        <v>0.37</v>
      </c>
      <c r="E382" s="92">
        <v>0.33</v>
      </c>
      <c r="F382">
        <v>1000</v>
      </c>
      <c r="G382">
        <v>1105</v>
      </c>
      <c r="H382" t="s">
        <v>4930</v>
      </c>
      <c r="I382">
        <v>0</v>
      </c>
      <c r="J382" t="s">
        <v>97</v>
      </c>
      <c r="K382">
        <v>0</v>
      </c>
      <c r="L382">
        <v>0</v>
      </c>
      <c r="M382" t="s">
        <v>11</v>
      </c>
    </row>
    <row r="383" spans="1:13">
      <c r="A383" s="93">
        <v>151333</v>
      </c>
      <c r="B383" t="s">
        <v>945</v>
      </c>
      <c r="C383" t="s">
        <v>4920</v>
      </c>
      <c r="D383" s="92">
        <v>0.42</v>
      </c>
      <c r="E383" s="92">
        <v>0.37</v>
      </c>
      <c r="F383">
        <v>1000</v>
      </c>
      <c r="G383">
        <v>1090</v>
      </c>
      <c r="H383" t="s">
        <v>4930</v>
      </c>
      <c r="I383">
        <v>0</v>
      </c>
      <c r="J383" t="s">
        <v>97</v>
      </c>
      <c r="K383">
        <v>0</v>
      </c>
      <c r="L383">
        <v>0</v>
      </c>
      <c r="M383" t="s">
        <v>11</v>
      </c>
    </row>
    <row r="384" spans="1:13">
      <c r="A384" s="93">
        <v>151351</v>
      </c>
      <c r="B384" t="s">
        <v>946</v>
      </c>
      <c r="C384" t="s">
        <v>4916</v>
      </c>
      <c r="D384" s="92">
        <v>0.8100000000000001</v>
      </c>
      <c r="E384" s="92">
        <v>0.73</v>
      </c>
      <c r="F384">
        <v>1160</v>
      </c>
      <c r="G384">
        <v>1270</v>
      </c>
      <c r="H384" t="s">
        <v>4930</v>
      </c>
      <c r="I384">
        <v>0</v>
      </c>
      <c r="J384" t="s">
        <v>97</v>
      </c>
      <c r="K384">
        <v>0</v>
      </c>
      <c r="L384">
        <v>0</v>
      </c>
      <c r="M384" t="s">
        <v>11</v>
      </c>
    </row>
    <row r="385" spans="1:13">
      <c r="A385" s="93">
        <v>151360</v>
      </c>
      <c r="B385" t="s">
        <v>947</v>
      </c>
      <c r="C385" t="s">
        <v>4920</v>
      </c>
      <c r="D385" s="92">
        <v>0.34</v>
      </c>
      <c r="E385" s="92">
        <v>0.28</v>
      </c>
      <c r="F385">
        <v>940</v>
      </c>
      <c r="G385">
        <v>1040</v>
      </c>
      <c r="H385" t="s">
        <v>4928</v>
      </c>
      <c r="I385">
        <v>1</v>
      </c>
      <c r="J385" t="s">
        <v>97</v>
      </c>
      <c r="K385">
        <v>0</v>
      </c>
      <c r="L385">
        <v>1</v>
      </c>
      <c r="M385" t="s">
        <v>4935</v>
      </c>
    </row>
    <row r="386" spans="1:13">
      <c r="A386" s="93">
        <v>151777</v>
      </c>
      <c r="B386" t="s">
        <v>948</v>
      </c>
      <c r="C386" t="s">
        <v>4920</v>
      </c>
      <c r="D386" s="92">
        <v>0.54</v>
      </c>
      <c r="E386" s="92">
        <v>0.43</v>
      </c>
      <c r="F386" t="s">
        <v>446</v>
      </c>
      <c r="G386" t="s">
        <v>446</v>
      </c>
      <c r="H386" t="s">
        <v>4931</v>
      </c>
      <c r="I386">
        <v>0</v>
      </c>
      <c r="J386" t="s">
        <v>97</v>
      </c>
      <c r="K386">
        <v>0</v>
      </c>
      <c r="L386">
        <v>0</v>
      </c>
      <c r="M386" t="s">
        <v>11</v>
      </c>
    </row>
    <row r="387" spans="1:13">
      <c r="A387" s="93">
        <v>151801</v>
      </c>
      <c r="B387" t="s">
        <v>949</v>
      </c>
      <c r="C387" t="s">
        <v>4920</v>
      </c>
      <c r="D387" s="92">
        <v>0.71</v>
      </c>
      <c r="E387" s="92">
        <v>0.5</v>
      </c>
      <c r="F387">
        <v>990</v>
      </c>
      <c r="G387">
        <v>1095</v>
      </c>
      <c r="H387" t="s">
        <v>4930</v>
      </c>
      <c r="I387">
        <v>0</v>
      </c>
      <c r="J387" t="s">
        <v>97</v>
      </c>
      <c r="K387">
        <v>0</v>
      </c>
      <c r="L387">
        <v>0</v>
      </c>
      <c r="M387" t="s">
        <v>11</v>
      </c>
    </row>
    <row r="388" spans="1:13">
      <c r="A388" s="93">
        <v>153366</v>
      </c>
      <c r="B388" t="s">
        <v>950</v>
      </c>
      <c r="C388" t="s">
        <v>4920</v>
      </c>
      <c r="D388" s="92">
        <v>0.45</v>
      </c>
      <c r="E388" s="92">
        <v>0.25</v>
      </c>
      <c r="F388">
        <v>890</v>
      </c>
      <c r="G388">
        <v>1035</v>
      </c>
      <c r="H388" t="s">
        <v>4930</v>
      </c>
      <c r="I388">
        <v>0</v>
      </c>
      <c r="J388" t="s">
        <v>97</v>
      </c>
      <c r="K388">
        <v>0</v>
      </c>
      <c r="L388">
        <v>0</v>
      </c>
      <c r="M388" t="s">
        <v>11</v>
      </c>
    </row>
    <row r="389" spans="1:13">
      <c r="A389" s="93">
        <v>153445</v>
      </c>
      <c r="B389" t="s">
        <v>951</v>
      </c>
      <c r="C389" t="s">
        <v>4919</v>
      </c>
      <c r="D389" s="92">
        <v>0.38</v>
      </c>
      <c r="E389" s="92">
        <v>0.24</v>
      </c>
      <c r="F389" t="s">
        <v>446</v>
      </c>
      <c r="G389" t="s">
        <v>446</v>
      </c>
      <c r="H389" t="s">
        <v>4932</v>
      </c>
      <c r="I389">
        <v>0</v>
      </c>
      <c r="J389" t="s">
        <v>97</v>
      </c>
      <c r="K389">
        <v>0</v>
      </c>
      <c r="L389">
        <v>0</v>
      </c>
      <c r="M389" t="s">
        <v>11</v>
      </c>
    </row>
    <row r="390" spans="1:13">
      <c r="A390" s="93">
        <v>153472</v>
      </c>
      <c r="B390" t="s">
        <v>952</v>
      </c>
      <c r="C390" t="s">
        <v>4919</v>
      </c>
      <c r="D390" s="92">
        <v>0.45</v>
      </c>
      <c r="E390" s="92">
        <v>0.37</v>
      </c>
      <c r="F390" t="s">
        <v>446</v>
      </c>
      <c r="G390" t="s">
        <v>446</v>
      </c>
      <c r="H390" t="s">
        <v>4932</v>
      </c>
      <c r="I390">
        <v>0</v>
      </c>
      <c r="J390" t="s">
        <v>97</v>
      </c>
      <c r="K390">
        <v>0</v>
      </c>
      <c r="L390">
        <v>0</v>
      </c>
      <c r="M390" t="s">
        <v>11</v>
      </c>
    </row>
    <row r="391" spans="1:13">
      <c r="A391" s="93">
        <v>153825</v>
      </c>
      <c r="B391" t="s">
        <v>953</v>
      </c>
      <c r="C391" t="s">
        <v>4920</v>
      </c>
      <c r="D391" s="92">
        <v>0.68</v>
      </c>
      <c r="E391" s="92">
        <v>0.48</v>
      </c>
      <c r="F391" t="s">
        <v>446</v>
      </c>
      <c r="G391" t="s">
        <v>446</v>
      </c>
      <c r="H391" t="s">
        <v>4930</v>
      </c>
      <c r="I391">
        <v>0</v>
      </c>
      <c r="J391" t="s">
        <v>97</v>
      </c>
      <c r="K391">
        <v>0</v>
      </c>
      <c r="L391">
        <v>0</v>
      </c>
      <c r="M391" t="s">
        <v>11</v>
      </c>
    </row>
    <row r="392" spans="1:13">
      <c r="A392" s="93">
        <v>154004</v>
      </c>
      <c r="B392" t="s">
        <v>954</v>
      </c>
      <c r="C392" t="s">
        <v>4920</v>
      </c>
      <c r="D392" s="92">
        <v>0.59</v>
      </c>
      <c r="E392" s="92">
        <v>0.43</v>
      </c>
      <c r="F392" t="s">
        <v>446</v>
      </c>
      <c r="G392" t="s">
        <v>446</v>
      </c>
      <c r="H392" t="s">
        <v>4930</v>
      </c>
      <c r="I392">
        <v>0</v>
      </c>
      <c r="J392" t="s">
        <v>97</v>
      </c>
      <c r="K392">
        <v>0</v>
      </c>
      <c r="L392">
        <v>0</v>
      </c>
      <c r="M392" t="s">
        <v>11</v>
      </c>
    </row>
    <row r="393" spans="1:13">
      <c r="A393" s="93">
        <v>154174</v>
      </c>
      <c r="B393" t="s">
        <v>955</v>
      </c>
      <c r="C393" t="s">
        <v>4924</v>
      </c>
      <c r="D393" s="92">
        <v>0.25</v>
      </c>
      <c r="E393" s="92">
        <v>0.25</v>
      </c>
      <c r="F393" t="s">
        <v>446</v>
      </c>
      <c r="G393" t="s">
        <v>446</v>
      </c>
      <c r="H393" t="s">
        <v>4932</v>
      </c>
      <c r="I393">
        <v>0</v>
      </c>
      <c r="J393" t="s">
        <v>97</v>
      </c>
      <c r="K393">
        <v>0</v>
      </c>
      <c r="L393">
        <v>0</v>
      </c>
      <c r="M393" t="s">
        <v>11</v>
      </c>
    </row>
    <row r="394" spans="1:13">
      <c r="A394" s="93">
        <v>154235</v>
      </c>
      <c r="B394" t="s">
        <v>956</v>
      </c>
      <c r="C394" t="s">
        <v>4920</v>
      </c>
      <c r="D394" s="92">
        <v>0.64</v>
      </c>
      <c r="E394" s="92">
        <v>0.41</v>
      </c>
      <c r="F394">
        <v>1030</v>
      </c>
      <c r="G394">
        <v>1110</v>
      </c>
      <c r="H394" t="s">
        <v>4930</v>
      </c>
      <c r="I394">
        <v>0</v>
      </c>
      <c r="J394" t="s">
        <v>97</v>
      </c>
      <c r="K394">
        <v>0</v>
      </c>
      <c r="L394">
        <v>0</v>
      </c>
      <c r="M394" t="s">
        <v>11</v>
      </c>
    </row>
    <row r="395" spans="1:13">
      <c r="A395" s="93">
        <v>154378</v>
      </c>
      <c r="B395" t="s">
        <v>957</v>
      </c>
      <c r="C395" t="s">
        <v>4919</v>
      </c>
      <c r="D395" s="92">
        <v>0.42</v>
      </c>
      <c r="E395" s="92">
        <v>0.28</v>
      </c>
      <c r="F395" t="s">
        <v>446</v>
      </c>
      <c r="G395" t="s">
        <v>446</v>
      </c>
      <c r="H395" t="s">
        <v>4932</v>
      </c>
      <c r="I395">
        <v>0</v>
      </c>
      <c r="J395" t="s">
        <v>97</v>
      </c>
      <c r="K395">
        <v>0</v>
      </c>
      <c r="L395">
        <v>0</v>
      </c>
      <c r="M395" t="s">
        <v>11</v>
      </c>
    </row>
    <row r="396" spans="1:13">
      <c r="A396" s="93">
        <v>154697</v>
      </c>
      <c r="B396" t="s">
        <v>958</v>
      </c>
      <c r="C396" t="s">
        <v>4919</v>
      </c>
      <c r="D396" s="92">
        <v>0.51</v>
      </c>
      <c r="E396" s="92">
        <v>0.51</v>
      </c>
      <c r="F396" t="s">
        <v>446</v>
      </c>
      <c r="G396" t="s">
        <v>446</v>
      </c>
      <c r="H396" t="s">
        <v>4932</v>
      </c>
      <c r="I396">
        <v>0</v>
      </c>
      <c r="J396" t="s">
        <v>97</v>
      </c>
      <c r="K396">
        <v>0</v>
      </c>
      <c r="L396">
        <v>0</v>
      </c>
      <c r="M396" t="s">
        <v>11</v>
      </c>
    </row>
    <row r="397" spans="1:13">
      <c r="A397" s="93">
        <v>154907</v>
      </c>
      <c r="B397" t="s">
        <v>959</v>
      </c>
      <c r="C397" t="s">
        <v>4919</v>
      </c>
      <c r="D397" s="92">
        <v>0.57</v>
      </c>
      <c r="E397" s="92">
        <v>0.47</v>
      </c>
      <c r="F397" t="s">
        <v>446</v>
      </c>
      <c r="G397" t="s">
        <v>446</v>
      </c>
      <c r="H397" t="s">
        <v>4932</v>
      </c>
      <c r="I397">
        <v>0</v>
      </c>
      <c r="J397" t="s">
        <v>97</v>
      </c>
      <c r="K397">
        <v>0</v>
      </c>
      <c r="L397">
        <v>0</v>
      </c>
      <c r="M397" t="s">
        <v>11</v>
      </c>
    </row>
    <row r="398" spans="1:13">
      <c r="A398" s="93">
        <v>155098</v>
      </c>
      <c r="B398" t="s">
        <v>960</v>
      </c>
      <c r="C398" t="s">
        <v>4919</v>
      </c>
      <c r="D398" s="92">
        <v>0.47</v>
      </c>
      <c r="E398" s="92">
        <v>0.39</v>
      </c>
      <c r="F398" t="s">
        <v>446</v>
      </c>
      <c r="G398" t="s">
        <v>446</v>
      </c>
      <c r="H398" t="s">
        <v>4932</v>
      </c>
      <c r="I398">
        <v>0</v>
      </c>
      <c r="J398" t="s">
        <v>97</v>
      </c>
      <c r="K398">
        <v>0</v>
      </c>
      <c r="L398">
        <v>0</v>
      </c>
      <c r="M398" t="s">
        <v>11</v>
      </c>
    </row>
    <row r="399" spans="1:13">
      <c r="A399" s="93">
        <v>155201</v>
      </c>
      <c r="B399" t="s">
        <v>961</v>
      </c>
      <c r="C399" t="s">
        <v>4919</v>
      </c>
      <c r="D399" s="92">
        <v>0.47</v>
      </c>
      <c r="E399" s="92">
        <v>0.48</v>
      </c>
      <c r="F399" t="s">
        <v>446</v>
      </c>
      <c r="G399" t="s">
        <v>446</v>
      </c>
      <c r="H399" t="s">
        <v>4932</v>
      </c>
      <c r="I399">
        <v>0</v>
      </c>
      <c r="J399" t="s">
        <v>97</v>
      </c>
      <c r="K399">
        <v>0</v>
      </c>
      <c r="L399">
        <v>0</v>
      </c>
      <c r="M399" t="s">
        <v>11</v>
      </c>
    </row>
    <row r="400" spans="1:13">
      <c r="A400" s="93">
        <v>156921</v>
      </c>
      <c r="B400" t="s">
        <v>962</v>
      </c>
      <c r="C400" t="s">
        <v>4919</v>
      </c>
      <c r="D400" s="92">
        <v>0.36</v>
      </c>
      <c r="E400" s="92">
        <v>0.28</v>
      </c>
      <c r="F400" t="s">
        <v>446</v>
      </c>
      <c r="G400" t="s">
        <v>446</v>
      </c>
      <c r="H400" t="s">
        <v>4932</v>
      </c>
      <c r="I400">
        <v>0</v>
      </c>
      <c r="J400" t="s">
        <v>97</v>
      </c>
      <c r="K400">
        <v>0</v>
      </c>
      <c r="L400">
        <v>0</v>
      </c>
      <c r="M400" t="s">
        <v>11</v>
      </c>
    </row>
    <row r="401" spans="1:13">
      <c r="A401" s="93">
        <v>157058</v>
      </c>
      <c r="B401" t="s">
        <v>963</v>
      </c>
      <c r="C401" t="s">
        <v>4918</v>
      </c>
      <c r="D401" s="92">
        <v>0.3</v>
      </c>
      <c r="E401" s="92">
        <v>0.29</v>
      </c>
      <c r="F401" t="s">
        <v>446</v>
      </c>
      <c r="G401" t="s">
        <v>446</v>
      </c>
      <c r="H401" t="s">
        <v>4931</v>
      </c>
      <c r="I401">
        <v>0</v>
      </c>
      <c r="J401" t="s">
        <v>153</v>
      </c>
      <c r="K401">
        <v>0</v>
      </c>
      <c r="L401">
        <v>0</v>
      </c>
      <c r="M401" t="s">
        <v>11</v>
      </c>
    </row>
    <row r="402" spans="1:13">
      <c r="A402" s="93">
        <v>157100</v>
      </c>
      <c r="B402" t="s">
        <v>964</v>
      </c>
      <c r="C402" t="s">
        <v>4918</v>
      </c>
      <c r="D402" s="92">
        <v>0.34</v>
      </c>
      <c r="E402" s="92">
        <v>0.14</v>
      </c>
      <c r="F402">
        <v>890</v>
      </c>
      <c r="G402">
        <v>985</v>
      </c>
      <c r="H402" t="s">
        <v>4930</v>
      </c>
      <c r="I402">
        <v>0</v>
      </c>
      <c r="J402" t="s">
        <v>97</v>
      </c>
      <c r="K402">
        <v>0</v>
      </c>
      <c r="L402">
        <v>0</v>
      </c>
      <c r="M402" t="s">
        <v>11</v>
      </c>
    </row>
    <row r="403" spans="1:13">
      <c r="A403" s="93">
        <v>157216</v>
      </c>
      <c r="B403" t="s">
        <v>965</v>
      </c>
      <c r="C403" t="s">
        <v>4920</v>
      </c>
      <c r="D403" s="92">
        <v>0.39</v>
      </c>
      <c r="E403" s="92">
        <v>0.27</v>
      </c>
      <c r="F403" t="s">
        <v>446</v>
      </c>
      <c r="G403" t="s">
        <v>446</v>
      </c>
      <c r="H403" t="s">
        <v>4930</v>
      </c>
      <c r="I403">
        <v>0</v>
      </c>
      <c r="J403" t="s">
        <v>97</v>
      </c>
      <c r="K403">
        <v>0</v>
      </c>
      <c r="L403">
        <v>0</v>
      </c>
      <c r="M403" t="s">
        <v>11</v>
      </c>
    </row>
    <row r="404" spans="1:13">
      <c r="A404" s="93">
        <v>157447</v>
      </c>
      <c r="B404" t="s">
        <v>966</v>
      </c>
      <c r="C404" t="s">
        <v>4920</v>
      </c>
      <c r="D404" s="92">
        <v>0.5</v>
      </c>
      <c r="E404" s="92">
        <v>0.46</v>
      </c>
      <c r="F404">
        <v>1040</v>
      </c>
      <c r="G404">
        <v>1140</v>
      </c>
      <c r="H404" t="s">
        <v>4932</v>
      </c>
      <c r="I404">
        <v>0</v>
      </c>
      <c r="J404" t="s">
        <v>97</v>
      </c>
      <c r="K404">
        <v>0</v>
      </c>
      <c r="L404">
        <v>0</v>
      </c>
      <c r="M404" t="s">
        <v>11</v>
      </c>
    </row>
    <row r="405" spans="1:13">
      <c r="A405" s="93">
        <v>160579</v>
      </c>
      <c r="B405" t="s">
        <v>967</v>
      </c>
      <c r="C405" t="s">
        <v>4919</v>
      </c>
      <c r="D405" s="92">
        <v>0.49</v>
      </c>
      <c r="E405" s="92">
        <v>0.38</v>
      </c>
      <c r="F405" t="s">
        <v>446</v>
      </c>
      <c r="G405" t="s">
        <v>446</v>
      </c>
      <c r="H405" t="s">
        <v>4932</v>
      </c>
      <c r="I405">
        <v>0</v>
      </c>
      <c r="J405" t="s">
        <v>97</v>
      </c>
      <c r="K405">
        <v>0</v>
      </c>
      <c r="L405">
        <v>0</v>
      </c>
      <c r="M405" t="s">
        <v>11</v>
      </c>
    </row>
    <row r="406" spans="1:13">
      <c r="A406" s="93">
        <v>160612</v>
      </c>
      <c r="B406" t="s">
        <v>968</v>
      </c>
      <c r="C406" t="s">
        <v>4920</v>
      </c>
      <c r="D406" s="92">
        <v>0.38</v>
      </c>
      <c r="E406" s="92">
        <v>0.29</v>
      </c>
      <c r="F406" t="s">
        <v>446</v>
      </c>
      <c r="G406" t="s">
        <v>446</v>
      </c>
      <c r="H406" t="s">
        <v>4932</v>
      </c>
      <c r="I406">
        <v>0</v>
      </c>
      <c r="J406" t="s">
        <v>97</v>
      </c>
      <c r="K406">
        <v>0</v>
      </c>
      <c r="L406">
        <v>0</v>
      </c>
      <c r="M406" t="s">
        <v>11</v>
      </c>
    </row>
    <row r="407" spans="1:13">
      <c r="A407" s="93">
        <v>160667</v>
      </c>
      <c r="B407" t="s">
        <v>969</v>
      </c>
      <c r="C407" t="s">
        <v>4919</v>
      </c>
      <c r="D407" s="92">
        <v>0.34</v>
      </c>
      <c r="E407" s="92">
        <v>0.3</v>
      </c>
      <c r="F407" t="s">
        <v>446</v>
      </c>
      <c r="G407" t="s">
        <v>446</v>
      </c>
      <c r="H407" t="s">
        <v>4932</v>
      </c>
      <c r="I407">
        <v>0</v>
      </c>
      <c r="J407" t="s">
        <v>97</v>
      </c>
      <c r="K407">
        <v>0</v>
      </c>
      <c r="L407">
        <v>0</v>
      </c>
      <c r="M407" t="s">
        <v>11</v>
      </c>
    </row>
    <row r="408" spans="1:13">
      <c r="A408" s="93">
        <v>162283</v>
      </c>
      <c r="B408" t="s">
        <v>970</v>
      </c>
      <c r="C408" t="s">
        <v>4916</v>
      </c>
      <c r="D408" s="92">
        <v>0.26</v>
      </c>
      <c r="E408" s="92">
        <v>0.42</v>
      </c>
      <c r="F408">
        <v>780</v>
      </c>
      <c r="G408">
        <v>920</v>
      </c>
      <c r="H408" t="s">
        <v>4932</v>
      </c>
      <c r="I408">
        <v>0</v>
      </c>
      <c r="J408" t="s">
        <v>153</v>
      </c>
      <c r="K408">
        <v>0</v>
      </c>
      <c r="L408">
        <v>0</v>
      </c>
      <c r="M408" t="s">
        <v>11</v>
      </c>
    </row>
    <row r="409" spans="1:13">
      <c r="A409" s="93">
        <v>163259</v>
      </c>
      <c r="B409" t="s">
        <v>971</v>
      </c>
      <c r="C409" t="s">
        <v>4924</v>
      </c>
      <c r="D409" s="92">
        <v>0.25</v>
      </c>
      <c r="E409" s="92">
        <v>0.25</v>
      </c>
      <c r="F409" t="s">
        <v>446</v>
      </c>
      <c r="G409" t="s">
        <v>446</v>
      </c>
      <c r="H409" t="s">
        <v>4932</v>
      </c>
      <c r="I409">
        <v>0</v>
      </c>
      <c r="J409" t="s">
        <v>97</v>
      </c>
      <c r="K409">
        <v>0</v>
      </c>
      <c r="L409">
        <v>0</v>
      </c>
      <c r="M409" t="s">
        <v>11</v>
      </c>
    </row>
    <row r="410" spans="1:13">
      <c r="A410" s="93">
        <v>163462</v>
      </c>
      <c r="B410" t="s">
        <v>972</v>
      </c>
      <c r="C410" t="s">
        <v>4920</v>
      </c>
      <c r="D410" s="92">
        <v>0.64</v>
      </c>
      <c r="E410" s="92">
        <v>0.57</v>
      </c>
      <c r="F410" t="s">
        <v>446</v>
      </c>
      <c r="G410" t="s">
        <v>446</v>
      </c>
      <c r="H410" t="s">
        <v>4930</v>
      </c>
      <c r="I410">
        <v>0</v>
      </c>
      <c r="J410" t="s">
        <v>97</v>
      </c>
      <c r="K410">
        <v>0</v>
      </c>
      <c r="L410">
        <v>0</v>
      </c>
      <c r="M410" t="s">
        <v>11</v>
      </c>
    </row>
    <row r="411" spans="1:13">
      <c r="A411" s="93">
        <v>164748</v>
      </c>
      <c r="B411" t="s">
        <v>973</v>
      </c>
      <c r="C411" t="s">
        <v>4920</v>
      </c>
      <c r="D411" s="92">
        <v>0.6899999999999999</v>
      </c>
      <c r="E411" s="92">
        <v>0.54</v>
      </c>
      <c r="F411" t="s">
        <v>446</v>
      </c>
      <c r="G411" t="s">
        <v>446</v>
      </c>
      <c r="H411" t="s">
        <v>4930</v>
      </c>
      <c r="I411">
        <v>0</v>
      </c>
      <c r="J411" t="s">
        <v>97</v>
      </c>
      <c r="K411">
        <v>0</v>
      </c>
      <c r="L411">
        <v>0</v>
      </c>
      <c r="M411" t="s">
        <v>11</v>
      </c>
    </row>
    <row r="412" spans="1:13">
      <c r="A412" s="93">
        <v>165529</v>
      </c>
      <c r="B412" t="s">
        <v>974</v>
      </c>
      <c r="C412" t="s">
        <v>4920</v>
      </c>
      <c r="D412" s="92">
        <v>0.54</v>
      </c>
      <c r="E412" s="92">
        <v>0.38</v>
      </c>
      <c r="F412">
        <v>1080</v>
      </c>
      <c r="G412">
        <v>1120</v>
      </c>
      <c r="H412" t="s">
        <v>4930</v>
      </c>
      <c r="I412">
        <v>0</v>
      </c>
      <c r="J412" t="s">
        <v>97</v>
      </c>
      <c r="K412">
        <v>0</v>
      </c>
      <c r="L412">
        <v>0</v>
      </c>
      <c r="M412" t="s">
        <v>11</v>
      </c>
    </row>
    <row r="413" spans="1:13">
      <c r="A413" s="93">
        <v>165936</v>
      </c>
      <c r="B413" t="s">
        <v>975</v>
      </c>
      <c r="C413" t="s">
        <v>4920</v>
      </c>
      <c r="D413" s="92">
        <v>0.71</v>
      </c>
      <c r="E413" s="92">
        <v>0.67</v>
      </c>
      <c r="F413">
        <v>1150</v>
      </c>
      <c r="G413">
        <v>1260</v>
      </c>
      <c r="H413" t="s">
        <v>4930</v>
      </c>
      <c r="I413">
        <v>0</v>
      </c>
      <c r="J413" t="s">
        <v>97</v>
      </c>
      <c r="K413">
        <v>0</v>
      </c>
      <c r="L413">
        <v>0</v>
      </c>
      <c r="M413" t="s">
        <v>11</v>
      </c>
    </row>
    <row r="414" spans="1:13">
      <c r="A414" s="93">
        <v>167534</v>
      </c>
      <c r="B414" t="s">
        <v>976</v>
      </c>
      <c r="C414" t="s">
        <v>4919</v>
      </c>
      <c r="D414" s="92">
        <v>0.27</v>
      </c>
      <c r="E414" s="92">
        <v>0.21</v>
      </c>
      <c r="F414" t="s">
        <v>446</v>
      </c>
      <c r="G414" t="s">
        <v>446</v>
      </c>
      <c r="H414" t="s">
        <v>4932</v>
      </c>
      <c r="I414">
        <v>0</v>
      </c>
      <c r="J414" t="s">
        <v>97</v>
      </c>
      <c r="K414">
        <v>0</v>
      </c>
      <c r="L414">
        <v>0</v>
      </c>
      <c r="M414" t="s">
        <v>11</v>
      </c>
    </row>
    <row r="415" spans="1:13">
      <c r="A415" s="93">
        <v>168218</v>
      </c>
      <c r="B415" t="s">
        <v>977</v>
      </c>
      <c r="C415" t="s">
        <v>4921</v>
      </c>
      <c r="D415" s="92">
        <v>0.92</v>
      </c>
      <c r="E415" s="92">
        <v>0.9</v>
      </c>
      <c r="F415">
        <v>1400</v>
      </c>
      <c r="G415">
        <v>1470</v>
      </c>
      <c r="H415" t="s">
        <v>4928</v>
      </c>
      <c r="I415">
        <v>1</v>
      </c>
      <c r="J415" t="s">
        <v>97</v>
      </c>
      <c r="K415">
        <v>0</v>
      </c>
      <c r="L415">
        <v>0</v>
      </c>
      <c r="M415" t="s">
        <v>11</v>
      </c>
    </row>
    <row r="416" spans="1:13">
      <c r="A416" s="93">
        <v>169479</v>
      </c>
      <c r="B416" t="s">
        <v>978</v>
      </c>
      <c r="C416" t="s">
        <v>4918</v>
      </c>
      <c r="D416" s="92">
        <v>0.48</v>
      </c>
      <c r="E416" s="92">
        <v>0.23</v>
      </c>
      <c r="F416" t="s">
        <v>446</v>
      </c>
      <c r="G416" t="s">
        <v>446</v>
      </c>
      <c r="H416" t="s">
        <v>4930</v>
      </c>
      <c r="I416">
        <v>0</v>
      </c>
      <c r="J416" t="s">
        <v>97</v>
      </c>
      <c r="K416">
        <v>0</v>
      </c>
      <c r="L416">
        <v>0</v>
      </c>
      <c r="M416" t="s">
        <v>11</v>
      </c>
    </row>
    <row r="417" spans="1:13">
      <c r="A417" s="93">
        <v>170240</v>
      </c>
      <c r="B417" t="s">
        <v>979</v>
      </c>
      <c r="C417" t="s">
        <v>4923</v>
      </c>
      <c r="D417" s="92">
        <v>0.25</v>
      </c>
      <c r="E417" s="92">
        <v>0.25</v>
      </c>
      <c r="F417" t="s">
        <v>446</v>
      </c>
      <c r="G417" t="s">
        <v>446</v>
      </c>
      <c r="H417" t="s">
        <v>4932</v>
      </c>
      <c r="I417">
        <v>0</v>
      </c>
      <c r="J417" t="s">
        <v>97</v>
      </c>
      <c r="K417">
        <v>0</v>
      </c>
      <c r="L417">
        <v>0</v>
      </c>
      <c r="M417" t="s">
        <v>11</v>
      </c>
    </row>
    <row r="418" spans="1:13">
      <c r="A418" s="93">
        <v>170444</v>
      </c>
      <c r="B418" t="s">
        <v>980</v>
      </c>
      <c r="C418" t="s">
        <v>4923</v>
      </c>
      <c r="D418" s="92">
        <v>0.18</v>
      </c>
      <c r="E418" s="92">
        <v>1</v>
      </c>
      <c r="F418" t="s">
        <v>446</v>
      </c>
      <c r="G418" t="s">
        <v>446</v>
      </c>
      <c r="H418" t="s">
        <v>4932</v>
      </c>
      <c r="I418">
        <v>0</v>
      </c>
      <c r="J418" t="s">
        <v>97</v>
      </c>
      <c r="K418">
        <v>0</v>
      </c>
      <c r="L418">
        <v>0</v>
      </c>
      <c r="M418" t="s">
        <v>11</v>
      </c>
    </row>
    <row r="419" spans="1:13">
      <c r="A419" s="93">
        <v>170541</v>
      </c>
      <c r="B419" t="s">
        <v>981</v>
      </c>
      <c r="C419" t="s">
        <v>4919</v>
      </c>
      <c r="D419" s="92">
        <v>0.3</v>
      </c>
      <c r="E419" s="92">
        <v>0.17</v>
      </c>
      <c r="F419" t="s">
        <v>446</v>
      </c>
      <c r="G419" t="s">
        <v>446</v>
      </c>
      <c r="H419" t="s">
        <v>4932</v>
      </c>
      <c r="I419">
        <v>0</v>
      </c>
      <c r="J419" t="s">
        <v>97</v>
      </c>
      <c r="K419">
        <v>0</v>
      </c>
      <c r="L419">
        <v>0</v>
      </c>
      <c r="M419" t="s">
        <v>11</v>
      </c>
    </row>
    <row r="420" spans="1:13">
      <c r="A420" s="93">
        <v>170657</v>
      </c>
      <c r="B420" t="s">
        <v>982</v>
      </c>
      <c r="C420" t="s">
        <v>4919</v>
      </c>
      <c r="D420" s="92">
        <v>0.31</v>
      </c>
      <c r="E420" s="92">
        <v>0.23</v>
      </c>
      <c r="F420" t="s">
        <v>446</v>
      </c>
      <c r="G420" t="s">
        <v>446</v>
      </c>
      <c r="H420" t="s">
        <v>4932</v>
      </c>
      <c r="I420">
        <v>0</v>
      </c>
      <c r="J420" t="s">
        <v>97</v>
      </c>
      <c r="K420">
        <v>0</v>
      </c>
      <c r="L420">
        <v>0</v>
      </c>
      <c r="M420" t="s">
        <v>11</v>
      </c>
    </row>
    <row r="421" spans="1:13">
      <c r="A421" s="93">
        <v>170790</v>
      </c>
      <c r="B421" t="s">
        <v>983</v>
      </c>
      <c r="C421" t="s">
        <v>4919</v>
      </c>
      <c r="D421" s="92">
        <v>0.26</v>
      </c>
      <c r="E421" s="92">
        <v>0.24</v>
      </c>
      <c r="F421" t="s">
        <v>446</v>
      </c>
      <c r="G421" t="s">
        <v>446</v>
      </c>
      <c r="H421" t="s">
        <v>4932</v>
      </c>
      <c r="I421">
        <v>0</v>
      </c>
      <c r="J421" t="s">
        <v>97</v>
      </c>
      <c r="K421">
        <v>0</v>
      </c>
      <c r="L421">
        <v>0</v>
      </c>
      <c r="M421" t="s">
        <v>11</v>
      </c>
    </row>
    <row r="422" spans="1:13">
      <c r="A422" s="93">
        <v>171128</v>
      </c>
      <c r="B422" t="s">
        <v>984</v>
      </c>
      <c r="C422" t="s">
        <v>4916</v>
      </c>
      <c r="D422" s="92">
        <v>0.7</v>
      </c>
      <c r="E422" s="92">
        <v>0.63</v>
      </c>
      <c r="F422">
        <v>1130</v>
      </c>
      <c r="G422">
        <v>1235</v>
      </c>
      <c r="H422" t="s">
        <v>4933</v>
      </c>
      <c r="I422">
        <v>0</v>
      </c>
      <c r="J422" t="s">
        <v>97</v>
      </c>
      <c r="K422">
        <v>0</v>
      </c>
      <c r="L422">
        <v>0</v>
      </c>
      <c r="M422" t="s">
        <v>11</v>
      </c>
    </row>
    <row r="423" spans="1:13">
      <c r="A423" s="93">
        <v>171155</v>
      </c>
      <c r="B423" t="s">
        <v>985</v>
      </c>
      <c r="C423" t="s">
        <v>4919</v>
      </c>
      <c r="D423" s="92">
        <v>0.27</v>
      </c>
      <c r="E423" s="92">
        <v>0.25</v>
      </c>
      <c r="F423" t="s">
        <v>446</v>
      </c>
      <c r="G423" t="s">
        <v>446</v>
      </c>
      <c r="H423" t="s">
        <v>4932</v>
      </c>
      <c r="I423">
        <v>0</v>
      </c>
      <c r="J423" t="s">
        <v>97</v>
      </c>
      <c r="K423">
        <v>0</v>
      </c>
      <c r="L423">
        <v>0</v>
      </c>
      <c r="M423" t="s">
        <v>11</v>
      </c>
    </row>
    <row r="424" spans="1:13">
      <c r="A424" s="93">
        <v>171535</v>
      </c>
      <c r="B424" t="s">
        <v>986</v>
      </c>
      <c r="C424" t="s">
        <v>4919</v>
      </c>
      <c r="D424" s="92">
        <v>0.28</v>
      </c>
      <c r="E424" s="92">
        <v>0.2</v>
      </c>
      <c r="F424" t="s">
        <v>446</v>
      </c>
      <c r="G424" t="s">
        <v>446</v>
      </c>
      <c r="H424" t="s">
        <v>4932</v>
      </c>
      <c r="I424">
        <v>0</v>
      </c>
      <c r="J424" t="s">
        <v>97</v>
      </c>
      <c r="K424">
        <v>0</v>
      </c>
      <c r="L424">
        <v>0</v>
      </c>
      <c r="M424" t="s">
        <v>11</v>
      </c>
    </row>
    <row r="425" spans="1:13">
      <c r="A425" s="93">
        <v>173638</v>
      </c>
      <c r="B425" t="s">
        <v>987</v>
      </c>
      <c r="C425" t="s">
        <v>4919</v>
      </c>
      <c r="D425" s="92">
        <v>0.53</v>
      </c>
      <c r="E425" s="92">
        <v>0.4</v>
      </c>
      <c r="F425" t="s">
        <v>446</v>
      </c>
      <c r="G425" t="s">
        <v>446</v>
      </c>
      <c r="H425" t="s">
        <v>4932</v>
      </c>
      <c r="I425">
        <v>0</v>
      </c>
      <c r="J425" t="s">
        <v>97</v>
      </c>
      <c r="K425">
        <v>0</v>
      </c>
      <c r="L425">
        <v>0</v>
      </c>
      <c r="M425" t="s">
        <v>11</v>
      </c>
    </row>
    <row r="426" spans="1:13">
      <c r="A426" s="93">
        <v>174437</v>
      </c>
      <c r="B426" t="s">
        <v>988</v>
      </c>
      <c r="C426" t="s">
        <v>4920</v>
      </c>
      <c r="D426" s="92">
        <v>0.53</v>
      </c>
      <c r="E426" s="92">
        <v>0.34</v>
      </c>
      <c r="F426" t="s">
        <v>446</v>
      </c>
      <c r="G426" t="s">
        <v>446</v>
      </c>
      <c r="H426" t="s">
        <v>4930</v>
      </c>
      <c r="I426">
        <v>0</v>
      </c>
      <c r="J426" t="s">
        <v>97</v>
      </c>
      <c r="K426">
        <v>0</v>
      </c>
      <c r="L426">
        <v>0</v>
      </c>
      <c r="M426" t="s">
        <v>11</v>
      </c>
    </row>
    <row r="427" spans="1:13">
      <c r="A427" s="93">
        <v>174783</v>
      </c>
      <c r="B427" t="s">
        <v>989</v>
      </c>
      <c r="C427" t="s">
        <v>4920</v>
      </c>
      <c r="D427" s="92">
        <v>0.46</v>
      </c>
      <c r="E427" s="92">
        <v>0.32</v>
      </c>
      <c r="F427">
        <v>970</v>
      </c>
      <c r="G427">
        <v>1075</v>
      </c>
      <c r="H427" t="s">
        <v>4932</v>
      </c>
      <c r="I427">
        <v>0</v>
      </c>
      <c r="J427" t="s">
        <v>97</v>
      </c>
      <c r="K427">
        <v>0</v>
      </c>
      <c r="L427">
        <v>0</v>
      </c>
      <c r="M427" t="s">
        <v>11</v>
      </c>
    </row>
    <row r="428" spans="1:13">
      <c r="A428" s="93">
        <v>175342</v>
      </c>
      <c r="B428" t="s">
        <v>990</v>
      </c>
      <c r="C428" t="s">
        <v>4920</v>
      </c>
      <c r="D428" s="92">
        <v>0.42</v>
      </c>
      <c r="E428" s="92">
        <v>0.57</v>
      </c>
      <c r="F428">
        <v>930</v>
      </c>
      <c r="G428">
        <v>1085</v>
      </c>
      <c r="H428" t="s">
        <v>4931</v>
      </c>
      <c r="I428">
        <v>0</v>
      </c>
      <c r="J428" t="s">
        <v>153</v>
      </c>
      <c r="K428">
        <v>0</v>
      </c>
      <c r="L428">
        <v>0</v>
      </c>
      <c r="M428" t="s">
        <v>11</v>
      </c>
    </row>
    <row r="429" spans="1:13">
      <c r="A429" s="93">
        <v>175616</v>
      </c>
      <c r="B429" t="s">
        <v>991</v>
      </c>
      <c r="C429" t="s">
        <v>4920</v>
      </c>
      <c r="D429" s="92">
        <v>0.4</v>
      </c>
      <c r="E429" s="92">
        <v>0.32</v>
      </c>
      <c r="F429">
        <v>890</v>
      </c>
      <c r="G429">
        <v>1000</v>
      </c>
      <c r="H429" t="s">
        <v>4932</v>
      </c>
      <c r="I429">
        <v>0</v>
      </c>
      <c r="J429" t="s">
        <v>97</v>
      </c>
      <c r="K429">
        <v>0</v>
      </c>
      <c r="L429">
        <v>0</v>
      </c>
      <c r="M429" t="s">
        <v>11</v>
      </c>
    </row>
    <row r="430" spans="1:13">
      <c r="A430" s="93">
        <v>176017</v>
      </c>
      <c r="B430" t="s">
        <v>992</v>
      </c>
      <c r="C430" t="s">
        <v>4920</v>
      </c>
      <c r="D430" s="92">
        <v>0.68</v>
      </c>
      <c r="E430" s="92">
        <v>0.55</v>
      </c>
      <c r="F430">
        <v>1080</v>
      </c>
      <c r="G430">
        <v>1210</v>
      </c>
      <c r="H430" t="s">
        <v>4930</v>
      </c>
      <c r="I430">
        <v>0</v>
      </c>
      <c r="J430" t="s">
        <v>97</v>
      </c>
      <c r="K430">
        <v>0</v>
      </c>
      <c r="L430">
        <v>0</v>
      </c>
      <c r="M430" t="s">
        <v>11</v>
      </c>
    </row>
    <row r="431" spans="1:13">
      <c r="A431" s="93">
        <v>176071</v>
      </c>
      <c r="B431" t="s">
        <v>993</v>
      </c>
      <c r="C431" t="s">
        <v>4919</v>
      </c>
      <c r="D431" s="92">
        <v>0.5</v>
      </c>
      <c r="E431" s="92">
        <v>0.45</v>
      </c>
      <c r="F431" t="s">
        <v>446</v>
      </c>
      <c r="G431" t="s">
        <v>446</v>
      </c>
      <c r="H431" t="s">
        <v>4932</v>
      </c>
      <c r="I431">
        <v>0</v>
      </c>
      <c r="J431" t="s">
        <v>97</v>
      </c>
      <c r="K431">
        <v>0</v>
      </c>
      <c r="L431">
        <v>0</v>
      </c>
      <c r="M431" t="s">
        <v>11</v>
      </c>
    </row>
    <row r="432" spans="1:13">
      <c r="A432" s="93">
        <v>176239</v>
      </c>
      <c r="B432" t="s">
        <v>994</v>
      </c>
      <c r="C432" t="s">
        <v>4919</v>
      </c>
      <c r="D432" s="92">
        <v>0.46</v>
      </c>
      <c r="E432" s="92">
        <v>0.41</v>
      </c>
      <c r="F432" t="s">
        <v>446</v>
      </c>
      <c r="G432" t="s">
        <v>446</v>
      </c>
      <c r="H432" t="s">
        <v>4932</v>
      </c>
      <c r="I432">
        <v>0</v>
      </c>
      <c r="J432" t="s">
        <v>97</v>
      </c>
      <c r="K432">
        <v>0</v>
      </c>
      <c r="L432">
        <v>0</v>
      </c>
      <c r="M432" t="s">
        <v>11</v>
      </c>
    </row>
    <row r="433" spans="1:13">
      <c r="A433" s="93">
        <v>176372</v>
      </c>
      <c r="B433" t="s">
        <v>995</v>
      </c>
      <c r="C433" t="s">
        <v>4920</v>
      </c>
      <c r="D433" s="92">
        <v>0.52</v>
      </c>
      <c r="E433" s="92">
        <v>0.43</v>
      </c>
      <c r="F433">
        <v>1010</v>
      </c>
      <c r="G433">
        <v>1125</v>
      </c>
      <c r="H433" t="s">
        <v>4930</v>
      </c>
      <c r="I433">
        <v>0</v>
      </c>
      <c r="J433" t="s">
        <v>97</v>
      </c>
      <c r="K433">
        <v>0</v>
      </c>
      <c r="L433">
        <v>0</v>
      </c>
      <c r="M433" t="s">
        <v>11</v>
      </c>
    </row>
    <row r="434" spans="1:13">
      <c r="A434" s="93">
        <v>177968</v>
      </c>
      <c r="B434" t="s">
        <v>996</v>
      </c>
      <c r="C434" t="s">
        <v>4920</v>
      </c>
      <c r="D434" s="92">
        <v>0.53</v>
      </c>
      <c r="E434" s="92">
        <v>0.44</v>
      </c>
      <c r="F434">
        <v>930</v>
      </c>
      <c r="G434">
        <v>1150</v>
      </c>
      <c r="H434" t="s">
        <v>4930</v>
      </c>
      <c r="I434">
        <v>0</v>
      </c>
      <c r="J434" t="s">
        <v>97</v>
      </c>
      <c r="K434">
        <v>0</v>
      </c>
      <c r="L434">
        <v>0</v>
      </c>
      <c r="M434" t="s">
        <v>11</v>
      </c>
    </row>
    <row r="435" spans="1:13">
      <c r="A435" s="93">
        <v>178615</v>
      </c>
      <c r="B435" t="s">
        <v>997</v>
      </c>
      <c r="C435" t="s">
        <v>4917</v>
      </c>
      <c r="D435" s="92">
        <v>0.74</v>
      </c>
      <c r="E435" s="92">
        <v>0.59</v>
      </c>
      <c r="F435">
        <v>1180</v>
      </c>
      <c r="G435">
        <v>1275</v>
      </c>
      <c r="H435" t="s">
        <v>4931</v>
      </c>
      <c r="I435">
        <v>0</v>
      </c>
      <c r="J435" t="s">
        <v>97</v>
      </c>
      <c r="K435">
        <v>0</v>
      </c>
      <c r="L435">
        <v>0</v>
      </c>
      <c r="M435" t="s">
        <v>11</v>
      </c>
    </row>
    <row r="436" spans="1:13">
      <c r="A436" s="93">
        <v>179539</v>
      </c>
      <c r="B436" t="s">
        <v>998</v>
      </c>
      <c r="C436" t="s">
        <v>4919</v>
      </c>
      <c r="D436" s="92">
        <v>0.4</v>
      </c>
      <c r="E436" s="92">
        <v>0.31</v>
      </c>
      <c r="F436" t="s">
        <v>446</v>
      </c>
      <c r="G436" t="s">
        <v>446</v>
      </c>
      <c r="H436" t="s">
        <v>4932</v>
      </c>
      <c r="I436">
        <v>0</v>
      </c>
      <c r="J436" t="s">
        <v>97</v>
      </c>
      <c r="K436">
        <v>0</v>
      </c>
      <c r="L436">
        <v>0</v>
      </c>
      <c r="M436" t="s">
        <v>11</v>
      </c>
    </row>
    <row r="437" spans="1:13">
      <c r="A437" s="93">
        <v>179557</v>
      </c>
      <c r="B437" t="s">
        <v>999</v>
      </c>
      <c r="C437" t="s">
        <v>4920</v>
      </c>
      <c r="D437" s="92">
        <v>0.54</v>
      </c>
      <c r="E437" s="92">
        <v>0.37</v>
      </c>
      <c r="F437" t="s">
        <v>446</v>
      </c>
      <c r="G437" t="s">
        <v>446</v>
      </c>
      <c r="H437" t="s">
        <v>4932</v>
      </c>
      <c r="I437">
        <v>0</v>
      </c>
      <c r="J437" t="s">
        <v>97</v>
      </c>
      <c r="K437">
        <v>0</v>
      </c>
      <c r="L437">
        <v>0</v>
      </c>
      <c r="M437" t="s">
        <v>11</v>
      </c>
    </row>
    <row r="438" spans="1:13">
      <c r="A438" s="93">
        <v>180151</v>
      </c>
      <c r="B438" t="s">
        <v>1000</v>
      </c>
      <c r="C438" t="s">
        <v>4919</v>
      </c>
      <c r="D438" s="92">
        <v>0.48</v>
      </c>
      <c r="E438" s="92">
        <v>0.39</v>
      </c>
      <c r="F438" t="s">
        <v>446</v>
      </c>
      <c r="G438" t="s">
        <v>446</v>
      </c>
      <c r="H438" t="s">
        <v>4932</v>
      </c>
      <c r="I438">
        <v>0</v>
      </c>
      <c r="J438" t="s">
        <v>97</v>
      </c>
      <c r="K438">
        <v>0</v>
      </c>
      <c r="L438">
        <v>0</v>
      </c>
      <c r="M438" t="s">
        <v>11</v>
      </c>
    </row>
    <row r="439" spans="1:13">
      <c r="A439" s="93">
        <v>181303</v>
      </c>
      <c r="B439" t="s">
        <v>1001</v>
      </c>
      <c r="C439" t="s">
        <v>4919</v>
      </c>
      <c r="D439" s="92">
        <v>0.28</v>
      </c>
      <c r="E439" s="92">
        <v>0.21</v>
      </c>
      <c r="F439" t="s">
        <v>446</v>
      </c>
      <c r="G439" t="s">
        <v>446</v>
      </c>
      <c r="H439" t="s">
        <v>4932</v>
      </c>
      <c r="I439">
        <v>0</v>
      </c>
      <c r="J439" t="s">
        <v>97</v>
      </c>
      <c r="K439">
        <v>0</v>
      </c>
      <c r="L439">
        <v>0</v>
      </c>
      <c r="M439" t="s">
        <v>11</v>
      </c>
    </row>
    <row r="440" spans="1:13">
      <c r="A440" s="93">
        <v>181394</v>
      </c>
      <c r="B440" t="s">
        <v>1002</v>
      </c>
      <c r="C440" t="s">
        <v>4920</v>
      </c>
      <c r="D440" s="92">
        <v>0.52</v>
      </c>
      <c r="E440" s="92">
        <v>0.39</v>
      </c>
      <c r="F440">
        <v>970</v>
      </c>
      <c r="G440">
        <v>1090</v>
      </c>
      <c r="H440" t="s">
        <v>4932</v>
      </c>
      <c r="I440">
        <v>0</v>
      </c>
      <c r="J440" t="s">
        <v>97</v>
      </c>
      <c r="K440">
        <v>0</v>
      </c>
      <c r="L440">
        <v>0</v>
      </c>
      <c r="M440" t="s">
        <v>11</v>
      </c>
    </row>
    <row r="441" spans="1:13">
      <c r="A441" s="93">
        <v>181491</v>
      </c>
      <c r="B441" t="s">
        <v>1003</v>
      </c>
      <c r="C441" t="s">
        <v>4919</v>
      </c>
      <c r="D441" s="92">
        <v>0.59</v>
      </c>
      <c r="E441" s="92">
        <v>0.45</v>
      </c>
      <c r="F441" t="s">
        <v>446</v>
      </c>
      <c r="G441" t="s">
        <v>446</v>
      </c>
      <c r="H441" t="s">
        <v>4932</v>
      </c>
      <c r="I441">
        <v>0</v>
      </c>
      <c r="J441" t="s">
        <v>97</v>
      </c>
      <c r="K441">
        <v>0</v>
      </c>
      <c r="L441">
        <v>0</v>
      </c>
      <c r="M441" t="s">
        <v>11</v>
      </c>
    </row>
    <row r="442" spans="1:13">
      <c r="A442" s="93">
        <v>182281</v>
      </c>
      <c r="B442" t="s">
        <v>1004</v>
      </c>
      <c r="C442" t="s">
        <v>4920</v>
      </c>
      <c r="D442" s="92">
        <v>0.47</v>
      </c>
      <c r="E442" s="92">
        <v>0.43</v>
      </c>
      <c r="F442" t="s">
        <v>446</v>
      </c>
      <c r="G442" t="s">
        <v>446</v>
      </c>
      <c r="H442" t="s">
        <v>4930</v>
      </c>
      <c r="I442">
        <v>0</v>
      </c>
      <c r="J442" t="s">
        <v>97</v>
      </c>
      <c r="K442">
        <v>0</v>
      </c>
      <c r="L442">
        <v>0</v>
      </c>
      <c r="M442" t="s">
        <v>11</v>
      </c>
    </row>
    <row r="443" spans="1:13">
      <c r="A443" s="93">
        <v>182980</v>
      </c>
      <c r="B443" t="s">
        <v>1005</v>
      </c>
      <c r="C443" t="s">
        <v>4920</v>
      </c>
      <c r="D443" s="92">
        <v>0.26</v>
      </c>
      <c r="E443" s="92">
        <v>0.15</v>
      </c>
      <c r="F443" t="s">
        <v>446</v>
      </c>
      <c r="G443" t="s">
        <v>446</v>
      </c>
      <c r="H443" t="s">
        <v>4930</v>
      </c>
      <c r="I443">
        <v>0</v>
      </c>
      <c r="J443" t="s">
        <v>97</v>
      </c>
      <c r="K443">
        <v>0</v>
      </c>
      <c r="L443">
        <v>0</v>
      </c>
      <c r="M443" t="s">
        <v>11</v>
      </c>
    </row>
    <row r="444" spans="1:13">
      <c r="A444" s="93">
        <v>185590</v>
      </c>
      <c r="B444" t="s">
        <v>1006</v>
      </c>
      <c r="C444" t="s">
        <v>4918</v>
      </c>
      <c r="D444" s="92">
        <v>0.67</v>
      </c>
      <c r="E444" s="92">
        <v>0.6</v>
      </c>
      <c r="F444">
        <v>1010</v>
      </c>
      <c r="G444">
        <v>1110</v>
      </c>
      <c r="H444" t="s">
        <v>4930</v>
      </c>
      <c r="I444">
        <v>0</v>
      </c>
      <c r="J444" t="s">
        <v>97</v>
      </c>
      <c r="K444">
        <v>0</v>
      </c>
      <c r="L444">
        <v>0</v>
      </c>
      <c r="M444" t="s">
        <v>11</v>
      </c>
    </row>
    <row r="445" spans="1:13">
      <c r="A445" s="93">
        <v>186399</v>
      </c>
      <c r="B445" t="s">
        <v>1007</v>
      </c>
      <c r="C445" t="s">
        <v>4920</v>
      </c>
      <c r="D445" s="92">
        <v>0.65</v>
      </c>
      <c r="E445" s="92">
        <v>0.6</v>
      </c>
      <c r="F445">
        <v>1030</v>
      </c>
      <c r="G445">
        <v>1150</v>
      </c>
      <c r="H445" t="s">
        <v>4932</v>
      </c>
      <c r="I445">
        <v>0</v>
      </c>
      <c r="J445" t="s">
        <v>97</v>
      </c>
      <c r="K445">
        <v>0</v>
      </c>
      <c r="L445">
        <v>0</v>
      </c>
      <c r="M445" t="s">
        <v>11</v>
      </c>
    </row>
    <row r="446" spans="1:13">
      <c r="A446" s="93">
        <v>187639</v>
      </c>
      <c r="B446" t="s">
        <v>1008</v>
      </c>
      <c r="C446" t="s">
        <v>4919</v>
      </c>
      <c r="D446" s="92">
        <v>0.48</v>
      </c>
      <c r="E446" s="92">
        <v>0.41</v>
      </c>
      <c r="F446" t="s">
        <v>446</v>
      </c>
      <c r="G446" t="s">
        <v>446</v>
      </c>
      <c r="H446" t="s">
        <v>4932</v>
      </c>
      <c r="I446">
        <v>0</v>
      </c>
      <c r="J446" t="s">
        <v>97</v>
      </c>
      <c r="K446">
        <v>0</v>
      </c>
      <c r="L446">
        <v>0</v>
      </c>
      <c r="M446" t="s">
        <v>11</v>
      </c>
    </row>
    <row r="447" spans="1:13">
      <c r="A447" s="93">
        <v>188100</v>
      </c>
      <c r="B447" t="s">
        <v>1009</v>
      </c>
      <c r="C447" t="s">
        <v>4919</v>
      </c>
      <c r="D447" s="92">
        <v>0.27</v>
      </c>
      <c r="E447" s="92">
        <v>0.28</v>
      </c>
      <c r="F447" t="s">
        <v>446</v>
      </c>
      <c r="G447" t="s">
        <v>446</v>
      </c>
      <c r="H447" t="s">
        <v>4932</v>
      </c>
      <c r="I447">
        <v>0</v>
      </c>
      <c r="J447" t="s">
        <v>97</v>
      </c>
      <c r="K447">
        <v>0</v>
      </c>
      <c r="L447">
        <v>0</v>
      </c>
      <c r="M447" t="s">
        <v>11</v>
      </c>
    </row>
    <row r="448" spans="1:13">
      <c r="A448" s="93">
        <v>189088</v>
      </c>
      <c r="B448" t="s">
        <v>1010</v>
      </c>
      <c r="C448" t="s">
        <v>4917</v>
      </c>
      <c r="D448" s="92">
        <v>0.74</v>
      </c>
      <c r="E448" s="92">
        <v>0.73</v>
      </c>
      <c r="F448" t="s">
        <v>446</v>
      </c>
      <c r="G448" t="s">
        <v>446</v>
      </c>
      <c r="H448" t="s">
        <v>4930</v>
      </c>
      <c r="I448">
        <v>0</v>
      </c>
      <c r="J448" t="s">
        <v>97</v>
      </c>
      <c r="K448">
        <v>0</v>
      </c>
      <c r="L448">
        <v>0</v>
      </c>
      <c r="M448" t="s">
        <v>11</v>
      </c>
    </row>
    <row r="449" spans="1:13">
      <c r="A449" s="93">
        <v>189705</v>
      </c>
      <c r="B449" t="s">
        <v>1011</v>
      </c>
      <c r="C449" t="s">
        <v>4920</v>
      </c>
      <c r="D449" s="92">
        <v>0.71</v>
      </c>
      <c r="E449" s="92">
        <v>0.54</v>
      </c>
      <c r="F449">
        <v>1050</v>
      </c>
      <c r="G449">
        <v>1150</v>
      </c>
      <c r="H449" t="s">
        <v>4931</v>
      </c>
      <c r="I449">
        <v>0</v>
      </c>
      <c r="J449" t="s">
        <v>97</v>
      </c>
      <c r="K449">
        <v>0</v>
      </c>
      <c r="L449">
        <v>0</v>
      </c>
      <c r="M449" t="s">
        <v>11</v>
      </c>
    </row>
    <row r="450" spans="1:13">
      <c r="A450" s="93">
        <v>193326</v>
      </c>
      <c r="B450" t="s">
        <v>1012</v>
      </c>
      <c r="C450" t="s">
        <v>4919</v>
      </c>
      <c r="D450" s="92">
        <v>0.3</v>
      </c>
      <c r="E450" s="92">
        <v>0.18</v>
      </c>
      <c r="F450" t="s">
        <v>446</v>
      </c>
      <c r="G450" t="s">
        <v>446</v>
      </c>
      <c r="H450" t="s">
        <v>4932</v>
      </c>
      <c r="I450">
        <v>0</v>
      </c>
      <c r="J450" t="s">
        <v>97</v>
      </c>
      <c r="K450">
        <v>0</v>
      </c>
      <c r="L450">
        <v>0</v>
      </c>
      <c r="M450" t="s">
        <v>11</v>
      </c>
    </row>
    <row r="451" spans="1:13">
      <c r="A451" s="93">
        <v>193821</v>
      </c>
      <c r="B451" t="s">
        <v>1013</v>
      </c>
      <c r="C451" t="s">
        <v>4924</v>
      </c>
      <c r="D451" s="92">
        <v>0.25</v>
      </c>
      <c r="E451" s="92">
        <v>0.25</v>
      </c>
      <c r="F451" t="s">
        <v>446</v>
      </c>
      <c r="G451" t="s">
        <v>446</v>
      </c>
      <c r="H451" t="s">
        <v>4932</v>
      </c>
      <c r="I451">
        <v>0</v>
      </c>
      <c r="J451" t="s">
        <v>97</v>
      </c>
      <c r="K451">
        <v>0</v>
      </c>
      <c r="L451">
        <v>0</v>
      </c>
      <c r="M451" t="s">
        <v>11</v>
      </c>
    </row>
    <row r="452" spans="1:13">
      <c r="A452" s="93">
        <v>194240</v>
      </c>
      <c r="B452" t="s">
        <v>1014</v>
      </c>
      <c r="C452" t="s">
        <v>4919</v>
      </c>
      <c r="D452" s="92">
        <v>0.33</v>
      </c>
      <c r="E452" s="92">
        <v>0.29</v>
      </c>
      <c r="F452" t="s">
        <v>446</v>
      </c>
      <c r="G452" t="s">
        <v>446</v>
      </c>
      <c r="H452" t="s">
        <v>4932</v>
      </c>
      <c r="I452">
        <v>0</v>
      </c>
      <c r="J452" t="s">
        <v>97</v>
      </c>
      <c r="K452">
        <v>0</v>
      </c>
      <c r="L452">
        <v>0</v>
      </c>
      <c r="M452" t="s">
        <v>11</v>
      </c>
    </row>
    <row r="453" spans="1:13">
      <c r="A453" s="93">
        <v>194310</v>
      </c>
      <c r="B453" t="s">
        <v>1015</v>
      </c>
      <c r="C453" t="s">
        <v>4920</v>
      </c>
      <c r="D453" s="92">
        <v>0.59</v>
      </c>
      <c r="E453" s="92">
        <v>0.52</v>
      </c>
      <c r="F453">
        <v>1120</v>
      </c>
      <c r="G453">
        <v>1215</v>
      </c>
      <c r="H453" t="s">
        <v>4930</v>
      </c>
      <c r="I453">
        <v>0</v>
      </c>
      <c r="J453" t="s">
        <v>97</v>
      </c>
      <c r="K453">
        <v>0</v>
      </c>
      <c r="L453">
        <v>0</v>
      </c>
      <c r="M453" t="s">
        <v>11</v>
      </c>
    </row>
    <row r="454" spans="1:13">
      <c r="A454" s="93">
        <v>194824</v>
      </c>
      <c r="B454" t="s">
        <v>1016</v>
      </c>
      <c r="C454" t="s">
        <v>4922</v>
      </c>
      <c r="D454" s="92">
        <v>0.84</v>
      </c>
      <c r="E454" s="92">
        <v>0.8</v>
      </c>
      <c r="F454">
        <v>1360</v>
      </c>
      <c r="G454">
        <v>1440</v>
      </c>
      <c r="H454" t="s">
        <v>4929</v>
      </c>
      <c r="I454">
        <v>1</v>
      </c>
      <c r="J454" t="s">
        <v>97</v>
      </c>
      <c r="K454">
        <v>0</v>
      </c>
      <c r="L454">
        <v>0</v>
      </c>
      <c r="M454" t="s">
        <v>11</v>
      </c>
    </row>
    <row r="455" spans="1:13">
      <c r="A455" s="93">
        <v>195003</v>
      </c>
      <c r="B455" t="s">
        <v>1017</v>
      </c>
      <c r="C455" t="s">
        <v>4917</v>
      </c>
      <c r="D455" s="92">
        <v>0.71</v>
      </c>
      <c r="E455" s="92">
        <v>0.63</v>
      </c>
      <c r="F455">
        <v>1270</v>
      </c>
      <c r="G455">
        <v>1360</v>
      </c>
      <c r="H455" t="s">
        <v>4930</v>
      </c>
      <c r="I455">
        <v>0</v>
      </c>
      <c r="J455" t="s">
        <v>97</v>
      </c>
      <c r="K455">
        <v>0</v>
      </c>
      <c r="L455">
        <v>0</v>
      </c>
      <c r="M455" t="s">
        <v>11</v>
      </c>
    </row>
    <row r="456" spans="1:13">
      <c r="A456" s="93">
        <v>195128</v>
      </c>
      <c r="B456" t="s">
        <v>1018</v>
      </c>
      <c r="C456" t="s">
        <v>4920</v>
      </c>
      <c r="D456" s="92">
        <v>0.65</v>
      </c>
      <c r="E456" s="92">
        <v>0.55</v>
      </c>
      <c r="F456" t="s">
        <v>446</v>
      </c>
      <c r="G456" t="s">
        <v>446</v>
      </c>
      <c r="H456" t="s">
        <v>4930</v>
      </c>
      <c r="I456">
        <v>0</v>
      </c>
      <c r="J456" t="s">
        <v>97</v>
      </c>
      <c r="K456">
        <v>0</v>
      </c>
      <c r="L456">
        <v>0</v>
      </c>
      <c r="M456" t="s">
        <v>11</v>
      </c>
    </row>
    <row r="457" spans="1:13">
      <c r="A457" s="93">
        <v>195526</v>
      </c>
      <c r="B457" t="s">
        <v>513</v>
      </c>
      <c r="C457" t="s">
        <v>4917</v>
      </c>
      <c r="D457" s="92">
        <v>0.84</v>
      </c>
      <c r="E457" s="92">
        <v>0.82</v>
      </c>
      <c r="F457">
        <v>1270</v>
      </c>
      <c r="G457">
        <v>1355</v>
      </c>
      <c r="H457" t="s">
        <v>4931</v>
      </c>
      <c r="I457">
        <v>0</v>
      </c>
      <c r="J457" t="s">
        <v>97</v>
      </c>
      <c r="K457">
        <v>0</v>
      </c>
      <c r="L457">
        <v>0</v>
      </c>
      <c r="M457" t="s">
        <v>11</v>
      </c>
    </row>
    <row r="458" spans="1:13">
      <c r="A458" s="93">
        <v>195544</v>
      </c>
      <c r="B458" t="s">
        <v>1019</v>
      </c>
      <c r="C458" t="s">
        <v>4918</v>
      </c>
      <c r="D458" s="92">
        <v>0.6899999999999999</v>
      </c>
      <c r="E458" s="92">
        <v>0.63</v>
      </c>
      <c r="F458">
        <v>1060</v>
      </c>
      <c r="G458">
        <v>1155</v>
      </c>
      <c r="H458" t="s">
        <v>4931</v>
      </c>
      <c r="I458">
        <v>0</v>
      </c>
      <c r="J458" t="s">
        <v>97</v>
      </c>
      <c r="K458">
        <v>0</v>
      </c>
      <c r="L458">
        <v>0</v>
      </c>
      <c r="M458" t="s">
        <v>11</v>
      </c>
    </row>
    <row r="459" spans="1:13">
      <c r="A459" s="93">
        <v>196468</v>
      </c>
      <c r="B459" t="s">
        <v>1020</v>
      </c>
      <c r="C459" t="s">
        <v>4924</v>
      </c>
      <c r="D459" s="92">
        <v>0.25</v>
      </c>
      <c r="E459" s="92">
        <v>0.25</v>
      </c>
      <c r="F459" t="s">
        <v>446</v>
      </c>
      <c r="G459" t="s">
        <v>446</v>
      </c>
      <c r="H459" t="s">
        <v>4932</v>
      </c>
      <c r="I459">
        <v>0</v>
      </c>
      <c r="J459" t="s">
        <v>97</v>
      </c>
      <c r="K459">
        <v>0</v>
      </c>
      <c r="L459">
        <v>0</v>
      </c>
      <c r="M459" t="s">
        <v>11</v>
      </c>
    </row>
    <row r="460" spans="1:13">
      <c r="A460" s="93">
        <v>196866</v>
      </c>
      <c r="B460" t="s">
        <v>1021</v>
      </c>
      <c r="C460" t="s">
        <v>4922</v>
      </c>
      <c r="D460" s="92">
        <v>0.84</v>
      </c>
      <c r="E460" s="92">
        <v>0.85</v>
      </c>
      <c r="F460">
        <v>1270</v>
      </c>
      <c r="G460">
        <v>1360</v>
      </c>
      <c r="H460" t="s">
        <v>4929</v>
      </c>
      <c r="I460">
        <v>1</v>
      </c>
      <c r="J460" t="s">
        <v>97</v>
      </c>
      <c r="K460">
        <v>0</v>
      </c>
      <c r="L460">
        <v>0</v>
      </c>
      <c r="M460" t="s">
        <v>11</v>
      </c>
    </row>
    <row r="461" spans="1:13">
      <c r="A461" s="93">
        <v>197027</v>
      </c>
      <c r="B461" t="s">
        <v>1022</v>
      </c>
      <c r="C461" t="s">
        <v>4917</v>
      </c>
      <c r="D461" s="92">
        <v>0.8100000000000001</v>
      </c>
      <c r="E461" s="92">
        <v>0.78</v>
      </c>
      <c r="F461">
        <v>1150</v>
      </c>
      <c r="G461">
        <v>1240</v>
      </c>
      <c r="H461" t="s">
        <v>4932</v>
      </c>
      <c r="I461">
        <v>0</v>
      </c>
      <c r="J461" t="s">
        <v>97</v>
      </c>
      <c r="K461">
        <v>0</v>
      </c>
      <c r="L461">
        <v>0</v>
      </c>
      <c r="M461" t="s">
        <v>11</v>
      </c>
    </row>
    <row r="462" spans="1:13">
      <c r="A462" s="93">
        <v>197045</v>
      </c>
      <c r="B462" t="s">
        <v>1023</v>
      </c>
      <c r="C462" t="s">
        <v>4920</v>
      </c>
      <c r="D462" s="92">
        <v>0.57</v>
      </c>
      <c r="E462" s="92">
        <v>0.48</v>
      </c>
      <c r="F462" t="s">
        <v>446</v>
      </c>
      <c r="G462" t="s">
        <v>446</v>
      </c>
      <c r="H462" t="s">
        <v>4930</v>
      </c>
      <c r="I462">
        <v>0</v>
      </c>
      <c r="J462" t="s">
        <v>97</v>
      </c>
      <c r="K462">
        <v>0</v>
      </c>
      <c r="L462">
        <v>0</v>
      </c>
      <c r="M462" t="s">
        <v>11</v>
      </c>
    </row>
    <row r="463" spans="1:13">
      <c r="A463" s="93">
        <v>197230</v>
      </c>
      <c r="B463" t="s">
        <v>532</v>
      </c>
      <c r="C463" t="s">
        <v>4920</v>
      </c>
      <c r="D463" s="92">
        <v>0.55</v>
      </c>
      <c r="E463" s="92">
        <v>0.5</v>
      </c>
      <c r="F463" t="s">
        <v>446</v>
      </c>
      <c r="G463" t="s">
        <v>446</v>
      </c>
      <c r="H463" t="s">
        <v>4930</v>
      </c>
      <c r="I463">
        <v>0</v>
      </c>
      <c r="J463" t="s">
        <v>97</v>
      </c>
      <c r="K463">
        <v>0</v>
      </c>
      <c r="L463">
        <v>0</v>
      </c>
      <c r="M463" t="s">
        <v>11</v>
      </c>
    </row>
    <row r="464" spans="1:13">
      <c r="A464" s="93">
        <v>197993</v>
      </c>
      <c r="B464" t="s">
        <v>1024</v>
      </c>
      <c r="C464" t="s">
        <v>4923</v>
      </c>
      <c r="D464" s="92">
        <v>0.41</v>
      </c>
      <c r="E464" s="92">
        <v>0.47</v>
      </c>
      <c r="F464" t="s">
        <v>446</v>
      </c>
      <c r="G464" t="s">
        <v>446</v>
      </c>
      <c r="H464" t="s">
        <v>4930</v>
      </c>
      <c r="I464">
        <v>0</v>
      </c>
      <c r="J464" t="s">
        <v>153</v>
      </c>
      <c r="K464">
        <v>0</v>
      </c>
      <c r="L464">
        <v>0</v>
      </c>
      <c r="M464" t="s">
        <v>11</v>
      </c>
    </row>
    <row r="465" spans="1:13">
      <c r="A465" s="93">
        <v>198330</v>
      </c>
      <c r="B465" t="s">
        <v>1025</v>
      </c>
      <c r="C465" t="s">
        <v>4919</v>
      </c>
      <c r="D465" s="92">
        <v>0.44</v>
      </c>
      <c r="E465" s="92">
        <v>0.41</v>
      </c>
      <c r="F465" t="s">
        <v>446</v>
      </c>
      <c r="G465" t="s">
        <v>446</v>
      </c>
      <c r="H465" t="s">
        <v>4932</v>
      </c>
      <c r="I465">
        <v>0</v>
      </c>
      <c r="J465" t="s">
        <v>97</v>
      </c>
      <c r="K465">
        <v>0</v>
      </c>
      <c r="L465">
        <v>0</v>
      </c>
      <c r="M465" t="s">
        <v>11</v>
      </c>
    </row>
    <row r="466" spans="1:13">
      <c r="A466" s="93">
        <v>198419</v>
      </c>
      <c r="B466" t="s">
        <v>490</v>
      </c>
      <c r="C466" t="s">
        <v>4921</v>
      </c>
      <c r="D466" s="92">
        <v>0.96</v>
      </c>
      <c r="E466" s="92">
        <v>0.95</v>
      </c>
      <c r="F466">
        <v>1470</v>
      </c>
      <c r="G466">
        <v>1515</v>
      </c>
      <c r="H466" t="s">
        <v>4931</v>
      </c>
      <c r="I466">
        <v>0</v>
      </c>
      <c r="J466" t="s">
        <v>97</v>
      </c>
      <c r="K466">
        <v>0</v>
      </c>
      <c r="L466">
        <v>0</v>
      </c>
      <c r="M466" t="s">
        <v>11</v>
      </c>
    </row>
    <row r="467" spans="1:13">
      <c r="A467" s="93">
        <v>198543</v>
      </c>
      <c r="B467" t="s">
        <v>1026</v>
      </c>
      <c r="C467" t="s">
        <v>4920</v>
      </c>
      <c r="D467" s="92">
        <v>0.37</v>
      </c>
      <c r="E467" s="92">
        <v>0.54</v>
      </c>
      <c r="F467">
        <v>830</v>
      </c>
      <c r="G467">
        <v>935</v>
      </c>
      <c r="H467" t="s">
        <v>4931</v>
      </c>
      <c r="I467">
        <v>0</v>
      </c>
      <c r="J467" t="s">
        <v>153</v>
      </c>
      <c r="K467">
        <v>0</v>
      </c>
      <c r="L467">
        <v>0</v>
      </c>
      <c r="M467" t="s">
        <v>11</v>
      </c>
    </row>
    <row r="468" spans="1:13">
      <c r="A468" s="93">
        <v>199193</v>
      </c>
      <c r="B468" t="s">
        <v>1027</v>
      </c>
      <c r="C468" t="s">
        <v>4917</v>
      </c>
      <c r="D468" s="92">
        <v>0.85</v>
      </c>
      <c r="E468" s="92">
        <v>0.8</v>
      </c>
      <c r="F468">
        <v>1270</v>
      </c>
      <c r="G468">
        <v>1355</v>
      </c>
      <c r="H468" t="s">
        <v>4932</v>
      </c>
      <c r="I468">
        <v>0</v>
      </c>
      <c r="J468" t="s">
        <v>97</v>
      </c>
      <c r="K468">
        <v>0</v>
      </c>
      <c r="L468">
        <v>0</v>
      </c>
      <c r="M468" t="s">
        <v>11</v>
      </c>
    </row>
    <row r="469" spans="1:13">
      <c r="A469" s="93">
        <v>199582</v>
      </c>
      <c r="B469" t="s">
        <v>1028</v>
      </c>
      <c r="C469" t="s">
        <v>4920</v>
      </c>
      <c r="D469" s="92">
        <v>0.22</v>
      </c>
      <c r="E469" s="92">
        <v>0.36</v>
      </c>
      <c r="F469" t="s">
        <v>446</v>
      </c>
      <c r="G469" t="s">
        <v>446</v>
      </c>
      <c r="H469" t="s">
        <v>4930</v>
      </c>
      <c r="I469">
        <v>0</v>
      </c>
      <c r="J469" t="s">
        <v>153</v>
      </c>
      <c r="K469">
        <v>0</v>
      </c>
      <c r="L469">
        <v>0</v>
      </c>
      <c r="M469" t="s">
        <v>11</v>
      </c>
    </row>
    <row r="470" spans="1:13">
      <c r="A470" s="93">
        <v>199607</v>
      </c>
      <c r="B470" t="s">
        <v>1029</v>
      </c>
      <c r="C470" t="s">
        <v>4917</v>
      </c>
      <c r="D470" s="92">
        <v>0.64</v>
      </c>
      <c r="E470" s="92">
        <v>0.67</v>
      </c>
      <c r="F470">
        <v>930</v>
      </c>
      <c r="G470">
        <v>1005</v>
      </c>
      <c r="H470" t="s">
        <v>4931</v>
      </c>
      <c r="I470">
        <v>0</v>
      </c>
      <c r="J470" t="s">
        <v>97</v>
      </c>
      <c r="K470">
        <v>0</v>
      </c>
      <c r="L470">
        <v>0</v>
      </c>
      <c r="M470" t="s">
        <v>11</v>
      </c>
    </row>
    <row r="471" spans="1:13">
      <c r="A471" s="93">
        <v>199856</v>
      </c>
      <c r="B471" t="s">
        <v>1030</v>
      </c>
      <c r="C471" t="s">
        <v>4919</v>
      </c>
      <c r="D471" s="92">
        <v>0.38</v>
      </c>
      <c r="E471" s="92">
        <v>0.26</v>
      </c>
      <c r="F471" t="s">
        <v>446</v>
      </c>
      <c r="G471" t="s">
        <v>446</v>
      </c>
      <c r="H471" t="s">
        <v>4932</v>
      </c>
      <c r="I471">
        <v>0</v>
      </c>
      <c r="J471" t="s">
        <v>97</v>
      </c>
      <c r="K471">
        <v>0</v>
      </c>
      <c r="L471">
        <v>0</v>
      </c>
      <c r="M471" t="s">
        <v>11</v>
      </c>
    </row>
    <row r="472" spans="1:13">
      <c r="A472" s="93">
        <v>200590</v>
      </c>
      <c r="B472" t="s">
        <v>1031</v>
      </c>
      <c r="C472" t="s">
        <v>4919</v>
      </c>
      <c r="D472" s="92">
        <v>0.89</v>
      </c>
      <c r="E472" s="92">
        <v>0.71</v>
      </c>
      <c r="F472" t="s">
        <v>446</v>
      </c>
      <c r="G472" t="s">
        <v>446</v>
      </c>
      <c r="H472" t="s">
        <v>4931</v>
      </c>
      <c r="I472">
        <v>0</v>
      </c>
      <c r="J472" t="s">
        <v>97</v>
      </c>
      <c r="K472">
        <v>0</v>
      </c>
      <c r="L472">
        <v>0</v>
      </c>
      <c r="M472" t="s">
        <v>11</v>
      </c>
    </row>
    <row r="473" spans="1:13">
      <c r="A473" s="93">
        <v>201195</v>
      </c>
      <c r="B473" t="s">
        <v>1032</v>
      </c>
      <c r="C473" t="s">
        <v>4920</v>
      </c>
      <c r="D473" s="92">
        <v>0.67</v>
      </c>
      <c r="E473" s="92">
        <v>0.54</v>
      </c>
      <c r="F473">
        <v>1040</v>
      </c>
      <c r="G473">
        <v>1145</v>
      </c>
      <c r="H473" t="s">
        <v>4930</v>
      </c>
      <c r="I473">
        <v>0</v>
      </c>
      <c r="J473" t="s">
        <v>97</v>
      </c>
      <c r="K473">
        <v>0</v>
      </c>
      <c r="L473">
        <v>0</v>
      </c>
      <c r="M473" t="s">
        <v>11</v>
      </c>
    </row>
    <row r="474" spans="1:13">
      <c r="A474" s="93">
        <v>201441</v>
      </c>
      <c r="B474" t="s">
        <v>1033</v>
      </c>
      <c r="C474" t="s">
        <v>4920</v>
      </c>
      <c r="D474" s="92">
        <v>0.61</v>
      </c>
      <c r="E474" s="92">
        <v>0.45</v>
      </c>
      <c r="F474">
        <v>1040</v>
      </c>
      <c r="G474">
        <v>1125</v>
      </c>
      <c r="H474" t="s">
        <v>4930</v>
      </c>
      <c r="I474">
        <v>0</v>
      </c>
      <c r="J474" t="s">
        <v>97</v>
      </c>
      <c r="K474">
        <v>0</v>
      </c>
      <c r="L474">
        <v>0</v>
      </c>
      <c r="M474" t="s">
        <v>11</v>
      </c>
    </row>
    <row r="475" spans="1:13">
      <c r="A475" s="93">
        <v>201885</v>
      </c>
      <c r="B475" t="s">
        <v>1034</v>
      </c>
      <c r="C475" t="s">
        <v>4916</v>
      </c>
      <c r="D475" s="92">
        <v>0.72</v>
      </c>
      <c r="E475" s="92">
        <v>0.63</v>
      </c>
      <c r="F475">
        <v>1180</v>
      </c>
      <c r="G475">
        <v>1260</v>
      </c>
      <c r="H475" t="s">
        <v>4930</v>
      </c>
      <c r="I475">
        <v>0</v>
      </c>
      <c r="J475" t="s">
        <v>97</v>
      </c>
      <c r="K475">
        <v>0</v>
      </c>
      <c r="L475">
        <v>0</v>
      </c>
      <c r="M475" t="s">
        <v>11</v>
      </c>
    </row>
    <row r="476" spans="1:13">
      <c r="A476" s="93">
        <v>202222</v>
      </c>
      <c r="B476" t="s">
        <v>1035</v>
      </c>
      <c r="C476" t="s">
        <v>4919</v>
      </c>
      <c r="D476" s="92">
        <v>0.37</v>
      </c>
      <c r="E476" s="92">
        <v>0.28</v>
      </c>
      <c r="F476" t="s">
        <v>446</v>
      </c>
      <c r="G476" t="s">
        <v>446</v>
      </c>
      <c r="H476" t="s">
        <v>4932</v>
      </c>
      <c r="I476">
        <v>0</v>
      </c>
      <c r="J476" t="s">
        <v>97</v>
      </c>
      <c r="K476">
        <v>0</v>
      </c>
      <c r="L476">
        <v>0</v>
      </c>
      <c r="M476" t="s">
        <v>11</v>
      </c>
    </row>
    <row r="477" spans="1:13">
      <c r="A477" s="93">
        <v>202356</v>
      </c>
      <c r="B477" t="s">
        <v>1036</v>
      </c>
      <c r="C477" t="s">
        <v>4919</v>
      </c>
      <c r="D477" s="92">
        <v>0.36</v>
      </c>
      <c r="E477" s="92">
        <v>0.22</v>
      </c>
      <c r="F477" t="s">
        <v>446</v>
      </c>
      <c r="G477" t="s">
        <v>446</v>
      </c>
      <c r="H477" t="s">
        <v>4932</v>
      </c>
      <c r="I477">
        <v>0</v>
      </c>
      <c r="J477" t="s">
        <v>97</v>
      </c>
      <c r="K477">
        <v>0</v>
      </c>
      <c r="L477">
        <v>0</v>
      </c>
      <c r="M477" t="s">
        <v>11</v>
      </c>
    </row>
    <row r="478" spans="1:13">
      <c r="A478" s="93">
        <v>202514</v>
      </c>
      <c r="B478" t="s">
        <v>1037</v>
      </c>
      <c r="C478" t="s">
        <v>4920</v>
      </c>
      <c r="D478" s="92">
        <v>0.42</v>
      </c>
      <c r="E478" s="92">
        <v>0.23</v>
      </c>
      <c r="F478">
        <v>930</v>
      </c>
      <c r="G478">
        <v>1035</v>
      </c>
      <c r="H478" t="s">
        <v>4930</v>
      </c>
      <c r="I478">
        <v>0</v>
      </c>
      <c r="J478" t="s">
        <v>97</v>
      </c>
      <c r="K478">
        <v>0</v>
      </c>
      <c r="L478">
        <v>0</v>
      </c>
      <c r="M478" t="s">
        <v>11</v>
      </c>
    </row>
    <row r="479" spans="1:13">
      <c r="A479" s="93">
        <v>203580</v>
      </c>
      <c r="B479" t="s">
        <v>1038</v>
      </c>
      <c r="C479" t="s">
        <v>4918</v>
      </c>
      <c r="D479" s="92">
        <v>0.47</v>
      </c>
      <c r="E479" s="92">
        <v>0.33</v>
      </c>
      <c r="F479">
        <v>900</v>
      </c>
      <c r="G479">
        <v>1015</v>
      </c>
      <c r="H479" t="s">
        <v>4930</v>
      </c>
      <c r="I479">
        <v>0</v>
      </c>
      <c r="J479" t="s">
        <v>97</v>
      </c>
      <c r="K479">
        <v>0</v>
      </c>
      <c r="L479">
        <v>0</v>
      </c>
      <c r="M479" t="s">
        <v>11</v>
      </c>
    </row>
    <row r="480" spans="1:13">
      <c r="A480" s="93">
        <v>203599</v>
      </c>
      <c r="B480" t="s">
        <v>1039</v>
      </c>
      <c r="C480" t="s">
        <v>4919</v>
      </c>
      <c r="D480" s="92">
        <v>0.24</v>
      </c>
      <c r="E480" s="92">
        <v>0.18</v>
      </c>
      <c r="F480" t="s">
        <v>446</v>
      </c>
      <c r="G480" t="s">
        <v>446</v>
      </c>
      <c r="H480" t="s">
        <v>4932</v>
      </c>
      <c r="I480">
        <v>0</v>
      </c>
      <c r="J480" t="s">
        <v>97</v>
      </c>
      <c r="K480">
        <v>0</v>
      </c>
      <c r="L480">
        <v>0</v>
      </c>
      <c r="M480" t="s">
        <v>11</v>
      </c>
    </row>
    <row r="481" spans="1:13">
      <c r="A481" s="93">
        <v>204945</v>
      </c>
      <c r="B481" t="s">
        <v>1040</v>
      </c>
      <c r="C481" t="s">
        <v>4919</v>
      </c>
      <c r="D481" s="92">
        <v>0.27</v>
      </c>
      <c r="E481" s="92">
        <v>0.14</v>
      </c>
      <c r="F481" t="s">
        <v>446</v>
      </c>
      <c r="G481" t="s">
        <v>446</v>
      </c>
      <c r="H481" t="s">
        <v>4932</v>
      </c>
      <c r="I481">
        <v>0</v>
      </c>
      <c r="J481" t="s">
        <v>97</v>
      </c>
      <c r="K481">
        <v>0</v>
      </c>
      <c r="L481">
        <v>0</v>
      </c>
      <c r="M481" t="s">
        <v>11</v>
      </c>
    </row>
    <row r="482" spans="1:13">
      <c r="A482" s="93">
        <v>206604</v>
      </c>
      <c r="B482" t="s">
        <v>1041</v>
      </c>
      <c r="C482" t="s">
        <v>4920</v>
      </c>
      <c r="D482" s="92">
        <v>0.44</v>
      </c>
      <c r="E482" s="92">
        <v>0.26</v>
      </c>
      <c r="F482">
        <v>930</v>
      </c>
      <c r="G482">
        <v>1055</v>
      </c>
      <c r="H482" t="s">
        <v>4931</v>
      </c>
      <c r="I482">
        <v>0</v>
      </c>
      <c r="J482" t="s">
        <v>97</v>
      </c>
      <c r="K482">
        <v>0</v>
      </c>
      <c r="L482">
        <v>0</v>
      </c>
      <c r="M482" t="s">
        <v>11</v>
      </c>
    </row>
    <row r="483" spans="1:13">
      <c r="A483" s="93">
        <v>206923</v>
      </c>
      <c r="B483" t="s">
        <v>1042</v>
      </c>
      <c r="C483" t="s">
        <v>4919</v>
      </c>
      <c r="D483" s="92">
        <v>0.39</v>
      </c>
      <c r="E483" s="92">
        <v>0.42</v>
      </c>
      <c r="F483" t="s">
        <v>446</v>
      </c>
      <c r="G483" t="s">
        <v>446</v>
      </c>
      <c r="H483" t="s">
        <v>4932</v>
      </c>
      <c r="I483">
        <v>0</v>
      </c>
      <c r="J483" t="s">
        <v>97</v>
      </c>
      <c r="K483">
        <v>0</v>
      </c>
      <c r="L483">
        <v>0</v>
      </c>
      <c r="M483" t="s">
        <v>11</v>
      </c>
    </row>
    <row r="484" spans="1:13">
      <c r="A484" s="93">
        <v>207458</v>
      </c>
      <c r="B484" t="s">
        <v>1043</v>
      </c>
      <c r="C484" t="s">
        <v>4916</v>
      </c>
      <c r="D484" s="92">
        <v>0.66</v>
      </c>
      <c r="E484" s="92">
        <v>0.62</v>
      </c>
      <c r="F484">
        <v>1040</v>
      </c>
      <c r="G484">
        <v>1135</v>
      </c>
      <c r="H484" t="s">
        <v>4930</v>
      </c>
      <c r="I484">
        <v>0</v>
      </c>
      <c r="J484" t="s">
        <v>97</v>
      </c>
      <c r="K484">
        <v>0</v>
      </c>
      <c r="L484">
        <v>0</v>
      </c>
      <c r="M484" t="s">
        <v>11</v>
      </c>
    </row>
    <row r="485" spans="1:13">
      <c r="A485" s="93">
        <v>207500</v>
      </c>
      <c r="B485" t="s">
        <v>1044</v>
      </c>
      <c r="C485" t="s">
        <v>4916</v>
      </c>
      <c r="D485" s="92">
        <v>0.76</v>
      </c>
      <c r="E485" s="92">
        <v>0.75</v>
      </c>
      <c r="F485">
        <v>1150</v>
      </c>
      <c r="G485">
        <v>1245</v>
      </c>
      <c r="H485" t="s">
        <v>4931</v>
      </c>
      <c r="I485">
        <v>0</v>
      </c>
      <c r="J485" t="s">
        <v>97</v>
      </c>
      <c r="K485">
        <v>0</v>
      </c>
      <c r="L485">
        <v>0</v>
      </c>
      <c r="M485" t="s">
        <v>11</v>
      </c>
    </row>
    <row r="486" spans="1:13">
      <c r="A486" s="93">
        <v>207670</v>
      </c>
      <c r="B486" t="s">
        <v>1045</v>
      </c>
      <c r="C486" t="s">
        <v>4919</v>
      </c>
      <c r="D486" s="92">
        <v>0.27</v>
      </c>
      <c r="E486" s="92">
        <v>0.18</v>
      </c>
      <c r="F486" t="s">
        <v>446</v>
      </c>
      <c r="G486" t="s">
        <v>446</v>
      </c>
      <c r="H486" t="s">
        <v>4932</v>
      </c>
      <c r="I486">
        <v>0</v>
      </c>
      <c r="J486" t="s">
        <v>97</v>
      </c>
      <c r="K486">
        <v>0</v>
      </c>
      <c r="L486">
        <v>0</v>
      </c>
      <c r="M486" t="s">
        <v>11</v>
      </c>
    </row>
    <row r="487" spans="1:13">
      <c r="A487" s="93">
        <v>207971</v>
      </c>
      <c r="B487" t="s">
        <v>1046</v>
      </c>
      <c r="C487" t="s">
        <v>4917</v>
      </c>
      <c r="D487" s="92">
        <v>0.73</v>
      </c>
      <c r="E487" s="92">
        <v>0.65</v>
      </c>
      <c r="F487">
        <v>1110</v>
      </c>
      <c r="G487">
        <v>1225</v>
      </c>
      <c r="H487" t="s">
        <v>4930</v>
      </c>
      <c r="I487">
        <v>0</v>
      </c>
      <c r="J487" t="s">
        <v>97</v>
      </c>
      <c r="K487">
        <v>0</v>
      </c>
      <c r="L487">
        <v>0</v>
      </c>
      <c r="M487" t="s">
        <v>11</v>
      </c>
    </row>
    <row r="488" spans="1:13">
      <c r="A488" s="93">
        <v>209065</v>
      </c>
      <c r="B488" t="s">
        <v>1047</v>
      </c>
      <c r="C488" t="s">
        <v>4920</v>
      </c>
      <c r="D488" s="92">
        <v>0.72</v>
      </c>
      <c r="E488" s="92">
        <v>0.68</v>
      </c>
      <c r="F488" t="s">
        <v>446</v>
      </c>
      <c r="G488" t="s">
        <v>446</v>
      </c>
      <c r="H488" t="s">
        <v>4930</v>
      </c>
      <c r="I488">
        <v>0</v>
      </c>
      <c r="J488" t="s">
        <v>97</v>
      </c>
      <c r="K488">
        <v>0</v>
      </c>
      <c r="L488">
        <v>0</v>
      </c>
      <c r="M488" t="s">
        <v>11</v>
      </c>
    </row>
    <row r="489" spans="1:13">
      <c r="A489" s="93">
        <v>209542</v>
      </c>
      <c r="B489" t="s">
        <v>1048</v>
      </c>
      <c r="C489" t="s">
        <v>4916</v>
      </c>
      <c r="D489" s="92">
        <v>0.68</v>
      </c>
      <c r="E489" s="92">
        <v>0.59</v>
      </c>
      <c r="F489">
        <v>1120</v>
      </c>
      <c r="G489">
        <v>1245</v>
      </c>
      <c r="H489" t="s">
        <v>4930</v>
      </c>
      <c r="I489">
        <v>0</v>
      </c>
      <c r="J489" t="s">
        <v>97</v>
      </c>
      <c r="K489">
        <v>0</v>
      </c>
      <c r="L489">
        <v>0</v>
      </c>
      <c r="M489" t="s">
        <v>11</v>
      </c>
    </row>
    <row r="490" spans="1:13">
      <c r="A490" s="93">
        <v>209551</v>
      </c>
      <c r="B490" t="s">
        <v>602</v>
      </c>
      <c r="C490" t="s">
        <v>4920</v>
      </c>
      <c r="D490" s="92">
        <v>0.74</v>
      </c>
      <c r="E490" s="92">
        <v>0.68</v>
      </c>
      <c r="F490" t="s">
        <v>446</v>
      </c>
      <c r="G490" t="s">
        <v>446</v>
      </c>
      <c r="H490" t="s">
        <v>4930</v>
      </c>
      <c r="I490">
        <v>0</v>
      </c>
      <c r="J490" t="s">
        <v>97</v>
      </c>
      <c r="K490">
        <v>0</v>
      </c>
      <c r="L490">
        <v>0</v>
      </c>
      <c r="M490" t="s">
        <v>11</v>
      </c>
    </row>
    <row r="491" spans="1:13">
      <c r="A491" s="93">
        <v>209807</v>
      </c>
      <c r="B491" t="s">
        <v>1049</v>
      </c>
      <c r="C491" t="s">
        <v>4920</v>
      </c>
      <c r="D491" s="92">
        <v>0.54</v>
      </c>
      <c r="E491" s="92">
        <v>0.55</v>
      </c>
      <c r="F491">
        <v>1000</v>
      </c>
      <c r="G491">
        <v>1125</v>
      </c>
      <c r="H491" t="s">
        <v>4932</v>
      </c>
      <c r="I491">
        <v>0</v>
      </c>
      <c r="J491" t="s">
        <v>97</v>
      </c>
      <c r="K491">
        <v>0</v>
      </c>
      <c r="L491">
        <v>0</v>
      </c>
      <c r="M491" t="s">
        <v>11</v>
      </c>
    </row>
    <row r="492" spans="1:13">
      <c r="A492" s="93">
        <v>211079</v>
      </c>
      <c r="B492" t="s">
        <v>1050</v>
      </c>
      <c r="C492" t="s">
        <v>4919</v>
      </c>
      <c r="D492" s="92">
        <v>0.3</v>
      </c>
      <c r="E492" s="92">
        <v>0.27</v>
      </c>
      <c r="F492" t="s">
        <v>446</v>
      </c>
      <c r="G492" t="s">
        <v>446</v>
      </c>
      <c r="H492" t="s">
        <v>4932</v>
      </c>
      <c r="I492">
        <v>0</v>
      </c>
      <c r="J492" t="s">
        <v>97</v>
      </c>
      <c r="K492">
        <v>0</v>
      </c>
      <c r="L492">
        <v>0</v>
      </c>
      <c r="M492" t="s">
        <v>11</v>
      </c>
    </row>
    <row r="493" spans="1:13">
      <c r="A493" s="93">
        <v>211440</v>
      </c>
      <c r="B493" t="s">
        <v>1051</v>
      </c>
      <c r="C493" t="s">
        <v>4921</v>
      </c>
      <c r="D493" s="92">
        <v>0.93</v>
      </c>
      <c r="E493" s="92">
        <v>0.9</v>
      </c>
      <c r="F493">
        <v>1480</v>
      </c>
      <c r="G493">
        <v>1520</v>
      </c>
      <c r="H493" t="s">
        <v>4931</v>
      </c>
      <c r="I493">
        <v>0</v>
      </c>
      <c r="J493" t="s">
        <v>97</v>
      </c>
      <c r="K493">
        <v>0</v>
      </c>
      <c r="L493">
        <v>0</v>
      </c>
      <c r="M493" t="s">
        <v>11</v>
      </c>
    </row>
    <row r="494" spans="1:13">
      <c r="A494" s="93">
        <v>213507</v>
      </c>
      <c r="B494" t="s">
        <v>1052</v>
      </c>
      <c r="C494" t="s">
        <v>4920</v>
      </c>
      <c r="D494" s="92">
        <v>0.73</v>
      </c>
      <c r="E494" s="92">
        <v>0.47</v>
      </c>
      <c r="F494">
        <v>1080</v>
      </c>
      <c r="G494">
        <v>1185</v>
      </c>
      <c r="H494" t="s">
        <v>4930</v>
      </c>
      <c r="I494">
        <v>0</v>
      </c>
      <c r="J494" t="s">
        <v>97</v>
      </c>
      <c r="K494">
        <v>0</v>
      </c>
      <c r="L494">
        <v>0</v>
      </c>
      <c r="M494" t="s">
        <v>11</v>
      </c>
    </row>
    <row r="495" spans="1:13">
      <c r="A495" s="93">
        <v>213570</v>
      </c>
      <c r="B495" t="s">
        <v>1053</v>
      </c>
      <c r="C495" t="s">
        <v>4919</v>
      </c>
      <c r="D495" s="92">
        <v>0.25</v>
      </c>
      <c r="E495" s="92">
        <v>0.25</v>
      </c>
      <c r="F495" t="s">
        <v>446</v>
      </c>
      <c r="G495" t="s">
        <v>446</v>
      </c>
      <c r="H495" t="s">
        <v>4930</v>
      </c>
      <c r="I495">
        <v>0</v>
      </c>
      <c r="J495" t="s">
        <v>97</v>
      </c>
      <c r="K495">
        <v>0</v>
      </c>
      <c r="L495">
        <v>0</v>
      </c>
      <c r="M495" t="s">
        <v>11</v>
      </c>
    </row>
    <row r="496" spans="1:13">
      <c r="A496" s="93">
        <v>213914</v>
      </c>
      <c r="B496" t="s">
        <v>1054</v>
      </c>
      <c r="C496" t="s">
        <v>4919</v>
      </c>
      <c r="D496" s="92">
        <v>0.25</v>
      </c>
      <c r="E496" s="92">
        <v>0.25</v>
      </c>
      <c r="F496" t="s">
        <v>446</v>
      </c>
      <c r="G496" t="s">
        <v>446</v>
      </c>
      <c r="H496" t="s">
        <v>4931</v>
      </c>
      <c r="I496">
        <v>0</v>
      </c>
      <c r="J496" t="s">
        <v>97</v>
      </c>
      <c r="K496">
        <v>0</v>
      </c>
      <c r="L496">
        <v>0</v>
      </c>
      <c r="M496" t="s">
        <v>11</v>
      </c>
    </row>
    <row r="497" spans="1:13">
      <c r="A497" s="93">
        <v>215442</v>
      </c>
      <c r="B497" t="s">
        <v>1055</v>
      </c>
      <c r="C497" t="s">
        <v>4920</v>
      </c>
      <c r="D497" s="92">
        <v>0.58</v>
      </c>
      <c r="E497" s="92">
        <v>0.45</v>
      </c>
      <c r="F497">
        <v>950</v>
      </c>
      <c r="G497">
        <v>1065</v>
      </c>
      <c r="H497" t="s">
        <v>4930</v>
      </c>
      <c r="I497">
        <v>0</v>
      </c>
      <c r="J497" t="s">
        <v>97</v>
      </c>
      <c r="K497">
        <v>0</v>
      </c>
      <c r="L497">
        <v>0</v>
      </c>
      <c r="M497" t="s">
        <v>11</v>
      </c>
    </row>
    <row r="498" spans="1:13">
      <c r="A498" s="93">
        <v>217235</v>
      </c>
      <c r="B498" t="s">
        <v>1056</v>
      </c>
      <c r="C498" t="s">
        <v>4924</v>
      </c>
      <c r="D498" s="92">
        <v>0.57</v>
      </c>
      <c r="E498" s="92">
        <v>0.52</v>
      </c>
      <c r="F498" t="s">
        <v>446</v>
      </c>
      <c r="G498" t="s">
        <v>446</v>
      </c>
      <c r="H498" t="s">
        <v>4930</v>
      </c>
      <c r="I498">
        <v>0</v>
      </c>
      <c r="J498" t="s">
        <v>97</v>
      </c>
      <c r="K498">
        <v>0</v>
      </c>
      <c r="L498">
        <v>0</v>
      </c>
      <c r="M498" t="s">
        <v>11</v>
      </c>
    </row>
    <row r="499" spans="1:13">
      <c r="A499" s="93">
        <v>217493</v>
      </c>
      <c r="B499" t="s">
        <v>1057</v>
      </c>
      <c r="C499" t="s">
        <v>4926</v>
      </c>
      <c r="D499" s="92">
        <v>0.88</v>
      </c>
      <c r="E499" s="92">
        <v>0.82</v>
      </c>
      <c r="F499">
        <v>1310</v>
      </c>
      <c r="G499">
        <v>1395</v>
      </c>
      <c r="H499" t="s">
        <v>4930</v>
      </c>
      <c r="I499">
        <v>0</v>
      </c>
      <c r="J499" t="s">
        <v>97</v>
      </c>
      <c r="K499">
        <v>0</v>
      </c>
      <c r="L499">
        <v>0</v>
      </c>
      <c r="M499" t="s">
        <v>11</v>
      </c>
    </row>
    <row r="500" spans="1:13">
      <c r="A500" s="93">
        <v>217615</v>
      </c>
      <c r="B500" t="s">
        <v>1058</v>
      </c>
      <c r="C500" t="s">
        <v>4919</v>
      </c>
      <c r="D500" s="92">
        <v>0.31</v>
      </c>
      <c r="E500" s="92">
        <v>0.31</v>
      </c>
      <c r="F500" t="s">
        <v>446</v>
      </c>
      <c r="G500" t="s">
        <v>446</v>
      </c>
      <c r="H500" t="s">
        <v>4932</v>
      </c>
      <c r="I500">
        <v>0</v>
      </c>
      <c r="J500" t="s">
        <v>97</v>
      </c>
      <c r="K500">
        <v>0</v>
      </c>
      <c r="L500">
        <v>0</v>
      </c>
      <c r="M500" t="s">
        <v>11</v>
      </c>
    </row>
    <row r="501" spans="1:13">
      <c r="A501" s="93">
        <v>217882</v>
      </c>
      <c r="B501" t="s">
        <v>1059</v>
      </c>
      <c r="C501" t="s">
        <v>4917</v>
      </c>
      <c r="D501" s="92">
        <v>0.85</v>
      </c>
      <c r="E501" s="92">
        <v>0.72</v>
      </c>
      <c r="F501">
        <v>1220</v>
      </c>
      <c r="G501">
        <v>1320</v>
      </c>
      <c r="H501" t="s">
        <v>4930</v>
      </c>
      <c r="I501">
        <v>0</v>
      </c>
      <c r="J501" t="s">
        <v>97</v>
      </c>
      <c r="K501">
        <v>0</v>
      </c>
      <c r="L501">
        <v>0</v>
      </c>
      <c r="M501" t="s">
        <v>11</v>
      </c>
    </row>
    <row r="502" spans="1:13">
      <c r="A502" s="93">
        <v>217934</v>
      </c>
      <c r="B502" t="s">
        <v>1060</v>
      </c>
      <c r="C502" t="s">
        <v>4920</v>
      </c>
      <c r="D502" s="92">
        <v>0.6</v>
      </c>
      <c r="E502" s="92">
        <v>0.55</v>
      </c>
      <c r="F502" t="s">
        <v>446</v>
      </c>
      <c r="G502" t="s">
        <v>446</v>
      </c>
      <c r="H502" t="s">
        <v>4931</v>
      </c>
      <c r="I502">
        <v>0</v>
      </c>
      <c r="J502" t="s">
        <v>97</v>
      </c>
      <c r="K502">
        <v>0</v>
      </c>
      <c r="L502">
        <v>0</v>
      </c>
      <c r="M502" t="s">
        <v>11</v>
      </c>
    </row>
    <row r="503" spans="1:13">
      <c r="A503" s="93">
        <v>217961</v>
      </c>
      <c r="B503" t="s">
        <v>1061</v>
      </c>
      <c r="C503" t="s">
        <v>4920</v>
      </c>
      <c r="D503" s="92">
        <v>0.55</v>
      </c>
      <c r="E503" s="92">
        <v>0.37</v>
      </c>
      <c r="F503" t="s">
        <v>446</v>
      </c>
      <c r="G503" t="s">
        <v>446</v>
      </c>
      <c r="H503" t="s">
        <v>4931</v>
      </c>
      <c r="I503">
        <v>0</v>
      </c>
      <c r="J503" t="s">
        <v>97</v>
      </c>
      <c r="K503">
        <v>0</v>
      </c>
      <c r="L503">
        <v>0</v>
      </c>
      <c r="M503" t="s">
        <v>11</v>
      </c>
    </row>
    <row r="504" spans="1:13">
      <c r="A504" s="93">
        <v>219602</v>
      </c>
      <c r="B504" t="s">
        <v>1062</v>
      </c>
      <c r="C504" t="s">
        <v>4920</v>
      </c>
      <c r="D504" s="92">
        <v>0.42</v>
      </c>
      <c r="E504" s="92">
        <v>0.39</v>
      </c>
      <c r="F504">
        <v>970</v>
      </c>
      <c r="G504">
        <v>1075</v>
      </c>
      <c r="H504" t="s">
        <v>4930</v>
      </c>
      <c r="I504">
        <v>0</v>
      </c>
      <c r="J504" t="s">
        <v>97</v>
      </c>
      <c r="K504">
        <v>0</v>
      </c>
      <c r="L504">
        <v>0</v>
      </c>
      <c r="M504" t="s">
        <v>11</v>
      </c>
    </row>
    <row r="505" spans="1:13">
      <c r="A505" s="93">
        <v>221096</v>
      </c>
      <c r="B505" t="s">
        <v>1063</v>
      </c>
      <c r="C505" t="s">
        <v>4919</v>
      </c>
      <c r="D505" s="92">
        <v>0.37</v>
      </c>
      <c r="E505" s="92">
        <v>0.31</v>
      </c>
      <c r="F505" t="s">
        <v>446</v>
      </c>
      <c r="G505" t="s">
        <v>446</v>
      </c>
      <c r="H505" t="s">
        <v>4932</v>
      </c>
      <c r="I505">
        <v>0</v>
      </c>
      <c r="J505" t="s">
        <v>97</v>
      </c>
      <c r="K505">
        <v>0</v>
      </c>
      <c r="L505">
        <v>0</v>
      </c>
      <c r="M505" t="s">
        <v>11</v>
      </c>
    </row>
    <row r="506" spans="1:13">
      <c r="A506" s="93">
        <v>221184</v>
      </c>
      <c r="B506" t="s">
        <v>1064</v>
      </c>
      <c r="C506" t="s">
        <v>4919</v>
      </c>
      <c r="D506" s="92">
        <v>0.22</v>
      </c>
      <c r="E506" s="92">
        <v>0.15</v>
      </c>
      <c r="F506" t="s">
        <v>446</v>
      </c>
      <c r="G506" t="s">
        <v>446</v>
      </c>
      <c r="H506" t="s">
        <v>4932</v>
      </c>
      <c r="I506">
        <v>0</v>
      </c>
      <c r="J506" t="s">
        <v>97</v>
      </c>
      <c r="K506">
        <v>0</v>
      </c>
      <c r="L506">
        <v>0</v>
      </c>
      <c r="M506" t="s">
        <v>11</v>
      </c>
    </row>
    <row r="507" spans="1:13">
      <c r="A507" s="93">
        <v>221485</v>
      </c>
      <c r="B507" t="s">
        <v>1065</v>
      </c>
      <c r="C507" t="s">
        <v>4919</v>
      </c>
      <c r="D507" s="92">
        <v>0.16</v>
      </c>
      <c r="E507" s="92">
        <v>0.13</v>
      </c>
      <c r="F507" t="s">
        <v>446</v>
      </c>
      <c r="G507" t="s">
        <v>446</v>
      </c>
      <c r="H507" t="s">
        <v>4932</v>
      </c>
      <c r="I507">
        <v>0</v>
      </c>
      <c r="J507" t="s">
        <v>97</v>
      </c>
      <c r="K507">
        <v>0</v>
      </c>
      <c r="L507">
        <v>0</v>
      </c>
      <c r="M507" t="s">
        <v>11</v>
      </c>
    </row>
    <row r="508" spans="1:13">
      <c r="A508" s="93">
        <v>222992</v>
      </c>
      <c r="B508" t="s">
        <v>1066</v>
      </c>
      <c r="C508" t="s">
        <v>4923</v>
      </c>
      <c r="D508" s="92">
        <v>0.25</v>
      </c>
      <c r="E508" s="92">
        <v>0.25</v>
      </c>
      <c r="F508" t="s">
        <v>446</v>
      </c>
      <c r="G508" t="s">
        <v>446</v>
      </c>
      <c r="H508" t="s">
        <v>4932</v>
      </c>
      <c r="I508">
        <v>0</v>
      </c>
      <c r="J508" t="s">
        <v>97</v>
      </c>
      <c r="K508">
        <v>0</v>
      </c>
      <c r="L508">
        <v>0</v>
      </c>
      <c r="M508" t="s">
        <v>11</v>
      </c>
    </row>
    <row r="509" spans="1:13">
      <c r="A509" s="93">
        <v>223427</v>
      </c>
      <c r="B509" t="s">
        <v>1067</v>
      </c>
      <c r="C509" t="s">
        <v>4919</v>
      </c>
      <c r="D509" s="92">
        <v>0.35</v>
      </c>
      <c r="E509" s="92">
        <v>0.29</v>
      </c>
      <c r="F509" t="s">
        <v>446</v>
      </c>
      <c r="G509" t="s">
        <v>446</v>
      </c>
      <c r="H509" t="s">
        <v>4932</v>
      </c>
      <c r="I509">
        <v>0</v>
      </c>
      <c r="J509" t="s">
        <v>97</v>
      </c>
      <c r="K509">
        <v>0</v>
      </c>
      <c r="L509">
        <v>0</v>
      </c>
      <c r="M509" t="s">
        <v>11</v>
      </c>
    </row>
    <row r="510" spans="1:13">
      <c r="A510" s="93">
        <v>223816</v>
      </c>
      <c r="B510" t="s">
        <v>1068</v>
      </c>
      <c r="C510" t="s">
        <v>4919</v>
      </c>
      <c r="D510" s="92">
        <v>0.29</v>
      </c>
      <c r="E510" s="92">
        <v>0.26</v>
      </c>
      <c r="F510" t="s">
        <v>446</v>
      </c>
      <c r="G510" t="s">
        <v>446</v>
      </c>
      <c r="H510" t="s">
        <v>4932</v>
      </c>
      <c r="I510">
        <v>0</v>
      </c>
      <c r="J510" t="s">
        <v>97</v>
      </c>
      <c r="K510">
        <v>0</v>
      </c>
      <c r="L510">
        <v>0</v>
      </c>
      <c r="M510" t="s">
        <v>11</v>
      </c>
    </row>
    <row r="511" spans="1:13">
      <c r="A511" s="93">
        <v>224226</v>
      </c>
      <c r="B511" t="s">
        <v>1069</v>
      </c>
      <c r="C511" t="s">
        <v>4920</v>
      </c>
      <c r="D511" s="92">
        <v>0.58</v>
      </c>
      <c r="E511" s="92">
        <v>0.43</v>
      </c>
      <c r="F511">
        <v>940</v>
      </c>
      <c r="G511">
        <v>1070</v>
      </c>
      <c r="H511" t="s">
        <v>4930</v>
      </c>
      <c r="I511">
        <v>0</v>
      </c>
      <c r="J511" t="s">
        <v>97</v>
      </c>
      <c r="K511">
        <v>0</v>
      </c>
      <c r="L511">
        <v>0</v>
      </c>
      <c r="M511" t="s">
        <v>11</v>
      </c>
    </row>
    <row r="512" spans="1:13">
      <c r="A512" s="93">
        <v>224642</v>
      </c>
      <c r="B512" t="s">
        <v>1070</v>
      </c>
      <c r="C512" t="s">
        <v>4919</v>
      </c>
      <c r="D512" s="92">
        <v>0.28</v>
      </c>
      <c r="E512" s="92">
        <v>0.27</v>
      </c>
      <c r="F512" t="s">
        <v>446</v>
      </c>
      <c r="G512" t="s">
        <v>446</v>
      </c>
      <c r="H512" t="s">
        <v>4932</v>
      </c>
      <c r="I512">
        <v>0</v>
      </c>
      <c r="J512" t="s">
        <v>97</v>
      </c>
      <c r="K512">
        <v>0</v>
      </c>
      <c r="L512">
        <v>0</v>
      </c>
      <c r="M512" t="s">
        <v>11</v>
      </c>
    </row>
    <row r="513" spans="1:13">
      <c r="A513" s="93">
        <v>225399</v>
      </c>
      <c r="B513" t="s">
        <v>1071</v>
      </c>
      <c r="C513" t="s">
        <v>4920</v>
      </c>
      <c r="D513" s="92">
        <v>0.45</v>
      </c>
      <c r="E513" s="92">
        <v>0.42</v>
      </c>
      <c r="F513">
        <v>1040</v>
      </c>
      <c r="G513">
        <v>1145</v>
      </c>
      <c r="H513" t="s">
        <v>4930</v>
      </c>
      <c r="I513">
        <v>0</v>
      </c>
      <c r="J513" t="s">
        <v>97</v>
      </c>
      <c r="K513">
        <v>0</v>
      </c>
      <c r="L513">
        <v>0</v>
      </c>
      <c r="M513" t="s">
        <v>11</v>
      </c>
    </row>
    <row r="514" spans="1:13">
      <c r="A514" s="93">
        <v>225423</v>
      </c>
      <c r="B514" t="s">
        <v>1072</v>
      </c>
      <c r="C514" t="s">
        <v>4919</v>
      </c>
      <c r="D514" s="92">
        <v>0.25</v>
      </c>
      <c r="E514" s="92">
        <v>0.23</v>
      </c>
      <c r="F514" t="s">
        <v>446</v>
      </c>
      <c r="G514" t="s">
        <v>446</v>
      </c>
      <c r="H514" t="s">
        <v>4932</v>
      </c>
      <c r="I514">
        <v>0</v>
      </c>
      <c r="J514" t="s">
        <v>97</v>
      </c>
      <c r="K514">
        <v>0</v>
      </c>
      <c r="L514">
        <v>0</v>
      </c>
      <c r="M514" t="s">
        <v>11</v>
      </c>
    </row>
    <row r="515" spans="1:13">
      <c r="A515" s="93">
        <v>225627</v>
      </c>
      <c r="B515" t="s">
        <v>1073</v>
      </c>
      <c r="C515" t="s">
        <v>4918</v>
      </c>
      <c r="D515" s="92">
        <v>0.55</v>
      </c>
      <c r="E515" s="92">
        <v>0.54</v>
      </c>
      <c r="F515">
        <v>920</v>
      </c>
      <c r="G515">
        <v>1040</v>
      </c>
      <c r="H515" t="s">
        <v>4930</v>
      </c>
      <c r="I515">
        <v>0</v>
      </c>
      <c r="J515" t="s">
        <v>97</v>
      </c>
      <c r="K515">
        <v>0</v>
      </c>
      <c r="L515">
        <v>0</v>
      </c>
      <c r="M515" t="s">
        <v>11</v>
      </c>
    </row>
    <row r="516" spans="1:13">
      <c r="A516" s="93">
        <v>226134</v>
      </c>
      <c r="B516" t="s">
        <v>1074</v>
      </c>
      <c r="C516" t="s">
        <v>4923</v>
      </c>
      <c r="D516" s="92" t="s">
        <v>446</v>
      </c>
      <c r="E516" s="92" t="s">
        <v>446</v>
      </c>
      <c r="F516" t="s">
        <v>446</v>
      </c>
      <c r="G516" t="s">
        <v>446</v>
      </c>
      <c r="H516" t="s">
        <v>4932</v>
      </c>
      <c r="I516">
        <v>0</v>
      </c>
      <c r="J516" t="s">
        <v>97</v>
      </c>
      <c r="K516">
        <v>0</v>
      </c>
      <c r="L516">
        <v>0</v>
      </c>
      <c r="M516" t="s">
        <v>11</v>
      </c>
    </row>
    <row r="517" spans="1:13">
      <c r="A517" s="93">
        <v>226408</v>
      </c>
      <c r="B517" t="s">
        <v>1075</v>
      </c>
      <c r="C517" t="s">
        <v>4919</v>
      </c>
      <c r="D517" s="92">
        <v>0.28</v>
      </c>
      <c r="E517" s="92">
        <v>0.28</v>
      </c>
      <c r="F517" t="s">
        <v>446</v>
      </c>
      <c r="G517" t="s">
        <v>446</v>
      </c>
      <c r="H517" t="s">
        <v>4932</v>
      </c>
      <c r="I517">
        <v>0</v>
      </c>
      <c r="J517" t="s">
        <v>97</v>
      </c>
      <c r="K517">
        <v>0</v>
      </c>
      <c r="L517">
        <v>0</v>
      </c>
      <c r="M517" t="s">
        <v>11</v>
      </c>
    </row>
    <row r="518" spans="1:13">
      <c r="A518" s="93">
        <v>227216</v>
      </c>
      <c r="B518" t="s">
        <v>1076</v>
      </c>
      <c r="C518" t="s">
        <v>4920</v>
      </c>
      <c r="D518" s="92">
        <v>0.6</v>
      </c>
      <c r="E518" s="92">
        <v>0.6</v>
      </c>
      <c r="F518">
        <v>1010</v>
      </c>
      <c r="G518">
        <v>1125</v>
      </c>
      <c r="H518" t="s">
        <v>4932</v>
      </c>
      <c r="I518">
        <v>0</v>
      </c>
      <c r="J518" t="s">
        <v>97</v>
      </c>
      <c r="K518">
        <v>0</v>
      </c>
      <c r="L518">
        <v>0</v>
      </c>
      <c r="M518" t="s">
        <v>11</v>
      </c>
    </row>
    <row r="519" spans="1:13">
      <c r="A519" s="93">
        <v>227331</v>
      </c>
      <c r="B519" t="s">
        <v>1077</v>
      </c>
      <c r="C519" t="s">
        <v>4918</v>
      </c>
      <c r="D519" s="92">
        <v>0.39</v>
      </c>
      <c r="E519" s="92">
        <v>0.39</v>
      </c>
      <c r="F519">
        <v>890</v>
      </c>
      <c r="G519">
        <v>980</v>
      </c>
      <c r="H519" t="s">
        <v>4930</v>
      </c>
      <c r="I519">
        <v>0</v>
      </c>
      <c r="J519" t="s">
        <v>97</v>
      </c>
      <c r="K519">
        <v>0</v>
      </c>
      <c r="L519">
        <v>0</v>
      </c>
      <c r="M519" t="s">
        <v>11</v>
      </c>
    </row>
    <row r="520" spans="1:13">
      <c r="A520" s="93">
        <v>227429</v>
      </c>
      <c r="B520" t="s">
        <v>1078</v>
      </c>
      <c r="C520" t="s">
        <v>4918</v>
      </c>
      <c r="D520" s="92">
        <v>0.23</v>
      </c>
      <c r="E520" s="92">
        <v>0.38</v>
      </c>
      <c r="F520" t="s">
        <v>446</v>
      </c>
      <c r="G520" t="s">
        <v>446</v>
      </c>
      <c r="H520" t="s">
        <v>4931</v>
      </c>
      <c r="I520">
        <v>0</v>
      </c>
      <c r="J520" t="s">
        <v>153</v>
      </c>
      <c r="K520">
        <v>0</v>
      </c>
      <c r="L520">
        <v>0</v>
      </c>
      <c r="M520" t="s">
        <v>11</v>
      </c>
    </row>
    <row r="521" spans="1:13">
      <c r="A521" s="93">
        <v>227979</v>
      </c>
      <c r="B521" t="s">
        <v>1079</v>
      </c>
      <c r="C521" t="s">
        <v>4919</v>
      </c>
      <c r="D521" s="92">
        <v>0.32</v>
      </c>
      <c r="E521" s="92">
        <v>0.32</v>
      </c>
      <c r="F521" t="s">
        <v>446</v>
      </c>
      <c r="G521" t="s">
        <v>446</v>
      </c>
      <c r="H521" t="s">
        <v>4932</v>
      </c>
      <c r="I521">
        <v>0</v>
      </c>
      <c r="J521" t="s">
        <v>97</v>
      </c>
      <c r="K521">
        <v>0</v>
      </c>
      <c r="L521">
        <v>0</v>
      </c>
      <c r="M521" t="s">
        <v>11</v>
      </c>
    </row>
    <row r="522" spans="1:13">
      <c r="A522" s="93">
        <v>228246</v>
      </c>
      <c r="B522" t="s">
        <v>1080</v>
      </c>
      <c r="C522" t="s">
        <v>4922</v>
      </c>
      <c r="D522" s="92">
        <v>0.82</v>
      </c>
      <c r="E522" s="92">
        <v>0.77</v>
      </c>
      <c r="F522">
        <v>1400</v>
      </c>
      <c r="G522">
        <v>1450</v>
      </c>
      <c r="H522" t="s">
        <v>4930</v>
      </c>
      <c r="I522">
        <v>0</v>
      </c>
      <c r="J522" t="s">
        <v>97</v>
      </c>
      <c r="K522">
        <v>0</v>
      </c>
      <c r="L522">
        <v>0</v>
      </c>
      <c r="M522" t="s">
        <v>11</v>
      </c>
    </row>
    <row r="523" spans="1:13">
      <c r="A523" s="93">
        <v>228486</v>
      </c>
      <c r="B523" t="s">
        <v>1081</v>
      </c>
      <c r="C523" t="s">
        <v>4923</v>
      </c>
      <c r="D523" s="92">
        <v>0.5</v>
      </c>
      <c r="E523" s="92">
        <v>0.5</v>
      </c>
      <c r="F523" t="s">
        <v>446</v>
      </c>
      <c r="G523" t="s">
        <v>446</v>
      </c>
      <c r="H523" t="s">
        <v>4931</v>
      </c>
      <c r="I523">
        <v>0</v>
      </c>
      <c r="J523" t="s">
        <v>153</v>
      </c>
      <c r="K523">
        <v>0</v>
      </c>
      <c r="L523">
        <v>0</v>
      </c>
      <c r="M523" t="s">
        <v>11</v>
      </c>
    </row>
    <row r="524" spans="1:13">
      <c r="A524" s="93">
        <v>228547</v>
      </c>
      <c r="B524" t="s">
        <v>1082</v>
      </c>
      <c r="C524" t="s">
        <v>4919</v>
      </c>
      <c r="D524" s="92">
        <v>0.31</v>
      </c>
      <c r="E524" s="92">
        <v>0.29</v>
      </c>
      <c r="F524" t="s">
        <v>446</v>
      </c>
      <c r="G524" t="s">
        <v>446</v>
      </c>
      <c r="H524" t="s">
        <v>4932</v>
      </c>
      <c r="I524">
        <v>0</v>
      </c>
      <c r="J524" t="s">
        <v>97</v>
      </c>
      <c r="K524">
        <v>0</v>
      </c>
      <c r="L524">
        <v>0</v>
      </c>
      <c r="M524" t="s">
        <v>11</v>
      </c>
    </row>
    <row r="525" spans="1:13">
      <c r="A525" s="93">
        <v>228769</v>
      </c>
      <c r="B525" t="s">
        <v>1083</v>
      </c>
      <c r="C525" t="s">
        <v>4918</v>
      </c>
      <c r="D525" s="92">
        <v>0.51</v>
      </c>
      <c r="E525" s="92">
        <v>0.48</v>
      </c>
      <c r="F525">
        <v>1000</v>
      </c>
      <c r="G525">
        <v>1110</v>
      </c>
      <c r="H525" t="s">
        <v>4932</v>
      </c>
      <c r="I525">
        <v>0</v>
      </c>
      <c r="J525" t="s">
        <v>97</v>
      </c>
      <c r="K525">
        <v>0</v>
      </c>
      <c r="L525">
        <v>0</v>
      </c>
      <c r="M525" t="s">
        <v>11</v>
      </c>
    </row>
    <row r="526" spans="1:13">
      <c r="A526" s="93">
        <v>229267</v>
      </c>
      <c r="B526" t="s">
        <v>1084</v>
      </c>
      <c r="C526" t="s">
        <v>4917</v>
      </c>
      <c r="D526" s="92">
        <v>0.79</v>
      </c>
      <c r="E526" s="92">
        <v>0.74</v>
      </c>
      <c r="F526">
        <v>1280</v>
      </c>
      <c r="G526">
        <v>1375</v>
      </c>
      <c r="H526" t="s">
        <v>4931</v>
      </c>
      <c r="I526">
        <v>0</v>
      </c>
      <c r="J526" t="s">
        <v>97</v>
      </c>
      <c r="K526">
        <v>0</v>
      </c>
      <c r="L526">
        <v>0</v>
      </c>
      <c r="M526" t="s">
        <v>11</v>
      </c>
    </row>
    <row r="527" spans="1:13">
      <c r="A527" s="93">
        <v>229355</v>
      </c>
      <c r="B527" t="s">
        <v>1085</v>
      </c>
      <c r="C527" t="s">
        <v>4923</v>
      </c>
      <c r="D527" s="92">
        <v>0.25</v>
      </c>
      <c r="E527" s="92">
        <v>0.25</v>
      </c>
      <c r="F527" t="s">
        <v>446</v>
      </c>
      <c r="G527" t="s">
        <v>446</v>
      </c>
      <c r="H527" t="s">
        <v>4932</v>
      </c>
      <c r="I527">
        <v>0</v>
      </c>
      <c r="J527" t="s">
        <v>97</v>
      </c>
      <c r="K527">
        <v>0</v>
      </c>
      <c r="L527">
        <v>0</v>
      </c>
      <c r="M527" t="s">
        <v>11</v>
      </c>
    </row>
    <row r="528" spans="1:13">
      <c r="A528" s="93">
        <v>229887</v>
      </c>
      <c r="B528" t="s">
        <v>1086</v>
      </c>
      <c r="C528" t="s">
        <v>4920</v>
      </c>
      <c r="D528" s="92">
        <v>0.27</v>
      </c>
      <c r="E528" s="92">
        <v>0.42</v>
      </c>
      <c r="F528" t="s">
        <v>446</v>
      </c>
      <c r="G528" t="s">
        <v>446</v>
      </c>
      <c r="H528" t="s">
        <v>4931</v>
      </c>
      <c r="I528">
        <v>0</v>
      </c>
      <c r="J528" t="s">
        <v>153</v>
      </c>
      <c r="K528">
        <v>0</v>
      </c>
      <c r="L528">
        <v>0</v>
      </c>
      <c r="M528" t="s">
        <v>11</v>
      </c>
    </row>
    <row r="529" spans="1:13">
      <c r="A529" s="93">
        <v>230038</v>
      </c>
      <c r="B529" t="s">
        <v>1087</v>
      </c>
      <c r="C529" t="s">
        <v>4917</v>
      </c>
      <c r="D529" s="92">
        <v>0.77</v>
      </c>
      <c r="E529" s="92">
        <v>0.6899999999999999</v>
      </c>
      <c r="F529">
        <v>1220</v>
      </c>
      <c r="G529">
        <v>1330</v>
      </c>
      <c r="H529" t="s">
        <v>4929</v>
      </c>
      <c r="I529">
        <v>1</v>
      </c>
      <c r="J529" t="s">
        <v>97</v>
      </c>
      <c r="K529">
        <v>0</v>
      </c>
      <c r="L529">
        <v>0</v>
      </c>
      <c r="M529" t="s">
        <v>11</v>
      </c>
    </row>
    <row r="530" spans="1:13">
      <c r="A530" s="93">
        <v>230782</v>
      </c>
      <c r="B530" t="s">
        <v>1088</v>
      </c>
      <c r="C530" t="s">
        <v>4920</v>
      </c>
      <c r="D530" s="92">
        <v>0.4</v>
      </c>
      <c r="E530" s="92">
        <v>0.26</v>
      </c>
      <c r="F530" t="s">
        <v>446</v>
      </c>
      <c r="G530" t="s">
        <v>446</v>
      </c>
      <c r="H530" t="s">
        <v>4932</v>
      </c>
      <c r="I530">
        <v>0</v>
      </c>
      <c r="J530" t="s">
        <v>97</v>
      </c>
      <c r="K530">
        <v>0</v>
      </c>
      <c r="L530">
        <v>0</v>
      </c>
      <c r="M530" t="s">
        <v>11</v>
      </c>
    </row>
    <row r="531" spans="1:13">
      <c r="A531" s="93">
        <v>232423</v>
      </c>
      <c r="B531" t="s">
        <v>1089</v>
      </c>
      <c r="C531" t="s">
        <v>4916</v>
      </c>
      <c r="D531" s="92">
        <v>0.82</v>
      </c>
      <c r="E531" s="92">
        <v>0.79</v>
      </c>
      <c r="F531">
        <v>1140</v>
      </c>
      <c r="G531">
        <v>1225</v>
      </c>
      <c r="H531" t="s">
        <v>4930</v>
      </c>
      <c r="I531">
        <v>0</v>
      </c>
      <c r="J531" t="s">
        <v>97</v>
      </c>
      <c r="K531">
        <v>0</v>
      </c>
      <c r="L531">
        <v>0</v>
      </c>
      <c r="M531" t="s">
        <v>11</v>
      </c>
    </row>
    <row r="532" spans="1:13">
      <c r="A532" s="93">
        <v>232706</v>
      </c>
      <c r="B532" t="s">
        <v>1090</v>
      </c>
      <c r="C532" t="s">
        <v>4918</v>
      </c>
      <c r="D532" s="92">
        <v>0.58</v>
      </c>
      <c r="E532" s="92">
        <v>0.49</v>
      </c>
      <c r="F532" t="s">
        <v>446</v>
      </c>
      <c r="G532" t="s">
        <v>446</v>
      </c>
      <c r="H532" t="s">
        <v>4930</v>
      </c>
      <c r="I532">
        <v>0</v>
      </c>
      <c r="J532" t="s">
        <v>97</v>
      </c>
      <c r="K532">
        <v>0</v>
      </c>
      <c r="L532">
        <v>0</v>
      </c>
      <c r="M532" t="s">
        <v>11</v>
      </c>
    </row>
    <row r="533" spans="1:13">
      <c r="A533" s="93">
        <v>232937</v>
      </c>
      <c r="B533" t="s">
        <v>1091</v>
      </c>
      <c r="C533" t="s">
        <v>4918</v>
      </c>
      <c r="D533" s="92">
        <v>0.37</v>
      </c>
      <c r="E533" s="92">
        <v>0.52</v>
      </c>
      <c r="F533">
        <v>860</v>
      </c>
      <c r="G533">
        <v>970</v>
      </c>
      <c r="H533" t="s">
        <v>4930</v>
      </c>
      <c r="I533">
        <v>0</v>
      </c>
      <c r="J533" t="s">
        <v>153</v>
      </c>
      <c r="K533">
        <v>0</v>
      </c>
      <c r="L533">
        <v>0</v>
      </c>
      <c r="M533" t="s">
        <v>11</v>
      </c>
    </row>
    <row r="534" spans="1:13">
      <c r="A534" s="93">
        <v>234711</v>
      </c>
      <c r="B534" t="s">
        <v>1092</v>
      </c>
      <c r="C534" t="s">
        <v>4919</v>
      </c>
      <c r="D534" s="92">
        <v>0.37</v>
      </c>
      <c r="E534" s="92">
        <v>0.35</v>
      </c>
      <c r="F534" t="s">
        <v>446</v>
      </c>
      <c r="G534" t="s">
        <v>446</v>
      </c>
      <c r="H534" t="s">
        <v>4932</v>
      </c>
      <c r="I534">
        <v>0</v>
      </c>
      <c r="J534" t="s">
        <v>97</v>
      </c>
      <c r="K534">
        <v>0</v>
      </c>
      <c r="L534">
        <v>0</v>
      </c>
      <c r="M534" t="s">
        <v>11</v>
      </c>
    </row>
    <row r="535" spans="1:13">
      <c r="A535" s="93">
        <v>235237</v>
      </c>
      <c r="B535" t="s">
        <v>1093</v>
      </c>
      <c r="C535" t="s">
        <v>4923</v>
      </c>
      <c r="D535" s="92">
        <v>0.25</v>
      </c>
      <c r="E535" s="92">
        <v>0.25</v>
      </c>
      <c r="F535" t="s">
        <v>446</v>
      </c>
      <c r="G535" t="s">
        <v>446</v>
      </c>
      <c r="H535" t="s">
        <v>4932</v>
      </c>
      <c r="I535">
        <v>0</v>
      </c>
      <c r="J535" t="s">
        <v>97</v>
      </c>
      <c r="K535">
        <v>0</v>
      </c>
      <c r="L535">
        <v>0</v>
      </c>
      <c r="M535" t="s">
        <v>11</v>
      </c>
    </row>
    <row r="536" spans="1:13">
      <c r="A536" s="93">
        <v>236504</v>
      </c>
      <c r="B536" t="s">
        <v>1094</v>
      </c>
      <c r="C536" t="s">
        <v>4923</v>
      </c>
      <c r="D536" s="92">
        <v>0.25</v>
      </c>
      <c r="E536" s="92">
        <v>0.25</v>
      </c>
      <c r="F536" t="s">
        <v>446</v>
      </c>
      <c r="G536" t="s">
        <v>446</v>
      </c>
      <c r="H536" t="s">
        <v>4932</v>
      </c>
      <c r="I536">
        <v>0</v>
      </c>
      <c r="J536" t="s">
        <v>97</v>
      </c>
      <c r="K536">
        <v>0</v>
      </c>
      <c r="L536">
        <v>0</v>
      </c>
      <c r="M536" t="s">
        <v>11</v>
      </c>
    </row>
    <row r="537" spans="1:13">
      <c r="A537" s="93">
        <v>236577</v>
      </c>
      <c r="B537" t="s">
        <v>1095</v>
      </c>
      <c r="C537" t="s">
        <v>4920</v>
      </c>
      <c r="D537" s="92">
        <v>0.66</v>
      </c>
      <c r="E537" s="92">
        <v>0.59</v>
      </c>
      <c r="F537">
        <v>1050</v>
      </c>
      <c r="G537">
        <v>1175</v>
      </c>
      <c r="H537" t="s">
        <v>4930</v>
      </c>
      <c r="I537">
        <v>0</v>
      </c>
      <c r="J537" t="s">
        <v>97</v>
      </c>
      <c r="K537">
        <v>0</v>
      </c>
      <c r="L537">
        <v>0</v>
      </c>
      <c r="M537" t="s">
        <v>11</v>
      </c>
    </row>
    <row r="538" spans="1:13">
      <c r="A538" s="93">
        <v>236638</v>
      </c>
      <c r="B538" t="s">
        <v>1096</v>
      </c>
      <c r="C538" t="s">
        <v>4923</v>
      </c>
      <c r="D538" s="92">
        <v>0.25</v>
      </c>
      <c r="E538" s="92">
        <v>0.25</v>
      </c>
      <c r="F538" t="s">
        <v>446</v>
      </c>
      <c r="G538" t="s">
        <v>446</v>
      </c>
      <c r="H538" t="s">
        <v>4932</v>
      </c>
      <c r="I538">
        <v>0</v>
      </c>
      <c r="J538" t="s">
        <v>97</v>
      </c>
      <c r="K538">
        <v>0</v>
      </c>
      <c r="L538">
        <v>0</v>
      </c>
      <c r="M538" t="s">
        <v>11</v>
      </c>
    </row>
    <row r="539" spans="1:13">
      <c r="A539" s="93">
        <v>238032</v>
      </c>
      <c r="B539" t="s">
        <v>1097</v>
      </c>
      <c r="C539" t="s">
        <v>4920</v>
      </c>
      <c r="D539" s="92">
        <v>0.63</v>
      </c>
      <c r="E539" s="92">
        <v>0.48</v>
      </c>
      <c r="F539">
        <v>1030</v>
      </c>
      <c r="G539">
        <v>1130</v>
      </c>
      <c r="H539" t="s">
        <v>4930</v>
      </c>
      <c r="I539">
        <v>0</v>
      </c>
      <c r="J539" t="s">
        <v>97</v>
      </c>
      <c r="K539">
        <v>0</v>
      </c>
      <c r="L539">
        <v>0</v>
      </c>
      <c r="M539" t="s">
        <v>11</v>
      </c>
    </row>
    <row r="540" spans="1:13">
      <c r="A540" s="93">
        <v>238661</v>
      </c>
      <c r="B540" t="s">
        <v>1098</v>
      </c>
      <c r="C540" t="s">
        <v>4920</v>
      </c>
      <c r="D540" s="92">
        <v>0.64</v>
      </c>
      <c r="E540" s="92">
        <v>0.46</v>
      </c>
      <c r="F540" t="s">
        <v>446</v>
      </c>
      <c r="G540" t="s">
        <v>446</v>
      </c>
      <c r="H540" t="s">
        <v>4930</v>
      </c>
      <c r="I540">
        <v>0</v>
      </c>
      <c r="J540" t="s">
        <v>97</v>
      </c>
      <c r="K540">
        <v>0</v>
      </c>
      <c r="L540">
        <v>0</v>
      </c>
      <c r="M540" t="s">
        <v>11</v>
      </c>
    </row>
    <row r="541" spans="1:13">
      <c r="A541" s="93">
        <v>238722</v>
      </c>
      <c r="B541" t="s">
        <v>1099</v>
      </c>
      <c r="C541" t="s">
        <v>4919</v>
      </c>
      <c r="D541" s="92">
        <v>0.59</v>
      </c>
      <c r="E541" s="92">
        <v>0.61</v>
      </c>
      <c r="F541" t="s">
        <v>446</v>
      </c>
      <c r="G541" t="s">
        <v>446</v>
      </c>
      <c r="H541" t="s">
        <v>4932</v>
      </c>
      <c r="I541">
        <v>0</v>
      </c>
      <c r="J541" t="s">
        <v>97</v>
      </c>
      <c r="K541">
        <v>0</v>
      </c>
      <c r="L541">
        <v>0</v>
      </c>
      <c r="M541" t="s">
        <v>11</v>
      </c>
    </row>
    <row r="542" spans="1:13">
      <c r="A542" s="93">
        <v>240116</v>
      </c>
      <c r="B542" t="s">
        <v>1100</v>
      </c>
      <c r="C542" t="s">
        <v>4919</v>
      </c>
      <c r="D542" s="92">
        <v>0.5</v>
      </c>
      <c r="E542" s="92">
        <v>0.44</v>
      </c>
      <c r="F542" t="s">
        <v>446</v>
      </c>
      <c r="G542" t="s">
        <v>446</v>
      </c>
      <c r="H542" t="s">
        <v>4932</v>
      </c>
      <c r="I542">
        <v>0</v>
      </c>
      <c r="J542" t="s">
        <v>97</v>
      </c>
      <c r="K542">
        <v>0</v>
      </c>
      <c r="L542">
        <v>0</v>
      </c>
      <c r="M542" t="s">
        <v>11</v>
      </c>
    </row>
    <row r="543" spans="1:13">
      <c r="A543" s="93">
        <v>240365</v>
      </c>
      <c r="B543" t="s">
        <v>1101</v>
      </c>
      <c r="C543" t="s">
        <v>4920</v>
      </c>
      <c r="D543" s="92">
        <v>0.55</v>
      </c>
      <c r="E543" s="92">
        <v>0.46</v>
      </c>
      <c r="F543">
        <v>970</v>
      </c>
      <c r="G543">
        <v>1055</v>
      </c>
      <c r="H543" t="s">
        <v>4932</v>
      </c>
      <c r="I543">
        <v>0</v>
      </c>
      <c r="J543" t="s">
        <v>97</v>
      </c>
      <c r="K543">
        <v>0</v>
      </c>
      <c r="L543">
        <v>0</v>
      </c>
      <c r="M543" t="s">
        <v>11</v>
      </c>
    </row>
    <row r="544" spans="1:13">
      <c r="A544" s="93">
        <v>240374</v>
      </c>
      <c r="B544" t="s">
        <v>1102</v>
      </c>
      <c r="C544" t="s">
        <v>4920</v>
      </c>
      <c r="D544" s="92">
        <v>0.42</v>
      </c>
      <c r="E544" s="92">
        <v>0.32</v>
      </c>
      <c r="F544">
        <v>970</v>
      </c>
      <c r="G544">
        <v>1075</v>
      </c>
      <c r="H544" t="s">
        <v>4932</v>
      </c>
      <c r="I544">
        <v>0</v>
      </c>
      <c r="J544" t="s">
        <v>97</v>
      </c>
      <c r="K544">
        <v>0</v>
      </c>
      <c r="L544">
        <v>1</v>
      </c>
      <c r="M544" t="s">
        <v>4935</v>
      </c>
    </row>
    <row r="545" spans="1:13">
      <c r="A545" s="93">
        <v>240453</v>
      </c>
      <c r="B545" t="s">
        <v>1103</v>
      </c>
      <c r="C545" t="s">
        <v>4920</v>
      </c>
      <c r="D545" s="92">
        <v>0.47</v>
      </c>
      <c r="E545" s="92">
        <v>0.36</v>
      </c>
      <c r="F545">
        <v>970</v>
      </c>
      <c r="G545">
        <v>1090</v>
      </c>
      <c r="H545" t="s">
        <v>4931</v>
      </c>
      <c r="I545">
        <v>0</v>
      </c>
      <c r="J545" t="s">
        <v>97</v>
      </c>
      <c r="K545">
        <v>0</v>
      </c>
      <c r="L545">
        <v>0</v>
      </c>
      <c r="M545" t="s">
        <v>11</v>
      </c>
    </row>
    <row r="546" spans="1:13">
      <c r="A546" s="93">
        <v>240462</v>
      </c>
      <c r="B546" t="s">
        <v>1104</v>
      </c>
      <c r="C546" t="s">
        <v>4916</v>
      </c>
      <c r="D546" s="92">
        <v>0.57</v>
      </c>
      <c r="E546" s="92">
        <v>0.4</v>
      </c>
      <c r="F546">
        <v>1040</v>
      </c>
      <c r="G546">
        <v>1140</v>
      </c>
      <c r="H546" t="s">
        <v>4932</v>
      </c>
      <c r="I546">
        <v>0</v>
      </c>
      <c r="J546" t="s">
        <v>97</v>
      </c>
      <c r="K546">
        <v>0</v>
      </c>
      <c r="L546">
        <v>0</v>
      </c>
      <c r="M546" t="s">
        <v>11</v>
      </c>
    </row>
    <row r="547" spans="1:13">
      <c r="A547" s="93">
        <v>243179</v>
      </c>
      <c r="B547" t="s">
        <v>1105</v>
      </c>
      <c r="C547" t="s">
        <v>4926</v>
      </c>
      <c r="D547" s="92">
        <v>0.52</v>
      </c>
      <c r="E547" s="92">
        <v>0.52</v>
      </c>
      <c r="F547" t="s">
        <v>446</v>
      </c>
      <c r="G547" t="s">
        <v>446</v>
      </c>
      <c r="H547" t="s">
        <v>4932</v>
      </c>
      <c r="I547">
        <v>0</v>
      </c>
      <c r="J547" t="s">
        <v>97</v>
      </c>
      <c r="K547">
        <v>0</v>
      </c>
      <c r="L547">
        <v>0</v>
      </c>
      <c r="M547" t="s">
        <v>11</v>
      </c>
    </row>
    <row r="548" spans="1:13">
      <c r="A548" s="93">
        <v>243197</v>
      </c>
      <c r="B548" t="s">
        <v>1106</v>
      </c>
      <c r="C548" t="s">
        <v>4926</v>
      </c>
      <c r="D548" s="92">
        <v>0.47</v>
      </c>
      <c r="E548" s="92">
        <v>0.47</v>
      </c>
      <c r="F548" t="s">
        <v>446</v>
      </c>
      <c r="G548" t="s">
        <v>446</v>
      </c>
      <c r="H548" t="s">
        <v>4932</v>
      </c>
      <c r="I548">
        <v>0</v>
      </c>
      <c r="J548" t="s">
        <v>97</v>
      </c>
      <c r="K548">
        <v>0</v>
      </c>
      <c r="L548">
        <v>0</v>
      </c>
      <c r="M548" t="s">
        <v>11</v>
      </c>
    </row>
    <row r="549" spans="1:13">
      <c r="A549" s="93">
        <v>262086</v>
      </c>
      <c r="B549" t="s">
        <v>1107</v>
      </c>
      <c r="C549" t="s">
        <v>4924</v>
      </c>
      <c r="D549" s="92">
        <v>0.25</v>
      </c>
      <c r="E549" s="92">
        <v>0.25</v>
      </c>
      <c r="F549" t="s">
        <v>446</v>
      </c>
      <c r="G549" t="s">
        <v>446</v>
      </c>
      <c r="H549" t="s">
        <v>4930</v>
      </c>
      <c r="I549">
        <v>0</v>
      </c>
      <c r="J549" t="s">
        <v>97</v>
      </c>
      <c r="K549">
        <v>0</v>
      </c>
      <c r="L549">
        <v>0</v>
      </c>
      <c r="M549" t="s">
        <v>11</v>
      </c>
    </row>
    <row r="550" spans="1:13">
      <c r="A550" s="93">
        <v>374024</v>
      </c>
      <c r="B550" t="s">
        <v>1108</v>
      </c>
      <c r="C550" t="s">
        <v>4924</v>
      </c>
      <c r="D550" s="92">
        <v>0.25</v>
      </c>
      <c r="E550" s="92">
        <v>0.25</v>
      </c>
      <c r="F550" t="s">
        <v>446</v>
      </c>
      <c r="G550" t="s">
        <v>446</v>
      </c>
      <c r="H550" t="s">
        <v>4932</v>
      </c>
      <c r="I550">
        <v>0</v>
      </c>
      <c r="J550" t="s">
        <v>97</v>
      </c>
      <c r="K550">
        <v>0</v>
      </c>
      <c r="L550">
        <v>0</v>
      </c>
      <c r="M550" t="s">
        <v>11</v>
      </c>
    </row>
    <row r="551" spans="1:13">
      <c r="A551" s="93">
        <v>386472</v>
      </c>
      <c r="B551" t="s">
        <v>1109</v>
      </c>
      <c r="C551" t="s">
        <v>4924</v>
      </c>
      <c r="D551" s="92">
        <v>0.33</v>
      </c>
      <c r="E551" s="92">
        <v>0.5</v>
      </c>
      <c r="F551" t="s">
        <v>446</v>
      </c>
      <c r="G551" t="s">
        <v>446</v>
      </c>
      <c r="H551" t="s">
        <v>4930</v>
      </c>
      <c r="I551">
        <v>0</v>
      </c>
      <c r="J551" t="s">
        <v>97</v>
      </c>
      <c r="K551">
        <v>0</v>
      </c>
      <c r="L551">
        <v>0</v>
      </c>
      <c r="M551" t="s">
        <v>11</v>
      </c>
    </row>
    <row r="552" spans="1:13">
      <c r="A552" s="93">
        <v>409254</v>
      </c>
      <c r="B552" t="s">
        <v>1110</v>
      </c>
      <c r="C552" t="s">
        <v>4924</v>
      </c>
      <c r="D552" s="92">
        <v>0.25</v>
      </c>
      <c r="E552" s="92">
        <v>0.25</v>
      </c>
      <c r="F552" t="s">
        <v>446</v>
      </c>
      <c r="G552" t="s">
        <v>446</v>
      </c>
      <c r="H552" t="s">
        <v>4932</v>
      </c>
      <c r="I552">
        <v>0</v>
      </c>
      <c r="J552" t="s">
        <v>97</v>
      </c>
      <c r="K552">
        <v>0</v>
      </c>
      <c r="L552">
        <v>1</v>
      </c>
      <c r="M552" t="s">
        <v>4935</v>
      </c>
    </row>
    <row r="553" spans="1:13">
      <c r="A553" s="93">
        <v>421708</v>
      </c>
      <c r="B553" t="s">
        <v>1111</v>
      </c>
      <c r="C553" t="s">
        <v>4919</v>
      </c>
      <c r="D553" s="92">
        <v>0.66</v>
      </c>
      <c r="E553" s="92">
        <v>0.67</v>
      </c>
      <c r="F553" t="s">
        <v>446</v>
      </c>
      <c r="G553" t="s">
        <v>446</v>
      </c>
      <c r="H553" t="s">
        <v>4930</v>
      </c>
      <c r="I553">
        <v>0</v>
      </c>
      <c r="J553" t="s">
        <v>97</v>
      </c>
      <c r="K553">
        <v>0</v>
      </c>
      <c r="L553">
        <v>0</v>
      </c>
      <c r="M553" t="s">
        <v>11</v>
      </c>
    </row>
    <row r="554" spans="1:13">
      <c r="A554" s="93">
        <v>431141</v>
      </c>
      <c r="B554" t="s">
        <v>1112</v>
      </c>
      <c r="C554" t="s">
        <v>4919</v>
      </c>
      <c r="D554" s="92">
        <v>0.73</v>
      </c>
      <c r="E554" s="92">
        <v>0.72</v>
      </c>
      <c r="F554" t="s">
        <v>446</v>
      </c>
      <c r="G554" t="s">
        <v>446</v>
      </c>
      <c r="H554" t="s">
        <v>4930</v>
      </c>
      <c r="I554">
        <v>0</v>
      </c>
      <c r="J554" t="s">
        <v>97</v>
      </c>
      <c r="K554">
        <v>0</v>
      </c>
      <c r="L554">
        <v>0</v>
      </c>
      <c r="M554" t="s">
        <v>11</v>
      </c>
    </row>
    <row r="555" spans="1:13">
      <c r="A555" s="93">
        <v>436429</v>
      </c>
      <c r="B555" t="s">
        <v>1113</v>
      </c>
      <c r="C555" t="s">
        <v>4923</v>
      </c>
      <c r="D555" s="92">
        <v>0.48</v>
      </c>
      <c r="E555" s="92">
        <v>0.5</v>
      </c>
      <c r="F555" t="s">
        <v>446</v>
      </c>
      <c r="G555" t="s">
        <v>446</v>
      </c>
      <c r="H555" t="s">
        <v>4930</v>
      </c>
      <c r="I555">
        <v>0</v>
      </c>
      <c r="J555" t="s">
        <v>97</v>
      </c>
      <c r="K555">
        <v>0</v>
      </c>
      <c r="L555">
        <v>0</v>
      </c>
      <c r="M555" t="s">
        <v>11</v>
      </c>
    </row>
    <row r="556" spans="1:13">
      <c r="A556" s="93">
        <v>439394</v>
      </c>
      <c r="B556" t="s">
        <v>1114</v>
      </c>
      <c r="C556" t="s">
        <v>4924</v>
      </c>
      <c r="D556" s="92">
        <v>0.25</v>
      </c>
      <c r="E556" s="92">
        <v>0.25</v>
      </c>
      <c r="F556" t="s">
        <v>446</v>
      </c>
      <c r="G556" t="s">
        <v>446</v>
      </c>
      <c r="H556" t="s">
        <v>4931</v>
      </c>
      <c r="I556">
        <v>0</v>
      </c>
      <c r="J556" t="s">
        <v>97</v>
      </c>
      <c r="K556">
        <v>0</v>
      </c>
      <c r="L556">
        <v>0</v>
      </c>
      <c r="M556" t="s">
        <v>11</v>
      </c>
    </row>
    <row r="557" spans="1:13">
      <c r="A557" s="93">
        <v>444219</v>
      </c>
      <c r="B557" t="s">
        <v>1115</v>
      </c>
      <c r="C557" t="s">
        <v>4919</v>
      </c>
      <c r="D557" s="92">
        <v>0.42</v>
      </c>
      <c r="E557" s="92">
        <v>0.35</v>
      </c>
      <c r="F557" t="s">
        <v>446</v>
      </c>
      <c r="G557" t="s">
        <v>446</v>
      </c>
      <c r="H557" t="s">
        <v>4932</v>
      </c>
      <c r="I557">
        <v>0</v>
      </c>
      <c r="J557" t="s">
        <v>97</v>
      </c>
      <c r="K557">
        <v>0</v>
      </c>
      <c r="L557">
        <v>0</v>
      </c>
      <c r="M557" t="s">
        <v>11</v>
      </c>
    </row>
    <row r="558" spans="1:13">
      <c r="A558" s="93">
        <v>447351</v>
      </c>
      <c r="B558" t="s">
        <v>1116</v>
      </c>
      <c r="C558" t="s">
        <v>4926</v>
      </c>
      <c r="D558" s="92">
        <v>0.62</v>
      </c>
      <c r="E558" s="92">
        <v>0.64</v>
      </c>
      <c r="F558" t="s">
        <v>446</v>
      </c>
      <c r="G558" t="s">
        <v>446</v>
      </c>
      <c r="H558" t="s">
        <v>4930</v>
      </c>
      <c r="I558">
        <v>0</v>
      </c>
      <c r="J558" t="s">
        <v>97</v>
      </c>
      <c r="K558">
        <v>0</v>
      </c>
      <c r="L558">
        <v>0</v>
      </c>
      <c r="M558" t="s">
        <v>11</v>
      </c>
    </row>
    <row r="559" spans="1:13">
      <c r="A559" s="93">
        <v>448673</v>
      </c>
      <c r="B559" t="s">
        <v>1117</v>
      </c>
      <c r="C559" t="s">
        <v>4923</v>
      </c>
      <c r="D559" s="92">
        <v>1</v>
      </c>
      <c r="E559" s="92" t="s">
        <v>446</v>
      </c>
      <c r="F559" t="s">
        <v>446</v>
      </c>
      <c r="G559" t="s">
        <v>446</v>
      </c>
      <c r="H559" t="s">
        <v>4930</v>
      </c>
      <c r="I559">
        <v>0</v>
      </c>
      <c r="J559" t="s">
        <v>97</v>
      </c>
      <c r="K559">
        <v>0</v>
      </c>
      <c r="L559">
        <v>0</v>
      </c>
      <c r="M559" t="s">
        <v>11</v>
      </c>
    </row>
    <row r="560" spans="1:13">
      <c r="A560" s="93">
        <v>450933</v>
      </c>
      <c r="B560" t="s">
        <v>1118</v>
      </c>
      <c r="C560" t="s">
        <v>4923</v>
      </c>
      <c r="D560" s="92">
        <v>0.2</v>
      </c>
      <c r="E560" s="92">
        <v>0.13</v>
      </c>
      <c r="F560" t="s">
        <v>446</v>
      </c>
      <c r="G560" t="s">
        <v>446</v>
      </c>
      <c r="H560" t="s">
        <v>4931</v>
      </c>
      <c r="I560">
        <v>0</v>
      </c>
      <c r="J560" t="s">
        <v>97</v>
      </c>
      <c r="K560">
        <v>0</v>
      </c>
      <c r="L560">
        <v>0</v>
      </c>
      <c r="M560" t="s">
        <v>11</v>
      </c>
    </row>
    <row r="561" spans="1:13">
      <c r="A561" s="93">
        <v>457688</v>
      </c>
      <c r="B561" t="s">
        <v>1119</v>
      </c>
      <c r="C561" t="s">
        <v>4923</v>
      </c>
      <c r="D561" s="92">
        <v>0.86</v>
      </c>
      <c r="E561" s="92">
        <v>0.8</v>
      </c>
      <c r="F561" t="s">
        <v>446</v>
      </c>
      <c r="G561" t="s">
        <v>446</v>
      </c>
      <c r="H561" t="s">
        <v>4932</v>
      </c>
      <c r="I561">
        <v>0</v>
      </c>
      <c r="J561" t="s">
        <v>97</v>
      </c>
      <c r="K561">
        <v>0</v>
      </c>
      <c r="L561">
        <v>0</v>
      </c>
      <c r="M561" t="s">
        <v>11</v>
      </c>
    </row>
    <row r="562" spans="1:13">
      <c r="A562" s="93">
        <v>459842</v>
      </c>
      <c r="B562" t="s">
        <v>1120</v>
      </c>
      <c r="C562" t="s">
        <v>4924</v>
      </c>
      <c r="D562" s="92">
        <v>0.4</v>
      </c>
      <c r="E562" s="92">
        <v>0.12</v>
      </c>
      <c r="F562" t="s">
        <v>446</v>
      </c>
      <c r="G562" t="s">
        <v>446</v>
      </c>
      <c r="H562" t="s">
        <v>4930</v>
      </c>
      <c r="I562">
        <v>0</v>
      </c>
      <c r="J562" t="s">
        <v>97</v>
      </c>
      <c r="K562">
        <v>0</v>
      </c>
      <c r="L562">
        <v>1</v>
      </c>
      <c r="M562" t="s">
        <v>4935</v>
      </c>
    </row>
    <row r="563" spans="1:13">
      <c r="A563" s="93">
        <v>497046</v>
      </c>
      <c r="B563" t="s">
        <v>1121</v>
      </c>
      <c r="C563" t="s">
        <v>4926</v>
      </c>
      <c r="D563" s="92">
        <v>0.25</v>
      </c>
      <c r="E563" s="92">
        <v>0.25</v>
      </c>
      <c r="F563" t="s">
        <v>446</v>
      </c>
      <c r="G563" t="s">
        <v>446</v>
      </c>
      <c r="H563" t="s">
        <v>4932</v>
      </c>
      <c r="I563">
        <v>0</v>
      </c>
      <c r="J563" t="s">
        <v>97</v>
      </c>
      <c r="K563">
        <v>0</v>
      </c>
      <c r="L563">
        <v>0</v>
      </c>
      <c r="M563" t="s">
        <v>11</v>
      </c>
    </row>
    <row r="564" spans="1:13">
      <c r="A564" s="93">
        <v>100690</v>
      </c>
      <c r="B564" t="s">
        <v>1122</v>
      </c>
      <c r="C564" t="s">
        <v>4923</v>
      </c>
      <c r="D564" s="92">
        <v>0.5</v>
      </c>
      <c r="E564" s="92">
        <v>0.29</v>
      </c>
      <c r="F564" t="s">
        <v>446</v>
      </c>
      <c r="G564" t="s">
        <v>446</v>
      </c>
      <c r="H564" t="s">
        <v>4932</v>
      </c>
      <c r="I564">
        <v>0</v>
      </c>
      <c r="J564" t="s">
        <v>97</v>
      </c>
      <c r="K564">
        <v>0</v>
      </c>
      <c r="L564">
        <v>0</v>
      </c>
      <c r="M564" t="s">
        <v>11</v>
      </c>
    </row>
    <row r="565" spans="1:13">
      <c r="A565" s="93">
        <v>100706</v>
      </c>
      <c r="B565" t="s">
        <v>1123</v>
      </c>
      <c r="C565" t="s">
        <v>4916</v>
      </c>
      <c r="D565" s="92">
        <v>0.59</v>
      </c>
      <c r="E565" s="92">
        <v>0.49</v>
      </c>
      <c r="F565">
        <v>1180</v>
      </c>
      <c r="G565">
        <v>1290</v>
      </c>
      <c r="H565" t="s">
        <v>4932</v>
      </c>
      <c r="I565">
        <v>0</v>
      </c>
      <c r="J565" t="s">
        <v>97</v>
      </c>
      <c r="K565">
        <v>0</v>
      </c>
      <c r="L565">
        <v>0</v>
      </c>
      <c r="M565" t="s">
        <v>11</v>
      </c>
    </row>
    <row r="566" spans="1:13">
      <c r="A566" s="93">
        <v>100760</v>
      </c>
      <c r="B566" t="s">
        <v>1124</v>
      </c>
      <c r="C566" t="s">
        <v>4919</v>
      </c>
      <c r="D566" s="92">
        <v>0.33</v>
      </c>
      <c r="E566" s="92">
        <v>0.25</v>
      </c>
      <c r="F566" t="s">
        <v>446</v>
      </c>
      <c r="G566" t="s">
        <v>446</v>
      </c>
      <c r="H566" t="s">
        <v>4932</v>
      </c>
      <c r="I566">
        <v>0</v>
      </c>
      <c r="J566" t="s">
        <v>97</v>
      </c>
      <c r="K566">
        <v>0</v>
      </c>
      <c r="L566">
        <v>0</v>
      </c>
      <c r="M566" t="s">
        <v>11</v>
      </c>
    </row>
    <row r="567" spans="1:13">
      <c r="A567" s="93">
        <v>100812</v>
      </c>
      <c r="B567" t="s">
        <v>1125</v>
      </c>
      <c r="C567" t="s">
        <v>4924</v>
      </c>
      <c r="D567" s="92" t="s">
        <v>446</v>
      </c>
      <c r="E567" s="92" t="s">
        <v>446</v>
      </c>
      <c r="F567" t="s">
        <v>446</v>
      </c>
      <c r="G567" t="s">
        <v>446</v>
      </c>
      <c r="H567" t="s">
        <v>4932</v>
      </c>
      <c r="I567">
        <v>0</v>
      </c>
      <c r="J567" t="s">
        <v>97</v>
      </c>
      <c r="K567">
        <v>0</v>
      </c>
      <c r="L567">
        <v>0</v>
      </c>
      <c r="M567" t="s">
        <v>11</v>
      </c>
    </row>
    <row r="568" spans="1:13">
      <c r="A568" s="93">
        <v>100830</v>
      </c>
      <c r="B568" t="s">
        <v>1126</v>
      </c>
      <c r="C568" t="s">
        <v>4920</v>
      </c>
      <c r="D568" s="92">
        <v>0.33</v>
      </c>
      <c r="E568" s="92">
        <v>0.27</v>
      </c>
      <c r="F568">
        <v>930</v>
      </c>
      <c r="G568">
        <v>1055</v>
      </c>
      <c r="H568" t="s">
        <v>4932</v>
      </c>
      <c r="I568">
        <v>0</v>
      </c>
      <c r="J568" t="s">
        <v>97</v>
      </c>
      <c r="K568">
        <v>0</v>
      </c>
      <c r="L568">
        <v>0</v>
      </c>
      <c r="M568" t="s">
        <v>11</v>
      </c>
    </row>
    <row r="569" spans="1:13">
      <c r="A569" s="93">
        <v>100858</v>
      </c>
      <c r="B569" t="s">
        <v>1127</v>
      </c>
      <c r="C569" t="s">
        <v>4916</v>
      </c>
      <c r="D569" s="92">
        <v>0.8100000000000001</v>
      </c>
      <c r="E569" s="92">
        <v>0.72</v>
      </c>
      <c r="F569" t="s">
        <v>446</v>
      </c>
      <c r="G569" t="s">
        <v>446</v>
      </c>
      <c r="H569" t="s">
        <v>4930</v>
      </c>
      <c r="I569">
        <v>0</v>
      </c>
      <c r="J569" t="s">
        <v>97</v>
      </c>
      <c r="K569">
        <v>0</v>
      </c>
      <c r="L569">
        <v>0</v>
      </c>
      <c r="M569" t="s">
        <v>11</v>
      </c>
    </row>
    <row r="570" spans="1:13">
      <c r="A570" s="93">
        <v>100937</v>
      </c>
      <c r="B570" t="s">
        <v>1128</v>
      </c>
      <c r="C570" t="s">
        <v>4916</v>
      </c>
      <c r="D570" s="92">
        <v>0.7</v>
      </c>
      <c r="E570" s="92">
        <v>0.57</v>
      </c>
      <c r="F570">
        <v>1110</v>
      </c>
      <c r="G570">
        <v>1210</v>
      </c>
      <c r="H570" t="s">
        <v>4930</v>
      </c>
      <c r="I570">
        <v>0</v>
      </c>
      <c r="J570" t="s">
        <v>97</v>
      </c>
      <c r="K570">
        <v>0</v>
      </c>
      <c r="L570">
        <v>0</v>
      </c>
      <c r="M570" t="s">
        <v>11</v>
      </c>
    </row>
    <row r="571" spans="1:13">
      <c r="A571" s="93">
        <v>101028</v>
      </c>
      <c r="B571" t="s">
        <v>1129</v>
      </c>
      <c r="C571" t="s">
        <v>4919</v>
      </c>
      <c r="D571" s="92">
        <v>0.36</v>
      </c>
      <c r="E571" s="92">
        <v>0.35</v>
      </c>
      <c r="F571" t="s">
        <v>446</v>
      </c>
      <c r="G571" t="s">
        <v>446</v>
      </c>
      <c r="H571" t="s">
        <v>4932</v>
      </c>
      <c r="I571">
        <v>0</v>
      </c>
      <c r="J571" t="s">
        <v>97</v>
      </c>
      <c r="K571">
        <v>0</v>
      </c>
      <c r="L571">
        <v>0</v>
      </c>
      <c r="M571" t="s">
        <v>11</v>
      </c>
    </row>
    <row r="572" spans="1:13">
      <c r="A572" s="93">
        <v>101116</v>
      </c>
      <c r="B572" t="s">
        <v>1130</v>
      </c>
      <c r="C572" t="s">
        <v>4923</v>
      </c>
      <c r="D572" s="92">
        <v>0.15</v>
      </c>
      <c r="E572" s="92">
        <v>0.13</v>
      </c>
      <c r="F572" t="s">
        <v>446</v>
      </c>
      <c r="G572" t="s">
        <v>446</v>
      </c>
      <c r="H572" t="s">
        <v>4930</v>
      </c>
      <c r="I572">
        <v>0</v>
      </c>
      <c r="J572" t="s">
        <v>97</v>
      </c>
      <c r="K572">
        <v>0</v>
      </c>
      <c r="L572">
        <v>0</v>
      </c>
      <c r="M572" t="s">
        <v>11</v>
      </c>
    </row>
    <row r="573" spans="1:13">
      <c r="A573" s="93">
        <v>101143</v>
      </c>
      <c r="B573" t="s">
        <v>1131</v>
      </c>
      <c r="C573" t="s">
        <v>4919</v>
      </c>
      <c r="D573" s="92">
        <v>0.4</v>
      </c>
      <c r="E573" s="92">
        <v>0.35</v>
      </c>
      <c r="F573" t="s">
        <v>446</v>
      </c>
      <c r="G573" t="s">
        <v>446</v>
      </c>
      <c r="H573" t="s">
        <v>4932</v>
      </c>
      <c r="I573">
        <v>0</v>
      </c>
      <c r="J573" t="s">
        <v>97</v>
      </c>
      <c r="K573">
        <v>0</v>
      </c>
      <c r="L573">
        <v>0</v>
      </c>
      <c r="M573" t="s">
        <v>11</v>
      </c>
    </row>
    <row r="574" spans="1:13">
      <c r="A574" s="93">
        <v>101161</v>
      </c>
      <c r="B574" t="s">
        <v>1132</v>
      </c>
      <c r="C574" t="s">
        <v>4919</v>
      </c>
      <c r="D574" s="92">
        <v>0.36</v>
      </c>
      <c r="E574" s="92">
        <v>0.33</v>
      </c>
      <c r="F574" t="s">
        <v>446</v>
      </c>
      <c r="G574" t="s">
        <v>446</v>
      </c>
      <c r="H574" t="s">
        <v>4932</v>
      </c>
      <c r="I574">
        <v>0</v>
      </c>
      <c r="J574" t="s">
        <v>97</v>
      </c>
      <c r="K574">
        <v>0</v>
      </c>
      <c r="L574">
        <v>0</v>
      </c>
      <c r="M574" t="s">
        <v>11</v>
      </c>
    </row>
    <row r="575" spans="1:13">
      <c r="A575" s="93">
        <v>101189</v>
      </c>
      <c r="B575" t="s">
        <v>1133</v>
      </c>
      <c r="C575" t="s">
        <v>4920</v>
      </c>
      <c r="D575" s="92">
        <v>0.26</v>
      </c>
      <c r="E575" s="92">
        <v>0.17</v>
      </c>
      <c r="F575">
        <v>890</v>
      </c>
      <c r="G575">
        <v>1015</v>
      </c>
      <c r="H575" t="s">
        <v>4930</v>
      </c>
      <c r="I575">
        <v>0</v>
      </c>
      <c r="J575" t="s">
        <v>97</v>
      </c>
      <c r="K575">
        <v>0</v>
      </c>
      <c r="L575">
        <v>0</v>
      </c>
      <c r="M575" t="s">
        <v>11</v>
      </c>
    </row>
    <row r="576" spans="1:13">
      <c r="A576" s="93">
        <v>101240</v>
      </c>
      <c r="B576" t="s">
        <v>1134</v>
      </c>
      <c r="C576" t="s">
        <v>4919</v>
      </c>
      <c r="D576" s="92">
        <v>0.29</v>
      </c>
      <c r="E576" s="92">
        <v>0.41</v>
      </c>
      <c r="F576" t="s">
        <v>446</v>
      </c>
      <c r="G576" t="s">
        <v>446</v>
      </c>
      <c r="H576" t="s">
        <v>4932</v>
      </c>
      <c r="I576">
        <v>0</v>
      </c>
      <c r="J576" t="s">
        <v>153</v>
      </c>
      <c r="K576">
        <v>0</v>
      </c>
      <c r="L576">
        <v>0</v>
      </c>
      <c r="M576" t="s">
        <v>11</v>
      </c>
    </row>
    <row r="577" spans="1:13">
      <c r="A577" s="93">
        <v>101286</v>
      </c>
      <c r="B577" t="s">
        <v>1135</v>
      </c>
      <c r="C577" t="s">
        <v>4919</v>
      </c>
      <c r="D577" s="92">
        <v>0.38</v>
      </c>
      <c r="E577" s="92">
        <v>0.31</v>
      </c>
      <c r="F577" t="s">
        <v>446</v>
      </c>
      <c r="G577" t="s">
        <v>446</v>
      </c>
      <c r="H577" t="s">
        <v>4932</v>
      </c>
      <c r="I577">
        <v>0</v>
      </c>
      <c r="J577" t="s">
        <v>97</v>
      </c>
      <c r="K577">
        <v>0</v>
      </c>
      <c r="L577">
        <v>0</v>
      </c>
      <c r="M577" t="s">
        <v>11</v>
      </c>
    </row>
    <row r="578" spans="1:13">
      <c r="A578" s="93">
        <v>101295</v>
      </c>
      <c r="B578" t="s">
        <v>1136</v>
      </c>
      <c r="C578" t="s">
        <v>4919</v>
      </c>
      <c r="D578" s="92">
        <v>0.51</v>
      </c>
      <c r="E578" s="92">
        <v>0.5</v>
      </c>
      <c r="F578" t="s">
        <v>446</v>
      </c>
      <c r="G578" t="s">
        <v>446</v>
      </c>
      <c r="H578" t="s">
        <v>4932</v>
      </c>
      <c r="I578">
        <v>0</v>
      </c>
      <c r="J578" t="s">
        <v>97</v>
      </c>
      <c r="K578">
        <v>0</v>
      </c>
      <c r="L578">
        <v>0</v>
      </c>
      <c r="M578" t="s">
        <v>11</v>
      </c>
    </row>
    <row r="579" spans="1:13">
      <c r="A579" s="93">
        <v>101301</v>
      </c>
      <c r="B579" t="s">
        <v>1137</v>
      </c>
      <c r="C579" t="s">
        <v>4919</v>
      </c>
      <c r="D579" s="92">
        <v>0.41</v>
      </c>
      <c r="E579" s="92">
        <v>0.41</v>
      </c>
      <c r="F579" t="s">
        <v>446</v>
      </c>
      <c r="G579" t="s">
        <v>446</v>
      </c>
      <c r="H579" t="s">
        <v>4932</v>
      </c>
      <c r="I579">
        <v>0</v>
      </c>
      <c r="J579" t="s">
        <v>97</v>
      </c>
      <c r="K579">
        <v>0</v>
      </c>
      <c r="L579">
        <v>0</v>
      </c>
      <c r="M579" t="s">
        <v>11</v>
      </c>
    </row>
    <row r="580" spans="1:13">
      <c r="A580" s="93">
        <v>101365</v>
      </c>
      <c r="B580" t="s">
        <v>1138</v>
      </c>
      <c r="C580" t="s">
        <v>4924</v>
      </c>
      <c r="D580" s="92" t="s">
        <v>446</v>
      </c>
      <c r="E580" s="92" t="s">
        <v>446</v>
      </c>
      <c r="F580" t="s">
        <v>446</v>
      </c>
      <c r="G580" t="s">
        <v>446</v>
      </c>
      <c r="H580" t="s">
        <v>4930</v>
      </c>
      <c r="I580">
        <v>0</v>
      </c>
      <c r="J580" t="s">
        <v>97</v>
      </c>
      <c r="K580">
        <v>0</v>
      </c>
      <c r="L580">
        <v>0</v>
      </c>
      <c r="M580" t="s">
        <v>11</v>
      </c>
    </row>
    <row r="581" spans="1:13">
      <c r="A581" s="93">
        <v>101435</v>
      </c>
      <c r="B581" t="s">
        <v>1139</v>
      </c>
      <c r="C581" t="s">
        <v>4920</v>
      </c>
      <c r="D581" s="92">
        <v>0.45</v>
      </c>
      <c r="E581" s="92">
        <v>0.43</v>
      </c>
      <c r="F581">
        <v>1010</v>
      </c>
      <c r="G581">
        <v>1110</v>
      </c>
      <c r="H581" t="s">
        <v>4930</v>
      </c>
      <c r="I581">
        <v>0</v>
      </c>
      <c r="J581" t="s">
        <v>97</v>
      </c>
      <c r="K581">
        <v>0</v>
      </c>
      <c r="L581">
        <v>0</v>
      </c>
      <c r="M581" t="s">
        <v>11</v>
      </c>
    </row>
    <row r="582" spans="1:13">
      <c r="A582" s="93">
        <v>101453</v>
      </c>
      <c r="B582" t="s">
        <v>1140</v>
      </c>
      <c r="C582" t="s">
        <v>4918</v>
      </c>
      <c r="D582" s="92">
        <v>0.14</v>
      </c>
      <c r="E582" s="92" t="s">
        <v>446</v>
      </c>
      <c r="F582" t="s">
        <v>446</v>
      </c>
      <c r="G582" t="s">
        <v>446</v>
      </c>
      <c r="H582" t="s">
        <v>4932</v>
      </c>
      <c r="I582">
        <v>0</v>
      </c>
      <c r="J582" t="s">
        <v>97</v>
      </c>
      <c r="K582">
        <v>0</v>
      </c>
      <c r="L582">
        <v>0</v>
      </c>
      <c r="M582" t="s">
        <v>11</v>
      </c>
    </row>
    <row r="583" spans="1:13">
      <c r="A583" s="93">
        <v>101462</v>
      </c>
      <c r="B583" t="s">
        <v>1141</v>
      </c>
      <c r="C583" t="s">
        <v>4919</v>
      </c>
      <c r="D583" s="92">
        <v>0.19</v>
      </c>
      <c r="E583" s="92">
        <v>0.17</v>
      </c>
      <c r="F583" t="s">
        <v>446</v>
      </c>
      <c r="G583" t="s">
        <v>446</v>
      </c>
      <c r="H583" t="s">
        <v>4932</v>
      </c>
      <c r="I583">
        <v>0</v>
      </c>
      <c r="J583" t="s">
        <v>153</v>
      </c>
      <c r="K583">
        <v>0</v>
      </c>
      <c r="L583">
        <v>0</v>
      </c>
      <c r="M583" t="s">
        <v>11</v>
      </c>
    </row>
    <row r="584" spans="1:13">
      <c r="A584" s="93">
        <v>101471</v>
      </c>
      <c r="B584" t="s">
        <v>1142</v>
      </c>
      <c r="C584" t="s">
        <v>4919</v>
      </c>
      <c r="D584" s="92" t="s">
        <v>446</v>
      </c>
      <c r="E584" s="92" t="s">
        <v>446</v>
      </c>
      <c r="F584" t="s">
        <v>446</v>
      </c>
      <c r="G584" t="s">
        <v>446</v>
      </c>
      <c r="H584" t="s">
        <v>4932</v>
      </c>
      <c r="I584">
        <v>0</v>
      </c>
      <c r="J584" t="s">
        <v>97</v>
      </c>
      <c r="K584">
        <v>0</v>
      </c>
      <c r="L584">
        <v>0</v>
      </c>
      <c r="M584" t="s">
        <v>11</v>
      </c>
    </row>
    <row r="585" spans="1:13">
      <c r="A585" s="93">
        <v>101480</v>
      </c>
      <c r="B585" t="s">
        <v>1143</v>
      </c>
      <c r="C585" t="s">
        <v>4918</v>
      </c>
      <c r="D585" s="92">
        <v>0.45</v>
      </c>
      <c r="E585" s="92">
        <v>0.31</v>
      </c>
      <c r="F585">
        <v>890</v>
      </c>
      <c r="G585">
        <v>1015</v>
      </c>
      <c r="H585" t="s">
        <v>4931</v>
      </c>
      <c r="I585">
        <v>0</v>
      </c>
      <c r="J585" t="s">
        <v>97</v>
      </c>
      <c r="K585">
        <v>0</v>
      </c>
      <c r="L585">
        <v>0</v>
      </c>
      <c r="M585" t="s">
        <v>11</v>
      </c>
    </row>
    <row r="586" spans="1:13">
      <c r="A586" s="93">
        <v>101505</v>
      </c>
      <c r="B586" t="s">
        <v>1144</v>
      </c>
      <c r="C586" t="s">
        <v>4919</v>
      </c>
      <c r="D586" s="92">
        <v>0.39</v>
      </c>
      <c r="E586" s="92">
        <v>0.24</v>
      </c>
      <c r="F586" t="s">
        <v>446</v>
      </c>
      <c r="G586" t="s">
        <v>446</v>
      </c>
      <c r="H586" t="s">
        <v>4932</v>
      </c>
      <c r="I586">
        <v>0</v>
      </c>
      <c r="J586" t="s">
        <v>97</v>
      </c>
      <c r="K586">
        <v>0</v>
      </c>
      <c r="L586">
        <v>0</v>
      </c>
      <c r="M586" t="s">
        <v>11</v>
      </c>
    </row>
    <row r="587" spans="1:13">
      <c r="A587" s="93">
        <v>101514</v>
      </c>
      <c r="B587" t="s">
        <v>1145</v>
      </c>
      <c r="C587" t="s">
        <v>4919</v>
      </c>
      <c r="D587" s="92">
        <v>0.42</v>
      </c>
      <c r="E587" s="92">
        <v>0.35</v>
      </c>
      <c r="F587" t="s">
        <v>446</v>
      </c>
      <c r="G587" t="s">
        <v>446</v>
      </c>
      <c r="H587" t="s">
        <v>4932</v>
      </c>
      <c r="I587">
        <v>0</v>
      </c>
      <c r="J587" t="s">
        <v>97</v>
      </c>
      <c r="K587">
        <v>0</v>
      </c>
      <c r="L587">
        <v>0</v>
      </c>
      <c r="M587" t="s">
        <v>11</v>
      </c>
    </row>
    <row r="588" spans="1:13">
      <c r="A588" s="93">
        <v>101569</v>
      </c>
      <c r="B588" t="s">
        <v>1146</v>
      </c>
      <c r="C588" t="s">
        <v>4919</v>
      </c>
      <c r="D588" s="92">
        <v>0.32</v>
      </c>
      <c r="E588" s="92">
        <v>0.44</v>
      </c>
      <c r="F588" t="s">
        <v>446</v>
      </c>
      <c r="G588" t="s">
        <v>446</v>
      </c>
      <c r="H588" t="s">
        <v>4932</v>
      </c>
      <c r="I588">
        <v>0</v>
      </c>
      <c r="J588" t="s">
        <v>153</v>
      </c>
      <c r="K588">
        <v>0</v>
      </c>
      <c r="L588">
        <v>0</v>
      </c>
      <c r="M588" t="s">
        <v>11</v>
      </c>
    </row>
    <row r="589" spans="1:13">
      <c r="A589" s="93">
        <v>101587</v>
      </c>
      <c r="B589" t="s">
        <v>1147</v>
      </c>
      <c r="C589" t="s">
        <v>4923</v>
      </c>
      <c r="D589" s="92">
        <v>0.38</v>
      </c>
      <c r="E589" s="92">
        <v>0.33</v>
      </c>
      <c r="F589">
        <v>930</v>
      </c>
      <c r="G589">
        <v>1005</v>
      </c>
      <c r="H589" t="s">
        <v>4932</v>
      </c>
      <c r="I589">
        <v>0</v>
      </c>
      <c r="J589" t="s">
        <v>97</v>
      </c>
      <c r="K589">
        <v>0</v>
      </c>
      <c r="L589">
        <v>0</v>
      </c>
      <c r="M589" t="s">
        <v>11</v>
      </c>
    </row>
    <row r="590" spans="1:13">
      <c r="A590" s="93">
        <v>101602</v>
      </c>
      <c r="B590" t="s">
        <v>1148</v>
      </c>
      <c r="C590" t="s">
        <v>4919</v>
      </c>
      <c r="D590" s="92">
        <v>0.48</v>
      </c>
      <c r="E590" s="92">
        <v>0.35</v>
      </c>
      <c r="F590" t="s">
        <v>446</v>
      </c>
      <c r="G590" t="s">
        <v>446</v>
      </c>
      <c r="H590" t="s">
        <v>4932</v>
      </c>
      <c r="I590">
        <v>0</v>
      </c>
      <c r="J590" t="s">
        <v>97</v>
      </c>
      <c r="K590">
        <v>0</v>
      </c>
      <c r="L590">
        <v>0</v>
      </c>
      <c r="M590" t="s">
        <v>11</v>
      </c>
    </row>
    <row r="591" spans="1:13">
      <c r="A591" s="93">
        <v>101648</v>
      </c>
      <c r="B591" t="s">
        <v>1149</v>
      </c>
      <c r="C591" t="s">
        <v>4925</v>
      </c>
      <c r="D591" s="92">
        <v>0.62</v>
      </c>
      <c r="E591" s="92">
        <v>0.61</v>
      </c>
      <c r="F591">
        <v>1100</v>
      </c>
      <c r="G591">
        <v>1200</v>
      </c>
      <c r="H591" t="s">
        <v>4932</v>
      </c>
      <c r="I591">
        <v>0</v>
      </c>
      <c r="J591" t="s">
        <v>97</v>
      </c>
      <c r="K591">
        <v>0</v>
      </c>
      <c r="L591">
        <v>0</v>
      </c>
      <c r="M591" t="s">
        <v>11</v>
      </c>
    </row>
    <row r="592" spans="1:13">
      <c r="A592" s="93">
        <v>101675</v>
      </c>
      <c r="B592" t="s">
        <v>1150</v>
      </c>
      <c r="C592" t="s">
        <v>4923</v>
      </c>
      <c r="D592" s="92">
        <v>0.24</v>
      </c>
      <c r="E592" s="92">
        <v>0.39</v>
      </c>
      <c r="F592" t="s">
        <v>446</v>
      </c>
      <c r="G592" t="s">
        <v>446</v>
      </c>
      <c r="H592" t="s">
        <v>4931</v>
      </c>
      <c r="I592">
        <v>0</v>
      </c>
      <c r="J592" t="s">
        <v>153</v>
      </c>
      <c r="K592">
        <v>0</v>
      </c>
      <c r="L592">
        <v>0</v>
      </c>
      <c r="M592" t="s">
        <v>11</v>
      </c>
    </row>
    <row r="593" spans="1:13">
      <c r="A593" s="93">
        <v>101693</v>
      </c>
      <c r="B593" t="s">
        <v>1151</v>
      </c>
      <c r="C593" t="s">
        <v>4920</v>
      </c>
      <c r="D593" s="92">
        <v>0.51</v>
      </c>
      <c r="E593" s="92">
        <v>0.3</v>
      </c>
      <c r="F593" t="s">
        <v>446</v>
      </c>
      <c r="G593" t="s">
        <v>446</v>
      </c>
      <c r="H593" t="s">
        <v>4931</v>
      </c>
      <c r="I593">
        <v>0</v>
      </c>
      <c r="J593" t="s">
        <v>97</v>
      </c>
      <c r="K593">
        <v>0</v>
      </c>
      <c r="L593">
        <v>0</v>
      </c>
      <c r="M593" t="s">
        <v>11</v>
      </c>
    </row>
    <row r="594" spans="1:13">
      <c r="A594" s="93">
        <v>101709</v>
      </c>
      <c r="B594" t="s">
        <v>1152</v>
      </c>
      <c r="C594" t="s">
        <v>4920</v>
      </c>
      <c r="D594" s="92">
        <v>0.54</v>
      </c>
      <c r="E594" s="92">
        <v>0.57</v>
      </c>
      <c r="F594">
        <v>1010</v>
      </c>
      <c r="G594">
        <v>1125</v>
      </c>
      <c r="H594" t="s">
        <v>4932</v>
      </c>
      <c r="I594">
        <v>0</v>
      </c>
      <c r="J594" t="s">
        <v>97</v>
      </c>
      <c r="K594">
        <v>0</v>
      </c>
      <c r="L594">
        <v>0</v>
      </c>
      <c r="M594" t="s">
        <v>11</v>
      </c>
    </row>
    <row r="595" spans="1:13">
      <c r="A595" s="93">
        <v>101736</v>
      </c>
      <c r="B595" t="s">
        <v>1153</v>
      </c>
      <c r="C595" t="s">
        <v>4919</v>
      </c>
      <c r="D595" s="92">
        <v>0.31</v>
      </c>
      <c r="E595" s="92">
        <v>0.25</v>
      </c>
      <c r="F595" t="s">
        <v>446</v>
      </c>
      <c r="G595" t="s">
        <v>446</v>
      </c>
      <c r="H595" t="s">
        <v>4932</v>
      </c>
      <c r="I595">
        <v>0</v>
      </c>
      <c r="J595" t="s">
        <v>97</v>
      </c>
      <c r="K595">
        <v>0</v>
      </c>
      <c r="L595">
        <v>0</v>
      </c>
      <c r="M595" t="s">
        <v>11</v>
      </c>
    </row>
    <row r="596" spans="1:13">
      <c r="A596" s="93">
        <v>101879</v>
      </c>
      <c r="B596" t="s">
        <v>1154</v>
      </c>
      <c r="C596" t="s">
        <v>4920</v>
      </c>
      <c r="D596" s="92">
        <v>0.51</v>
      </c>
      <c r="E596" s="92">
        <v>0.37</v>
      </c>
      <c r="F596" t="s">
        <v>446</v>
      </c>
      <c r="G596" t="s">
        <v>446</v>
      </c>
      <c r="H596" t="s">
        <v>4932</v>
      </c>
      <c r="I596">
        <v>0</v>
      </c>
      <c r="J596" t="s">
        <v>97</v>
      </c>
      <c r="K596">
        <v>0</v>
      </c>
      <c r="L596">
        <v>0</v>
      </c>
      <c r="M596" t="s">
        <v>11</v>
      </c>
    </row>
    <row r="597" spans="1:13">
      <c r="A597" s="93">
        <v>101897</v>
      </c>
      <c r="B597" t="s">
        <v>1155</v>
      </c>
      <c r="C597" t="s">
        <v>4919</v>
      </c>
      <c r="D597" s="92">
        <v>0.51</v>
      </c>
      <c r="E597" s="92">
        <v>0.48</v>
      </c>
      <c r="F597" t="s">
        <v>446</v>
      </c>
      <c r="G597" t="s">
        <v>446</v>
      </c>
      <c r="H597" t="s">
        <v>4932</v>
      </c>
      <c r="I597">
        <v>0</v>
      </c>
      <c r="J597" t="s">
        <v>97</v>
      </c>
      <c r="K597">
        <v>0</v>
      </c>
      <c r="L597">
        <v>0</v>
      </c>
      <c r="M597" t="s">
        <v>11</v>
      </c>
    </row>
    <row r="598" spans="1:13">
      <c r="A598" s="93">
        <v>101912</v>
      </c>
      <c r="B598" t="s">
        <v>1156</v>
      </c>
      <c r="C598" t="s">
        <v>4920</v>
      </c>
      <c r="D598" s="92">
        <v>0.49</v>
      </c>
      <c r="E598" s="92">
        <v>0.66</v>
      </c>
      <c r="F598" t="s">
        <v>446</v>
      </c>
      <c r="G598" t="s">
        <v>446</v>
      </c>
      <c r="H598" t="s">
        <v>4930</v>
      </c>
      <c r="I598">
        <v>0</v>
      </c>
      <c r="J598" t="s">
        <v>153</v>
      </c>
      <c r="K598">
        <v>0</v>
      </c>
      <c r="L598">
        <v>0</v>
      </c>
      <c r="M598" t="s">
        <v>11</v>
      </c>
    </row>
    <row r="599" spans="1:13">
      <c r="A599" s="93">
        <v>101994</v>
      </c>
      <c r="B599" t="s">
        <v>1157</v>
      </c>
      <c r="C599" t="s">
        <v>4919</v>
      </c>
      <c r="D599" s="92" t="s">
        <v>446</v>
      </c>
      <c r="E599" s="92" t="s">
        <v>446</v>
      </c>
      <c r="F599" t="s">
        <v>446</v>
      </c>
      <c r="G599" t="s">
        <v>446</v>
      </c>
      <c r="H599" t="s">
        <v>4932</v>
      </c>
      <c r="I599">
        <v>0</v>
      </c>
      <c r="J599" t="s">
        <v>97</v>
      </c>
      <c r="K599">
        <v>0</v>
      </c>
      <c r="L599">
        <v>0</v>
      </c>
      <c r="M599" t="s">
        <v>11</v>
      </c>
    </row>
    <row r="600" spans="1:13">
      <c r="A600" s="93">
        <v>102030</v>
      </c>
      <c r="B600" t="s">
        <v>1158</v>
      </c>
      <c r="C600" t="s">
        <v>4919</v>
      </c>
      <c r="D600" s="92">
        <v>0.41</v>
      </c>
      <c r="E600" s="92">
        <v>0.54</v>
      </c>
      <c r="F600" t="s">
        <v>446</v>
      </c>
      <c r="G600" t="s">
        <v>446</v>
      </c>
      <c r="H600" t="s">
        <v>4932</v>
      </c>
      <c r="I600">
        <v>0</v>
      </c>
      <c r="J600" t="s">
        <v>153</v>
      </c>
      <c r="K600">
        <v>0</v>
      </c>
      <c r="L600">
        <v>0</v>
      </c>
      <c r="M600" t="s">
        <v>11</v>
      </c>
    </row>
    <row r="601" spans="1:13">
      <c r="A601" s="93">
        <v>102049</v>
      </c>
      <c r="B601" t="s">
        <v>1159</v>
      </c>
      <c r="C601" t="s">
        <v>4916</v>
      </c>
      <c r="D601" s="92">
        <v>0.78</v>
      </c>
      <c r="E601" s="92">
        <v>0.66</v>
      </c>
      <c r="F601">
        <v>1100</v>
      </c>
      <c r="G601">
        <v>1195</v>
      </c>
      <c r="H601" t="s">
        <v>4930</v>
      </c>
      <c r="I601">
        <v>0</v>
      </c>
      <c r="J601" t="s">
        <v>97</v>
      </c>
      <c r="K601">
        <v>0</v>
      </c>
      <c r="L601">
        <v>0</v>
      </c>
      <c r="M601" t="s">
        <v>11</v>
      </c>
    </row>
    <row r="602" spans="1:13">
      <c r="A602" s="93">
        <v>102058</v>
      </c>
      <c r="B602" t="s">
        <v>1160</v>
      </c>
      <c r="C602" t="s">
        <v>4923</v>
      </c>
      <c r="D602" s="92">
        <v>0.01</v>
      </c>
      <c r="E602" s="92">
        <v>0.16</v>
      </c>
      <c r="F602" t="s">
        <v>446</v>
      </c>
      <c r="G602" t="s">
        <v>446</v>
      </c>
      <c r="H602" t="s">
        <v>4932</v>
      </c>
      <c r="I602">
        <v>0</v>
      </c>
      <c r="J602" t="s">
        <v>153</v>
      </c>
      <c r="K602">
        <v>0</v>
      </c>
      <c r="L602">
        <v>0</v>
      </c>
      <c r="M602" t="s">
        <v>11</v>
      </c>
    </row>
    <row r="603" spans="1:13">
      <c r="A603" s="93">
        <v>102067</v>
      </c>
      <c r="B603" t="s">
        <v>1161</v>
      </c>
      <c r="C603" t="s">
        <v>4919</v>
      </c>
      <c r="D603" s="92">
        <v>0.39</v>
      </c>
      <c r="E603" s="92">
        <v>0.39</v>
      </c>
      <c r="F603" t="s">
        <v>446</v>
      </c>
      <c r="G603" t="s">
        <v>446</v>
      </c>
      <c r="H603" t="s">
        <v>4932</v>
      </c>
      <c r="I603">
        <v>0</v>
      </c>
      <c r="J603" t="s">
        <v>153</v>
      </c>
      <c r="K603">
        <v>0</v>
      </c>
      <c r="L603">
        <v>0</v>
      </c>
      <c r="M603" t="s">
        <v>11</v>
      </c>
    </row>
    <row r="604" spans="1:13">
      <c r="A604" s="93">
        <v>102094</v>
      </c>
      <c r="B604" t="s">
        <v>1162</v>
      </c>
      <c r="C604" t="s">
        <v>4920</v>
      </c>
      <c r="D604" s="92">
        <v>0.47</v>
      </c>
      <c r="E604" s="92">
        <v>0.42</v>
      </c>
      <c r="F604">
        <v>1010</v>
      </c>
      <c r="G604">
        <v>1125</v>
      </c>
      <c r="H604" t="s">
        <v>4932</v>
      </c>
      <c r="I604">
        <v>0</v>
      </c>
      <c r="J604" t="s">
        <v>97</v>
      </c>
      <c r="K604">
        <v>0</v>
      </c>
      <c r="L604">
        <v>0</v>
      </c>
      <c r="M604" t="s">
        <v>11</v>
      </c>
    </row>
    <row r="605" spans="1:13">
      <c r="A605" s="93">
        <v>102234</v>
      </c>
      <c r="B605" t="s">
        <v>1163</v>
      </c>
      <c r="C605" t="s">
        <v>4920</v>
      </c>
      <c r="D605" s="92">
        <v>0.5600000000000001</v>
      </c>
      <c r="E605" s="92">
        <v>0.47</v>
      </c>
      <c r="F605">
        <v>930</v>
      </c>
      <c r="G605">
        <v>1005</v>
      </c>
      <c r="H605" t="s">
        <v>4931</v>
      </c>
      <c r="I605">
        <v>0</v>
      </c>
      <c r="J605" t="s">
        <v>97</v>
      </c>
      <c r="K605">
        <v>0</v>
      </c>
      <c r="L605">
        <v>0</v>
      </c>
      <c r="M605" t="s">
        <v>11</v>
      </c>
    </row>
    <row r="606" spans="1:13">
      <c r="A606" s="93">
        <v>102270</v>
      </c>
      <c r="B606" t="s">
        <v>1164</v>
      </c>
      <c r="C606" t="s">
        <v>4920</v>
      </c>
      <c r="D606" s="92">
        <v>0.15</v>
      </c>
      <c r="E606" s="92">
        <v>0.3</v>
      </c>
      <c r="F606" t="s">
        <v>446</v>
      </c>
      <c r="G606" t="s">
        <v>446</v>
      </c>
      <c r="H606" t="s">
        <v>4930</v>
      </c>
      <c r="I606">
        <v>0</v>
      </c>
      <c r="J606" t="s">
        <v>153</v>
      </c>
      <c r="K606">
        <v>0</v>
      </c>
      <c r="L606">
        <v>0</v>
      </c>
      <c r="M606" t="s">
        <v>11</v>
      </c>
    </row>
    <row r="607" spans="1:13">
      <c r="A607" s="93">
        <v>102313</v>
      </c>
      <c r="B607" t="s">
        <v>1165</v>
      </c>
      <c r="C607" t="s">
        <v>4919</v>
      </c>
      <c r="D607" s="92">
        <v>0.32</v>
      </c>
      <c r="E607" s="92">
        <v>0.45</v>
      </c>
      <c r="F607" t="s">
        <v>446</v>
      </c>
      <c r="G607" t="s">
        <v>446</v>
      </c>
      <c r="H607" t="s">
        <v>4932</v>
      </c>
      <c r="I607">
        <v>0</v>
      </c>
      <c r="J607" t="s">
        <v>153</v>
      </c>
      <c r="K607">
        <v>0</v>
      </c>
      <c r="L607">
        <v>0</v>
      </c>
      <c r="M607" t="s">
        <v>11</v>
      </c>
    </row>
    <row r="608" spans="1:13">
      <c r="A608" s="93">
        <v>102368</v>
      </c>
      <c r="B608" t="s">
        <v>1166</v>
      </c>
      <c r="C608" t="s">
        <v>4920</v>
      </c>
      <c r="D608" s="92">
        <v>0.51</v>
      </c>
      <c r="E608" s="92">
        <v>0.36</v>
      </c>
      <c r="F608">
        <v>930</v>
      </c>
      <c r="G608">
        <v>1070</v>
      </c>
      <c r="H608" t="s">
        <v>4932</v>
      </c>
      <c r="I608">
        <v>0</v>
      </c>
      <c r="J608" t="s">
        <v>97</v>
      </c>
      <c r="K608">
        <v>0</v>
      </c>
      <c r="L608">
        <v>0</v>
      </c>
      <c r="M608" t="s">
        <v>11</v>
      </c>
    </row>
    <row r="609" spans="1:13">
      <c r="A609" s="93">
        <v>102395</v>
      </c>
      <c r="B609" t="s">
        <v>1167</v>
      </c>
      <c r="C609" t="s">
        <v>4924</v>
      </c>
      <c r="D609" s="92" t="s">
        <v>446</v>
      </c>
      <c r="E609" s="92" t="s">
        <v>446</v>
      </c>
      <c r="F609" t="s">
        <v>446</v>
      </c>
      <c r="G609" t="s">
        <v>446</v>
      </c>
      <c r="H609" t="s">
        <v>4932</v>
      </c>
      <c r="I609">
        <v>0</v>
      </c>
      <c r="J609" t="s">
        <v>97</v>
      </c>
      <c r="K609">
        <v>0</v>
      </c>
      <c r="L609">
        <v>0</v>
      </c>
      <c r="M609" t="s">
        <v>11</v>
      </c>
    </row>
    <row r="610" spans="1:13">
      <c r="A610" s="93">
        <v>102429</v>
      </c>
      <c r="B610" t="s">
        <v>1168</v>
      </c>
      <c r="C610" t="s">
        <v>4919</v>
      </c>
      <c r="D610" s="92">
        <v>0.39</v>
      </c>
      <c r="E610" s="92">
        <v>0.29</v>
      </c>
      <c r="F610" t="s">
        <v>446</v>
      </c>
      <c r="G610" t="s">
        <v>446</v>
      </c>
      <c r="H610" t="s">
        <v>4932</v>
      </c>
      <c r="I610">
        <v>0</v>
      </c>
      <c r="J610" t="s">
        <v>97</v>
      </c>
      <c r="K610">
        <v>0</v>
      </c>
      <c r="L610">
        <v>0</v>
      </c>
      <c r="M610" t="s">
        <v>11</v>
      </c>
    </row>
    <row r="611" spans="1:13">
      <c r="A611" s="93">
        <v>102553</v>
      </c>
      <c r="B611" t="s">
        <v>1169</v>
      </c>
      <c r="C611" t="s">
        <v>4923</v>
      </c>
      <c r="D611" s="92">
        <v>0.32</v>
      </c>
      <c r="E611" s="92">
        <v>0.26</v>
      </c>
      <c r="F611" t="s">
        <v>446</v>
      </c>
      <c r="G611" t="s">
        <v>446</v>
      </c>
      <c r="H611" t="s">
        <v>4932</v>
      </c>
      <c r="I611">
        <v>0</v>
      </c>
      <c r="J611" t="s">
        <v>97</v>
      </c>
      <c r="K611">
        <v>0</v>
      </c>
      <c r="L611">
        <v>0</v>
      </c>
      <c r="M611" t="s">
        <v>11</v>
      </c>
    </row>
    <row r="612" spans="1:13">
      <c r="A612" s="93">
        <v>102580</v>
      </c>
      <c r="B612" t="s">
        <v>1170</v>
      </c>
      <c r="C612" t="s">
        <v>4923</v>
      </c>
      <c r="D612" s="92">
        <v>0.33</v>
      </c>
      <c r="E612" s="92" t="s">
        <v>446</v>
      </c>
      <c r="F612" t="s">
        <v>446</v>
      </c>
      <c r="G612" t="s">
        <v>446</v>
      </c>
      <c r="H612" t="s">
        <v>4931</v>
      </c>
      <c r="I612">
        <v>0</v>
      </c>
      <c r="J612" t="s">
        <v>97</v>
      </c>
      <c r="K612">
        <v>0</v>
      </c>
      <c r="L612">
        <v>0</v>
      </c>
      <c r="M612" t="s">
        <v>11</v>
      </c>
    </row>
    <row r="613" spans="1:13">
      <c r="A613" s="93">
        <v>102614</v>
      </c>
      <c r="B613" t="s">
        <v>1171</v>
      </c>
      <c r="C613" t="s">
        <v>4920</v>
      </c>
      <c r="D613" s="92">
        <v>0.43</v>
      </c>
      <c r="E613" s="92">
        <v>0.33</v>
      </c>
      <c r="F613">
        <v>1110</v>
      </c>
      <c r="G613">
        <v>1235</v>
      </c>
      <c r="H613" t="s">
        <v>4932</v>
      </c>
      <c r="I613">
        <v>0</v>
      </c>
      <c r="J613" t="s">
        <v>97</v>
      </c>
      <c r="K613">
        <v>0</v>
      </c>
      <c r="L613">
        <v>0</v>
      </c>
      <c r="M613" t="s">
        <v>11</v>
      </c>
    </row>
    <row r="614" spans="1:13">
      <c r="A614" s="93">
        <v>102632</v>
      </c>
      <c r="B614" t="s">
        <v>1172</v>
      </c>
      <c r="C614" t="s">
        <v>4920</v>
      </c>
      <c r="D614" s="92">
        <v>0.23</v>
      </c>
      <c r="E614" s="92">
        <v>0.1</v>
      </c>
      <c r="F614" t="s">
        <v>446</v>
      </c>
      <c r="G614" t="s">
        <v>446</v>
      </c>
      <c r="H614" t="s">
        <v>4932</v>
      </c>
      <c r="I614">
        <v>0</v>
      </c>
      <c r="J614" t="s">
        <v>97</v>
      </c>
      <c r="K614">
        <v>0</v>
      </c>
      <c r="L614">
        <v>0</v>
      </c>
      <c r="M614" t="s">
        <v>11</v>
      </c>
    </row>
    <row r="615" spans="1:13">
      <c r="A615" s="93">
        <v>102669</v>
      </c>
      <c r="B615" t="s">
        <v>1173</v>
      </c>
      <c r="C615" t="s">
        <v>4916</v>
      </c>
      <c r="D615" s="92">
        <v>0.37</v>
      </c>
      <c r="E615" s="92">
        <v>0</v>
      </c>
      <c r="F615" t="s">
        <v>446</v>
      </c>
      <c r="G615" t="s">
        <v>446</v>
      </c>
      <c r="H615" t="s">
        <v>4930</v>
      </c>
      <c r="I615">
        <v>0</v>
      </c>
      <c r="J615" t="s">
        <v>97</v>
      </c>
      <c r="K615">
        <v>0</v>
      </c>
      <c r="L615">
        <v>0</v>
      </c>
      <c r="M615" t="s">
        <v>11</v>
      </c>
    </row>
    <row r="616" spans="1:13">
      <c r="A616" s="93">
        <v>102845</v>
      </c>
      <c r="B616" t="s">
        <v>1174</v>
      </c>
      <c r="C616" t="s">
        <v>4923</v>
      </c>
      <c r="D616" s="92">
        <v>0</v>
      </c>
      <c r="E616" s="92">
        <v>0</v>
      </c>
      <c r="F616" t="s">
        <v>446</v>
      </c>
      <c r="G616" t="s">
        <v>446</v>
      </c>
      <c r="H616" t="s">
        <v>4930</v>
      </c>
      <c r="I616">
        <v>0</v>
      </c>
      <c r="J616" t="s">
        <v>97</v>
      </c>
      <c r="K616">
        <v>0</v>
      </c>
      <c r="L616">
        <v>0</v>
      </c>
      <c r="M616" t="s">
        <v>11</v>
      </c>
    </row>
    <row r="617" spans="1:13">
      <c r="A617" s="93">
        <v>103501</v>
      </c>
      <c r="B617" t="s">
        <v>1175</v>
      </c>
      <c r="C617" t="s">
        <v>4919</v>
      </c>
      <c r="D617" s="92" t="s">
        <v>446</v>
      </c>
      <c r="E617" s="92" t="s">
        <v>446</v>
      </c>
      <c r="F617" t="s">
        <v>446</v>
      </c>
      <c r="G617" t="s">
        <v>446</v>
      </c>
      <c r="H617" t="s">
        <v>4930</v>
      </c>
      <c r="I617">
        <v>0</v>
      </c>
      <c r="J617" t="s">
        <v>97</v>
      </c>
      <c r="K617">
        <v>0</v>
      </c>
      <c r="L617">
        <v>0</v>
      </c>
      <c r="M617" t="s">
        <v>11</v>
      </c>
    </row>
    <row r="618" spans="1:13">
      <c r="A618" s="93">
        <v>103893</v>
      </c>
      <c r="B618" t="s">
        <v>1176</v>
      </c>
      <c r="C618" t="s">
        <v>4919</v>
      </c>
      <c r="D618" s="92">
        <v>0.65</v>
      </c>
      <c r="E618" s="92">
        <v>0.66</v>
      </c>
      <c r="F618" t="s">
        <v>446</v>
      </c>
      <c r="G618" t="s">
        <v>446</v>
      </c>
      <c r="H618" t="s">
        <v>4930</v>
      </c>
      <c r="I618">
        <v>0</v>
      </c>
      <c r="J618" t="s">
        <v>97</v>
      </c>
      <c r="K618">
        <v>0</v>
      </c>
      <c r="L618">
        <v>0</v>
      </c>
      <c r="M618" t="s">
        <v>11</v>
      </c>
    </row>
    <row r="619" spans="1:13">
      <c r="A619" s="93">
        <v>103909</v>
      </c>
      <c r="B619" t="s">
        <v>1177</v>
      </c>
      <c r="C619" t="s">
        <v>4919</v>
      </c>
      <c r="D619" s="92">
        <v>0.62</v>
      </c>
      <c r="E619" s="92">
        <v>0.58</v>
      </c>
      <c r="F619" t="s">
        <v>446</v>
      </c>
      <c r="G619" t="s">
        <v>446</v>
      </c>
      <c r="H619" t="s">
        <v>4930</v>
      </c>
      <c r="I619">
        <v>0</v>
      </c>
      <c r="J619" t="s">
        <v>97</v>
      </c>
      <c r="K619">
        <v>0</v>
      </c>
      <c r="L619">
        <v>0</v>
      </c>
      <c r="M619" t="s">
        <v>11</v>
      </c>
    </row>
    <row r="620" spans="1:13">
      <c r="A620" s="93">
        <v>103927</v>
      </c>
      <c r="B620" t="s">
        <v>1178</v>
      </c>
      <c r="C620" t="s">
        <v>4919</v>
      </c>
      <c r="D620" s="92" t="s">
        <v>446</v>
      </c>
      <c r="E620" s="92" t="s">
        <v>446</v>
      </c>
      <c r="F620" t="s">
        <v>446</v>
      </c>
      <c r="G620" t="s">
        <v>446</v>
      </c>
      <c r="H620" t="s">
        <v>4930</v>
      </c>
      <c r="I620">
        <v>0</v>
      </c>
      <c r="J620" t="s">
        <v>97</v>
      </c>
      <c r="K620">
        <v>0</v>
      </c>
      <c r="L620">
        <v>0</v>
      </c>
      <c r="M620" t="s">
        <v>11</v>
      </c>
    </row>
    <row r="621" spans="1:13">
      <c r="A621" s="93">
        <v>104090</v>
      </c>
      <c r="B621" t="s">
        <v>1179</v>
      </c>
      <c r="C621" t="s">
        <v>4923</v>
      </c>
      <c r="D621" s="92">
        <v>0.39</v>
      </c>
      <c r="E621" s="92">
        <v>0.26</v>
      </c>
      <c r="F621" t="s">
        <v>446</v>
      </c>
      <c r="G621" t="s">
        <v>446</v>
      </c>
      <c r="H621" t="s">
        <v>4930</v>
      </c>
      <c r="I621">
        <v>0</v>
      </c>
      <c r="J621" t="s">
        <v>97</v>
      </c>
      <c r="K621">
        <v>0</v>
      </c>
      <c r="L621">
        <v>0</v>
      </c>
      <c r="M621" t="s">
        <v>11</v>
      </c>
    </row>
    <row r="622" spans="1:13">
      <c r="A622" s="93">
        <v>104160</v>
      </c>
      <c r="B622" t="s">
        <v>1180</v>
      </c>
      <c r="C622" t="s">
        <v>4919</v>
      </c>
      <c r="D622" s="92">
        <v>0.28</v>
      </c>
      <c r="E622" s="92">
        <v>0.27</v>
      </c>
      <c r="F622" t="s">
        <v>446</v>
      </c>
      <c r="G622" t="s">
        <v>446</v>
      </c>
      <c r="H622" t="s">
        <v>4932</v>
      </c>
      <c r="I622">
        <v>0</v>
      </c>
      <c r="J622" t="s">
        <v>97</v>
      </c>
      <c r="K622">
        <v>0</v>
      </c>
      <c r="L622">
        <v>0</v>
      </c>
      <c r="M622" t="s">
        <v>11</v>
      </c>
    </row>
    <row r="623" spans="1:13">
      <c r="A623" s="93">
        <v>104188</v>
      </c>
      <c r="B623" t="s">
        <v>1181</v>
      </c>
      <c r="C623" t="s">
        <v>4923</v>
      </c>
      <c r="D623" s="92">
        <v>0.17</v>
      </c>
      <c r="E623" s="92">
        <v>0.22</v>
      </c>
      <c r="F623" t="s">
        <v>446</v>
      </c>
      <c r="G623" t="s">
        <v>446</v>
      </c>
      <c r="H623" t="s">
        <v>4932</v>
      </c>
      <c r="I623">
        <v>0</v>
      </c>
      <c r="J623" t="s">
        <v>97</v>
      </c>
      <c r="K623">
        <v>0</v>
      </c>
      <c r="L623">
        <v>0</v>
      </c>
      <c r="M623" t="s">
        <v>11</v>
      </c>
    </row>
    <row r="624" spans="1:13">
      <c r="A624" s="93">
        <v>104346</v>
      </c>
      <c r="B624" t="s">
        <v>1182</v>
      </c>
      <c r="C624" t="s">
        <v>4919</v>
      </c>
      <c r="D624" s="92">
        <v>0.28</v>
      </c>
      <c r="E624" s="92">
        <v>0.28</v>
      </c>
      <c r="F624" t="s">
        <v>446</v>
      </c>
      <c r="G624" t="s">
        <v>446</v>
      </c>
      <c r="H624" t="s">
        <v>4932</v>
      </c>
      <c r="I624">
        <v>0</v>
      </c>
      <c r="J624" t="s">
        <v>97</v>
      </c>
      <c r="K624">
        <v>0</v>
      </c>
      <c r="L624">
        <v>0</v>
      </c>
      <c r="M624" t="s">
        <v>11</v>
      </c>
    </row>
    <row r="625" spans="1:13">
      <c r="A625" s="93">
        <v>104425</v>
      </c>
      <c r="B625" t="s">
        <v>1183</v>
      </c>
      <c r="C625" t="s">
        <v>4919</v>
      </c>
      <c r="D625" s="92">
        <v>0.38</v>
      </c>
      <c r="E625" s="92">
        <v>0.36</v>
      </c>
      <c r="F625" t="s">
        <v>446</v>
      </c>
      <c r="G625" t="s">
        <v>446</v>
      </c>
      <c r="H625" t="s">
        <v>4932</v>
      </c>
      <c r="I625">
        <v>0</v>
      </c>
      <c r="J625" t="s">
        <v>97</v>
      </c>
      <c r="K625">
        <v>0</v>
      </c>
      <c r="L625">
        <v>0</v>
      </c>
      <c r="M625" t="s">
        <v>11</v>
      </c>
    </row>
    <row r="626" spans="1:13">
      <c r="A626" s="93">
        <v>104577</v>
      </c>
      <c r="B626" t="s">
        <v>1184</v>
      </c>
      <c r="C626" t="s">
        <v>4919</v>
      </c>
      <c r="D626" s="92">
        <v>0.51</v>
      </c>
      <c r="E626" s="92">
        <v>0.51</v>
      </c>
      <c r="F626" t="s">
        <v>446</v>
      </c>
      <c r="G626" t="s">
        <v>446</v>
      </c>
      <c r="H626" t="s">
        <v>4932</v>
      </c>
      <c r="I626">
        <v>0</v>
      </c>
      <c r="J626" t="s">
        <v>97</v>
      </c>
      <c r="K626">
        <v>0</v>
      </c>
      <c r="L626">
        <v>0</v>
      </c>
      <c r="M626" t="s">
        <v>11</v>
      </c>
    </row>
    <row r="627" spans="1:13">
      <c r="A627" s="93">
        <v>104586</v>
      </c>
      <c r="B627" t="s">
        <v>1185</v>
      </c>
      <c r="C627" t="s">
        <v>4916</v>
      </c>
      <c r="D627" s="92">
        <v>0.66</v>
      </c>
      <c r="E627" s="92">
        <v>0.58</v>
      </c>
      <c r="F627">
        <v>1140</v>
      </c>
      <c r="G627">
        <v>1245</v>
      </c>
      <c r="H627" t="s">
        <v>4930</v>
      </c>
      <c r="I627">
        <v>0</v>
      </c>
      <c r="J627" t="s">
        <v>97</v>
      </c>
      <c r="K627">
        <v>0</v>
      </c>
      <c r="L627">
        <v>0</v>
      </c>
      <c r="M627" t="s">
        <v>11</v>
      </c>
    </row>
    <row r="628" spans="1:13">
      <c r="A628" s="93">
        <v>104665</v>
      </c>
      <c r="B628" t="s">
        <v>1186</v>
      </c>
      <c r="C628" t="s">
        <v>4924</v>
      </c>
      <c r="D628" s="92" t="s">
        <v>446</v>
      </c>
      <c r="E628" s="92" t="s">
        <v>446</v>
      </c>
      <c r="F628" t="s">
        <v>446</v>
      </c>
      <c r="G628" t="s">
        <v>446</v>
      </c>
      <c r="H628" t="s">
        <v>4932</v>
      </c>
      <c r="I628">
        <v>0</v>
      </c>
      <c r="J628" t="s">
        <v>97</v>
      </c>
      <c r="K628">
        <v>0</v>
      </c>
      <c r="L628">
        <v>0</v>
      </c>
      <c r="M628" t="s">
        <v>11</v>
      </c>
    </row>
    <row r="629" spans="1:13">
      <c r="A629" s="93">
        <v>105145</v>
      </c>
      <c r="B629" t="s">
        <v>1187</v>
      </c>
      <c r="C629" t="s">
        <v>4919</v>
      </c>
      <c r="D629" s="92">
        <v>0.39</v>
      </c>
      <c r="E629" s="92">
        <v>0.38</v>
      </c>
      <c r="F629" t="s">
        <v>446</v>
      </c>
      <c r="G629" t="s">
        <v>446</v>
      </c>
      <c r="H629" t="s">
        <v>4932</v>
      </c>
      <c r="I629">
        <v>0</v>
      </c>
      <c r="J629" t="s">
        <v>97</v>
      </c>
      <c r="K629">
        <v>0</v>
      </c>
      <c r="L629">
        <v>0</v>
      </c>
      <c r="M629" t="s">
        <v>11</v>
      </c>
    </row>
    <row r="630" spans="1:13">
      <c r="A630" s="93">
        <v>105206</v>
      </c>
      <c r="B630" t="s">
        <v>1188</v>
      </c>
      <c r="C630" t="s">
        <v>4919</v>
      </c>
      <c r="D630" s="92">
        <v>0.27</v>
      </c>
      <c r="E630" s="92">
        <v>0.22</v>
      </c>
      <c r="F630" t="s">
        <v>446</v>
      </c>
      <c r="G630" t="s">
        <v>446</v>
      </c>
      <c r="H630" t="s">
        <v>4932</v>
      </c>
      <c r="I630">
        <v>0</v>
      </c>
      <c r="J630" t="s">
        <v>97</v>
      </c>
      <c r="K630">
        <v>0</v>
      </c>
      <c r="L630">
        <v>0</v>
      </c>
      <c r="M630" t="s">
        <v>11</v>
      </c>
    </row>
    <row r="631" spans="1:13">
      <c r="A631" s="93">
        <v>105215</v>
      </c>
      <c r="B631" t="s">
        <v>1189</v>
      </c>
      <c r="C631" t="s">
        <v>4926</v>
      </c>
      <c r="D631" s="92">
        <v>0.74</v>
      </c>
      <c r="E631" s="92">
        <v>0.7</v>
      </c>
      <c r="F631" t="s">
        <v>446</v>
      </c>
      <c r="G631" t="s">
        <v>446</v>
      </c>
      <c r="H631" t="s">
        <v>4930</v>
      </c>
      <c r="I631">
        <v>0</v>
      </c>
      <c r="J631" t="s">
        <v>97</v>
      </c>
      <c r="K631">
        <v>0</v>
      </c>
      <c r="L631">
        <v>0</v>
      </c>
      <c r="M631" t="s">
        <v>11</v>
      </c>
    </row>
    <row r="632" spans="1:13">
      <c r="A632" s="93">
        <v>105297</v>
      </c>
      <c r="B632" t="s">
        <v>1190</v>
      </c>
      <c r="C632" t="s">
        <v>4920</v>
      </c>
      <c r="D632" s="92" t="s">
        <v>446</v>
      </c>
      <c r="E632" s="92" t="s">
        <v>446</v>
      </c>
      <c r="F632" t="s">
        <v>446</v>
      </c>
      <c r="G632" t="s">
        <v>446</v>
      </c>
      <c r="H632" t="s">
        <v>4932</v>
      </c>
      <c r="I632">
        <v>0</v>
      </c>
      <c r="J632" t="s">
        <v>97</v>
      </c>
      <c r="K632">
        <v>0</v>
      </c>
      <c r="L632">
        <v>0</v>
      </c>
      <c r="M632" t="s">
        <v>11</v>
      </c>
    </row>
    <row r="633" spans="1:13">
      <c r="A633" s="93">
        <v>105349</v>
      </c>
      <c r="B633" t="s">
        <v>1191</v>
      </c>
      <c r="C633" t="s">
        <v>4919</v>
      </c>
      <c r="D633" s="92">
        <v>0.21</v>
      </c>
      <c r="E633" s="92">
        <v>0.2</v>
      </c>
      <c r="F633" t="s">
        <v>446</v>
      </c>
      <c r="G633" t="s">
        <v>446</v>
      </c>
      <c r="H633" t="s">
        <v>4932</v>
      </c>
      <c r="I633">
        <v>0</v>
      </c>
      <c r="J633" t="s">
        <v>97</v>
      </c>
      <c r="K633">
        <v>0</v>
      </c>
      <c r="L633">
        <v>0</v>
      </c>
      <c r="M633" t="s">
        <v>11</v>
      </c>
    </row>
    <row r="634" spans="1:13">
      <c r="A634" s="93">
        <v>105367</v>
      </c>
      <c r="B634" t="s">
        <v>1192</v>
      </c>
      <c r="C634" t="s">
        <v>4924</v>
      </c>
      <c r="D634" s="92" t="s">
        <v>446</v>
      </c>
      <c r="E634" s="92" t="s">
        <v>446</v>
      </c>
      <c r="F634" t="s">
        <v>446</v>
      </c>
      <c r="G634" t="s">
        <v>446</v>
      </c>
      <c r="H634" t="s">
        <v>4932</v>
      </c>
      <c r="I634">
        <v>0</v>
      </c>
      <c r="J634" t="s">
        <v>97</v>
      </c>
      <c r="K634">
        <v>0</v>
      </c>
      <c r="L634">
        <v>0</v>
      </c>
      <c r="M634" t="s">
        <v>11</v>
      </c>
    </row>
    <row r="635" spans="1:13">
      <c r="A635" s="93">
        <v>105428</v>
      </c>
      <c r="B635" t="s">
        <v>1193</v>
      </c>
      <c r="C635" t="s">
        <v>4919</v>
      </c>
      <c r="D635" s="92">
        <v>0.24</v>
      </c>
      <c r="E635" s="92">
        <v>0.24</v>
      </c>
      <c r="F635" t="s">
        <v>446</v>
      </c>
      <c r="G635" t="s">
        <v>446</v>
      </c>
      <c r="H635" t="s">
        <v>4932</v>
      </c>
      <c r="I635">
        <v>0</v>
      </c>
      <c r="J635" t="s">
        <v>97</v>
      </c>
      <c r="K635">
        <v>0</v>
      </c>
      <c r="L635">
        <v>0</v>
      </c>
      <c r="M635" t="s">
        <v>11</v>
      </c>
    </row>
    <row r="636" spans="1:13">
      <c r="A636" s="93">
        <v>105525</v>
      </c>
      <c r="B636" t="s">
        <v>1194</v>
      </c>
      <c r="C636" t="s">
        <v>4919</v>
      </c>
      <c r="D636" s="92">
        <v>0.27</v>
      </c>
      <c r="E636" s="92">
        <v>0.25</v>
      </c>
      <c r="F636" t="s">
        <v>446</v>
      </c>
      <c r="G636" t="s">
        <v>446</v>
      </c>
      <c r="H636" t="s">
        <v>4932</v>
      </c>
      <c r="I636">
        <v>0</v>
      </c>
      <c r="J636" t="s">
        <v>97</v>
      </c>
      <c r="K636">
        <v>0</v>
      </c>
      <c r="L636">
        <v>0</v>
      </c>
      <c r="M636" t="s">
        <v>11</v>
      </c>
    </row>
    <row r="637" spans="1:13">
      <c r="A637" s="93">
        <v>105534</v>
      </c>
      <c r="B637" t="s">
        <v>1195</v>
      </c>
      <c r="C637" t="s">
        <v>4923</v>
      </c>
      <c r="D637" s="92" t="s">
        <v>446</v>
      </c>
      <c r="E637" s="92" t="s">
        <v>446</v>
      </c>
      <c r="F637" t="s">
        <v>446</v>
      </c>
      <c r="G637" t="s">
        <v>446</v>
      </c>
      <c r="H637" t="s">
        <v>4932</v>
      </c>
      <c r="I637">
        <v>0</v>
      </c>
      <c r="J637" t="s">
        <v>97</v>
      </c>
      <c r="K637">
        <v>0</v>
      </c>
      <c r="L637">
        <v>0</v>
      </c>
      <c r="M637" t="s">
        <v>11</v>
      </c>
    </row>
    <row r="638" spans="1:13">
      <c r="A638" s="93">
        <v>105543</v>
      </c>
      <c r="B638" t="s">
        <v>1196</v>
      </c>
      <c r="C638" t="s">
        <v>4919</v>
      </c>
      <c r="D638" s="92">
        <v>0.65</v>
      </c>
      <c r="E638" s="92">
        <v>0.68</v>
      </c>
      <c r="F638" t="s">
        <v>446</v>
      </c>
      <c r="G638" t="s">
        <v>446</v>
      </c>
      <c r="H638" t="s">
        <v>4930</v>
      </c>
      <c r="I638">
        <v>0</v>
      </c>
      <c r="J638" t="s">
        <v>97</v>
      </c>
      <c r="K638">
        <v>0</v>
      </c>
      <c r="L638">
        <v>0</v>
      </c>
      <c r="M638" t="s">
        <v>11</v>
      </c>
    </row>
    <row r="639" spans="1:13">
      <c r="A639" s="93">
        <v>105589</v>
      </c>
      <c r="B639" t="s">
        <v>1197</v>
      </c>
      <c r="C639" t="s">
        <v>4920</v>
      </c>
      <c r="D639" s="92">
        <v>0.41</v>
      </c>
      <c r="E639" s="92">
        <v>0.47</v>
      </c>
      <c r="F639" t="s">
        <v>446</v>
      </c>
      <c r="G639" t="s">
        <v>446</v>
      </c>
      <c r="H639" t="s">
        <v>4931</v>
      </c>
      <c r="I639">
        <v>0</v>
      </c>
      <c r="J639" t="s">
        <v>97</v>
      </c>
      <c r="K639">
        <v>0</v>
      </c>
      <c r="L639">
        <v>0</v>
      </c>
      <c r="M639" t="s">
        <v>11</v>
      </c>
    </row>
    <row r="640" spans="1:13">
      <c r="A640" s="93">
        <v>105659</v>
      </c>
      <c r="B640" t="s">
        <v>1198</v>
      </c>
      <c r="C640" t="s">
        <v>4919</v>
      </c>
      <c r="D640" s="92" t="s">
        <v>446</v>
      </c>
      <c r="E640" s="92" t="s">
        <v>446</v>
      </c>
      <c r="F640" t="s">
        <v>446</v>
      </c>
      <c r="G640" t="s">
        <v>446</v>
      </c>
      <c r="H640" t="s">
        <v>4930</v>
      </c>
      <c r="I640">
        <v>0</v>
      </c>
      <c r="J640" t="s">
        <v>97</v>
      </c>
      <c r="K640">
        <v>0</v>
      </c>
      <c r="L640">
        <v>0</v>
      </c>
      <c r="M640" t="s">
        <v>11</v>
      </c>
    </row>
    <row r="641" spans="1:13">
      <c r="A641" s="93">
        <v>105747</v>
      </c>
      <c r="B641" t="s">
        <v>1199</v>
      </c>
      <c r="C641" t="s">
        <v>4919</v>
      </c>
      <c r="D641" s="92">
        <v>0.35</v>
      </c>
      <c r="E641" s="92">
        <v>0.33</v>
      </c>
      <c r="F641" t="s">
        <v>446</v>
      </c>
      <c r="G641" t="s">
        <v>446</v>
      </c>
      <c r="H641" t="s">
        <v>4932</v>
      </c>
      <c r="I641">
        <v>0</v>
      </c>
      <c r="J641" t="s">
        <v>97</v>
      </c>
      <c r="K641">
        <v>0</v>
      </c>
      <c r="L641">
        <v>0</v>
      </c>
      <c r="M641" t="s">
        <v>11</v>
      </c>
    </row>
    <row r="642" spans="1:13">
      <c r="A642" s="93">
        <v>105792</v>
      </c>
      <c r="B642" t="s">
        <v>1200</v>
      </c>
      <c r="C642" t="s">
        <v>4919</v>
      </c>
      <c r="D642" s="92">
        <v>0.32</v>
      </c>
      <c r="E642" s="92">
        <v>0.3</v>
      </c>
      <c r="F642" t="s">
        <v>446</v>
      </c>
      <c r="G642" t="s">
        <v>446</v>
      </c>
      <c r="H642" t="s">
        <v>4932</v>
      </c>
      <c r="I642">
        <v>0</v>
      </c>
      <c r="J642" t="s">
        <v>97</v>
      </c>
      <c r="K642">
        <v>0</v>
      </c>
      <c r="L642">
        <v>0</v>
      </c>
      <c r="M642" t="s">
        <v>11</v>
      </c>
    </row>
    <row r="643" spans="1:13">
      <c r="A643" s="93">
        <v>105899</v>
      </c>
      <c r="B643" t="s">
        <v>1201</v>
      </c>
      <c r="C643" t="s">
        <v>4923</v>
      </c>
      <c r="D643" s="92">
        <v>0.43</v>
      </c>
      <c r="E643" s="92">
        <v>0.24</v>
      </c>
      <c r="F643">
        <v>890</v>
      </c>
      <c r="G643">
        <v>1015</v>
      </c>
      <c r="H643" t="s">
        <v>4930</v>
      </c>
      <c r="I643">
        <v>0</v>
      </c>
      <c r="J643" t="s">
        <v>97</v>
      </c>
      <c r="K643">
        <v>0</v>
      </c>
      <c r="L643">
        <v>0</v>
      </c>
      <c r="M643" t="s">
        <v>11</v>
      </c>
    </row>
    <row r="644" spans="1:13">
      <c r="A644" s="93">
        <v>106041</v>
      </c>
      <c r="B644" t="s">
        <v>1202</v>
      </c>
      <c r="C644" t="s">
        <v>4919</v>
      </c>
      <c r="D644" s="92">
        <v>0.64</v>
      </c>
      <c r="E644" s="92">
        <v>0.6</v>
      </c>
      <c r="F644" t="s">
        <v>446</v>
      </c>
      <c r="G644" t="s">
        <v>446</v>
      </c>
      <c r="H644" t="s">
        <v>4930</v>
      </c>
      <c r="I644">
        <v>0</v>
      </c>
      <c r="J644" t="s">
        <v>97</v>
      </c>
      <c r="K644">
        <v>0</v>
      </c>
      <c r="L644">
        <v>0</v>
      </c>
      <c r="M644" t="s">
        <v>11</v>
      </c>
    </row>
    <row r="645" spans="1:13">
      <c r="A645" s="93">
        <v>106148</v>
      </c>
      <c r="B645" t="s">
        <v>1203</v>
      </c>
      <c r="C645" t="s">
        <v>4919</v>
      </c>
      <c r="D645" s="92">
        <v>0.41</v>
      </c>
      <c r="E645" s="92">
        <v>0.41</v>
      </c>
      <c r="F645" t="s">
        <v>446</v>
      </c>
      <c r="G645" t="s">
        <v>446</v>
      </c>
      <c r="H645" t="s">
        <v>4932</v>
      </c>
      <c r="I645">
        <v>0</v>
      </c>
      <c r="J645" t="s">
        <v>97</v>
      </c>
      <c r="K645">
        <v>0</v>
      </c>
      <c r="L645">
        <v>0</v>
      </c>
      <c r="M645" t="s">
        <v>11</v>
      </c>
    </row>
    <row r="646" spans="1:13">
      <c r="A646" s="93">
        <v>106245</v>
      </c>
      <c r="B646" t="s">
        <v>1204</v>
      </c>
      <c r="C646" t="s">
        <v>4920</v>
      </c>
      <c r="D646" s="92">
        <v>0.39</v>
      </c>
      <c r="E646" s="92">
        <v>0.3</v>
      </c>
      <c r="F646">
        <v>1010</v>
      </c>
      <c r="G646">
        <v>1110</v>
      </c>
      <c r="H646" t="s">
        <v>4932</v>
      </c>
      <c r="I646">
        <v>0</v>
      </c>
      <c r="J646" t="s">
        <v>97</v>
      </c>
      <c r="K646">
        <v>0</v>
      </c>
      <c r="L646">
        <v>0</v>
      </c>
      <c r="M646" t="s">
        <v>11</v>
      </c>
    </row>
    <row r="647" spans="1:13">
      <c r="A647" s="93">
        <v>106263</v>
      </c>
      <c r="B647" t="s">
        <v>1205</v>
      </c>
      <c r="C647" t="s">
        <v>4924</v>
      </c>
      <c r="D647" s="92" t="s">
        <v>446</v>
      </c>
      <c r="E647" s="92" t="s">
        <v>446</v>
      </c>
      <c r="F647" t="s">
        <v>446</v>
      </c>
      <c r="G647" t="s">
        <v>446</v>
      </c>
      <c r="H647" t="s">
        <v>4932</v>
      </c>
      <c r="I647">
        <v>0</v>
      </c>
      <c r="J647" t="s">
        <v>97</v>
      </c>
      <c r="K647">
        <v>0</v>
      </c>
      <c r="L647">
        <v>0</v>
      </c>
      <c r="M647" t="s">
        <v>11</v>
      </c>
    </row>
    <row r="648" spans="1:13">
      <c r="A648" s="93">
        <v>106306</v>
      </c>
      <c r="B648" t="s">
        <v>1206</v>
      </c>
      <c r="C648" t="s">
        <v>4923</v>
      </c>
      <c r="D648" s="92">
        <v>0.05</v>
      </c>
      <c r="E648" s="92">
        <v>0.06</v>
      </c>
      <c r="F648" t="s">
        <v>446</v>
      </c>
      <c r="G648" t="s">
        <v>446</v>
      </c>
      <c r="H648" t="s">
        <v>4931</v>
      </c>
      <c r="I648">
        <v>0</v>
      </c>
      <c r="J648" t="s">
        <v>153</v>
      </c>
      <c r="K648">
        <v>0</v>
      </c>
      <c r="L648">
        <v>0</v>
      </c>
      <c r="M648" t="s">
        <v>11</v>
      </c>
    </row>
    <row r="649" spans="1:13">
      <c r="A649" s="93">
        <v>106342</v>
      </c>
      <c r="B649" t="s">
        <v>1207</v>
      </c>
      <c r="C649" t="s">
        <v>4920</v>
      </c>
      <c r="D649" s="92">
        <v>0.47</v>
      </c>
      <c r="E649" s="92">
        <v>0.32</v>
      </c>
      <c r="F649">
        <v>1080</v>
      </c>
      <c r="G649">
        <v>1160</v>
      </c>
      <c r="H649" t="s">
        <v>4931</v>
      </c>
      <c r="I649">
        <v>0</v>
      </c>
      <c r="J649" t="s">
        <v>97</v>
      </c>
      <c r="K649">
        <v>0</v>
      </c>
      <c r="L649">
        <v>0</v>
      </c>
      <c r="M649" t="s">
        <v>11</v>
      </c>
    </row>
    <row r="650" spans="1:13">
      <c r="A650" s="93">
        <v>106397</v>
      </c>
      <c r="B650" t="s">
        <v>1208</v>
      </c>
      <c r="C650" t="s">
        <v>4920</v>
      </c>
      <c r="D650" s="92">
        <v>0.7</v>
      </c>
      <c r="E650" s="92">
        <v>0.64</v>
      </c>
      <c r="F650">
        <v>1050</v>
      </c>
      <c r="G650">
        <v>1135</v>
      </c>
      <c r="H650" t="s">
        <v>4932</v>
      </c>
      <c r="I650">
        <v>0</v>
      </c>
      <c r="J650" t="s">
        <v>97</v>
      </c>
      <c r="K650">
        <v>0</v>
      </c>
      <c r="L650">
        <v>0</v>
      </c>
      <c r="M650" t="s">
        <v>11</v>
      </c>
    </row>
    <row r="651" spans="1:13">
      <c r="A651" s="93">
        <v>106449</v>
      </c>
      <c r="B651" t="s">
        <v>1209</v>
      </c>
      <c r="C651" t="s">
        <v>4919</v>
      </c>
      <c r="D651" s="92">
        <v>0.44</v>
      </c>
      <c r="E651" s="92">
        <v>0.4</v>
      </c>
      <c r="F651" t="s">
        <v>446</v>
      </c>
      <c r="G651" t="s">
        <v>446</v>
      </c>
      <c r="H651" t="s">
        <v>4932</v>
      </c>
      <c r="I651">
        <v>0</v>
      </c>
      <c r="J651" t="s">
        <v>97</v>
      </c>
      <c r="K651">
        <v>0</v>
      </c>
      <c r="L651">
        <v>0</v>
      </c>
      <c r="M651" t="s">
        <v>11</v>
      </c>
    </row>
    <row r="652" spans="1:13">
      <c r="A652" s="93">
        <v>106467</v>
      </c>
      <c r="B652" t="s">
        <v>1210</v>
      </c>
      <c r="C652" t="s">
        <v>4920</v>
      </c>
      <c r="D652" s="92">
        <v>0.43</v>
      </c>
      <c r="E652" s="92">
        <v>0.27</v>
      </c>
      <c r="F652" t="s">
        <v>446</v>
      </c>
      <c r="G652" t="s">
        <v>446</v>
      </c>
      <c r="H652" t="s">
        <v>4932</v>
      </c>
      <c r="I652">
        <v>0</v>
      </c>
      <c r="J652" t="s">
        <v>97</v>
      </c>
      <c r="K652">
        <v>0</v>
      </c>
      <c r="L652">
        <v>0</v>
      </c>
      <c r="M652" t="s">
        <v>11</v>
      </c>
    </row>
    <row r="653" spans="1:13">
      <c r="A653" s="93">
        <v>106485</v>
      </c>
      <c r="B653" t="s">
        <v>1211</v>
      </c>
      <c r="C653" t="s">
        <v>4923</v>
      </c>
      <c r="D653" s="92">
        <v>0.24</v>
      </c>
      <c r="E653" s="92">
        <v>0.12</v>
      </c>
      <c r="F653" t="s">
        <v>446</v>
      </c>
      <c r="G653" t="s">
        <v>446</v>
      </c>
      <c r="H653" t="s">
        <v>4932</v>
      </c>
      <c r="I653">
        <v>0</v>
      </c>
      <c r="J653" t="s">
        <v>97</v>
      </c>
      <c r="K653">
        <v>0</v>
      </c>
      <c r="L653">
        <v>0</v>
      </c>
      <c r="M653" t="s">
        <v>11</v>
      </c>
    </row>
    <row r="654" spans="1:13">
      <c r="A654" s="93">
        <v>106546</v>
      </c>
      <c r="B654" t="s">
        <v>1212</v>
      </c>
      <c r="C654" t="s">
        <v>4919</v>
      </c>
      <c r="D654" s="92">
        <v>0.73</v>
      </c>
      <c r="E654" s="92">
        <v>1</v>
      </c>
      <c r="F654" t="s">
        <v>446</v>
      </c>
      <c r="G654" t="s">
        <v>446</v>
      </c>
      <c r="H654" t="s">
        <v>4930</v>
      </c>
      <c r="I654">
        <v>0</v>
      </c>
      <c r="J654" t="s">
        <v>97</v>
      </c>
      <c r="K654">
        <v>0</v>
      </c>
      <c r="L654">
        <v>0</v>
      </c>
      <c r="M654" t="s">
        <v>11</v>
      </c>
    </row>
    <row r="655" spans="1:13">
      <c r="A655" s="93">
        <v>106625</v>
      </c>
      <c r="B655" t="s">
        <v>1213</v>
      </c>
      <c r="C655" t="s">
        <v>4919</v>
      </c>
      <c r="D655" s="92">
        <v>0.35</v>
      </c>
      <c r="E655" s="92">
        <v>0.42</v>
      </c>
      <c r="F655" t="s">
        <v>446</v>
      </c>
      <c r="G655" t="s">
        <v>446</v>
      </c>
      <c r="H655" t="s">
        <v>4932</v>
      </c>
      <c r="I655">
        <v>0</v>
      </c>
      <c r="J655" t="s">
        <v>97</v>
      </c>
      <c r="K655">
        <v>0</v>
      </c>
      <c r="L655">
        <v>0</v>
      </c>
      <c r="M655" t="s">
        <v>11</v>
      </c>
    </row>
    <row r="656" spans="1:13">
      <c r="A656" s="93">
        <v>106704</v>
      </c>
      <c r="B656" t="s">
        <v>1214</v>
      </c>
      <c r="C656" t="s">
        <v>4916</v>
      </c>
      <c r="D656" s="92">
        <v>0.49</v>
      </c>
      <c r="E656" s="92">
        <v>0.38</v>
      </c>
      <c r="F656">
        <v>1010</v>
      </c>
      <c r="G656">
        <v>1125</v>
      </c>
      <c r="H656" t="s">
        <v>4932</v>
      </c>
      <c r="I656">
        <v>0</v>
      </c>
      <c r="J656" t="s">
        <v>97</v>
      </c>
      <c r="K656">
        <v>0</v>
      </c>
      <c r="L656">
        <v>0</v>
      </c>
      <c r="M656" t="s">
        <v>11</v>
      </c>
    </row>
    <row r="657" spans="1:13">
      <c r="A657" s="93">
        <v>106713</v>
      </c>
      <c r="B657" t="s">
        <v>1215</v>
      </c>
      <c r="C657" t="s">
        <v>4918</v>
      </c>
      <c r="D657" s="92">
        <v>0.37</v>
      </c>
      <c r="E657" s="92">
        <v>0.14</v>
      </c>
      <c r="F657">
        <v>970</v>
      </c>
      <c r="G657">
        <v>1055</v>
      </c>
      <c r="H657" t="s">
        <v>4930</v>
      </c>
      <c r="I657">
        <v>0</v>
      </c>
      <c r="J657" t="s">
        <v>97</v>
      </c>
      <c r="K657">
        <v>0</v>
      </c>
      <c r="L657">
        <v>0</v>
      </c>
      <c r="M657" t="s">
        <v>11</v>
      </c>
    </row>
    <row r="658" spans="1:13">
      <c r="A658" s="93">
        <v>106795</v>
      </c>
      <c r="B658" t="s">
        <v>1216</v>
      </c>
      <c r="C658" t="s">
        <v>4919</v>
      </c>
      <c r="D658" s="92" t="s">
        <v>446</v>
      </c>
      <c r="E658" s="92" t="s">
        <v>446</v>
      </c>
      <c r="F658" t="s">
        <v>446</v>
      </c>
      <c r="G658" t="s">
        <v>446</v>
      </c>
      <c r="H658" t="s">
        <v>4932</v>
      </c>
      <c r="I658">
        <v>0</v>
      </c>
      <c r="J658" t="s">
        <v>97</v>
      </c>
      <c r="K658">
        <v>0</v>
      </c>
      <c r="L658">
        <v>0</v>
      </c>
      <c r="M658" t="s">
        <v>11</v>
      </c>
    </row>
    <row r="659" spans="1:13">
      <c r="A659" s="93">
        <v>106810</v>
      </c>
      <c r="B659" t="s">
        <v>1217</v>
      </c>
      <c r="C659" t="s">
        <v>4923</v>
      </c>
      <c r="D659" s="92">
        <v>0.36</v>
      </c>
      <c r="E659" s="92">
        <v>0.25</v>
      </c>
      <c r="F659" t="s">
        <v>446</v>
      </c>
      <c r="G659" t="s">
        <v>446</v>
      </c>
      <c r="H659" t="s">
        <v>4931</v>
      </c>
      <c r="I659">
        <v>0</v>
      </c>
      <c r="J659" t="s">
        <v>97</v>
      </c>
      <c r="K659">
        <v>0</v>
      </c>
      <c r="L659">
        <v>0</v>
      </c>
      <c r="M659" t="s">
        <v>11</v>
      </c>
    </row>
    <row r="660" spans="1:13">
      <c r="A660" s="93">
        <v>106883</v>
      </c>
      <c r="B660" t="s">
        <v>1218</v>
      </c>
      <c r="C660" t="s">
        <v>4919</v>
      </c>
      <c r="D660" s="92">
        <v>0.41</v>
      </c>
      <c r="E660" s="92">
        <v>0.34</v>
      </c>
      <c r="F660" t="s">
        <v>446</v>
      </c>
      <c r="G660" t="s">
        <v>446</v>
      </c>
      <c r="H660" t="s">
        <v>4932</v>
      </c>
      <c r="I660">
        <v>0</v>
      </c>
      <c r="J660" t="s">
        <v>97</v>
      </c>
      <c r="K660">
        <v>0</v>
      </c>
      <c r="L660">
        <v>0</v>
      </c>
      <c r="M660" t="s">
        <v>11</v>
      </c>
    </row>
    <row r="661" spans="1:13">
      <c r="A661" s="93">
        <v>106980</v>
      </c>
      <c r="B661" t="s">
        <v>1219</v>
      </c>
      <c r="C661" t="s">
        <v>4919</v>
      </c>
      <c r="D661" s="92">
        <v>0.3</v>
      </c>
      <c r="E661" s="92">
        <v>0.27</v>
      </c>
      <c r="F661" t="s">
        <v>446</v>
      </c>
      <c r="G661" t="s">
        <v>446</v>
      </c>
      <c r="H661" t="s">
        <v>4932</v>
      </c>
      <c r="I661">
        <v>0</v>
      </c>
      <c r="J661" t="s">
        <v>97</v>
      </c>
      <c r="K661">
        <v>0</v>
      </c>
      <c r="L661">
        <v>0</v>
      </c>
      <c r="M661" t="s">
        <v>11</v>
      </c>
    </row>
    <row r="662" spans="1:13">
      <c r="A662" s="93">
        <v>106999</v>
      </c>
      <c r="B662" t="s">
        <v>1220</v>
      </c>
      <c r="C662" t="s">
        <v>4919</v>
      </c>
      <c r="D662" s="92">
        <v>0.55</v>
      </c>
      <c r="E662" s="92">
        <v>0.39</v>
      </c>
      <c r="F662" t="s">
        <v>446</v>
      </c>
      <c r="G662" t="s">
        <v>446</v>
      </c>
      <c r="H662" t="s">
        <v>4932</v>
      </c>
      <c r="I662">
        <v>0</v>
      </c>
      <c r="J662" t="s">
        <v>97</v>
      </c>
      <c r="K662">
        <v>0</v>
      </c>
      <c r="L662">
        <v>0</v>
      </c>
      <c r="M662" t="s">
        <v>11</v>
      </c>
    </row>
    <row r="663" spans="1:13">
      <c r="A663" s="93">
        <v>107044</v>
      </c>
      <c r="B663" t="s">
        <v>1221</v>
      </c>
      <c r="C663" t="s">
        <v>4920</v>
      </c>
      <c r="D663" s="92">
        <v>0.6899999999999999</v>
      </c>
      <c r="E663" s="92">
        <v>0.49</v>
      </c>
      <c r="F663">
        <v>1050</v>
      </c>
      <c r="G663">
        <v>1175</v>
      </c>
      <c r="H663" t="s">
        <v>4930</v>
      </c>
      <c r="I663">
        <v>0</v>
      </c>
      <c r="J663" t="s">
        <v>97</v>
      </c>
      <c r="K663">
        <v>0</v>
      </c>
      <c r="L663">
        <v>0</v>
      </c>
      <c r="M663" t="s">
        <v>11</v>
      </c>
    </row>
    <row r="664" spans="1:13">
      <c r="A664" s="93">
        <v>107071</v>
      </c>
      <c r="B664" t="s">
        <v>1222</v>
      </c>
      <c r="C664" t="s">
        <v>4918</v>
      </c>
      <c r="D664" s="92">
        <v>0.36</v>
      </c>
      <c r="E664" s="92">
        <v>0.22</v>
      </c>
      <c r="F664">
        <v>970</v>
      </c>
      <c r="G664">
        <v>1075</v>
      </c>
      <c r="H664" t="s">
        <v>4932</v>
      </c>
      <c r="I664">
        <v>0</v>
      </c>
      <c r="J664" t="s">
        <v>97</v>
      </c>
      <c r="K664">
        <v>0</v>
      </c>
      <c r="L664">
        <v>0</v>
      </c>
      <c r="M664" t="s">
        <v>11</v>
      </c>
    </row>
    <row r="665" spans="1:13">
      <c r="A665" s="93">
        <v>107080</v>
      </c>
      <c r="B665" t="s">
        <v>1223</v>
      </c>
      <c r="C665" t="s">
        <v>4916</v>
      </c>
      <c r="D665" s="92">
        <v>0.7</v>
      </c>
      <c r="E665" s="92">
        <v>0.55</v>
      </c>
      <c r="F665">
        <v>1180</v>
      </c>
      <c r="G665">
        <v>1290</v>
      </c>
      <c r="H665" t="s">
        <v>4931</v>
      </c>
      <c r="I665">
        <v>0</v>
      </c>
      <c r="J665" t="s">
        <v>97</v>
      </c>
      <c r="K665">
        <v>0</v>
      </c>
      <c r="L665">
        <v>0</v>
      </c>
      <c r="M665" t="s">
        <v>11</v>
      </c>
    </row>
    <row r="666" spans="1:13">
      <c r="A666" s="93">
        <v>107123</v>
      </c>
      <c r="B666" t="s">
        <v>1224</v>
      </c>
      <c r="C666" t="s">
        <v>4919</v>
      </c>
      <c r="D666" s="92" t="s">
        <v>446</v>
      </c>
      <c r="E666" s="92" t="s">
        <v>446</v>
      </c>
      <c r="F666" t="s">
        <v>446</v>
      </c>
      <c r="G666" t="s">
        <v>446</v>
      </c>
      <c r="H666" t="s">
        <v>4932</v>
      </c>
      <c r="I666">
        <v>0</v>
      </c>
      <c r="J666" t="s">
        <v>97</v>
      </c>
      <c r="K666">
        <v>0</v>
      </c>
      <c r="L666">
        <v>0</v>
      </c>
      <c r="M666" t="s">
        <v>11</v>
      </c>
    </row>
    <row r="667" spans="1:13">
      <c r="A667" s="93">
        <v>107141</v>
      </c>
      <c r="B667" t="s">
        <v>1225</v>
      </c>
      <c r="C667" t="s">
        <v>4916</v>
      </c>
      <c r="D667" s="92">
        <v>0.6899999999999999</v>
      </c>
      <c r="E667" s="92">
        <v>0.57</v>
      </c>
      <c r="F667">
        <v>1110</v>
      </c>
      <c r="G667">
        <v>1225</v>
      </c>
      <c r="H667" t="s">
        <v>4930</v>
      </c>
      <c r="I667">
        <v>0</v>
      </c>
      <c r="J667" t="s">
        <v>97</v>
      </c>
      <c r="K667">
        <v>0</v>
      </c>
      <c r="L667">
        <v>0</v>
      </c>
      <c r="M667" t="s">
        <v>11</v>
      </c>
    </row>
    <row r="668" spans="1:13">
      <c r="A668" s="93">
        <v>107318</v>
      </c>
      <c r="B668" t="s">
        <v>1226</v>
      </c>
      <c r="C668" t="s">
        <v>4919</v>
      </c>
      <c r="D668" s="92">
        <v>0.33</v>
      </c>
      <c r="E668" s="92">
        <v>0.33</v>
      </c>
      <c r="F668" t="s">
        <v>446</v>
      </c>
      <c r="G668" t="s">
        <v>446</v>
      </c>
      <c r="H668" t="s">
        <v>4932</v>
      </c>
      <c r="I668">
        <v>0</v>
      </c>
      <c r="J668" t="s">
        <v>97</v>
      </c>
      <c r="K668">
        <v>0</v>
      </c>
      <c r="L668">
        <v>0</v>
      </c>
      <c r="M668" t="s">
        <v>11</v>
      </c>
    </row>
    <row r="669" spans="1:13">
      <c r="A669" s="93">
        <v>107327</v>
      </c>
      <c r="B669" t="s">
        <v>1227</v>
      </c>
      <c r="C669" t="s">
        <v>4919</v>
      </c>
      <c r="D669" s="92">
        <v>0.34</v>
      </c>
      <c r="E669" s="92">
        <v>0.38</v>
      </c>
      <c r="F669" t="s">
        <v>446</v>
      </c>
      <c r="G669" t="s">
        <v>446</v>
      </c>
      <c r="H669" t="s">
        <v>4932</v>
      </c>
      <c r="I669">
        <v>0</v>
      </c>
      <c r="J669" t="s">
        <v>97</v>
      </c>
      <c r="K669">
        <v>0</v>
      </c>
      <c r="L669">
        <v>0</v>
      </c>
      <c r="M669" t="s">
        <v>11</v>
      </c>
    </row>
    <row r="670" spans="1:13">
      <c r="A670" s="93">
        <v>107460</v>
      </c>
      <c r="B670" t="s">
        <v>1228</v>
      </c>
      <c r="C670" t="s">
        <v>4919</v>
      </c>
      <c r="D670" s="92">
        <v>0.33</v>
      </c>
      <c r="E670" s="92">
        <v>0.27</v>
      </c>
      <c r="F670" t="s">
        <v>446</v>
      </c>
      <c r="G670" t="s">
        <v>446</v>
      </c>
      <c r="H670" t="s">
        <v>4932</v>
      </c>
      <c r="I670">
        <v>0</v>
      </c>
      <c r="J670" t="s">
        <v>97</v>
      </c>
      <c r="K670">
        <v>0</v>
      </c>
      <c r="L670">
        <v>0</v>
      </c>
      <c r="M670" t="s">
        <v>11</v>
      </c>
    </row>
    <row r="671" spans="1:13">
      <c r="A671" s="93">
        <v>107512</v>
      </c>
      <c r="B671" t="s">
        <v>1229</v>
      </c>
      <c r="C671" t="s">
        <v>4920</v>
      </c>
      <c r="D671" s="92">
        <v>0.63</v>
      </c>
      <c r="E671" s="92">
        <v>0.36</v>
      </c>
      <c r="F671" t="s">
        <v>446</v>
      </c>
      <c r="G671" t="s">
        <v>446</v>
      </c>
      <c r="H671" t="s">
        <v>4930</v>
      </c>
      <c r="I671">
        <v>0</v>
      </c>
      <c r="J671" t="s">
        <v>97</v>
      </c>
      <c r="K671">
        <v>0</v>
      </c>
      <c r="L671">
        <v>0</v>
      </c>
      <c r="M671" t="s">
        <v>11</v>
      </c>
    </row>
    <row r="672" spans="1:13">
      <c r="A672" s="93">
        <v>107521</v>
      </c>
      <c r="B672" t="s">
        <v>1230</v>
      </c>
      <c r="C672" t="s">
        <v>4919</v>
      </c>
      <c r="D672" s="92">
        <v>0.32</v>
      </c>
      <c r="E672" s="92">
        <v>0.23</v>
      </c>
      <c r="F672" t="s">
        <v>446</v>
      </c>
      <c r="G672" t="s">
        <v>446</v>
      </c>
      <c r="H672" t="s">
        <v>4932</v>
      </c>
      <c r="I672">
        <v>0</v>
      </c>
      <c r="J672" t="s">
        <v>97</v>
      </c>
      <c r="K672">
        <v>0</v>
      </c>
      <c r="L672">
        <v>0</v>
      </c>
      <c r="M672" t="s">
        <v>11</v>
      </c>
    </row>
    <row r="673" spans="1:13">
      <c r="A673" s="93">
        <v>107549</v>
      </c>
      <c r="B673" t="s">
        <v>1231</v>
      </c>
      <c r="C673" t="s">
        <v>4919</v>
      </c>
      <c r="D673" s="92" t="s">
        <v>446</v>
      </c>
      <c r="E673" s="92" t="s">
        <v>446</v>
      </c>
      <c r="F673" t="s">
        <v>446</v>
      </c>
      <c r="G673" t="s">
        <v>446</v>
      </c>
      <c r="H673" t="s">
        <v>4932</v>
      </c>
      <c r="I673">
        <v>0</v>
      </c>
      <c r="J673" t="s">
        <v>97</v>
      </c>
      <c r="K673">
        <v>0</v>
      </c>
      <c r="L673">
        <v>0</v>
      </c>
      <c r="M673" t="s">
        <v>11</v>
      </c>
    </row>
    <row r="674" spans="1:13">
      <c r="A674" s="93">
        <v>107558</v>
      </c>
      <c r="B674" t="s">
        <v>1232</v>
      </c>
      <c r="C674" t="s">
        <v>4920</v>
      </c>
      <c r="D674" s="92">
        <v>0.49</v>
      </c>
      <c r="E674" s="92">
        <v>0.45</v>
      </c>
      <c r="F674">
        <v>970</v>
      </c>
      <c r="G674">
        <v>1055</v>
      </c>
      <c r="H674" t="s">
        <v>4931</v>
      </c>
      <c r="I674">
        <v>0</v>
      </c>
      <c r="J674" t="s">
        <v>97</v>
      </c>
      <c r="K674">
        <v>0</v>
      </c>
      <c r="L674">
        <v>0</v>
      </c>
      <c r="M674" t="s">
        <v>11</v>
      </c>
    </row>
    <row r="675" spans="1:13">
      <c r="A675" s="93">
        <v>107585</v>
      </c>
      <c r="B675" t="s">
        <v>1233</v>
      </c>
      <c r="C675" t="s">
        <v>4925</v>
      </c>
      <c r="D675" s="92">
        <v>0.43</v>
      </c>
      <c r="E675" s="92">
        <v>0.37</v>
      </c>
      <c r="F675" t="s">
        <v>446</v>
      </c>
      <c r="G675" t="s">
        <v>446</v>
      </c>
      <c r="H675" t="s">
        <v>4932</v>
      </c>
      <c r="I675">
        <v>0</v>
      </c>
      <c r="J675" t="s">
        <v>97</v>
      </c>
      <c r="K675">
        <v>0</v>
      </c>
      <c r="L675">
        <v>0</v>
      </c>
      <c r="M675" t="s">
        <v>11</v>
      </c>
    </row>
    <row r="676" spans="1:13">
      <c r="A676" s="93">
        <v>107619</v>
      </c>
      <c r="B676" t="s">
        <v>1234</v>
      </c>
      <c r="C676" t="s">
        <v>4919</v>
      </c>
      <c r="D676" s="92">
        <v>0.48</v>
      </c>
      <c r="E676" s="92">
        <v>0.44</v>
      </c>
      <c r="F676" t="s">
        <v>446</v>
      </c>
      <c r="G676" t="s">
        <v>446</v>
      </c>
      <c r="H676" t="s">
        <v>4932</v>
      </c>
      <c r="I676">
        <v>0</v>
      </c>
      <c r="J676" t="s">
        <v>97</v>
      </c>
      <c r="K676">
        <v>0</v>
      </c>
      <c r="L676">
        <v>0</v>
      </c>
      <c r="M676" t="s">
        <v>11</v>
      </c>
    </row>
    <row r="677" spans="1:13">
      <c r="A677" s="93">
        <v>107637</v>
      </c>
      <c r="B677" t="s">
        <v>1235</v>
      </c>
      <c r="C677" t="s">
        <v>4919</v>
      </c>
      <c r="D677" s="92">
        <v>0.26</v>
      </c>
      <c r="E677" s="92">
        <v>0.2</v>
      </c>
      <c r="F677" t="s">
        <v>446</v>
      </c>
      <c r="G677" t="s">
        <v>446</v>
      </c>
      <c r="H677" t="s">
        <v>4932</v>
      </c>
      <c r="I677">
        <v>0</v>
      </c>
      <c r="J677" t="s">
        <v>97</v>
      </c>
      <c r="K677">
        <v>0</v>
      </c>
      <c r="L677">
        <v>0</v>
      </c>
      <c r="M677" t="s">
        <v>11</v>
      </c>
    </row>
    <row r="678" spans="1:13">
      <c r="A678" s="93">
        <v>107664</v>
      </c>
      <c r="B678" t="s">
        <v>1236</v>
      </c>
      <c r="C678" t="s">
        <v>4919</v>
      </c>
      <c r="D678" s="92">
        <v>0.31</v>
      </c>
      <c r="E678" s="92">
        <v>0.25</v>
      </c>
      <c r="F678" t="s">
        <v>446</v>
      </c>
      <c r="G678" t="s">
        <v>446</v>
      </c>
      <c r="H678" t="s">
        <v>4932</v>
      </c>
      <c r="I678">
        <v>0</v>
      </c>
      <c r="J678" t="s">
        <v>97</v>
      </c>
      <c r="K678">
        <v>0</v>
      </c>
      <c r="L678">
        <v>0</v>
      </c>
      <c r="M678" t="s">
        <v>11</v>
      </c>
    </row>
    <row r="679" spans="1:13">
      <c r="A679" s="93">
        <v>107725</v>
      </c>
      <c r="B679" t="s">
        <v>1237</v>
      </c>
      <c r="C679" t="s">
        <v>4919</v>
      </c>
      <c r="D679" s="92">
        <v>0.42</v>
      </c>
      <c r="E679" s="92">
        <v>0.37</v>
      </c>
      <c r="F679" t="s">
        <v>446</v>
      </c>
      <c r="G679" t="s">
        <v>446</v>
      </c>
      <c r="H679" t="s">
        <v>4932</v>
      </c>
      <c r="I679">
        <v>0</v>
      </c>
      <c r="J679" t="s">
        <v>97</v>
      </c>
      <c r="K679">
        <v>0</v>
      </c>
      <c r="L679">
        <v>0</v>
      </c>
      <c r="M679" t="s">
        <v>11</v>
      </c>
    </row>
    <row r="680" spans="1:13">
      <c r="A680" s="93">
        <v>107743</v>
      </c>
      <c r="B680" t="s">
        <v>1238</v>
      </c>
      <c r="C680" t="s">
        <v>4919</v>
      </c>
      <c r="D680" s="92" t="s">
        <v>446</v>
      </c>
      <c r="E680" s="92" t="s">
        <v>446</v>
      </c>
      <c r="F680" t="s">
        <v>446</v>
      </c>
      <c r="G680" t="s">
        <v>446</v>
      </c>
      <c r="H680" t="s">
        <v>4932</v>
      </c>
      <c r="I680">
        <v>0</v>
      </c>
      <c r="J680" t="s">
        <v>97</v>
      </c>
      <c r="K680">
        <v>0</v>
      </c>
      <c r="L680">
        <v>0</v>
      </c>
      <c r="M680" t="s">
        <v>11</v>
      </c>
    </row>
    <row r="681" spans="1:13">
      <c r="A681" s="93">
        <v>107840</v>
      </c>
      <c r="B681" t="s">
        <v>1239</v>
      </c>
      <c r="C681" t="s">
        <v>4919</v>
      </c>
      <c r="D681" s="92" t="s">
        <v>446</v>
      </c>
      <c r="E681" s="92" t="s">
        <v>446</v>
      </c>
      <c r="F681" t="s">
        <v>446</v>
      </c>
      <c r="G681" t="s">
        <v>446</v>
      </c>
      <c r="H681" t="s">
        <v>4931</v>
      </c>
      <c r="I681">
        <v>0</v>
      </c>
      <c r="J681" t="s">
        <v>153</v>
      </c>
      <c r="K681">
        <v>0</v>
      </c>
      <c r="L681">
        <v>0</v>
      </c>
      <c r="M681" t="s">
        <v>11</v>
      </c>
    </row>
    <row r="682" spans="1:13">
      <c r="A682" s="93">
        <v>107877</v>
      </c>
      <c r="B682" t="s">
        <v>1240</v>
      </c>
      <c r="C682" t="s">
        <v>4920</v>
      </c>
      <c r="D682" s="92">
        <v>0.36</v>
      </c>
      <c r="E682" s="92">
        <v>0.4</v>
      </c>
      <c r="F682">
        <v>1010</v>
      </c>
      <c r="G682">
        <v>1095</v>
      </c>
      <c r="H682" t="s">
        <v>4931</v>
      </c>
      <c r="I682">
        <v>0</v>
      </c>
      <c r="J682" t="s">
        <v>97</v>
      </c>
      <c r="K682">
        <v>0</v>
      </c>
      <c r="L682">
        <v>0</v>
      </c>
      <c r="M682" t="s">
        <v>11</v>
      </c>
    </row>
    <row r="683" spans="1:13">
      <c r="A683" s="93">
        <v>107974</v>
      </c>
      <c r="B683" t="s">
        <v>1241</v>
      </c>
      <c r="C683" t="s">
        <v>4919</v>
      </c>
      <c r="D683" s="92">
        <v>0.32</v>
      </c>
      <c r="E683" s="92">
        <v>0.28</v>
      </c>
      <c r="F683" t="s">
        <v>446</v>
      </c>
      <c r="G683" t="s">
        <v>446</v>
      </c>
      <c r="H683" t="s">
        <v>4932</v>
      </c>
      <c r="I683">
        <v>0</v>
      </c>
      <c r="J683" t="s">
        <v>97</v>
      </c>
      <c r="K683">
        <v>0</v>
      </c>
      <c r="L683">
        <v>0</v>
      </c>
      <c r="M683" t="s">
        <v>11</v>
      </c>
    </row>
    <row r="684" spans="1:13">
      <c r="A684" s="93">
        <v>107983</v>
      </c>
      <c r="B684" t="s">
        <v>1242</v>
      </c>
      <c r="C684" t="s">
        <v>4920</v>
      </c>
      <c r="D684" s="92">
        <v>0.4</v>
      </c>
      <c r="E684" s="92">
        <v>0.27</v>
      </c>
      <c r="F684">
        <v>970</v>
      </c>
      <c r="G684">
        <v>1090</v>
      </c>
      <c r="H684" t="s">
        <v>4932</v>
      </c>
      <c r="I684">
        <v>0</v>
      </c>
      <c r="J684" t="s">
        <v>97</v>
      </c>
      <c r="K684">
        <v>0</v>
      </c>
      <c r="L684">
        <v>0</v>
      </c>
      <c r="M684" t="s">
        <v>11</v>
      </c>
    </row>
    <row r="685" spans="1:13">
      <c r="A685" s="93">
        <v>107992</v>
      </c>
      <c r="B685" t="s">
        <v>1243</v>
      </c>
      <c r="C685" t="s">
        <v>4919</v>
      </c>
      <c r="D685" s="92">
        <v>0.55</v>
      </c>
      <c r="E685" s="92">
        <v>0.46</v>
      </c>
      <c r="F685" t="s">
        <v>446</v>
      </c>
      <c r="G685" t="s">
        <v>446</v>
      </c>
      <c r="H685" t="s">
        <v>4932</v>
      </c>
      <c r="I685">
        <v>0</v>
      </c>
      <c r="J685" t="s">
        <v>97</v>
      </c>
      <c r="K685">
        <v>0</v>
      </c>
      <c r="L685">
        <v>0</v>
      </c>
      <c r="M685" t="s">
        <v>11</v>
      </c>
    </row>
    <row r="686" spans="1:13">
      <c r="A686" s="93">
        <v>108092</v>
      </c>
      <c r="B686" t="s">
        <v>1244</v>
      </c>
      <c r="C686" t="s">
        <v>4923</v>
      </c>
      <c r="D686" s="92">
        <v>0.24</v>
      </c>
      <c r="E686" s="92">
        <v>0.22</v>
      </c>
      <c r="F686" t="s">
        <v>446</v>
      </c>
      <c r="G686" t="s">
        <v>446</v>
      </c>
      <c r="H686" t="s">
        <v>4932</v>
      </c>
      <c r="I686">
        <v>0</v>
      </c>
      <c r="J686" t="s">
        <v>97</v>
      </c>
      <c r="K686">
        <v>0</v>
      </c>
      <c r="L686">
        <v>0</v>
      </c>
      <c r="M686" t="s">
        <v>11</v>
      </c>
    </row>
    <row r="687" spans="1:13">
      <c r="A687" s="93">
        <v>108269</v>
      </c>
      <c r="B687" t="s">
        <v>1245</v>
      </c>
      <c r="C687" t="s">
        <v>4924</v>
      </c>
      <c r="D687" s="92" t="s">
        <v>446</v>
      </c>
      <c r="E687" s="92" t="s">
        <v>446</v>
      </c>
      <c r="F687" t="s">
        <v>446</v>
      </c>
      <c r="G687" t="s">
        <v>446</v>
      </c>
      <c r="H687" t="s">
        <v>4932</v>
      </c>
      <c r="I687">
        <v>0</v>
      </c>
      <c r="J687" t="s">
        <v>97</v>
      </c>
      <c r="K687">
        <v>0</v>
      </c>
      <c r="L687">
        <v>0</v>
      </c>
      <c r="M687" t="s">
        <v>11</v>
      </c>
    </row>
    <row r="688" spans="1:13">
      <c r="A688" s="93">
        <v>108667</v>
      </c>
      <c r="B688" t="s">
        <v>1246</v>
      </c>
      <c r="C688" t="s">
        <v>4919</v>
      </c>
      <c r="D688" s="92">
        <v>0.33</v>
      </c>
      <c r="E688" s="92">
        <v>0.26</v>
      </c>
      <c r="F688" t="s">
        <v>446</v>
      </c>
      <c r="G688" t="s">
        <v>446</v>
      </c>
      <c r="H688" t="s">
        <v>4932</v>
      </c>
      <c r="I688">
        <v>0</v>
      </c>
      <c r="J688" t="s">
        <v>97</v>
      </c>
      <c r="K688">
        <v>0</v>
      </c>
      <c r="L688">
        <v>0</v>
      </c>
      <c r="M688" t="s">
        <v>11</v>
      </c>
    </row>
    <row r="689" spans="1:13">
      <c r="A689" s="93">
        <v>108807</v>
      </c>
      <c r="B689" t="s">
        <v>1247</v>
      </c>
      <c r="C689" t="s">
        <v>4919</v>
      </c>
      <c r="D689" s="92">
        <v>0.3</v>
      </c>
      <c r="E689" s="92">
        <v>0.28</v>
      </c>
      <c r="F689" t="s">
        <v>446</v>
      </c>
      <c r="G689" t="s">
        <v>446</v>
      </c>
      <c r="H689" t="s">
        <v>4932</v>
      </c>
      <c r="I689">
        <v>0</v>
      </c>
      <c r="J689" t="s">
        <v>97</v>
      </c>
      <c r="K689">
        <v>0</v>
      </c>
      <c r="L689">
        <v>0</v>
      </c>
      <c r="M689" t="s">
        <v>11</v>
      </c>
    </row>
    <row r="690" spans="1:13">
      <c r="A690" s="93">
        <v>108852</v>
      </c>
      <c r="B690" t="s">
        <v>1248</v>
      </c>
      <c r="C690" t="s">
        <v>4925</v>
      </c>
      <c r="D690" s="92" t="s">
        <v>446</v>
      </c>
      <c r="E690" s="92" t="s">
        <v>446</v>
      </c>
      <c r="F690" t="s">
        <v>446</v>
      </c>
      <c r="G690" t="s">
        <v>446</v>
      </c>
      <c r="H690" t="s">
        <v>4930</v>
      </c>
      <c r="I690">
        <v>0</v>
      </c>
      <c r="J690" t="s">
        <v>97</v>
      </c>
      <c r="K690">
        <v>0</v>
      </c>
      <c r="L690">
        <v>0</v>
      </c>
      <c r="M690" t="s">
        <v>11</v>
      </c>
    </row>
    <row r="691" spans="1:13">
      <c r="A691" s="93">
        <v>108861</v>
      </c>
      <c r="B691" t="s">
        <v>1249</v>
      </c>
      <c r="C691" t="s">
        <v>4924</v>
      </c>
      <c r="D691" s="92" t="s">
        <v>446</v>
      </c>
      <c r="E691" s="92" t="s">
        <v>446</v>
      </c>
      <c r="F691" t="s">
        <v>446</v>
      </c>
      <c r="G691" t="s">
        <v>446</v>
      </c>
      <c r="H691" t="s">
        <v>4932</v>
      </c>
      <c r="I691">
        <v>0</v>
      </c>
      <c r="J691" t="s">
        <v>97</v>
      </c>
      <c r="K691">
        <v>0</v>
      </c>
      <c r="L691">
        <v>0</v>
      </c>
      <c r="M691" t="s">
        <v>11</v>
      </c>
    </row>
    <row r="692" spans="1:13">
      <c r="A692" s="93">
        <v>108870</v>
      </c>
      <c r="B692" t="s">
        <v>1250</v>
      </c>
      <c r="C692" t="s">
        <v>4924</v>
      </c>
      <c r="D692" s="92" t="s">
        <v>446</v>
      </c>
      <c r="E692" s="92" t="s">
        <v>446</v>
      </c>
      <c r="F692" t="s">
        <v>446</v>
      </c>
      <c r="G692" t="s">
        <v>446</v>
      </c>
      <c r="H692" t="s">
        <v>4932</v>
      </c>
      <c r="I692">
        <v>0</v>
      </c>
      <c r="J692" t="s">
        <v>97</v>
      </c>
      <c r="K692">
        <v>0</v>
      </c>
      <c r="L692">
        <v>0</v>
      </c>
      <c r="M692" t="s">
        <v>11</v>
      </c>
    </row>
    <row r="693" spans="1:13">
      <c r="A693" s="93">
        <v>109040</v>
      </c>
      <c r="B693" t="s">
        <v>1251</v>
      </c>
      <c r="C693" t="s">
        <v>4919</v>
      </c>
      <c r="D693" s="92" t="s">
        <v>446</v>
      </c>
      <c r="E693" s="92" t="s">
        <v>446</v>
      </c>
      <c r="F693" t="s">
        <v>446</v>
      </c>
      <c r="G693" t="s">
        <v>446</v>
      </c>
      <c r="H693" t="s">
        <v>4930</v>
      </c>
      <c r="I693">
        <v>0</v>
      </c>
      <c r="J693" t="s">
        <v>97</v>
      </c>
      <c r="K693">
        <v>0</v>
      </c>
      <c r="L693">
        <v>0</v>
      </c>
      <c r="M693" t="s">
        <v>11</v>
      </c>
    </row>
    <row r="694" spans="1:13">
      <c r="A694" s="93">
        <v>109086</v>
      </c>
      <c r="B694" t="s">
        <v>1252</v>
      </c>
      <c r="C694" t="s">
        <v>4924</v>
      </c>
      <c r="D694" s="92" t="s">
        <v>446</v>
      </c>
      <c r="E694" s="92" t="s">
        <v>446</v>
      </c>
      <c r="F694" t="s">
        <v>446</v>
      </c>
      <c r="G694" t="s">
        <v>446</v>
      </c>
      <c r="H694" t="s">
        <v>4930</v>
      </c>
      <c r="I694">
        <v>0</v>
      </c>
      <c r="J694" t="s">
        <v>97</v>
      </c>
      <c r="K694">
        <v>0</v>
      </c>
      <c r="L694">
        <v>0</v>
      </c>
      <c r="M694" t="s">
        <v>11</v>
      </c>
    </row>
    <row r="695" spans="1:13">
      <c r="A695" s="93">
        <v>109208</v>
      </c>
      <c r="B695" t="s">
        <v>1253</v>
      </c>
      <c r="C695" t="s">
        <v>4919</v>
      </c>
      <c r="D695" s="92">
        <v>0.33</v>
      </c>
      <c r="E695" s="92">
        <v>0.23</v>
      </c>
      <c r="F695" t="s">
        <v>446</v>
      </c>
      <c r="G695" t="s">
        <v>446</v>
      </c>
      <c r="H695" t="s">
        <v>4932</v>
      </c>
      <c r="I695">
        <v>0</v>
      </c>
      <c r="J695" t="s">
        <v>97</v>
      </c>
      <c r="K695">
        <v>0</v>
      </c>
      <c r="L695">
        <v>0</v>
      </c>
      <c r="M695" t="s">
        <v>11</v>
      </c>
    </row>
    <row r="696" spans="1:13">
      <c r="A696" s="93">
        <v>109350</v>
      </c>
      <c r="B696" t="s">
        <v>1254</v>
      </c>
      <c r="C696" t="s">
        <v>4923</v>
      </c>
      <c r="D696" s="92" t="s">
        <v>446</v>
      </c>
      <c r="E696" s="92" t="s">
        <v>446</v>
      </c>
      <c r="F696" t="s">
        <v>446</v>
      </c>
      <c r="G696" t="s">
        <v>446</v>
      </c>
      <c r="H696" t="s">
        <v>4932</v>
      </c>
      <c r="I696">
        <v>0</v>
      </c>
      <c r="J696" t="s">
        <v>97</v>
      </c>
      <c r="K696">
        <v>0</v>
      </c>
      <c r="L696">
        <v>0</v>
      </c>
      <c r="M696" t="s">
        <v>11</v>
      </c>
    </row>
    <row r="697" spans="1:13">
      <c r="A697" s="93">
        <v>109651</v>
      </c>
      <c r="B697" t="s">
        <v>1255</v>
      </c>
      <c r="C697" t="s">
        <v>4926</v>
      </c>
      <c r="D697" s="92">
        <v>0.72</v>
      </c>
      <c r="E697" s="92">
        <v>0.59</v>
      </c>
      <c r="F697" t="s">
        <v>446</v>
      </c>
      <c r="G697" t="s">
        <v>446</v>
      </c>
      <c r="H697" t="s">
        <v>4930</v>
      </c>
      <c r="I697">
        <v>0</v>
      </c>
      <c r="J697" t="s">
        <v>97</v>
      </c>
      <c r="K697">
        <v>0</v>
      </c>
      <c r="L697">
        <v>0</v>
      </c>
      <c r="M697" t="s">
        <v>11</v>
      </c>
    </row>
    <row r="698" spans="1:13">
      <c r="A698" s="93">
        <v>109785</v>
      </c>
      <c r="B698" t="s">
        <v>1256</v>
      </c>
      <c r="C698" t="s">
        <v>4920</v>
      </c>
      <c r="D698" s="92">
        <v>0.72</v>
      </c>
      <c r="E698" s="92">
        <v>0.68</v>
      </c>
      <c r="F698">
        <v>970</v>
      </c>
      <c r="G698">
        <v>1120</v>
      </c>
      <c r="H698" t="s">
        <v>4930</v>
      </c>
      <c r="I698">
        <v>0</v>
      </c>
      <c r="J698" t="s">
        <v>97</v>
      </c>
      <c r="K698">
        <v>0</v>
      </c>
      <c r="L698">
        <v>0</v>
      </c>
      <c r="M698" t="s">
        <v>11</v>
      </c>
    </row>
    <row r="699" spans="1:13">
      <c r="A699" s="93">
        <v>109907</v>
      </c>
      <c r="B699" t="s">
        <v>1257</v>
      </c>
      <c r="C699" t="s">
        <v>4919</v>
      </c>
      <c r="D699" s="92">
        <v>0.36</v>
      </c>
      <c r="E699" s="92">
        <v>0.36</v>
      </c>
      <c r="F699" t="s">
        <v>446</v>
      </c>
      <c r="G699" t="s">
        <v>446</v>
      </c>
      <c r="H699" t="s">
        <v>4932</v>
      </c>
      <c r="I699">
        <v>0</v>
      </c>
      <c r="J699" t="s">
        <v>97</v>
      </c>
      <c r="K699">
        <v>0</v>
      </c>
      <c r="L699">
        <v>0</v>
      </c>
      <c r="M699" t="s">
        <v>11</v>
      </c>
    </row>
    <row r="700" spans="1:13">
      <c r="A700" s="93">
        <v>109934</v>
      </c>
      <c r="B700" t="s">
        <v>1258</v>
      </c>
      <c r="C700" t="s">
        <v>4919</v>
      </c>
      <c r="D700" s="92" t="s">
        <v>446</v>
      </c>
      <c r="E700" s="92" t="s">
        <v>446</v>
      </c>
      <c r="F700" t="s">
        <v>446</v>
      </c>
      <c r="G700" t="s">
        <v>446</v>
      </c>
      <c r="H700" t="s">
        <v>4930</v>
      </c>
      <c r="I700">
        <v>0</v>
      </c>
      <c r="J700" t="s">
        <v>97</v>
      </c>
      <c r="K700">
        <v>0</v>
      </c>
      <c r="L700">
        <v>0</v>
      </c>
      <c r="M700" t="s">
        <v>11</v>
      </c>
    </row>
    <row r="701" spans="1:13">
      <c r="A701" s="93">
        <v>110060</v>
      </c>
      <c r="B701" t="s">
        <v>1259</v>
      </c>
      <c r="C701" t="s">
        <v>4923</v>
      </c>
      <c r="D701" s="92">
        <v>0.21</v>
      </c>
      <c r="E701" s="92">
        <v>0.19</v>
      </c>
      <c r="F701" t="s">
        <v>446</v>
      </c>
      <c r="G701" t="s">
        <v>446</v>
      </c>
      <c r="H701" t="s">
        <v>4931</v>
      </c>
      <c r="I701">
        <v>0</v>
      </c>
      <c r="J701" t="s">
        <v>97</v>
      </c>
      <c r="K701">
        <v>0</v>
      </c>
      <c r="L701">
        <v>0</v>
      </c>
      <c r="M701" t="s">
        <v>11</v>
      </c>
    </row>
    <row r="702" spans="1:13">
      <c r="A702" s="93">
        <v>110097</v>
      </c>
      <c r="B702" t="s">
        <v>1260</v>
      </c>
      <c r="C702" t="s">
        <v>4920</v>
      </c>
      <c r="D702" s="92">
        <v>0.72</v>
      </c>
      <c r="E702" s="92">
        <v>0.62</v>
      </c>
      <c r="F702">
        <v>1100</v>
      </c>
      <c r="G702">
        <v>1225</v>
      </c>
      <c r="H702" t="s">
        <v>4930</v>
      </c>
      <c r="I702">
        <v>0</v>
      </c>
      <c r="J702" t="s">
        <v>97</v>
      </c>
      <c r="K702">
        <v>0</v>
      </c>
      <c r="L702">
        <v>0</v>
      </c>
      <c r="M702" t="s">
        <v>11</v>
      </c>
    </row>
    <row r="703" spans="1:13">
      <c r="A703" s="93">
        <v>110219</v>
      </c>
      <c r="B703" t="s">
        <v>1261</v>
      </c>
      <c r="C703" t="s">
        <v>4923</v>
      </c>
      <c r="D703" s="92">
        <v>0.34</v>
      </c>
      <c r="E703" s="92">
        <v>0.41</v>
      </c>
      <c r="F703" t="s">
        <v>446</v>
      </c>
      <c r="G703" t="s">
        <v>446</v>
      </c>
      <c r="H703" t="s">
        <v>4930</v>
      </c>
      <c r="I703">
        <v>0</v>
      </c>
      <c r="J703" t="s">
        <v>97</v>
      </c>
      <c r="K703">
        <v>0</v>
      </c>
      <c r="L703">
        <v>0</v>
      </c>
      <c r="M703" t="s">
        <v>11</v>
      </c>
    </row>
    <row r="704" spans="1:13">
      <c r="A704" s="93">
        <v>110246</v>
      </c>
      <c r="B704" t="s">
        <v>1262</v>
      </c>
      <c r="C704" t="s">
        <v>4919</v>
      </c>
      <c r="D704" s="92">
        <v>0.4</v>
      </c>
      <c r="E704" s="92">
        <v>0.33</v>
      </c>
      <c r="F704" t="s">
        <v>446</v>
      </c>
      <c r="G704" t="s">
        <v>446</v>
      </c>
      <c r="H704" t="s">
        <v>4932</v>
      </c>
      <c r="I704">
        <v>0</v>
      </c>
      <c r="J704" t="s">
        <v>97</v>
      </c>
      <c r="K704">
        <v>0</v>
      </c>
      <c r="L704">
        <v>0</v>
      </c>
      <c r="M704" t="s">
        <v>11</v>
      </c>
    </row>
    <row r="705" spans="1:13">
      <c r="A705" s="93">
        <v>110316</v>
      </c>
      <c r="B705" t="s">
        <v>1263</v>
      </c>
      <c r="C705" t="s">
        <v>4924</v>
      </c>
      <c r="D705" s="92" t="s">
        <v>446</v>
      </c>
      <c r="E705" s="92" t="s">
        <v>446</v>
      </c>
      <c r="F705" t="s">
        <v>446</v>
      </c>
      <c r="G705" t="s">
        <v>446</v>
      </c>
      <c r="H705" t="s">
        <v>4932</v>
      </c>
      <c r="I705">
        <v>0</v>
      </c>
      <c r="J705" t="s">
        <v>97</v>
      </c>
      <c r="K705">
        <v>0</v>
      </c>
      <c r="L705">
        <v>0</v>
      </c>
      <c r="M705" t="s">
        <v>11</v>
      </c>
    </row>
    <row r="706" spans="1:13">
      <c r="A706" s="93">
        <v>110334</v>
      </c>
      <c r="B706" t="s">
        <v>1264</v>
      </c>
      <c r="C706" t="s">
        <v>4919</v>
      </c>
      <c r="D706" s="92">
        <v>0.36</v>
      </c>
      <c r="E706" s="92">
        <v>0.31</v>
      </c>
      <c r="F706" t="s">
        <v>446</v>
      </c>
      <c r="G706" t="s">
        <v>446</v>
      </c>
      <c r="H706" t="s">
        <v>4932</v>
      </c>
      <c r="I706">
        <v>0</v>
      </c>
      <c r="J706" t="s">
        <v>97</v>
      </c>
      <c r="K706">
        <v>0</v>
      </c>
      <c r="L706">
        <v>0</v>
      </c>
      <c r="M706" t="s">
        <v>11</v>
      </c>
    </row>
    <row r="707" spans="1:13">
      <c r="A707" s="93">
        <v>110361</v>
      </c>
      <c r="B707" t="s">
        <v>1265</v>
      </c>
      <c r="C707" t="s">
        <v>4920</v>
      </c>
      <c r="D707" s="92">
        <v>0.6</v>
      </c>
      <c r="E707" s="92">
        <v>0.53</v>
      </c>
      <c r="F707" t="s">
        <v>446</v>
      </c>
      <c r="G707" t="s">
        <v>446</v>
      </c>
      <c r="H707" t="s">
        <v>4930</v>
      </c>
      <c r="I707">
        <v>0</v>
      </c>
      <c r="J707" t="s">
        <v>97</v>
      </c>
      <c r="K707">
        <v>0</v>
      </c>
      <c r="L707">
        <v>0</v>
      </c>
      <c r="M707" t="s">
        <v>11</v>
      </c>
    </row>
    <row r="708" spans="1:13">
      <c r="A708" s="93">
        <v>110370</v>
      </c>
      <c r="B708" t="s">
        <v>1266</v>
      </c>
      <c r="C708" t="s">
        <v>4926</v>
      </c>
      <c r="D708" s="92">
        <v>0.66</v>
      </c>
      <c r="E708" s="92">
        <v>0.5600000000000001</v>
      </c>
      <c r="F708" t="s">
        <v>446</v>
      </c>
      <c r="G708" t="s">
        <v>446</v>
      </c>
      <c r="H708" t="s">
        <v>4930</v>
      </c>
      <c r="I708">
        <v>0</v>
      </c>
      <c r="J708" t="s">
        <v>97</v>
      </c>
      <c r="K708">
        <v>0</v>
      </c>
      <c r="L708">
        <v>0</v>
      </c>
      <c r="M708" t="s">
        <v>11</v>
      </c>
    </row>
    <row r="709" spans="1:13">
      <c r="A709" s="93">
        <v>110398</v>
      </c>
      <c r="B709" t="s">
        <v>1267</v>
      </c>
      <c r="C709" t="s">
        <v>4924</v>
      </c>
      <c r="D709" s="92" t="s">
        <v>446</v>
      </c>
      <c r="E709" s="92" t="s">
        <v>446</v>
      </c>
      <c r="F709" t="s">
        <v>446</v>
      </c>
      <c r="G709" t="s">
        <v>446</v>
      </c>
      <c r="H709" t="s">
        <v>4932</v>
      </c>
      <c r="I709">
        <v>0</v>
      </c>
      <c r="J709" t="s">
        <v>97</v>
      </c>
      <c r="K709">
        <v>0</v>
      </c>
      <c r="L709">
        <v>0</v>
      </c>
      <c r="M709" t="s">
        <v>11</v>
      </c>
    </row>
    <row r="710" spans="1:13">
      <c r="A710" s="93">
        <v>110404</v>
      </c>
      <c r="B710" t="s">
        <v>1268</v>
      </c>
      <c r="C710" t="s">
        <v>4921</v>
      </c>
      <c r="D710" s="92">
        <v>0.93</v>
      </c>
      <c r="E710" s="92">
        <v>0.84</v>
      </c>
      <c r="F710" t="s">
        <v>446</v>
      </c>
      <c r="G710" t="s">
        <v>446</v>
      </c>
      <c r="H710" t="s">
        <v>4931</v>
      </c>
      <c r="I710">
        <v>0</v>
      </c>
      <c r="J710" t="s">
        <v>97</v>
      </c>
      <c r="K710">
        <v>0</v>
      </c>
      <c r="L710">
        <v>0</v>
      </c>
      <c r="M710" t="s">
        <v>11</v>
      </c>
    </row>
    <row r="711" spans="1:13">
      <c r="A711" s="93">
        <v>110413</v>
      </c>
      <c r="B711" t="s">
        <v>1269</v>
      </c>
      <c r="C711" t="s">
        <v>4920</v>
      </c>
      <c r="D711" s="92">
        <v>0.71</v>
      </c>
      <c r="E711" s="92">
        <v>0.71</v>
      </c>
      <c r="F711">
        <v>1090</v>
      </c>
      <c r="G711">
        <v>1190</v>
      </c>
      <c r="H711" t="s">
        <v>4930</v>
      </c>
      <c r="I711">
        <v>0</v>
      </c>
      <c r="J711" t="s">
        <v>97</v>
      </c>
      <c r="K711">
        <v>0</v>
      </c>
      <c r="L711">
        <v>0</v>
      </c>
      <c r="M711" t="s">
        <v>11</v>
      </c>
    </row>
    <row r="712" spans="1:13">
      <c r="A712" s="93">
        <v>110422</v>
      </c>
      <c r="B712" t="s">
        <v>1270</v>
      </c>
      <c r="C712" t="s">
        <v>4917</v>
      </c>
      <c r="D712" s="92">
        <v>0.85</v>
      </c>
      <c r="E712" s="92">
        <v>0.8100000000000001</v>
      </c>
      <c r="F712" t="s">
        <v>446</v>
      </c>
      <c r="G712" t="s">
        <v>446</v>
      </c>
      <c r="H712" t="s">
        <v>4932</v>
      </c>
      <c r="I712">
        <v>0</v>
      </c>
      <c r="J712" t="s">
        <v>97</v>
      </c>
      <c r="K712">
        <v>0</v>
      </c>
      <c r="L712">
        <v>0</v>
      </c>
      <c r="M712" t="s">
        <v>11</v>
      </c>
    </row>
    <row r="713" spans="1:13">
      <c r="A713" s="93">
        <v>110468</v>
      </c>
      <c r="B713" t="s">
        <v>1271</v>
      </c>
      <c r="C713" t="s">
        <v>4924</v>
      </c>
      <c r="D713" s="92">
        <v>0.16</v>
      </c>
      <c r="E713" s="92">
        <v>0.14</v>
      </c>
      <c r="F713" t="s">
        <v>446</v>
      </c>
      <c r="G713" t="s">
        <v>446</v>
      </c>
      <c r="H713" t="s">
        <v>4932</v>
      </c>
      <c r="I713">
        <v>0</v>
      </c>
      <c r="J713" t="s">
        <v>97</v>
      </c>
      <c r="K713">
        <v>0</v>
      </c>
      <c r="L713">
        <v>0</v>
      </c>
      <c r="M713" t="s">
        <v>11</v>
      </c>
    </row>
    <row r="714" spans="1:13">
      <c r="A714" s="93">
        <v>110486</v>
      </c>
      <c r="B714" t="s">
        <v>1272</v>
      </c>
      <c r="C714" t="s">
        <v>4918</v>
      </c>
      <c r="D714" s="92">
        <v>0.48</v>
      </c>
      <c r="E714" s="92">
        <v>0.47</v>
      </c>
      <c r="F714" t="s">
        <v>446</v>
      </c>
      <c r="G714" t="s">
        <v>446</v>
      </c>
      <c r="H714" t="s">
        <v>4932</v>
      </c>
      <c r="I714">
        <v>0</v>
      </c>
      <c r="J714" t="s">
        <v>97</v>
      </c>
      <c r="K714">
        <v>0</v>
      </c>
      <c r="L714">
        <v>0</v>
      </c>
      <c r="M714" t="s">
        <v>11</v>
      </c>
    </row>
    <row r="715" spans="1:13">
      <c r="A715" s="93">
        <v>110495</v>
      </c>
      <c r="B715" t="s">
        <v>1273</v>
      </c>
      <c r="C715" t="s">
        <v>4920</v>
      </c>
      <c r="D715" s="92">
        <v>0.58</v>
      </c>
      <c r="E715" s="92">
        <v>0.55</v>
      </c>
      <c r="F715" t="s">
        <v>446</v>
      </c>
      <c r="G715" t="s">
        <v>446</v>
      </c>
      <c r="H715" t="s">
        <v>4932</v>
      </c>
      <c r="I715">
        <v>0</v>
      </c>
      <c r="J715" t="s">
        <v>97</v>
      </c>
      <c r="K715">
        <v>0</v>
      </c>
      <c r="L715">
        <v>0</v>
      </c>
      <c r="M715" t="s">
        <v>11</v>
      </c>
    </row>
    <row r="716" spans="1:13">
      <c r="A716" s="93">
        <v>110510</v>
      </c>
      <c r="B716" t="s">
        <v>1274</v>
      </c>
      <c r="C716" t="s">
        <v>4920</v>
      </c>
      <c r="D716" s="92">
        <v>0.57</v>
      </c>
      <c r="E716" s="92">
        <v>0.5600000000000001</v>
      </c>
      <c r="F716" t="s">
        <v>446</v>
      </c>
      <c r="G716" t="s">
        <v>446</v>
      </c>
      <c r="H716" t="s">
        <v>4932</v>
      </c>
      <c r="I716">
        <v>0</v>
      </c>
      <c r="J716" t="s">
        <v>97</v>
      </c>
      <c r="K716">
        <v>0</v>
      </c>
      <c r="L716">
        <v>0</v>
      </c>
      <c r="M716" t="s">
        <v>11</v>
      </c>
    </row>
    <row r="717" spans="1:13">
      <c r="A717" s="93">
        <v>110529</v>
      </c>
      <c r="B717" t="s">
        <v>1275</v>
      </c>
      <c r="C717" t="s">
        <v>4920</v>
      </c>
      <c r="D717" s="92">
        <v>0.7</v>
      </c>
      <c r="E717" s="92">
        <v>0.63</v>
      </c>
      <c r="F717" t="s">
        <v>446</v>
      </c>
      <c r="G717" t="s">
        <v>446</v>
      </c>
      <c r="H717" t="s">
        <v>4932</v>
      </c>
      <c r="I717">
        <v>0</v>
      </c>
      <c r="J717" t="s">
        <v>97</v>
      </c>
      <c r="K717">
        <v>0</v>
      </c>
      <c r="L717">
        <v>0</v>
      </c>
      <c r="M717" t="s">
        <v>11</v>
      </c>
    </row>
    <row r="718" spans="1:13">
      <c r="A718" s="93">
        <v>110538</v>
      </c>
      <c r="B718" t="s">
        <v>1276</v>
      </c>
      <c r="C718" t="s">
        <v>4920</v>
      </c>
      <c r="D718" s="92">
        <v>0.65</v>
      </c>
      <c r="E718" s="92">
        <v>0.6</v>
      </c>
      <c r="F718" t="s">
        <v>446</v>
      </c>
      <c r="G718" t="s">
        <v>446</v>
      </c>
      <c r="H718" t="s">
        <v>4932</v>
      </c>
      <c r="I718">
        <v>0</v>
      </c>
      <c r="J718" t="s">
        <v>97</v>
      </c>
      <c r="K718">
        <v>0</v>
      </c>
      <c r="L718">
        <v>0</v>
      </c>
      <c r="M718" t="s">
        <v>11</v>
      </c>
    </row>
    <row r="719" spans="1:13">
      <c r="A719" s="93">
        <v>110556</v>
      </c>
      <c r="B719" t="s">
        <v>1277</v>
      </c>
      <c r="C719" t="s">
        <v>4918</v>
      </c>
      <c r="D719" s="92">
        <v>0.57</v>
      </c>
      <c r="E719" s="92">
        <v>0.55</v>
      </c>
      <c r="F719" t="s">
        <v>446</v>
      </c>
      <c r="G719" t="s">
        <v>446</v>
      </c>
      <c r="H719" t="s">
        <v>4932</v>
      </c>
      <c r="I719">
        <v>0</v>
      </c>
      <c r="J719" t="s">
        <v>97</v>
      </c>
      <c r="K719">
        <v>0</v>
      </c>
      <c r="L719">
        <v>0</v>
      </c>
      <c r="M719" t="s">
        <v>11</v>
      </c>
    </row>
    <row r="720" spans="1:13">
      <c r="A720" s="93">
        <v>110565</v>
      </c>
      <c r="B720" t="s">
        <v>1278</v>
      </c>
      <c r="C720" t="s">
        <v>4920</v>
      </c>
      <c r="D720" s="92">
        <v>0.71</v>
      </c>
      <c r="E720" s="92">
        <v>0.67</v>
      </c>
      <c r="F720" t="s">
        <v>446</v>
      </c>
      <c r="G720" t="s">
        <v>446</v>
      </c>
      <c r="H720" t="s">
        <v>4932</v>
      </c>
      <c r="I720">
        <v>0</v>
      </c>
      <c r="J720" t="s">
        <v>97</v>
      </c>
      <c r="K720">
        <v>0</v>
      </c>
      <c r="L720">
        <v>0</v>
      </c>
      <c r="M720" t="s">
        <v>11</v>
      </c>
    </row>
    <row r="721" spans="1:13">
      <c r="A721" s="93">
        <v>110574</v>
      </c>
      <c r="B721" t="s">
        <v>1279</v>
      </c>
      <c r="C721" t="s">
        <v>4920</v>
      </c>
      <c r="D721" s="92">
        <v>0.48</v>
      </c>
      <c r="E721" s="92">
        <v>0.43</v>
      </c>
      <c r="F721" t="s">
        <v>446</v>
      </c>
      <c r="G721" t="s">
        <v>446</v>
      </c>
      <c r="H721" t="s">
        <v>4932</v>
      </c>
      <c r="I721">
        <v>0</v>
      </c>
      <c r="J721" t="s">
        <v>97</v>
      </c>
      <c r="K721">
        <v>0</v>
      </c>
      <c r="L721">
        <v>0</v>
      </c>
      <c r="M721" t="s">
        <v>11</v>
      </c>
    </row>
    <row r="722" spans="1:13">
      <c r="A722" s="93">
        <v>110583</v>
      </c>
      <c r="B722" t="s">
        <v>1280</v>
      </c>
      <c r="C722" t="s">
        <v>4920</v>
      </c>
      <c r="D722" s="92">
        <v>0.75</v>
      </c>
      <c r="E722" s="92">
        <v>0.73</v>
      </c>
      <c r="F722" t="s">
        <v>446</v>
      </c>
      <c r="G722" t="s">
        <v>446</v>
      </c>
      <c r="H722" t="s">
        <v>4932</v>
      </c>
      <c r="I722">
        <v>0</v>
      </c>
      <c r="J722" t="s">
        <v>97</v>
      </c>
      <c r="K722">
        <v>0</v>
      </c>
      <c r="L722">
        <v>0</v>
      </c>
      <c r="M722" t="s">
        <v>11</v>
      </c>
    </row>
    <row r="723" spans="1:13">
      <c r="A723" s="93">
        <v>110592</v>
      </c>
      <c r="B723" t="s">
        <v>1281</v>
      </c>
      <c r="C723" t="s">
        <v>4918</v>
      </c>
      <c r="D723" s="92">
        <v>0.52</v>
      </c>
      <c r="E723" s="92">
        <v>0.5</v>
      </c>
      <c r="F723" t="s">
        <v>446</v>
      </c>
      <c r="G723" t="s">
        <v>446</v>
      </c>
      <c r="H723" t="s">
        <v>4932</v>
      </c>
      <c r="I723">
        <v>0</v>
      </c>
      <c r="J723" t="s">
        <v>97</v>
      </c>
      <c r="K723">
        <v>0</v>
      </c>
      <c r="L723">
        <v>0</v>
      </c>
      <c r="M723" t="s">
        <v>11</v>
      </c>
    </row>
    <row r="724" spans="1:13">
      <c r="A724" s="93">
        <v>110608</v>
      </c>
      <c r="B724" t="s">
        <v>1282</v>
      </c>
      <c r="C724" t="s">
        <v>4918</v>
      </c>
      <c r="D724" s="92">
        <v>0.54</v>
      </c>
      <c r="E724" s="92">
        <v>0.49</v>
      </c>
      <c r="F724" t="s">
        <v>446</v>
      </c>
      <c r="G724" t="s">
        <v>446</v>
      </c>
      <c r="H724" t="s">
        <v>4932</v>
      </c>
      <c r="I724">
        <v>0</v>
      </c>
      <c r="J724" t="s">
        <v>97</v>
      </c>
      <c r="K724">
        <v>0</v>
      </c>
      <c r="L724">
        <v>0</v>
      </c>
      <c r="M724" t="s">
        <v>11</v>
      </c>
    </row>
    <row r="725" spans="1:13">
      <c r="A725" s="93">
        <v>110635</v>
      </c>
      <c r="B725" t="s">
        <v>1283</v>
      </c>
      <c r="C725" t="s">
        <v>4921</v>
      </c>
      <c r="D725" s="92">
        <v>0.93</v>
      </c>
      <c r="E725" s="92">
        <v>0.85</v>
      </c>
      <c r="F725" t="s">
        <v>446</v>
      </c>
      <c r="G725" t="s">
        <v>446</v>
      </c>
      <c r="H725" t="s">
        <v>4932</v>
      </c>
      <c r="I725">
        <v>0</v>
      </c>
      <c r="J725" t="s">
        <v>97</v>
      </c>
      <c r="K725">
        <v>0</v>
      </c>
      <c r="L725">
        <v>0</v>
      </c>
      <c r="M725" t="s">
        <v>11</v>
      </c>
    </row>
    <row r="726" spans="1:13">
      <c r="A726" s="93">
        <v>110644</v>
      </c>
      <c r="B726" t="s">
        <v>1284</v>
      </c>
      <c r="C726" t="s">
        <v>4917</v>
      </c>
      <c r="D726" s="92">
        <v>0.87</v>
      </c>
      <c r="E726" s="92">
        <v>0.82</v>
      </c>
      <c r="F726" t="s">
        <v>446</v>
      </c>
      <c r="G726" t="s">
        <v>446</v>
      </c>
      <c r="H726" t="s">
        <v>4932</v>
      </c>
      <c r="I726">
        <v>0</v>
      </c>
      <c r="J726" t="s">
        <v>97</v>
      </c>
      <c r="K726">
        <v>0</v>
      </c>
      <c r="L726">
        <v>0</v>
      </c>
      <c r="M726" t="s">
        <v>11</v>
      </c>
    </row>
    <row r="727" spans="1:13">
      <c r="A727" s="93">
        <v>110653</v>
      </c>
      <c r="B727" t="s">
        <v>1285</v>
      </c>
      <c r="C727" t="s">
        <v>4916</v>
      </c>
      <c r="D727" s="92">
        <v>0.84</v>
      </c>
      <c r="E727" s="92">
        <v>0.77</v>
      </c>
      <c r="F727" t="s">
        <v>446</v>
      </c>
      <c r="G727" t="s">
        <v>446</v>
      </c>
      <c r="H727" t="s">
        <v>4932</v>
      </c>
      <c r="I727">
        <v>0</v>
      </c>
      <c r="J727" t="s">
        <v>97</v>
      </c>
      <c r="K727">
        <v>0</v>
      </c>
      <c r="L727">
        <v>0</v>
      </c>
      <c r="M727" t="s">
        <v>11</v>
      </c>
    </row>
    <row r="728" spans="1:13">
      <c r="A728" s="93">
        <v>110662</v>
      </c>
      <c r="B728" t="s">
        <v>1286</v>
      </c>
      <c r="C728" t="s">
        <v>4921</v>
      </c>
      <c r="D728" s="92">
        <v>0.92</v>
      </c>
      <c r="E728" s="92">
        <v>0.88</v>
      </c>
      <c r="F728" t="s">
        <v>446</v>
      </c>
      <c r="G728" t="s">
        <v>446</v>
      </c>
      <c r="H728" t="s">
        <v>4932</v>
      </c>
      <c r="I728">
        <v>0</v>
      </c>
      <c r="J728" t="s">
        <v>97</v>
      </c>
      <c r="K728">
        <v>0</v>
      </c>
      <c r="L728">
        <v>0</v>
      </c>
      <c r="M728" t="s">
        <v>11</v>
      </c>
    </row>
    <row r="729" spans="1:13">
      <c r="A729" s="93">
        <v>110671</v>
      </c>
      <c r="B729" t="s">
        <v>1287</v>
      </c>
      <c r="C729" t="s">
        <v>4920</v>
      </c>
      <c r="D729" s="92">
        <v>0.76</v>
      </c>
      <c r="E729" s="92">
        <v>0.74</v>
      </c>
      <c r="F729" t="s">
        <v>446</v>
      </c>
      <c r="G729" t="s">
        <v>446</v>
      </c>
      <c r="H729" t="s">
        <v>4932</v>
      </c>
      <c r="I729">
        <v>0</v>
      </c>
      <c r="J729" t="s">
        <v>97</v>
      </c>
      <c r="K729">
        <v>0</v>
      </c>
      <c r="L729">
        <v>0</v>
      </c>
      <c r="M729" t="s">
        <v>11</v>
      </c>
    </row>
    <row r="730" spans="1:13">
      <c r="A730" s="93">
        <v>110680</v>
      </c>
      <c r="B730" t="s">
        <v>1288</v>
      </c>
      <c r="C730" t="s">
        <v>4922</v>
      </c>
      <c r="D730" s="92">
        <v>0.89</v>
      </c>
      <c r="E730" s="92">
        <v>0.82</v>
      </c>
      <c r="F730" t="s">
        <v>446</v>
      </c>
      <c r="G730" t="s">
        <v>446</v>
      </c>
      <c r="H730" t="s">
        <v>4930</v>
      </c>
      <c r="I730">
        <v>0</v>
      </c>
      <c r="J730" t="s">
        <v>97</v>
      </c>
      <c r="K730">
        <v>0</v>
      </c>
      <c r="L730">
        <v>0</v>
      </c>
      <c r="M730" t="s">
        <v>11</v>
      </c>
    </row>
    <row r="731" spans="1:13">
      <c r="A731" s="93">
        <v>110699</v>
      </c>
      <c r="B731" t="s">
        <v>1289</v>
      </c>
      <c r="C731" t="s">
        <v>4924</v>
      </c>
      <c r="D731" s="92" t="s">
        <v>446</v>
      </c>
      <c r="E731" s="92" t="s">
        <v>446</v>
      </c>
      <c r="F731" t="s">
        <v>446</v>
      </c>
      <c r="G731" t="s">
        <v>446</v>
      </c>
      <c r="H731" t="s">
        <v>4932</v>
      </c>
      <c r="I731">
        <v>0</v>
      </c>
      <c r="J731" t="s">
        <v>97</v>
      </c>
      <c r="K731">
        <v>0</v>
      </c>
      <c r="L731">
        <v>0</v>
      </c>
      <c r="M731" t="s">
        <v>11</v>
      </c>
    </row>
    <row r="732" spans="1:13">
      <c r="A732" s="93">
        <v>110705</v>
      </c>
      <c r="B732" t="s">
        <v>1290</v>
      </c>
      <c r="C732" t="s">
        <v>4917</v>
      </c>
      <c r="D732" s="92">
        <v>0.85</v>
      </c>
      <c r="E732" s="92">
        <v>0.8100000000000001</v>
      </c>
      <c r="F732" t="s">
        <v>446</v>
      </c>
      <c r="G732" t="s">
        <v>446</v>
      </c>
      <c r="H732" t="s">
        <v>4930</v>
      </c>
      <c r="I732">
        <v>0</v>
      </c>
      <c r="J732" t="s">
        <v>97</v>
      </c>
      <c r="K732">
        <v>0</v>
      </c>
      <c r="L732">
        <v>0</v>
      </c>
      <c r="M732" t="s">
        <v>11</v>
      </c>
    </row>
    <row r="733" spans="1:13">
      <c r="A733" s="93">
        <v>110714</v>
      </c>
      <c r="B733" t="s">
        <v>1291</v>
      </c>
      <c r="C733" t="s">
        <v>4920</v>
      </c>
      <c r="D733" s="92">
        <v>0.78</v>
      </c>
      <c r="E733" s="92">
        <v>0.73</v>
      </c>
      <c r="F733" t="s">
        <v>446</v>
      </c>
      <c r="G733" t="s">
        <v>446</v>
      </c>
      <c r="H733" t="s">
        <v>4932</v>
      </c>
      <c r="I733">
        <v>0</v>
      </c>
      <c r="J733" t="s">
        <v>97</v>
      </c>
      <c r="K733">
        <v>0</v>
      </c>
      <c r="L733">
        <v>0</v>
      </c>
      <c r="M733" t="s">
        <v>11</v>
      </c>
    </row>
    <row r="734" spans="1:13">
      <c r="A734" s="93">
        <v>110778</v>
      </c>
      <c r="B734" t="s">
        <v>1292</v>
      </c>
      <c r="C734" t="s">
        <v>4924</v>
      </c>
      <c r="D734" s="92" t="s">
        <v>446</v>
      </c>
      <c r="E734" s="92" t="s">
        <v>446</v>
      </c>
      <c r="F734" t="s">
        <v>446</v>
      </c>
      <c r="G734" t="s">
        <v>446</v>
      </c>
      <c r="H734" t="s">
        <v>4932</v>
      </c>
      <c r="I734">
        <v>0</v>
      </c>
      <c r="J734" t="s">
        <v>97</v>
      </c>
      <c r="K734">
        <v>0</v>
      </c>
      <c r="L734">
        <v>0</v>
      </c>
      <c r="M734" t="s">
        <v>11</v>
      </c>
    </row>
    <row r="735" spans="1:13">
      <c r="A735" s="93">
        <v>110918</v>
      </c>
      <c r="B735" t="s">
        <v>1293</v>
      </c>
      <c r="C735" t="s">
        <v>4924</v>
      </c>
      <c r="D735" s="92" t="s">
        <v>446</v>
      </c>
      <c r="E735" s="92" t="s">
        <v>446</v>
      </c>
      <c r="F735" t="s">
        <v>446</v>
      </c>
      <c r="G735" t="s">
        <v>446</v>
      </c>
      <c r="H735" t="s">
        <v>4932</v>
      </c>
      <c r="I735">
        <v>0</v>
      </c>
      <c r="J735" t="s">
        <v>97</v>
      </c>
      <c r="K735">
        <v>0</v>
      </c>
      <c r="L735">
        <v>0</v>
      </c>
      <c r="M735" t="s">
        <v>11</v>
      </c>
    </row>
    <row r="736" spans="1:13">
      <c r="A736" s="93">
        <v>111045</v>
      </c>
      <c r="B736" t="s">
        <v>1294</v>
      </c>
      <c r="C736" t="s">
        <v>4923</v>
      </c>
      <c r="D736" s="92">
        <v>1</v>
      </c>
      <c r="E736" s="92" t="s">
        <v>446</v>
      </c>
      <c r="F736" t="s">
        <v>446</v>
      </c>
      <c r="G736" t="s">
        <v>446</v>
      </c>
      <c r="H736" t="s">
        <v>4932</v>
      </c>
      <c r="I736">
        <v>0</v>
      </c>
      <c r="J736" t="s">
        <v>97</v>
      </c>
      <c r="K736">
        <v>0</v>
      </c>
      <c r="L736">
        <v>0</v>
      </c>
      <c r="M736" t="s">
        <v>11</v>
      </c>
    </row>
    <row r="737" spans="1:13">
      <c r="A737" s="93">
        <v>111081</v>
      </c>
      <c r="B737" t="s">
        <v>1295</v>
      </c>
      <c r="C737" t="s">
        <v>4926</v>
      </c>
      <c r="D737" s="92">
        <v>0.67</v>
      </c>
      <c r="E737" s="92">
        <v>0.65</v>
      </c>
      <c r="F737" t="s">
        <v>446</v>
      </c>
      <c r="G737" t="s">
        <v>446</v>
      </c>
      <c r="H737" t="s">
        <v>4930</v>
      </c>
      <c r="I737">
        <v>0</v>
      </c>
      <c r="J737" t="s">
        <v>97</v>
      </c>
      <c r="K737">
        <v>0</v>
      </c>
      <c r="L737">
        <v>0</v>
      </c>
      <c r="M737" t="s">
        <v>11</v>
      </c>
    </row>
    <row r="738" spans="1:13">
      <c r="A738" s="93">
        <v>111188</v>
      </c>
      <c r="B738" t="s">
        <v>1296</v>
      </c>
      <c r="C738" t="s">
        <v>4918</v>
      </c>
      <c r="D738" s="92">
        <v>0.65</v>
      </c>
      <c r="E738" s="92">
        <v>0.59</v>
      </c>
      <c r="F738" t="s">
        <v>446</v>
      </c>
      <c r="G738" t="s">
        <v>446</v>
      </c>
      <c r="H738" t="s">
        <v>4932</v>
      </c>
      <c r="I738">
        <v>0</v>
      </c>
      <c r="J738" t="s">
        <v>97</v>
      </c>
      <c r="K738">
        <v>0</v>
      </c>
      <c r="L738">
        <v>0</v>
      </c>
      <c r="M738" t="s">
        <v>11</v>
      </c>
    </row>
    <row r="739" spans="1:13">
      <c r="A739" s="93">
        <v>111391</v>
      </c>
      <c r="B739" t="s">
        <v>1297</v>
      </c>
      <c r="C739" t="s">
        <v>4924</v>
      </c>
      <c r="D739" s="92" t="s">
        <v>446</v>
      </c>
      <c r="E739" s="92" t="s">
        <v>446</v>
      </c>
      <c r="F739" t="s">
        <v>446</v>
      </c>
      <c r="G739" t="s">
        <v>446</v>
      </c>
      <c r="H739" t="s">
        <v>4932</v>
      </c>
      <c r="I739">
        <v>0</v>
      </c>
      <c r="J739" t="s">
        <v>97</v>
      </c>
      <c r="K739">
        <v>0</v>
      </c>
      <c r="L739">
        <v>0</v>
      </c>
      <c r="M739" t="s">
        <v>11</v>
      </c>
    </row>
    <row r="740" spans="1:13">
      <c r="A740" s="93">
        <v>111434</v>
      </c>
      <c r="B740" t="s">
        <v>1298</v>
      </c>
      <c r="C740" t="s">
        <v>4919</v>
      </c>
      <c r="D740" s="92">
        <v>0.39</v>
      </c>
      <c r="E740" s="92">
        <v>0.32</v>
      </c>
      <c r="F740" t="s">
        <v>446</v>
      </c>
      <c r="G740" t="s">
        <v>446</v>
      </c>
      <c r="H740" t="s">
        <v>4932</v>
      </c>
      <c r="I740">
        <v>0</v>
      </c>
      <c r="J740" t="s">
        <v>97</v>
      </c>
      <c r="K740">
        <v>0</v>
      </c>
      <c r="L740">
        <v>0</v>
      </c>
      <c r="M740" t="s">
        <v>11</v>
      </c>
    </row>
    <row r="741" spans="1:13">
      <c r="A741" s="93">
        <v>111461</v>
      </c>
      <c r="B741" t="s">
        <v>1299</v>
      </c>
      <c r="C741" t="s">
        <v>4919</v>
      </c>
      <c r="D741" s="92">
        <v>0.48</v>
      </c>
      <c r="E741" s="92">
        <v>0.42</v>
      </c>
      <c r="F741" t="s">
        <v>446</v>
      </c>
      <c r="G741" t="s">
        <v>446</v>
      </c>
      <c r="H741" t="s">
        <v>4932</v>
      </c>
      <c r="I741">
        <v>0</v>
      </c>
      <c r="J741" t="s">
        <v>97</v>
      </c>
      <c r="K741">
        <v>0</v>
      </c>
      <c r="L741">
        <v>0</v>
      </c>
      <c r="M741" t="s">
        <v>11</v>
      </c>
    </row>
    <row r="742" spans="1:13">
      <c r="A742" s="93">
        <v>111513</v>
      </c>
      <c r="B742" t="s">
        <v>1300</v>
      </c>
      <c r="C742" t="s">
        <v>4926</v>
      </c>
      <c r="D742" s="92" t="s">
        <v>446</v>
      </c>
      <c r="E742" s="92" t="s">
        <v>446</v>
      </c>
      <c r="F742" t="s">
        <v>446</v>
      </c>
      <c r="G742" t="s">
        <v>446</v>
      </c>
      <c r="H742" t="s">
        <v>4931</v>
      </c>
      <c r="I742">
        <v>0</v>
      </c>
      <c r="J742" t="s">
        <v>97</v>
      </c>
      <c r="K742">
        <v>0</v>
      </c>
      <c r="L742">
        <v>0</v>
      </c>
      <c r="M742" t="s">
        <v>11</v>
      </c>
    </row>
    <row r="743" spans="1:13">
      <c r="A743" s="93">
        <v>111638</v>
      </c>
      <c r="B743" t="s">
        <v>1301</v>
      </c>
      <c r="C743" t="s">
        <v>4919</v>
      </c>
      <c r="D743" s="92">
        <v>0.34</v>
      </c>
      <c r="E743" s="92">
        <v>0.22</v>
      </c>
      <c r="F743" t="s">
        <v>446</v>
      </c>
      <c r="G743" t="s">
        <v>446</v>
      </c>
      <c r="H743" t="s">
        <v>4930</v>
      </c>
      <c r="I743">
        <v>0</v>
      </c>
      <c r="J743" t="s">
        <v>97</v>
      </c>
      <c r="K743">
        <v>0</v>
      </c>
      <c r="L743">
        <v>0</v>
      </c>
      <c r="M743" t="s">
        <v>11</v>
      </c>
    </row>
    <row r="744" spans="1:13">
      <c r="A744" s="93">
        <v>111887</v>
      </c>
      <c r="B744" t="s">
        <v>1302</v>
      </c>
      <c r="C744" t="s">
        <v>4919</v>
      </c>
      <c r="D744" s="92">
        <v>0.38</v>
      </c>
      <c r="E744" s="92">
        <v>0.36</v>
      </c>
      <c r="F744" t="s">
        <v>446</v>
      </c>
      <c r="G744" t="s">
        <v>446</v>
      </c>
      <c r="H744" t="s">
        <v>4932</v>
      </c>
      <c r="I744">
        <v>0</v>
      </c>
      <c r="J744" t="s">
        <v>97</v>
      </c>
      <c r="K744">
        <v>0</v>
      </c>
      <c r="L744">
        <v>0</v>
      </c>
      <c r="M744" t="s">
        <v>11</v>
      </c>
    </row>
    <row r="745" spans="1:13">
      <c r="A745" s="93">
        <v>111896</v>
      </c>
      <c r="B745" t="s">
        <v>1303</v>
      </c>
      <c r="C745" t="s">
        <v>4919</v>
      </c>
      <c r="D745" s="92">
        <v>0.31</v>
      </c>
      <c r="E745" s="92">
        <v>0.26</v>
      </c>
      <c r="F745" t="s">
        <v>446</v>
      </c>
      <c r="G745" t="s">
        <v>446</v>
      </c>
      <c r="H745" t="s">
        <v>4932</v>
      </c>
      <c r="I745">
        <v>0</v>
      </c>
      <c r="J745" t="s">
        <v>97</v>
      </c>
      <c r="K745">
        <v>0</v>
      </c>
      <c r="L745">
        <v>0</v>
      </c>
      <c r="M745" t="s">
        <v>11</v>
      </c>
    </row>
    <row r="746" spans="1:13">
      <c r="A746" s="93">
        <v>111920</v>
      </c>
      <c r="B746" t="s">
        <v>1304</v>
      </c>
      <c r="C746" t="s">
        <v>4919</v>
      </c>
      <c r="D746" s="92">
        <v>0.39</v>
      </c>
      <c r="E746" s="92">
        <v>0.3</v>
      </c>
      <c r="F746" t="s">
        <v>446</v>
      </c>
      <c r="G746" t="s">
        <v>446</v>
      </c>
      <c r="H746" t="s">
        <v>4932</v>
      </c>
      <c r="I746">
        <v>0</v>
      </c>
      <c r="J746" t="s">
        <v>97</v>
      </c>
      <c r="K746">
        <v>0</v>
      </c>
      <c r="L746">
        <v>0</v>
      </c>
      <c r="M746" t="s">
        <v>11</v>
      </c>
    </row>
    <row r="747" spans="1:13">
      <c r="A747" s="93">
        <v>111939</v>
      </c>
      <c r="B747" t="s">
        <v>1305</v>
      </c>
      <c r="C747" t="s">
        <v>4919</v>
      </c>
      <c r="D747" s="92">
        <v>0.33</v>
      </c>
      <c r="E747" s="92">
        <v>0.29</v>
      </c>
      <c r="F747" t="s">
        <v>446</v>
      </c>
      <c r="G747" t="s">
        <v>446</v>
      </c>
      <c r="H747" t="s">
        <v>4932</v>
      </c>
      <c r="I747">
        <v>0</v>
      </c>
      <c r="J747" t="s">
        <v>97</v>
      </c>
      <c r="K747">
        <v>0</v>
      </c>
      <c r="L747">
        <v>0</v>
      </c>
      <c r="M747" t="s">
        <v>11</v>
      </c>
    </row>
    <row r="748" spans="1:13">
      <c r="A748" s="93">
        <v>111966</v>
      </c>
      <c r="B748" t="s">
        <v>1306</v>
      </c>
      <c r="C748" t="s">
        <v>4918</v>
      </c>
      <c r="D748" s="92">
        <v>0.75</v>
      </c>
      <c r="E748" s="92">
        <v>0.75</v>
      </c>
      <c r="F748" t="s">
        <v>446</v>
      </c>
      <c r="G748" t="s">
        <v>446</v>
      </c>
      <c r="H748" t="s">
        <v>4930</v>
      </c>
      <c r="I748">
        <v>0</v>
      </c>
      <c r="J748" t="s">
        <v>97</v>
      </c>
      <c r="K748">
        <v>0</v>
      </c>
      <c r="L748">
        <v>0</v>
      </c>
      <c r="M748" t="s">
        <v>11</v>
      </c>
    </row>
    <row r="749" spans="1:13">
      <c r="A749" s="93">
        <v>112075</v>
      </c>
      <c r="B749" t="s">
        <v>1307</v>
      </c>
      <c r="C749" t="s">
        <v>4916</v>
      </c>
      <c r="D749" s="92">
        <v>0.63</v>
      </c>
      <c r="E749" s="92">
        <v>0.5600000000000001</v>
      </c>
      <c r="F749">
        <v>1030</v>
      </c>
      <c r="G749">
        <v>1145</v>
      </c>
      <c r="H749" t="s">
        <v>4930</v>
      </c>
      <c r="I749">
        <v>0</v>
      </c>
      <c r="J749" t="s">
        <v>97</v>
      </c>
      <c r="K749">
        <v>0</v>
      </c>
      <c r="L749">
        <v>0</v>
      </c>
      <c r="M749" t="s">
        <v>11</v>
      </c>
    </row>
    <row r="750" spans="1:13">
      <c r="A750" s="93">
        <v>112084</v>
      </c>
      <c r="B750" t="s">
        <v>1308</v>
      </c>
      <c r="C750" t="s">
        <v>4920</v>
      </c>
      <c r="D750" s="92">
        <v>0.46</v>
      </c>
      <c r="E750" s="92">
        <v>0.46</v>
      </c>
      <c r="F750" t="s">
        <v>446</v>
      </c>
      <c r="G750" t="s">
        <v>446</v>
      </c>
      <c r="H750" t="s">
        <v>4930</v>
      </c>
      <c r="I750">
        <v>0</v>
      </c>
      <c r="J750" t="s">
        <v>97</v>
      </c>
      <c r="K750">
        <v>0</v>
      </c>
      <c r="L750">
        <v>0</v>
      </c>
      <c r="M750" t="s">
        <v>11</v>
      </c>
    </row>
    <row r="751" spans="1:13">
      <c r="A751" s="93">
        <v>112127</v>
      </c>
      <c r="B751" t="s">
        <v>1309</v>
      </c>
      <c r="C751" t="s">
        <v>4924</v>
      </c>
      <c r="D751" s="92" t="s">
        <v>446</v>
      </c>
      <c r="E751" s="92" t="s">
        <v>446</v>
      </c>
      <c r="F751" t="s">
        <v>446</v>
      </c>
      <c r="G751" t="s">
        <v>446</v>
      </c>
      <c r="H751" t="s">
        <v>4932</v>
      </c>
      <c r="I751">
        <v>0</v>
      </c>
      <c r="J751" t="s">
        <v>97</v>
      </c>
      <c r="K751">
        <v>0</v>
      </c>
      <c r="L751">
        <v>0</v>
      </c>
      <c r="M751" t="s">
        <v>11</v>
      </c>
    </row>
    <row r="752" spans="1:13">
      <c r="A752" s="93">
        <v>112172</v>
      </c>
      <c r="B752" t="s">
        <v>1310</v>
      </c>
      <c r="C752" t="s">
        <v>4919</v>
      </c>
      <c r="D752" s="92">
        <v>0.44</v>
      </c>
      <c r="E752" s="92">
        <v>0.4</v>
      </c>
      <c r="F752" t="s">
        <v>446</v>
      </c>
      <c r="G752" t="s">
        <v>446</v>
      </c>
      <c r="H752" t="s">
        <v>4932</v>
      </c>
      <c r="I752">
        <v>0</v>
      </c>
      <c r="J752" t="s">
        <v>97</v>
      </c>
      <c r="K752">
        <v>0</v>
      </c>
      <c r="L752">
        <v>0</v>
      </c>
      <c r="M752" t="s">
        <v>11</v>
      </c>
    </row>
    <row r="753" spans="1:13">
      <c r="A753" s="93">
        <v>112190</v>
      </c>
      <c r="B753" t="s">
        <v>1311</v>
      </c>
      <c r="C753" t="s">
        <v>4919</v>
      </c>
      <c r="D753" s="92">
        <v>0.41</v>
      </c>
      <c r="E753" s="92">
        <v>0.23</v>
      </c>
      <c r="F753" t="s">
        <v>446</v>
      </c>
      <c r="G753" t="s">
        <v>446</v>
      </c>
      <c r="H753" t="s">
        <v>4932</v>
      </c>
      <c r="I753">
        <v>0</v>
      </c>
      <c r="J753" t="s">
        <v>97</v>
      </c>
      <c r="K753">
        <v>0</v>
      </c>
      <c r="L753">
        <v>0</v>
      </c>
      <c r="M753" t="s">
        <v>11</v>
      </c>
    </row>
    <row r="754" spans="1:13">
      <c r="A754" s="93">
        <v>112385</v>
      </c>
      <c r="B754" t="s">
        <v>1312</v>
      </c>
      <c r="C754" t="s">
        <v>4919</v>
      </c>
      <c r="D754" s="92">
        <v>0.32</v>
      </c>
      <c r="E754" s="92">
        <v>0.23</v>
      </c>
      <c r="F754" t="s">
        <v>446</v>
      </c>
      <c r="G754" t="s">
        <v>446</v>
      </c>
      <c r="H754" t="s">
        <v>4932</v>
      </c>
      <c r="I754">
        <v>0</v>
      </c>
      <c r="J754" t="s">
        <v>97</v>
      </c>
      <c r="K754">
        <v>0</v>
      </c>
      <c r="L754">
        <v>0</v>
      </c>
      <c r="M754" t="s">
        <v>11</v>
      </c>
    </row>
    <row r="755" spans="1:13">
      <c r="A755" s="93">
        <v>112394</v>
      </c>
      <c r="B755" t="s">
        <v>1313</v>
      </c>
      <c r="C755" t="s">
        <v>4920</v>
      </c>
      <c r="D755" s="92">
        <v>0.47</v>
      </c>
      <c r="E755" s="92">
        <v>0.45</v>
      </c>
      <c r="F755" t="s">
        <v>446</v>
      </c>
      <c r="G755" t="s">
        <v>446</v>
      </c>
      <c r="H755" t="s">
        <v>4930</v>
      </c>
      <c r="I755">
        <v>0</v>
      </c>
      <c r="J755" t="s">
        <v>97</v>
      </c>
      <c r="K755">
        <v>0</v>
      </c>
      <c r="L755">
        <v>0</v>
      </c>
      <c r="M755" t="s">
        <v>11</v>
      </c>
    </row>
    <row r="756" spans="1:13">
      <c r="A756" s="93">
        <v>112525</v>
      </c>
      <c r="B756" t="s">
        <v>1314</v>
      </c>
      <c r="C756" t="s">
        <v>4924</v>
      </c>
      <c r="D756" s="92" t="s">
        <v>446</v>
      </c>
      <c r="E756" s="92" t="s">
        <v>446</v>
      </c>
      <c r="F756" t="s">
        <v>446</v>
      </c>
      <c r="G756" t="s">
        <v>446</v>
      </c>
      <c r="H756" t="s">
        <v>4932</v>
      </c>
      <c r="I756">
        <v>0</v>
      </c>
      <c r="J756" t="s">
        <v>97</v>
      </c>
      <c r="K756">
        <v>0</v>
      </c>
      <c r="L756">
        <v>0</v>
      </c>
      <c r="M756" t="s">
        <v>11</v>
      </c>
    </row>
    <row r="757" spans="1:13">
      <c r="A757" s="93">
        <v>112561</v>
      </c>
      <c r="B757" t="s">
        <v>1315</v>
      </c>
      <c r="C757" t="s">
        <v>4919</v>
      </c>
      <c r="D757" s="92">
        <v>0.38</v>
      </c>
      <c r="E757" s="92">
        <v>0.34</v>
      </c>
      <c r="F757" t="s">
        <v>446</v>
      </c>
      <c r="G757" t="s">
        <v>446</v>
      </c>
      <c r="H757" t="s">
        <v>4932</v>
      </c>
      <c r="I757">
        <v>0</v>
      </c>
      <c r="J757" t="s">
        <v>97</v>
      </c>
      <c r="K757">
        <v>0</v>
      </c>
      <c r="L757">
        <v>0</v>
      </c>
      <c r="M757" t="s">
        <v>11</v>
      </c>
    </row>
    <row r="758" spans="1:13">
      <c r="A758" s="93">
        <v>112570</v>
      </c>
      <c r="B758" t="s">
        <v>1316</v>
      </c>
      <c r="C758" t="s">
        <v>4923</v>
      </c>
      <c r="D758" s="92">
        <v>0.48</v>
      </c>
      <c r="E758" s="92">
        <v>0.3</v>
      </c>
      <c r="F758" t="s">
        <v>446</v>
      </c>
      <c r="G758" t="s">
        <v>446</v>
      </c>
      <c r="H758" t="s">
        <v>4930</v>
      </c>
      <c r="I758">
        <v>0</v>
      </c>
      <c r="J758" t="s">
        <v>97</v>
      </c>
      <c r="K758">
        <v>0</v>
      </c>
      <c r="L758">
        <v>0</v>
      </c>
      <c r="M758" t="s">
        <v>11</v>
      </c>
    </row>
    <row r="759" spans="1:13">
      <c r="A759" s="93">
        <v>112686</v>
      </c>
      <c r="B759" t="s">
        <v>1317</v>
      </c>
      <c r="C759" t="s">
        <v>4919</v>
      </c>
      <c r="D759" s="92">
        <v>0.22</v>
      </c>
      <c r="E759" s="92">
        <v>0.22</v>
      </c>
      <c r="F759" t="s">
        <v>446</v>
      </c>
      <c r="G759" t="s">
        <v>446</v>
      </c>
      <c r="H759" t="s">
        <v>4932</v>
      </c>
      <c r="I759">
        <v>0</v>
      </c>
      <c r="J759" t="s">
        <v>97</v>
      </c>
      <c r="K759">
        <v>0</v>
      </c>
      <c r="L759">
        <v>0</v>
      </c>
      <c r="M759" t="s">
        <v>11</v>
      </c>
    </row>
    <row r="760" spans="1:13">
      <c r="A760" s="93">
        <v>112826</v>
      </c>
      <c r="B760" t="s">
        <v>1318</v>
      </c>
      <c r="C760" t="s">
        <v>4919</v>
      </c>
      <c r="D760" s="92">
        <v>0.28</v>
      </c>
      <c r="E760" s="92">
        <v>0.24</v>
      </c>
      <c r="F760" t="s">
        <v>446</v>
      </c>
      <c r="G760" t="s">
        <v>446</v>
      </c>
      <c r="H760" t="s">
        <v>4932</v>
      </c>
      <c r="I760">
        <v>0</v>
      </c>
      <c r="J760" t="s">
        <v>97</v>
      </c>
      <c r="K760">
        <v>0</v>
      </c>
      <c r="L760">
        <v>0</v>
      </c>
      <c r="M760" t="s">
        <v>11</v>
      </c>
    </row>
    <row r="761" spans="1:13">
      <c r="A761" s="93">
        <v>113096</v>
      </c>
      <c r="B761" t="s">
        <v>1319</v>
      </c>
      <c r="C761" t="s">
        <v>4919</v>
      </c>
      <c r="D761" s="92">
        <v>0.34</v>
      </c>
      <c r="E761" s="92">
        <v>0.27</v>
      </c>
      <c r="F761" t="s">
        <v>446</v>
      </c>
      <c r="G761" t="s">
        <v>446</v>
      </c>
      <c r="H761" t="s">
        <v>4932</v>
      </c>
      <c r="I761">
        <v>0</v>
      </c>
      <c r="J761" t="s">
        <v>97</v>
      </c>
      <c r="K761">
        <v>0</v>
      </c>
      <c r="L761">
        <v>0</v>
      </c>
      <c r="M761" t="s">
        <v>11</v>
      </c>
    </row>
    <row r="762" spans="1:13">
      <c r="A762" s="93">
        <v>113111</v>
      </c>
      <c r="B762" t="s">
        <v>1320</v>
      </c>
      <c r="C762" t="s">
        <v>4919</v>
      </c>
      <c r="D762" s="92">
        <v>0.35</v>
      </c>
      <c r="E762" s="92">
        <v>0.31</v>
      </c>
      <c r="F762" t="s">
        <v>446</v>
      </c>
      <c r="G762" t="s">
        <v>446</v>
      </c>
      <c r="H762" t="s">
        <v>4932</v>
      </c>
      <c r="I762">
        <v>0</v>
      </c>
      <c r="J762" t="s">
        <v>97</v>
      </c>
      <c r="K762">
        <v>0</v>
      </c>
      <c r="L762">
        <v>0</v>
      </c>
      <c r="M762" t="s">
        <v>11</v>
      </c>
    </row>
    <row r="763" spans="1:13">
      <c r="A763" s="93">
        <v>113193</v>
      </c>
      <c r="B763" t="s">
        <v>1321</v>
      </c>
      <c r="C763" t="s">
        <v>4919</v>
      </c>
      <c r="D763" s="92">
        <v>0.45</v>
      </c>
      <c r="E763" s="92">
        <v>0.4</v>
      </c>
      <c r="F763" t="s">
        <v>446</v>
      </c>
      <c r="G763" t="s">
        <v>446</v>
      </c>
      <c r="H763" t="s">
        <v>4932</v>
      </c>
      <c r="I763">
        <v>0</v>
      </c>
      <c r="J763" t="s">
        <v>97</v>
      </c>
      <c r="K763">
        <v>0</v>
      </c>
      <c r="L763">
        <v>0</v>
      </c>
      <c r="M763" t="s">
        <v>11</v>
      </c>
    </row>
    <row r="764" spans="1:13">
      <c r="A764" s="93">
        <v>113218</v>
      </c>
      <c r="B764" t="s">
        <v>1322</v>
      </c>
      <c r="C764" t="s">
        <v>4919</v>
      </c>
      <c r="D764" s="92">
        <v>0.37</v>
      </c>
      <c r="E764" s="92">
        <v>0.33</v>
      </c>
      <c r="F764" t="s">
        <v>446</v>
      </c>
      <c r="G764" t="s">
        <v>446</v>
      </c>
      <c r="H764" t="s">
        <v>4932</v>
      </c>
      <c r="I764">
        <v>0</v>
      </c>
      <c r="J764" t="s">
        <v>97</v>
      </c>
      <c r="K764">
        <v>0</v>
      </c>
      <c r="L764">
        <v>0</v>
      </c>
      <c r="M764" t="s">
        <v>11</v>
      </c>
    </row>
    <row r="765" spans="1:13">
      <c r="A765" s="93">
        <v>113236</v>
      </c>
      <c r="B765" t="s">
        <v>1323</v>
      </c>
      <c r="C765" t="s">
        <v>4923</v>
      </c>
      <c r="D765" s="92" t="s">
        <v>446</v>
      </c>
      <c r="E765" s="92" t="s">
        <v>446</v>
      </c>
      <c r="F765" t="s">
        <v>446</v>
      </c>
      <c r="G765" t="s">
        <v>446</v>
      </c>
      <c r="H765" t="s">
        <v>4932</v>
      </c>
      <c r="I765">
        <v>0</v>
      </c>
      <c r="J765" t="s">
        <v>97</v>
      </c>
      <c r="K765">
        <v>0</v>
      </c>
      <c r="L765">
        <v>0</v>
      </c>
      <c r="M765" t="s">
        <v>11</v>
      </c>
    </row>
    <row r="766" spans="1:13">
      <c r="A766" s="93">
        <v>113333</v>
      </c>
      <c r="B766" t="s">
        <v>1324</v>
      </c>
      <c r="C766" t="s">
        <v>4919</v>
      </c>
      <c r="D766" s="92">
        <v>0.71</v>
      </c>
      <c r="E766" s="92">
        <v>0.51</v>
      </c>
      <c r="F766" t="s">
        <v>446</v>
      </c>
      <c r="G766" t="s">
        <v>446</v>
      </c>
      <c r="H766" t="s">
        <v>4932</v>
      </c>
      <c r="I766">
        <v>0</v>
      </c>
      <c r="J766" t="s">
        <v>97</v>
      </c>
      <c r="K766">
        <v>0</v>
      </c>
      <c r="L766">
        <v>0</v>
      </c>
      <c r="M766" t="s">
        <v>11</v>
      </c>
    </row>
    <row r="767" spans="1:13">
      <c r="A767" s="93">
        <v>113537</v>
      </c>
      <c r="B767" t="s">
        <v>1325</v>
      </c>
      <c r="C767" t="s">
        <v>4923</v>
      </c>
      <c r="D767" s="92" t="s">
        <v>446</v>
      </c>
      <c r="E767" s="92" t="s">
        <v>446</v>
      </c>
      <c r="F767" t="s">
        <v>446</v>
      </c>
      <c r="G767" t="s">
        <v>446</v>
      </c>
      <c r="H767" t="s">
        <v>4932</v>
      </c>
      <c r="I767">
        <v>0</v>
      </c>
      <c r="J767" t="s">
        <v>97</v>
      </c>
      <c r="K767">
        <v>0</v>
      </c>
      <c r="L767">
        <v>0</v>
      </c>
      <c r="M767" t="s">
        <v>11</v>
      </c>
    </row>
    <row r="768" spans="1:13">
      <c r="A768" s="93">
        <v>113573</v>
      </c>
      <c r="B768" t="s">
        <v>1326</v>
      </c>
      <c r="C768" t="s">
        <v>4919</v>
      </c>
      <c r="D768" s="92">
        <v>0.32</v>
      </c>
      <c r="E768" s="92">
        <v>0.3</v>
      </c>
      <c r="F768" t="s">
        <v>446</v>
      </c>
      <c r="G768" t="s">
        <v>446</v>
      </c>
      <c r="H768" t="s">
        <v>4932</v>
      </c>
      <c r="I768">
        <v>0</v>
      </c>
      <c r="J768" t="s">
        <v>97</v>
      </c>
      <c r="K768">
        <v>0</v>
      </c>
      <c r="L768">
        <v>0</v>
      </c>
      <c r="M768" t="s">
        <v>11</v>
      </c>
    </row>
    <row r="769" spans="1:13">
      <c r="A769" s="93">
        <v>113582</v>
      </c>
      <c r="B769" t="s">
        <v>1327</v>
      </c>
      <c r="C769" t="s">
        <v>4924</v>
      </c>
      <c r="D769" s="92">
        <v>0.5</v>
      </c>
      <c r="E769" s="92">
        <v>0.38</v>
      </c>
      <c r="F769" t="s">
        <v>446</v>
      </c>
      <c r="G769" t="s">
        <v>446</v>
      </c>
      <c r="H769" t="s">
        <v>4932</v>
      </c>
      <c r="I769">
        <v>0</v>
      </c>
      <c r="J769" t="s">
        <v>97</v>
      </c>
      <c r="K769">
        <v>0</v>
      </c>
      <c r="L769">
        <v>0</v>
      </c>
      <c r="M769" t="s">
        <v>11</v>
      </c>
    </row>
    <row r="770" spans="1:13">
      <c r="A770" s="93">
        <v>113634</v>
      </c>
      <c r="B770" t="s">
        <v>1328</v>
      </c>
      <c r="C770" t="s">
        <v>4919</v>
      </c>
      <c r="D770" s="92">
        <v>0.52</v>
      </c>
      <c r="E770" s="92">
        <v>0.32</v>
      </c>
      <c r="F770" t="s">
        <v>446</v>
      </c>
      <c r="G770" t="s">
        <v>446</v>
      </c>
      <c r="H770" t="s">
        <v>4932</v>
      </c>
      <c r="I770">
        <v>0</v>
      </c>
      <c r="J770" t="s">
        <v>97</v>
      </c>
      <c r="K770">
        <v>0</v>
      </c>
      <c r="L770">
        <v>0</v>
      </c>
      <c r="M770" t="s">
        <v>11</v>
      </c>
    </row>
    <row r="771" spans="1:13">
      <c r="A771" s="93">
        <v>113704</v>
      </c>
      <c r="B771" t="s">
        <v>1329</v>
      </c>
      <c r="C771" t="s">
        <v>4924</v>
      </c>
      <c r="D771" s="92" t="s">
        <v>446</v>
      </c>
      <c r="E771" s="92" t="s">
        <v>446</v>
      </c>
      <c r="F771" t="s">
        <v>446</v>
      </c>
      <c r="G771" t="s">
        <v>446</v>
      </c>
      <c r="H771" t="s">
        <v>4932</v>
      </c>
      <c r="I771">
        <v>0</v>
      </c>
      <c r="J771" t="s">
        <v>97</v>
      </c>
      <c r="K771">
        <v>0</v>
      </c>
      <c r="L771">
        <v>0</v>
      </c>
      <c r="M771" t="s">
        <v>11</v>
      </c>
    </row>
    <row r="772" spans="1:13">
      <c r="A772" s="93">
        <v>114114</v>
      </c>
      <c r="B772" t="s">
        <v>1330</v>
      </c>
      <c r="C772" t="s">
        <v>4924</v>
      </c>
      <c r="D772" s="92" t="s">
        <v>446</v>
      </c>
      <c r="E772" s="92" t="s">
        <v>446</v>
      </c>
      <c r="F772" t="s">
        <v>446</v>
      </c>
      <c r="G772" t="s">
        <v>446</v>
      </c>
      <c r="H772" t="s">
        <v>4932</v>
      </c>
      <c r="I772">
        <v>0</v>
      </c>
      <c r="J772" t="s">
        <v>97</v>
      </c>
      <c r="K772">
        <v>0</v>
      </c>
      <c r="L772">
        <v>0</v>
      </c>
      <c r="M772" t="s">
        <v>11</v>
      </c>
    </row>
    <row r="773" spans="1:13">
      <c r="A773" s="93">
        <v>114123</v>
      </c>
      <c r="B773" t="s">
        <v>1331</v>
      </c>
      <c r="C773" t="s">
        <v>4923</v>
      </c>
      <c r="D773" s="92" t="s">
        <v>446</v>
      </c>
      <c r="E773" s="92" t="s">
        <v>446</v>
      </c>
      <c r="F773" t="s">
        <v>446</v>
      </c>
      <c r="G773" t="s">
        <v>446</v>
      </c>
      <c r="H773" t="s">
        <v>4932</v>
      </c>
      <c r="I773">
        <v>0</v>
      </c>
      <c r="J773" t="s">
        <v>97</v>
      </c>
      <c r="K773">
        <v>0</v>
      </c>
      <c r="L773">
        <v>0</v>
      </c>
      <c r="M773" t="s">
        <v>11</v>
      </c>
    </row>
    <row r="774" spans="1:13">
      <c r="A774" s="93">
        <v>114266</v>
      </c>
      <c r="B774" t="s">
        <v>1332</v>
      </c>
      <c r="C774" t="s">
        <v>4919</v>
      </c>
      <c r="D774" s="92">
        <v>0.35</v>
      </c>
      <c r="E774" s="92">
        <v>0.26</v>
      </c>
      <c r="F774" t="s">
        <v>446</v>
      </c>
      <c r="G774" t="s">
        <v>446</v>
      </c>
      <c r="H774" t="s">
        <v>4932</v>
      </c>
      <c r="I774">
        <v>0</v>
      </c>
      <c r="J774" t="s">
        <v>97</v>
      </c>
      <c r="K774">
        <v>0</v>
      </c>
      <c r="L774">
        <v>0</v>
      </c>
      <c r="M774" t="s">
        <v>11</v>
      </c>
    </row>
    <row r="775" spans="1:13">
      <c r="A775" s="93">
        <v>114354</v>
      </c>
      <c r="B775" t="s">
        <v>1333</v>
      </c>
      <c r="C775" t="s">
        <v>4924</v>
      </c>
      <c r="D775" s="92" t="s">
        <v>446</v>
      </c>
      <c r="E775" s="92" t="s">
        <v>446</v>
      </c>
      <c r="F775" t="s">
        <v>446</v>
      </c>
      <c r="G775" t="s">
        <v>446</v>
      </c>
      <c r="H775" t="s">
        <v>4930</v>
      </c>
      <c r="I775">
        <v>0</v>
      </c>
      <c r="J775" t="s">
        <v>97</v>
      </c>
      <c r="K775">
        <v>0</v>
      </c>
      <c r="L775">
        <v>0</v>
      </c>
      <c r="M775" t="s">
        <v>11</v>
      </c>
    </row>
    <row r="776" spans="1:13">
      <c r="A776" s="93">
        <v>114390</v>
      </c>
      <c r="B776" t="s">
        <v>1334</v>
      </c>
      <c r="C776" t="s">
        <v>4924</v>
      </c>
      <c r="D776" s="92" t="s">
        <v>446</v>
      </c>
      <c r="E776" s="92" t="s">
        <v>446</v>
      </c>
      <c r="F776" t="s">
        <v>446</v>
      </c>
      <c r="G776" t="s">
        <v>446</v>
      </c>
      <c r="H776" t="s">
        <v>4930</v>
      </c>
      <c r="I776">
        <v>0</v>
      </c>
      <c r="J776" t="s">
        <v>97</v>
      </c>
      <c r="K776">
        <v>0</v>
      </c>
      <c r="L776">
        <v>0</v>
      </c>
      <c r="M776" t="s">
        <v>11</v>
      </c>
    </row>
    <row r="777" spans="1:13">
      <c r="A777" s="93">
        <v>114433</v>
      </c>
      <c r="B777" t="s">
        <v>1335</v>
      </c>
      <c r="C777" t="s">
        <v>4923</v>
      </c>
      <c r="D777" s="92" t="s">
        <v>446</v>
      </c>
      <c r="E777" s="92" t="s">
        <v>446</v>
      </c>
      <c r="F777" t="s">
        <v>446</v>
      </c>
      <c r="G777" t="s">
        <v>446</v>
      </c>
      <c r="H777" t="s">
        <v>4932</v>
      </c>
      <c r="I777">
        <v>0</v>
      </c>
      <c r="J777" t="s">
        <v>97</v>
      </c>
      <c r="K777">
        <v>0</v>
      </c>
      <c r="L777">
        <v>0</v>
      </c>
      <c r="M777" t="s">
        <v>11</v>
      </c>
    </row>
    <row r="778" spans="1:13">
      <c r="A778" s="93">
        <v>114549</v>
      </c>
      <c r="B778" t="s">
        <v>1336</v>
      </c>
      <c r="C778" t="s">
        <v>4924</v>
      </c>
      <c r="D778" s="92" t="s">
        <v>446</v>
      </c>
      <c r="E778" s="92" t="s">
        <v>446</v>
      </c>
      <c r="F778" t="s">
        <v>446</v>
      </c>
      <c r="G778" t="s">
        <v>446</v>
      </c>
      <c r="H778" t="s">
        <v>4932</v>
      </c>
      <c r="I778">
        <v>0</v>
      </c>
      <c r="J778" t="s">
        <v>97</v>
      </c>
      <c r="K778">
        <v>0</v>
      </c>
      <c r="L778">
        <v>0</v>
      </c>
      <c r="M778" t="s">
        <v>11</v>
      </c>
    </row>
    <row r="779" spans="1:13">
      <c r="A779" s="93">
        <v>114585</v>
      </c>
      <c r="B779" t="s">
        <v>1337</v>
      </c>
      <c r="C779" t="s">
        <v>4924</v>
      </c>
      <c r="D779" s="92" t="s">
        <v>446</v>
      </c>
      <c r="E779" s="92" t="s">
        <v>446</v>
      </c>
      <c r="F779" t="s">
        <v>446</v>
      </c>
      <c r="G779" t="s">
        <v>446</v>
      </c>
      <c r="H779" t="s">
        <v>4932</v>
      </c>
      <c r="I779">
        <v>0</v>
      </c>
      <c r="J779" t="s">
        <v>97</v>
      </c>
      <c r="K779">
        <v>0</v>
      </c>
      <c r="L779">
        <v>0</v>
      </c>
      <c r="M779" t="s">
        <v>11</v>
      </c>
    </row>
    <row r="780" spans="1:13">
      <c r="A780" s="93">
        <v>114716</v>
      </c>
      <c r="B780" t="s">
        <v>1338</v>
      </c>
      <c r="C780" t="s">
        <v>4923</v>
      </c>
      <c r="D780" s="92" t="s">
        <v>446</v>
      </c>
      <c r="E780" s="92" t="s">
        <v>446</v>
      </c>
      <c r="F780" t="s">
        <v>446</v>
      </c>
      <c r="G780" t="s">
        <v>446</v>
      </c>
      <c r="H780" t="s">
        <v>4932</v>
      </c>
      <c r="I780">
        <v>0</v>
      </c>
      <c r="J780" t="s">
        <v>97</v>
      </c>
      <c r="K780">
        <v>0</v>
      </c>
      <c r="L780">
        <v>0</v>
      </c>
      <c r="M780" t="s">
        <v>11</v>
      </c>
    </row>
    <row r="781" spans="1:13">
      <c r="A781" s="93">
        <v>114734</v>
      </c>
      <c r="B781" t="s">
        <v>1339</v>
      </c>
      <c r="C781" t="s">
        <v>4924</v>
      </c>
      <c r="D781" s="92" t="s">
        <v>446</v>
      </c>
      <c r="E781" s="92" t="s">
        <v>446</v>
      </c>
      <c r="F781" t="s">
        <v>446</v>
      </c>
      <c r="G781" t="s">
        <v>446</v>
      </c>
      <c r="H781" t="s">
        <v>4932</v>
      </c>
      <c r="I781">
        <v>0</v>
      </c>
      <c r="J781" t="s">
        <v>97</v>
      </c>
      <c r="K781">
        <v>0</v>
      </c>
      <c r="L781">
        <v>0</v>
      </c>
      <c r="M781" t="s">
        <v>11</v>
      </c>
    </row>
    <row r="782" spans="1:13">
      <c r="A782" s="93">
        <v>114813</v>
      </c>
      <c r="B782" t="s">
        <v>1340</v>
      </c>
      <c r="C782" t="s">
        <v>4920</v>
      </c>
      <c r="D782" s="92">
        <v>0.67</v>
      </c>
      <c r="E782" s="92">
        <v>0.64</v>
      </c>
      <c r="F782">
        <v>970</v>
      </c>
      <c r="G782">
        <v>1105</v>
      </c>
      <c r="H782" t="s">
        <v>4931</v>
      </c>
      <c r="I782">
        <v>0</v>
      </c>
      <c r="J782" t="s">
        <v>97</v>
      </c>
      <c r="K782">
        <v>0</v>
      </c>
      <c r="L782">
        <v>0</v>
      </c>
      <c r="M782" t="s">
        <v>11</v>
      </c>
    </row>
    <row r="783" spans="1:13">
      <c r="A783" s="93">
        <v>114840</v>
      </c>
      <c r="B783" t="s">
        <v>1341</v>
      </c>
      <c r="C783" t="s">
        <v>4924</v>
      </c>
      <c r="D783" s="92" t="s">
        <v>446</v>
      </c>
      <c r="E783" s="92" t="s">
        <v>446</v>
      </c>
      <c r="F783" t="s">
        <v>446</v>
      </c>
      <c r="G783" t="s">
        <v>446</v>
      </c>
      <c r="H783" t="s">
        <v>4932</v>
      </c>
      <c r="I783">
        <v>0</v>
      </c>
      <c r="J783" t="s">
        <v>97</v>
      </c>
      <c r="K783">
        <v>0</v>
      </c>
      <c r="L783">
        <v>0</v>
      </c>
      <c r="M783" t="s">
        <v>11</v>
      </c>
    </row>
    <row r="784" spans="1:13">
      <c r="A784" s="93">
        <v>114938</v>
      </c>
      <c r="B784" t="s">
        <v>1342</v>
      </c>
      <c r="C784" t="s">
        <v>4919</v>
      </c>
      <c r="D784" s="92">
        <v>0.38</v>
      </c>
      <c r="E784" s="92">
        <v>0.36</v>
      </c>
      <c r="F784" t="s">
        <v>446</v>
      </c>
      <c r="G784" t="s">
        <v>446</v>
      </c>
      <c r="H784" t="s">
        <v>4932</v>
      </c>
      <c r="I784">
        <v>0</v>
      </c>
      <c r="J784" t="s">
        <v>97</v>
      </c>
      <c r="K784">
        <v>0</v>
      </c>
      <c r="L784">
        <v>0</v>
      </c>
      <c r="M784" t="s">
        <v>11</v>
      </c>
    </row>
    <row r="785" spans="1:13">
      <c r="A785" s="93">
        <v>115001</v>
      </c>
      <c r="B785" t="s">
        <v>879</v>
      </c>
      <c r="C785" t="s">
        <v>4919</v>
      </c>
      <c r="D785" s="92">
        <v>0.43</v>
      </c>
      <c r="E785" s="92">
        <v>0.3</v>
      </c>
      <c r="F785" t="s">
        <v>446</v>
      </c>
      <c r="G785" t="s">
        <v>446</v>
      </c>
      <c r="H785" t="s">
        <v>4932</v>
      </c>
      <c r="I785">
        <v>0</v>
      </c>
      <c r="J785" t="s">
        <v>97</v>
      </c>
      <c r="K785">
        <v>0</v>
      </c>
      <c r="L785">
        <v>0</v>
      </c>
      <c r="M785" t="s">
        <v>11</v>
      </c>
    </row>
    <row r="786" spans="1:13">
      <c r="A786" s="93">
        <v>115010</v>
      </c>
      <c r="B786" t="s">
        <v>1343</v>
      </c>
      <c r="C786" t="s">
        <v>4923</v>
      </c>
      <c r="D786" s="92" t="s">
        <v>446</v>
      </c>
      <c r="E786" s="92" t="s">
        <v>446</v>
      </c>
      <c r="F786" t="s">
        <v>446</v>
      </c>
      <c r="G786" t="s">
        <v>446</v>
      </c>
      <c r="H786" t="s">
        <v>4930</v>
      </c>
      <c r="I786">
        <v>0</v>
      </c>
      <c r="J786" t="s">
        <v>97</v>
      </c>
      <c r="K786">
        <v>0</v>
      </c>
      <c r="L786">
        <v>0</v>
      </c>
      <c r="M786" t="s">
        <v>11</v>
      </c>
    </row>
    <row r="787" spans="1:13">
      <c r="A787" s="93">
        <v>115083</v>
      </c>
      <c r="B787" t="s">
        <v>1344</v>
      </c>
      <c r="C787" t="s">
        <v>4920</v>
      </c>
      <c r="D787" s="92" t="s">
        <v>446</v>
      </c>
      <c r="E787" s="92" t="s">
        <v>446</v>
      </c>
      <c r="F787" t="s">
        <v>446</v>
      </c>
      <c r="G787" t="s">
        <v>446</v>
      </c>
      <c r="H787" t="s">
        <v>4932</v>
      </c>
      <c r="I787">
        <v>0</v>
      </c>
      <c r="J787" t="s">
        <v>97</v>
      </c>
      <c r="K787">
        <v>0</v>
      </c>
      <c r="L787">
        <v>0</v>
      </c>
      <c r="M787" t="s">
        <v>11</v>
      </c>
    </row>
    <row r="788" spans="1:13">
      <c r="A788" s="93">
        <v>115126</v>
      </c>
      <c r="B788" t="s">
        <v>1345</v>
      </c>
      <c r="C788" t="s">
        <v>4919</v>
      </c>
      <c r="D788" s="92">
        <v>0.46</v>
      </c>
      <c r="E788" s="92">
        <v>0.39</v>
      </c>
      <c r="F788" t="s">
        <v>446</v>
      </c>
      <c r="G788" t="s">
        <v>446</v>
      </c>
      <c r="H788" t="s">
        <v>4932</v>
      </c>
      <c r="I788">
        <v>0</v>
      </c>
      <c r="J788" t="s">
        <v>97</v>
      </c>
      <c r="K788">
        <v>0</v>
      </c>
      <c r="L788">
        <v>0</v>
      </c>
      <c r="M788" t="s">
        <v>11</v>
      </c>
    </row>
    <row r="789" spans="1:13">
      <c r="A789" s="93">
        <v>115214</v>
      </c>
      <c r="B789" t="s">
        <v>1346</v>
      </c>
      <c r="C789" t="s">
        <v>4924</v>
      </c>
      <c r="D789" s="92" t="s">
        <v>446</v>
      </c>
      <c r="E789" s="92" t="s">
        <v>446</v>
      </c>
      <c r="F789" t="s">
        <v>446</v>
      </c>
      <c r="G789" t="s">
        <v>446</v>
      </c>
      <c r="H789" t="s">
        <v>4932</v>
      </c>
      <c r="I789">
        <v>0</v>
      </c>
      <c r="J789" t="s">
        <v>97</v>
      </c>
      <c r="K789">
        <v>0</v>
      </c>
      <c r="L789">
        <v>0</v>
      </c>
      <c r="M789" t="s">
        <v>11</v>
      </c>
    </row>
    <row r="790" spans="1:13">
      <c r="A790" s="93">
        <v>115393</v>
      </c>
      <c r="B790" t="s">
        <v>1347</v>
      </c>
      <c r="C790" t="s">
        <v>4919</v>
      </c>
      <c r="D790" s="92">
        <v>0.38</v>
      </c>
      <c r="E790" s="92">
        <v>0.36</v>
      </c>
      <c r="F790" t="s">
        <v>446</v>
      </c>
      <c r="G790" t="s">
        <v>446</v>
      </c>
      <c r="H790" t="s">
        <v>4932</v>
      </c>
      <c r="I790">
        <v>0</v>
      </c>
      <c r="J790" t="s">
        <v>97</v>
      </c>
      <c r="K790">
        <v>0</v>
      </c>
      <c r="L790">
        <v>0</v>
      </c>
      <c r="M790" t="s">
        <v>11</v>
      </c>
    </row>
    <row r="791" spans="1:13">
      <c r="A791" s="93">
        <v>115409</v>
      </c>
      <c r="B791" t="s">
        <v>1348</v>
      </c>
      <c r="C791" t="s">
        <v>4921</v>
      </c>
      <c r="D791" s="92">
        <v>0.93</v>
      </c>
      <c r="E791" s="92">
        <v>0.87</v>
      </c>
      <c r="F791">
        <v>1480</v>
      </c>
      <c r="G791">
        <v>1520</v>
      </c>
      <c r="H791" t="s">
        <v>4930</v>
      </c>
      <c r="I791">
        <v>0</v>
      </c>
      <c r="J791" t="s">
        <v>97</v>
      </c>
      <c r="K791">
        <v>0</v>
      </c>
      <c r="L791">
        <v>0</v>
      </c>
      <c r="M791" t="s">
        <v>11</v>
      </c>
    </row>
    <row r="792" spans="1:13">
      <c r="A792" s="93">
        <v>115746</v>
      </c>
      <c r="B792" t="s">
        <v>1349</v>
      </c>
      <c r="C792" t="s">
        <v>4924</v>
      </c>
      <c r="D792" s="92" t="s">
        <v>446</v>
      </c>
      <c r="E792" s="92" t="s">
        <v>446</v>
      </c>
      <c r="F792" t="s">
        <v>446</v>
      </c>
      <c r="G792" t="s">
        <v>446</v>
      </c>
      <c r="H792" t="s">
        <v>4932</v>
      </c>
      <c r="I792">
        <v>0</v>
      </c>
      <c r="J792" t="s">
        <v>97</v>
      </c>
      <c r="K792">
        <v>0</v>
      </c>
      <c r="L792">
        <v>0</v>
      </c>
      <c r="M792" t="s">
        <v>11</v>
      </c>
    </row>
    <row r="793" spans="1:13">
      <c r="A793" s="93">
        <v>115755</v>
      </c>
      <c r="B793" t="s">
        <v>1350</v>
      </c>
      <c r="C793" t="s">
        <v>4920</v>
      </c>
      <c r="D793" s="92">
        <v>0.48</v>
      </c>
      <c r="E793" s="92">
        <v>0.43</v>
      </c>
      <c r="F793" t="s">
        <v>446</v>
      </c>
      <c r="G793" t="s">
        <v>446</v>
      </c>
      <c r="H793" t="s">
        <v>4932</v>
      </c>
      <c r="I793">
        <v>0</v>
      </c>
      <c r="J793" t="s">
        <v>97</v>
      </c>
      <c r="K793">
        <v>0</v>
      </c>
      <c r="L793">
        <v>0</v>
      </c>
      <c r="M793" t="s">
        <v>11</v>
      </c>
    </row>
    <row r="794" spans="1:13">
      <c r="A794" s="93">
        <v>115773</v>
      </c>
      <c r="B794" t="s">
        <v>1351</v>
      </c>
      <c r="C794" t="s">
        <v>4920</v>
      </c>
      <c r="D794" s="92">
        <v>1</v>
      </c>
      <c r="E794" s="92">
        <v>1</v>
      </c>
      <c r="F794" t="s">
        <v>446</v>
      </c>
      <c r="G794" t="s">
        <v>446</v>
      </c>
      <c r="H794" t="s">
        <v>4931</v>
      </c>
      <c r="I794">
        <v>0</v>
      </c>
      <c r="J794" t="s">
        <v>97</v>
      </c>
      <c r="K794">
        <v>0</v>
      </c>
      <c r="L794">
        <v>0</v>
      </c>
      <c r="M794" t="s">
        <v>11</v>
      </c>
    </row>
    <row r="795" spans="1:13">
      <c r="A795" s="93">
        <v>115861</v>
      </c>
      <c r="B795" t="s">
        <v>1352</v>
      </c>
      <c r="C795" t="s">
        <v>4919</v>
      </c>
      <c r="D795" s="92">
        <v>0.39</v>
      </c>
      <c r="E795" s="92">
        <v>0.39</v>
      </c>
      <c r="F795" t="s">
        <v>446</v>
      </c>
      <c r="G795" t="s">
        <v>446</v>
      </c>
      <c r="H795" t="s">
        <v>4932</v>
      </c>
      <c r="I795">
        <v>0</v>
      </c>
      <c r="J795" t="s">
        <v>97</v>
      </c>
      <c r="K795">
        <v>0</v>
      </c>
      <c r="L795">
        <v>0</v>
      </c>
      <c r="M795" t="s">
        <v>11</v>
      </c>
    </row>
    <row r="796" spans="1:13">
      <c r="A796" s="93">
        <v>115931</v>
      </c>
      <c r="B796" t="s">
        <v>1353</v>
      </c>
      <c r="C796" t="s">
        <v>4919</v>
      </c>
      <c r="D796" s="92" t="s">
        <v>446</v>
      </c>
      <c r="E796" s="92" t="s">
        <v>446</v>
      </c>
      <c r="F796" t="s">
        <v>446</v>
      </c>
      <c r="G796" t="s">
        <v>446</v>
      </c>
      <c r="H796" t="s">
        <v>4930</v>
      </c>
      <c r="I796">
        <v>0</v>
      </c>
      <c r="J796" t="s">
        <v>97</v>
      </c>
      <c r="K796">
        <v>0</v>
      </c>
      <c r="L796">
        <v>0</v>
      </c>
      <c r="M796" t="s">
        <v>11</v>
      </c>
    </row>
    <row r="797" spans="1:13">
      <c r="A797" s="93">
        <v>116226</v>
      </c>
      <c r="B797" t="s">
        <v>1354</v>
      </c>
      <c r="C797" t="s">
        <v>4923</v>
      </c>
      <c r="D797" s="92">
        <v>0.57</v>
      </c>
      <c r="E797" s="92">
        <v>0</v>
      </c>
      <c r="F797" t="s">
        <v>446</v>
      </c>
      <c r="G797" t="s">
        <v>446</v>
      </c>
      <c r="H797" t="s">
        <v>4932</v>
      </c>
      <c r="I797">
        <v>0</v>
      </c>
      <c r="J797" t="s">
        <v>97</v>
      </c>
      <c r="K797">
        <v>0</v>
      </c>
      <c r="L797">
        <v>0</v>
      </c>
      <c r="M797" t="s">
        <v>11</v>
      </c>
    </row>
    <row r="798" spans="1:13">
      <c r="A798" s="93">
        <v>116563</v>
      </c>
      <c r="B798" t="s">
        <v>1355</v>
      </c>
      <c r="C798" t="s">
        <v>4919</v>
      </c>
      <c r="D798" s="92" t="s">
        <v>446</v>
      </c>
      <c r="E798" s="92" t="s">
        <v>446</v>
      </c>
      <c r="F798" t="s">
        <v>446</v>
      </c>
      <c r="G798" t="s">
        <v>446</v>
      </c>
      <c r="H798" t="s">
        <v>4930</v>
      </c>
      <c r="I798">
        <v>0</v>
      </c>
      <c r="J798" t="s">
        <v>97</v>
      </c>
      <c r="K798">
        <v>0</v>
      </c>
      <c r="L798">
        <v>0</v>
      </c>
      <c r="M798" t="s">
        <v>11</v>
      </c>
    </row>
    <row r="799" spans="1:13">
      <c r="A799" s="93">
        <v>116846</v>
      </c>
      <c r="B799" t="s">
        <v>1356</v>
      </c>
      <c r="C799" t="s">
        <v>4920</v>
      </c>
      <c r="D799" s="92">
        <v>0.5600000000000001</v>
      </c>
      <c r="E799" s="92" t="s">
        <v>446</v>
      </c>
      <c r="F799" t="s">
        <v>446</v>
      </c>
      <c r="G799" t="s">
        <v>446</v>
      </c>
      <c r="H799" t="s">
        <v>4932</v>
      </c>
      <c r="I799">
        <v>0</v>
      </c>
      <c r="J799" t="s">
        <v>97</v>
      </c>
      <c r="K799">
        <v>0</v>
      </c>
      <c r="L799">
        <v>0</v>
      </c>
      <c r="M799" t="s">
        <v>11</v>
      </c>
    </row>
    <row r="800" spans="1:13">
      <c r="A800" s="93">
        <v>117052</v>
      </c>
      <c r="B800" t="s">
        <v>1357</v>
      </c>
      <c r="C800" t="s">
        <v>4919</v>
      </c>
      <c r="D800" s="92">
        <v>0.37</v>
      </c>
      <c r="E800" s="92">
        <v>0.35</v>
      </c>
      <c r="F800" t="s">
        <v>446</v>
      </c>
      <c r="G800" t="s">
        <v>446</v>
      </c>
      <c r="H800" t="s">
        <v>4932</v>
      </c>
      <c r="I800">
        <v>0</v>
      </c>
      <c r="J800" t="s">
        <v>97</v>
      </c>
      <c r="K800">
        <v>0</v>
      </c>
      <c r="L800">
        <v>0</v>
      </c>
      <c r="M800" t="s">
        <v>11</v>
      </c>
    </row>
    <row r="801" spans="1:13">
      <c r="A801" s="93">
        <v>117104</v>
      </c>
      <c r="B801" t="s">
        <v>1358</v>
      </c>
      <c r="C801" t="s">
        <v>4923</v>
      </c>
      <c r="D801" s="92">
        <v>0.39</v>
      </c>
      <c r="E801" s="92">
        <v>0.37</v>
      </c>
      <c r="F801" t="s">
        <v>446</v>
      </c>
      <c r="G801" t="s">
        <v>446</v>
      </c>
      <c r="H801" t="s">
        <v>4930</v>
      </c>
      <c r="I801">
        <v>0</v>
      </c>
      <c r="J801" t="s">
        <v>97</v>
      </c>
      <c r="K801">
        <v>0</v>
      </c>
      <c r="L801">
        <v>0</v>
      </c>
      <c r="M801" t="s">
        <v>11</v>
      </c>
    </row>
    <row r="802" spans="1:13">
      <c r="A802" s="93">
        <v>117140</v>
      </c>
      <c r="B802" t="s">
        <v>1359</v>
      </c>
      <c r="C802" t="s">
        <v>4920</v>
      </c>
      <c r="D802" s="92">
        <v>0.7</v>
      </c>
      <c r="E802" s="92">
        <v>0.7</v>
      </c>
      <c r="F802">
        <v>900</v>
      </c>
      <c r="G802">
        <v>1020</v>
      </c>
      <c r="H802" t="s">
        <v>4930</v>
      </c>
      <c r="I802">
        <v>0</v>
      </c>
      <c r="J802" t="s">
        <v>97</v>
      </c>
      <c r="K802">
        <v>0</v>
      </c>
      <c r="L802">
        <v>0</v>
      </c>
      <c r="M802" t="s">
        <v>11</v>
      </c>
    </row>
    <row r="803" spans="1:13">
      <c r="A803" s="93">
        <v>117168</v>
      </c>
      <c r="B803" t="s">
        <v>1360</v>
      </c>
      <c r="C803" t="s">
        <v>4918</v>
      </c>
      <c r="D803" s="92">
        <v>0.64</v>
      </c>
      <c r="E803" s="92">
        <v>0.6899999999999999</v>
      </c>
      <c r="F803" t="s">
        <v>446</v>
      </c>
      <c r="G803" t="s">
        <v>446</v>
      </c>
      <c r="H803" t="s">
        <v>4930</v>
      </c>
      <c r="I803">
        <v>0</v>
      </c>
      <c r="J803" t="s">
        <v>97</v>
      </c>
      <c r="K803">
        <v>0</v>
      </c>
      <c r="L803">
        <v>0</v>
      </c>
      <c r="M803" t="s">
        <v>11</v>
      </c>
    </row>
    <row r="804" spans="1:13">
      <c r="A804" s="93">
        <v>117195</v>
      </c>
      <c r="B804" t="s">
        <v>1361</v>
      </c>
      <c r="C804" t="s">
        <v>4919</v>
      </c>
      <c r="D804" s="92">
        <v>0.41</v>
      </c>
      <c r="E804" s="92">
        <v>0.38</v>
      </c>
      <c r="F804" t="s">
        <v>446</v>
      </c>
      <c r="G804" t="s">
        <v>446</v>
      </c>
      <c r="H804" t="s">
        <v>4932</v>
      </c>
      <c r="I804">
        <v>0</v>
      </c>
      <c r="J804" t="s">
        <v>97</v>
      </c>
      <c r="K804">
        <v>0</v>
      </c>
      <c r="L804">
        <v>0</v>
      </c>
      <c r="M804" t="s">
        <v>11</v>
      </c>
    </row>
    <row r="805" spans="1:13">
      <c r="A805" s="93">
        <v>117247</v>
      </c>
      <c r="B805" t="s">
        <v>1362</v>
      </c>
      <c r="C805" t="s">
        <v>4919</v>
      </c>
      <c r="D805" s="92">
        <v>0.29</v>
      </c>
      <c r="E805" s="92">
        <v>0.26</v>
      </c>
      <c r="F805" t="s">
        <v>446</v>
      </c>
      <c r="G805" t="s">
        <v>446</v>
      </c>
      <c r="H805" t="s">
        <v>4932</v>
      </c>
      <c r="I805">
        <v>0</v>
      </c>
      <c r="J805" t="s">
        <v>97</v>
      </c>
      <c r="K805">
        <v>0</v>
      </c>
      <c r="L805">
        <v>0</v>
      </c>
      <c r="M805" t="s">
        <v>11</v>
      </c>
    </row>
    <row r="806" spans="1:13">
      <c r="A806" s="93">
        <v>117274</v>
      </c>
      <c r="B806" t="s">
        <v>1363</v>
      </c>
      <c r="C806" t="s">
        <v>4919</v>
      </c>
      <c r="D806" s="92">
        <v>0.38</v>
      </c>
      <c r="E806" s="92">
        <v>0.4</v>
      </c>
      <c r="F806" t="s">
        <v>446</v>
      </c>
      <c r="G806" t="s">
        <v>446</v>
      </c>
      <c r="H806" t="s">
        <v>4932</v>
      </c>
      <c r="I806">
        <v>0</v>
      </c>
      <c r="J806" t="s">
        <v>97</v>
      </c>
      <c r="K806">
        <v>0</v>
      </c>
      <c r="L806">
        <v>0</v>
      </c>
      <c r="M806" t="s">
        <v>11</v>
      </c>
    </row>
    <row r="807" spans="1:13">
      <c r="A807" s="93">
        <v>117283</v>
      </c>
      <c r="B807" t="s">
        <v>1364</v>
      </c>
      <c r="C807" t="s">
        <v>4926</v>
      </c>
      <c r="D807" s="92" t="s">
        <v>446</v>
      </c>
      <c r="E807" s="92" t="s">
        <v>446</v>
      </c>
      <c r="F807" t="s">
        <v>446</v>
      </c>
      <c r="G807" t="s">
        <v>446</v>
      </c>
      <c r="H807" t="s">
        <v>4932</v>
      </c>
      <c r="I807">
        <v>0</v>
      </c>
      <c r="J807" t="s">
        <v>97</v>
      </c>
      <c r="K807">
        <v>0</v>
      </c>
      <c r="L807">
        <v>0</v>
      </c>
      <c r="M807" t="s">
        <v>11</v>
      </c>
    </row>
    <row r="808" spans="1:13">
      <c r="A808" s="93">
        <v>117520</v>
      </c>
      <c r="B808" t="s">
        <v>1365</v>
      </c>
      <c r="C808" t="s">
        <v>4924</v>
      </c>
      <c r="D808" s="92" t="s">
        <v>446</v>
      </c>
      <c r="E808" s="92" t="s">
        <v>446</v>
      </c>
      <c r="F808" t="s">
        <v>446</v>
      </c>
      <c r="G808" t="s">
        <v>446</v>
      </c>
      <c r="H808" t="s">
        <v>4932</v>
      </c>
      <c r="I808">
        <v>0</v>
      </c>
      <c r="J808" t="s">
        <v>97</v>
      </c>
      <c r="K808">
        <v>0</v>
      </c>
      <c r="L808">
        <v>0</v>
      </c>
      <c r="M808" t="s">
        <v>11</v>
      </c>
    </row>
    <row r="809" spans="1:13">
      <c r="A809" s="93">
        <v>117557</v>
      </c>
      <c r="B809" t="s">
        <v>1366</v>
      </c>
      <c r="C809" t="s">
        <v>4923</v>
      </c>
      <c r="D809" s="92">
        <v>0.76</v>
      </c>
      <c r="E809" s="92" t="s">
        <v>446</v>
      </c>
      <c r="F809" t="s">
        <v>446</v>
      </c>
      <c r="G809" t="s">
        <v>446</v>
      </c>
      <c r="H809" t="s">
        <v>4931</v>
      </c>
      <c r="I809">
        <v>0</v>
      </c>
      <c r="J809" t="s">
        <v>97</v>
      </c>
      <c r="K809">
        <v>0</v>
      </c>
      <c r="L809">
        <v>0</v>
      </c>
      <c r="M809" t="s">
        <v>11</v>
      </c>
    </row>
    <row r="810" spans="1:13">
      <c r="A810" s="93">
        <v>117575</v>
      </c>
      <c r="B810" t="s">
        <v>1367</v>
      </c>
      <c r="C810" t="s">
        <v>4923</v>
      </c>
      <c r="D810" s="92" t="s">
        <v>446</v>
      </c>
      <c r="E810" s="92" t="s">
        <v>446</v>
      </c>
      <c r="F810" t="s">
        <v>446</v>
      </c>
      <c r="G810" t="s">
        <v>446</v>
      </c>
      <c r="H810" t="s">
        <v>4932</v>
      </c>
      <c r="I810">
        <v>0</v>
      </c>
      <c r="J810" t="s">
        <v>97</v>
      </c>
      <c r="K810">
        <v>0</v>
      </c>
      <c r="L810">
        <v>0</v>
      </c>
      <c r="M810" t="s">
        <v>11</v>
      </c>
    </row>
    <row r="811" spans="1:13">
      <c r="A811" s="93">
        <v>117627</v>
      </c>
      <c r="B811" t="s">
        <v>1368</v>
      </c>
      <c r="C811" t="s">
        <v>4916</v>
      </c>
      <c r="D811" s="92">
        <v>0.54</v>
      </c>
      <c r="E811" s="92">
        <v>0.54</v>
      </c>
      <c r="F811">
        <v>880</v>
      </c>
      <c r="G811">
        <v>1010</v>
      </c>
      <c r="H811" t="s">
        <v>4930</v>
      </c>
      <c r="I811">
        <v>0</v>
      </c>
      <c r="J811" t="s">
        <v>97</v>
      </c>
      <c r="K811">
        <v>0</v>
      </c>
      <c r="L811">
        <v>0</v>
      </c>
      <c r="M811" t="s">
        <v>11</v>
      </c>
    </row>
    <row r="812" spans="1:13">
      <c r="A812" s="93">
        <v>117636</v>
      </c>
      <c r="B812" t="s">
        <v>1369</v>
      </c>
      <c r="C812" t="s">
        <v>4924</v>
      </c>
      <c r="D812" s="92" t="s">
        <v>446</v>
      </c>
      <c r="E812" s="92" t="s">
        <v>446</v>
      </c>
      <c r="F812" t="s">
        <v>446</v>
      </c>
      <c r="G812" t="s">
        <v>446</v>
      </c>
      <c r="H812" t="s">
        <v>4932</v>
      </c>
      <c r="I812">
        <v>0</v>
      </c>
      <c r="J812" t="s">
        <v>97</v>
      </c>
      <c r="K812">
        <v>0</v>
      </c>
      <c r="L812">
        <v>0</v>
      </c>
      <c r="M812" t="s">
        <v>11</v>
      </c>
    </row>
    <row r="813" spans="1:13">
      <c r="A813" s="93">
        <v>117645</v>
      </c>
      <c r="B813" t="s">
        <v>1370</v>
      </c>
      <c r="C813" t="s">
        <v>4919</v>
      </c>
      <c r="D813" s="92">
        <v>0.27</v>
      </c>
      <c r="E813" s="92">
        <v>0.24</v>
      </c>
      <c r="F813" t="s">
        <v>446</v>
      </c>
      <c r="G813" t="s">
        <v>446</v>
      </c>
      <c r="H813" t="s">
        <v>4932</v>
      </c>
      <c r="I813">
        <v>0</v>
      </c>
      <c r="J813" t="s">
        <v>97</v>
      </c>
      <c r="K813">
        <v>0</v>
      </c>
      <c r="L813">
        <v>0</v>
      </c>
      <c r="M813" t="s">
        <v>11</v>
      </c>
    </row>
    <row r="814" spans="1:13">
      <c r="A814" s="93">
        <v>117672</v>
      </c>
      <c r="B814" t="s">
        <v>1371</v>
      </c>
      <c r="C814" t="s">
        <v>4923</v>
      </c>
      <c r="D814" s="92">
        <v>1</v>
      </c>
      <c r="E814" s="92">
        <v>1</v>
      </c>
      <c r="F814" t="s">
        <v>446</v>
      </c>
      <c r="G814" t="s">
        <v>446</v>
      </c>
      <c r="H814" t="s">
        <v>4932</v>
      </c>
      <c r="I814">
        <v>0</v>
      </c>
      <c r="J814" t="s">
        <v>97</v>
      </c>
      <c r="K814">
        <v>0</v>
      </c>
      <c r="L814">
        <v>0</v>
      </c>
      <c r="M814" t="s">
        <v>11</v>
      </c>
    </row>
    <row r="815" spans="1:13">
      <c r="A815" s="93">
        <v>117690</v>
      </c>
      <c r="B815" t="s">
        <v>1372</v>
      </c>
      <c r="C815" t="s">
        <v>4919</v>
      </c>
      <c r="D815" s="92">
        <v>0.31</v>
      </c>
      <c r="E815" s="92">
        <v>0.28</v>
      </c>
      <c r="F815" t="s">
        <v>446</v>
      </c>
      <c r="G815" t="s">
        <v>446</v>
      </c>
      <c r="H815" t="s">
        <v>4932</v>
      </c>
      <c r="I815">
        <v>0</v>
      </c>
      <c r="J815" t="s">
        <v>97</v>
      </c>
      <c r="K815">
        <v>0</v>
      </c>
      <c r="L815">
        <v>0</v>
      </c>
      <c r="M815" t="s">
        <v>11</v>
      </c>
    </row>
    <row r="816" spans="1:13">
      <c r="A816" s="93">
        <v>117706</v>
      </c>
      <c r="B816" t="s">
        <v>1373</v>
      </c>
      <c r="C816" t="s">
        <v>4919</v>
      </c>
      <c r="D816" s="92">
        <v>0.42</v>
      </c>
      <c r="E816" s="92">
        <v>0.33</v>
      </c>
      <c r="F816" t="s">
        <v>446</v>
      </c>
      <c r="G816" t="s">
        <v>446</v>
      </c>
      <c r="H816" t="s">
        <v>4932</v>
      </c>
      <c r="I816">
        <v>0</v>
      </c>
      <c r="J816" t="s">
        <v>97</v>
      </c>
      <c r="K816">
        <v>0</v>
      </c>
      <c r="L816">
        <v>0</v>
      </c>
      <c r="M816" t="s">
        <v>11</v>
      </c>
    </row>
    <row r="817" spans="1:13">
      <c r="A817" s="93">
        <v>117715</v>
      </c>
      <c r="B817" t="s">
        <v>1374</v>
      </c>
      <c r="C817" t="s">
        <v>4919</v>
      </c>
      <c r="D817" s="92">
        <v>0.25</v>
      </c>
      <c r="E817" s="92">
        <v>0.25</v>
      </c>
      <c r="F817" t="s">
        <v>446</v>
      </c>
      <c r="G817" t="s">
        <v>446</v>
      </c>
      <c r="H817" t="s">
        <v>4932</v>
      </c>
      <c r="I817">
        <v>0</v>
      </c>
      <c r="J817" t="s">
        <v>97</v>
      </c>
      <c r="K817">
        <v>0</v>
      </c>
      <c r="L817">
        <v>0</v>
      </c>
      <c r="M817" t="s">
        <v>11</v>
      </c>
    </row>
    <row r="818" spans="1:13">
      <c r="A818" s="93">
        <v>117724</v>
      </c>
      <c r="B818" t="s">
        <v>1375</v>
      </c>
      <c r="C818" t="s">
        <v>4919</v>
      </c>
      <c r="D818" s="92">
        <v>0.28</v>
      </c>
      <c r="E818" s="92">
        <v>0.26</v>
      </c>
      <c r="F818" t="s">
        <v>446</v>
      </c>
      <c r="G818" t="s">
        <v>446</v>
      </c>
      <c r="H818" t="s">
        <v>4932</v>
      </c>
      <c r="I818">
        <v>0</v>
      </c>
      <c r="J818" t="s">
        <v>97</v>
      </c>
      <c r="K818">
        <v>0</v>
      </c>
      <c r="L818">
        <v>0</v>
      </c>
      <c r="M818" t="s">
        <v>11</v>
      </c>
    </row>
    <row r="819" spans="1:13">
      <c r="A819" s="93">
        <v>117733</v>
      </c>
      <c r="B819" t="s">
        <v>1376</v>
      </c>
      <c r="C819" t="s">
        <v>4919</v>
      </c>
      <c r="D819" s="92">
        <v>0.37</v>
      </c>
      <c r="E819" s="92">
        <v>0.31</v>
      </c>
      <c r="F819" t="s">
        <v>446</v>
      </c>
      <c r="G819" t="s">
        <v>446</v>
      </c>
      <c r="H819" t="s">
        <v>4932</v>
      </c>
      <c r="I819">
        <v>0</v>
      </c>
      <c r="J819" t="s">
        <v>97</v>
      </c>
      <c r="K819">
        <v>0</v>
      </c>
      <c r="L819">
        <v>0</v>
      </c>
      <c r="M819" t="s">
        <v>11</v>
      </c>
    </row>
    <row r="820" spans="1:13">
      <c r="A820" s="93">
        <v>117751</v>
      </c>
      <c r="B820" t="s">
        <v>1377</v>
      </c>
      <c r="C820" t="s">
        <v>4920</v>
      </c>
      <c r="D820" s="92">
        <v>0.68</v>
      </c>
      <c r="E820" s="92">
        <v>0.7</v>
      </c>
      <c r="F820" t="s">
        <v>446</v>
      </c>
      <c r="G820" t="s">
        <v>446</v>
      </c>
      <c r="H820" t="s">
        <v>4930</v>
      </c>
      <c r="I820">
        <v>0</v>
      </c>
      <c r="J820" t="s">
        <v>97</v>
      </c>
      <c r="K820">
        <v>0</v>
      </c>
      <c r="L820">
        <v>0</v>
      </c>
      <c r="M820" t="s">
        <v>11</v>
      </c>
    </row>
    <row r="821" spans="1:13">
      <c r="A821" s="93">
        <v>117788</v>
      </c>
      <c r="B821" t="s">
        <v>1378</v>
      </c>
      <c r="C821" t="s">
        <v>4919</v>
      </c>
      <c r="D821" s="92">
        <v>0.28</v>
      </c>
      <c r="E821" s="92">
        <v>0.24</v>
      </c>
      <c r="F821" t="s">
        <v>446</v>
      </c>
      <c r="G821" t="s">
        <v>446</v>
      </c>
      <c r="H821" t="s">
        <v>4932</v>
      </c>
      <c r="I821">
        <v>0</v>
      </c>
      <c r="J821" t="s">
        <v>97</v>
      </c>
      <c r="K821">
        <v>0</v>
      </c>
      <c r="L821">
        <v>0</v>
      </c>
      <c r="M821" t="s">
        <v>11</v>
      </c>
    </row>
    <row r="822" spans="1:13">
      <c r="A822" s="93">
        <v>117803</v>
      </c>
      <c r="B822" t="s">
        <v>1379</v>
      </c>
      <c r="C822" t="s">
        <v>4919</v>
      </c>
      <c r="D822" s="92" t="s">
        <v>446</v>
      </c>
      <c r="E822" s="92" t="s">
        <v>446</v>
      </c>
      <c r="F822" t="s">
        <v>446</v>
      </c>
      <c r="G822" t="s">
        <v>446</v>
      </c>
      <c r="H822" t="s">
        <v>4932</v>
      </c>
      <c r="I822">
        <v>0</v>
      </c>
      <c r="J822" t="s">
        <v>97</v>
      </c>
      <c r="K822">
        <v>0</v>
      </c>
      <c r="L822">
        <v>0</v>
      </c>
      <c r="M822" t="s">
        <v>11</v>
      </c>
    </row>
    <row r="823" spans="1:13">
      <c r="A823" s="93">
        <v>117867</v>
      </c>
      <c r="B823" t="s">
        <v>1380</v>
      </c>
      <c r="C823" t="s">
        <v>4919</v>
      </c>
      <c r="D823" s="92">
        <v>0.25</v>
      </c>
      <c r="E823" s="92">
        <v>0.23</v>
      </c>
      <c r="F823" t="s">
        <v>446</v>
      </c>
      <c r="G823" t="s">
        <v>446</v>
      </c>
      <c r="H823" t="s">
        <v>4932</v>
      </c>
      <c r="I823">
        <v>0</v>
      </c>
      <c r="J823" t="s">
        <v>97</v>
      </c>
      <c r="K823">
        <v>0</v>
      </c>
      <c r="L823">
        <v>0</v>
      </c>
      <c r="M823" t="s">
        <v>11</v>
      </c>
    </row>
    <row r="824" spans="1:13">
      <c r="A824" s="93">
        <v>117894</v>
      </c>
      <c r="B824" t="s">
        <v>1381</v>
      </c>
      <c r="C824" t="s">
        <v>4919</v>
      </c>
      <c r="D824" s="92">
        <v>0.4</v>
      </c>
      <c r="E824" s="92">
        <v>0.37</v>
      </c>
      <c r="F824" t="s">
        <v>446</v>
      </c>
      <c r="G824" t="s">
        <v>446</v>
      </c>
      <c r="H824" t="s">
        <v>4932</v>
      </c>
      <c r="I824">
        <v>0</v>
      </c>
      <c r="J824" t="s">
        <v>97</v>
      </c>
      <c r="K824">
        <v>0</v>
      </c>
      <c r="L824">
        <v>0</v>
      </c>
      <c r="M824" t="s">
        <v>11</v>
      </c>
    </row>
    <row r="825" spans="1:13">
      <c r="A825" s="93">
        <v>118198</v>
      </c>
      <c r="B825" t="s">
        <v>1382</v>
      </c>
      <c r="C825" t="s">
        <v>4925</v>
      </c>
      <c r="D825" s="92" t="s">
        <v>446</v>
      </c>
      <c r="E825" s="92" t="s">
        <v>446</v>
      </c>
      <c r="F825" t="s">
        <v>446</v>
      </c>
      <c r="G825" t="s">
        <v>446</v>
      </c>
      <c r="H825" t="s">
        <v>4930</v>
      </c>
      <c r="I825">
        <v>0</v>
      </c>
      <c r="J825" t="s">
        <v>97</v>
      </c>
      <c r="K825">
        <v>0</v>
      </c>
      <c r="L825">
        <v>0</v>
      </c>
      <c r="M825" t="s">
        <v>11</v>
      </c>
    </row>
    <row r="826" spans="1:13">
      <c r="A826" s="93">
        <v>118347</v>
      </c>
      <c r="B826" t="s">
        <v>1383</v>
      </c>
      <c r="C826" t="s">
        <v>4919</v>
      </c>
      <c r="D826" s="92">
        <v>0.39</v>
      </c>
      <c r="E826" s="92">
        <v>0.31</v>
      </c>
      <c r="F826" t="s">
        <v>446</v>
      </c>
      <c r="G826" t="s">
        <v>446</v>
      </c>
      <c r="H826" t="s">
        <v>4932</v>
      </c>
      <c r="I826">
        <v>0</v>
      </c>
      <c r="J826" t="s">
        <v>97</v>
      </c>
      <c r="K826">
        <v>0</v>
      </c>
      <c r="L826">
        <v>0</v>
      </c>
      <c r="M826" t="s">
        <v>11</v>
      </c>
    </row>
    <row r="827" spans="1:13">
      <c r="A827" s="93">
        <v>118541</v>
      </c>
      <c r="B827" t="s">
        <v>1384</v>
      </c>
      <c r="C827" t="s">
        <v>4923</v>
      </c>
      <c r="D827" s="92">
        <v>0.26</v>
      </c>
      <c r="E827" s="92">
        <v>0.39</v>
      </c>
      <c r="F827" t="s">
        <v>446</v>
      </c>
      <c r="G827" t="s">
        <v>446</v>
      </c>
      <c r="H827" t="s">
        <v>4930</v>
      </c>
      <c r="I827">
        <v>0</v>
      </c>
      <c r="J827" t="s">
        <v>97</v>
      </c>
      <c r="K827">
        <v>0</v>
      </c>
      <c r="L827">
        <v>0</v>
      </c>
      <c r="M827" t="s">
        <v>11</v>
      </c>
    </row>
    <row r="828" spans="1:13">
      <c r="A828" s="93">
        <v>118684</v>
      </c>
      <c r="B828" t="s">
        <v>1385</v>
      </c>
      <c r="C828" t="s">
        <v>4919</v>
      </c>
      <c r="D828" s="92">
        <v>0.28</v>
      </c>
      <c r="E828" s="92">
        <v>0.24</v>
      </c>
      <c r="F828" t="s">
        <v>446</v>
      </c>
      <c r="G828" t="s">
        <v>446</v>
      </c>
      <c r="H828" t="s">
        <v>4932</v>
      </c>
      <c r="I828">
        <v>0</v>
      </c>
      <c r="J828" t="s">
        <v>97</v>
      </c>
      <c r="K828">
        <v>0</v>
      </c>
      <c r="L828">
        <v>0</v>
      </c>
      <c r="M828" t="s">
        <v>11</v>
      </c>
    </row>
    <row r="829" spans="1:13">
      <c r="A829" s="93">
        <v>118693</v>
      </c>
      <c r="B829" t="s">
        <v>1386</v>
      </c>
      <c r="C829" t="s">
        <v>4918</v>
      </c>
      <c r="D829" s="92">
        <v>0.55</v>
      </c>
      <c r="E829" s="92">
        <v>0.5600000000000001</v>
      </c>
      <c r="F829" t="s">
        <v>446</v>
      </c>
      <c r="G829" t="s">
        <v>446</v>
      </c>
      <c r="H829" t="s">
        <v>4930</v>
      </c>
      <c r="I829">
        <v>0</v>
      </c>
      <c r="J829" t="s">
        <v>97</v>
      </c>
      <c r="K829">
        <v>0</v>
      </c>
      <c r="L829">
        <v>0</v>
      </c>
      <c r="M829" t="s">
        <v>11</v>
      </c>
    </row>
    <row r="830" spans="1:13">
      <c r="A830" s="93">
        <v>118772</v>
      </c>
      <c r="B830" t="s">
        <v>1387</v>
      </c>
      <c r="C830" t="s">
        <v>4919</v>
      </c>
      <c r="D830" s="92">
        <v>0.27</v>
      </c>
      <c r="E830" s="92">
        <v>0.25</v>
      </c>
      <c r="F830" t="s">
        <v>446</v>
      </c>
      <c r="G830" t="s">
        <v>446</v>
      </c>
      <c r="H830" t="s">
        <v>4932</v>
      </c>
      <c r="I830">
        <v>0</v>
      </c>
      <c r="J830" t="s">
        <v>97</v>
      </c>
      <c r="K830">
        <v>0</v>
      </c>
      <c r="L830">
        <v>0</v>
      </c>
      <c r="M830" t="s">
        <v>11</v>
      </c>
    </row>
    <row r="831" spans="1:13">
      <c r="A831" s="93">
        <v>118888</v>
      </c>
      <c r="B831" t="s">
        <v>1388</v>
      </c>
      <c r="C831" t="s">
        <v>4916</v>
      </c>
      <c r="D831" s="92">
        <v>0.6</v>
      </c>
      <c r="E831" s="92">
        <v>0.6</v>
      </c>
      <c r="F831">
        <v>1380</v>
      </c>
      <c r="G831">
        <v>1395</v>
      </c>
      <c r="H831" t="s">
        <v>4931</v>
      </c>
      <c r="I831">
        <v>0</v>
      </c>
      <c r="J831" t="s">
        <v>97</v>
      </c>
      <c r="K831">
        <v>0</v>
      </c>
      <c r="L831">
        <v>0</v>
      </c>
      <c r="M831" t="s">
        <v>11</v>
      </c>
    </row>
    <row r="832" spans="1:13">
      <c r="A832" s="93">
        <v>118930</v>
      </c>
      <c r="B832" t="s">
        <v>1389</v>
      </c>
      <c r="C832" t="s">
        <v>4919</v>
      </c>
      <c r="D832" s="92">
        <v>0.43</v>
      </c>
      <c r="E832" s="92">
        <v>0.33</v>
      </c>
      <c r="F832" t="s">
        <v>446</v>
      </c>
      <c r="G832" t="s">
        <v>446</v>
      </c>
      <c r="H832" t="s">
        <v>4932</v>
      </c>
      <c r="I832">
        <v>0</v>
      </c>
      <c r="J832" t="s">
        <v>97</v>
      </c>
      <c r="K832">
        <v>0</v>
      </c>
      <c r="L832">
        <v>0</v>
      </c>
      <c r="M832" t="s">
        <v>11</v>
      </c>
    </row>
    <row r="833" spans="1:13">
      <c r="A833" s="93">
        <v>118976</v>
      </c>
      <c r="B833" t="s">
        <v>1390</v>
      </c>
      <c r="C833" t="s">
        <v>4923</v>
      </c>
      <c r="D833" s="92" t="s">
        <v>446</v>
      </c>
      <c r="E833" s="92" t="s">
        <v>446</v>
      </c>
      <c r="F833" t="s">
        <v>446</v>
      </c>
      <c r="G833" t="s">
        <v>446</v>
      </c>
      <c r="H833" t="s">
        <v>4932</v>
      </c>
      <c r="I833">
        <v>0</v>
      </c>
      <c r="J833" t="s">
        <v>97</v>
      </c>
      <c r="K833">
        <v>0</v>
      </c>
      <c r="L833">
        <v>0</v>
      </c>
      <c r="M833" t="s">
        <v>11</v>
      </c>
    </row>
    <row r="834" spans="1:13">
      <c r="A834" s="93">
        <v>119058</v>
      </c>
      <c r="B834" t="s">
        <v>1391</v>
      </c>
      <c r="C834" t="s">
        <v>4924</v>
      </c>
      <c r="D834" s="92" t="s">
        <v>446</v>
      </c>
      <c r="E834" s="92" t="s">
        <v>446</v>
      </c>
      <c r="F834" t="s">
        <v>446</v>
      </c>
      <c r="G834" t="s">
        <v>446</v>
      </c>
      <c r="H834" t="s">
        <v>4932</v>
      </c>
      <c r="I834">
        <v>0</v>
      </c>
      <c r="J834" t="s">
        <v>97</v>
      </c>
      <c r="K834">
        <v>0</v>
      </c>
      <c r="L834">
        <v>0</v>
      </c>
      <c r="M834" t="s">
        <v>11</v>
      </c>
    </row>
    <row r="835" spans="1:13">
      <c r="A835" s="93">
        <v>119067</v>
      </c>
      <c r="B835" t="s">
        <v>1392</v>
      </c>
      <c r="C835" t="s">
        <v>4919</v>
      </c>
      <c r="D835" s="92">
        <v>0.38</v>
      </c>
      <c r="E835" s="92">
        <v>0.32</v>
      </c>
      <c r="F835" t="s">
        <v>446</v>
      </c>
      <c r="G835" t="s">
        <v>446</v>
      </c>
      <c r="H835" t="s">
        <v>4932</v>
      </c>
      <c r="I835">
        <v>0</v>
      </c>
      <c r="J835" t="s">
        <v>97</v>
      </c>
      <c r="K835">
        <v>0</v>
      </c>
      <c r="L835">
        <v>0</v>
      </c>
      <c r="M835" t="s">
        <v>11</v>
      </c>
    </row>
    <row r="836" spans="1:13">
      <c r="A836" s="93">
        <v>119137</v>
      </c>
      <c r="B836" t="s">
        <v>1393</v>
      </c>
      <c r="C836" t="s">
        <v>4919</v>
      </c>
      <c r="D836" s="92">
        <v>0.49</v>
      </c>
      <c r="E836" s="92">
        <v>0.42</v>
      </c>
      <c r="F836" t="s">
        <v>446</v>
      </c>
      <c r="G836" t="s">
        <v>446</v>
      </c>
      <c r="H836" t="s">
        <v>4932</v>
      </c>
      <c r="I836">
        <v>0</v>
      </c>
      <c r="J836" t="s">
        <v>97</v>
      </c>
      <c r="K836">
        <v>0</v>
      </c>
      <c r="L836">
        <v>0</v>
      </c>
      <c r="M836" t="s">
        <v>11</v>
      </c>
    </row>
    <row r="837" spans="1:13">
      <c r="A837" s="93">
        <v>119270</v>
      </c>
      <c r="B837" t="s">
        <v>1394</v>
      </c>
      <c r="C837" t="s">
        <v>4924</v>
      </c>
      <c r="D837" s="92">
        <v>0.46</v>
      </c>
      <c r="E837" s="92">
        <v>0.33</v>
      </c>
      <c r="F837" t="s">
        <v>446</v>
      </c>
      <c r="G837" t="s">
        <v>446</v>
      </c>
      <c r="H837" t="s">
        <v>4930</v>
      </c>
      <c r="I837">
        <v>0</v>
      </c>
      <c r="J837" t="s">
        <v>97</v>
      </c>
      <c r="K837">
        <v>0</v>
      </c>
      <c r="L837">
        <v>0</v>
      </c>
      <c r="M837" t="s">
        <v>11</v>
      </c>
    </row>
    <row r="838" spans="1:13">
      <c r="A838" s="93">
        <v>119331</v>
      </c>
      <c r="B838" t="s">
        <v>1395</v>
      </c>
      <c r="C838" t="s">
        <v>4919</v>
      </c>
      <c r="D838" s="92">
        <v>0.38</v>
      </c>
      <c r="E838" s="92">
        <v>0.34</v>
      </c>
      <c r="F838" t="s">
        <v>446</v>
      </c>
      <c r="G838" t="s">
        <v>446</v>
      </c>
      <c r="H838" t="s">
        <v>4932</v>
      </c>
      <c r="I838">
        <v>0</v>
      </c>
      <c r="J838" t="s">
        <v>97</v>
      </c>
      <c r="K838">
        <v>0</v>
      </c>
      <c r="L838">
        <v>0</v>
      </c>
      <c r="M838" t="s">
        <v>11</v>
      </c>
    </row>
    <row r="839" spans="1:13">
      <c r="A839" s="93">
        <v>119605</v>
      </c>
      <c r="B839" t="s">
        <v>1396</v>
      </c>
      <c r="C839" t="s">
        <v>4918</v>
      </c>
      <c r="D839" s="92">
        <v>0.34</v>
      </c>
      <c r="E839" s="92">
        <v>0.31</v>
      </c>
      <c r="F839" t="s">
        <v>446</v>
      </c>
      <c r="G839" t="s">
        <v>446</v>
      </c>
      <c r="H839" t="s">
        <v>4931</v>
      </c>
      <c r="I839">
        <v>0</v>
      </c>
      <c r="J839" t="s">
        <v>97</v>
      </c>
      <c r="K839">
        <v>0</v>
      </c>
      <c r="L839">
        <v>0</v>
      </c>
      <c r="M839" t="s">
        <v>11</v>
      </c>
    </row>
    <row r="840" spans="1:13">
      <c r="A840" s="93">
        <v>119678</v>
      </c>
      <c r="B840" t="s">
        <v>1397</v>
      </c>
      <c r="C840" t="s">
        <v>4924</v>
      </c>
      <c r="D840" s="92" t="s">
        <v>446</v>
      </c>
      <c r="E840" s="92" t="s">
        <v>446</v>
      </c>
      <c r="F840" t="s">
        <v>446</v>
      </c>
      <c r="G840" t="s">
        <v>446</v>
      </c>
      <c r="H840" t="s">
        <v>4932</v>
      </c>
      <c r="I840">
        <v>0</v>
      </c>
      <c r="J840" t="s">
        <v>97</v>
      </c>
      <c r="K840">
        <v>0</v>
      </c>
      <c r="L840">
        <v>0</v>
      </c>
      <c r="M840" t="s">
        <v>11</v>
      </c>
    </row>
    <row r="841" spans="1:13">
      <c r="A841" s="93">
        <v>119775</v>
      </c>
      <c r="B841" t="s">
        <v>1398</v>
      </c>
      <c r="C841" t="s">
        <v>4924</v>
      </c>
      <c r="D841" s="92">
        <v>0.47</v>
      </c>
      <c r="E841" s="92">
        <v>0.24</v>
      </c>
      <c r="F841" t="s">
        <v>446</v>
      </c>
      <c r="G841" t="s">
        <v>446</v>
      </c>
      <c r="H841" t="s">
        <v>4930</v>
      </c>
      <c r="I841">
        <v>0</v>
      </c>
      <c r="J841" t="s">
        <v>97</v>
      </c>
      <c r="K841">
        <v>0</v>
      </c>
      <c r="L841">
        <v>0</v>
      </c>
      <c r="M841" t="s">
        <v>11</v>
      </c>
    </row>
    <row r="842" spans="1:13">
      <c r="A842" s="93">
        <v>120078</v>
      </c>
      <c r="B842" t="s">
        <v>1399</v>
      </c>
      <c r="C842" t="s">
        <v>4919</v>
      </c>
      <c r="D842" s="92" t="s">
        <v>446</v>
      </c>
      <c r="E842" s="92" t="s">
        <v>446</v>
      </c>
      <c r="F842" t="s">
        <v>446</v>
      </c>
      <c r="G842" t="s">
        <v>446</v>
      </c>
      <c r="H842" t="s">
        <v>4930</v>
      </c>
      <c r="I842">
        <v>0</v>
      </c>
      <c r="J842" t="s">
        <v>97</v>
      </c>
      <c r="K842">
        <v>0</v>
      </c>
      <c r="L842">
        <v>0</v>
      </c>
      <c r="M842" t="s">
        <v>11</v>
      </c>
    </row>
    <row r="843" spans="1:13">
      <c r="A843" s="93">
        <v>120166</v>
      </c>
      <c r="B843" t="s">
        <v>1400</v>
      </c>
      <c r="C843" t="s">
        <v>4924</v>
      </c>
      <c r="D843" s="92">
        <v>0.39</v>
      </c>
      <c r="E843" s="92" t="s">
        <v>446</v>
      </c>
      <c r="F843" t="s">
        <v>446</v>
      </c>
      <c r="G843" t="s">
        <v>446</v>
      </c>
      <c r="H843" t="s">
        <v>4932</v>
      </c>
      <c r="I843">
        <v>0</v>
      </c>
      <c r="J843" t="s">
        <v>97</v>
      </c>
      <c r="K843">
        <v>0</v>
      </c>
      <c r="L843">
        <v>0</v>
      </c>
      <c r="M843" t="s">
        <v>11</v>
      </c>
    </row>
    <row r="844" spans="1:13">
      <c r="A844" s="93">
        <v>120184</v>
      </c>
      <c r="B844" t="s">
        <v>1401</v>
      </c>
      <c r="C844" t="s">
        <v>4918</v>
      </c>
      <c r="D844" s="92">
        <v>0.51</v>
      </c>
      <c r="E844" s="92">
        <v>0.49</v>
      </c>
      <c r="F844" t="s">
        <v>446</v>
      </c>
      <c r="G844" t="s">
        <v>446</v>
      </c>
      <c r="H844" t="s">
        <v>4932</v>
      </c>
      <c r="I844">
        <v>0</v>
      </c>
      <c r="J844" t="s">
        <v>97</v>
      </c>
      <c r="K844">
        <v>0</v>
      </c>
      <c r="L844">
        <v>0</v>
      </c>
      <c r="M844" t="s">
        <v>11</v>
      </c>
    </row>
    <row r="845" spans="1:13">
      <c r="A845" s="93">
        <v>120290</v>
      </c>
      <c r="B845" t="s">
        <v>1402</v>
      </c>
      <c r="C845" t="s">
        <v>4919</v>
      </c>
      <c r="D845" s="92">
        <v>0.54</v>
      </c>
      <c r="E845" s="92">
        <v>0.43</v>
      </c>
      <c r="F845" t="s">
        <v>446</v>
      </c>
      <c r="G845" t="s">
        <v>446</v>
      </c>
      <c r="H845" t="s">
        <v>4932</v>
      </c>
      <c r="I845">
        <v>0</v>
      </c>
      <c r="J845" t="s">
        <v>97</v>
      </c>
      <c r="K845">
        <v>0</v>
      </c>
      <c r="L845">
        <v>0</v>
      </c>
      <c r="M845" t="s">
        <v>11</v>
      </c>
    </row>
    <row r="846" spans="1:13">
      <c r="A846" s="93">
        <v>120342</v>
      </c>
      <c r="B846" t="s">
        <v>1403</v>
      </c>
      <c r="C846" t="s">
        <v>4919</v>
      </c>
      <c r="D846" s="92">
        <v>0.49</v>
      </c>
      <c r="E846" s="92">
        <v>0.34</v>
      </c>
      <c r="F846" t="s">
        <v>446</v>
      </c>
      <c r="G846" t="s">
        <v>446</v>
      </c>
      <c r="H846" t="s">
        <v>4932</v>
      </c>
      <c r="I846">
        <v>0</v>
      </c>
      <c r="J846" t="s">
        <v>97</v>
      </c>
      <c r="K846">
        <v>0</v>
      </c>
      <c r="L846">
        <v>0</v>
      </c>
      <c r="M846" t="s">
        <v>11</v>
      </c>
    </row>
    <row r="847" spans="1:13">
      <c r="A847" s="93">
        <v>120421</v>
      </c>
      <c r="B847" t="s">
        <v>1404</v>
      </c>
      <c r="C847" t="s">
        <v>4919</v>
      </c>
      <c r="D847" s="92">
        <v>0.35</v>
      </c>
      <c r="E847" s="92">
        <v>0.35</v>
      </c>
      <c r="F847" t="s">
        <v>446</v>
      </c>
      <c r="G847" t="s">
        <v>446</v>
      </c>
      <c r="H847" t="s">
        <v>4932</v>
      </c>
      <c r="I847">
        <v>0</v>
      </c>
      <c r="J847" t="s">
        <v>97</v>
      </c>
      <c r="K847">
        <v>0</v>
      </c>
      <c r="L847">
        <v>0</v>
      </c>
      <c r="M847" t="s">
        <v>11</v>
      </c>
    </row>
    <row r="848" spans="1:13">
      <c r="A848" s="93">
        <v>120537</v>
      </c>
      <c r="B848" t="s">
        <v>1405</v>
      </c>
      <c r="C848" t="s">
        <v>4920</v>
      </c>
      <c r="D848" s="92">
        <v>0.48</v>
      </c>
      <c r="E848" s="92">
        <v>0.48</v>
      </c>
      <c r="F848">
        <v>1000</v>
      </c>
      <c r="G848">
        <v>1090</v>
      </c>
      <c r="H848" t="s">
        <v>4931</v>
      </c>
      <c r="I848">
        <v>0</v>
      </c>
      <c r="J848" t="s">
        <v>97</v>
      </c>
      <c r="K848">
        <v>0</v>
      </c>
      <c r="L848">
        <v>0</v>
      </c>
      <c r="M848" t="s">
        <v>11</v>
      </c>
    </row>
    <row r="849" spans="1:13">
      <c r="A849" s="93">
        <v>120661</v>
      </c>
      <c r="B849" t="s">
        <v>1406</v>
      </c>
      <c r="C849" t="s">
        <v>4919</v>
      </c>
      <c r="D849" s="92" t="s">
        <v>446</v>
      </c>
      <c r="E849" s="92" t="s">
        <v>446</v>
      </c>
      <c r="F849" t="s">
        <v>446</v>
      </c>
      <c r="G849" t="s">
        <v>446</v>
      </c>
      <c r="H849" t="s">
        <v>4930</v>
      </c>
      <c r="I849">
        <v>0</v>
      </c>
      <c r="J849" t="s">
        <v>97</v>
      </c>
      <c r="K849">
        <v>0</v>
      </c>
      <c r="L849">
        <v>0</v>
      </c>
      <c r="M849" t="s">
        <v>11</v>
      </c>
    </row>
    <row r="850" spans="1:13">
      <c r="A850" s="93">
        <v>120698</v>
      </c>
      <c r="B850" t="s">
        <v>1407</v>
      </c>
      <c r="C850" t="s">
        <v>4924</v>
      </c>
      <c r="D850" s="92" t="s">
        <v>446</v>
      </c>
      <c r="E850" s="92" t="s">
        <v>446</v>
      </c>
      <c r="F850" t="s">
        <v>446</v>
      </c>
      <c r="G850" t="s">
        <v>446</v>
      </c>
      <c r="H850" t="s">
        <v>4932</v>
      </c>
      <c r="I850">
        <v>0</v>
      </c>
      <c r="J850" t="s">
        <v>97</v>
      </c>
      <c r="K850">
        <v>0</v>
      </c>
      <c r="L850">
        <v>0</v>
      </c>
      <c r="M850" t="s">
        <v>11</v>
      </c>
    </row>
    <row r="851" spans="1:13">
      <c r="A851" s="93">
        <v>120768</v>
      </c>
      <c r="B851" t="s">
        <v>1408</v>
      </c>
      <c r="C851" t="s">
        <v>4924</v>
      </c>
      <c r="D851" s="92" t="s">
        <v>446</v>
      </c>
      <c r="E851" s="92" t="s">
        <v>446</v>
      </c>
      <c r="F851" t="s">
        <v>446</v>
      </c>
      <c r="G851" t="s">
        <v>446</v>
      </c>
      <c r="H851" t="s">
        <v>4932</v>
      </c>
      <c r="I851">
        <v>0</v>
      </c>
      <c r="J851" t="s">
        <v>97</v>
      </c>
      <c r="K851">
        <v>0</v>
      </c>
      <c r="L851">
        <v>0</v>
      </c>
      <c r="M851" t="s">
        <v>11</v>
      </c>
    </row>
    <row r="852" spans="1:13">
      <c r="A852" s="93">
        <v>120795</v>
      </c>
      <c r="B852" t="s">
        <v>1409</v>
      </c>
      <c r="C852" t="s">
        <v>4924</v>
      </c>
      <c r="D852" s="92" t="s">
        <v>446</v>
      </c>
      <c r="E852" s="92" t="s">
        <v>446</v>
      </c>
      <c r="F852" t="s">
        <v>446</v>
      </c>
      <c r="G852" t="s">
        <v>446</v>
      </c>
      <c r="H852" t="s">
        <v>4932</v>
      </c>
      <c r="I852">
        <v>0</v>
      </c>
      <c r="J852" t="s">
        <v>97</v>
      </c>
      <c r="K852">
        <v>0</v>
      </c>
      <c r="L852">
        <v>0</v>
      </c>
      <c r="M852" t="s">
        <v>11</v>
      </c>
    </row>
    <row r="853" spans="1:13">
      <c r="A853" s="93">
        <v>120838</v>
      </c>
      <c r="B853" t="s">
        <v>1410</v>
      </c>
      <c r="C853" t="s">
        <v>4923</v>
      </c>
      <c r="D853" s="92">
        <v>0.5</v>
      </c>
      <c r="E853" s="92" t="s">
        <v>446</v>
      </c>
      <c r="F853" t="s">
        <v>446</v>
      </c>
      <c r="G853" t="s">
        <v>446</v>
      </c>
      <c r="H853" t="s">
        <v>4932</v>
      </c>
      <c r="I853">
        <v>0</v>
      </c>
      <c r="J853" t="s">
        <v>97</v>
      </c>
      <c r="K853">
        <v>0</v>
      </c>
      <c r="L853">
        <v>0</v>
      </c>
      <c r="M853" t="s">
        <v>11</v>
      </c>
    </row>
    <row r="854" spans="1:13">
      <c r="A854" s="93">
        <v>120865</v>
      </c>
      <c r="B854" t="s">
        <v>1411</v>
      </c>
      <c r="C854" t="s">
        <v>4916</v>
      </c>
      <c r="D854" s="92">
        <v>0.47</v>
      </c>
      <c r="E854" s="92">
        <v>0.42</v>
      </c>
      <c r="F854" t="s">
        <v>446</v>
      </c>
      <c r="G854" t="s">
        <v>446</v>
      </c>
      <c r="H854" t="s">
        <v>4930</v>
      </c>
      <c r="I854">
        <v>0</v>
      </c>
      <c r="J854" t="s">
        <v>97</v>
      </c>
      <c r="K854">
        <v>0</v>
      </c>
      <c r="L854">
        <v>0</v>
      </c>
      <c r="M854" t="s">
        <v>11</v>
      </c>
    </row>
    <row r="855" spans="1:13">
      <c r="A855" s="93">
        <v>120883</v>
      </c>
      <c r="B855" t="s">
        <v>1412</v>
      </c>
      <c r="C855" t="s">
        <v>4916</v>
      </c>
      <c r="D855" s="92">
        <v>0.66</v>
      </c>
      <c r="E855" s="92">
        <v>0.64</v>
      </c>
      <c r="F855">
        <v>1120</v>
      </c>
      <c r="G855">
        <v>1250</v>
      </c>
      <c r="H855" t="s">
        <v>4931</v>
      </c>
      <c r="I855">
        <v>0</v>
      </c>
      <c r="J855" t="s">
        <v>97</v>
      </c>
      <c r="K855">
        <v>0</v>
      </c>
      <c r="L855">
        <v>0</v>
      </c>
      <c r="M855" t="s">
        <v>11</v>
      </c>
    </row>
    <row r="856" spans="1:13">
      <c r="A856" s="93">
        <v>120953</v>
      </c>
      <c r="B856" t="s">
        <v>1413</v>
      </c>
      <c r="C856" t="s">
        <v>4919</v>
      </c>
      <c r="D856" s="92">
        <v>0.37</v>
      </c>
      <c r="E856" s="92">
        <v>0.41</v>
      </c>
      <c r="F856" t="s">
        <v>446</v>
      </c>
      <c r="G856" t="s">
        <v>446</v>
      </c>
      <c r="H856" t="s">
        <v>4932</v>
      </c>
      <c r="I856">
        <v>0</v>
      </c>
      <c r="J856" t="s">
        <v>97</v>
      </c>
      <c r="K856">
        <v>0</v>
      </c>
      <c r="L856">
        <v>0</v>
      </c>
      <c r="M856" t="s">
        <v>11</v>
      </c>
    </row>
    <row r="857" spans="1:13">
      <c r="A857" s="93">
        <v>120971</v>
      </c>
      <c r="B857" t="s">
        <v>1414</v>
      </c>
      <c r="C857" t="s">
        <v>4919</v>
      </c>
      <c r="D857" s="92">
        <v>0.34</v>
      </c>
      <c r="E857" s="92">
        <v>0.27</v>
      </c>
      <c r="F857" t="s">
        <v>446</v>
      </c>
      <c r="G857" t="s">
        <v>446</v>
      </c>
      <c r="H857" t="s">
        <v>4932</v>
      </c>
      <c r="I857">
        <v>0</v>
      </c>
      <c r="J857" t="s">
        <v>97</v>
      </c>
      <c r="K857">
        <v>0</v>
      </c>
      <c r="L857">
        <v>0</v>
      </c>
      <c r="M857" t="s">
        <v>11</v>
      </c>
    </row>
    <row r="858" spans="1:13">
      <c r="A858" s="93">
        <v>121044</v>
      </c>
      <c r="B858" t="s">
        <v>1415</v>
      </c>
      <c r="C858" t="s">
        <v>4919</v>
      </c>
      <c r="D858" s="92">
        <v>0.47</v>
      </c>
      <c r="E858" s="92">
        <v>0.31</v>
      </c>
      <c r="F858" t="s">
        <v>446</v>
      </c>
      <c r="G858" t="s">
        <v>446</v>
      </c>
      <c r="H858" t="s">
        <v>4932</v>
      </c>
      <c r="I858">
        <v>0</v>
      </c>
      <c r="J858" t="s">
        <v>97</v>
      </c>
      <c r="K858">
        <v>0</v>
      </c>
      <c r="L858">
        <v>0</v>
      </c>
      <c r="M858" t="s">
        <v>11</v>
      </c>
    </row>
    <row r="859" spans="1:13">
      <c r="A859" s="93">
        <v>121150</v>
      </c>
      <c r="B859" t="s">
        <v>1416</v>
      </c>
      <c r="C859" t="s">
        <v>4917</v>
      </c>
      <c r="D859" s="92">
        <v>0.83</v>
      </c>
      <c r="E859" s="92">
        <v>0.87</v>
      </c>
      <c r="F859">
        <v>1260</v>
      </c>
      <c r="G859">
        <v>1350</v>
      </c>
      <c r="H859" t="s">
        <v>4930</v>
      </c>
      <c r="I859">
        <v>0</v>
      </c>
      <c r="J859" t="s">
        <v>97</v>
      </c>
      <c r="K859">
        <v>0</v>
      </c>
      <c r="L859">
        <v>0</v>
      </c>
      <c r="M859" t="s">
        <v>11</v>
      </c>
    </row>
    <row r="860" spans="1:13">
      <c r="A860" s="93">
        <v>121275</v>
      </c>
      <c r="B860" t="s">
        <v>1417</v>
      </c>
      <c r="C860" t="s">
        <v>4923</v>
      </c>
      <c r="D860" s="92" t="s">
        <v>446</v>
      </c>
      <c r="E860" s="92" t="s">
        <v>446</v>
      </c>
      <c r="F860" t="s">
        <v>446</v>
      </c>
      <c r="G860" t="s">
        <v>446</v>
      </c>
      <c r="H860" t="s">
        <v>4930</v>
      </c>
      <c r="I860">
        <v>0</v>
      </c>
      <c r="J860" t="s">
        <v>97</v>
      </c>
      <c r="K860">
        <v>0</v>
      </c>
      <c r="L860">
        <v>0</v>
      </c>
      <c r="M860" t="s">
        <v>11</v>
      </c>
    </row>
    <row r="861" spans="1:13">
      <c r="A861" s="93">
        <v>121309</v>
      </c>
      <c r="B861" t="s">
        <v>1418</v>
      </c>
      <c r="C861" t="s">
        <v>4920</v>
      </c>
      <c r="D861" s="92">
        <v>0.73</v>
      </c>
      <c r="E861" s="92">
        <v>0.68</v>
      </c>
      <c r="F861">
        <v>1170</v>
      </c>
      <c r="G861">
        <v>1260</v>
      </c>
      <c r="H861" t="s">
        <v>4930</v>
      </c>
      <c r="I861">
        <v>0</v>
      </c>
      <c r="J861" t="s">
        <v>97</v>
      </c>
      <c r="K861">
        <v>0</v>
      </c>
      <c r="L861">
        <v>0</v>
      </c>
      <c r="M861" t="s">
        <v>11</v>
      </c>
    </row>
    <row r="862" spans="1:13">
      <c r="A862" s="93">
        <v>121363</v>
      </c>
      <c r="B862" t="s">
        <v>1419</v>
      </c>
      <c r="C862" t="s">
        <v>4919</v>
      </c>
      <c r="D862" s="92">
        <v>0.38</v>
      </c>
      <c r="E862" s="92">
        <v>0.38</v>
      </c>
      <c r="F862" t="s">
        <v>446</v>
      </c>
      <c r="G862" t="s">
        <v>446</v>
      </c>
      <c r="H862" t="s">
        <v>4932</v>
      </c>
      <c r="I862">
        <v>0</v>
      </c>
      <c r="J862" t="s">
        <v>97</v>
      </c>
      <c r="K862">
        <v>0</v>
      </c>
      <c r="L862">
        <v>0</v>
      </c>
      <c r="M862" t="s">
        <v>11</v>
      </c>
    </row>
    <row r="863" spans="1:13">
      <c r="A863" s="93">
        <v>121619</v>
      </c>
      <c r="B863" t="s">
        <v>1420</v>
      </c>
      <c r="C863" t="s">
        <v>4923</v>
      </c>
      <c r="D863" s="92" t="s">
        <v>446</v>
      </c>
      <c r="E863" s="92" t="s">
        <v>446</v>
      </c>
      <c r="F863" t="s">
        <v>446</v>
      </c>
      <c r="G863" t="s">
        <v>446</v>
      </c>
      <c r="H863" t="s">
        <v>4932</v>
      </c>
      <c r="I863">
        <v>0</v>
      </c>
      <c r="J863" t="s">
        <v>97</v>
      </c>
      <c r="K863">
        <v>0</v>
      </c>
      <c r="L863">
        <v>0</v>
      </c>
      <c r="M863" t="s">
        <v>11</v>
      </c>
    </row>
    <row r="864" spans="1:13">
      <c r="A864" s="93">
        <v>121628</v>
      </c>
      <c r="B864" t="s">
        <v>1421</v>
      </c>
      <c r="C864" t="s">
        <v>4924</v>
      </c>
      <c r="D864" s="92" t="s">
        <v>446</v>
      </c>
      <c r="E864" s="92" t="s">
        <v>446</v>
      </c>
      <c r="F864" t="s">
        <v>446</v>
      </c>
      <c r="G864" t="s">
        <v>446</v>
      </c>
      <c r="H864" t="s">
        <v>4932</v>
      </c>
      <c r="I864">
        <v>0</v>
      </c>
      <c r="J864" t="s">
        <v>97</v>
      </c>
      <c r="K864">
        <v>0</v>
      </c>
      <c r="L864">
        <v>0</v>
      </c>
      <c r="M864" t="s">
        <v>11</v>
      </c>
    </row>
    <row r="865" spans="1:13">
      <c r="A865" s="93">
        <v>121691</v>
      </c>
      <c r="B865" t="s">
        <v>1422</v>
      </c>
      <c r="C865" t="s">
        <v>4916</v>
      </c>
      <c r="D865" s="92">
        <v>0.72</v>
      </c>
      <c r="E865" s="92">
        <v>0.73</v>
      </c>
      <c r="F865">
        <v>1110</v>
      </c>
      <c r="G865">
        <v>1195</v>
      </c>
      <c r="H865" t="s">
        <v>4930</v>
      </c>
      <c r="I865">
        <v>0</v>
      </c>
      <c r="J865" t="s">
        <v>97</v>
      </c>
      <c r="K865">
        <v>0</v>
      </c>
      <c r="L865">
        <v>0</v>
      </c>
      <c r="M865" t="s">
        <v>11</v>
      </c>
    </row>
    <row r="866" spans="1:13">
      <c r="A866" s="93">
        <v>121707</v>
      </c>
      <c r="B866" t="s">
        <v>1423</v>
      </c>
      <c r="C866" t="s">
        <v>4919</v>
      </c>
      <c r="D866" s="92">
        <v>0.31</v>
      </c>
      <c r="E866" s="92">
        <v>0.27</v>
      </c>
      <c r="F866" t="s">
        <v>446</v>
      </c>
      <c r="G866" t="s">
        <v>446</v>
      </c>
      <c r="H866" t="s">
        <v>4932</v>
      </c>
      <c r="I866">
        <v>0</v>
      </c>
      <c r="J866" t="s">
        <v>97</v>
      </c>
      <c r="K866">
        <v>0</v>
      </c>
      <c r="L866">
        <v>0</v>
      </c>
      <c r="M866" t="s">
        <v>11</v>
      </c>
    </row>
    <row r="867" spans="1:13">
      <c r="A867" s="93">
        <v>121886</v>
      </c>
      <c r="B867" t="s">
        <v>1424</v>
      </c>
      <c r="C867" t="s">
        <v>4923</v>
      </c>
      <c r="D867" s="92" t="s">
        <v>446</v>
      </c>
      <c r="E867" s="92" t="s">
        <v>446</v>
      </c>
      <c r="F867" t="s">
        <v>446</v>
      </c>
      <c r="G867" t="s">
        <v>446</v>
      </c>
      <c r="H867" t="s">
        <v>4932</v>
      </c>
      <c r="I867">
        <v>0</v>
      </c>
      <c r="J867" t="s">
        <v>97</v>
      </c>
      <c r="K867">
        <v>0</v>
      </c>
      <c r="L867">
        <v>0</v>
      </c>
      <c r="M867" t="s">
        <v>11</v>
      </c>
    </row>
    <row r="868" spans="1:13">
      <c r="A868" s="93">
        <v>121901</v>
      </c>
      <c r="B868" t="s">
        <v>1425</v>
      </c>
      <c r="C868" t="s">
        <v>4919</v>
      </c>
      <c r="D868" s="92">
        <v>0.38</v>
      </c>
      <c r="E868" s="92">
        <v>0.34</v>
      </c>
      <c r="F868" t="s">
        <v>446</v>
      </c>
      <c r="G868" t="s">
        <v>446</v>
      </c>
      <c r="H868" t="s">
        <v>4932</v>
      </c>
      <c r="I868">
        <v>0</v>
      </c>
      <c r="J868" t="s">
        <v>97</v>
      </c>
      <c r="K868">
        <v>0</v>
      </c>
      <c r="L868">
        <v>0</v>
      </c>
      <c r="M868" t="s">
        <v>11</v>
      </c>
    </row>
    <row r="869" spans="1:13">
      <c r="A869" s="93">
        <v>122117</v>
      </c>
      <c r="B869" t="s">
        <v>1426</v>
      </c>
      <c r="C869" t="s">
        <v>4924</v>
      </c>
      <c r="D869" s="92" t="s">
        <v>446</v>
      </c>
      <c r="E869" s="92" t="s">
        <v>446</v>
      </c>
      <c r="F869" t="s">
        <v>446</v>
      </c>
      <c r="G869" t="s">
        <v>446</v>
      </c>
      <c r="H869" t="s">
        <v>4932</v>
      </c>
      <c r="I869">
        <v>0</v>
      </c>
      <c r="J869" t="s">
        <v>97</v>
      </c>
      <c r="K869">
        <v>0</v>
      </c>
      <c r="L869">
        <v>0</v>
      </c>
      <c r="M869" t="s">
        <v>11</v>
      </c>
    </row>
    <row r="870" spans="1:13">
      <c r="A870" s="93">
        <v>122180</v>
      </c>
      <c r="B870" t="s">
        <v>1427</v>
      </c>
      <c r="C870" t="s">
        <v>4919</v>
      </c>
      <c r="D870" s="92">
        <v>0.3</v>
      </c>
      <c r="E870" s="92">
        <v>0.25</v>
      </c>
      <c r="F870" t="s">
        <v>446</v>
      </c>
      <c r="G870" t="s">
        <v>446</v>
      </c>
      <c r="H870" t="s">
        <v>4932</v>
      </c>
      <c r="I870">
        <v>0</v>
      </c>
      <c r="J870" t="s">
        <v>97</v>
      </c>
      <c r="K870">
        <v>0</v>
      </c>
      <c r="L870">
        <v>0</v>
      </c>
      <c r="M870" t="s">
        <v>11</v>
      </c>
    </row>
    <row r="871" spans="1:13">
      <c r="A871" s="93">
        <v>122205</v>
      </c>
      <c r="B871" t="s">
        <v>1428</v>
      </c>
      <c r="C871" t="s">
        <v>4919</v>
      </c>
      <c r="D871" s="92">
        <v>0.51</v>
      </c>
      <c r="E871" s="92">
        <v>0.44</v>
      </c>
      <c r="F871" t="s">
        <v>446</v>
      </c>
      <c r="G871" t="s">
        <v>446</v>
      </c>
      <c r="H871" t="s">
        <v>4932</v>
      </c>
      <c r="I871">
        <v>0</v>
      </c>
      <c r="J871" t="s">
        <v>97</v>
      </c>
      <c r="K871">
        <v>0</v>
      </c>
      <c r="L871">
        <v>0</v>
      </c>
      <c r="M871" t="s">
        <v>11</v>
      </c>
    </row>
    <row r="872" spans="1:13">
      <c r="A872" s="93">
        <v>122296</v>
      </c>
      <c r="B872" t="s">
        <v>1429</v>
      </c>
      <c r="C872" t="s">
        <v>4924</v>
      </c>
      <c r="D872" s="92" t="s">
        <v>446</v>
      </c>
      <c r="E872" s="92" t="s">
        <v>446</v>
      </c>
      <c r="F872" t="s">
        <v>446</v>
      </c>
      <c r="G872" t="s">
        <v>446</v>
      </c>
      <c r="H872" t="s">
        <v>4932</v>
      </c>
      <c r="I872">
        <v>0</v>
      </c>
      <c r="J872" t="s">
        <v>97</v>
      </c>
      <c r="K872">
        <v>0</v>
      </c>
      <c r="L872">
        <v>0</v>
      </c>
      <c r="M872" t="s">
        <v>11</v>
      </c>
    </row>
    <row r="873" spans="1:13">
      <c r="A873" s="93">
        <v>122375</v>
      </c>
      <c r="B873" t="s">
        <v>1430</v>
      </c>
      <c r="C873" t="s">
        <v>4923</v>
      </c>
      <c r="D873" s="92" t="s">
        <v>446</v>
      </c>
      <c r="E873" s="92" t="s">
        <v>446</v>
      </c>
      <c r="F873" t="s">
        <v>446</v>
      </c>
      <c r="G873" t="s">
        <v>446</v>
      </c>
      <c r="H873" t="s">
        <v>4932</v>
      </c>
      <c r="I873">
        <v>0</v>
      </c>
      <c r="J873" t="s">
        <v>97</v>
      </c>
      <c r="K873">
        <v>0</v>
      </c>
      <c r="L873">
        <v>0</v>
      </c>
      <c r="M873" t="s">
        <v>11</v>
      </c>
    </row>
    <row r="874" spans="1:13">
      <c r="A874" s="93">
        <v>122454</v>
      </c>
      <c r="B874" t="s">
        <v>1431</v>
      </c>
      <c r="C874" t="s">
        <v>4926</v>
      </c>
      <c r="D874" s="92">
        <v>0.39</v>
      </c>
      <c r="E874" s="92">
        <v>0.3</v>
      </c>
      <c r="F874" t="s">
        <v>446</v>
      </c>
      <c r="G874" t="s">
        <v>446</v>
      </c>
      <c r="H874" t="s">
        <v>4932</v>
      </c>
      <c r="I874">
        <v>0</v>
      </c>
      <c r="J874" t="s">
        <v>97</v>
      </c>
      <c r="K874">
        <v>0</v>
      </c>
      <c r="L874">
        <v>0</v>
      </c>
      <c r="M874" t="s">
        <v>11</v>
      </c>
    </row>
    <row r="875" spans="1:13">
      <c r="A875" s="93">
        <v>122506</v>
      </c>
      <c r="B875" t="s">
        <v>1432</v>
      </c>
      <c r="C875" t="s">
        <v>4926</v>
      </c>
      <c r="D875" s="92">
        <v>0.67</v>
      </c>
      <c r="E875" s="92">
        <v>0.75</v>
      </c>
      <c r="F875" t="s">
        <v>446</v>
      </c>
      <c r="G875" t="s">
        <v>446</v>
      </c>
      <c r="H875" t="s">
        <v>4930</v>
      </c>
      <c r="I875">
        <v>0</v>
      </c>
      <c r="J875" t="s">
        <v>97</v>
      </c>
      <c r="K875">
        <v>0</v>
      </c>
      <c r="L875">
        <v>0</v>
      </c>
      <c r="M875" t="s">
        <v>11</v>
      </c>
    </row>
    <row r="876" spans="1:13">
      <c r="A876" s="93">
        <v>122597</v>
      </c>
      <c r="B876" t="s">
        <v>1433</v>
      </c>
      <c r="C876" t="s">
        <v>4918</v>
      </c>
      <c r="D876" s="92">
        <v>0.54</v>
      </c>
      <c r="E876" s="92">
        <v>0.48</v>
      </c>
      <c r="F876" t="s">
        <v>446</v>
      </c>
      <c r="G876" t="s">
        <v>446</v>
      </c>
      <c r="H876" t="s">
        <v>4932</v>
      </c>
      <c r="I876">
        <v>0</v>
      </c>
      <c r="J876" t="s">
        <v>97</v>
      </c>
      <c r="K876">
        <v>0</v>
      </c>
      <c r="L876">
        <v>0</v>
      </c>
      <c r="M876" t="s">
        <v>11</v>
      </c>
    </row>
    <row r="877" spans="1:13">
      <c r="A877" s="93">
        <v>122649</v>
      </c>
      <c r="B877" t="s">
        <v>1434</v>
      </c>
      <c r="C877" t="s">
        <v>4924</v>
      </c>
      <c r="D877" s="92" t="s">
        <v>446</v>
      </c>
      <c r="E877" s="92" t="s">
        <v>446</v>
      </c>
      <c r="F877" t="s">
        <v>446</v>
      </c>
      <c r="G877" t="s">
        <v>446</v>
      </c>
      <c r="H877" t="s">
        <v>4932</v>
      </c>
      <c r="I877">
        <v>0</v>
      </c>
      <c r="J877" t="s">
        <v>97</v>
      </c>
      <c r="K877">
        <v>0</v>
      </c>
      <c r="L877">
        <v>0</v>
      </c>
      <c r="M877" t="s">
        <v>11</v>
      </c>
    </row>
    <row r="878" spans="1:13">
      <c r="A878" s="93">
        <v>122658</v>
      </c>
      <c r="B878" t="s">
        <v>1435</v>
      </c>
      <c r="C878" t="s">
        <v>4919</v>
      </c>
      <c r="D878" s="92">
        <v>0.34</v>
      </c>
      <c r="E878" s="92">
        <v>0.29</v>
      </c>
      <c r="F878" t="s">
        <v>446</v>
      </c>
      <c r="G878" t="s">
        <v>446</v>
      </c>
      <c r="H878" t="s">
        <v>4932</v>
      </c>
      <c r="I878">
        <v>0</v>
      </c>
      <c r="J878" t="s">
        <v>97</v>
      </c>
      <c r="K878">
        <v>0</v>
      </c>
      <c r="L878">
        <v>0</v>
      </c>
      <c r="M878" t="s">
        <v>11</v>
      </c>
    </row>
    <row r="879" spans="1:13">
      <c r="A879" s="93">
        <v>122685</v>
      </c>
      <c r="B879" t="s">
        <v>1436</v>
      </c>
      <c r="C879" t="s">
        <v>4923</v>
      </c>
      <c r="D879" s="92" t="s">
        <v>446</v>
      </c>
      <c r="E879" s="92" t="s">
        <v>446</v>
      </c>
      <c r="F879" t="s">
        <v>446</v>
      </c>
      <c r="G879" t="s">
        <v>446</v>
      </c>
      <c r="H879" t="s">
        <v>4930</v>
      </c>
      <c r="I879">
        <v>0</v>
      </c>
      <c r="J879" t="s">
        <v>97</v>
      </c>
      <c r="K879">
        <v>0</v>
      </c>
      <c r="L879">
        <v>0</v>
      </c>
      <c r="M879" t="s">
        <v>11</v>
      </c>
    </row>
    <row r="880" spans="1:13">
      <c r="A880" s="93">
        <v>122694</v>
      </c>
      <c r="B880" t="s">
        <v>1437</v>
      </c>
      <c r="C880" t="s">
        <v>4926</v>
      </c>
      <c r="D880" s="92">
        <v>0.54</v>
      </c>
      <c r="E880" s="92">
        <v>0.5600000000000001</v>
      </c>
      <c r="F880" t="s">
        <v>446</v>
      </c>
      <c r="G880" t="s">
        <v>446</v>
      </c>
      <c r="H880" t="s">
        <v>4930</v>
      </c>
      <c r="I880">
        <v>0</v>
      </c>
      <c r="J880" t="s">
        <v>97</v>
      </c>
      <c r="K880">
        <v>0</v>
      </c>
      <c r="L880">
        <v>0</v>
      </c>
      <c r="M880" t="s">
        <v>11</v>
      </c>
    </row>
    <row r="881" spans="1:13">
      <c r="A881" s="93">
        <v>122728</v>
      </c>
      <c r="B881" t="s">
        <v>1438</v>
      </c>
      <c r="C881" t="s">
        <v>4920</v>
      </c>
      <c r="D881" s="92">
        <v>0.58</v>
      </c>
      <c r="E881" s="92">
        <v>0.42</v>
      </c>
      <c r="F881" t="s">
        <v>446</v>
      </c>
      <c r="G881" t="s">
        <v>446</v>
      </c>
      <c r="H881" t="s">
        <v>4930</v>
      </c>
      <c r="I881">
        <v>0</v>
      </c>
      <c r="J881" t="s">
        <v>97</v>
      </c>
      <c r="K881">
        <v>0</v>
      </c>
      <c r="L881">
        <v>0</v>
      </c>
      <c r="M881" t="s">
        <v>11</v>
      </c>
    </row>
    <row r="882" spans="1:13">
      <c r="A882" s="93">
        <v>122755</v>
      </c>
      <c r="B882" t="s">
        <v>1439</v>
      </c>
      <c r="C882" t="s">
        <v>4920</v>
      </c>
      <c r="D882" s="92">
        <v>0.6899999999999999</v>
      </c>
      <c r="E882" s="92">
        <v>0.59</v>
      </c>
      <c r="F882" t="s">
        <v>446</v>
      </c>
      <c r="G882" t="s">
        <v>446</v>
      </c>
      <c r="H882" t="s">
        <v>4932</v>
      </c>
      <c r="I882">
        <v>0</v>
      </c>
      <c r="J882" t="s">
        <v>97</v>
      </c>
      <c r="K882">
        <v>0</v>
      </c>
      <c r="L882">
        <v>0</v>
      </c>
      <c r="M882" t="s">
        <v>11</v>
      </c>
    </row>
    <row r="883" spans="1:13">
      <c r="A883" s="93">
        <v>122791</v>
      </c>
      <c r="B883" t="s">
        <v>1440</v>
      </c>
      <c r="C883" t="s">
        <v>4919</v>
      </c>
      <c r="D883" s="92">
        <v>0.48</v>
      </c>
      <c r="E883" s="92">
        <v>0.37</v>
      </c>
      <c r="F883" t="s">
        <v>446</v>
      </c>
      <c r="G883" t="s">
        <v>446</v>
      </c>
      <c r="H883" t="s">
        <v>4932</v>
      </c>
      <c r="I883">
        <v>0</v>
      </c>
      <c r="J883" t="s">
        <v>97</v>
      </c>
      <c r="K883">
        <v>0</v>
      </c>
      <c r="L883">
        <v>0</v>
      </c>
      <c r="M883" t="s">
        <v>11</v>
      </c>
    </row>
    <row r="884" spans="1:13">
      <c r="A884" s="93">
        <v>122834</v>
      </c>
      <c r="B884" t="s">
        <v>1441</v>
      </c>
      <c r="C884" t="s">
        <v>4923</v>
      </c>
      <c r="D884" s="92" t="s">
        <v>446</v>
      </c>
      <c r="E884" s="92" t="s">
        <v>446</v>
      </c>
      <c r="F884" t="s">
        <v>446</v>
      </c>
      <c r="G884" t="s">
        <v>446</v>
      </c>
      <c r="H884" t="s">
        <v>4932</v>
      </c>
      <c r="I884">
        <v>0</v>
      </c>
      <c r="J884" t="s">
        <v>97</v>
      </c>
      <c r="K884">
        <v>0</v>
      </c>
      <c r="L884">
        <v>0</v>
      </c>
      <c r="M884" t="s">
        <v>11</v>
      </c>
    </row>
    <row r="885" spans="1:13">
      <c r="A885" s="93">
        <v>122852</v>
      </c>
      <c r="B885" t="s">
        <v>1442</v>
      </c>
      <c r="C885" t="s">
        <v>4923</v>
      </c>
      <c r="D885" s="92" t="s">
        <v>446</v>
      </c>
      <c r="E885" s="92" t="s">
        <v>446</v>
      </c>
      <c r="F885" t="s">
        <v>446</v>
      </c>
      <c r="G885" t="s">
        <v>446</v>
      </c>
      <c r="H885" t="s">
        <v>4932</v>
      </c>
      <c r="I885">
        <v>0</v>
      </c>
      <c r="J885" t="s">
        <v>97</v>
      </c>
      <c r="K885">
        <v>0</v>
      </c>
      <c r="L885">
        <v>0</v>
      </c>
      <c r="M885" t="s">
        <v>11</v>
      </c>
    </row>
    <row r="886" spans="1:13">
      <c r="A886" s="93">
        <v>122889</v>
      </c>
      <c r="B886" t="s">
        <v>1443</v>
      </c>
      <c r="C886" t="s">
        <v>4919</v>
      </c>
      <c r="D886" s="92">
        <v>0.51</v>
      </c>
      <c r="E886" s="92">
        <v>0.47</v>
      </c>
      <c r="F886" t="s">
        <v>446</v>
      </c>
      <c r="G886" t="s">
        <v>446</v>
      </c>
      <c r="H886" t="s">
        <v>4932</v>
      </c>
      <c r="I886">
        <v>0</v>
      </c>
      <c r="J886" t="s">
        <v>97</v>
      </c>
      <c r="K886">
        <v>0</v>
      </c>
      <c r="L886">
        <v>0</v>
      </c>
      <c r="M886" t="s">
        <v>11</v>
      </c>
    </row>
    <row r="887" spans="1:13">
      <c r="A887" s="93">
        <v>122931</v>
      </c>
      <c r="B887" t="s">
        <v>1444</v>
      </c>
      <c r="C887" t="s">
        <v>4917</v>
      </c>
      <c r="D887" s="92">
        <v>0.91</v>
      </c>
      <c r="E887" s="92">
        <v>0.9</v>
      </c>
      <c r="F887">
        <v>1330</v>
      </c>
      <c r="G887">
        <v>1410</v>
      </c>
      <c r="H887" t="s">
        <v>4930</v>
      </c>
      <c r="I887">
        <v>0</v>
      </c>
      <c r="J887" t="s">
        <v>97</v>
      </c>
      <c r="K887">
        <v>0</v>
      </c>
      <c r="L887">
        <v>0</v>
      </c>
      <c r="M887" t="s">
        <v>11</v>
      </c>
    </row>
    <row r="888" spans="1:13">
      <c r="A888" s="93">
        <v>123013</v>
      </c>
      <c r="B888" t="s">
        <v>1445</v>
      </c>
      <c r="C888" t="s">
        <v>4919</v>
      </c>
      <c r="D888" s="92">
        <v>0.41</v>
      </c>
      <c r="E888" s="92">
        <v>0.33</v>
      </c>
      <c r="F888" t="s">
        <v>446</v>
      </c>
      <c r="G888" t="s">
        <v>446</v>
      </c>
      <c r="H888" t="s">
        <v>4932</v>
      </c>
      <c r="I888">
        <v>0</v>
      </c>
      <c r="J888" t="s">
        <v>97</v>
      </c>
      <c r="K888">
        <v>0</v>
      </c>
      <c r="L888">
        <v>0</v>
      </c>
      <c r="M888" t="s">
        <v>11</v>
      </c>
    </row>
    <row r="889" spans="1:13">
      <c r="A889" s="93">
        <v>123095</v>
      </c>
      <c r="B889" t="s">
        <v>1446</v>
      </c>
      <c r="C889" t="s">
        <v>4924</v>
      </c>
      <c r="D889" s="92" t="s">
        <v>446</v>
      </c>
      <c r="E889" s="92" t="s">
        <v>446</v>
      </c>
      <c r="F889" t="s">
        <v>446</v>
      </c>
      <c r="G889" t="s">
        <v>446</v>
      </c>
      <c r="H889" t="s">
        <v>4932</v>
      </c>
      <c r="I889">
        <v>0</v>
      </c>
      <c r="J889" t="s">
        <v>97</v>
      </c>
      <c r="K889">
        <v>0</v>
      </c>
      <c r="L889">
        <v>0</v>
      </c>
      <c r="M889" t="s">
        <v>11</v>
      </c>
    </row>
    <row r="890" spans="1:13">
      <c r="A890" s="93">
        <v>123165</v>
      </c>
      <c r="B890" t="s">
        <v>1447</v>
      </c>
      <c r="C890" t="s">
        <v>4922</v>
      </c>
      <c r="D890" s="92">
        <v>0.87</v>
      </c>
      <c r="E890" s="92">
        <v>0.84</v>
      </c>
      <c r="F890">
        <v>1380</v>
      </c>
      <c r="G890">
        <v>1450</v>
      </c>
      <c r="H890" t="s">
        <v>4931</v>
      </c>
      <c r="I890">
        <v>0</v>
      </c>
      <c r="J890" t="s">
        <v>97</v>
      </c>
      <c r="K890">
        <v>0</v>
      </c>
      <c r="L890">
        <v>0</v>
      </c>
      <c r="M890" t="s">
        <v>11</v>
      </c>
    </row>
    <row r="891" spans="1:13">
      <c r="A891" s="93">
        <v>123217</v>
      </c>
      <c r="B891" t="s">
        <v>1448</v>
      </c>
      <c r="C891" t="s">
        <v>4919</v>
      </c>
      <c r="D891" s="92">
        <v>0.36</v>
      </c>
      <c r="E891" s="92">
        <v>0.34</v>
      </c>
      <c r="F891" t="s">
        <v>446</v>
      </c>
      <c r="G891" t="s">
        <v>446</v>
      </c>
      <c r="H891" t="s">
        <v>4932</v>
      </c>
      <c r="I891">
        <v>0</v>
      </c>
      <c r="J891" t="s">
        <v>97</v>
      </c>
      <c r="K891">
        <v>0</v>
      </c>
      <c r="L891">
        <v>0</v>
      </c>
      <c r="M891" t="s">
        <v>11</v>
      </c>
    </row>
    <row r="892" spans="1:13">
      <c r="A892" s="93">
        <v>123280</v>
      </c>
      <c r="B892" t="s">
        <v>1449</v>
      </c>
      <c r="C892" t="s">
        <v>4924</v>
      </c>
      <c r="D892" s="92">
        <v>0.67</v>
      </c>
      <c r="E892" s="92" t="s">
        <v>446</v>
      </c>
      <c r="F892" t="s">
        <v>446</v>
      </c>
      <c r="G892" t="s">
        <v>446</v>
      </c>
      <c r="H892" t="s">
        <v>4932</v>
      </c>
      <c r="I892">
        <v>0</v>
      </c>
      <c r="J892" t="s">
        <v>97</v>
      </c>
      <c r="K892">
        <v>0</v>
      </c>
      <c r="L892">
        <v>0</v>
      </c>
      <c r="M892" t="s">
        <v>11</v>
      </c>
    </row>
    <row r="893" spans="1:13">
      <c r="A893" s="93">
        <v>123299</v>
      </c>
      <c r="B893" t="s">
        <v>1450</v>
      </c>
      <c r="C893" t="s">
        <v>4923</v>
      </c>
      <c r="D893" s="92" t="s">
        <v>446</v>
      </c>
      <c r="E893" s="92" t="s">
        <v>446</v>
      </c>
      <c r="F893" t="s">
        <v>446</v>
      </c>
      <c r="G893" t="s">
        <v>446</v>
      </c>
      <c r="H893" t="s">
        <v>4932</v>
      </c>
      <c r="I893">
        <v>0</v>
      </c>
      <c r="J893" t="s">
        <v>97</v>
      </c>
      <c r="K893">
        <v>0</v>
      </c>
      <c r="L893">
        <v>0</v>
      </c>
      <c r="M893" t="s">
        <v>11</v>
      </c>
    </row>
    <row r="894" spans="1:13">
      <c r="A894" s="93">
        <v>123341</v>
      </c>
      <c r="B894" t="s">
        <v>1451</v>
      </c>
      <c r="C894" t="s">
        <v>4919</v>
      </c>
      <c r="D894" s="92">
        <v>0.41</v>
      </c>
      <c r="E894" s="92">
        <v>0.37</v>
      </c>
      <c r="F894" t="s">
        <v>446</v>
      </c>
      <c r="G894" t="s">
        <v>446</v>
      </c>
      <c r="H894" t="s">
        <v>4932</v>
      </c>
      <c r="I894">
        <v>0</v>
      </c>
      <c r="J894" t="s">
        <v>97</v>
      </c>
      <c r="K894">
        <v>0</v>
      </c>
      <c r="L894">
        <v>0</v>
      </c>
      <c r="M894" t="s">
        <v>11</v>
      </c>
    </row>
    <row r="895" spans="1:13">
      <c r="A895" s="93">
        <v>123448</v>
      </c>
      <c r="B895" t="s">
        <v>1452</v>
      </c>
      <c r="C895" t="s">
        <v>4924</v>
      </c>
      <c r="D895" s="92" t="s">
        <v>446</v>
      </c>
      <c r="E895" s="92" t="s">
        <v>446</v>
      </c>
      <c r="F895" t="s">
        <v>446</v>
      </c>
      <c r="G895" t="s">
        <v>446</v>
      </c>
      <c r="H895" t="s">
        <v>4932</v>
      </c>
      <c r="I895">
        <v>0</v>
      </c>
      <c r="J895" t="s">
        <v>97</v>
      </c>
      <c r="K895">
        <v>0</v>
      </c>
      <c r="L895">
        <v>0</v>
      </c>
      <c r="M895" t="s">
        <v>11</v>
      </c>
    </row>
    <row r="896" spans="1:13">
      <c r="A896" s="93">
        <v>123457</v>
      </c>
      <c r="B896" t="s">
        <v>1453</v>
      </c>
      <c r="C896" t="s">
        <v>4920</v>
      </c>
      <c r="D896" s="92">
        <v>0.44</v>
      </c>
      <c r="E896" s="92">
        <v>0.37</v>
      </c>
      <c r="F896" t="s">
        <v>446</v>
      </c>
      <c r="G896" t="s">
        <v>446</v>
      </c>
      <c r="H896" t="s">
        <v>4930</v>
      </c>
      <c r="I896">
        <v>0</v>
      </c>
      <c r="J896" t="s">
        <v>97</v>
      </c>
      <c r="K896">
        <v>0</v>
      </c>
      <c r="L896">
        <v>0</v>
      </c>
      <c r="M896" t="s">
        <v>11</v>
      </c>
    </row>
    <row r="897" spans="1:13">
      <c r="A897" s="93">
        <v>123484</v>
      </c>
      <c r="B897" t="s">
        <v>1454</v>
      </c>
      <c r="C897" t="s">
        <v>4919</v>
      </c>
      <c r="D897" s="92">
        <v>0.34</v>
      </c>
      <c r="E897" s="92">
        <v>0.28</v>
      </c>
      <c r="F897" t="s">
        <v>446</v>
      </c>
      <c r="G897" t="s">
        <v>446</v>
      </c>
      <c r="H897" t="s">
        <v>4932</v>
      </c>
      <c r="I897">
        <v>0</v>
      </c>
      <c r="J897" t="s">
        <v>97</v>
      </c>
      <c r="K897">
        <v>0</v>
      </c>
      <c r="L897">
        <v>0</v>
      </c>
      <c r="M897" t="s">
        <v>11</v>
      </c>
    </row>
    <row r="898" spans="1:13">
      <c r="A898" s="93">
        <v>123509</v>
      </c>
      <c r="B898" t="s">
        <v>1455</v>
      </c>
      <c r="C898" t="s">
        <v>4923</v>
      </c>
      <c r="D898" s="92">
        <v>0.22</v>
      </c>
      <c r="E898" s="92">
        <v>0.16</v>
      </c>
      <c r="F898" t="s">
        <v>446</v>
      </c>
      <c r="G898" t="s">
        <v>446</v>
      </c>
      <c r="H898" t="s">
        <v>4932</v>
      </c>
      <c r="I898">
        <v>0</v>
      </c>
      <c r="J898" t="s">
        <v>97</v>
      </c>
      <c r="K898">
        <v>0</v>
      </c>
      <c r="L898">
        <v>0</v>
      </c>
      <c r="M898" t="s">
        <v>11</v>
      </c>
    </row>
    <row r="899" spans="1:13">
      <c r="A899" s="93">
        <v>123527</v>
      </c>
      <c r="B899" t="s">
        <v>1456</v>
      </c>
      <c r="C899" t="s">
        <v>4919</v>
      </c>
      <c r="D899" s="92">
        <v>0.23</v>
      </c>
      <c r="E899" s="92">
        <v>0.21</v>
      </c>
      <c r="F899" t="s">
        <v>446</v>
      </c>
      <c r="G899" t="s">
        <v>446</v>
      </c>
      <c r="H899" t="s">
        <v>4932</v>
      </c>
      <c r="I899">
        <v>0</v>
      </c>
      <c r="J899" t="s">
        <v>97</v>
      </c>
      <c r="K899">
        <v>0</v>
      </c>
      <c r="L899">
        <v>0</v>
      </c>
      <c r="M899" t="s">
        <v>11</v>
      </c>
    </row>
    <row r="900" spans="1:13">
      <c r="A900" s="93">
        <v>123554</v>
      </c>
      <c r="B900" t="s">
        <v>1457</v>
      </c>
      <c r="C900" t="s">
        <v>4920</v>
      </c>
      <c r="D900" s="92">
        <v>0.74</v>
      </c>
      <c r="E900" s="92">
        <v>0.72</v>
      </c>
      <c r="F900" t="s">
        <v>446</v>
      </c>
      <c r="G900" t="s">
        <v>446</v>
      </c>
      <c r="H900" t="s">
        <v>4931</v>
      </c>
      <c r="I900">
        <v>0</v>
      </c>
      <c r="J900" t="s">
        <v>97</v>
      </c>
      <c r="K900">
        <v>0</v>
      </c>
      <c r="L900">
        <v>0</v>
      </c>
      <c r="M900" t="s">
        <v>11</v>
      </c>
    </row>
    <row r="901" spans="1:13">
      <c r="A901" s="93">
        <v>123563</v>
      </c>
      <c r="B901" t="s">
        <v>1458</v>
      </c>
      <c r="C901" t="s">
        <v>4923</v>
      </c>
      <c r="D901" s="92" t="s">
        <v>446</v>
      </c>
      <c r="E901" s="92" t="s">
        <v>446</v>
      </c>
      <c r="F901" t="s">
        <v>446</v>
      </c>
      <c r="G901" t="s">
        <v>446</v>
      </c>
      <c r="H901" t="s">
        <v>4932</v>
      </c>
      <c r="I901">
        <v>0</v>
      </c>
      <c r="J901" t="s">
        <v>97</v>
      </c>
      <c r="K901">
        <v>0</v>
      </c>
      <c r="L901">
        <v>0</v>
      </c>
      <c r="M901" t="s">
        <v>11</v>
      </c>
    </row>
    <row r="902" spans="1:13">
      <c r="A902" s="93">
        <v>123572</v>
      </c>
      <c r="B902" t="s">
        <v>1459</v>
      </c>
      <c r="C902" t="s">
        <v>4920</v>
      </c>
      <c r="D902" s="92">
        <v>0.6</v>
      </c>
      <c r="E902" s="92">
        <v>0.59</v>
      </c>
      <c r="F902" t="s">
        <v>446</v>
      </c>
      <c r="G902" t="s">
        <v>446</v>
      </c>
      <c r="H902" t="s">
        <v>4932</v>
      </c>
      <c r="I902">
        <v>0</v>
      </c>
      <c r="J902" t="s">
        <v>97</v>
      </c>
      <c r="K902">
        <v>0</v>
      </c>
      <c r="L902">
        <v>0</v>
      </c>
      <c r="M902" t="s">
        <v>11</v>
      </c>
    </row>
    <row r="903" spans="1:13">
      <c r="A903" s="93">
        <v>123633</v>
      </c>
      <c r="B903" t="s">
        <v>1460</v>
      </c>
      <c r="C903" t="s">
        <v>4924</v>
      </c>
      <c r="D903" s="92" t="s">
        <v>446</v>
      </c>
      <c r="E903" s="92" t="s">
        <v>446</v>
      </c>
      <c r="F903" t="s">
        <v>446</v>
      </c>
      <c r="G903" t="s">
        <v>446</v>
      </c>
      <c r="H903" t="s">
        <v>4932</v>
      </c>
      <c r="I903">
        <v>0</v>
      </c>
      <c r="J903" t="s">
        <v>97</v>
      </c>
      <c r="K903">
        <v>0</v>
      </c>
      <c r="L903">
        <v>0</v>
      </c>
      <c r="M903" t="s">
        <v>11</v>
      </c>
    </row>
    <row r="904" spans="1:13">
      <c r="A904" s="93">
        <v>123642</v>
      </c>
      <c r="B904" t="s">
        <v>1461</v>
      </c>
      <c r="C904" t="s">
        <v>4919</v>
      </c>
      <c r="D904" s="92" t="s">
        <v>446</v>
      </c>
      <c r="E904" s="92" t="s">
        <v>446</v>
      </c>
      <c r="F904" t="s">
        <v>446</v>
      </c>
      <c r="G904" t="s">
        <v>446</v>
      </c>
      <c r="H904" t="s">
        <v>4931</v>
      </c>
      <c r="I904">
        <v>0</v>
      </c>
      <c r="J904" t="s">
        <v>97</v>
      </c>
      <c r="K904">
        <v>0</v>
      </c>
      <c r="L904">
        <v>0</v>
      </c>
      <c r="M904" t="s">
        <v>11</v>
      </c>
    </row>
    <row r="905" spans="1:13">
      <c r="A905" s="93">
        <v>123651</v>
      </c>
      <c r="B905" t="s">
        <v>1462</v>
      </c>
      <c r="C905" t="s">
        <v>4916</v>
      </c>
      <c r="D905" s="92">
        <v>0.61</v>
      </c>
      <c r="E905" s="92">
        <v>0.5600000000000001</v>
      </c>
      <c r="F905">
        <v>980</v>
      </c>
      <c r="G905">
        <v>1090</v>
      </c>
      <c r="H905" t="s">
        <v>4930</v>
      </c>
      <c r="I905">
        <v>0</v>
      </c>
      <c r="J905" t="s">
        <v>97</v>
      </c>
      <c r="K905">
        <v>0</v>
      </c>
      <c r="L905">
        <v>0</v>
      </c>
      <c r="M905" t="s">
        <v>11</v>
      </c>
    </row>
    <row r="906" spans="1:13">
      <c r="A906" s="93">
        <v>123679</v>
      </c>
      <c r="B906" t="s">
        <v>1463</v>
      </c>
      <c r="C906" t="s">
        <v>4919</v>
      </c>
      <c r="D906" s="92" t="s">
        <v>446</v>
      </c>
      <c r="E906" s="92" t="s">
        <v>446</v>
      </c>
      <c r="F906" t="s">
        <v>446</v>
      </c>
      <c r="G906" t="s">
        <v>446</v>
      </c>
      <c r="H906" t="s">
        <v>4930</v>
      </c>
      <c r="I906">
        <v>0</v>
      </c>
      <c r="J906" t="s">
        <v>97</v>
      </c>
      <c r="K906">
        <v>0</v>
      </c>
      <c r="L906">
        <v>0</v>
      </c>
      <c r="M906" t="s">
        <v>11</v>
      </c>
    </row>
    <row r="907" spans="1:13">
      <c r="A907" s="93">
        <v>123800</v>
      </c>
      <c r="B907" t="s">
        <v>1464</v>
      </c>
      <c r="C907" t="s">
        <v>4919</v>
      </c>
      <c r="D907" s="92">
        <v>0.37</v>
      </c>
      <c r="E907" s="92">
        <v>0.34</v>
      </c>
      <c r="F907" t="s">
        <v>446</v>
      </c>
      <c r="G907" t="s">
        <v>446</v>
      </c>
      <c r="H907" t="s">
        <v>4932</v>
      </c>
      <c r="I907">
        <v>0</v>
      </c>
      <c r="J907" t="s">
        <v>97</v>
      </c>
      <c r="K907">
        <v>0</v>
      </c>
      <c r="L907">
        <v>0</v>
      </c>
      <c r="M907" t="s">
        <v>11</v>
      </c>
    </row>
    <row r="908" spans="1:13">
      <c r="A908" s="93">
        <v>123916</v>
      </c>
      <c r="B908" t="s">
        <v>1465</v>
      </c>
      <c r="C908" t="s">
        <v>4924</v>
      </c>
      <c r="D908" s="92" t="s">
        <v>446</v>
      </c>
      <c r="E908" s="92" t="s">
        <v>446</v>
      </c>
      <c r="F908" t="s">
        <v>446</v>
      </c>
      <c r="G908" t="s">
        <v>446</v>
      </c>
      <c r="H908" t="s">
        <v>4932</v>
      </c>
      <c r="I908">
        <v>0</v>
      </c>
      <c r="J908" t="s">
        <v>97</v>
      </c>
      <c r="K908">
        <v>0</v>
      </c>
      <c r="L908">
        <v>0</v>
      </c>
      <c r="M908" t="s">
        <v>11</v>
      </c>
    </row>
    <row r="909" spans="1:13">
      <c r="A909" s="93">
        <v>123943</v>
      </c>
      <c r="B909" t="s">
        <v>1466</v>
      </c>
      <c r="C909" t="s">
        <v>4924</v>
      </c>
      <c r="D909" s="92" t="s">
        <v>446</v>
      </c>
      <c r="E909" s="92" t="s">
        <v>446</v>
      </c>
      <c r="F909" t="s">
        <v>446</v>
      </c>
      <c r="G909" t="s">
        <v>446</v>
      </c>
      <c r="H909" t="s">
        <v>4932</v>
      </c>
      <c r="I909">
        <v>0</v>
      </c>
      <c r="J909" t="s">
        <v>97</v>
      </c>
      <c r="K909">
        <v>0</v>
      </c>
      <c r="L909">
        <v>0</v>
      </c>
      <c r="M909" t="s">
        <v>11</v>
      </c>
    </row>
    <row r="910" spans="1:13">
      <c r="A910" s="93">
        <v>123952</v>
      </c>
      <c r="B910" t="s">
        <v>1467</v>
      </c>
      <c r="C910" t="s">
        <v>4923</v>
      </c>
      <c r="D910" s="92">
        <v>0.8100000000000001</v>
      </c>
      <c r="E910" s="92">
        <v>0.78</v>
      </c>
      <c r="F910">
        <v>1180</v>
      </c>
      <c r="G910">
        <v>1295</v>
      </c>
      <c r="H910" t="s">
        <v>4930</v>
      </c>
      <c r="I910">
        <v>0</v>
      </c>
      <c r="J910" t="s">
        <v>97</v>
      </c>
      <c r="K910">
        <v>0</v>
      </c>
      <c r="L910">
        <v>0</v>
      </c>
      <c r="M910" t="s">
        <v>11</v>
      </c>
    </row>
    <row r="911" spans="1:13">
      <c r="A911" s="93">
        <v>123970</v>
      </c>
      <c r="B911" t="s">
        <v>1468</v>
      </c>
      <c r="C911" t="s">
        <v>4924</v>
      </c>
      <c r="D911" s="92" t="s">
        <v>446</v>
      </c>
      <c r="E911" s="92" t="s">
        <v>446</v>
      </c>
      <c r="F911" t="s">
        <v>446</v>
      </c>
      <c r="G911" t="s">
        <v>446</v>
      </c>
      <c r="H911" t="s">
        <v>4932</v>
      </c>
      <c r="I911">
        <v>0</v>
      </c>
      <c r="J911" t="s">
        <v>97</v>
      </c>
      <c r="K911">
        <v>0</v>
      </c>
      <c r="L911">
        <v>0</v>
      </c>
      <c r="M911" t="s">
        <v>11</v>
      </c>
    </row>
    <row r="912" spans="1:13">
      <c r="A912" s="93">
        <v>124283</v>
      </c>
      <c r="B912" t="s">
        <v>1469</v>
      </c>
      <c r="C912" t="s">
        <v>4924</v>
      </c>
      <c r="D912" s="92" t="s">
        <v>446</v>
      </c>
      <c r="E912" s="92" t="s">
        <v>446</v>
      </c>
      <c r="F912" t="s">
        <v>446</v>
      </c>
      <c r="G912" t="s">
        <v>446</v>
      </c>
      <c r="H912" t="s">
        <v>4932</v>
      </c>
      <c r="I912">
        <v>0</v>
      </c>
      <c r="J912" t="s">
        <v>97</v>
      </c>
      <c r="K912">
        <v>0</v>
      </c>
      <c r="L912">
        <v>0</v>
      </c>
      <c r="M912" t="s">
        <v>11</v>
      </c>
    </row>
    <row r="913" spans="1:13">
      <c r="A913" s="93">
        <v>124292</v>
      </c>
      <c r="B913" t="s">
        <v>1470</v>
      </c>
      <c r="C913" t="s">
        <v>4917</v>
      </c>
      <c r="D913" s="92">
        <v>0.85</v>
      </c>
      <c r="E913" s="92">
        <v>0.86</v>
      </c>
      <c r="F913">
        <v>1180</v>
      </c>
      <c r="G913">
        <v>1275</v>
      </c>
      <c r="H913" t="s">
        <v>4931</v>
      </c>
      <c r="I913">
        <v>0</v>
      </c>
      <c r="J913" t="s">
        <v>97</v>
      </c>
      <c r="K913">
        <v>0</v>
      </c>
      <c r="L913">
        <v>0</v>
      </c>
      <c r="M913" t="s">
        <v>11</v>
      </c>
    </row>
    <row r="914" spans="1:13">
      <c r="A914" s="93">
        <v>124487</v>
      </c>
      <c r="B914" t="s">
        <v>1471</v>
      </c>
      <c r="C914" t="s">
        <v>4923</v>
      </c>
      <c r="D914" s="92">
        <v>0.23</v>
      </c>
      <c r="E914" s="92">
        <v>0</v>
      </c>
      <c r="F914" t="s">
        <v>446</v>
      </c>
      <c r="G914" t="s">
        <v>446</v>
      </c>
      <c r="H914" t="s">
        <v>4932</v>
      </c>
      <c r="I914">
        <v>0</v>
      </c>
      <c r="J914" t="s">
        <v>97</v>
      </c>
      <c r="K914">
        <v>0</v>
      </c>
      <c r="L914">
        <v>0</v>
      </c>
      <c r="M914" t="s">
        <v>11</v>
      </c>
    </row>
    <row r="915" spans="1:13">
      <c r="A915" s="93">
        <v>124706</v>
      </c>
      <c r="B915" t="s">
        <v>1472</v>
      </c>
      <c r="C915" t="s">
        <v>4919</v>
      </c>
      <c r="D915" s="92" t="s">
        <v>446</v>
      </c>
      <c r="E915" s="92" t="s">
        <v>446</v>
      </c>
      <c r="F915" t="s">
        <v>446</v>
      </c>
      <c r="G915" t="s">
        <v>446</v>
      </c>
      <c r="H915" t="s">
        <v>4930</v>
      </c>
      <c r="I915">
        <v>0</v>
      </c>
      <c r="J915" t="s">
        <v>97</v>
      </c>
      <c r="K915">
        <v>0</v>
      </c>
      <c r="L915">
        <v>0</v>
      </c>
      <c r="M915" t="s">
        <v>11</v>
      </c>
    </row>
    <row r="916" spans="1:13">
      <c r="A916" s="93">
        <v>124937</v>
      </c>
      <c r="B916" t="s">
        <v>1473</v>
      </c>
      <c r="C916" t="s">
        <v>4919</v>
      </c>
      <c r="D916" s="92" t="s">
        <v>446</v>
      </c>
      <c r="E916" s="92" t="s">
        <v>446</v>
      </c>
      <c r="F916" t="s">
        <v>446</v>
      </c>
      <c r="G916" t="s">
        <v>446</v>
      </c>
      <c r="H916" t="s">
        <v>4930</v>
      </c>
      <c r="I916">
        <v>0</v>
      </c>
      <c r="J916" t="s">
        <v>97</v>
      </c>
      <c r="K916">
        <v>0</v>
      </c>
      <c r="L916">
        <v>0</v>
      </c>
      <c r="M916" t="s">
        <v>11</v>
      </c>
    </row>
    <row r="917" spans="1:13">
      <c r="A917" s="93">
        <v>125037</v>
      </c>
      <c r="B917" t="s">
        <v>1474</v>
      </c>
      <c r="C917" t="s">
        <v>4924</v>
      </c>
      <c r="D917" s="92" t="s">
        <v>446</v>
      </c>
      <c r="E917" s="92" t="s">
        <v>446</v>
      </c>
      <c r="F917" t="s">
        <v>446</v>
      </c>
      <c r="G917" t="s">
        <v>446</v>
      </c>
      <c r="H917" t="s">
        <v>4932</v>
      </c>
      <c r="I917">
        <v>0</v>
      </c>
      <c r="J917" t="s">
        <v>97</v>
      </c>
      <c r="K917">
        <v>0</v>
      </c>
      <c r="L917">
        <v>0</v>
      </c>
      <c r="M917" t="s">
        <v>11</v>
      </c>
    </row>
    <row r="918" spans="1:13">
      <c r="A918" s="93">
        <v>125091</v>
      </c>
      <c r="B918" t="s">
        <v>1475</v>
      </c>
      <c r="C918" t="s">
        <v>4919</v>
      </c>
      <c r="D918" s="92">
        <v>0.27</v>
      </c>
      <c r="E918" s="92">
        <v>0.25</v>
      </c>
      <c r="F918" t="s">
        <v>446</v>
      </c>
      <c r="G918" t="s">
        <v>446</v>
      </c>
      <c r="H918" t="s">
        <v>4932</v>
      </c>
      <c r="I918">
        <v>0</v>
      </c>
      <c r="J918" t="s">
        <v>97</v>
      </c>
      <c r="K918">
        <v>0</v>
      </c>
      <c r="L918">
        <v>0</v>
      </c>
      <c r="M918" t="s">
        <v>11</v>
      </c>
    </row>
    <row r="919" spans="1:13">
      <c r="A919" s="93">
        <v>125170</v>
      </c>
      <c r="B919" t="s">
        <v>1476</v>
      </c>
      <c r="C919" t="s">
        <v>4919</v>
      </c>
      <c r="D919" s="92">
        <v>0.47</v>
      </c>
      <c r="E919" s="92">
        <v>0.39</v>
      </c>
      <c r="F919" t="s">
        <v>446</v>
      </c>
      <c r="G919" t="s">
        <v>446</v>
      </c>
      <c r="H919" t="s">
        <v>4932</v>
      </c>
      <c r="I919">
        <v>0</v>
      </c>
      <c r="J919" t="s">
        <v>97</v>
      </c>
      <c r="K919">
        <v>0</v>
      </c>
      <c r="L919">
        <v>0</v>
      </c>
      <c r="M919" t="s">
        <v>11</v>
      </c>
    </row>
    <row r="920" spans="1:13">
      <c r="A920" s="93">
        <v>125462</v>
      </c>
      <c r="B920" t="s">
        <v>1477</v>
      </c>
      <c r="C920" t="s">
        <v>4919</v>
      </c>
      <c r="D920" s="92">
        <v>0.37</v>
      </c>
      <c r="E920" s="92">
        <v>0.36</v>
      </c>
      <c r="F920" t="s">
        <v>446</v>
      </c>
      <c r="G920" t="s">
        <v>446</v>
      </c>
      <c r="H920" t="s">
        <v>4932</v>
      </c>
      <c r="I920">
        <v>0</v>
      </c>
      <c r="J920" t="s">
        <v>97</v>
      </c>
      <c r="K920">
        <v>0</v>
      </c>
      <c r="L920">
        <v>0</v>
      </c>
      <c r="M920" t="s">
        <v>11</v>
      </c>
    </row>
    <row r="921" spans="1:13">
      <c r="A921" s="93">
        <v>125471</v>
      </c>
      <c r="B921" t="s">
        <v>1478</v>
      </c>
      <c r="C921" t="s">
        <v>4923</v>
      </c>
      <c r="D921" s="92" t="s">
        <v>446</v>
      </c>
      <c r="E921" s="92" t="s">
        <v>446</v>
      </c>
      <c r="F921" t="s">
        <v>446</v>
      </c>
      <c r="G921" t="s">
        <v>446</v>
      </c>
      <c r="H921" t="s">
        <v>4932</v>
      </c>
      <c r="I921">
        <v>0</v>
      </c>
      <c r="J921" t="s">
        <v>97</v>
      </c>
      <c r="K921">
        <v>0</v>
      </c>
      <c r="L921">
        <v>0</v>
      </c>
      <c r="M921" t="s">
        <v>11</v>
      </c>
    </row>
    <row r="922" spans="1:13">
      <c r="A922" s="93">
        <v>125499</v>
      </c>
      <c r="B922" t="s">
        <v>1479</v>
      </c>
      <c r="C922" t="s">
        <v>4919</v>
      </c>
      <c r="D922" s="92">
        <v>0.45</v>
      </c>
      <c r="E922" s="92">
        <v>0.39</v>
      </c>
      <c r="F922" t="s">
        <v>446</v>
      </c>
      <c r="G922" t="s">
        <v>446</v>
      </c>
      <c r="H922" t="s">
        <v>4932</v>
      </c>
      <c r="I922">
        <v>0</v>
      </c>
      <c r="J922" t="s">
        <v>97</v>
      </c>
      <c r="K922">
        <v>0</v>
      </c>
      <c r="L922">
        <v>0</v>
      </c>
      <c r="M922" t="s">
        <v>11</v>
      </c>
    </row>
    <row r="923" spans="1:13">
      <c r="A923" s="93">
        <v>125532</v>
      </c>
      <c r="B923" t="s">
        <v>1480</v>
      </c>
      <c r="C923" t="s">
        <v>4919</v>
      </c>
      <c r="D923" s="92" t="s">
        <v>446</v>
      </c>
      <c r="E923" s="92" t="s">
        <v>446</v>
      </c>
      <c r="F923" t="s">
        <v>446</v>
      </c>
      <c r="G923" t="s">
        <v>446</v>
      </c>
      <c r="H923" t="s">
        <v>4930</v>
      </c>
      <c r="I923">
        <v>0</v>
      </c>
      <c r="J923" t="s">
        <v>97</v>
      </c>
      <c r="K923">
        <v>0</v>
      </c>
      <c r="L923">
        <v>0</v>
      </c>
      <c r="M923" t="s">
        <v>11</v>
      </c>
    </row>
    <row r="924" spans="1:13">
      <c r="A924" s="93">
        <v>125718</v>
      </c>
      <c r="B924" t="s">
        <v>1481</v>
      </c>
      <c r="C924" t="s">
        <v>4924</v>
      </c>
      <c r="D924" s="92" t="s">
        <v>446</v>
      </c>
      <c r="E924" s="92" t="s">
        <v>446</v>
      </c>
      <c r="F924" t="s">
        <v>446</v>
      </c>
      <c r="G924" t="s">
        <v>446</v>
      </c>
      <c r="H924" t="s">
        <v>4932</v>
      </c>
      <c r="I924">
        <v>0</v>
      </c>
      <c r="J924" t="s">
        <v>97</v>
      </c>
      <c r="K924">
        <v>0</v>
      </c>
      <c r="L924">
        <v>0</v>
      </c>
      <c r="M924" t="s">
        <v>11</v>
      </c>
    </row>
    <row r="925" spans="1:13">
      <c r="A925" s="93">
        <v>125727</v>
      </c>
      <c r="B925" t="s">
        <v>1482</v>
      </c>
      <c r="C925" t="s">
        <v>4917</v>
      </c>
      <c r="D925" s="92">
        <v>0.74</v>
      </c>
      <c r="E925" s="92">
        <v>0.7</v>
      </c>
      <c r="F925">
        <v>1160</v>
      </c>
      <c r="G925">
        <v>1310</v>
      </c>
      <c r="H925" t="s">
        <v>4930</v>
      </c>
      <c r="I925">
        <v>0</v>
      </c>
      <c r="J925" t="s">
        <v>97</v>
      </c>
      <c r="K925">
        <v>0</v>
      </c>
      <c r="L925">
        <v>0</v>
      </c>
      <c r="M925" t="s">
        <v>11</v>
      </c>
    </row>
    <row r="926" spans="1:13">
      <c r="A926" s="93">
        <v>125763</v>
      </c>
      <c r="B926" t="s">
        <v>1483</v>
      </c>
      <c r="C926" t="s">
        <v>4920</v>
      </c>
      <c r="D926" s="92">
        <v>0.67</v>
      </c>
      <c r="E926" s="92">
        <v>0.7</v>
      </c>
      <c r="F926">
        <v>1120</v>
      </c>
      <c r="G926">
        <v>1230</v>
      </c>
      <c r="H926" t="s">
        <v>4931</v>
      </c>
      <c r="I926">
        <v>0</v>
      </c>
      <c r="J926" t="s">
        <v>97</v>
      </c>
      <c r="K926">
        <v>0</v>
      </c>
      <c r="L926">
        <v>0</v>
      </c>
      <c r="M926" t="s">
        <v>11</v>
      </c>
    </row>
    <row r="927" spans="1:13">
      <c r="A927" s="93">
        <v>125897</v>
      </c>
      <c r="B927" t="s">
        <v>1484</v>
      </c>
      <c r="C927" t="s">
        <v>4918</v>
      </c>
      <c r="D927" s="92">
        <v>0.58</v>
      </c>
      <c r="E927" s="92">
        <v>0.46</v>
      </c>
      <c r="F927" t="s">
        <v>446</v>
      </c>
      <c r="G927" t="s">
        <v>446</v>
      </c>
      <c r="H927" t="s">
        <v>4930</v>
      </c>
      <c r="I927">
        <v>0</v>
      </c>
      <c r="J927" t="s">
        <v>97</v>
      </c>
      <c r="K927">
        <v>0</v>
      </c>
      <c r="L927">
        <v>0</v>
      </c>
      <c r="M927" t="s">
        <v>11</v>
      </c>
    </row>
    <row r="928" spans="1:13">
      <c r="A928" s="93">
        <v>126012</v>
      </c>
      <c r="B928" t="s">
        <v>1485</v>
      </c>
      <c r="C928" t="s">
        <v>4924</v>
      </c>
      <c r="D928" s="92" t="s">
        <v>446</v>
      </c>
      <c r="E928" s="92" t="s">
        <v>446</v>
      </c>
      <c r="F928" t="s">
        <v>446</v>
      </c>
      <c r="G928" t="s">
        <v>446</v>
      </c>
      <c r="H928" t="s">
        <v>4932</v>
      </c>
      <c r="I928">
        <v>0</v>
      </c>
      <c r="J928" t="s">
        <v>97</v>
      </c>
      <c r="K928">
        <v>0</v>
      </c>
      <c r="L928">
        <v>0</v>
      </c>
      <c r="M928" t="s">
        <v>11</v>
      </c>
    </row>
    <row r="929" spans="1:13">
      <c r="A929" s="93">
        <v>126049</v>
      </c>
      <c r="B929" t="s">
        <v>1486</v>
      </c>
      <c r="C929" t="s">
        <v>4924</v>
      </c>
      <c r="D929" s="92" t="s">
        <v>446</v>
      </c>
      <c r="E929" s="92" t="s">
        <v>446</v>
      </c>
      <c r="F929" t="s">
        <v>446</v>
      </c>
      <c r="G929" t="s">
        <v>446</v>
      </c>
      <c r="H929" t="s">
        <v>4932</v>
      </c>
      <c r="I929">
        <v>0</v>
      </c>
      <c r="J929" t="s">
        <v>97</v>
      </c>
      <c r="K929">
        <v>0</v>
      </c>
      <c r="L929">
        <v>0</v>
      </c>
      <c r="M929" t="s">
        <v>11</v>
      </c>
    </row>
    <row r="930" spans="1:13">
      <c r="A930" s="93">
        <v>126076</v>
      </c>
      <c r="B930" t="s">
        <v>1487</v>
      </c>
      <c r="C930" t="s">
        <v>4924</v>
      </c>
      <c r="D930" s="92">
        <v>0.28</v>
      </c>
      <c r="E930" s="92" t="s">
        <v>446</v>
      </c>
      <c r="F930" t="s">
        <v>446</v>
      </c>
      <c r="G930" t="s">
        <v>446</v>
      </c>
      <c r="H930" t="s">
        <v>4931</v>
      </c>
      <c r="I930">
        <v>0</v>
      </c>
      <c r="J930" t="s">
        <v>97</v>
      </c>
      <c r="K930">
        <v>0</v>
      </c>
      <c r="L930">
        <v>0</v>
      </c>
      <c r="M930" t="s">
        <v>11</v>
      </c>
    </row>
    <row r="931" spans="1:13">
      <c r="A931" s="93">
        <v>126119</v>
      </c>
      <c r="B931" t="s">
        <v>1488</v>
      </c>
      <c r="C931" t="s">
        <v>4919</v>
      </c>
      <c r="D931" s="92">
        <v>0.28</v>
      </c>
      <c r="E931" s="92">
        <v>0.28</v>
      </c>
      <c r="F931" t="s">
        <v>446</v>
      </c>
      <c r="G931" t="s">
        <v>446</v>
      </c>
      <c r="H931" t="s">
        <v>4932</v>
      </c>
      <c r="I931">
        <v>0</v>
      </c>
      <c r="J931" t="s">
        <v>97</v>
      </c>
      <c r="K931">
        <v>0</v>
      </c>
      <c r="L931">
        <v>0</v>
      </c>
      <c r="M931" t="s">
        <v>11</v>
      </c>
    </row>
    <row r="932" spans="1:13">
      <c r="A932" s="93">
        <v>126164</v>
      </c>
      <c r="B932" t="s">
        <v>1489</v>
      </c>
      <c r="C932" t="s">
        <v>4919</v>
      </c>
      <c r="D932" s="92" t="s">
        <v>446</v>
      </c>
      <c r="E932" s="92" t="s">
        <v>446</v>
      </c>
      <c r="F932" t="s">
        <v>446</v>
      </c>
      <c r="G932" t="s">
        <v>446</v>
      </c>
      <c r="H932" t="s">
        <v>4931</v>
      </c>
      <c r="I932">
        <v>0</v>
      </c>
      <c r="J932" t="s">
        <v>97</v>
      </c>
      <c r="K932">
        <v>0</v>
      </c>
      <c r="L932">
        <v>0</v>
      </c>
      <c r="M932" t="s">
        <v>11</v>
      </c>
    </row>
    <row r="933" spans="1:13">
      <c r="A933" s="93">
        <v>126182</v>
      </c>
      <c r="B933" t="s">
        <v>1490</v>
      </c>
      <c r="C933" t="s">
        <v>4918</v>
      </c>
      <c r="D933" s="92">
        <v>0.33</v>
      </c>
      <c r="E933" s="92">
        <v>0.27</v>
      </c>
      <c r="F933">
        <v>920</v>
      </c>
      <c r="G933">
        <v>1030</v>
      </c>
      <c r="H933" t="s">
        <v>4932</v>
      </c>
      <c r="I933">
        <v>0</v>
      </c>
      <c r="J933" t="s">
        <v>97</v>
      </c>
      <c r="K933">
        <v>0</v>
      </c>
      <c r="L933">
        <v>0</v>
      </c>
      <c r="M933" t="s">
        <v>11</v>
      </c>
    </row>
    <row r="934" spans="1:13">
      <c r="A934" s="93">
        <v>126207</v>
      </c>
      <c r="B934" t="s">
        <v>1491</v>
      </c>
      <c r="C934" t="s">
        <v>4919</v>
      </c>
      <c r="D934" s="92">
        <v>0.41</v>
      </c>
      <c r="E934" s="92">
        <v>0.37</v>
      </c>
      <c r="F934" t="s">
        <v>446</v>
      </c>
      <c r="G934" t="s">
        <v>446</v>
      </c>
      <c r="H934" t="s">
        <v>4932</v>
      </c>
      <c r="I934">
        <v>0</v>
      </c>
      <c r="J934" t="s">
        <v>97</v>
      </c>
      <c r="K934">
        <v>0</v>
      </c>
      <c r="L934">
        <v>0</v>
      </c>
      <c r="M934" t="s">
        <v>11</v>
      </c>
    </row>
    <row r="935" spans="1:13">
      <c r="A935" s="93">
        <v>126289</v>
      </c>
      <c r="B935" t="s">
        <v>1492</v>
      </c>
      <c r="C935" t="s">
        <v>4923</v>
      </c>
      <c r="D935" s="92" t="s">
        <v>446</v>
      </c>
      <c r="E935" s="92" t="s">
        <v>446</v>
      </c>
      <c r="F935" t="s">
        <v>446</v>
      </c>
      <c r="G935" t="s">
        <v>446</v>
      </c>
      <c r="H935" t="s">
        <v>4932</v>
      </c>
      <c r="I935">
        <v>0</v>
      </c>
      <c r="J935" t="s">
        <v>97</v>
      </c>
      <c r="K935">
        <v>0</v>
      </c>
      <c r="L935">
        <v>0</v>
      </c>
      <c r="M935" t="s">
        <v>11</v>
      </c>
    </row>
    <row r="936" spans="1:13">
      <c r="A936" s="93">
        <v>126359</v>
      </c>
      <c r="B936" t="s">
        <v>1493</v>
      </c>
      <c r="C936" t="s">
        <v>4925</v>
      </c>
      <c r="D936" s="92" t="s">
        <v>446</v>
      </c>
      <c r="E936" s="92" t="s">
        <v>446</v>
      </c>
      <c r="F936" t="s">
        <v>446</v>
      </c>
      <c r="G936" t="s">
        <v>446</v>
      </c>
      <c r="H936" t="s">
        <v>4930</v>
      </c>
      <c r="I936">
        <v>0</v>
      </c>
      <c r="J936" t="s">
        <v>97</v>
      </c>
      <c r="K936">
        <v>0</v>
      </c>
      <c r="L936">
        <v>0</v>
      </c>
      <c r="M936" t="s">
        <v>11</v>
      </c>
    </row>
    <row r="937" spans="1:13">
      <c r="A937" s="93">
        <v>126580</v>
      </c>
      <c r="B937" t="s">
        <v>1494</v>
      </c>
      <c r="C937" t="s">
        <v>4920</v>
      </c>
      <c r="D937" s="92">
        <v>0.44</v>
      </c>
      <c r="E937" s="92">
        <v>0.39</v>
      </c>
      <c r="F937" t="s">
        <v>446</v>
      </c>
      <c r="G937" t="s">
        <v>446</v>
      </c>
      <c r="H937" t="s">
        <v>4932</v>
      </c>
      <c r="I937">
        <v>0</v>
      </c>
      <c r="J937" t="s">
        <v>97</v>
      </c>
      <c r="K937">
        <v>0</v>
      </c>
      <c r="L937">
        <v>0</v>
      </c>
      <c r="M937" t="s">
        <v>11</v>
      </c>
    </row>
    <row r="938" spans="1:13">
      <c r="A938" s="93">
        <v>126605</v>
      </c>
      <c r="B938" t="s">
        <v>1495</v>
      </c>
      <c r="C938" t="s">
        <v>4919</v>
      </c>
      <c r="D938" s="92" t="s">
        <v>446</v>
      </c>
      <c r="E938" s="92" t="s">
        <v>446</v>
      </c>
      <c r="F938" t="s">
        <v>446</v>
      </c>
      <c r="G938" t="s">
        <v>446</v>
      </c>
      <c r="H938" t="s">
        <v>4930</v>
      </c>
      <c r="I938">
        <v>0</v>
      </c>
      <c r="J938" t="s">
        <v>97</v>
      </c>
      <c r="K938">
        <v>0</v>
      </c>
      <c r="L938">
        <v>0</v>
      </c>
      <c r="M938" t="s">
        <v>11</v>
      </c>
    </row>
    <row r="939" spans="1:13">
      <c r="A939" s="93">
        <v>126687</v>
      </c>
      <c r="B939" t="s">
        <v>1496</v>
      </c>
      <c r="C939" t="s">
        <v>4925</v>
      </c>
      <c r="D939" s="92" t="s">
        <v>446</v>
      </c>
      <c r="E939" s="92" t="s">
        <v>446</v>
      </c>
      <c r="F939" t="s">
        <v>446</v>
      </c>
      <c r="G939" t="s">
        <v>446</v>
      </c>
      <c r="H939" t="s">
        <v>4930</v>
      </c>
      <c r="I939">
        <v>0</v>
      </c>
      <c r="J939" t="s">
        <v>97</v>
      </c>
      <c r="K939">
        <v>0</v>
      </c>
      <c r="L939">
        <v>0</v>
      </c>
      <c r="M939" t="s">
        <v>11</v>
      </c>
    </row>
    <row r="940" spans="1:13">
      <c r="A940" s="93">
        <v>126711</v>
      </c>
      <c r="B940" t="s">
        <v>1497</v>
      </c>
      <c r="C940" t="s">
        <v>4923</v>
      </c>
      <c r="D940" s="92">
        <v>0.13</v>
      </c>
      <c r="E940" s="92">
        <v>0</v>
      </c>
      <c r="F940" t="s">
        <v>446</v>
      </c>
      <c r="G940" t="s">
        <v>446</v>
      </c>
      <c r="H940" t="s">
        <v>4932</v>
      </c>
      <c r="I940">
        <v>0</v>
      </c>
      <c r="J940" t="s">
        <v>97</v>
      </c>
      <c r="K940">
        <v>0</v>
      </c>
      <c r="L940">
        <v>0</v>
      </c>
      <c r="M940" t="s">
        <v>11</v>
      </c>
    </row>
    <row r="941" spans="1:13">
      <c r="A941" s="93">
        <v>126748</v>
      </c>
      <c r="B941" t="s">
        <v>1498</v>
      </c>
      <c r="C941" t="s">
        <v>4919</v>
      </c>
      <c r="D941" s="92">
        <v>0.5</v>
      </c>
      <c r="E941" s="92">
        <v>0.44</v>
      </c>
      <c r="F941" t="s">
        <v>446</v>
      </c>
      <c r="G941" t="s">
        <v>446</v>
      </c>
      <c r="H941" t="s">
        <v>4932</v>
      </c>
      <c r="I941">
        <v>0</v>
      </c>
      <c r="J941" t="s">
        <v>97</v>
      </c>
      <c r="K941">
        <v>0</v>
      </c>
      <c r="L941">
        <v>0</v>
      </c>
      <c r="M941" t="s">
        <v>11</v>
      </c>
    </row>
    <row r="942" spans="1:13">
      <c r="A942" s="93">
        <v>126775</v>
      </c>
      <c r="B942" t="s">
        <v>1499</v>
      </c>
      <c r="C942" t="s">
        <v>4922</v>
      </c>
      <c r="D942" s="92">
        <v>0.83</v>
      </c>
      <c r="E942" s="92">
        <v>0.8</v>
      </c>
      <c r="F942">
        <v>1310</v>
      </c>
      <c r="G942">
        <v>1390</v>
      </c>
      <c r="H942" t="s">
        <v>4932</v>
      </c>
      <c r="I942">
        <v>0</v>
      </c>
      <c r="J942" t="s">
        <v>97</v>
      </c>
      <c r="K942">
        <v>0</v>
      </c>
      <c r="L942">
        <v>0</v>
      </c>
      <c r="M942" t="s">
        <v>11</v>
      </c>
    </row>
    <row r="943" spans="1:13">
      <c r="A943" s="93">
        <v>126784</v>
      </c>
      <c r="B943" t="s">
        <v>1500</v>
      </c>
      <c r="C943" t="s">
        <v>4919</v>
      </c>
      <c r="D943" s="92" t="s">
        <v>446</v>
      </c>
      <c r="E943" s="92" t="s">
        <v>446</v>
      </c>
      <c r="F943" t="s">
        <v>446</v>
      </c>
      <c r="G943" t="s">
        <v>446</v>
      </c>
      <c r="H943" t="s">
        <v>4930</v>
      </c>
      <c r="I943">
        <v>0</v>
      </c>
      <c r="J943" t="s">
        <v>97</v>
      </c>
      <c r="K943">
        <v>0</v>
      </c>
      <c r="L943">
        <v>0</v>
      </c>
      <c r="M943" t="s">
        <v>11</v>
      </c>
    </row>
    <row r="944" spans="1:13">
      <c r="A944" s="93">
        <v>126863</v>
      </c>
      <c r="B944" t="s">
        <v>1501</v>
      </c>
      <c r="C944" t="s">
        <v>4919</v>
      </c>
      <c r="D944" s="92">
        <v>0.36</v>
      </c>
      <c r="E944" s="92">
        <v>0.35</v>
      </c>
      <c r="F944" t="s">
        <v>446</v>
      </c>
      <c r="G944" t="s">
        <v>446</v>
      </c>
      <c r="H944" t="s">
        <v>4932</v>
      </c>
      <c r="I944">
        <v>0</v>
      </c>
      <c r="J944" t="s">
        <v>97</v>
      </c>
      <c r="K944">
        <v>0</v>
      </c>
      <c r="L944">
        <v>0</v>
      </c>
      <c r="M944" t="s">
        <v>11</v>
      </c>
    </row>
    <row r="945" spans="1:13">
      <c r="A945" s="93">
        <v>126942</v>
      </c>
      <c r="B945" t="s">
        <v>1502</v>
      </c>
      <c r="C945" t="s">
        <v>4923</v>
      </c>
      <c r="D945" s="92" t="s">
        <v>446</v>
      </c>
      <c r="E945" s="92" t="s">
        <v>446</v>
      </c>
      <c r="F945" t="s">
        <v>446</v>
      </c>
      <c r="G945" t="s">
        <v>446</v>
      </c>
      <c r="H945" t="s">
        <v>4932</v>
      </c>
      <c r="I945">
        <v>0</v>
      </c>
      <c r="J945" t="s">
        <v>97</v>
      </c>
      <c r="K945">
        <v>0</v>
      </c>
      <c r="L945">
        <v>0</v>
      </c>
      <c r="M945" t="s">
        <v>11</v>
      </c>
    </row>
    <row r="946" spans="1:13">
      <c r="A946" s="93">
        <v>126951</v>
      </c>
      <c r="B946" t="s">
        <v>1503</v>
      </c>
      <c r="C946" t="s">
        <v>4919</v>
      </c>
      <c r="D946" s="92" t="s">
        <v>446</v>
      </c>
      <c r="E946" s="92" t="s">
        <v>446</v>
      </c>
      <c r="F946" t="s">
        <v>446</v>
      </c>
      <c r="G946" t="s">
        <v>446</v>
      </c>
      <c r="H946" t="s">
        <v>4930</v>
      </c>
      <c r="I946">
        <v>0</v>
      </c>
      <c r="J946" t="s">
        <v>97</v>
      </c>
      <c r="K946">
        <v>0</v>
      </c>
      <c r="L946">
        <v>0</v>
      </c>
      <c r="M946" t="s">
        <v>11</v>
      </c>
    </row>
    <row r="947" spans="1:13">
      <c r="A947" s="93">
        <v>126979</v>
      </c>
      <c r="B947" t="s">
        <v>1504</v>
      </c>
      <c r="C947" t="s">
        <v>4924</v>
      </c>
      <c r="D947" s="92">
        <v>0.25</v>
      </c>
      <c r="E947" s="92">
        <v>0.25</v>
      </c>
      <c r="F947" t="s">
        <v>446</v>
      </c>
      <c r="G947" t="s">
        <v>446</v>
      </c>
      <c r="H947" t="s">
        <v>4932</v>
      </c>
      <c r="I947">
        <v>0</v>
      </c>
      <c r="J947" t="s">
        <v>97</v>
      </c>
      <c r="K947">
        <v>0</v>
      </c>
      <c r="L947">
        <v>0</v>
      </c>
      <c r="M947" t="s">
        <v>11</v>
      </c>
    </row>
    <row r="948" spans="1:13">
      <c r="A948" s="93">
        <v>127185</v>
      </c>
      <c r="B948" t="s">
        <v>1505</v>
      </c>
      <c r="C948" t="s">
        <v>4920</v>
      </c>
      <c r="D948" s="92">
        <v>0.42</v>
      </c>
      <c r="E948" s="92">
        <v>0.42</v>
      </c>
      <c r="F948">
        <v>970</v>
      </c>
      <c r="G948">
        <v>1085</v>
      </c>
      <c r="H948" t="s">
        <v>4932</v>
      </c>
      <c r="I948">
        <v>0</v>
      </c>
      <c r="J948" t="s">
        <v>97</v>
      </c>
      <c r="K948">
        <v>0</v>
      </c>
      <c r="L948">
        <v>0</v>
      </c>
      <c r="M948" t="s">
        <v>11</v>
      </c>
    </row>
    <row r="949" spans="1:13">
      <c r="A949" s="93">
        <v>127200</v>
      </c>
      <c r="B949" t="s">
        <v>1506</v>
      </c>
      <c r="C949" t="s">
        <v>4923</v>
      </c>
      <c r="D949" s="92" t="s">
        <v>446</v>
      </c>
      <c r="E949" s="92" t="s">
        <v>446</v>
      </c>
      <c r="F949" t="s">
        <v>446</v>
      </c>
      <c r="G949" t="s">
        <v>446</v>
      </c>
      <c r="H949" t="s">
        <v>4932</v>
      </c>
      <c r="I949">
        <v>0</v>
      </c>
      <c r="J949" t="s">
        <v>97</v>
      </c>
      <c r="K949">
        <v>0</v>
      </c>
      <c r="L949">
        <v>0</v>
      </c>
      <c r="M949" t="s">
        <v>11</v>
      </c>
    </row>
    <row r="950" spans="1:13">
      <c r="A950" s="93">
        <v>127273</v>
      </c>
      <c r="B950" t="s">
        <v>1507</v>
      </c>
      <c r="C950" t="s">
        <v>4924</v>
      </c>
      <c r="D950" s="92" t="s">
        <v>446</v>
      </c>
      <c r="E950" s="92" t="s">
        <v>446</v>
      </c>
      <c r="F950" t="s">
        <v>446</v>
      </c>
      <c r="G950" t="s">
        <v>446</v>
      </c>
      <c r="H950" t="s">
        <v>4932</v>
      </c>
      <c r="I950">
        <v>0</v>
      </c>
      <c r="J950" t="s">
        <v>97</v>
      </c>
      <c r="K950">
        <v>0</v>
      </c>
      <c r="L950">
        <v>0</v>
      </c>
      <c r="M950" t="s">
        <v>11</v>
      </c>
    </row>
    <row r="951" spans="1:13">
      <c r="A951" s="93">
        <v>127389</v>
      </c>
      <c r="B951" t="s">
        <v>1508</v>
      </c>
      <c r="C951" t="s">
        <v>4919</v>
      </c>
      <c r="D951" s="92">
        <v>0.51</v>
      </c>
      <c r="E951" s="92">
        <v>0.48</v>
      </c>
      <c r="F951" t="s">
        <v>446</v>
      </c>
      <c r="G951" t="s">
        <v>446</v>
      </c>
      <c r="H951" t="s">
        <v>4932</v>
      </c>
      <c r="I951">
        <v>0</v>
      </c>
      <c r="J951" t="s">
        <v>97</v>
      </c>
      <c r="K951">
        <v>0</v>
      </c>
      <c r="L951">
        <v>0</v>
      </c>
      <c r="M951" t="s">
        <v>11</v>
      </c>
    </row>
    <row r="952" spans="1:13">
      <c r="A952" s="93">
        <v>127556</v>
      </c>
      <c r="B952" t="s">
        <v>1509</v>
      </c>
      <c r="C952" t="s">
        <v>4918</v>
      </c>
      <c r="D952" s="92">
        <v>0.45</v>
      </c>
      <c r="E952" s="92">
        <v>0.35</v>
      </c>
      <c r="F952">
        <v>950</v>
      </c>
      <c r="G952">
        <v>1075</v>
      </c>
      <c r="H952" t="s">
        <v>4932</v>
      </c>
      <c r="I952">
        <v>0</v>
      </c>
      <c r="J952" t="s">
        <v>97</v>
      </c>
      <c r="K952">
        <v>0</v>
      </c>
      <c r="L952">
        <v>0</v>
      </c>
      <c r="M952" t="s">
        <v>11</v>
      </c>
    </row>
    <row r="953" spans="1:13">
      <c r="A953" s="93">
        <v>127617</v>
      </c>
      <c r="B953" t="s">
        <v>1510</v>
      </c>
      <c r="C953" t="s">
        <v>4923</v>
      </c>
      <c r="D953" s="92" t="s">
        <v>446</v>
      </c>
      <c r="E953" s="92" t="s">
        <v>446</v>
      </c>
      <c r="F953" t="s">
        <v>446</v>
      </c>
      <c r="G953" t="s">
        <v>446</v>
      </c>
      <c r="H953" t="s">
        <v>4932</v>
      </c>
      <c r="I953">
        <v>0</v>
      </c>
      <c r="J953" t="s">
        <v>97</v>
      </c>
      <c r="K953">
        <v>0</v>
      </c>
      <c r="L953">
        <v>0</v>
      </c>
      <c r="M953" t="s">
        <v>11</v>
      </c>
    </row>
    <row r="954" spans="1:13">
      <c r="A954" s="93">
        <v>127653</v>
      </c>
      <c r="B954" t="s">
        <v>1511</v>
      </c>
      <c r="C954" t="s">
        <v>4923</v>
      </c>
      <c r="D954" s="92">
        <v>0.33</v>
      </c>
      <c r="E954" s="92">
        <v>0.44</v>
      </c>
      <c r="F954" t="s">
        <v>446</v>
      </c>
      <c r="G954" t="s">
        <v>446</v>
      </c>
      <c r="H954" t="s">
        <v>4930</v>
      </c>
      <c r="I954">
        <v>0</v>
      </c>
      <c r="J954" t="s">
        <v>97</v>
      </c>
      <c r="K954">
        <v>0</v>
      </c>
      <c r="L954">
        <v>0</v>
      </c>
      <c r="M954" t="s">
        <v>11</v>
      </c>
    </row>
    <row r="955" spans="1:13">
      <c r="A955" s="93">
        <v>127714</v>
      </c>
      <c r="B955" t="s">
        <v>1512</v>
      </c>
      <c r="C955" t="s">
        <v>4923</v>
      </c>
      <c r="D955" s="92">
        <v>1</v>
      </c>
      <c r="E955" s="92" t="s">
        <v>446</v>
      </c>
      <c r="F955" t="s">
        <v>446</v>
      </c>
      <c r="G955" t="s">
        <v>446</v>
      </c>
      <c r="H955" t="s">
        <v>4932</v>
      </c>
      <c r="I955">
        <v>0</v>
      </c>
      <c r="J955" t="s">
        <v>97</v>
      </c>
      <c r="K955">
        <v>0</v>
      </c>
      <c r="L955">
        <v>0</v>
      </c>
      <c r="M955" t="s">
        <v>11</v>
      </c>
    </row>
    <row r="956" spans="1:13">
      <c r="A956" s="93">
        <v>127732</v>
      </c>
      <c r="B956" t="s">
        <v>1513</v>
      </c>
      <c r="C956" t="s">
        <v>4919</v>
      </c>
      <c r="D956" s="92">
        <v>0.55</v>
      </c>
      <c r="E956" s="92">
        <v>0.36</v>
      </c>
      <c r="F956" t="s">
        <v>446</v>
      </c>
      <c r="G956" t="s">
        <v>446</v>
      </c>
      <c r="H956" t="s">
        <v>4932</v>
      </c>
      <c r="I956">
        <v>0</v>
      </c>
      <c r="J956" t="s">
        <v>97</v>
      </c>
      <c r="K956">
        <v>0</v>
      </c>
      <c r="L956">
        <v>0</v>
      </c>
      <c r="M956" t="s">
        <v>11</v>
      </c>
    </row>
    <row r="957" spans="1:13">
      <c r="A957" s="93">
        <v>127741</v>
      </c>
      <c r="B957" t="s">
        <v>1514</v>
      </c>
      <c r="C957" t="s">
        <v>4920</v>
      </c>
      <c r="D957" s="92">
        <v>0.52</v>
      </c>
      <c r="E957" s="92">
        <v>0.45</v>
      </c>
      <c r="F957">
        <v>970</v>
      </c>
      <c r="G957">
        <v>1090</v>
      </c>
      <c r="H957" t="s">
        <v>4932</v>
      </c>
      <c r="I957">
        <v>0</v>
      </c>
      <c r="J957" t="s">
        <v>97</v>
      </c>
      <c r="K957">
        <v>0</v>
      </c>
      <c r="L957">
        <v>0</v>
      </c>
      <c r="M957" t="s">
        <v>11</v>
      </c>
    </row>
    <row r="958" spans="1:13">
      <c r="A958" s="93">
        <v>127778</v>
      </c>
      <c r="B958" t="s">
        <v>1515</v>
      </c>
      <c r="C958" t="s">
        <v>4919</v>
      </c>
      <c r="D958" s="92">
        <v>0.48</v>
      </c>
      <c r="E958" s="92">
        <v>0.44</v>
      </c>
      <c r="F958" t="s">
        <v>446</v>
      </c>
      <c r="G958" t="s">
        <v>446</v>
      </c>
      <c r="H958" t="s">
        <v>4932</v>
      </c>
      <c r="I958">
        <v>0</v>
      </c>
      <c r="J958" t="s">
        <v>97</v>
      </c>
      <c r="K958">
        <v>0</v>
      </c>
      <c r="L958">
        <v>0</v>
      </c>
      <c r="M958" t="s">
        <v>11</v>
      </c>
    </row>
    <row r="959" spans="1:13">
      <c r="A959" s="93">
        <v>127884</v>
      </c>
      <c r="B959" t="s">
        <v>1516</v>
      </c>
      <c r="C959" t="s">
        <v>4923</v>
      </c>
      <c r="D959" s="92" t="s">
        <v>446</v>
      </c>
      <c r="E959" s="92" t="s">
        <v>446</v>
      </c>
      <c r="F959" t="s">
        <v>446</v>
      </c>
      <c r="G959" t="s">
        <v>446</v>
      </c>
      <c r="H959" t="s">
        <v>4932</v>
      </c>
      <c r="I959">
        <v>0</v>
      </c>
      <c r="J959" t="s">
        <v>97</v>
      </c>
      <c r="K959">
        <v>0</v>
      </c>
      <c r="L959">
        <v>0</v>
      </c>
      <c r="M959" t="s">
        <v>11</v>
      </c>
    </row>
    <row r="960" spans="1:13">
      <c r="A960" s="93">
        <v>127909</v>
      </c>
      <c r="B960" t="s">
        <v>1517</v>
      </c>
      <c r="C960" t="s">
        <v>4923</v>
      </c>
      <c r="D960" s="92" t="s">
        <v>446</v>
      </c>
      <c r="E960" s="92" t="s">
        <v>446</v>
      </c>
      <c r="F960" t="s">
        <v>446</v>
      </c>
      <c r="G960" t="s">
        <v>446</v>
      </c>
      <c r="H960" t="s">
        <v>4932</v>
      </c>
      <c r="I960">
        <v>0</v>
      </c>
      <c r="J960" t="s">
        <v>97</v>
      </c>
      <c r="K960">
        <v>0</v>
      </c>
      <c r="L960">
        <v>0</v>
      </c>
      <c r="M960" t="s">
        <v>11</v>
      </c>
    </row>
    <row r="961" spans="1:13">
      <c r="A961" s="93">
        <v>127945</v>
      </c>
      <c r="B961" t="s">
        <v>1518</v>
      </c>
      <c r="C961" t="s">
        <v>4923</v>
      </c>
      <c r="D961" s="92">
        <v>0.43</v>
      </c>
      <c r="E961" s="92">
        <v>0.47</v>
      </c>
      <c r="F961" t="s">
        <v>446</v>
      </c>
      <c r="G961" t="s">
        <v>446</v>
      </c>
      <c r="H961" t="s">
        <v>4930</v>
      </c>
      <c r="I961">
        <v>0</v>
      </c>
      <c r="J961" t="s">
        <v>97</v>
      </c>
      <c r="K961">
        <v>0</v>
      </c>
      <c r="L961">
        <v>0</v>
      </c>
      <c r="M961" t="s">
        <v>11</v>
      </c>
    </row>
    <row r="962" spans="1:13">
      <c r="A962" s="93">
        <v>127954</v>
      </c>
      <c r="B962" t="s">
        <v>1519</v>
      </c>
      <c r="C962" t="s">
        <v>4924</v>
      </c>
      <c r="D962" s="92" t="s">
        <v>446</v>
      </c>
      <c r="E962" s="92" t="s">
        <v>446</v>
      </c>
      <c r="F962" t="s">
        <v>446</v>
      </c>
      <c r="G962" t="s">
        <v>446</v>
      </c>
      <c r="H962" t="s">
        <v>4931</v>
      </c>
      <c r="I962">
        <v>0</v>
      </c>
      <c r="J962" t="s">
        <v>97</v>
      </c>
      <c r="K962">
        <v>0</v>
      </c>
      <c r="L962">
        <v>0</v>
      </c>
      <c r="M962" t="s">
        <v>11</v>
      </c>
    </row>
    <row r="963" spans="1:13">
      <c r="A963" s="93">
        <v>128106</v>
      </c>
      <c r="B963" t="s">
        <v>1520</v>
      </c>
      <c r="C963" t="s">
        <v>4920</v>
      </c>
      <c r="D963" s="92">
        <v>0.37</v>
      </c>
      <c r="E963" s="92">
        <v>0.34</v>
      </c>
      <c r="F963">
        <v>940</v>
      </c>
      <c r="G963">
        <v>1035</v>
      </c>
      <c r="H963" t="s">
        <v>4932</v>
      </c>
      <c r="I963">
        <v>0</v>
      </c>
      <c r="J963" t="s">
        <v>97</v>
      </c>
      <c r="K963">
        <v>0</v>
      </c>
      <c r="L963">
        <v>0</v>
      </c>
      <c r="M963" t="s">
        <v>11</v>
      </c>
    </row>
    <row r="964" spans="1:13">
      <c r="A964" s="93">
        <v>128151</v>
      </c>
      <c r="B964" t="s">
        <v>1521</v>
      </c>
      <c r="C964" t="s">
        <v>4919</v>
      </c>
      <c r="D964" s="92" t="s">
        <v>446</v>
      </c>
      <c r="E964" s="92" t="s">
        <v>446</v>
      </c>
      <c r="F964" t="s">
        <v>446</v>
      </c>
      <c r="G964" t="s">
        <v>446</v>
      </c>
      <c r="H964" t="s">
        <v>4932</v>
      </c>
      <c r="I964">
        <v>0</v>
      </c>
      <c r="J964" t="s">
        <v>97</v>
      </c>
      <c r="K964">
        <v>0</v>
      </c>
      <c r="L964">
        <v>0</v>
      </c>
      <c r="M964" t="s">
        <v>11</v>
      </c>
    </row>
    <row r="965" spans="1:13">
      <c r="A965" s="93">
        <v>128179</v>
      </c>
      <c r="B965" t="s">
        <v>1522</v>
      </c>
      <c r="C965" t="s">
        <v>4919</v>
      </c>
      <c r="D965" s="92" t="s">
        <v>446</v>
      </c>
      <c r="E965" s="92" t="s">
        <v>446</v>
      </c>
      <c r="F965" t="s">
        <v>446</v>
      </c>
      <c r="G965" t="s">
        <v>446</v>
      </c>
      <c r="H965" t="s">
        <v>4930</v>
      </c>
      <c r="I965">
        <v>0</v>
      </c>
      <c r="J965" t="s">
        <v>97</v>
      </c>
      <c r="K965">
        <v>0</v>
      </c>
      <c r="L965">
        <v>0</v>
      </c>
      <c r="M965" t="s">
        <v>11</v>
      </c>
    </row>
    <row r="966" spans="1:13">
      <c r="A966" s="93">
        <v>128188</v>
      </c>
      <c r="B966" t="s">
        <v>1523</v>
      </c>
      <c r="C966" t="s">
        <v>4919</v>
      </c>
      <c r="D966" s="92" t="s">
        <v>446</v>
      </c>
      <c r="E966" s="92" t="s">
        <v>446</v>
      </c>
      <c r="F966" t="s">
        <v>446</v>
      </c>
      <c r="G966" t="s">
        <v>446</v>
      </c>
      <c r="H966" t="s">
        <v>4930</v>
      </c>
      <c r="I966">
        <v>0</v>
      </c>
      <c r="J966" t="s">
        <v>97</v>
      </c>
      <c r="K966">
        <v>0</v>
      </c>
      <c r="L966">
        <v>0</v>
      </c>
      <c r="M966" t="s">
        <v>11</v>
      </c>
    </row>
    <row r="967" spans="1:13">
      <c r="A967" s="93">
        <v>128258</v>
      </c>
      <c r="B967" t="s">
        <v>1524</v>
      </c>
      <c r="C967" t="s">
        <v>4919</v>
      </c>
      <c r="D967" s="92">
        <v>0.5600000000000001</v>
      </c>
      <c r="E967" s="92">
        <v>0.48</v>
      </c>
      <c r="F967" t="s">
        <v>446</v>
      </c>
      <c r="G967" t="s">
        <v>446</v>
      </c>
      <c r="H967" t="s">
        <v>4932</v>
      </c>
      <c r="I967">
        <v>0</v>
      </c>
      <c r="J967" t="s">
        <v>97</v>
      </c>
      <c r="K967">
        <v>0</v>
      </c>
      <c r="L967">
        <v>0</v>
      </c>
      <c r="M967" t="s">
        <v>11</v>
      </c>
    </row>
    <row r="968" spans="1:13">
      <c r="A968" s="93">
        <v>128328</v>
      </c>
      <c r="B968" t="s">
        <v>1525</v>
      </c>
      <c r="C968" t="s">
        <v>4920</v>
      </c>
      <c r="D968" s="92">
        <v>0.86</v>
      </c>
      <c r="E968" s="92">
        <v>0.79</v>
      </c>
      <c r="F968">
        <v>1210</v>
      </c>
      <c r="G968">
        <v>1350</v>
      </c>
      <c r="H968" t="s">
        <v>4932</v>
      </c>
      <c r="I968">
        <v>0</v>
      </c>
      <c r="J968" t="s">
        <v>97</v>
      </c>
      <c r="K968">
        <v>0</v>
      </c>
      <c r="L968">
        <v>0</v>
      </c>
      <c r="M968" t="s">
        <v>11</v>
      </c>
    </row>
    <row r="969" spans="1:13">
      <c r="A969" s="93">
        <v>128391</v>
      </c>
      <c r="B969" t="s">
        <v>1526</v>
      </c>
      <c r="C969" t="s">
        <v>4920</v>
      </c>
      <c r="D969" s="92">
        <v>0.5</v>
      </c>
      <c r="E969" s="92">
        <v>0.37</v>
      </c>
      <c r="F969">
        <v>1040</v>
      </c>
      <c r="G969">
        <v>1135</v>
      </c>
      <c r="H969" t="s">
        <v>4932</v>
      </c>
      <c r="I969">
        <v>0</v>
      </c>
      <c r="J969" t="s">
        <v>97</v>
      </c>
      <c r="K969">
        <v>0</v>
      </c>
      <c r="L969">
        <v>0</v>
      </c>
      <c r="M969" t="s">
        <v>11</v>
      </c>
    </row>
    <row r="970" spans="1:13">
      <c r="A970" s="93">
        <v>128498</v>
      </c>
      <c r="B970" t="s">
        <v>1527</v>
      </c>
      <c r="C970" t="s">
        <v>4918</v>
      </c>
      <c r="D970" s="92">
        <v>0.54</v>
      </c>
      <c r="E970" s="92">
        <v>0.47</v>
      </c>
      <c r="F970" t="s">
        <v>446</v>
      </c>
      <c r="G970" t="s">
        <v>446</v>
      </c>
      <c r="H970" t="s">
        <v>4930</v>
      </c>
      <c r="I970">
        <v>0</v>
      </c>
      <c r="J970" t="s">
        <v>97</v>
      </c>
      <c r="K970">
        <v>0</v>
      </c>
      <c r="L970">
        <v>0</v>
      </c>
      <c r="M970" t="s">
        <v>11</v>
      </c>
    </row>
    <row r="971" spans="1:13">
      <c r="A971" s="93">
        <v>128577</v>
      </c>
      <c r="B971" t="s">
        <v>1528</v>
      </c>
      <c r="C971" t="s">
        <v>4919</v>
      </c>
      <c r="D971" s="92">
        <v>0.43</v>
      </c>
      <c r="E971" s="92">
        <v>0.37</v>
      </c>
      <c r="F971" t="s">
        <v>446</v>
      </c>
      <c r="G971" t="s">
        <v>446</v>
      </c>
      <c r="H971" t="s">
        <v>4932</v>
      </c>
      <c r="I971">
        <v>0</v>
      </c>
      <c r="J971" t="s">
        <v>97</v>
      </c>
      <c r="K971">
        <v>0</v>
      </c>
      <c r="L971">
        <v>0</v>
      </c>
      <c r="M971" t="s">
        <v>11</v>
      </c>
    </row>
    <row r="972" spans="1:13">
      <c r="A972" s="93">
        <v>128586</v>
      </c>
      <c r="B972" t="s">
        <v>1529</v>
      </c>
      <c r="C972" t="s">
        <v>4924</v>
      </c>
      <c r="D972" s="92" t="s">
        <v>446</v>
      </c>
      <c r="E972" s="92" t="s">
        <v>446</v>
      </c>
      <c r="F972" t="s">
        <v>446</v>
      </c>
      <c r="G972" t="s">
        <v>446</v>
      </c>
      <c r="H972" t="s">
        <v>4930</v>
      </c>
      <c r="I972">
        <v>0</v>
      </c>
      <c r="J972" t="s">
        <v>97</v>
      </c>
      <c r="K972">
        <v>0</v>
      </c>
      <c r="L972">
        <v>0</v>
      </c>
      <c r="M972" t="s">
        <v>11</v>
      </c>
    </row>
    <row r="973" spans="1:13">
      <c r="A973" s="93">
        <v>128744</v>
      </c>
      <c r="B973" t="s">
        <v>1530</v>
      </c>
      <c r="C973" t="s">
        <v>4918</v>
      </c>
      <c r="D973" s="92">
        <v>0.42</v>
      </c>
      <c r="E973" s="92">
        <v>0.36</v>
      </c>
      <c r="F973">
        <v>950</v>
      </c>
      <c r="G973">
        <v>1040</v>
      </c>
      <c r="H973" t="s">
        <v>4930</v>
      </c>
      <c r="I973">
        <v>0</v>
      </c>
      <c r="J973" t="s">
        <v>97</v>
      </c>
      <c r="K973">
        <v>0</v>
      </c>
      <c r="L973">
        <v>0</v>
      </c>
      <c r="M973" t="s">
        <v>11</v>
      </c>
    </row>
    <row r="974" spans="1:13">
      <c r="A974" s="93">
        <v>128771</v>
      </c>
      <c r="B974" t="s">
        <v>1531</v>
      </c>
      <c r="C974" t="s">
        <v>4920</v>
      </c>
      <c r="D974" s="92">
        <v>0.55</v>
      </c>
      <c r="E974" s="92">
        <v>0.49</v>
      </c>
      <c r="F974">
        <v>950</v>
      </c>
      <c r="G974">
        <v>1065</v>
      </c>
      <c r="H974" t="s">
        <v>4932</v>
      </c>
      <c r="I974">
        <v>0</v>
      </c>
      <c r="J974" t="s">
        <v>97</v>
      </c>
      <c r="K974">
        <v>0</v>
      </c>
      <c r="L974">
        <v>0</v>
      </c>
      <c r="M974" t="s">
        <v>11</v>
      </c>
    </row>
    <row r="975" spans="1:13">
      <c r="A975" s="93">
        <v>128780</v>
      </c>
      <c r="B975" t="s">
        <v>1532</v>
      </c>
      <c r="C975" t="s">
        <v>4918</v>
      </c>
      <c r="D975" s="92" t="s">
        <v>446</v>
      </c>
      <c r="E975" s="92" t="s">
        <v>446</v>
      </c>
      <c r="F975" t="s">
        <v>446</v>
      </c>
      <c r="G975" t="s">
        <v>446</v>
      </c>
      <c r="H975" t="s">
        <v>4932</v>
      </c>
      <c r="I975">
        <v>0</v>
      </c>
      <c r="J975" t="s">
        <v>97</v>
      </c>
      <c r="K975">
        <v>0</v>
      </c>
      <c r="L975">
        <v>0</v>
      </c>
      <c r="M975" t="s">
        <v>11</v>
      </c>
    </row>
    <row r="976" spans="1:13">
      <c r="A976" s="93">
        <v>129020</v>
      </c>
      <c r="B976" t="s">
        <v>1533</v>
      </c>
      <c r="C976" t="s">
        <v>4917</v>
      </c>
      <c r="D976" s="92">
        <v>0.83</v>
      </c>
      <c r="E976" s="92">
        <v>0.75</v>
      </c>
      <c r="F976">
        <v>1230</v>
      </c>
      <c r="G976">
        <v>1330</v>
      </c>
      <c r="H976" t="s">
        <v>4930</v>
      </c>
      <c r="I976">
        <v>0</v>
      </c>
      <c r="J976" t="s">
        <v>97</v>
      </c>
      <c r="K976">
        <v>0</v>
      </c>
      <c r="L976">
        <v>0</v>
      </c>
      <c r="M976" t="s">
        <v>11</v>
      </c>
    </row>
    <row r="977" spans="1:13">
      <c r="A977" s="93">
        <v>129154</v>
      </c>
      <c r="B977" t="s">
        <v>1534</v>
      </c>
      <c r="C977" t="s">
        <v>4923</v>
      </c>
      <c r="D977" s="92">
        <v>0.25</v>
      </c>
      <c r="E977" s="92">
        <v>0.24</v>
      </c>
      <c r="F977" t="s">
        <v>446</v>
      </c>
      <c r="G977" t="s">
        <v>446</v>
      </c>
      <c r="H977" t="s">
        <v>4930</v>
      </c>
      <c r="I977">
        <v>0</v>
      </c>
      <c r="J977" t="s">
        <v>97</v>
      </c>
      <c r="K977">
        <v>0</v>
      </c>
      <c r="L977">
        <v>0</v>
      </c>
      <c r="M977" t="s">
        <v>11</v>
      </c>
    </row>
    <row r="978" spans="1:13">
      <c r="A978" s="93">
        <v>129181</v>
      </c>
      <c r="B978" t="s">
        <v>1535</v>
      </c>
      <c r="C978" t="s">
        <v>4919</v>
      </c>
      <c r="D978" s="92" t="s">
        <v>446</v>
      </c>
      <c r="E978" s="92" t="s">
        <v>446</v>
      </c>
      <c r="F978" t="s">
        <v>446</v>
      </c>
      <c r="G978" t="s">
        <v>446</v>
      </c>
      <c r="H978" t="s">
        <v>4930</v>
      </c>
      <c r="I978">
        <v>0</v>
      </c>
      <c r="J978" t="s">
        <v>97</v>
      </c>
      <c r="K978">
        <v>0</v>
      </c>
      <c r="L978">
        <v>0</v>
      </c>
      <c r="M978" t="s">
        <v>11</v>
      </c>
    </row>
    <row r="979" spans="1:13">
      <c r="A979" s="93">
        <v>129242</v>
      </c>
      <c r="B979" t="s">
        <v>1536</v>
      </c>
      <c r="C979" t="s">
        <v>4916</v>
      </c>
      <c r="D979" s="92">
        <v>0.84</v>
      </c>
      <c r="E979" s="92">
        <v>0.83</v>
      </c>
      <c r="F979">
        <v>1230</v>
      </c>
      <c r="G979">
        <v>1305</v>
      </c>
      <c r="H979" t="s">
        <v>4930</v>
      </c>
      <c r="I979">
        <v>0</v>
      </c>
      <c r="J979" t="s">
        <v>97</v>
      </c>
      <c r="K979">
        <v>0</v>
      </c>
      <c r="L979">
        <v>0</v>
      </c>
      <c r="M979" t="s">
        <v>11</v>
      </c>
    </row>
    <row r="980" spans="1:13">
      <c r="A980" s="93">
        <v>129367</v>
      </c>
      <c r="B980" t="s">
        <v>1537</v>
      </c>
      <c r="C980" t="s">
        <v>4919</v>
      </c>
      <c r="D980" s="92">
        <v>0.18</v>
      </c>
      <c r="E980" s="92">
        <v>0.17</v>
      </c>
      <c r="F980" t="s">
        <v>446</v>
      </c>
      <c r="G980" t="s">
        <v>446</v>
      </c>
      <c r="H980" t="s">
        <v>4932</v>
      </c>
      <c r="I980">
        <v>0</v>
      </c>
      <c r="J980" t="s">
        <v>97</v>
      </c>
      <c r="K980">
        <v>0</v>
      </c>
      <c r="L980">
        <v>0</v>
      </c>
      <c r="M980" t="s">
        <v>11</v>
      </c>
    </row>
    <row r="981" spans="1:13">
      <c r="A981" s="93">
        <v>129428</v>
      </c>
      <c r="B981" t="s">
        <v>1538</v>
      </c>
      <c r="C981" t="s">
        <v>4924</v>
      </c>
      <c r="D981" s="92" t="s">
        <v>446</v>
      </c>
      <c r="E981" s="92" t="s">
        <v>446</v>
      </c>
      <c r="F981" t="s">
        <v>446</v>
      </c>
      <c r="G981" t="s">
        <v>446</v>
      </c>
      <c r="H981" t="s">
        <v>4932</v>
      </c>
      <c r="I981">
        <v>0</v>
      </c>
      <c r="J981" t="s">
        <v>97</v>
      </c>
      <c r="K981">
        <v>0</v>
      </c>
      <c r="L981">
        <v>0</v>
      </c>
      <c r="M981" t="s">
        <v>11</v>
      </c>
    </row>
    <row r="982" spans="1:13">
      <c r="A982" s="93">
        <v>129482</v>
      </c>
      <c r="B982" t="s">
        <v>1539</v>
      </c>
      <c r="C982" t="s">
        <v>4919</v>
      </c>
      <c r="D982" s="92" t="s">
        <v>446</v>
      </c>
      <c r="E982" s="92" t="s">
        <v>446</v>
      </c>
      <c r="F982" t="s">
        <v>446</v>
      </c>
      <c r="G982" t="s">
        <v>446</v>
      </c>
      <c r="H982" t="s">
        <v>4930</v>
      </c>
      <c r="I982">
        <v>0</v>
      </c>
      <c r="J982" t="s">
        <v>97</v>
      </c>
      <c r="K982">
        <v>0</v>
      </c>
      <c r="L982">
        <v>0</v>
      </c>
      <c r="M982" t="s">
        <v>11</v>
      </c>
    </row>
    <row r="983" spans="1:13">
      <c r="A983" s="93">
        <v>129491</v>
      </c>
      <c r="B983" t="s">
        <v>1540</v>
      </c>
      <c r="C983" t="s">
        <v>4924</v>
      </c>
      <c r="D983" s="92" t="s">
        <v>446</v>
      </c>
      <c r="E983" s="92" t="s">
        <v>446</v>
      </c>
      <c r="F983" t="s">
        <v>446</v>
      </c>
      <c r="G983" t="s">
        <v>446</v>
      </c>
      <c r="H983" t="s">
        <v>4932</v>
      </c>
      <c r="I983">
        <v>0</v>
      </c>
      <c r="J983" t="s">
        <v>97</v>
      </c>
      <c r="K983">
        <v>0</v>
      </c>
      <c r="L983">
        <v>0</v>
      </c>
      <c r="M983" t="s">
        <v>11</v>
      </c>
    </row>
    <row r="984" spans="1:13">
      <c r="A984" s="93">
        <v>129525</v>
      </c>
      <c r="B984" t="s">
        <v>1541</v>
      </c>
      <c r="C984" t="s">
        <v>4920</v>
      </c>
      <c r="D984" s="92">
        <v>0.61</v>
      </c>
      <c r="E984" s="92">
        <v>0.48</v>
      </c>
      <c r="F984">
        <v>1080</v>
      </c>
      <c r="G984">
        <v>1175</v>
      </c>
      <c r="H984" t="s">
        <v>4930</v>
      </c>
      <c r="I984">
        <v>0</v>
      </c>
      <c r="J984" t="s">
        <v>97</v>
      </c>
      <c r="K984">
        <v>0</v>
      </c>
      <c r="L984">
        <v>0</v>
      </c>
      <c r="M984" t="s">
        <v>11</v>
      </c>
    </row>
    <row r="985" spans="1:13">
      <c r="A985" s="93">
        <v>129534</v>
      </c>
      <c r="B985" t="s">
        <v>1542</v>
      </c>
      <c r="C985" t="s">
        <v>4923</v>
      </c>
      <c r="D985" s="92">
        <v>0.5</v>
      </c>
      <c r="E985" s="92">
        <v>0.5</v>
      </c>
      <c r="F985" t="s">
        <v>446</v>
      </c>
      <c r="G985" t="s">
        <v>446</v>
      </c>
      <c r="H985" t="s">
        <v>4932</v>
      </c>
      <c r="I985">
        <v>0</v>
      </c>
      <c r="J985" t="s">
        <v>97</v>
      </c>
      <c r="K985">
        <v>0</v>
      </c>
      <c r="L985">
        <v>0</v>
      </c>
      <c r="M985" t="s">
        <v>11</v>
      </c>
    </row>
    <row r="986" spans="1:13">
      <c r="A986" s="93">
        <v>129543</v>
      </c>
      <c r="B986" t="s">
        <v>1543</v>
      </c>
      <c r="C986" t="s">
        <v>4919</v>
      </c>
      <c r="D986" s="92">
        <v>0.18</v>
      </c>
      <c r="E986" s="92">
        <v>0.15</v>
      </c>
      <c r="F986" t="s">
        <v>446</v>
      </c>
      <c r="G986" t="s">
        <v>446</v>
      </c>
      <c r="H986" t="s">
        <v>4932</v>
      </c>
      <c r="I986">
        <v>0</v>
      </c>
      <c r="J986" t="s">
        <v>97</v>
      </c>
      <c r="K986">
        <v>0</v>
      </c>
      <c r="L986">
        <v>0</v>
      </c>
      <c r="M986" t="s">
        <v>11</v>
      </c>
    </row>
    <row r="987" spans="1:13">
      <c r="A987" s="93">
        <v>129695</v>
      </c>
      <c r="B987" t="s">
        <v>1544</v>
      </c>
      <c r="C987" t="s">
        <v>4919</v>
      </c>
      <c r="D987" s="92">
        <v>0.24</v>
      </c>
      <c r="E987" s="92">
        <v>0.19</v>
      </c>
      <c r="F987" t="s">
        <v>446</v>
      </c>
      <c r="G987" t="s">
        <v>446</v>
      </c>
      <c r="H987" t="s">
        <v>4932</v>
      </c>
      <c r="I987">
        <v>0</v>
      </c>
      <c r="J987" t="s">
        <v>97</v>
      </c>
      <c r="K987">
        <v>0</v>
      </c>
      <c r="L987">
        <v>0</v>
      </c>
      <c r="M987" t="s">
        <v>11</v>
      </c>
    </row>
    <row r="988" spans="1:13">
      <c r="A988" s="93">
        <v>129729</v>
      </c>
      <c r="B988" t="s">
        <v>1545</v>
      </c>
      <c r="C988" t="s">
        <v>4919</v>
      </c>
      <c r="D988" s="92">
        <v>0.19</v>
      </c>
      <c r="E988" s="92">
        <v>0.14</v>
      </c>
      <c r="F988" t="s">
        <v>446</v>
      </c>
      <c r="G988" t="s">
        <v>446</v>
      </c>
      <c r="H988" t="s">
        <v>4932</v>
      </c>
      <c r="I988">
        <v>0</v>
      </c>
      <c r="J988" t="s">
        <v>97</v>
      </c>
      <c r="K988">
        <v>0</v>
      </c>
      <c r="L988">
        <v>0</v>
      </c>
      <c r="M988" t="s">
        <v>11</v>
      </c>
    </row>
    <row r="989" spans="1:13">
      <c r="A989" s="93">
        <v>129756</v>
      </c>
      <c r="B989" t="s">
        <v>1546</v>
      </c>
      <c r="C989" t="s">
        <v>4919</v>
      </c>
      <c r="D989" s="92">
        <v>0.32</v>
      </c>
      <c r="E989" s="92">
        <v>0.23</v>
      </c>
      <c r="F989" t="s">
        <v>446</v>
      </c>
      <c r="G989" t="s">
        <v>446</v>
      </c>
      <c r="H989" t="s">
        <v>4932</v>
      </c>
      <c r="I989">
        <v>0</v>
      </c>
      <c r="J989" t="s">
        <v>97</v>
      </c>
      <c r="K989">
        <v>0</v>
      </c>
      <c r="L989">
        <v>0</v>
      </c>
      <c r="M989" t="s">
        <v>11</v>
      </c>
    </row>
    <row r="990" spans="1:13">
      <c r="A990" s="93">
        <v>129774</v>
      </c>
      <c r="B990" t="s">
        <v>1547</v>
      </c>
      <c r="C990" t="s">
        <v>4920</v>
      </c>
      <c r="D990" s="92">
        <v>0.47</v>
      </c>
      <c r="E990" s="92">
        <v>0.45</v>
      </c>
      <c r="F990" t="s">
        <v>446</v>
      </c>
      <c r="G990" t="s">
        <v>446</v>
      </c>
      <c r="H990" t="s">
        <v>4930</v>
      </c>
      <c r="I990">
        <v>0</v>
      </c>
      <c r="J990" t="s">
        <v>97</v>
      </c>
      <c r="K990">
        <v>0</v>
      </c>
      <c r="L990">
        <v>0</v>
      </c>
      <c r="M990" t="s">
        <v>11</v>
      </c>
    </row>
    <row r="991" spans="1:13">
      <c r="A991" s="93">
        <v>129808</v>
      </c>
      <c r="B991" t="s">
        <v>1548</v>
      </c>
      <c r="C991" t="s">
        <v>4919</v>
      </c>
      <c r="D991" s="92">
        <v>0.21</v>
      </c>
      <c r="E991" s="92">
        <v>0.12</v>
      </c>
      <c r="F991" t="s">
        <v>446</v>
      </c>
      <c r="G991" t="s">
        <v>446</v>
      </c>
      <c r="H991" t="s">
        <v>4932</v>
      </c>
      <c r="I991">
        <v>0</v>
      </c>
      <c r="J991" t="s">
        <v>97</v>
      </c>
      <c r="K991">
        <v>0</v>
      </c>
      <c r="L991">
        <v>0</v>
      </c>
      <c r="M991" t="s">
        <v>11</v>
      </c>
    </row>
    <row r="992" spans="1:13">
      <c r="A992" s="93">
        <v>129923</v>
      </c>
      <c r="B992" t="s">
        <v>1549</v>
      </c>
      <c r="C992" t="s">
        <v>4926</v>
      </c>
      <c r="D992" s="92" t="s">
        <v>446</v>
      </c>
      <c r="E992" s="92" t="s">
        <v>446</v>
      </c>
      <c r="F992" t="s">
        <v>446</v>
      </c>
      <c r="G992" t="s">
        <v>446</v>
      </c>
      <c r="H992" t="s">
        <v>4930</v>
      </c>
      <c r="I992">
        <v>0</v>
      </c>
      <c r="J992" t="s">
        <v>97</v>
      </c>
      <c r="K992">
        <v>0</v>
      </c>
      <c r="L992">
        <v>0</v>
      </c>
      <c r="M992" t="s">
        <v>11</v>
      </c>
    </row>
    <row r="993" spans="1:13">
      <c r="A993" s="93">
        <v>129941</v>
      </c>
      <c r="B993" t="s">
        <v>1550</v>
      </c>
      <c r="C993" t="s">
        <v>4920</v>
      </c>
      <c r="D993" s="92">
        <v>0.66</v>
      </c>
      <c r="E993" s="92">
        <v>0.54</v>
      </c>
      <c r="F993">
        <v>1100</v>
      </c>
      <c r="G993">
        <v>1190</v>
      </c>
      <c r="H993" t="s">
        <v>4930</v>
      </c>
      <c r="I993">
        <v>0</v>
      </c>
      <c r="J993" t="s">
        <v>97</v>
      </c>
      <c r="K993">
        <v>0</v>
      </c>
      <c r="L993">
        <v>0</v>
      </c>
      <c r="M993" t="s">
        <v>11</v>
      </c>
    </row>
    <row r="994" spans="1:13">
      <c r="A994" s="93">
        <v>130004</v>
      </c>
      <c r="B994" t="s">
        <v>1551</v>
      </c>
      <c r="C994" t="s">
        <v>4919</v>
      </c>
      <c r="D994" s="92">
        <v>0.21</v>
      </c>
      <c r="E994" s="92">
        <v>0.17</v>
      </c>
      <c r="F994" t="s">
        <v>446</v>
      </c>
      <c r="G994" t="s">
        <v>446</v>
      </c>
      <c r="H994" t="s">
        <v>4932</v>
      </c>
      <c r="I994">
        <v>0</v>
      </c>
      <c r="J994" t="s">
        <v>97</v>
      </c>
      <c r="K994">
        <v>0</v>
      </c>
      <c r="L994">
        <v>0</v>
      </c>
      <c r="M994" t="s">
        <v>11</v>
      </c>
    </row>
    <row r="995" spans="1:13">
      <c r="A995" s="93">
        <v>130040</v>
      </c>
      <c r="B995" t="s">
        <v>1552</v>
      </c>
      <c r="C995" t="s">
        <v>4919</v>
      </c>
      <c r="D995" s="92">
        <v>0.3</v>
      </c>
      <c r="E995" s="92">
        <v>0.29</v>
      </c>
      <c r="F995" t="s">
        <v>446</v>
      </c>
      <c r="G995" t="s">
        <v>446</v>
      </c>
      <c r="H995" t="s">
        <v>4932</v>
      </c>
      <c r="I995">
        <v>0</v>
      </c>
      <c r="J995" t="s">
        <v>97</v>
      </c>
      <c r="K995">
        <v>0</v>
      </c>
      <c r="L995">
        <v>0</v>
      </c>
      <c r="M995" t="s">
        <v>11</v>
      </c>
    </row>
    <row r="996" spans="1:13">
      <c r="A996" s="93">
        <v>130110</v>
      </c>
      <c r="B996" t="s">
        <v>1553</v>
      </c>
      <c r="C996" t="s">
        <v>4923</v>
      </c>
      <c r="D996" s="92">
        <v>0.58</v>
      </c>
      <c r="E996" s="92">
        <v>0.6</v>
      </c>
      <c r="F996" t="s">
        <v>446</v>
      </c>
      <c r="G996" t="s">
        <v>446</v>
      </c>
      <c r="H996" t="s">
        <v>4930</v>
      </c>
      <c r="I996">
        <v>0</v>
      </c>
      <c r="J996" t="s">
        <v>97</v>
      </c>
      <c r="K996">
        <v>0</v>
      </c>
      <c r="L996">
        <v>0</v>
      </c>
      <c r="M996" t="s">
        <v>11</v>
      </c>
    </row>
    <row r="997" spans="1:13">
      <c r="A997" s="93">
        <v>130217</v>
      </c>
      <c r="B997" t="s">
        <v>1554</v>
      </c>
      <c r="C997" t="s">
        <v>4919</v>
      </c>
      <c r="D997" s="92">
        <v>0.32</v>
      </c>
      <c r="E997" s="92">
        <v>0.17</v>
      </c>
      <c r="F997" t="s">
        <v>446</v>
      </c>
      <c r="G997" t="s">
        <v>446</v>
      </c>
      <c r="H997" t="s">
        <v>4932</v>
      </c>
      <c r="I997">
        <v>0</v>
      </c>
      <c r="J997" t="s">
        <v>97</v>
      </c>
      <c r="K997">
        <v>0</v>
      </c>
      <c r="L997">
        <v>0</v>
      </c>
      <c r="M997" t="s">
        <v>11</v>
      </c>
    </row>
    <row r="998" spans="1:13">
      <c r="A998" s="93">
        <v>130226</v>
      </c>
      <c r="B998" t="s">
        <v>1555</v>
      </c>
      <c r="C998" t="s">
        <v>4920</v>
      </c>
      <c r="D998" s="92">
        <v>0.8</v>
      </c>
      <c r="E998" s="92">
        <v>0.71</v>
      </c>
      <c r="F998" t="s">
        <v>446</v>
      </c>
      <c r="G998" t="s">
        <v>446</v>
      </c>
      <c r="H998" t="s">
        <v>4930</v>
      </c>
      <c r="I998">
        <v>0</v>
      </c>
      <c r="J998" t="s">
        <v>97</v>
      </c>
      <c r="K998">
        <v>0</v>
      </c>
      <c r="L998">
        <v>0</v>
      </c>
      <c r="M998" t="s">
        <v>11</v>
      </c>
    </row>
    <row r="999" spans="1:13">
      <c r="A999" s="93">
        <v>130253</v>
      </c>
      <c r="B999" t="s">
        <v>1556</v>
      </c>
      <c r="C999" t="s">
        <v>4920</v>
      </c>
      <c r="D999" s="92">
        <v>0.73</v>
      </c>
      <c r="E999" s="92">
        <v>0.65</v>
      </c>
      <c r="F999" t="s">
        <v>446</v>
      </c>
      <c r="G999" t="s">
        <v>446</v>
      </c>
      <c r="H999" t="s">
        <v>4930</v>
      </c>
      <c r="I999">
        <v>0</v>
      </c>
      <c r="J999" t="s">
        <v>97</v>
      </c>
      <c r="K999">
        <v>0</v>
      </c>
      <c r="L999">
        <v>0</v>
      </c>
      <c r="M999" t="s">
        <v>11</v>
      </c>
    </row>
    <row r="1000" spans="1:13">
      <c r="A1000" s="93">
        <v>130314</v>
      </c>
      <c r="B1000" t="s">
        <v>1557</v>
      </c>
      <c r="C1000" t="s">
        <v>4920</v>
      </c>
      <c r="D1000" s="92">
        <v>0.5600000000000001</v>
      </c>
      <c r="E1000" s="92">
        <v>0.44</v>
      </c>
      <c r="F1000">
        <v>1040</v>
      </c>
      <c r="G1000">
        <v>1110</v>
      </c>
      <c r="H1000" t="s">
        <v>4930</v>
      </c>
      <c r="I1000">
        <v>0</v>
      </c>
      <c r="J1000" t="s">
        <v>97</v>
      </c>
      <c r="K1000">
        <v>0</v>
      </c>
      <c r="L1000">
        <v>0</v>
      </c>
      <c r="M1000" t="s">
        <v>11</v>
      </c>
    </row>
    <row r="1001" spans="1:13">
      <c r="A1001" s="93">
        <v>130396</v>
      </c>
      <c r="B1001" t="s">
        <v>1558</v>
      </c>
      <c r="C1001" t="s">
        <v>4919</v>
      </c>
      <c r="D1001" s="92">
        <v>0.18</v>
      </c>
      <c r="E1001" s="92">
        <v>0.13</v>
      </c>
      <c r="F1001" t="s">
        <v>446</v>
      </c>
      <c r="G1001" t="s">
        <v>446</v>
      </c>
      <c r="H1001" t="s">
        <v>4932</v>
      </c>
      <c r="I1001">
        <v>0</v>
      </c>
      <c r="J1001" t="s">
        <v>97</v>
      </c>
      <c r="K1001">
        <v>0</v>
      </c>
      <c r="L1001">
        <v>0</v>
      </c>
      <c r="M1001" t="s">
        <v>11</v>
      </c>
    </row>
    <row r="1002" spans="1:13">
      <c r="A1002" s="93">
        <v>130493</v>
      </c>
      <c r="B1002" t="s">
        <v>1559</v>
      </c>
      <c r="C1002" t="s">
        <v>4918</v>
      </c>
      <c r="D1002" s="92">
        <v>0.52</v>
      </c>
      <c r="E1002" s="92">
        <v>0.45</v>
      </c>
      <c r="F1002" t="s">
        <v>446</v>
      </c>
      <c r="G1002" t="s">
        <v>446</v>
      </c>
      <c r="H1002" t="s">
        <v>4932</v>
      </c>
      <c r="I1002">
        <v>0</v>
      </c>
      <c r="J1002" t="s">
        <v>97</v>
      </c>
      <c r="K1002">
        <v>0</v>
      </c>
      <c r="L1002">
        <v>0</v>
      </c>
      <c r="M1002" t="s">
        <v>11</v>
      </c>
    </row>
    <row r="1003" spans="1:13">
      <c r="A1003" s="93">
        <v>130509</v>
      </c>
      <c r="B1003" t="s">
        <v>1560</v>
      </c>
      <c r="C1003" t="s">
        <v>4919</v>
      </c>
      <c r="D1003" s="92" t="s">
        <v>446</v>
      </c>
      <c r="E1003" s="92" t="s">
        <v>446</v>
      </c>
      <c r="F1003" t="s">
        <v>446</v>
      </c>
      <c r="G1003" t="s">
        <v>446</v>
      </c>
      <c r="H1003" t="s">
        <v>4930</v>
      </c>
      <c r="I1003">
        <v>0</v>
      </c>
      <c r="J1003" t="s">
        <v>97</v>
      </c>
      <c r="K1003">
        <v>0</v>
      </c>
      <c r="L1003">
        <v>0</v>
      </c>
      <c r="M1003" t="s">
        <v>11</v>
      </c>
    </row>
    <row r="1004" spans="1:13">
      <c r="A1004" s="93">
        <v>130606</v>
      </c>
      <c r="B1004" t="s">
        <v>1561</v>
      </c>
      <c r="C1004" t="s">
        <v>4919</v>
      </c>
      <c r="D1004" s="92">
        <v>0.24</v>
      </c>
      <c r="E1004" s="92">
        <v>0.17</v>
      </c>
      <c r="F1004" t="s">
        <v>446</v>
      </c>
      <c r="G1004" t="s">
        <v>446</v>
      </c>
      <c r="H1004" t="s">
        <v>4932</v>
      </c>
      <c r="I1004">
        <v>0</v>
      </c>
      <c r="J1004" t="s">
        <v>97</v>
      </c>
      <c r="K1004">
        <v>0</v>
      </c>
      <c r="L1004">
        <v>0</v>
      </c>
      <c r="M1004" t="s">
        <v>11</v>
      </c>
    </row>
    <row r="1005" spans="1:13">
      <c r="A1005" s="93">
        <v>130624</v>
      </c>
      <c r="B1005" t="s">
        <v>1562</v>
      </c>
      <c r="C1005" t="s">
        <v>4921</v>
      </c>
      <c r="D1005" s="92">
        <v>0.89</v>
      </c>
      <c r="E1005" s="92">
        <v>0.82</v>
      </c>
      <c r="F1005">
        <v>1200</v>
      </c>
      <c r="G1005">
        <v>1295</v>
      </c>
      <c r="H1005" t="s">
        <v>4932</v>
      </c>
      <c r="I1005">
        <v>0</v>
      </c>
      <c r="J1005" t="s">
        <v>97</v>
      </c>
      <c r="K1005">
        <v>0</v>
      </c>
      <c r="L1005">
        <v>0</v>
      </c>
      <c r="M1005" t="s">
        <v>11</v>
      </c>
    </row>
    <row r="1006" spans="1:13">
      <c r="A1006" s="93">
        <v>130776</v>
      </c>
      <c r="B1006" t="s">
        <v>1563</v>
      </c>
      <c r="C1006" t="s">
        <v>4918</v>
      </c>
      <c r="D1006" s="92">
        <v>0.52</v>
      </c>
      <c r="E1006" s="92">
        <v>0.45</v>
      </c>
      <c r="F1006" t="s">
        <v>446</v>
      </c>
      <c r="G1006" t="s">
        <v>446</v>
      </c>
      <c r="H1006" t="s">
        <v>4932</v>
      </c>
      <c r="I1006">
        <v>0</v>
      </c>
      <c r="J1006" t="s">
        <v>97</v>
      </c>
      <c r="K1006">
        <v>0</v>
      </c>
      <c r="L1006">
        <v>0</v>
      </c>
      <c r="M1006" t="s">
        <v>11</v>
      </c>
    </row>
    <row r="1007" spans="1:13">
      <c r="A1007" s="93">
        <v>130907</v>
      </c>
      <c r="B1007" t="s">
        <v>1564</v>
      </c>
      <c r="C1007" t="s">
        <v>4923</v>
      </c>
      <c r="D1007" s="92" t="s">
        <v>446</v>
      </c>
      <c r="E1007" s="92" t="s">
        <v>446</v>
      </c>
      <c r="F1007" t="s">
        <v>446</v>
      </c>
      <c r="G1007" t="s">
        <v>446</v>
      </c>
      <c r="H1007" t="s">
        <v>4932</v>
      </c>
      <c r="I1007">
        <v>0</v>
      </c>
      <c r="J1007" t="s">
        <v>97</v>
      </c>
      <c r="K1007">
        <v>0</v>
      </c>
      <c r="L1007">
        <v>0</v>
      </c>
      <c r="M1007" t="s">
        <v>11</v>
      </c>
    </row>
    <row r="1008" spans="1:13">
      <c r="A1008" s="93">
        <v>130934</v>
      </c>
      <c r="B1008" t="s">
        <v>1565</v>
      </c>
      <c r="C1008" t="s">
        <v>4923</v>
      </c>
      <c r="D1008" s="92">
        <v>0.47</v>
      </c>
      <c r="E1008" s="92">
        <v>0.64</v>
      </c>
      <c r="F1008" t="s">
        <v>446</v>
      </c>
      <c r="G1008" t="s">
        <v>446</v>
      </c>
      <c r="H1008" t="s">
        <v>4930</v>
      </c>
      <c r="I1008">
        <v>0</v>
      </c>
      <c r="J1008" t="s">
        <v>153</v>
      </c>
      <c r="K1008">
        <v>0</v>
      </c>
      <c r="L1008">
        <v>0</v>
      </c>
      <c r="M1008" t="s">
        <v>11</v>
      </c>
    </row>
    <row r="1009" spans="1:13">
      <c r="A1009" s="93">
        <v>130943</v>
      </c>
      <c r="B1009" t="s">
        <v>1566</v>
      </c>
      <c r="C1009" t="s">
        <v>4916</v>
      </c>
      <c r="D1009" s="92">
        <v>0.84</v>
      </c>
      <c r="E1009" s="92">
        <v>0.76</v>
      </c>
      <c r="F1009">
        <v>1160</v>
      </c>
      <c r="G1009">
        <v>1250</v>
      </c>
      <c r="H1009" t="s">
        <v>4932</v>
      </c>
      <c r="I1009">
        <v>0</v>
      </c>
      <c r="J1009" t="s">
        <v>97</v>
      </c>
      <c r="K1009">
        <v>0</v>
      </c>
      <c r="L1009">
        <v>0</v>
      </c>
      <c r="M1009" t="s">
        <v>11</v>
      </c>
    </row>
    <row r="1010" spans="1:13">
      <c r="A1010" s="93">
        <v>130989</v>
      </c>
      <c r="B1010" t="s">
        <v>1567</v>
      </c>
      <c r="C1010" t="s">
        <v>4920</v>
      </c>
      <c r="D1010" s="92">
        <v>0.53</v>
      </c>
      <c r="E1010" s="92">
        <v>0.45</v>
      </c>
      <c r="F1010" t="s">
        <v>446</v>
      </c>
      <c r="G1010" t="s">
        <v>446</v>
      </c>
      <c r="H1010" t="s">
        <v>4931</v>
      </c>
      <c r="I1010">
        <v>0</v>
      </c>
      <c r="J1010" t="s">
        <v>97</v>
      </c>
      <c r="K1010">
        <v>0</v>
      </c>
      <c r="L1010">
        <v>0</v>
      </c>
      <c r="M1010" t="s">
        <v>11</v>
      </c>
    </row>
    <row r="1011" spans="1:13">
      <c r="A1011" s="93">
        <v>131098</v>
      </c>
      <c r="B1011" t="s">
        <v>1568</v>
      </c>
      <c r="C1011" t="s">
        <v>4918</v>
      </c>
      <c r="D1011" s="92">
        <v>0.31</v>
      </c>
      <c r="E1011" s="92">
        <v>0.25</v>
      </c>
      <c r="F1011" t="s">
        <v>446</v>
      </c>
      <c r="G1011" t="s">
        <v>446</v>
      </c>
      <c r="H1011" t="s">
        <v>4930</v>
      </c>
      <c r="I1011">
        <v>0</v>
      </c>
      <c r="J1011" t="s">
        <v>97</v>
      </c>
      <c r="K1011">
        <v>0</v>
      </c>
      <c r="L1011">
        <v>0</v>
      </c>
      <c r="M1011" t="s">
        <v>11</v>
      </c>
    </row>
    <row r="1012" spans="1:13">
      <c r="A1012" s="93">
        <v>131283</v>
      </c>
      <c r="B1012" t="s">
        <v>1569</v>
      </c>
      <c r="C1012" t="s">
        <v>4916</v>
      </c>
      <c r="D1012" s="92">
        <v>0.74</v>
      </c>
      <c r="E1012" s="92">
        <v>0.65</v>
      </c>
      <c r="F1012" t="s">
        <v>446</v>
      </c>
      <c r="G1012" t="s">
        <v>446</v>
      </c>
      <c r="H1012" t="s">
        <v>4930</v>
      </c>
      <c r="I1012">
        <v>0</v>
      </c>
      <c r="J1012" t="s">
        <v>97</v>
      </c>
      <c r="K1012">
        <v>0</v>
      </c>
      <c r="L1012">
        <v>0</v>
      </c>
      <c r="M1012" t="s">
        <v>11</v>
      </c>
    </row>
    <row r="1013" spans="1:13">
      <c r="A1013" s="93">
        <v>131399</v>
      </c>
      <c r="B1013" t="s">
        <v>1570</v>
      </c>
      <c r="C1013" t="s">
        <v>4918</v>
      </c>
      <c r="D1013" s="92">
        <v>0.37</v>
      </c>
      <c r="E1013" s="92">
        <v>0.34</v>
      </c>
      <c r="F1013" t="s">
        <v>446</v>
      </c>
      <c r="G1013" t="s">
        <v>446</v>
      </c>
      <c r="H1013" t="s">
        <v>4932</v>
      </c>
      <c r="I1013">
        <v>0</v>
      </c>
      <c r="J1013" t="s">
        <v>153</v>
      </c>
      <c r="K1013">
        <v>0</v>
      </c>
      <c r="L1013">
        <v>0</v>
      </c>
      <c r="M1013" t="s">
        <v>11</v>
      </c>
    </row>
    <row r="1014" spans="1:13">
      <c r="A1014" s="93">
        <v>131405</v>
      </c>
      <c r="B1014" t="s">
        <v>1571</v>
      </c>
      <c r="C1014" t="s">
        <v>4924</v>
      </c>
      <c r="D1014" s="92" t="s">
        <v>446</v>
      </c>
      <c r="E1014" s="92" t="s">
        <v>446</v>
      </c>
      <c r="F1014" t="s">
        <v>446</v>
      </c>
      <c r="G1014" t="s">
        <v>446</v>
      </c>
      <c r="H1014" t="s">
        <v>4932</v>
      </c>
      <c r="I1014">
        <v>0</v>
      </c>
      <c r="J1014" t="s">
        <v>97</v>
      </c>
      <c r="K1014">
        <v>0</v>
      </c>
      <c r="L1014">
        <v>0</v>
      </c>
      <c r="M1014" t="s">
        <v>11</v>
      </c>
    </row>
    <row r="1015" spans="1:13">
      <c r="A1015" s="93">
        <v>131450</v>
      </c>
      <c r="B1015" t="s">
        <v>1572</v>
      </c>
      <c r="C1015" t="s">
        <v>4918</v>
      </c>
      <c r="D1015" s="92">
        <v>0.51</v>
      </c>
      <c r="E1015" s="92">
        <v>0.38</v>
      </c>
      <c r="F1015">
        <v>800</v>
      </c>
      <c r="G1015">
        <v>920</v>
      </c>
      <c r="H1015" t="s">
        <v>4930</v>
      </c>
      <c r="I1015">
        <v>0</v>
      </c>
      <c r="J1015" t="s">
        <v>97</v>
      </c>
      <c r="K1015">
        <v>0</v>
      </c>
      <c r="L1015">
        <v>0</v>
      </c>
      <c r="M1015" t="s">
        <v>11</v>
      </c>
    </row>
    <row r="1016" spans="1:13">
      <c r="A1016" s="93">
        <v>131803</v>
      </c>
      <c r="B1016" t="s">
        <v>1573</v>
      </c>
      <c r="C1016" t="s">
        <v>4923</v>
      </c>
      <c r="D1016" s="92">
        <v>0.33</v>
      </c>
      <c r="E1016" s="92">
        <v>1</v>
      </c>
      <c r="F1016" t="s">
        <v>446</v>
      </c>
      <c r="G1016" t="s">
        <v>446</v>
      </c>
      <c r="H1016" t="s">
        <v>4932</v>
      </c>
      <c r="I1016">
        <v>0</v>
      </c>
      <c r="J1016" t="s">
        <v>97</v>
      </c>
      <c r="K1016">
        <v>0</v>
      </c>
      <c r="L1016">
        <v>0</v>
      </c>
      <c r="M1016" t="s">
        <v>11</v>
      </c>
    </row>
    <row r="1017" spans="1:13">
      <c r="A1017" s="93">
        <v>131830</v>
      </c>
      <c r="B1017" t="s">
        <v>1574</v>
      </c>
      <c r="C1017" t="s">
        <v>4919</v>
      </c>
      <c r="D1017" s="92" t="s">
        <v>446</v>
      </c>
      <c r="E1017" s="92" t="s">
        <v>446</v>
      </c>
      <c r="F1017" t="s">
        <v>446</v>
      </c>
      <c r="G1017" t="s">
        <v>446</v>
      </c>
      <c r="H1017" t="s">
        <v>4930</v>
      </c>
      <c r="I1017">
        <v>0</v>
      </c>
      <c r="J1017" t="s">
        <v>97</v>
      </c>
      <c r="K1017">
        <v>0</v>
      </c>
      <c r="L1017">
        <v>0</v>
      </c>
      <c r="M1017" t="s">
        <v>11</v>
      </c>
    </row>
    <row r="1018" spans="1:13">
      <c r="A1018" s="93">
        <v>131876</v>
      </c>
      <c r="B1018" t="s">
        <v>1575</v>
      </c>
      <c r="C1018" t="s">
        <v>4920</v>
      </c>
      <c r="D1018" s="92">
        <v>0.42</v>
      </c>
      <c r="E1018" s="92">
        <v>0.42</v>
      </c>
      <c r="F1018" t="s">
        <v>446</v>
      </c>
      <c r="G1018" t="s">
        <v>446</v>
      </c>
      <c r="H1018" t="s">
        <v>4931</v>
      </c>
      <c r="I1018">
        <v>0</v>
      </c>
      <c r="J1018" t="s">
        <v>97</v>
      </c>
      <c r="K1018">
        <v>0</v>
      </c>
      <c r="L1018">
        <v>0</v>
      </c>
      <c r="M1018" t="s">
        <v>11</v>
      </c>
    </row>
    <row r="1019" spans="1:13">
      <c r="A1019" s="93">
        <v>131973</v>
      </c>
      <c r="B1019" t="s">
        <v>1576</v>
      </c>
      <c r="C1019" t="s">
        <v>4924</v>
      </c>
      <c r="D1019" s="92" t="s">
        <v>446</v>
      </c>
      <c r="E1019" s="92" t="s">
        <v>446</v>
      </c>
      <c r="F1019" t="s">
        <v>446</v>
      </c>
      <c r="G1019" t="s">
        <v>446</v>
      </c>
      <c r="H1019" t="s">
        <v>4932</v>
      </c>
      <c r="I1019">
        <v>0</v>
      </c>
      <c r="J1019" t="s">
        <v>97</v>
      </c>
      <c r="K1019">
        <v>0</v>
      </c>
      <c r="L1019">
        <v>0</v>
      </c>
      <c r="M1019" t="s">
        <v>11</v>
      </c>
    </row>
    <row r="1020" spans="1:13">
      <c r="A1020" s="93">
        <v>132374</v>
      </c>
      <c r="B1020" t="s">
        <v>1577</v>
      </c>
      <c r="C1020" t="s">
        <v>4919</v>
      </c>
      <c r="D1020" s="92" t="s">
        <v>446</v>
      </c>
      <c r="E1020" s="92" t="s">
        <v>446</v>
      </c>
      <c r="F1020" t="s">
        <v>446</v>
      </c>
      <c r="G1020" t="s">
        <v>446</v>
      </c>
      <c r="H1020" t="s">
        <v>4932</v>
      </c>
      <c r="I1020">
        <v>0</v>
      </c>
      <c r="J1020" t="s">
        <v>97</v>
      </c>
      <c r="K1020">
        <v>0</v>
      </c>
      <c r="L1020">
        <v>0</v>
      </c>
      <c r="M1020" t="s">
        <v>11</v>
      </c>
    </row>
    <row r="1021" spans="1:13">
      <c r="A1021" s="93">
        <v>132408</v>
      </c>
      <c r="B1021" t="s">
        <v>1578</v>
      </c>
      <c r="C1021" t="s">
        <v>4923</v>
      </c>
      <c r="D1021" s="92">
        <v>0.5</v>
      </c>
      <c r="E1021" s="92">
        <v>0.14</v>
      </c>
      <c r="F1021">
        <v>930</v>
      </c>
      <c r="G1021">
        <v>995</v>
      </c>
      <c r="H1021" t="s">
        <v>4931</v>
      </c>
      <c r="I1021">
        <v>0</v>
      </c>
      <c r="J1021" t="s">
        <v>97</v>
      </c>
      <c r="K1021">
        <v>0</v>
      </c>
      <c r="L1021">
        <v>0</v>
      </c>
      <c r="M1021" t="s">
        <v>11</v>
      </c>
    </row>
    <row r="1022" spans="1:13">
      <c r="A1022" s="93">
        <v>132693</v>
      </c>
      <c r="B1022" t="s">
        <v>1579</v>
      </c>
      <c r="C1022" t="s">
        <v>4923</v>
      </c>
      <c r="D1022" s="92" t="s">
        <v>446</v>
      </c>
      <c r="E1022" s="92" t="s">
        <v>446</v>
      </c>
      <c r="F1022" t="s">
        <v>446</v>
      </c>
      <c r="G1022" t="s">
        <v>446</v>
      </c>
      <c r="H1022" t="s">
        <v>4932</v>
      </c>
      <c r="I1022">
        <v>0</v>
      </c>
      <c r="J1022" t="s">
        <v>97</v>
      </c>
      <c r="K1022">
        <v>0</v>
      </c>
      <c r="L1022">
        <v>0</v>
      </c>
      <c r="M1022" t="s">
        <v>11</v>
      </c>
    </row>
    <row r="1023" spans="1:13">
      <c r="A1023" s="93">
        <v>132842</v>
      </c>
      <c r="B1023" t="s">
        <v>1580</v>
      </c>
      <c r="C1023" t="s">
        <v>4918</v>
      </c>
      <c r="D1023" s="92">
        <v>0.5</v>
      </c>
      <c r="E1023" s="92">
        <v>0.5</v>
      </c>
      <c r="F1023" t="s">
        <v>446</v>
      </c>
      <c r="G1023" t="s">
        <v>446</v>
      </c>
      <c r="H1023" t="s">
        <v>4930</v>
      </c>
      <c r="I1023">
        <v>0</v>
      </c>
      <c r="J1023" t="s">
        <v>97</v>
      </c>
      <c r="K1023">
        <v>0</v>
      </c>
      <c r="L1023">
        <v>0</v>
      </c>
      <c r="M1023" t="s">
        <v>11</v>
      </c>
    </row>
    <row r="1024" spans="1:13">
      <c r="A1024" s="93">
        <v>132879</v>
      </c>
      <c r="B1024" t="s">
        <v>1581</v>
      </c>
      <c r="C1024" t="s">
        <v>4918</v>
      </c>
      <c r="D1024" s="92">
        <v>0.34</v>
      </c>
      <c r="E1024" s="92">
        <v>0.23</v>
      </c>
      <c r="F1024">
        <v>820</v>
      </c>
      <c r="G1024">
        <v>915</v>
      </c>
      <c r="H1024" t="s">
        <v>4931</v>
      </c>
      <c r="I1024">
        <v>0</v>
      </c>
      <c r="J1024" t="s">
        <v>97</v>
      </c>
      <c r="K1024">
        <v>0</v>
      </c>
      <c r="L1024">
        <v>0</v>
      </c>
      <c r="M1024" t="s">
        <v>11</v>
      </c>
    </row>
    <row r="1025" spans="1:13">
      <c r="A1025" s="93">
        <v>133021</v>
      </c>
      <c r="B1025" t="s">
        <v>1582</v>
      </c>
      <c r="C1025" t="s">
        <v>4923</v>
      </c>
      <c r="D1025" s="92" t="s">
        <v>446</v>
      </c>
      <c r="E1025" s="92" t="s">
        <v>446</v>
      </c>
      <c r="F1025" t="s">
        <v>446</v>
      </c>
      <c r="G1025" t="s">
        <v>446</v>
      </c>
      <c r="H1025" t="s">
        <v>4932</v>
      </c>
      <c r="I1025">
        <v>0</v>
      </c>
      <c r="J1025" t="s">
        <v>97</v>
      </c>
      <c r="K1025">
        <v>0</v>
      </c>
      <c r="L1025">
        <v>0</v>
      </c>
      <c r="M1025" t="s">
        <v>11</v>
      </c>
    </row>
    <row r="1026" spans="1:13">
      <c r="A1026" s="93">
        <v>133386</v>
      </c>
      <c r="B1026" t="s">
        <v>1583</v>
      </c>
      <c r="C1026" t="s">
        <v>4923</v>
      </c>
      <c r="D1026" s="92" t="s">
        <v>446</v>
      </c>
      <c r="E1026" s="92" t="s">
        <v>446</v>
      </c>
      <c r="F1026" t="s">
        <v>446</v>
      </c>
      <c r="G1026" t="s">
        <v>446</v>
      </c>
      <c r="H1026" t="s">
        <v>4932</v>
      </c>
      <c r="I1026">
        <v>0</v>
      </c>
      <c r="J1026" t="s">
        <v>97</v>
      </c>
      <c r="K1026">
        <v>0</v>
      </c>
      <c r="L1026">
        <v>0</v>
      </c>
      <c r="M1026" t="s">
        <v>11</v>
      </c>
    </row>
    <row r="1027" spans="1:13">
      <c r="A1027" s="93">
        <v>133465</v>
      </c>
      <c r="B1027" t="s">
        <v>1584</v>
      </c>
      <c r="C1027" t="s">
        <v>4923</v>
      </c>
      <c r="D1027" s="92">
        <v>0.15</v>
      </c>
      <c r="E1027" s="92">
        <v>0.15</v>
      </c>
      <c r="F1027" t="s">
        <v>446</v>
      </c>
      <c r="G1027" t="s">
        <v>446</v>
      </c>
      <c r="H1027" t="s">
        <v>4930</v>
      </c>
      <c r="I1027">
        <v>0</v>
      </c>
      <c r="J1027" t="s">
        <v>97</v>
      </c>
      <c r="K1027">
        <v>0</v>
      </c>
      <c r="L1027">
        <v>0</v>
      </c>
      <c r="M1027" t="s">
        <v>11</v>
      </c>
    </row>
    <row r="1028" spans="1:13">
      <c r="A1028" s="93">
        <v>133492</v>
      </c>
      <c r="B1028" t="s">
        <v>1585</v>
      </c>
      <c r="C1028" t="s">
        <v>4920</v>
      </c>
      <c r="D1028" s="92">
        <v>0.66</v>
      </c>
      <c r="E1028" s="92">
        <v>0.63</v>
      </c>
      <c r="F1028" t="s">
        <v>446</v>
      </c>
      <c r="G1028" t="s">
        <v>446</v>
      </c>
      <c r="H1028" t="s">
        <v>4930</v>
      </c>
      <c r="I1028">
        <v>0</v>
      </c>
      <c r="J1028" t="s">
        <v>97</v>
      </c>
      <c r="K1028">
        <v>0</v>
      </c>
      <c r="L1028">
        <v>0</v>
      </c>
      <c r="M1028" t="s">
        <v>11</v>
      </c>
    </row>
    <row r="1029" spans="1:13">
      <c r="A1029" s="93">
        <v>133508</v>
      </c>
      <c r="B1029" t="s">
        <v>1586</v>
      </c>
      <c r="C1029" t="s">
        <v>4923</v>
      </c>
      <c r="D1029" s="92" t="s">
        <v>446</v>
      </c>
      <c r="E1029" s="92" t="s">
        <v>446</v>
      </c>
      <c r="F1029" t="s">
        <v>446</v>
      </c>
      <c r="G1029" t="s">
        <v>446</v>
      </c>
      <c r="H1029" t="s">
        <v>4932</v>
      </c>
      <c r="I1029">
        <v>0</v>
      </c>
      <c r="J1029" t="s">
        <v>97</v>
      </c>
      <c r="K1029">
        <v>0</v>
      </c>
      <c r="L1029">
        <v>0</v>
      </c>
      <c r="M1029" t="s">
        <v>11</v>
      </c>
    </row>
    <row r="1030" spans="1:13">
      <c r="A1030" s="93">
        <v>133526</v>
      </c>
      <c r="B1030" t="s">
        <v>1587</v>
      </c>
      <c r="C1030" t="s">
        <v>4923</v>
      </c>
      <c r="D1030" s="92">
        <v>0.28</v>
      </c>
      <c r="E1030" s="92">
        <v>0.4</v>
      </c>
      <c r="F1030" t="s">
        <v>446</v>
      </c>
      <c r="G1030" t="s">
        <v>446</v>
      </c>
      <c r="H1030" t="s">
        <v>4931</v>
      </c>
      <c r="I1030">
        <v>0</v>
      </c>
      <c r="J1030" t="s">
        <v>153</v>
      </c>
      <c r="K1030">
        <v>0</v>
      </c>
      <c r="L1030">
        <v>0</v>
      </c>
      <c r="M1030" t="s">
        <v>11</v>
      </c>
    </row>
    <row r="1031" spans="1:13">
      <c r="A1031" s="93">
        <v>133669</v>
      </c>
      <c r="B1031" t="s">
        <v>1588</v>
      </c>
      <c r="C1031" t="s">
        <v>4920</v>
      </c>
      <c r="D1031" s="92">
        <v>0.55</v>
      </c>
      <c r="E1031" s="92">
        <v>0.55</v>
      </c>
      <c r="F1031">
        <v>1020</v>
      </c>
      <c r="G1031">
        <v>1110</v>
      </c>
      <c r="H1031" t="s">
        <v>4932</v>
      </c>
      <c r="I1031">
        <v>0</v>
      </c>
      <c r="J1031" t="s">
        <v>97</v>
      </c>
      <c r="K1031">
        <v>0</v>
      </c>
      <c r="L1031">
        <v>0</v>
      </c>
      <c r="M1031" t="s">
        <v>11</v>
      </c>
    </row>
    <row r="1032" spans="1:13">
      <c r="A1032" s="93">
        <v>133702</v>
      </c>
      <c r="B1032" t="s">
        <v>1589</v>
      </c>
      <c r="C1032" t="s">
        <v>4923</v>
      </c>
      <c r="D1032" s="92" t="s">
        <v>446</v>
      </c>
      <c r="E1032" s="92" t="s">
        <v>446</v>
      </c>
      <c r="F1032" t="s">
        <v>446</v>
      </c>
      <c r="G1032" t="s">
        <v>446</v>
      </c>
      <c r="H1032" t="s">
        <v>4932</v>
      </c>
      <c r="I1032">
        <v>0</v>
      </c>
      <c r="J1032" t="s">
        <v>97</v>
      </c>
      <c r="K1032">
        <v>0</v>
      </c>
      <c r="L1032">
        <v>0</v>
      </c>
      <c r="M1032" t="s">
        <v>11</v>
      </c>
    </row>
    <row r="1033" spans="1:13">
      <c r="A1033" s="93">
        <v>133711</v>
      </c>
      <c r="B1033" t="s">
        <v>1590</v>
      </c>
      <c r="C1033" t="s">
        <v>4920</v>
      </c>
      <c r="D1033" s="92">
        <v>0.5600000000000001</v>
      </c>
      <c r="E1033" s="92">
        <v>0.54</v>
      </c>
      <c r="F1033">
        <v>990</v>
      </c>
      <c r="G1033">
        <v>1085</v>
      </c>
      <c r="H1033" t="s">
        <v>4930</v>
      </c>
      <c r="I1033">
        <v>0</v>
      </c>
      <c r="J1033" t="s">
        <v>97</v>
      </c>
      <c r="K1033">
        <v>0</v>
      </c>
      <c r="L1033">
        <v>0</v>
      </c>
      <c r="M1033" t="s">
        <v>11</v>
      </c>
    </row>
    <row r="1034" spans="1:13">
      <c r="A1034" s="93">
        <v>133809</v>
      </c>
      <c r="B1034" t="s">
        <v>1591</v>
      </c>
      <c r="C1034" t="s">
        <v>4920</v>
      </c>
      <c r="D1034" s="92">
        <v>0.28</v>
      </c>
      <c r="E1034" s="92">
        <v>0.19</v>
      </c>
      <c r="F1034">
        <v>900</v>
      </c>
      <c r="G1034">
        <v>1030</v>
      </c>
      <c r="H1034" t="s">
        <v>4931</v>
      </c>
      <c r="I1034">
        <v>0</v>
      </c>
      <c r="J1034" t="s">
        <v>97</v>
      </c>
      <c r="K1034">
        <v>0</v>
      </c>
      <c r="L1034">
        <v>0</v>
      </c>
      <c r="M1034" t="s">
        <v>11</v>
      </c>
    </row>
    <row r="1035" spans="1:13">
      <c r="A1035" s="93">
        <v>133845</v>
      </c>
      <c r="B1035" t="s">
        <v>1592</v>
      </c>
      <c r="C1035" t="s">
        <v>4925</v>
      </c>
      <c r="D1035" s="92" t="s">
        <v>446</v>
      </c>
      <c r="E1035" s="92" t="s">
        <v>446</v>
      </c>
      <c r="F1035" t="s">
        <v>446</v>
      </c>
      <c r="G1035" t="s">
        <v>446</v>
      </c>
      <c r="H1035" t="s">
        <v>4930</v>
      </c>
      <c r="I1035">
        <v>0</v>
      </c>
      <c r="J1035" t="s">
        <v>97</v>
      </c>
      <c r="K1035">
        <v>0</v>
      </c>
      <c r="L1035">
        <v>0</v>
      </c>
      <c r="M1035" t="s">
        <v>11</v>
      </c>
    </row>
    <row r="1036" spans="1:13">
      <c r="A1036" s="93">
        <v>133854</v>
      </c>
      <c r="B1036" t="s">
        <v>1593</v>
      </c>
      <c r="C1036" t="s">
        <v>4925</v>
      </c>
      <c r="D1036" s="92" t="s">
        <v>446</v>
      </c>
      <c r="E1036" s="92" t="s">
        <v>446</v>
      </c>
      <c r="F1036" t="s">
        <v>446</v>
      </c>
      <c r="G1036" t="s">
        <v>446</v>
      </c>
      <c r="H1036" t="s">
        <v>4930</v>
      </c>
      <c r="I1036">
        <v>0</v>
      </c>
      <c r="J1036" t="s">
        <v>97</v>
      </c>
      <c r="K1036">
        <v>0</v>
      </c>
      <c r="L1036">
        <v>0</v>
      </c>
      <c r="M1036" t="s">
        <v>11</v>
      </c>
    </row>
    <row r="1037" spans="1:13">
      <c r="A1037" s="93">
        <v>133863</v>
      </c>
      <c r="B1037" t="s">
        <v>1594</v>
      </c>
      <c r="C1037" t="s">
        <v>4919</v>
      </c>
      <c r="D1037" s="92" t="s">
        <v>446</v>
      </c>
      <c r="E1037" s="92" t="s">
        <v>446</v>
      </c>
      <c r="F1037" t="s">
        <v>446</v>
      </c>
      <c r="G1037" t="s">
        <v>446</v>
      </c>
      <c r="H1037" t="s">
        <v>4930</v>
      </c>
      <c r="I1037">
        <v>0</v>
      </c>
      <c r="J1037" t="s">
        <v>97</v>
      </c>
      <c r="K1037">
        <v>0</v>
      </c>
      <c r="L1037">
        <v>0</v>
      </c>
      <c r="M1037" t="s">
        <v>11</v>
      </c>
    </row>
    <row r="1038" spans="1:13">
      <c r="A1038" s="93">
        <v>133872</v>
      </c>
      <c r="B1038" t="s">
        <v>1595</v>
      </c>
      <c r="C1038" t="s">
        <v>4923</v>
      </c>
      <c r="D1038" s="92">
        <v>0.41</v>
      </c>
      <c r="E1038" s="92">
        <v>0.35</v>
      </c>
      <c r="F1038" t="s">
        <v>446</v>
      </c>
      <c r="G1038" t="s">
        <v>446</v>
      </c>
      <c r="H1038" t="s">
        <v>4930</v>
      </c>
      <c r="I1038">
        <v>0</v>
      </c>
      <c r="J1038" t="s">
        <v>97</v>
      </c>
      <c r="K1038">
        <v>0</v>
      </c>
      <c r="L1038">
        <v>0</v>
      </c>
      <c r="M1038" t="s">
        <v>11</v>
      </c>
    </row>
    <row r="1039" spans="1:13">
      <c r="A1039" s="93">
        <v>133881</v>
      </c>
      <c r="B1039" t="s">
        <v>1596</v>
      </c>
      <c r="C1039" t="s">
        <v>4916</v>
      </c>
      <c r="D1039" s="92">
        <v>0.62</v>
      </c>
      <c r="E1039" s="92">
        <v>0.54</v>
      </c>
      <c r="F1039">
        <v>1140</v>
      </c>
      <c r="G1039">
        <v>1240</v>
      </c>
      <c r="H1039" t="s">
        <v>4930</v>
      </c>
      <c r="I1039">
        <v>0</v>
      </c>
      <c r="J1039" t="s">
        <v>97</v>
      </c>
      <c r="K1039">
        <v>0</v>
      </c>
      <c r="L1039">
        <v>0</v>
      </c>
      <c r="M1039" t="s">
        <v>11</v>
      </c>
    </row>
    <row r="1040" spans="1:13">
      <c r="A1040" s="93">
        <v>133942</v>
      </c>
      <c r="B1040" t="s">
        <v>1597</v>
      </c>
      <c r="C1040" t="s">
        <v>4919</v>
      </c>
      <c r="D1040" s="92" t="s">
        <v>446</v>
      </c>
      <c r="E1040" s="92" t="s">
        <v>446</v>
      </c>
      <c r="F1040" t="s">
        <v>446</v>
      </c>
      <c r="G1040" t="s">
        <v>446</v>
      </c>
      <c r="H1040" t="s">
        <v>4932</v>
      </c>
      <c r="I1040">
        <v>0</v>
      </c>
      <c r="J1040" t="s">
        <v>97</v>
      </c>
      <c r="K1040">
        <v>0</v>
      </c>
      <c r="L1040">
        <v>0</v>
      </c>
      <c r="M1040" t="s">
        <v>11</v>
      </c>
    </row>
    <row r="1041" spans="1:13">
      <c r="A1041" s="93">
        <v>133951</v>
      </c>
      <c r="B1041" t="s">
        <v>1598</v>
      </c>
      <c r="C1041" t="s">
        <v>4920</v>
      </c>
      <c r="D1041" s="92">
        <v>0.67</v>
      </c>
      <c r="E1041" s="92">
        <v>0.68</v>
      </c>
      <c r="F1041">
        <v>1060</v>
      </c>
      <c r="G1041">
        <v>1150</v>
      </c>
      <c r="H1041" t="s">
        <v>4930</v>
      </c>
      <c r="I1041">
        <v>0</v>
      </c>
      <c r="J1041" t="s">
        <v>97</v>
      </c>
      <c r="K1041">
        <v>0</v>
      </c>
      <c r="L1041">
        <v>0</v>
      </c>
      <c r="M1041" t="s">
        <v>11</v>
      </c>
    </row>
    <row r="1042" spans="1:13">
      <c r="A1042" s="93">
        <v>133960</v>
      </c>
      <c r="B1042" t="s">
        <v>1599</v>
      </c>
      <c r="C1042" t="s">
        <v>4923</v>
      </c>
      <c r="D1042" s="92" t="s">
        <v>446</v>
      </c>
      <c r="E1042" s="92" t="s">
        <v>446</v>
      </c>
      <c r="F1042" t="s">
        <v>446</v>
      </c>
      <c r="G1042" t="s">
        <v>446</v>
      </c>
      <c r="H1042" t="s">
        <v>4932</v>
      </c>
      <c r="I1042">
        <v>0</v>
      </c>
      <c r="J1042" t="s">
        <v>97</v>
      </c>
      <c r="K1042">
        <v>0</v>
      </c>
      <c r="L1042">
        <v>0</v>
      </c>
      <c r="M1042" t="s">
        <v>11</v>
      </c>
    </row>
    <row r="1043" spans="1:13">
      <c r="A1043" s="93">
        <v>133979</v>
      </c>
      <c r="B1043" t="s">
        <v>1600</v>
      </c>
      <c r="C1043" t="s">
        <v>4918</v>
      </c>
      <c r="D1043" s="92">
        <v>0.32</v>
      </c>
      <c r="E1043" s="92">
        <v>0.47</v>
      </c>
      <c r="F1043" t="s">
        <v>446</v>
      </c>
      <c r="G1043" t="s">
        <v>446</v>
      </c>
      <c r="H1043" t="s">
        <v>4930</v>
      </c>
      <c r="I1043">
        <v>0</v>
      </c>
      <c r="J1043" t="s">
        <v>153</v>
      </c>
      <c r="K1043">
        <v>0</v>
      </c>
      <c r="L1043">
        <v>0</v>
      </c>
      <c r="M1043" t="s">
        <v>11</v>
      </c>
    </row>
    <row r="1044" spans="1:13">
      <c r="A1044" s="93">
        <v>133997</v>
      </c>
      <c r="B1044" t="s">
        <v>1601</v>
      </c>
      <c r="C1044" t="s">
        <v>4919</v>
      </c>
      <c r="D1044" s="92">
        <v>0.58</v>
      </c>
      <c r="E1044" s="92">
        <v>0.58</v>
      </c>
      <c r="F1044" t="s">
        <v>446</v>
      </c>
      <c r="G1044" t="s">
        <v>446</v>
      </c>
      <c r="H1044" t="s">
        <v>4930</v>
      </c>
      <c r="I1044">
        <v>0</v>
      </c>
      <c r="J1044" t="s">
        <v>97</v>
      </c>
      <c r="K1044">
        <v>0</v>
      </c>
      <c r="L1044">
        <v>0</v>
      </c>
      <c r="M1044" t="s">
        <v>11</v>
      </c>
    </row>
    <row r="1045" spans="1:13">
      <c r="A1045" s="93">
        <v>134079</v>
      </c>
      <c r="B1045" t="s">
        <v>1602</v>
      </c>
      <c r="C1045" t="s">
        <v>4920</v>
      </c>
      <c r="D1045" s="92">
        <v>0.68</v>
      </c>
      <c r="E1045" s="92">
        <v>0.62</v>
      </c>
      <c r="F1045">
        <v>1160</v>
      </c>
      <c r="G1045">
        <v>1250</v>
      </c>
      <c r="H1045" t="s">
        <v>4930</v>
      </c>
      <c r="I1045">
        <v>0</v>
      </c>
      <c r="J1045" t="s">
        <v>97</v>
      </c>
      <c r="K1045">
        <v>0</v>
      </c>
      <c r="L1045">
        <v>0</v>
      </c>
      <c r="M1045" t="s">
        <v>11</v>
      </c>
    </row>
    <row r="1046" spans="1:13">
      <c r="A1046" s="93">
        <v>134097</v>
      </c>
      <c r="B1046" t="s">
        <v>1603</v>
      </c>
      <c r="C1046" t="s">
        <v>4917</v>
      </c>
      <c r="D1046" s="92">
        <v>0.83</v>
      </c>
      <c r="E1046" s="92">
        <v>0.83</v>
      </c>
      <c r="F1046">
        <v>1180</v>
      </c>
      <c r="G1046">
        <v>1260</v>
      </c>
      <c r="H1046" t="s">
        <v>4932</v>
      </c>
      <c r="I1046">
        <v>0</v>
      </c>
      <c r="J1046" t="s">
        <v>97</v>
      </c>
      <c r="K1046">
        <v>0</v>
      </c>
      <c r="L1046">
        <v>0</v>
      </c>
      <c r="M1046" t="s">
        <v>11</v>
      </c>
    </row>
    <row r="1047" spans="1:13">
      <c r="A1047" s="93">
        <v>134237</v>
      </c>
      <c r="B1047" t="s">
        <v>1604</v>
      </c>
      <c r="C1047" t="s">
        <v>4923</v>
      </c>
      <c r="D1047" s="92">
        <v>0.44</v>
      </c>
      <c r="E1047" s="92">
        <v>0.38</v>
      </c>
      <c r="F1047" t="s">
        <v>446</v>
      </c>
      <c r="G1047" t="s">
        <v>446</v>
      </c>
      <c r="H1047" t="s">
        <v>4930</v>
      </c>
      <c r="I1047">
        <v>0</v>
      </c>
      <c r="J1047" t="s">
        <v>97</v>
      </c>
      <c r="K1047">
        <v>0</v>
      </c>
      <c r="L1047">
        <v>0</v>
      </c>
      <c r="M1047" t="s">
        <v>11</v>
      </c>
    </row>
    <row r="1048" spans="1:13">
      <c r="A1048" s="93">
        <v>134291</v>
      </c>
      <c r="B1048" t="s">
        <v>1605</v>
      </c>
      <c r="C1048" t="s">
        <v>4919</v>
      </c>
      <c r="D1048" s="92">
        <v>0.63</v>
      </c>
      <c r="E1048" s="92">
        <v>0.58</v>
      </c>
      <c r="F1048" t="s">
        <v>446</v>
      </c>
      <c r="G1048" t="s">
        <v>446</v>
      </c>
      <c r="H1048" t="s">
        <v>4932</v>
      </c>
      <c r="I1048">
        <v>0</v>
      </c>
      <c r="J1048" t="s">
        <v>97</v>
      </c>
      <c r="K1048">
        <v>0</v>
      </c>
      <c r="L1048">
        <v>0</v>
      </c>
      <c r="M1048" t="s">
        <v>11</v>
      </c>
    </row>
    <row r="1049" spans="1:13">
      <c r="A1049" s="93">
        <v>134343</v>
      </c>
      <c r="B1049" t="s">
        <v>1606</v>
      </c>
      <c r="C1049" t="s">
        <v>4923</v>
      </c>
      <c r="D1049" s="92" t="s">
        <v>446</v>
      </c>
      <c r="E1049" s="92" t="s">
        <v>446</v>
      </c>
      <c r="F1049" t="s">
        <v>446</v>
      </c>
      <c r="G1049" t="s">
        <v>446</v>
      </c>
      <c r="H1049" t="s">
        <v>4932</v>
      </c>
      <c r="I1049">
        <v>0</v>
      </c>
      <c r="J1049" t="s">
        <v>97</v>
      </c>
      <c r="K1049">
        <v>0</v>
      </c>
      <c r="L1049">
        <v>0</v>
      </c>
      <c r="M1049" t="s">
        <v>11</v>
      </c>
    </row>
    <row r="1050" spans="1:13">
      <c r="A1050" s="93">
        <v>134422</v>
      </c>
      <c r="B1050" t="s">
        <v>1607</v>
      </c>
      <c r="C1050" t="s">
        <v>4926</v>
      </c>
      <c r="D1050" s="92" t="s">
        <v>446</v>
      </c>
      <c r="E1050" s="92" t="s">
        <v>446</v>
      </c>
      <c r="F1050" t="s">
        <v>446</v>
      </c>
      <c r="G1050" t="s">
        <v>446</v>
      </c>
      <c r="H1050" t="s">
        <v>4931</v>
      </c>
      <c r="I1050">
        <v>0</v>
      </c>
      <c r="J1050" t="s">
        <v>97</v>
      </c>
      <c r="K1050">
        <v>0</v>
      </c>
      <c r="L1050">
        <v>0</v>
      </c>
      <c r="M1050" t="s">
        <v>11</v>
      </c>
    </row>
    <row r="1051" spans="1:13">
      <c r="A1051" s="93">
        <v>134495</v>
      </c>
      <c r="B1051" t="s">
        <v>1608</v>
      </c>
      <c r="C1051" t="s">
        <v>4919</v>
      </c>
      <c r="D1051" s="92">
        <v>0.39</v>
      </c>
      <c r="E1051" s="92">
        <v>0.34</v>
      </c>
      <c r="F1051" t="s">
        <v>446</v>
      </c>
      <c r="G1051" t="s">
        <v>446</v>
      </c>
      <c r="H1051" t="s">
        <v>4932</v>
      </c>
      <c r="I1051">
        <v>0</v>
      </c>
      <c r="J1051" t="s">
        <v>97</v>
      </c>
      <c r="K1051">
        <v>0</v>
      </c>
      <c r="L1051">
        <v>0</v>
      </c>
      <c r="M1051" t="s">
        <v>11</v>
      </c>
    </row>
    <row r="1052" spans="1:13">
      <c r="A1052" s="93">
        <v>134510</v>
      </c>
      <c r="B1052" t="s">
        <v>1609</v>
      </c>
      <c r="C1052" t="s">
        <v>4923</v>
      </c>
      <c r="D1052" s="92">
        <v>0.48</v>
      </c>
      <c r="E1052" s="92">
        <v>0.2</v>
      </c>
      <c r="F1052" t="s">
        <v>446</v>
      </c>
      <c r="G1052" t="s">
        <v>446</v>
      </c>
      <c r="H1052" t="s">
        <v>4931</v>
      </c>
      <c r="I1052">
        <v>0</v>
      </c>
      <c r="J1052" t="s">
        <v>97</v>
      </c>
      <c r="K1052">
        <v>0</v>
      </c>
      <c r="L1052">
        <v>0</v>
      </c>
      <c r="M1052" t="s">
        <v>11</v>
      </c>
    </row>
    <row r="1053" spans="1:13">
      <c r="A1053" s="93">
        <v>134608</v>
      </c>
      <c r="B1053" t="s">
        <v>1610</v>
      </c>
      <c r="C1053" t="s">
        <v>4923</v>
      </c>
      <c r="D1053" s="92" t="s">
        <v>446</v>
      </c>
      <c r="E1053" s="92" t="s">
        <v>446</v>
      </c>
      <c r="F1053" t="s">
        <v>446</v>
      </c>
      <c r="G1053" t="s">
        <v>446</v>
      </c>
      <c r="H1053" t="s">
        <v>4932</v>
      </c>
      <c r="I1053">
        <v>0</v>
      </c>
      <c r="J1053" t="s">
        <v>97</v>
      </c>
      <c r="K1053">
        <v>0</v>
      </c>
      <c r="L1053">
        <v>0</v>
      </c>
      <c r="M1053" t="s">
        <v>11</v>
      </c>
    </row>
    <row r="1054" spans="1:13">
      <c r="A1054" s="93">
        <v>134811</v>
      </c>
      <c r="B1054" t="s">
        <v>1611</v>
      </c>
      <c r="C1054" t="s">
        <v>4923</v>
      </c>
      <c r="D1054" s="92">
        <v>0.31</v>
      </c>
      <c r="E1054" s="92">
        <v>0.31</v>
      </c>
      <c r="F1054" t="s">
        <v>446</v>
      </c>
      <c r="G1054" t="s">
        <v>446</v>
      </c>
      <c r="H1054" t="s">
        <v>4930</v>
      </c>
      <c r="I1054">
        <v>0</v>
      </c>
      <c r="J1054" t="s">
        <v>97</v>
      </c>
      <c r="K1054">
        <v>0</v>
      </c>
      <c r="L1054">
        <v>0</v>
      </c>
      <c r="M1054" t="s">
        <v>11</v>
      </c>
    </row>
    <row r="1055" spans="1:13">
      <c r="A1055" s="93">
        <v>135081</v>
      </c>
      <c r="B1055" t="s">
        <v>1612</v>
      </c>
      <c r="C1055" t="s">
        <v>4918</v>
      </c>
      <c r="D1055" s="92">
        <v>0.66</v>
      </c>
      <c r="E1055" s="92">
        <v>0.66</v>
      </c>
      <c r="F1055" t="s">
        <v>446</v>
      </c>
      <c r="G1055" t="s">
        <v>446</v>
      </c>
      <c r="H1055" t="s">
        <v>4930</v>
      </c>
      <c r="I1055">
        <v>0</v>
      </c>
      <c r="J1055" t="s">
        <v>97</v>
      </c>
      <c r="K1055">
        <v>0</v>
      </c>
      <c r="L1055">
        <v>0</v>
      </c>
      <c r="M1055" t="s">
        <v>11</v>
      </c>
    </row>
    <row r="1056" spans="1:13">
      <c r="A1056" s="93">
        <v>135160</v>
      </c>
      <c r="B1056" t="s">
        <v>1613</v>
      </c>
      <c r="C1056" t="s">
        <v>4923</v>
      </c>
      <c r="D1056" s="92" t="s">
        <v>446</v>
      </c>
      <c r="E1056" s="92" t="s">
        <v>446</v>
      </c>
      <c r="F1056" t="s">
        <v>446</v>
      </c>
      <c r="G1056" t="s">
        <v>446</v>
      </c>
      <c r="H1056" t="s">
        <v>4932</v>
      </c>
      <c r="I1056">
        <v>0</v>
      </c>
      <c r="J1056" t="s">
        <v>97</v>
      </c>
      <c r="K1056">
        <v>0</v>
      </c>
      <c r="L1056">
        <v>0</v>
      </c>
      <c r="M1056" t="s">
        <v>11</v>
      </c>
    </row>
    <row r="1057" spans="1:13">
      <c r="A1057" s="93">
        <v>135188</v>
      </c>
      <c r="B1057" t="s">
        <v>1614</v>
      </c>
      <c r="C1057" t="s">
        <v>4923</v>
      </c>
      <c r="D1057" s="92" t="s">
        <v>446</v>
      </c>
      <c r="E1057" s="92" t="s">
        <v>446</v>
      </c>
      <c r="F1057" t="s">
        <v>446</v>
      </c>
      <c r="G1057" t="s">
        <v>446</v>
      </c>
      <c r="H1057" t="s">
        <v>4932</v>
      </c>
      <c r="I1057">
        <v>0</v>
      </c>
      <c r="J1057" t="s">
        <v>97</v>
      </c>
      <c r="K1057">
        <v>0</v>
      </c>
      <c r="L1057">
        <v>0</v>
      </c>
      <c r="M1057" t="s">
        <v>11</v>
      </c>
    </row>
    <row r="1058" spans="1:13">
      <c r="A1058" s="93">
        <v>135267</v>
      </c>
      <c r="B1058" t="s">
        <v>1615</v>
      </c>
      <c r="C1058" t="s">
        <v>4919</v>
      </c>
      <c r="D1058" s="92" t="s">
        <v>446</v>
      </c>
      <c r="E1058" s="92" t="s">
        <v>446</v>
      </c>
      <c r="F1058" t="s">
        <v>446</v>
      </c>
      <c r="G1058" t="s">
        <v>446</v>
      </c>
      <c r="H1058" t="s">
        <v>4932</v>
      </c>
      <c r="I1058">
        <v>0</v>
      </c>
      <c r="J1058" t="s">
        <v>97</v>
      </c>
      <c r="K1058">
        <v>0</v>
      </c>
      <c r="L1058">
        <v>0</v>
      </c>
      <c r="M1058" t="s">
        <v>11</v>
      </c>
    </row>
    <row r="1059" spans="1:13">
      <c r="A1059" s="93">
        <v>135294</v>
      </c>
      <c r="B1059" t="s">
        <v>1616</v>
      </c>
      <c r="C1059" t="s">
        <v>4919</v>
      </c>
      <c r="D1059" s="92">
        <v>0.3</v>
      </c>
      <c r="E1059" s="92">
        <v>0.3</v>
      </c>
      <c r="F1059" t="s">
        <v>446</v>
      </c>
      <c r="G1059" t="s">
        <v>446</v>
      </c>
      <c r="H1059" t="s">
        <v>4932</v>
      </c>
      <c r="I1059">
        <v>0</v>
      </c>
      <c r="J1059" t="s">
        <v>97</v>
      </c>
      <c r="K1059">
        <v>0</v>
      </c>
      <c r="L1059">
        <v>0</v>
      </c>
      <c r="M1059" t="s">
        <v>11</v>
      </c>
    </row>
    <row r="1060" spans="1:13">
      <c r="A1060" s="93">
        <v>135364</v>
      </c>
      <c r="B1060" t="s">
        <v>1617</v>
      </c>
      <c r="C1060" t="s">
        <v>4924</v>
      </c>
      <c r="D1060" s="92">
        <v>0.25</v>
      </c>
      <c r="E1060" s="92" t="s">
        <v>446</v>
      </c>
      <c r="F1060" t="s">
        <v>446</v>
      </c>
      <c r="G1060" t="s">
        <v>446</v>
      </c>
      <c r="H1060" t="s">
        <v>4931</v>
      </c>
      <c r="I1060">
        <v>0</v>
      </c>
      <c r="J1060" t="s">
        <v>97</v>
      </c>
      <c r="K1060">
        <v>0</v>
      </c>
      <c r="L1060">
        <v>0</v>
      </c>
      <c r="M1060" t="s">
        <v>11</v>
      </c>
    </row>
    <row r="1061" spans="1:13">
      <c r="A1061" s="93">
        <v>135391</v>
      </c>
      <c r="B1061" t="s">
        <v>1618</v>
      </c>
      <c r="C1061" t="s">
        <v>4923</v>
      </c>
      <c r="D1061" s="92" t="s">
        <v>446</v>
      </c>
      <c r="E1061" s="92" t="s">
        <v>446</v>
      </c>
      <c r="F1061" t="s">
        <v>446</v>
      </c>
      <c r="G1061" t="s">
        <v>446</v>
      </c>
      <c r="H1061" t="s">
        <v>4932</v>
      </c>
      <c r="I1061">
        <v>0</v>
      </c>
      <c r="J1061" t="s">
        <v>97</v>
      </c>
      <c r="K1061">
        <v>0</v>
      </c>
      <c r="L1061">
        <v>0</v>
      </c>
      <c r="M1061" t="s">
        <v>11</v>
      </c>
    </row>
    <row r="1062" spans="1:13">
      <c r="A1062" s="93">
        <v>135407</v>
      </c>
      <c r="B1062" t="s">
        <v>1619</v>
      </c>
      <c r="C1062" t="s">
        <v>4919</v>
      </c>
      <c r="D1062" s="92" t="s">
        <v>446</v>
      </c>
      <c r="E1062" s="92" t="s">
        <v>446</v>
      </c>
      <c r="F1062" t="s">
        <v>446</v>
      </c>
      <c r="G1062" t="s">
        <v>446</v>
      </c>
      <c r="H1062" t="s">
        <v>4932</v>
      </c>
      <c r="I1062">
        <v>0</v>
      </c>
      <c r="J1062" t="s">
        <v>97</v>
      </c>
      <c r="K1062">
        <v>0</v>
      </c>
      <c r="L1062">
        <v>0</v>
      </c>
      <c r="M1062" t="s">
        <v>11</v>
      </c>
    </row>
    <row r="1063" spans="1:13">
      <c r="A1063" s="93">
        <v>135610</v>
      </c>
      <c r="B1063" t="s">
        <v>1620</v>
      </c>
      <c r="C1063" t="s">
        <v>4923</v>
      </c>
      <c r="D1063" s="92" t="s">
        <v>446</v>
      </c>
      <c r="E1063" s="92" t="s">
        <v>446</v>
      </c>
      <c r="F1063" t="s">
        <v>446</v>
      </c>
      <c r="G1063" t="s">
        <v>446</v>
      </c>
      <c r="H1063" t="s">
        <v>4932</v>
      </c>
      <c r="I1063">
        <v>0</v>
      </c>
      <c r="J1063" t="s">
        <v>97</v>
      </c>
      <c r="K1063">
        <v>0</v>
      </c>
      <c r="L1063">
        <v>0</v>
      </c>
      <c r="M1063" t="s">
        <v>11</v>
      </c>
    </row>
    <row r="1064" spans="1:13">
      <c r="A1064" s="93">
        <v>135647</v>
      </c>
      <c r="B1064" t="s">
        <v>1621</v>
      </c>
      <c r="C1064" t="s">
        <v>4919</v>
      </c>
      <c r="D1064" s="92">
        <v>0.34</v>
      </c>
      <c r="E1064" s="92">
        <v>0.34</v>
      </c>
      <c r="F1064" t="s">
        <v>446</v>
      </c>
      <c r="G1064" t="s">
        <v>446</v>
      </c>
      <c r="H1064" t="s">
        <v>4932</v>
      </c>
      <c r="I1064">
        <v>0</v>
      </c>
      <c r="J1064" t="s">
        <v>97</v>
      </c>
      <c r="K1064">
        <v>0</v>
      </c>
      <c r="L1064">
        <v>0</v>
      </c>
      <c r="M1064" t="s">
        <v>11</v>
      </c>
    </row>
    <row r="1065" spans="1:13">
      <c r="A1065" s="93">
        <v>135735</v>
      </c>
      <c r="B1065" t="s">
        <v>1622</v>
      </c>
      <c r="C1065" t="s">
        <v>4919</v>
      </c>
      <c r="D1065" s="92" t="s">
        <v>446</v>
      </c>
      <c r="E1065" s="92" t="s">
        <v>446</v>
      </c>
      <c r="F1065" t="s">
        <v>446</v>
      </c>
      <c r="G1065" t="s">
        <v>446</v>
      </c>
      <c r="H1065" t="s">
        <v>4932</v>
      </c>
      <c r="I1065">
        <v>0</v>
      </c>
      <c r="J1065" t="s">
        <v>97</v>
      </c>
      <c r="K1065">
        <v>0</v>
      </c>
      <c r="L1065">
        <v>0</v>
      </c>
      <c r="M1065" t="s">
        <v>11</v>
      </c>
    </row>
    <row r="1066" spans="1:13">
      <c r="A1066" s="93">
        <v>136145</v>
      </c>
      <c r="B1066" t="s">
        <v>1623</v>
      </c>
      <c r="C1066" t="s">
        <v>4923</v>
      </c>
      <c r="D1066" s="92" t="s">
        <v>446</v>
      </c>
      <c r="E1066" s="92" t="s">
        <v>446</v>
      </c>
      <c r="F1066" t="s">
        <v>446</v>
      </c>
      <c r="G1066" t="s">
        <v>446</v>
      </c>
      <c r="H1066" t="s">
        <v>4932</v>
      </c>
      <c r="I1066">
        <v>0</v>
      </c>
      <c r="J1066" t="s">
        <v>97</v>
      </c>
      <c r="K1066">
        <v>0</v>
      </c>
      <c r="L1066">
        <v>0</v>
      </c>
      <c r="M1066" t="s">
        <v>11</v>
      </c>
    </row>
    <row r="1067" spans="1:13">
      <c r="A1067" s="93">
        <v>136233</v>
      </c>
      <c r="B1067" t="s">
        <v>1624</v>
      </c>
      <c r="C1067" t="s">
        <v>4923</v>
      </c>
      <c r="D1067" s="92" t="s">
        <v>446</v>
      </c>
      <c r="E1067" s="92" t="s">
        <v>446</v>
      </c>
      <c r="F1067" t="s">
        <v>446</v>
      </c>
      <c r="G1067" t="s">
        <v>446</v>
      </c>
      <c r="H1067" t="s">
        <v>4932</v>
      </c>
      <c r="I1067">
        <v>0</v>
      </c>
      <c r="J1067" t="s">
        <v>97</v>
      </c>
      <c r="K1067">
        <v>0</v>
      </c>
      <c r="L1067">
        <v>0</v>
      </c>
      <c r="M1067" t="s">
        <v>11</v>
      </c>
    </row>
    <row r="1068" spans="1:13">
      <c r="A1068" s="93">
        <v>136330</v>
      </c>
      <c r="B1068" t="s">
        <v>1625</v>
      </c>
      <c r="C1068" t="s">
        <v>4920</v>
      </c>
      <c r="D1068" s="92">
        <v>0.59</v>
      </c>
      <c r="E1068" s="92">
        <v>0.5600000000000001</v>
      </c>
      <c r="F1068">
        <v>1030</v>
      </c>
      <c r="G1068">
        <v>1135</v>
      </c>
      <c r="H1068" t="s">
        <v>4930</v>
      </c>
      <c r="I1068">
        <v>0</v>
      </c>
      <c r="J1068" t="s">
        <v>97</v>
      </c>
      <c r="K1068">
        <v>0</v>
      </c>
      <c r="L1068">
        <v>0</v>
      </c>
      <c r="M1068" t="s">
        <v>11</v>
      </c>
    </row>
    <row r="1069" spans="1:13">
      <c r="A1069" s="93">
        <v>136358</v>
      </c>
      <c r="B1069" t="s">
        <v>1626</v>
      </c>
      <c r="C1069" t="s">
        <v>4923</v>
      </c>
      <c r="D1069" s="92" t="s">
        <v>446</v>
      </c>
      <c r="E1069" s="92" t="s">
        <v>446</v>
      </c>
      <c r="F1069" t="s">
        <v>446</v>
      </c>
      <c r="G1069" t="s">
        <v>446</v>
      </c>
      <c r="H1069" t="s">
        <v>4932</v>
      </c>
      <c r="I1069">
        <v>0</v>
      </c>
      <c r="J1069" t="s">
        <v>97</v>
      </c>
      <c r="K1069">
        <v>0</v>
      </c>
      <c r="L1069">
        <v>0</v>
      </c>
      <c r="M1069" t="s">
        <v>11</v>
      </c>
    </row>
    <row r="1070" spans="1:13">
      <c r="A1070" s="93">
        <v>136400</v>
      </c>
      <c r="B1070" t="s">
        <v>1627</v>
      </c>
      <c r="C1070" t="s">
        <v>4923</v>
      </c>
      <c r="D1070" s="92" t="s">
        <v>446</v>
      </c>
      <c r="E1070" s="92" t="s">
        <v>446</v>
      </c>
      <c r="F1070" t="s">
        <v>446</v>
      </c>
      <c r="G1070" t="s">
        <v>446</v>
      </c>
      <c r="H1070" t="s">
        <v>4932</v>
      </c>
      <c r="I1070">
        <v>0</v>
      </c>
      <c r="J1070" t="s">
        <v>97</v>
      </c>
      <c r="K1070">
        <v>0</v>
      </c>
      <c r="L1070">
        <v>0</v>
      </c>
      <c r="M1070" t="s">
        <v>11</v>
      </c>
    </row>
    <row r="1071" spans="1:13">
      <c r="A1071" s="93">
        <v>136473</v>
      </c>
      <c r="B1071" t="s">
        <v>1628</v>
      </c>
      <c r="C1071" t="s">
        <v>4923</v>
      </c>
      <c r="D1071" s="92" t="s">
        <v>446</v>
      </c>
      <c r="E1071" s="92" t="s">
        <v>446</v>
      </c>
      <c r="F1071" t="s">
        <v>446</v>
      </c>
      <c r="G1071" t="s">
        <v>446</v>
      </c>
      <c r="H1071" t="s">
        <v>4932</v>
      </c>
      <c r="I1071">
        <v>0</v>
      </c>
      <c r="J1071" t="s">
        <v>97</v>
      </c>
      <c r="K1071">
        <v>0</v>
      </c>
      <c r="L1071">
        <v>0</v>
      </c>
      <c r="M1071" t="s">
        <v>11</v>
      </c>
    </row>
    <row r="1072" spans="1:13">
      <c r="A1072" s="93">
        <v>136516</v>
      </c>
      <c r="B1072" t="s">
        <v>1629</v>
      </c>
      <c r="C1072" t="s">
        <v>4923</v>
      </c>
      <c r="D1072" s="92" t="s">
        <v>446</v>
      </c>
      <c r="E1072" s="92" t="s">
        <v>446</v>
      </c>
      <c r="F1072" t="s">
        <v>446</v>
      </c>
      <c r="G1072" t="s">
        <v>446</v>
      </c>
      <c r="H1072" t="s">
        <v>4932</v>
      </c>
      <c r="I1072">
        <v>0</v>
      </c>
      <c r="J1072" t="s">
        <v>97</v>
      </c>
      <c r="K1072">
        <v>0</v>
      </c>
      <c r="L1072">
        <v>0</v>
      </c>
      <c r="M1072" t="s">
        <v>11</v>
      </c>
    </row>
    <row r="1073" spans="1:13">
      <c r="A1073" s="93">
        <v>136659</v>
      </c>
      <c r="B1073" t="s">
        <v>1630</v>
      </c>
      <c r="C1073" t="s">
        <v>4919</v>
      </c>
      <c r="D1073" s="92" t="s">
        <v>446</v>
      </c>
      <c r="E1073" s="92" t="s">
        <v>446</v>
      </c>
      <c r="F1073" t="s">
        <v>446</v>
      </c>
      <c r="G1073" t="s">
        <v>446</v>
      </c>
      <c r="H1073" t="s">
        <v>4932</v>
      </c>
      <c r="I1073">
        <v>0</v>
      </c>
      <c r="J1073" t="s">
        <v>97</v>
      </c>
      <c r="K1073">
        <v>0</v>
      </c>
      <c r="L1073">
        <v>0</v>
      </c>
      <c r="M1073" t="s">
        <v>11</v>
      </c>
    </row>
    <row r="1074" spans="1:13">
      <c r="A1074" s="93">
        <v>136701</v>
      </c>
      <c r="B1074" t="s">
        <v>1631</v>
      </c>
      <c r="C1074" t="s">
        <v>4924</v>
      </c>
      <c r="D1074" s="92" t="s">
        <v>446</v>
      </c>
      <c r="E1074" s="92" t="s">
        <v>446</v>
      </c>
      <c r="F1074" t="s">
        <v>446</v>
      </c>
      <c r="G1074" t="s">
        <v>446</v>
      </c>
      <c r="H1074" t="s">
        <v>4932</v>
      </c>
      <c r="I1074">
        <v>0</v>
      </c>
      <c r="J1074" t="s">
        <v>97</v>
      </c>
      <c r="K1074">
        <v>0</v>
      </c>
      <c r="L1074">
        <v>0</v>
      </c>
      <c r="M1074" t="s">
        <v>11</v>
      </c>
    </row>
    <row r="1075" spans="1:13">
      <c r="A1075" s="93">
        <v>136774</v>
      </c>
      <c r="B1075" t="s">
        <v>1632</v>
      </c>
      <c r="C1075" t="s">
        <v>4926</v>
      </c>
      <c r="D1075" s="92">
        <v>0.76</v>
      </c>
      <c r="E1075" s="92">
        <v>0.75</v>
      </c>
      <c r="F1075" t="s">
        <v>446</v>
      </c>
      <c r="G1075" t="s">
        <v>446</v>
      </c>
      <c r="H1075" t="s">
        <v>4930</v>
      </c>
      <c r="I1075">
        <v>0</v>
      </c>
      <c r="J1075" t="s">
        <v>97</v>
      </c>
      <c r="K1075">
        <v>0</v>
      </c>
      <c r="L1075">
        <v>0</v>
      </c>
      <c r="M1075" t="s">
        <v>11</v>
      </c>
    </row>
    <row r="1076" spans="1:13">
      <c r="A1076" s="93">
        <v>136826</v>
      </c>
      <c r="B1076" t="s">
        <v>1633</v>
      </c>
      <c r="C1076" t="s">
        <v>4919</v>
      </c>
      <c r="D1076" s="92" t="s">
        <v>446</v>
      </c>
      <c r="E1076" s="92" t="s">
        <v>446</v>
      </c>
      <c r="F1076" t="s">
        <v>446</v>
      </c>
      <c r="G1076" t="s">
        <v>446</v>
      </c>
      <c r="H1076" t="s">
        <v>4932</v>
      </c>
      <c r="I1076">
        <v>0</v>
      </c>
      <c r="J1076" t="s">
        <v>97</v>
      </c>
      <c r="K1076">
        <v>0</v>
      </c>
      <c r="L1076">
        <v>0</v>
      </c>
      <c r="M1076" t="s">
        <v>11</v>
      </c>
    </row>
    <row r="1077" spans="1:13">
      <c r="A1077" s="93">
        <v>136950</v>
      </c>
      <c r="B1077" t="s">
        <v>1634</v>
      </c>
      <c r="C1077" t="s">
        <v>4917</v>
      </c>
      <c r="D1077" s="92">
        <v>0.75</v>
      </c>
      <c r="E1077" s="92">
        <v>0.72</v>
      </c>
      <c r="F1077" t="s">
        <v>446</v>
      </c>
      <c r="G1077" t="s">
        <v>446</v>
      </c>
      <c r="H1077" t="s">
        <v>4931</v>
      </c>
      <c r="I1077">
        <v>0</v>
      </c>
      <c r="J1077" t="s">
        <v>97</v>
      </c>
      <c r="K1077">
        <v>0</v>
      </c>
      <c r="L1077">
        <v>0</v>
      </c>
      <c r="M1077" t="s">
        <v>11</v>
      </c>
    </row>
    <row r="1078" spans="1:13">
      <c r="A1078" s="93">
        <v>137032</v>
      </c>
      <c r="B1078" t="s">
        <v>1635</v>
      </c>
      <c r="C1078" t="s">
        <v>4920</v>
      </c>
      <c r="D1078" s="92">
        <v>0.46</v>
      </c>
      <c r="E1078" s="92">
        <v>0.42</v>
      </c>
      <c r="F1078">
        <v>930</v>
      </c>
      <c r="G1078">
        <v>1040</v>
      </c>
      <c r="H1078" t="s">
        <v>4931</v>
      </c>
      <c r="I1078">
        <v>0</v>
      </c>
      <c r="J1078" t="s">
        <v>97</v>
      </c>
      <c r="K1078">
        <v>0</v>
      </c>
      <c r="L1078">
        <v>0</v>
      </c>
      <c r="M1078" t="s">
        <v>11</v>
      </c>
    </row>
    <row r="1079" spans="1:13">
      <c r="A1079" s="93">
        <v>137078</v>
      </c>
      <c r="B1079" t="s">
        <v>1636</v>
      </c>
      <c r="C1079" t="s">
        <v>4923</v>
      </c>
      <c r="D1079" s="92" t="s">
        <v>446</v>
      </c>
      <c r="E1079" s="92" t="s">
        <v>446</v>
      </c>
      <c r="F1079" t="s">
        <v>446</v>
      </c>
      <c r="G1079" t="s">
        <v>446</v>
      </c>
      <c r="H1079" t="s">
        <v>4932</v>
      </c>
      <c r="I1079">
        <v>0</v>
      </c>
      <c r="J1079" t="s">
        <v>97</v>
      </c>
      <c r="K1079">
        <v>0</v>
      </c>
      <c r="L1079">
        <v>0</v>
      </c>
      <c r="M1079" t="s">
        <v>11</v>
      </c>
    </row>
    <row r="1080" spans="1:13">
      <c r="A1080" s="93">
        <v>137087</v>
      </c>
      <c r="B1080" t="s">
        <v>1637</v>
      </c>
      <c r="C1080" t="s">
        <v>4919</v>
      </c>
      <c r="D1080" s="92" t="s">
        <v>446</v>
      </c>
      <c r="E1080" s="92" t="s">
        <v>446</v>
      </c>
      <c r="F1080" t="s">
        <v>446</v>
      </c>
      <c r="G1080" t="s">
        <v>446</v>
      </c>
      <c r="H1080" t="s">
        <v>4932</v>
      </c>
      <c r="I1080">
        <v>0</v>
      </c>
      <c r="J1080" t="s">
        <v>97</v>
      </c>
      <c r="K1080">
        <v>0</v>
      </c>
      <c r="L1080">
        <v>0</v>
      </c>
      <c r="M1080" t="s">
        <v>11</v>
      </c>
    </row>
    <row r="1081" spans="1:13">
      <c r="A1081" s="93">
        <v>137096</v>
      </c>
      <c r="B1081" t="s">
        <v>1638</v>
      </c>
      <c r="C1081" t="s">
        <v>4923</v>
      </c>
      <c r="D1081" s="92" t="s">
        <v>446</v>
      </c>
      <c r="E1081" s="92" t="s">
        <v>446</v>
      </c>
      <c r="F1081" t="s">
        <v>446</v>
      </c>
      <c r="G1081" t="s">
        <v>446</v>
      </c>
      <c r="H1081" t="s">
        <v>4932</v>
      </c>
      <c r="I1081">
        <v>0</v>
      </c>
      <c r="J1081" t="s">
        <v>97</v>
      </c>
      <c r="K1081">
        <v>0</v>
      </c>
      <c r="L1081">
        <v>0</v>
      </c>
      <c r="M1081" t="s">
        <v>11</v>
      </c>
    </row>
    <row r="1082" spans="1:13">
      <c r="A1082" s="93">
        <v>137120</v>
      </c>
      <c r="B1082" t="s">
        <v>1639</v>
      </c>
      <c r="C1082" t="s">
        <v>4919</v>
      </c>
      <c r="D1082" s="92">
        <v>0.62</v>
      </c>
      <c r="E1082" s="92">
        <v>0.58</v>
      </c>
      <c r="F1082" t="s">
        <v>446</v>
      </c>
      <c r="G1082" t="s">
        <v>446</v>
      </c>
      <c r="H1082" t="s">
        <v>4932</v>
      </c>
      <c r="I1082">
        <v>0</v>
      </c>
      <c r="J1082" t="s">
        <v>97</v>
      </c>
      <c r="K1082">
        <v>0</v>
      </c>
      <c r="L1082">
        <v>0</v>
      </c>
      <c r="M1082" t="s">
        <v>11</v>
      </c>
    </row>
    <row r="1083" spans="1:13">
      <c r="A1083" s="93">
        <v>137209</v>
      </c>
      <c r="B1083" t="s">
        <v>1640</v>
      </c>
      <c r="C1083" t="s">
        <v>4923</v>
      </c>
      <c r="D1083" s="92" t="s">
        <v>446</v>
      </c>
      <c r="E1083" s="92" t="s">
        <v>446</v>
      </c>
      <c r="F1083" t="s">
        <v>446</v>
      </c>
      <c r="G1083" t="s">
        <v>446</v>
      </c>
      <c r="H1083" t="s">
        <v>4932</v>
      </c>
      <c r="I1083">
        <v>0</v>
      </c>
      <c r="J1083" t="s">
        <v>97</v>
      </c>
      <c r="K1083">
        <v>0</v>
      </c>
      <c r="L1083">
        <v>0</v>
      </c>
      <c r="M1083" t="s">
        <v>11</v>
      </c>
    </row>
    <row r="1084" spans="1:13">
      <c r="A1084" s="93">
        <v>137245</v>
      </c>
      <c r="B1084" t="s">
        <v>1641</v>
      </c>
      <c r="C1084" t="s">
        <v>4919</v>
      </c>
      <c r="D1084" s="92" t="s">
        <v>446</v>
      </c>
      <c r="E1084" s="92" t="s">
        <v>446</v>
      </c>
      <c r="F1084" t="s">
        <v>446</v>
      </c>
      <c r="G1084" t="s">
        <v>446</v>
      </c>
      <c r="H1084" t="s">
        <v>4932</v>
      </c>
      <c r="I1084">
        <v>0</v>
      </c>
      <c r="J1084" t="s">
        <v>97</v>
      </c>
      <c r="K1084">
        <v>0</v>
      </c>
      <c r="L1084">
        <v>0</v>
      </c>
      <c r="M1084" t="s">
        <v>11</v>
      </c>
    </row>
    <row r="1085" spans="1:13">
      <c r="A1085" s="93">
        <v>137272</v>
      </c>
      <c r="B1085" t="s">
        <v>1642</v>
      </c>
      <c r="C1085" t="s">
        <v>4924</v>
      </c>
      <c r="D1085" s="92">
        <v>1</v>
      </c>
      <c r="E1085" s="92">
        <v>1</v>
      </c>
      <c r="F1085" t="s">
        <v>446</v>
      </c>
      <c r="G1085" t="s">
        <v>446</v>
      </c>
      <c r="H1085" t="s">
        <v>4932</v>
      </c>
      <c r="I1085">
        <v>0</v>
      </c>
      <c r="J1085" t="s">
        <v>97</v>
      </c>
      <c r="K1085">
        <v>0</v>
      </c>
      <c r="L1085">
        <v>0</v>
      </c>
      <c r="M1085" t="s">
        <v>11</v>
      </c>
    </row>
    <row r="1086" spans="1:13">
      <c r="A1086" s="93">
        <v>137281</v>
      </c>
      <c r="B1086" t="s">
        <v>1643</v>
      </c>
      <c r="C1086" t="s">
        <v>4923</v>
      </c>
      <c r="D1086" s="92" t="s">
        <v>446</v>
      </c>
      <c r="E1086" s="92" t="s">
        <v>446</v>
      </c>
      <c r="F1086" t="s">
        <v>446</v>
      </c>
      <c r="G1086" t="s">
        <v>446</v>
      </c>
      <c r="H1086" t="s">
        <v>4932</v>
      </c>
      <c r="I1086">
        <v>0</v>
      </c>
      <c r="J1086" t="s">
        <v>97</v>
      </c>
      <c r="K1086">
        <v>0</v>
      </c>
      <c r="L1086">
        <v>0</v>
      </c>
      <c r="M1086" t="s">
        <v>11</v>
      </c>
    </row>
    <row r="1087" spans="1:13">
      <c r="A1087" s="93">
        <v>137315</v>
      </c>
      <c r="B1087" t="s">
        <v>1644</v>
      </c>
      <c r="C1087" t="s">
        <v>4923</v>
      </c>
      <c r="D1087" s="92" t="s">
        <v>446</v>
      </c>
      <c r="E1087" s="92" t="s">
        <v>446</v>
      </c>
      <c r="F1087" t="s">
        <v>446</v>
      </c>
      <c r="G1087" t="s">
        <v>446</v>
      </c>
      <c r="H1087" t="s">
        <v>4932</v>
      </c>
      <c r="I1087">
        <v>0</v>
      </c>
      <c r="J1087" t="s">
        <v>97</v>
      </c>
      <c r="K1087">
        <v>0</v>
      </c>
      <c r="L1087">
        <v>0</v>
      </c>
      <c r="M1087" t="s">
        <v>11</v>
      </c>
    </row>
    <row r="1088" spans="1:13">
      <c r="A1088" s="93">
        <v>137351</v>
      </c>
      <c r="B1088" t="s">
        <v>1645</v>
      </c>
      <c r="C1088" t="s">
        <v>4916</v>
      </c>
      <c r="D1088" s="92">
        <v>0.75</v>
      </c>
      <c r="E1088" s="92">
        <v>0.73</v>
      </c>
      <c r="F1088">
        <v>1140</v>
      </c>
      <c r="G1088">
        <v>1235</v>
      </c>
      <c r="H1088" t="s">
        <v>4932</v>
      </c>
      <c r="I1088">
        <v>0</v>
      </c>
      <c r="J1088" t="s">
        <v>97</v>
      </c>
      <c r="K1088">
        <v>0</v>
      </c>
      <c r="L1088">
        <v>0</v>
      </c>
      <c r="M1088" t="s">
        <v>11</v>
      </c>
    </row>
    <row r="1089" spans="1:13">
      <c r="A1089" s="93">
        <v>137476</v>
      </c>
      <c r="B1089" t="s">
        <v>1646</v>
      </c>
      <c r="C1089" t="s">
        <v>4918</v>
      </c>
      <c r="D1089" s="92">
        <v>0.4</v>
      </c>
      <c r="E1089" s="92">
        <v>0.37</v>
      </c>
      <c r="F1089">
        <v>860</v>
      </c>
      <c r="G1089">
        <v>960</v>
      </c>
      <c r="H1089" t="s">
        <v>4930</v>
      </c>
      <c r="I1089">
        <v>0</v>
      </c>
      <c r="J1089" t="s">
        <v>97</v>
      </c>
      <c r="K1089">
        <v>0</v>
      </c>
      <c r="L1089">
        <v>0</v>
      </c>
      <c r="M1089" t="s">
        <v>11</v>
      </c>
    </row>
    <row r="1090" spans="1:13">
      <c r="A1090" s="93">
        <v>137546</v>
      </c>
      <c r="B1090" t="s">
        <v>1647</v>
      </c>
      <c r="C1090" t="s">
        <v>4916</v>
      </c>
      <c r="D1090" s="92">
        <v>0.64</v>
      </c>
      <c r="E1090" s="92">
        <v>0.61</v>
      </c>
      <c r="F1090">
        <v>1090</v>
      </c>
      <c r="G1090">
        <v>1195</v>
      </c>
      <c r="H1090" t="s">
        <v>4930</v>
      </c>
      <c r="I1090">
        <v>0</v>
      </c>
      <c r="J1090" t="s">
        <v>97</v>
      </c>
      <c r="K1090">
        <v>0</v>
      </c>
      <c r="L1090">
        <v>0</v>
      </c>
      <c r="M1090" t="s">
        <v>11</v>
      </c>
    </row>
    <row r="1091" spans="1:13">
      <c r="A1091" s="93">
        <v>137713</v>
      </c>
      <c r="B1091" t="s">
        <v>1648</v>
      </c>
      <c r="C1091" t="s">
        <v>4919</v>
      </c>
      <c r="D1091" s="92" t="s">
        <v>446</v>
      </c>
      <c r="E1091" s="92" t="s">
        <v>446</v>
      </c>
      <c r="F1091" t="s">
        <v>446</v>
      </c>
      <c r="G1091" t="s">
        <v>446</v>
      </c>
      <c r="H1091" t="s">
        <v>4932</v>
      </c>
      <c r="I1091">
        <v>0</v>
      </c>
      <c r="J1091" t="s">
        <v>97</v>
      </c>
      <c r="K1091">
        <v>0</v>
      </c>
      <c r="L1091">
        <v>0</v>
      </c>
      <c r="M1091" t="s">
        <v>11</v>
      </c>
    </row>
    <row r="1092" spans="1:13">
      <c r="A1092" s="93">
        <v>137759</v>
      </c>
      <c r="B1092" t="s">
        <v>1649</v>
      </c>
      <c r="C1092" t="s">
        <v>4923</v>
      </c>
      <c r="D1092" s="92" t="s">
        <v>446</v>
      </c>
      <c r="E1092" s="92" t="s">
        <v>446</v>
      </c>
      <c r="F1092" t="s">
        <v>446</v>
      </c>
      <c r="G1092" t="s">
        <v>446</v>
      </c>
      <c r="H1092" t="s">
        <v>4932</v>
      </c>
      <c r="I1092">
        <v>0</v>
      </c>
      <c r="J1092" t="s">
        <v>97</v>
      </c>
      <c r="K1092">
        <v>0</v>
      </c>
      <c r="L1092">
        <v>0</v>
      </c>
      <c r="M1092" t="s">
        <v>11</v>
      </c>
    </row>
    <row r="1093" spans="1:13">
      <c r="A1093" s="93">
        <v>137777</v>
      </c>
      <c r="B1093" t="s">
        <v>1650</v>
      </c>
      <c r="C1093" t="s">
        <v>4923</v>
      </c>
      <c r="D1093" s="92">
        <v>0.64</v>
      </c>
      <c r="E1093" s="92">
        <v>0.5</v>
      </c>
      <c r="F1093" t="s">
        <v>446</v>
      </c>
      <c r="G1093" t="s">
        <v>446</v>
      </c>
      <c r="H1093" t="s">
        <v>4931</v>
      </c>
      <c r="I1093">
        <v>0</v>
      </c>
      <c r="J1093" t="s">
        <v>97</v>
      </c>
      <c r="K1093">
        <v>0</v>
      </c>
      <c r="L1093">
        <v>0</v>
      </c>
      <c r="M1093" t="s">
        <v>11</v>
      </c>
    </row>
    <row r="1094" spans="1:13">
      <c r="A1094" s="93">
        <v>137801</v>
      </c>
      <c r="B1094" t="s">
        <v>1651</v>
      </c>
      <c r="C1094" t="s">
        <v>4919</v>
      </c>
      <c r="D1094" s="92" t="s">
        <v>446</v>
      </c>
      <c r="E1094" s="92" t="s">
        <v>446</v>
      </c>
      <c r="F1094" t="s">
        <v>446</v>
      </c>
      <c r="G1094" t="s">
        <v>446</v>
      </c>
      <c r="H1094" t="s">
        <v>4930</v>
      </c>
      <c r="I1094">
        <v>0</v>
      </c>
      <c r="J1094" t="s">
        <v>97</v>
      </c>
      <c r="K1094">
        <v>0</v>
      </c>
      <c r="L1094">
        <v>0</v>
      </c>
      <c r="M1094" t="s">
        <v>11</v>
      </c>
    </row>
    <row r="1095" spans="1:13">
      <c r="A1095" s="93">
        <v>137953</v>
      </c>
      <c r="B1095" t="s">
        <v>1652</v>
      </c>
      <c r="C1095" t="s">
        <v>4918</v>
      </c>
      <c r="D1095" s="92">
        <v>0.26</v>
      </c>
      <c r="E1095" s="92">
        <v>0.13</v>
      </c>
      <c r="F1095">
        <v>870</v>
      </c>
      <c r="G1095">
        <v>985</v>
      </c>
      <c r="H1095" t="s">
        <v>4930</v>
      </c>
      <c r="I1095">
        <v>0</v>
      </c>
      <c r="J1095" t="s">
        <v>97</v>
      </c>
      <c r="K1095">
        <v>0</v>
      </c>
      <c r="L1095">
        <v>0</v>
      </c>
      <c r="M1095" t="s">
        <v>11</v>
      </c>
    </row>
    <row r="1096" spans="1:13">
      <c r="A1096" s="93">
        <v>137962</v>
      </c>
      <c r="B1096" t="s">
        <v>1653</v>
      </c>
      <c r="C1096" t="s">
        <v>4923</v>
      </c>
      <c r="D1096" s="92">
        <v>0.2</v>
      </c>
      <c r="E1096" s="92">
        <v>0.22</v>
      </c>
      <c r="F1096">
        <v>860</v>
      </c>
      <c r="G1096">
        <v>955</v>
      </c>
      <c r="H1096" t="s">
        <v>4930</v>
      </c>
      <c r="I1096">
        <v>0</v>
      </c>
      <c r="J1096" t="s">
        <v>97</v>
      </c>
      <c r="K1096">
        <v>0</v>
      </c>
      <c r="L1096">
        <v>0</v>
      </c>
      <c r="M1096" t="s">
        <v>11</v>
      </c>
    </row>
    <row r="1097" spans="1:13">
      <c r="A1097" s="93">
        <v>138275</v>
      </c>
      <c r="B1097" t="s">
        <v>1654</v>
      </c>
      <c r="C1097" t="s">
        <v>4924</v>
      </c>
      <c r="D1097" s="92">
        <v>0.36</v>
      </c>
      <c r="E1097" s="92">
        <v>0.32</v>
      </c>
      <c r="F1097">
        <v>830</v>
      </c>
      <c r="G1097">
        <v>950</v>
      </c>
      <c r="H1097" t="s">
        <v>4930</v>
      </c>
      <c r="I1097">
        <v>0</v>
      </c>
      <c r="J1097" t="s">
        <v>97</v>
      </c>
      <c r="K1097">
        <v>0</v>
      </c>
      <c r="L1097">
        <v>0</v>
      </c>
      <c r="M1097" t="s">
        <v>11</v>
      </c>
    </row>
    <row r="1098" spans="1:13">
      <c r="A1098" s="93">
        <v>138293</v>
      </c>
      <c r="B1098" t="s">
        <v>1655</v>
      </c>
      <c r="C1098" t="s">
        <v>4920</v>
      </c>
      <c r="D1098" s="92">
        <v>0.31</v>
      </c>
      <c r="E1098" s="92">
        <v>0.23</v>
      </c>
      <c r="F1098" t="s">
        <v>446</v>
      </c>
      <c r="G1098" t="s">
        <v>446</v>
      </c>
      <c r="H1098" t="s">
        <v>4930</v>
      </c>
      <c r="I1098">
        <v>0</v>
      </c>
      <c r="J1098" t="s">
        <v>97</v>
      </c>
      <c r="K1098">
        <v>0</v>
      </c>
      <c r="L1098">
        <v>0</v>
      </c>
      <c r="M1098" t="s">
        <v>11</v>
      </c>
    </row>
    <row r="1099" spans="1:13">
      <c r="A1099" s="93">
        <v>138354</v>
      </c>
      <c r="B1099" t="s">
        <v>1656</v>
      </c>
      <c r="C1099" t="s">
        <v>4920</v>
      </c>
      <c r="D1099" s="92">
        <v>0.52</v>
      </c>
      <c r="E1099" s="92">
        <v>0.45</v>
      </c>
      <c r="F1099">
        <v>1040</v>
      </c>
      <c r="G1099">
        <v>1135</v>
      </c>
      <c r="H1099" t="s">
        <v>4932</v>
      </c>
      <c r="I1099">
        <v>0</v>
      </c>
      <c r="J1099" t="s">
        <v>97</v>
      </c>
      <c r="K1099">
        <v>0</v>
      </c>
      <c r="L1099">
        <v>0</v>
      </c>
      <c r="M1099" t="s">
        <v>11</v>
      </c>
    </row>
    <row r="1100" spans="1:13">
      <c r="A1100" s="93">
        <v>138372</v>
      </c>
      <c r="B1100" t="s">
        <v>1657</v>
      </c>
      <c r="C1100" t="s">
        <v>4919</v>
      </c>
      <c r="D1100" s="92" t="s">
        <v>446</v>
      </c>
      <c r="E1100" s="92" t="s">
        <v>446</v>
      </c>
      <c r="F1100" t="s">
        <v>446</v>
      </c>
      <c r="G1100" t="s">
        <v>446</v>
      </c>
      <c r="H1100" t="s">
        <v>4932</v>
      </c>
      <c r="I1100">
        <v>0</v>
      </c>
      <c r="J1100" t="s">
        <v>97</v>
      </c>
      <c r="K1100">
        <v>0</v>
      </c>
      <c r="L1100">
        <v>0</v>
      </c>
      <c r="M1100" t="s">
        <v>11</v>
      </c>
    </row>
    <row r="1101" spans="1:13">
      <c r="A1101" s="93">
        <v>138479</v>
      </c>
      <c r="B1101" t="s">
        <v>1658</v>
      </c>
      <c r="C1101" t="s">
        <v>4919</v>
      </c>
      <c r="D1101" s="92" t="s">
        <v>446</v>
      </c>
      <c r="E1101" s="92" t="s">
        <v>446</v>
      </c>
      <c r="F1101" t="s">
        <v>446</v>
      </c>
      <c r="G1101" t="s">
        <v>446</v>
      </c>
      <c r="H1101" t="s">
        <v>4932</v>
      </c>
      <c r="I1101">
        <v>0</v>
      </c>
      <c r="J1101" t="s">
        <v>97</v>
      </c>
      <c r="K1101">
        <v>0</v>
      </c>
      <c r="L1101">
        <v>0</v>
      </c>
      <c r="M1101" t="s">
        <v>11</v>
      </c>
    </row>
    <row r="1102" spans="1:13">
      <c r="A1102" s="93">
        <v>138488</v>
      </c>
      <c r="B1102" t="s">
        <v>1659</v>
      </c>
      <c r="C1102" t="s">
        <v>4926</v>
      </c>
      <c r="D1102" s="92">
        <v>0.73</v>
      </c>
      <c r="E1102" s="92">
        <v>0.77</v>
      </c>
      <c r="F1102" t="s">
        <v>446</v>
      </c>
      <c r="G1102" t="s">
        <v>446</v>
      </c>
      <c r="H1102" t="s">
        <v>4932</v>
      </c>
      <c r="I1102">
        <v>0</v>
      </c>
      <c r="J1102" t="s">
        <v>97</v>
      </c>
      <c r="K1102">
        <v>0</v>
      </c>
      <c r="L1102">
        <v>0</v>
      </c>
      <c r="M1102" t="s">
        <v>11</v>
      </c>
    </row>
    <row r="1103" spans="1:13">
      <c r="A1103" s="93">
        <v>138497</v>
      </c>
      <c r="B1103" t="s">
        <v>1660</v>
      </c>
      <c r="C1103" t="s">
        <v>4919</v>
      </c>
      <c r="D1103" s="92" t="s">
        <v>446</v>
      </c>
      <c r="E1103" s="92" t="s">
        <v>446</v>
      </c>
      <c r="F1103" t="s">
        <v>446</v>
      </c>
      <c r="G1103" t="s">
        <v>446</v>
      </c>
      <c r="H1103" t="s">
        <v>4932</v>
      </c>
      <c r="I1103">
        <v>0</v>
      </c>
      <c r="J1103" t="s">
        <v>97</v>
      </c>
      <c r="K1103">
        <v>0</v>
      </c>
      <c r="L1103">
        <v>0</v>
      </c>
      <c r="M1103" t="s">
        <v>11</v>
      </c>
    </row>
    <row r="1104" spans="1:13">
      <c r="A1104" s="93">
        <v>138558</v>
      </c>
      <c r="B1104" t="s">
        <v>1661</v>
      </c>
      <c r="C1104" t="s">
        <v>4918</v>
      </c>
      <c r="D1104" s="92">
        <v>0.31</v>
      </c>
      <c r="E1104" s="92">
        <v>0.19</v>
      </c>
      <c r="F1104">
        <v>940</v>
      </c>
      <c r="G1104">
        <v>1035</v>
      </c>
      <c r="H1104" t="s">
        <v>4932</v>
      </c>
      <c r="I1104">
        <v>0</v>
      </c>
      <c r="J1104" t="s">
        <v>97</v>
      </c>
      <c r="K1104">
        <v>0</v>
      </c>
      <c r="L1104">
        <v>0</v>
      </c>
      <c r="M1104" t="s">
        <v>11</v>
      </c>
    </row>
    <row r="1105" spans="1:13">
      <c r="A1105" s="93">
        <v>138655</v>
      </c>
      <c r="B1105" t="s">
        <v>1662</v>
      </c>
      <c r="C1105" t="s">
        <v>4919</v>
      </c>
      <c r="D1105" s="92" t="s">
        <v>446</v>
      </c>
      <c r="E1105" s="92" t="s">
        <v>446</v>
      </c>
      <c r="F1105" t="s">
        <v>446</v>
      </c>
      <c r="G1105" t="s">
        <v>446</v>
      </c>
      <c r="H1105" t="s">
        <v>4931</v>
      </c>
      <c r="I1105">
        <v>0</v>
      </c>
      <c r="J1105" t="s">
        <v>97</v>
      </c>
      <c r="K1105">
        <v>0</v>
      </c>
      <c r="L1105">
        <v>0</v>
      </c>
      <c r="M1105" t="s">
        <v>11</v>
      </c>
    </row>
    <row r="1106" spans="1:13">
      <c r="A1106" s="93">
        <v>138664</v>
      </c>
      <c r="B1106" t="s">
        <v>1663</v>
      </c>
      <c r="C1106" t="s">
        <v>4919</v>
      </c>
      <c r="D1106" s="92" t="s">
        <v>446</v>
      </c>
      <c r="E1106" s="92" t="s">
        <v>446</v>
      </c>
      <c r="F1106" t="s">
        <v>446</v>
      </c>
      <c r="G1106" t="s">
        <v>446</v>
      </c>
      <c r="H1106" t="s">
        <v>4931</v>
      </c>
      <c r="I1106">
        <v>0</v>
      </c>
      <c r="J1106" t="s">
        <v>97</v>
      </c>
      <c r="K1106">
        <v>0</v>
      </c>
      <c r="L1106">
        <v>0</v>
      </c>
      <c r="M1106" t="s">
        <v>11</v>
      </c>
    </row>
    <row r="1107" spans="1:13">
      <c r="A1107" s="93">
        <v>138682</v>
      </c>
      <c r="B1107" t="s">
        <v>1664</v>
      </c>
      <c r="C1107" t="s">
        <v>4919</v>
      </c>
      <c r="D1107" s="92">
        <v>0.45</v>
      </c>
      <c r="E1107" s="92">
        <v>0.43</v>
      </c>
      <c r="F1107" t="s">
        <v>446</v>
      </c>
      <c r="G1107" t="s">
        <v>446</v>
      </c>
      <c r="H1107" t="s">
        <v>4932</v>
      </c>
      <c r="I1107">
        <v>0</v>
      </c>
      <c r="J1107" t="s">
        <v>97</v>
      </c>
      <c r="K1107">
        <v>0</v>
      </c>
      <c r="L1107">
        <v>0</v>
      </c>
      <c r="M1107" t="s">
        <v>11</v>
      </c>
    </row>
    <row r="1108" spans="1:13">
      <c r="A1108" s="93">
        <v>138761</v>
      </c>
      <c r="B1108" t="s">
        <v>1665</v>
      </c>
      <c r="C1108" t="s">
        <v>4918</v>
      </c>
      <c r="D1108" s="92" t="s">
        <v>446</v>
      </c>
      <c r="E1108" s="92" t="s">
        <v>446</v>
      </c>
      <c r="F1108">
        <v>920</v>
      </c>
      <c r="G1108">
        <v>1050</v>
      </c>
      <c r="H1108" t="s">
        <v>4930</v>
      </c>
      <c r="I1108">
        <v>0</v>
      </c>
      <c r="J1108" t="s">
        <v>97</v>
      </c>
      <c r="K1108">
        <v>0</v>
      </c>
      <c r="L1108">
        <v>0</v>
      </c>
      <c r="M1108" t="s">
        <v>11</v>
      </c>
    </row>
    <row r="1109" spans="1:13">
      <c r="A1109" s="93">
        <v>138813</v>
      </c>
      <c r="B1109" t="s">
        <v>1666</v>
      </c>
      <c r="C1109" t="s">
        <v>4926</v>
      </c>
      <c r="D1109" s="92">
        <v>0.18</v>
      </c>
      <c r="E1109" s="92">
        <v>0.25</v>
      </c>
      <c r="F1109" t="s">
        <v>446</v>
      </c>
      <c r="G1109" t="s">
        <v>446</v>
      </c>
      <c r="H1109" t="s">
        <v>4930</v>
      </c>
      <c r="I1109">
        <v>0</v>
      </c>
      <c r="J1109" t="s">
        <v>97</v>
      </c>
      <c r="K1109">
        <v>0</v>
      </c>
      <c r="L1109">
        <v>0</v>
      </c>
      <c r="M1109" t="s">
        <v>11</v>
      </c>
    </row>
    <row r="1110" spans="1:13">
      <c r="A1110" s="93">
        <v>138840</v>
      </c>
      <c r="B1110" t="s">
        <v>1667</v>
      </c>
      <c r="C1110" t="s">
        <v>4919</v>
      </c>
      <c r="D1110" s="92">
        <v>0.44</v>
      </c>
      <c r="E1110" s="92">
        <v>0.45</v>
      </c>
      <c r="F1110" t="s">
        <v>446</v>
      </c>
      <c r="G1110" t="s">
        <v>446</v>
      </c>
      <c r="H1110" t="s">
        <v>4932</v>
      </c>
      <c r="I1110">
        <v>0</v>
      </c>
      <c r="J1110" t="s">
        <v>97</v>
      </c>
      <c r="K1110">
        <v>0</v>
      </c>
      <c r="L1110">
        <v>0</v>
      </c>
      <c r="M1110" t="s">
        <v>11</v>
      </c>
    </row>
    <row r="1111" spans="1:13">
      <c r="A1111" s="93">
        <v>138868</v>
      </c>
      <c r="B1111" t="s">
        <v>1668</v>
      </c>
      <c r="C1111" t="s">
        <v>4918</v>
      </c>
      <c r="D1111" s="92">
        <v>0.28</v>
      </c>
      <c r="E1111" s="92">
        <v>0.2</v>
      </c>
      <c r="F1111">
        <v>890</v>
      </c>
      <c r="G1111">
        <v>1010</v>
      </c>
      <c r="H1111" t="s">
        <v>4930</v>
      </c>
      <c r="I1111">
        <v>0</v>
      </c>
      <c r="J1111" t="s">
        <v>97</v>
      </c>
      <c r="K1111">
        <v>0</v>
      </c>
      <c r="L1111">
        <v>0</v>
      </c>
      <c r="M1111" t="s">
        <v>11</v>
      </c>
    </row>
    <row r="1112" spans="1:13">
      <c r="A1112" s="93">
        <v>138901</v>
      </c>
      <c r="B1112" t="s">
        <v>1669</v>
      </c>
      <c r="C1112" t="s">
        <v>4923</v>
      </c>
      <c r="D1112" s="92">
        <v>0.2</v>
      </c>
      <c r="E1112" s="92">
        <v>0.25</v>
      </c>
      <c r="F1112" t="s">
        <v>446</v>
      </c>
      <c r="G1112" t="s">
        <v>446</v>
      </c>
      <c r="H1112" t="s">
        <v>4932</v>
      </c>
      <c r="I1112">
        <v>0</v>
      </c>
      <c r="J1112" t="s">
        <v>97</v>
      </c>
      <c r="K1112">
        <v>0</v>
      </c>
      <c r="L1112">
        <v>0</v>
      </c>
      <c r="M1112" t="s">
        <v>11</v>
      </c>
    </row>
    <row r="1113" spans="1:13">
      <c r="A1113" s="93">
        <v>138929</v>
      </c>
      <c r="B1113" t="s">
        <v>1670</v>
      </c>
      <c r="C1113" t="s">
        <v>4924</v>
      </c>
      <c r="D1113" s="92" t="s">
        <v>446</v>
      </c>
      <c r="E1113" s="92" t="s">
        <v>446</v>
      </c>
      <c r="F1113" t="s">
        <v>446</v>
      </c>
      <c r="G1113" t="s">
        <v>446</v>
      </c>
      <c r="H1113" t="s">
        <v>4932</v>
      </c>
      <c r="I1113">
        <v>0</v>
      </c>
      <c r="J1113" t="s">
        <v>97</v>
      </c>
      <c r="K1113">
        <v>0</v>
      </c>
      <c r="L1113">
        <v>0</v>
      </c>
      <c r="M1113" t="s">
        <v>11</v>
      </c>
    </row>
    <row r="1114" spans="1:13">
      <c r="A1114" s="93">
        <v>138956</v>
      </c>
      <c r="B1114" t="s">
        <v>1671</v>
      </c>
      <c r="C1114" t="s">
        <v>4919</v>
      </c>
      <c r="D1114" s="92">
        <v>0.39</v>
      </c>
      <c r="E1114" s="92">
        <v>0.36</v>
      </c>
      <c r="F1114" t="s">
        <v>446</v>
      </c>
      <c r="G1114" t="s">
        <v>446</v>
      </c>
      <c r="H1114" t="s">
        <v>4932</v>
      </c>
      <c r="I1114">
        <v>0</v>
      </c>
      <c r="J1114" t="s">
        <v>97</v>
      </c>
      <c r="K1114">
        <v>0</v>
      </c>
      <c r="L1114">
        <v>0</v>
      </c>
      <c r="M1114" t="s">
        <v>11</v>
      </c>
    </row>
    <row r="1115" spans="1:13">
      <c r="A1115" s="93">
        <v>139144</v>
      </c>
      <c r="B1115" t="s">
        <v>1672</v>
      </c>
      <c r="C1115" t="s">
        <v>4920</v>
      </c>
      <c r="D1115" s="92">
        <v>0.71</v>
      </c>
      <c r="E1115" s="92">
        <v>0.7</v>
      </c>
      <c r="F1115">
        <v>1180</v>
      </c>
      <c r="G1115">
        <v>1275</v>
      </c>
      <c r="H1115" t="s">
        <v>4930</v>
      </c>
      <c r="I1115">
        <v>0</v>
      </c>
      <c r="J1115" t="s">
        <v>97</v>
      </c>
      <c r="K1115">
        <v>0</v>
      </c>
      <c r="L1115">
        <v>0</v>
      </c>
      <c r="M1115" t="s">
        <v>11</v>
      </c>
    </row>
    <row r="1116" spans="1:13">
      <c r="A1116" s="93">
        <v>139153</v>
      </c>
      <c r="B1116" t="s">
        <v>1673</v>
      </c>
      <c r="C1116" t="s">
        <v>4923</v>
      </c>
      <c r="D1116" s="92">
        <v>0.09</v>
      </c>
      <c r="E1116" s="92">
        <v>0.05</v>
      </c>
      <c r="F1116" t="s">
        <v>446</v>
      </c>
      <c r="G1116" t="s">
        <v>446</v>
      </c>
      <c r="H1116" t="s">
        <v>4931</v>
      </c>
      <c r="I1116">
        <v>0</v>
      </c>
      <c r="J1116" t="s">
        <v>97</v>
      </c>
      <c r="K1116">
        <v>0</v>
      </c>
      <c r="L1116">
        <v>0</v>
      </c>
      <c r="M1116" t="s">
        <v>11</v>
      </c>
    </row>
    <row r="1117" spans="1:13">
      <c r="A1117" s="93">
        <v>139199</v>
      </c>
      <c r="B1117" t="s">
        <v>1674</v>
      </c>
      <c r="C1117" t="s">
        <v>4918</v>
      </c>
      <c r="D1117" s="92">
        <v>0.47</v>
      </c>
      <c r="E1117" s="92">
        <v>0.45</v>
      </c>
      <c r="F1117">
        <v>1000</v>
      </c>
      <c r="G1117">
        <v>1065</v>
      </c>
      <c r="H1117" t="s">
        <v>4930</v>
      </c>
      <c r="I1117">
        <v>0</v>
      </c>
      <c r="J1117" t="s">
        <v>97</v>
      </c>
      <c r="K1117">
        <v>0</v>
      </c>
      <c r="L1117">
        <v>0</v>
      </c>
      <c r="M1117" t="s">
        <v>11</v>
      </c>
    </row>
    <row r="1118" spans="1:13">
      <c r="A1118" s="93">
        <v>139205</v>
      </c>
      <c r="B1118" t="s">
        <v>1675</v>
      </c>
      <c r="C1118" t="s">
        <v>4920</v>
      </c>
      <c r="D1118" s="92">
        <v>0.15</v>
      </c>
      <c r="E1118" s="92">
        <v>0.15</v>
      </c>
      <c r="F1118">
        <v>880</v>
      </c>
      <c r="G1118">
        <v>945</v>
      </c>
      <c r="H1118" t="s">
        <v>4930</v>
      </c>
      <c r="I1118">
        <v>0</v>
      </c>
      <c r="J1118" t="s">
        <v>97</v>
      </c>
      <c r="K1118">
        <v>0</v>
      </c>
      <c r="L1118">
        <v>0</v>
      </c>
      <c r="M1118" t="s">
        <v>11</v>
      </c>
    </row>
    <row r="1119" spans="1:13">
      <c r="A1119" s="93">
        <v>139250</v>
      </c>
      <c r="B1119" t="s">
        <v>1676</v>
      </c>
      <c r="C1119" t="s">
        <v>4923</v>
      </c>
      <c r="D1119" s="92">
        <v>0.24</v>
      </c>
      <c r="E1119" s="92">
        <v>0.19</v>
      </c>
      <c r="F1119">
        <v>800</v>
      </c>
      <c r="G1119">
        <v>910</v>
      </c>
      <c r="H1119" t="s">
        <v>4932</v>
      </c>
      <c r="I1119">
        <v>0</v>
      </c>
      <c r="J1119" t="s">
        <v>97</v>
      </c>
      <c r="K1119">
        <v>0</v>
      </c>
      <c r="L1119">
        <v>0</v>
      </c>
      <c r="M1119" t="s">
        <v>11</v>
      </c>
    </row>
    <row r="1120" spans="1:13">
      <c r="A1120" s="93">
        <v>139278</v>
      </c>
      <c r="B1120" t="s">
        <v>1677</v>
      </c>
      <c r="C1120" t="s">
        <v>4919</v>
      </c>
      <c r="D1120" s="92">
        <v>0.41</v>
      </c>
      <c r="E1120" s="92">
        <v>0.34</v>
      </c>
      <c r="F1120" t="s">
        <v>446</v>
      </c>
      <c r="G1120" t="s">
        <v>446</v>
      </c>
      <c r="H1120" t="s">
        <v>4932</v>
      </c>
      <c r="I1120">
        <v>0</v>
      </c>
      <c r="J1120" t="s">
        <v>97</v>
      </c>
      <c r="K1120">
        <v>0</v>
      </c>
      <c r="L1120">
        <v>0</v>
      </c>
      <c r="M1120" t="s">
        <v>11</v>
      </c>
    </row>
    <row r="1121" spans="1:13">
      <c r="A1121" s="93">
        <v>139311</v>
      </c>
      <c r="B1121" t="s">
        <v>1678</v>
      </c>
      <c r="C1121" t="s">
        <v>4920</v>
      </c>
      <c r="D1121" s="92">
        <v>0.33</v>
      </c>
      <c r="E1121" s="92">
        <v>0.33</v>
      </c>
      <c r="F1121" t="s">
        <v>446</v>
      </c>
      <c r="G1121" t="s">
        <v>446</v>
      </c>
      <c r="H1121" t="s">
        <v>4932</v>
      </c>
      <c r="I1121">
        <v>0</v>
      </c>
      <c r="J1121" t="s">
        <v>97</v>
      </c>
      <c r="K1121">
        <v>0</v>
      </c>
      <c r="L1121">
        <v>0</v>
      </c>
      <c r="M1121" t="s">
        <v>11</v>
      </c>
    </row>
    <row r="1122" spans="1:13">
      <c r="A1122" s="93">
        <v>139348</v>
      </c>
      <c r="B1122" t="s">
        <v>1679</v>
      </c>
      <c r="C1122" t="s">
        <v>4924</v>
      </c>
      <c r="D1122" s="92" t="s">
        <v>446</v>
      </c>
      <c r="E1122" s="92" t="s">
        <v>446</v>
      </c>
      <c r="F1122" t="s">
        <v>446</v>
      </c>
      <c r="G1122" t="s">
        <v>446</v>
      </c>
      <c r="H1122" t="s">
        <v>4932</v>
      </c>
      <c r="I1122">
        <v>0</v>
      </c>
      <c r="J1122" t="s">
        <v>97</v>
      </c>
      <c r="K1122">
        <v>0</v>
      </c>
      <c r="L1122">
        <v>0</v>
      </c>
      <c r="M1122" t="s">
        <v>11</v>
      </c>
    </row>
    <row r="1123" spans="1:13">
      <c r="A1123" s="93">
        <v>139357</v>
      </c>
      <c r="B1123" t="s">
        <v>1680</v>
      </c>
      <c r="C1123" t="s">
        <v>4919</v>
      </c>
      <c r="D1123" s="92">
        <v>0.3</v>
      </c>
      <c r="E1123" s="92">
        <v>0.28</v>
      </c>
      <c r="F1123" t="s">
        <v>446</v>
      </c>
      <c r="G1123" t="s">
        <v>446</v>
      </c>
      <c r="H1123" t="s">
        <v>4932</v>
      </c>
      <c r="I1123">
        <v>0</v>
      </c>
      <c r="J1123" t="s">
        <v>97</v>
      </c>
      <c r="K1123">
        <v>0</v>
      </c>
      <c r="L1123">
        <v>0</v>
      </c>
      <c r="M1123" t="s">
        <v>11</v>
      </c>
    </row>
    <row r="1124" spans="1:13">
      <c r="A1124" s="93">
        <v>139366</v>
      </c>
      <c r="B1124" t="s">
        <v>1681</v>
      </c>
      <c r="C1124" t="s">
        <v>4918</v>
      </c>
      <c r="D1124" s="92">
        <v>0.41</v>
      </c>
      <c r="E1124" s="92">
        <v>0.39</v>
      </c>
      <c r="F1124">
        <v>870</v>
      </c>
      <c r="G1124">
        <v>1000</v>
      </c>
      <c r="H1124" t="s">
        <v>4931</v>
      </c>
      <c r="I1124">
        <v>0</v>
      </c>
      <c r="J1124" t="s">
        <v>97</v>
      </c>
      <c r="K1124">
        <v>0</v>
      </c>
      <c r="L1124">
        <v>0</v>
      </c>
      <c r="M1124" t="s">
        <v>11</v>
      </c>
    </row>
    <row r="1125" spans="1:13">
      <c r="A1125" s="93">
        <v>139384</v>
      </c>
      <c r="B1125" t="s">
        <v>1682</v>
      </c>
      <c r="C1125" t="s">
        <v>4919</v>
      </c>
      <c r="D1125" s="92">
        <v>0.5</v>
      </c>
      <c r="E1125" s="92">
        <v>0.47</v>
      </c>
      <c r="F1125" t="s">
        <v>446</v>
      </c>
      <c r="G1125" t="s">
        <v>446</v>
      </c>
      <c r="H1125" t="s">
        <v>4932</v>
      </c>
      <c r="I1125">
        <v>0</v>
      </c>
      <c r="J1125" t="s">
        <v>97</v>
      </c>
      <c r="K1125">
        <v>0</v>
      </c>
      <c r="L1125">
        <v>0</v>
      </c>
      <c r="M1125" t="s">
        <v>11</v>
      </c>
    </row>
    <row r="1126" spans="1:13">
      <c r="A1126" s="93">
        <v>139393</v>
      </c>
      <c r="B1126" t="s">
        <v>1683</v>
      </c>
      <c r="C1126" t="s">
        <v>4916</v>
      </c>
      <c r="D1126" s="92">
        <v>0.68</v>
      </c>
      <c r="E1126" s="92">
        <v>0.67</v>
      </c>
      <c r="F1126">
        <v>1070</v>
      </c>
      <c r="G1126">
        <v>1185</v>
      </c>
      <c r="H1126" t="s">
        <v>4930</v>
      </c>
      <c r="I1126">
        <v>0</v>
      </c>
      <c r="J1126" t="s">
        <v>97</v>
      </c>
      <c r="K1126">
        <v>0</v>
      </c>
      <c r="L1126">
        <v>0</v>
      </c>
      <c r="M1126" t="s">
        <v>11</v>
      </c>
    </row>
    <row r="1127" spans="1:13">
      <c r="A1127" s="93">
        <v>139463</v>
      </c>
      <c r="B1127" t="s">
        <v>1684</v>
      </c>
      <c r="C1127" t="s">
        <v>4923</v>
      </c>
      <c r="D1127" s="92">
        <v>0.3</v>
      </c>
      <c r="E1127" s="92">
        <v>0.3</v>
      </c>
      <c r="F1127" t="s">
        <v>446</v>
      </c>
      <c r="G1127" t="s">
        <v>446</v>
      </c>
      <c r="H1127" t="s">
        <v>4932</v>
      </c>
      <c r="I1127">
        <v>0</v>
      </c>
      <c r="J1127" t="s">
        <v>97</v>
      </c>
      <c r="K1127">
        <v>0</v>
      </c>
      <c r="L1127">
        <v>0</v>
      </c>
      <c r="M1127" t="s">
        <v>11</v>
      </c>
    </row>
    <row r="1128" spans="1:13">
      <c r="A1128" s="93">
        <v>139579</v>
      </c>
      <c r="B1128" t="s">
        <v>1685</v>
      </c>
      <c r="C1128" t="s">
        <v>4918</v>
      </c>
      <c r="D1128" s="92">
        <v>0.1</v>
      </c>
      <c r="E1128" s="92">
        <v>0.09</v>
      </c>
      <c r="F1128" t="s">
        <v>446</v>
      </c>
      <c r="G1128" t="s">
        <v>446</v>
      </c>
      <c r="H1128" t="s">
        <v>4930</v>
      </c>
      <c r="I1128">
        <v>0</v>
      </c>
      <c r="J1128" t="s">
        <v>97</v>
      </c>
      <c r="K1128">
        <v>0</v>
      </c>
      <c r="L1128">
        <v>0</v>
      </c>
      <c r="M1128" t="s">
        <v>11</v>
      </c>
    </row>
    <row r="1129" spans="1:13">
      <c r="A1129" s="93">
        <v>139621</v>
      </c>
      <c r="B1129" t="s">
        <v>1686</v>
      </c>
      <c r="C1129" t="s">
        <v>4923</v>
      </c>
      <c r="D1129" s="92" t="s">
        <v>446</v>
      </c>
      <c r="E1129" s="92" t="s">
        <v>446</v>
      </c>
      <c r="F1129" t="s">
        <v>446</v>
      </c>
      <c r="G1129" t="s">
        <v>446</v>
      </c>
      <c r="H1129" t="s">
        <v>4932</v>
      </c>
      <c r="I1129">
        <v>0</v>
      </c>
      <c r="J1129" t="s">
        <v>97</v>
      </c>
      <c r="K1129">
        <v>0</v>
      </c>
      <c r="L1129">
        <v>0</v>
      </c>
      <c r="M1129" t="s">
        <v>11</v>
      </c>
    </row>
    <row r="1130" spans="1:13">
      <c r="A1130" s="93">
        <v>139630</v>
      </c>
      <c r="B1130" t="s">
        <v>1687</v>
      </c>
      <c r="C1130" t="s">
        <v>4918</v>
      </c>
      <c r="D1130" s="92">
        <v>0.37</v>
      </c>
      <c r="E1130" s="92">
        <v>0.32</v>
      </c>
      <c r="F1130">
        <v>980</v>
      </c>
      <c r="G1130">
        <v>1070</v>
      </c>
      <c r="H1130" t="s">
        <v>4930</v>
      </c>
      <c r="I1130">
        <v>0</v>
      </c>
      <c r="J1130" t="s">
        <v>97</v>
      </c>
      <c r="K1130">
        <v>0</v>
      </c>
      <c r="L1130">
        <v>0</v>
      </c>
      <c r="M1130" t="s">
        <v>11</v>
      </c>
    </row>
    <row r="1131" spans="1:13">
      <c r="A1131" s="93">
        <v>139700</v>
      </c>
      <c r="B1131" t="s">
        <v>1688</v>
      </c>
      <c r="C1131" t="s">
        <v>4923</v>
      </c>
      <c r="D1131" s="92" t="s">
        <v>446</v>
      </c>
      <c r="E1131" s="92" t="s">
        <v>446</v>
      </c>
      <c r="F1131" t="s">
        <v>446</v>
      </c>
      <c r="G1131" t="s">
        <v>446</v>
      </c>
      <c r="H1131" t="s">
        <v>4932</v>
      </c>
      <c r="I1131">
        <v>0</v>
      </c>
      <c r="J1131" t="s">
        <v>97</v>
      </c>
      <c r="K1131">
        <v>0</v>
      </c>
      <c r="L1131">
        <v>0</v>
      </c>
      <c r="M1131" t="s">
        <v>11</v>
      </c>
    </row>
    <row r="1132" spans="1:13">
      <c r="A1132" s="93">
        <v>139719</v>
      </c>
      <c r="B1132" t="s">
        <v>1689</v>
      </c>
      <c r="C1132" t="s">
        <v>4916</v>
      </c>
      <c r="D1132" s="92">
        <v>0.45</v>
      </c>
      <c r="E1132" s="92">
        <v>0.61</v>
      </c>
      <c r="F1132">
        <v>810</v>
      </c>
      <c r="G1132">
        <v>880</v>
      </c>
      <c r="H1132" t="s">
        <v>4932</v>
      </c>
      <c r="I1132">
        <v>0</v>
      </c>
      <c r="J1132" t="s">
        <v>153</v>
      </c>
      <c r="K1132">
        <v>0</v>
      </c>
      <c r="L1132">
        <v>0</v>
      </c>
      <c r="M1132" t="s">
        <v>11</v>
      </c>
    </row>
    <row r="1133" spans="1:13">
      <c r="A1133" s="93">
        <v>139746</v>
      </c>
      <c r="B1133" t="s">
        <v>1690</v>
      </c>
      <c r="C1133" t="s">
        <v>4919</v>
      </c>
      <c r="D1133" s="92" t="s">
        <v>446</v>
      </c>
      <c r="E1133" s="92" t="s">
        <v>446</v>
      </c>
      <c r="F1133" t="s">
        <v>446</v>
      </c>
      <c r="G1133" t="s">
        <v>446</v>
      </c>
      <c r="H1133" t="s">
        <v>4932</v>
      </c>
      <c r="I1133">
        <v>0</v>
      </c>
      <c r="J1133" t="s">
        <v>97</v>
      </c>
      <c r="K1133">
        <v>0</v>
      </c>
      <c r="L1133">
        <v>0</v>
      </c>
      <c r="M1133" t="s">
        <v>11</v>
      </c>
    </row>
    <row r="1134" spans="1:13">
      <c r="A1134" s="93">
        <v>139755</v>
      </c>
      <c r="B1134" t="s">
        <v>1691</v>
      </c>
      <c r="C1134" t="s">
        <v>4921</v>
      </c>
      <c r="D1134" s="92">
        <v>0.92</v>
      </c>
      <c r="E1134" s="92">
        <v>0.85</v>
      </c>
      <c r="F1134">
        <v>1310</v>
      </c>
      <c r="G1134">
        <v>1405</v>
      </c>
      <c r="H1134" t="s">
        <v>4932</v>
      </c>
      <c r="I1134">
        <v>0</v>
      </c>
      <c r="J1134" t="s">
        <v>97</v>
      </c>
      <c r="K1134">
        <v>0</v>
      </c>
      <c r="L1134">
        <v>0</v>
      </c>
      <c r="M1134" t="s">
        <v>11</v>
      </c>
    </row>
    <row r="1135" spans="1:13">
      <c r="A1135" s="93">
        <v>139764</v>
      </c>
      <c r="B1135" t="s">
        <v>1692</v>
      </c>
      <c r="C1135" t="s">
        <v>4920</v>
      </c>
      <c r="D1135" s="92">
        <v>0.36</v>
      </c>
      <c r="E1135" s="92">
        <v>0.27</v>
      </c>
      <c r="F1135">
        <v>990</v>
      </c>
      <c r="G1135">
        <v>1080</v>
      </c>
      <c r="H1135" t="s">
        <v>4932</v>
      </c>
      <c r="I1135">
        <v>0</v>
      </c>
      <c r="J1135" t="s">
        <v>97</v>
      </c>
      <c r="K1135">
        <v>0</v>
      </c>
      <c r="L1135">
        <v>0</v>
      </c>
      <c r="M1135" t="s">
        <v>11</v>
      </c>
    </row>
    <row r="1136" spans="1:13">
      <c r="A1136" s="93">
        <v>139861</v>
      </c>
      <c r="B1136" t="s">
        <v>1693</v>
      </c>
      <c r="C1136" t="s">
        <v>4920</v>
      </c>
      <c r="D1136" s="92">
        <v>0.62</v>
      </c>
      <c r="E1136" s="92">
        <v>0.6</v>
      </c>
      <c r="F1136">
        <v>1070</v>
      </c>
      <c r="G1136">
        <v>1165</v>
      </c>
      <c r="H1136" t="s">
        <v>4932</v>
      </c>
      <c r="I1136">
        <v>0</v>
      </c>
      <c r="J1136" t="s">
        <v>97</v>
      </c>
      <c r="K1136">
        <v>0</v>
      </c>
      <c r="L1136">
        <v>0</v>
      </c>
      <c r="M1136" t="s">
        <v>11</v>
      </c>
    </row>
    <row r="1137" spans="1:13">
      <c r="A1137" s="93">
        <v>139931</v>
      </c>
      <c r="B1137" t="s">
        <v>1694</v>
      </c>
      <c r="C1137" t="s">
        <v>4920</v>
      </c>
      <c r="D1137" s="92">
        <v>0.54</v>
      </c>
      <c r="E1137" s="92">
        <v>0.52</v>
      </c>
      <c r="F1137">
        <v>990</v>
      </c>
      <c r="G1137">
        <v>1095</v>
      </c>
      <c r="H1137" t="s">
        <v>4930</v>
      </c>
      <c r="I1137">
        <v>0</v>
      </c>
      <c r="J1137" t="s">
        <v>97</v>
      </c>
      <c r="K1137">
        <v>0</v>
      </c>
      <c r="L1137">
        <v>0</v>
      </c>
      <c r="M1137" t="s">
        <v>11</v>
      </c>
    </row>
    <row r="1138" spans="1:13">
      <c r="A1138" s="93">
        <v>139959</v>
      </c>
      <c r="B1138" t="s">
        <v>1695</v>
      </c>
      <c r="C1138" t="s">
        <v>4917</v>
      </c>
      <c r="D1138" s="92">
        <v>0.87</v>
      </c>
      <c r="E1138" s="92">
        <v>0.84</v>
      </c>
      <c r="F1138">
        <v>1270</v>
      </c>
      <c r="G1138">
        <v>1360</v>
      </c>
      <c r="H1138" t="s">
        <v>4932</v>
      </c>
      <c r="I1138">
        <v>0</v>
      </c>
      <c r="J1138" t="s">
        <v>97</v>
      </c>
      <c r="K1138">
        <v>0</v>
      </c>
      <c r="L1138">
        <v>0</v>
      </c>
      <c r="M1138" t="s">
        <v>11</v>
      </c>
    </row>
    <row r="1139" spans="1:13">
      <c r="A1139" s="93">
        <v>139986</v>
      </c>
      <c r="B1139" t="s">
        <v>1696</v>
      </c>
      <c r="C1139" t="s">
        <v>4919</v>
      </c>
      <c r="D1139" s="92">
        <v>0.5</v>
      </c>
      <c r="E1139" s="92">
        <v>0.47</v>
      </c>
      <c r="F1139" t="s">
        <v>446</v>
      </c>
      <c r="G1139" t="s">
        <v>446</v>
      </c>
      <c r="H1139" t="s">
        <v>4932</v>
      </c>
      <c r="I1139">
        <v>0</v>
      </c>
      <c r="J1139" t="s">
        <v>97</v>
      </c>
      <c r="K1139">
        <v>0</v>
      </c>
      <c r="L1139">
        <v>0</v>
      </c>
      <c r="M1139" t="s">
        <v>11</v>
      </c>
    </row>
    <row r="1140" spans="1:13">
      <c r="A1140" s="93">
        <v>139995</v>
      </c>
      <c r="B1140" t="s">
        <v>1697</v>
      </c>
      <c r="C1140" t="s">
        <v>4919</v>
      </c>
      <c r="D1140" s="92" t="s">
        <v>446</v>
      </c>
      <c r="E1140" s="92" t="s">
        <v>446</v>
      </c>
      <c r="F1140" t="s">
        <v>446</v>
      </c>
      <c r="G1140" t="s">
        <v>446</v>
      </c>
      <c r="H1140" t="s">
        <v>4931</v>
      </c>
      <c r="I1140">
        <v>0</v>
      </c>
      <c r="J1140" t="s">
        <v>97</v>
      </c>
      <c r="K1140">
        <v>0</v>
      </c>
      <c r="L1140">
        <v>0</v>
      </c>
      <c r="M1140" t="s">
        <v>11</v>
      </c>
    </row>
    <row r="1141" spans="1:13">
      <c r="A1141" s="93">
        <v>140003</v>
      </c>
      <c r="B1141" t="s">
        <v>1698</v>
      </c>
      <c r="C1141" t="s">
        <v>4919</v>
      </c>
      <c r="D1141" s="92" t="s">
        <v>446</v>
      </c>
      <c r="E1141" s="92" t="s">
        <v>446</v>
      </c>
      <c r="F1141" t="s">
        <v>446</v>
      </c>
      <c r="G1141" t="s">
        <v>446</v>
      </c>
      <c r="H1141" t="s">
        <v>4930</v>
      </c>
      <c r="I1141">
        <v>0</v>
      </c>
      <c r="J1141" t="s">
        <v>97</v>
      </c>
      <c r="K1141">
        <v>0</v>
      </c>
      <c r="L1141">
        <v>0</v>
      </c>
      <c r="M1141" t="s">
        <v>11</v>
      </c>
    </row>
    <row r="1142" spans="1:13">
      <c r="A1142" s="93">
        <v>140146</v>
      </c>
      <c r="B1142" t="s">
        <v>1699</v>
      </c>
      <c r="C1142" t="s">
        <v>4924</v>
      </c>
      <c r="D1142" s="92" t="s">
        <v>446</v>
      </c>
      <c r="E1142" s="92" t="s">
        <v>446</v>
      </c>
      <c r="F1142" t="s">
        <v>446</v>
      </c>
      <c r="G1142" t="s">
        <v>446</v>
      </c>
      <c r="H1142" t="s">
        <v>4932</v>
      </c>
      <c r="I1142">
        <v>0</v>
      </c>
      <c r="J1142" t="s">
        <v>153</v>
      </c>
      <c r="K1142">
        <v>0</v>
      </c>
      <c r="L1142">
        <v>0</v>
      </c>
      <c r="M1142" t="s">
        <v>11</v>
      </c>
    </row>
    <row r="1143" spans="1:13">
      <c r="A1143" s="93">
        <v>140234</v>
      </c>
      <c r="B1143" t="s">
        <v>1700</v>
      </c>
      <c r="C1143" t="s">
        <v>4920</v>
      </c>
      <c r="D1143" s="92">
        <v>0.44</v>
      </c>
      <c r="E1143" s="92">
        <v>0.31</v>
      </c>
      <c r="F1143" t="s">
        <v>446</v>
      </c>
      <c r="G1143" t="s">
        <v>446</v>
      </c>
      <c r="H1143" t="s">
        <v>4930</v>
      </c>
      <c r="I1143">
        <v>0</v>
      </c>
      <c r="J1143" t="s">
        <v>97</v>
      </c>
      <c r="K1143">
        <v>0</v>
      </c>
      <c r="L1143">
        <v>0</v>
      </c>
      <c r="M1143" t="s">
        <v>11</v>
      </c>
    </row>
    <row r="1144" spans="1:13">
      <c r="A1144" s="93">
        <v>140243</v>
      </c>
      <c r="B1144" t="s">
        <v>1701</v>
      </c>
      <c r="C1144" t="s">
        <v>4919</v>
      </c>
      <c r="D1144" s="92">
        <v>0.43</v>
      </c>
      <c r="E1144" s="92">
        <v>0.39</v>
      </c>
      <c r="F1144" t="s">
        <v>446</v>
      </c>
      <c r="G1144" t="s">
        <v>446</v>
      </c>
      <c r="H1144" t="s">
        <v>4932</v>
      </c>
      <c r="I1144">
        <v>0</v>
      </c>
      <c r="J1144" t="s">
        <v>97</v>
      </c>
      <c r="K1144">
        <v>0</v>
      </c>
      <c r="L1144">
        <v>0</v>
      </c>
      <c r="M1144" t="s">
        <v>11</v>
      </c>
    </row>
    <row r="1145" spans="1:13">
      <c r="A1145" s="93">
        <v>140252</v>
      </c>
      <c r="B1145" t="s">
        <v>1702</v>
      </c>
      <c r="C1145" t="s">
        <v>4923</v>
      </c>
      <c r="D1145" s="92">
        <v>0.32</v>
      </c>
      <c r="E1145" s="92">
        <v>0.22</v>
      </c>
      <c r="F1145">
        <v>890</v>
      </c>
      <c r="G1145">
        <v>985</v>
      </c>
      <c r="H1145" t="s">
        <v>4930</v>
      </c>
      <c r="I1145">
        <v>0</v>
      </c>
      <c r="J1145" t="s">
        <v>97</v>
      </c>
      <c r="K1145">
        <v>0</v>
      </c>
      <c r="L1145">
        <v>0</v>
      </c>
      <c r="M1145" t="s">
        <v>11</v>
      </c>
    </row>
    <row r="1146" spans="1:13">
      <c r="A1146" s="93">
        <v>140331</v>
      </c>
      <c r="B1146" t="s">
        <v>1703</v>
      </c>
      <c r="C1146" t="s">
        <v>4919</v>
      </c>
      <c r="D1146" s="92">
        <v>0.36</v>
      </c>
      <c r="E1146" s="92">
        <v>0.3</v>
      </c>
      <c r="F1146" t="s">
        <v>446</v>
      </c>
      <c r="G1146" t="s">
        <v>446</v>
      </c>
      <c r="H1146" t="s">
        <v>4932</v>
      </c>
      <c r="I1146">
        <v>0</v>
      </c>
      <c r="J1146" t="s">
        <v>97</v>
      </c>
      <c r="K1146">
        <v>0</v>
      </c>
      <c r="L1146">
        <v>0</v>
      </c>
      <c r="M1146" t="s">
        <v>11</v>
      </c>
    </row>
    <row r="1147" spans="1:13">
      <c r="A1147" s="93">
        <v>140340</v>
      </c>
      <c r="B1147" t="s">
        <v>1704</v>
      </c>
      <c r="C1147" t="s">
        <v>4924</v>
      </c>
      <c r="D1147" s="92">
        <v>0.27</v>
      </c>
      <c r="E1147" s="92">
        <v>0.24</v>
      </c>
      <c r="F1147" t="s">
        <v>446</v>
      </c>
      <c r="G1147" t="s">
        <v>446</v>
      </c>
      <c r="H1147" t="s">
        <v>4930</v>
      </c>
      <c r="I1147">
        <v>0</v>
      </c>
      <c r="J1147" t="s">
        <v>97</v>
      </c>
      <c r="K1147">
        <v>0</v>
      </c>
      <c r="L1147">
        <v>0</v>
      </c>
      <c r="M1147" t="s">
        <v>11</v>
      </c>
    </row>
    <row r="1148" spans="1:13">
      <c r="A1148" s="93">
        <v>140447</v>
      </c>
      <c r="B1148" t="s">
        <v>1705</v>
      </c>
      <c r="C1148" t="s">
        <v>4916</v>
      </c>
      <c r="D1148" s="92">
        <v>0.71</v>
      </c>
      <c r="E1148" s="92">
        <v>0.68</v>
      </c>
      <c r="F1148">
        <v>1220</v>
      </c>
      <c r="G1148">
        <v>1310</v>
      </c>
      <c r="H1148" t="s">
        <v>4930</v>
      </c>
      <c r="I1148">
        <v>0</v>
      </c>
      <c r="J1148" t="s">
        <v>97</v>
      </c>
      <c r="K1148">
        <v>0</v>
      </c>
      <c r="L1148">
        <v>0</v>
      </c>
      <c r="M1148" t="s">
        <v>11</v>
      </c>
    </row>
    <row r="1149" spans="1:13">
      <c r="A1149" s="93">
        <v>140678</v>
      </c>
      <c r="B1149" t="s">
        <v>1706</v>
      </c>
      <c r="C1149" t="s">
        <v>4919</v>
      </c>
      <c r="D1149" s="92">
        <v>0.4</v>
      </c>
      <c r="E1149" s="92">
        <v>0.34</v>
      </c>
      <c r="F1149" t="s">
        <v>446</v>
      </c>
      <c r="G1149" t="s">
        <v>446</v>
      </c>
      <c r="H1149" t="s">
        <v>4932</v>
      </c>
      <c r="I1149">
        <v>0</v>
      </c>
      <c r="J1149" t="s">
        <v>97</v>
      </c>
      <c r="K1149">
        <v>0</v>
      </c>
      <c r="L1149">
        <v>0</v>
      </c>
      <c r="M1149" t="s">
        <v>11</v>
      </c>
    </row>
    <row r="1150" spans="1:13">
      <c r="A1150" s="93">
        <v>140696</v>
      </c>
      <c r="B1150" t="s">
        <v>1707</v>
      </c>
      <c r="C1150" t="s">
        <v>4920</v>
      </c>
      <c r="D1150" s="92">
        <v>0.51</v>
      </c>
      <c r="E1150" s="92">
        <v>0.47</v>
      </c>
      <c r="F1150">
        <v>1070</v>
      </c>
      <c r="G1150">
        <v>1175</v>
      </c>
      <c r="H1150" t="s">
        <v>4931</v>
      </c>
      <c r="I1150">
        <v>0</v>
      </c>
      <c r="J1150" t="s">
        <v>97</v>
      </c>
      <c r="K1150">
        <v>0</v>
      </c>
      <c r="L1150">
        <v>0</v>
      </c>
      <c r="M1150" t="s">
        <v>11</v>
      </c>
    </row>
    <row r="1151" spans="1:13">
      <c r="A1151" s="93">
        <v>140720</v>
      </c>
      <c r="B1151" t="s">
        <v>1708</v>
      </c>
      <c r="C1151" t="s">
        <v>4918</v>
      </c>
      <c r="D1151" s="92">
        <v>0.08</v>
      </c>
      <c r="E1151" s="92">
        <v>0.24</v>
      </c>
      <c r="F1151" t="s">
        <v>446</v>
      </c>
      <c r="G1151" t="s">
        <v>446</v>
      </c>
      <c r="H1151" t="s">
        <v>4931</v>
      </c>
      <c r="I1151">
        <v>0</v>
      </c>
      <c r="J1151" t="s">
        <v>153</v>
      </c>
      <c r="K1151">
        <v>0</v>
      </c>
      <c r="L1151">
        <v>0</v>
      </c>
      <c r="M1151" t="s">
        <v>11</v>
      </c>
    </row>
    <row r="1152" spans="1:13">
      <c r="A1152" s="93">
        <v>140818</v>
      </c>
      <c r="B1152" t="s">
        <v>1709</v>
      </c>
      <c r="C1152" t="s">
        <v>4920</v>
      </c>
      <c r="D1152" s="92">
        <v>0.46</v>
      </c>
      <c r="E1152" s="92">
        <v>0.34</v>
      </c>
      <c r="F1152">
        <v>1010</v>
      </c>
      <c r="G1152">
        <v>1115</v>
      </c>
      <c r="H1152" t="s">
        <v>4930</v>
      </c>
      <c r="I1152">
        <v>0</v>
      </c>
      <c r="J1152" t="s">
        <v>97</v>
      </c>
      <c r="K1152">
        <v>0</v>
      </c>
      <c r="L1152">
        <v>0</v>
      </c>
      <c r="M1152" t="s">
        <v>11</v>
      </c>
    </row>
    <row r="1153" spans="1:13">
      <c r="A1153" s="93">
        <v>140827</v>
      </c>
      <c r="B1153" t="s">
        <v>1710</v>
      </c>
      <c r="C1153" t="s">
        <v>4919</v>
      </c>
      <c r="D1153" s="92" t="s">
        <v>446</v>
      </c>
      <c r="E1153" s="92" t="s">
        <v>446</v>
      </c>
      <c r="F1153" t="s">
        <v>446</v>
      </c>
      <c r="G1153" t="s">
        <v>446</v>
      </c>
      <c r="H1153" t="s">
        <v>4932</v>
      </c>
      <c r="I1153">
        <v>0</v>
      </c>
      <c r="J1153" t="s">
        <v>97</v>
      </c>
      <c r="K1153">
        <v>0</v>
      </c>
      <c r="L1153">
        <v>0</v>
      </c>
      <c r="M1153" t="s">
        <v>11</v>
      </c>
    </row>
    <row r="1154" spans="1:13">
      <c r="A1154" s="93">
        <v>140872</v>
      </c>
      <c r="B1154" t="s">
        <v>1711</v>
      </c>
      <c r="C1154" t="s">
        <v>4920</v>
      </c>
      <c r="D1154" s="92">
        <v>0.35</v>
      </c>
      <c r="E1154" s="92">
        <v>0.26</v>
      </c>
      <c r="F1154" t="s">
        <v>446</v>
      </c>
      <c r="G1154" t="s">
        <v>446</v>
      </c>
      <c r="H1154" t="s">
        <v>4930</v>
      </c>
      <c r="I1154">
        <v>0</v>
      </c>
      <c r="J1154" t="s">
        <v>97</v>
      </c>
      <c r="K1154">
        <v>0</v>
      </c>
      <c r="L1154">
        <v>0</v>
      </c>
      <c r="M1154" t="s">
        <v>11</v>
      </c>
    </row>
    <row r="1155" spans="1:13">
      <c r="A1155" s="93">
        <v>140942</v>
      </c>
      <c r="B1155" t="s">
        <v>1712</v>
      </c>
      <c r="C1155" t="s">
        <v>4919</v>
      </c>
      <c r="D1155" s="92">
        <v>0.49</v>
      </c>
      <c r="E1155" s="92">
        <v>0.46</v>
      </c>
      <c r="F1155" t="s">
        <v>446</v>
      </c>
      <c r="G1155" t="s">
        <v>446</v>
      </c>
      <c r="H1155" t="s">
        <v>4932</v>
      </c>
      <c r="I1155">
        <v>0</v>
      </c>
      <c r="J1155" t="s">
        <v>97</v>
      </c>
      <c r="K1155">
        <v>0</v>
      </c>
      <c r="L1155">
        <v>0</v>
      </c>
      <c r="M1155" t="s">
        <v>11</v>
      </c>
    </row>
    <row r="1156" spans="1:13">
      <c r="A1156" s="93">
        <v>140988</v>
      </c>
      <c r="B1156" t="s">
        <v>1713</v>
      </c>
      <c r="C1156" t="s">
        <v>4918</v>
      </c>
      <c r="D1156" s="92">
        <v>0.38</v>
      </c>
      <c r="E1156" s="92">
        <v>0.28</v>
      </c>
      <c r="F1156">
        <v>960</v>
      </c>
      <c r="G1156">
        <v>1075</v>
      </c>
      <c r="H1156" t="s">
        <v>4930</v>
      </c>
      <c r="I1156">
        <v>0</v>
      </c>
      <c r="J1156" t="s">
        <v>97</v>
      </c>
      <c r="K1156">
        <v>0</v>
      </c>
      <c r="L1156">
        <v>0</v>
      </c>
      <c r="M1156" t="s">
        <v>11</v>
      </c>
    </row>
    <row r="1157" spans="1:13">
      <c r="A1157" s="93">
        <v>141006</v>
      </c>
      <c r="B1157" t="s">
        <v>1714</v>
      </c>
      <c r="C1157" t="s">
        <v>4919</v>
      </c>
      <c r="D1157" s="92">
        <v>0.64</v>
      </c>
      <c r="E1157" s="92">
        <v>0.55</v>
      </c>
      <c r="F1157" t="s">
        <v>446</v>
      </c>
      <c r="G1157" t="s">
        <v>446</v>
      </c>
      <c r="H1157" t="s">
        <v>4932</v>
      </c>
      <c r="I1157">
        <v>0</v>
      </c>
      <c r="J1157" t="s">
        <v>97</v>
      </c>
      <c r="K1157">
        <v>0</v>
      </c>
      <c r="L1157">
        <v>0</v>
      </c>
      <c r="M1157" t="s">
        <v>11</v>
      </c>
    </row>
    <row r="1158" spans="1:13">
      <c r="A1158" s="93">
        <v>141015</v>
      </c>
      <c r="B1158" t="s">
        <v>1715</v>
      </c>
      <c r="C1158" t="s">
        <v>4919</v>
      </c>
      <c r="D1158" s="92" t="s">
        <v>446</v>
      </c>
      <c r="E1158" s="92" t="s">
        <v>446</v>
      </c>
      <c r="F1158" t="s">
        <v>446</v>
      </c>
      <c r="G1158" t="s">
        <v>446</v>
      </c>
      <c r="H1158" t="s">
        <v>4932</v>
      </c>
      <c r="I1158">
        <v>0</v>
      </c>
      <c r="J1158" t="s">
        <v>97</v>
      </c>
      <c r="K1158">
        <v>0</v>
      </c>
      <c r="L1158">
        <v>0</v>
      </c>
      <c r="M1158" t="s">
        <v>11</v>
      </c>
    </row>
    <row r="1159" spans="1:13">
      <c r="A1159" s="93">
        <v>141167</v>
      </c>
      <c r="B1159" t="s">
        <v>1716</v>
      </c>
      <c r="C1159" t="s">
        <v>4918</v>
      </c>
      <c r="D1159" s="92">
        <v>0.36</v>
      </c>
      <c r="E1159" s="92">
        <v>0.24</v>
      </c>
      <c r="F1159">
        <v>780</v>
      </c>
      <c r="G1159">
        <v>1010</v>
      </c>
      <c r="H1159" t="s">
        <v>4930</v>
      </c>
      <c r="I1159">
        <v>0</v>
      </c>
      <c r="J1159" t="s">
        <v>97</v>
      </c>
      <c r="K1159">
        <v>0</v>
      </c>
      <c r="L1159">
        <v>0</v>
      </c>
      <c r="M1159" t="s">
        <v>11</v>
      </c>
    </row>
    <row r="1160" spans="1:13">
      <c r="A1160" s="93">
        <v>141185</v>
      </c>
      <c r="B1160" t="s">
        <v>1717</v>
      </c>
      <c r="C1160" t="s">
        <v>4920</v>
      </c>
      <c r="D1160" s="92">
        <v>0.49</v>
      </c>
      <c r="E1160" s="92">
        <v>0.32</v>
      </c>
      <c r="F1160">
        <v>1000</v>
      </c>
      <c r="G1160">
        <v>1090</v>
      </c>
      <c r="H1160" t="s">
        <v>4930</v>
      </c>
      <c r="I1160">
        <v>0</v>
      </c>
      <c r="J1160" t="s">
        <v>97</v>
      </c>
      <c r="K1160">
        <v>0</v>
      </c>
      <c r="L1160">
        <v>0</v>
      </c>
      <c r="M1160" t="s">
        <v>11</v>
      </c>
    </row>
    <row r="1161" spans="1:13">
      <c r="A1161" s="93">
        <v>141237</v>
      </c>
      <c r="B1161" t="s">
        <v>1718</v>
      </c>
      <c r="C1161" t="s">
        <v>4923</v>
      </c>
      <c r="D1161" s="92">
        <v>0.36</v>
      </c>
      <c r="E1161" s="92">
        <v>0.18</v>
      </c>
      <c r="F1161">
        <v>1070</v>
      </c>
      <c r="G1161">
        <v>1135</v>
      </c>
      <c r="H1161" t="s">
        <v>4930</v>
      </c>
      <c r="I1161">
        <v>0</v>
      </c>
      <c r="J1161" t="s">
        <v>97</v>
      </c>
      <c r="K1161">
        <v>0</v>
      </c>
      <c r="L1161">
        <v>0</v>
      </c>
      <c r="M1161" t="s">
        <v>11</v>
      </c>
    </row>
    <row r="1162" spans="1:13">
      <c r="A1162" s="93">
        <v>141255</v>
      </c>
      <c r="B1162" t="s">
        <v>1719</v>
      </c>
      <c r="C1162" t="s">
        <v>4919</v>
      </c>
      <c r="D1162" s="92">
        <v>0.45</v>
      </c>
      <c r="E1162" s="92">
        <v>0.39</v>
      </c>
      <c r="F1162" t="s">
        <v>446</v>
      </c>
      <c r="G1162" t="s">
        <v>446</v>
      </c>
      <c r="H1162" t="s">
        <v>4932</v>
      </c>
      <c r="I1162">
        <v>0</v>
      </c>
      <c r="J1162" t="s">
        <v>97</v>
      </c>
      <c r="K1162">
        <v>0</v>
      </c>
      <c r="L1162">
        <v>0</v>
      </c>
      <c r="M1162" t="s">
        <v>11</v>
      </c>
    </row>
    <row r="1163" spans="1:13">
      <c r="A1163" s="93">
        <v>141325</v>
      </c>
      <c r="B1163" t="s">
        <v>1720</v>
      </c>
      <c r="C1163" t="s">
        <v>4920</v>
      </c>
      <c r="D1163" s="92">
        <v>0.52</v>
      </c>
      <c r="E1163" s="92">
        <v>0.43</v>
      </c>
      <c r="F1163">
        <v>1030</v>
      </c>
      <c r="G1163">
        <v>1120</v>
      </c>
      <c r="H1163" t="s">
        <v>4931</v>
      </c>
      <c r="I1163">
        <v>0</v>
      </c>
      <c r="J1163" t="s">
        <v>97</v>
      </c>
      <c r="K1163">
        <v>0</v>
      </c>
      <c r="L1163">
        <v>0</v>
      </c>
      <c r="M1163" t="s">
        <v>11</v>
      </c>
    </row>
    <row r="1164" spans="1:13">
      <c r="A1164" s="93">
        <v>141334</v>
      </c>
      <c r="B1164" t="s">
        <v>1721</v>
      </c>
      <c r="C1164" t="s">
        <v>4918</v>
      </c>
      <c r="D1164" s="92">
        <v>0.42</v>
      </c>
      <c r="E1164" s="92">
        <v>0.44</v>
      </c>
      <c r="F1164">
        <v>940</v>
      </c>
      <c r="G1164">
        <v>1035</v>
      </c>
      <c r="H1164" t="s">
        <v>4932</v>
      </c>
      <c r="I1164">
        <v>0</v>
      </c>
      <c r="J1164" t="s">
        <v>97</v>
      </c>
      <c r="K1164">
        <v>0</v>
      </c>
      <c r="L1164">
        <v>0</v>
      </c>
      <c r="M1164" t="s">
        <v>11</v>
      </c>
    </row>
    <row r="1165" spans="1:13">
      <c r="A1165" s="93">
        <v>141361</v>
      </c>
      <c r="B1165" t="s">
        <v>1722</v>
      </c>
      <c r="C1165" t="s">
        <v>4918</v>
      </c>
      <c r="D1165" s="92">
        <v>0.42</v>
      </c>
      <c r="E1165" s="92">
        <v>0.37</v>
      </c>
      <c r="F1165" t="s">
        <v>446</v>
      </c>
      <c r="G1165" t="s">
        <v>446</v>
      </c>
      <c r="H1165" t="s">
        <v>4930</v>
      </c>
      <c r="I1165">
        <v>0</v>
      </c>
      <c r="J1165" t="s">
        <v>97</v>
      </c>
      <c r="K1165">
        <v>0</v>
      </c>
      <c r="L1165">
        <v>0</v>
      </c>
      <c r="M1165" t="s">
        <v>11</v>
      </c>
    </row>
    <row r="1166" spans="1:13">
      <c r="A1166" s="93">
        <v>141486</v>
      </c>
      <c r="B1166" t="s">
        <v>1723</v>
      </c>
      <c r="C1166" t="s">
        <v>4920</v>
      </c>
      <c r="D1166" s="92">
        <v>0.61</v>
      </c>
      <c r="E1166" s="92">
        <v>0.53</v>
      </c>
      <c r="F1166" t="s">
        <v>446</v>
      </c>
      <c r="G1166" t="s">
        <v>446</v>
      </c>
      <c r="H1166" t="s">
        <v>4930</v>
      </c>
      <c r="I1166">
        <v>0</v>
      </c>
      <c r="J1166" t="s">
        <v>97</v>
      </c>
      <c r="K1166">
        <v>0</v>
      </c>
      <c r="L1166">
        <v>0</v>
      </c>
      <c r="M1166" t="s">
        <v>11</v>
      </c>
    </row>
    <row r="1167" spans="1:13">
      <c r="A1167" s="93">
        <v>141565</v>
      </c>
      <c r="B1167" t="s">
        <v>1724</v>
      </c>
      <c r="C1167" t="s">
        <v>4920</v>
      </c>
      <c r="D1167" s="92">
        <v>0.42</v>
      </c>
      <c r="E1167" s="92">
        <v>0.4</v>
      </c>
      <c r="F1167">
        <v>890</v>
      </c>
      <c r="G1167">
        <v>1000</v>
      </c>
      <c r="H1167" t="s">
        <v>4932</v>
      </c>
      <c r="I1167">
        <v>0</v>
      </c>
      <c r="J1167" t="s">
        <v>97</v>
      </c>
      <c r="K1167">
        <v>0</v>
      </c>
      <c r="L1167">
        <v>0</v>
      </c>
      <c r="M1167" t="s">
        <v>11</v>
      </c>
    </row>
    <row r="1168" spans="1:13">
      <c r="A1168" s="93">
        <v>141574</v>
      </c>
      <c r="B1168" t="s">
        <v>1725</v>
      </c>
      <c r="C1168" t="s">
        <v>4920</v>
      </c>
      <c r="D1168" s="92">
        <v>0.59</v>
      </c>
      <c r="E1168" s="92">
        <v>0.45</v>
      </c>
      <c r="F1168">
        <v>1080</v>
      </c>
      <c r="G1168">
        <v>1185</v>
      </c>
      <c r="H1168" t="s">
        <v>4932</v>
      </c>
      <c r="I1168">
        <v>0</v>
      </c>
      <c r="J1168" t="s">
        <v>97</v>
      </c>
      <c r="K1168">
        <v>0</v>
      </c>
      <c r="L1168">
        <v>0</v>
      </c>
      <c r="M1168" t="s">
        <v>11</v>
      </c>
    </row>
    <row r="1169" spans="1:13">
      <c r="A1169" s="93">
        <v>141644</v>
      </c>
      <c r="B1169" t="s">
        <v>1726</v>
      </c>
      <c r="C1169" t="s">
        <v>4920</v>
      </c>
      <c r="D1169" s="92">
        <v>0.44</v>
      </c>
      <c r="E1169" s="92">
        <v>0.37</v>
      </c>
      <c r="F1169">
        <v>1070</v>
      </c>
      <c r="G1169">
        <v>1155</v>
      </c>
      <c r="H1169" t="s">
        <v>4930</v>
      </c>
      <c r="I1169">
        <v>0</v>
      </c>
      <c r="J1169" t="s">
        <v>97</v>
      </c>
      <c r="K1169">
        <v>0</v>
      </c>
      <c r="L1169">
        <v>0</v>
      </c>
      <c r="M1169" t="s">
        <v>11</v>
      </c>
    </row>
    <row r="1170" spans="1:13">
      <c r="A1170" s="93">
        <v>141680</v>
      </c>
      <c r="B1170" t="s">
        <v>1727</v>
      </c>
      <c r="C1170" t="s">
        <v>4919</v>
      </c>
      <c r="D1170" s="92">
        <v>0.35</v>
      </c>
      <c r="E1170" s="92">
        <v>0.34</v>
      </c>
      <c r="F1170" t="s">
        <v>446</v>
      </c>
      <c r="G1170" t="s">
        <v>446</v>
      </c>
      <c r="H1170" t="s">
        <v>4932</v>
      </c>
      <c r="I1170">
        <v>0</v>
      </c>
      <c r="J1170" t="s">
        <v>97</v>
      </c>
      <c r="K1170">
        <v>0</v>
      </c>
      <c r="L1170">
        <v>0</v>
      </c>
      <c r="M1170" t="s">
        <v>11</v>
      </c>
    </row>
    <row r="1171" spans="1:13">
      <c r="A1171" s="93">
        <v>141796</v>
      </c>
      <c r="B1171" t="s">
        <v>1728</v>
      </c>
      <c r="C1171" t="s">
        <v>4919</v>
      </c>
      <c r="D1171" s="92">
        <v>0.31</v>
      </c>
      <c r="E1171" s="92">
        <v>0.28</v>
      </c>
      <c r="F1171" t="s">
        <v>446</v>
      </c>
      <c r="G1171" t="s">
        <v>446</v>
      </c>
      <c r="H1171" t="s">
        <v>4932</v>
      </c>
      <c r="I1171">
        <v>0</v>
      </c>
      <c r="J1171" t="s">
        <v>97</v>
      </c>
      <c r="K1171">
        <v>0</v>
      </c>
      <c r="L1171">
        <v>0</v>
      </c>
      <c r="M1171" t="s">
        <v>11</v>
      </c>
    </row>
    <row r="1172" spans="1:13">
      <c r="A1172" s="93">
        <v>141802</v>
      </c>
      <c r="B1172" t="s">
        <v>1729</v>
      </c>
      <c r="C1172" t="s">
        <v>4919</v>
      </c>
      <c r="D1172" s="92">
        <v>0.32</v>
      </c>
      <c r="E1172" s="92">
        <v>0.28</v>
      </c>
      <c r="F1172" t="s">
        <v>446</v>
      </c>
      <c r="G1172" t="s">
        <v>446</v>
      </c>
      <c r="H1172" t="s">
        <v>4932</v>
      </c>
      <c r="I1172">
        <v>0</v>
      </c>
      <c r="J1172" t="s">
        <v>97</v>
      </c>
      <c r="K1172">
        <v>0</v>
      </c>
      <c r="L1172">
        <v>0</v>
      </c>
      <c r="M1172" t="s">
        <v>11</v>
      </c>
    </row>
    <row r="1173" spans="1:13">
      <c r="A1173" s="93">
        <v>141811</v>
      </c>
      <c r="B1173" t="s">
        <v>1730</v>
      </c>
      <c r="C1173" t="s">
        <v>4919</v>
      </c>
      <c r="D1173" s="92">
        <v>0.31</v>
      </c>
      <c r="E1173" s="92">
        <v>0.31</v>
      </c>
      <c r="F1173" t="s">
        <v>446</v>
      </c>
      <c r="G1173" t="s">
        <v>446</v>
      </c>
      <c r="H1173" t="s">
        <v>4932</v>
      </c>
      <c r="I1173">
        <v>0</v>
      </c>
      <c r="J1173" t="s">
        <v>97</v>
      </c>
      <c r="K1173">
        <v>0</v>
      </c>
      <c r="L1173">
        <v>0</v>
      </c>
      <c r="M1173" t="s">
        <v>11</v>
      </c>
    </row>
    <row r="1174" spans="1:13">
      <c r="A1174" s="93">
        <v>141839</v>
      </c>
      <c r="B1174" t="s">
        <v>1731</v>
      </c>
      <c r="C1174" t="s">
        <v>4923</v>
      </c>
      <c r="D1174" s="92">
        <v>0.11</v>
      </c>
      <c r="E1174" s="92">
        <v>0</v>
      </c>
      <c r="F1174" t="s">
        <v>446</v>
      </c>
      <c r="G1174" t="s">
        <v>446</v>
      </c>
      <c r="H1174" t="s">
        <v>4932</v>
      </c>
      <c r="I1174">
        <v>0</v>
      </c>
      <c r="J1174" t="s">
        <v>97</v>
      </c>
      <c r="K1174">
        <v>0</v>
      </c>
      <c r="L1174">
        <v>0</v>
      </c>
      <c r="M1174" t="s">
        <v>11</v>
      </c>
    </row>
    <row r="1175" spans="1:13">
      <c r="A1175" s="93">
        <v>141981</v>
      </c>
      <c r="B1175" t="s">
        <v>1732</v>
      </c>
      <c r="C1175" t="s">
        <v>4923</v>
      </c>
      <c r="D1175" s="92">
        <v>0.34</v>
      </c>
      <c r="E1175" s="92">
        <v>0.32</v>
      </c>
      <c r="F1175">
        <v>890</v>
      </c>
      <c r="G1175">
        <v>1000</v>
      </c>
      <c r="H1175" t="s">
        <v>4932</v>
      </c>
      <c r="I1175">
        <v>0</v>
      </c>
      <c r="J1175" t="s">
        <v>97</v>
      </c>
      <c r="K1175">
        <v>0</v>
      </c>
      <c r="L1175">
        <v>0</v>
      </c>
      <c r="M1175" t="s">
        <v>11</v>
      </c>
    </row>
    <row r="1176" spans="1:13">
      <c r="A1176" s="93">
        <v>141990</v>
      </c>
      <c r="B1176" t="s">
        <v>1733</v>
      </c>
      <c r="C1176" t="s">
        <v>4919</v>
      </c>
      <c r="D1176" s="92">
        <v>0.33</v>
      </c>
      <c r="E1176" s="92">
        <v>0.37</v>
      </c>
      <c r="F1176" t="s">
        <v>446</v>
      </c>
      <c r="G1176" t="s">
        <v>446</v>
      </c>
      <c r="H1176" t="s">
        <v>4932</v>
      </c>
      <c r="I1176">
        <v>0</v>
      </c>
      <c r="J1176" t="s">
        <v>97</v>
      </c>
      <c r="K1176">
        <v>0</v>
      </c>
      <c r="L1176">
        <v>0</v>
      </c>
      <c r="M1176" t="s">
        <v>11</v>
      </c>
    </row>
    <row r="1177" spans="1:13">
      <c r="A1177" s="93">
        <v>142054</v>
      </c>
      <c r="B1177" t="s">
        <v>1734</v>
      </c>
      <c r="C1177" t="s">
        <v>4919</v>
      </c>
      <c r="D1177" s="92" t="s">
        <v>446</v>
      </c>
      <c r="E1177" s="92" t="s">
        <v>446</v>
      </c>
      <c r="F1177" t="s">
        <v>446</v>
      </c>
      <c r="G1177" t="s">
        <v>446</v>
      </c>
      <c r="H1177" t="s">
        <v>4932</v>
      </c>
      <c r="I1177">
        <v>0</v>
      </c>
      <c r="J1177" t="s">
        <v>97</v>
      </c>
      <c r="K1177">
        <v>0</v>
      </c>
      <c r="L1177">
        <v>0</v>
      </c>
      <c r="M1177" t="s">
        <v>11</v>
      </c>
    </row>
    <row r="1178" spans="1:13">
      <c r="A1178" s="93">
        <v>142090</v>
      </c>
      <c r="B1178" t="s">
        <v>1735</v>
      </c>
      <c r="C1178" t="s">
        <v>4923</v>
      </c>
      <c r="D1178" s="92">
        <v>0.41</v>
      </c>
      <c r="E1178" s="92">
        <v>0.17</v>
      </c>
      <c r="F1178">
        <v>890</v>
      </c>
      <c r="G1178">
        <v>1045</v>
      </c>
      <c r="H1178" t="s">
        <v>4931</v>
      </c>
      <c r="I1178">
        <v>0</v>
      </c>
      <c r="J1178" t="s">
        <v>97</v>
      </c>
      <c r="K1178">
        <v>0</v>
      </c>
      <c r="L1178">
        <v>0</v>
      </c>
      <c r="M1178" t="s">
        <v>11</v>
      </c>
    </row>
    <row r="1179" spans="1:13">
      <c r="A1179" s="93">
        <v>142115</v>
      </c>
      <c r="B1179" t="s">
        <v>1736</v>
      </c>
      <c r="C1179" t="s">
        <v>4920</v>
      </c>
      <c r="D1179" s="92">
        <v>0.53</v>
      </c>
      <c r="E1179" s="92">
        <v>0.49</v>
      </c>
      <c r="F1179" t="s">
        <v>446</v>
      </c>
      <c r="G1179" t="s">
        <v>446</v>
      </c>
      <c r="H1179" t="s">
        <v>4932</v>
      </c>
      <c r="I1179">
        <v>0</v>
      </c>
      <c r="J1179" t="s">
        <v>97</v>
      </c>
      <c r="K1179">
        <v>0</v>
      </c>
      <c r="L1179">
        <v>0</v>
      </c>
      <c r="M1179" t="s">
        <v>11</v>
      </c>
    </row>
    <row r="1180" spans="1:13">
      <c r="A1180" s="93">
        <v>142179</v>
      </c>
      <c r="B1180" t="s">
        <v>1737</v>
      </c>
      <c r="C1180" t="s">
        <v>4919</v>
      </c>
      <c r="D1180" s="92">
        <v>0.5600000000000001</v>
      </c>
      <c r="E1180" s="92">
        <v>0.54</v>
      </c>
      <c r="F1180" t="s">
        <v>446</v>
      </c>
      <c r="G1180" t="s">
        <v>446</v>
      </c>
      <c r="H1180" t="s">
        <v>4932</v>
      </c>
      <c r="I1180">
        <v>0</v>
      </c>
      <c r="J1180" t="s">
        <v>97</v>
      </c>
      <c r="K1180">
        <v>0</v>
      </c>
      <c r="L1180">
        <v>0</v>
      </c>
      <c r="M1180" t="s">
        <v>11</v>
      </c>
    </row>
    <row r="1181" spans="1:13">
      <c r="A1181" s="93">
        <v>142276</v>
      </c>
      <c r="B1181" t="s">
        <v>1738</v>
      </c>
      <c r="C1181" t="s">
        <v>4923</v>
      </c>
      <c r="D1181" s="92">
        <v>0.36</v>
      </c>
      <c r="E1181" s="92">
        <v>0.31</v>
      </c>
      <c r="F1181" t="s">
        <v>446</v>
      </c>
      <c r="G1181" t="s">
        <v>446</v>
      </c>
      <c r="H1181" t="s">
        <v>4932</v>
      </c>
      <c r="I1181">
        <v>0</v>
      </c>
      <c r="J1181" t="s">
        <v>97</v>
      </c>
      <c r="K1181">
        <v>0</v>
      </c>
      <c r="L1181">
        <v>0</v>
      </c>
      <c r="M1181" t="s">
        <v>11</v>
      </c>
    </row>
    <row r="1182" spans="1:13">
      <c r="A1182" s="93">
        <v>142285</v>
      </c>
      <c r="B1182" t="s">
        <v>1739</v>
      </c>
      <c r="C1182" t="s">
        <v>4920</v>
      </c>
      <c r="D1182" s="92">
        <v>0.59</v>
      </c>
      <c r="E1182" s="92">
        <v>0.54</v>
      </c>
      <c r="F1182">
        <v>990</v>
      </c>
      <c r="G1182">
        <v>1105</v>
      </c>
      <c r="H1182" t="s">
        <v>4932</v>
      </c>
      <c r="I1182">
        <v>0</v>
      </c>
      <c r="J1182" t="s">
        <v>97</v>
      </c>
      <c r="K1182">
        <v>0</v>
      </c>
      <c r="L1182">
        <v>0</v>
      </c>
      <c r="M1182" t="s">
        <v>11</v>
      </c>
    </row>
    <row r="1183" spans="1:13">
      <c r="A1183" s="93">
        <v>142294</v>
      </c>
      <c r="B1183" t="s">
        <v>1740</v>
      </c>
      <c r="C1183" t="s">
        <v>4920</v>
      </c>
      <c r="D1183" s="92">
        <v>0.63</v>
      </c>
      <c r="E1183" s="92">
        <v>0.61</v>
      </c>
      <c r="F1183">
        <v>1080</v>
      </c>
      <c r="G1183">
        <v>1165</v>
      </c>
      <c r="H1183" t="s">
        <v>4930</v>
      </c>
      <c r="I1183">
        <v>0</v>
      </c>
      <c r="J1183" t="s">
        <v>97</v>
      </c>
      <c r="K1183">
        <v>0</v>
      </c>
      <c r="L1183">
        <v>0</v>
      </c>
      <c r="M1183" t="s">
        <v>11</v>
      </c>
    </row>
    <row r="1184" spans="1:13">
      <c r="A1184" s="93">
        <v>142328</v>
      </c>
      <c r="B1184" t="s">
        <v>1741</v>
      </c>
      <c r="C1184" t="s">
        <v>4920</v>
      </c>
      <c r="D1184" s="92">
        <v>0.32</v>
      </c>
      <c r="E1184" s="92">
        <v>0.27</v>
      </c>
      <c r="F1184" t="s">
        <v>446</v>
      </c>
      <c r="G1184" t="s">
        <v>446</v>
      </c>
      <c r="H1184" t="s">
        <v>4932</v>
      </c>
      <c r="I1184">
        <v>0</v>
      </c>
      <c r="J1184" t="s">
        <v>97</v>
      </c>
      <c r="K1184">
        <v>0</v>
      </c>
      <c r="L1184">
        <v>0</v>
      </c>
      <c r="M1184" t="s">
        <v>11</v>
      </c>
    </row>
    <row r="1185" spans="1:13">
      <c r="A1185" s="93">
        <v>142443</v>
      </c>
      <c r="B1185" t="s">
        <v>1742</v>
      </c>
      <c r="C1185" t="s">
        <v>4919</v>
      </c>
      <c r="D1185" s="92">
        <v>0.36</v>
      </c>
      <c r="E1185" s="92">
        <v>0.32</v>
      </c>
      <c r="F1185" t="s">
        <v>446</v>
      </c>
      <c r="G1185" t="s">
        <v>446</v>
      </c>
      <c r="H1185" t="s">
        <v>4932</v>
      </c>
      <c r="I1185">
        <v>0</v>
      </c>
      <c r="J1185" t="s">
        <v>97</v>
      </c>
      <c r="K1185">
        <v>0</v>
      </c>
      <c r="L1185">
        <v>0</v>
      </c>
      <c r="M1185" t="s">
        <v>11</v>
      </c>
    </row>
    <row r="1186" spans="1:13">
      <c r="A1186" s="93">
        <v>142461</v>
      </c>
      <c r="B1186" t="s">
        <v>1743</v>
      </c>
      <c r="C1186" t="s">
        <v>4920</v>
      </c>
      <c r="D1186" s="92">
        <v>0.62</v>
      </c>
      <c r="E1186" s="92">
        <v>0.46</v>
      </c>
      <c r="F1186">
        <v>970</v>
      </c>
      <c r="G1186">
        <v>1100</v>
      </c>
      <c r="H1186" t="s">
        <v>4930</v>
      </c>
      <c r="I1186">
        <v>0</v>
      </c>
      <c r="J1186" t="s">
        <v>97</v>
      </c>
      <c r="K1186">
        <v>0</v>
      </c>
      <c r="L1186">
        <v>0</v>
      </c>
      <c r="M1186" t="s">
        <v>11</v>
      </c>
    </row>
    <row r="1187" spans="1:13">
      <c r="A1187" s="93">
        <v>142559</v>
      </c>
      <c r="B1187" t="s">
        <v>1744</v>
      </c>
      <c r="C1187" t="s">
        <v>4923</v>
      </c>
      <c r="D1187" s="92" t="s">
        <v>446</v>
      </c>
      <c r="E1187" s="92" t="s">
        <v>446</v>
      </c>
      <c r="F1187" t="s">
        <v>446</v>
      </c>
      <c r="G1187" t="s">
        <v>446</v>
      </c>
      <c r="H1187" t="s">
        <v>4932</v>
      </c>
      <c r="I1187">
        <v>0</v>
      </c>
      <c r="J1187" t="s">
        <v>97</v>
      </c>
      <c r="K1187">
        <v>0</v>
      </c>
      <c r="L1187">
        <v>0</v>
      </c>
      <c r="M1187" t="s">
        <v>11</v>
      </c>
    </row>
    <row r="1188" spans="1:13">
      <c r="A1188" s="93">
        <v>142957</v>
      </c>
      <c r="B1188" t="s">
        <v>1745</v>
      </c>
      <c r="C1188" t="s">
        <v>4924</v>
      </c>
      <c r="D1188" s="92">
        <v>0.5</v>
      </c>
      <c r="E1188" s="92" t="s">
        <v>446</v>
      </c>
      <c r="F1188" t="s">
        <v>446</v>
      </c>
      <c r="G1188" t="s">
        <v>446</v>
      </c>
      <c r="H1188" t="s">
        <v>4932</v>
      </c>
      <c r="I1188">
        <v>0</v>
      </c>
      <c r="J1188" t="s">
        <v>97</v>
      </c>
      <c r="K1188">
        <v>0</v>
      </c>
      <c r="L1188">
        <v>1</v>
      </c>
      <c r="M1188" t="s">
        <v>4935</v>
      </c>
    </row>
    <row r="1189" spans="1:13">
      <c r="A1189" s="93">
        <v>143233</v>
      </c>
      <c r="B1189" t="s">
        <v>1746</v>
      </c>
      <c r="C1189" t="s">
        <v>4924</v>
      </c>
      <c r="D1189" s="92" t="s">
        <v>446</v>
      </c>
      <c r="E1189" s="92" t="s">
        <v>446</v>
      </c>
      <c r="F1189" t="s">
        <v>446</v>
      </c>
      <c r="G1189" t="s">
        <v>446</v>
      </c>
      <c r="H1189" t="s">
        <v>4932</v>
      </c>
      <c r="I1189">
        <v>0</v>
      </c>
      <c r="J1189" t="s">
        <v>97</v>
      </c>
      <c r="K1189">
        <v>0</v>
      </c>
      <c r="L1189">
        <v>0</v>
      </c>
      <c r="M1189" t="s">
        <v>11</v>
      </c>
    </row>
    <row r="1190" spans="1:13">
      <c r="A1190" s="93">
        <v>143279</v>
      </c>
      <c r="B1190" t="s">
        <v>1747</v>
      </c>
      <c r="C1190" t="s">
        <v>4919</v>
      </c>
      <c r="D1190" s="92">
        <v>0.44</v>
      </c>
      <c r="E1190" s="92">
        <v>0.37</v>
      </c>
      <c r="F1190" t="s">
        <v>446</v>
      </c>
      <c r="G1190" t="s">
        <v>446</v>
      </c>
      <c r="H1190" t="s">
        <v>4931</v>
      </c>
      <c r="I1190">
        <v>0</v>
      </c>
      <c r="J1190" t="s">
        <v>97</v>
      </c>
      <c r="K1190">
        <v>1</v>
      </c>
      <c r="L1190">
        <v>0</v>
      </c>
      <c r="M1190" t="s">
        <v>11</v>
      </c>
    </row>
    <row r="1191" spans="1:13">
      <c r="A1191" s="93">
        <v>143297</v>
      </c>
      <c r="B1191" t="s">
        <v>1748</v>
      </c>
      <c r="C1191" t="s">
        <v>4924</v>
      </c>
      <c r="D1191" s="92" t="s">
        <v>446</v>
      </c>
      <c r="E1191" s="92" t="s">
        <v>446</v>
      </c>
      <c r="F1191" t="s">
        <v>446</v>
      </c>
      <c r="G1191" t="s">
        <v>446</v>
      </c>
      <c r="H1191" t="s">
        <v>4932</v>
      </c>
      <c r="I1191">
        <v>0</v>
      </c>
      <c r="J1191" t="s">
        <v>97</v>
      </c>
      <c r="K1191">
        <v>0</v>
      </c>
      <c r="L1191">
        <v>0</v>
      </c>
      <c r="M1191" t="s">
        <v>11</v>
      </c>
    </row>
    <row r="1192" spans="1:13">
      <c r="A1192" s="93">
        <v>143303</v>
      </c>
      <c r="B1192" t="s">
        <v>1749</v>
      </c>
      <c r="C1192" t="s">
        <v>4919</v>
      </c>
      <c r="D1192" s="92" t="s">
        <v>446</v>
      </c>
      <c r="E1192" s="92" t="s">
        <v>446</v>
      </c>
      <c r="F1192" t="s">
        <v>446</v>
      </c>
      <c r="G1192" t="s">
        <v>446</v>
      </c>
      <c r="H1192" t="s">
        <v>4932</v>
      </c>
      <c r="I1192">
        <v>0</v>
      </c>
      <c r="J1192" t="s">
        <v>97</v>
      </c>
      <c r="K1192">
        <v>0</v>
      </c>
      <c r="L1192">
        <v>0</v>
      </c>
      <c r="M1192" t="s">
        <v>11</v>
      </c>
    </row>
    <row r="1193" spans="1:13">
      <c r="A1193" s="93">
        <v>143659</v>
      </c>
      <c r="B1193" t="s">
        <v>1750</v>
      </c>
      <c r="C1193" t="s">
        <v>4924</v>
      </c>
      <c r="D1193" s="92" t="s">
        <v>446</v>
      </c>
      <c r="E1193" s="92" t="s">
        <v>446</v>
      </c>
      <c r="F1193" t="s">
        <v>446</v>
      </c>
      <c r="G1193" t="s">
        <v>446</v>
      </c>
      <c r="H1193" t="s">
        <v>4932</v>
      </c>
      <c r="I1193">
        <v>0</v>
      </c>
      <c r="J1193" t="s">
        <v>97</v>
      </c>
      <c r="K1193">
        <v>0</v>
      </c>
      <c r="L1193">
        <v>1</v>
      </c>
      <c r="M1193" t="s">
        <v>4935</v>
      </c>
    </row>
    <row r="1194" spans="1:13">
      <c r="A1194" s="93">
        <v>143853</v>
      </c>
      <c r="B1194" t="s">
        <v>1751</v>
      </c>
      <c r="C1194" t="s">
        <v>4924</v>
      </c>
      <c r="D1194" s="92" t="s">
        <v>446</v>
      </c>
      <c r="E1194" s="92" t="s">
        <v>446</v>
      </c>
      <c r="F1194" t="s">
        <v>446</v>
      </c>
      <c r="G1194" t="s">
        <v>446</v>
      </c>
      <c r="H1194" t="s">
        <v>4932</v>
      </c>
      <c r="I1194">
        <v>0</v>
      </c>
      <c r="J1194" t="s">
        <v>97</v>
      </c>
      <c r="K1194">
        <v>0</v>
      </c>
      <c r="L1194">
        <v>1</v>
      </c>
      <c r="M1194" t="s">
        <v>4935</v>
      </c>
    </row>
    <row r="1195" spans="1:13">
      <c r="A1195" s="93">
        <v>144014</v>
      </c>
      <c r="B1195" t="s">
        <v>1752</v>
      </c>
      <c r="C1195" t="s">
        <v>4924</v>
      </c>
      <c r="D1195" s="92" t="s">
        <v>446</v>
      </c>
      <c r="E1195" s="92" t="s">
        <v>446</v>
      </c>
      <c r="F1195" t="s">
        <v>446</v>
      </c>
      <c r="G1195" t="s">
        <v>446</v>
      </c>
      <c r="H1195" t="s">
        <v>4932</v>
      </c>
      <c r="I1195">
        <v>0</v>
      </c>
      <c r="J1195" t="s">
        <v>97</v>
      </c>
      <c r="K1195">
        <v>0</v>
      </c>
      <c r="L1195">
        <v>1</v>
      </c>
      <c r="M1195" t="s">
        <v>4935</v>
      </c>
    </row>
    <row r="1196" spans="1:13">
      <c r="A1196" s="93">
        <v>144564</v>
      </c>
      <c r="B1196" t="s">
        <v>1753</v>
      </c>
      <c r="C1196" t="s">
        <v>4919</v>
      </c>
      <c r="D1196" s="92">
        <v>0.51</v>
      </c>
      <c r="E1196" s="92">
        <v>0.36</v>
      </c>
      <c r="F1196" t="s">
        <v>446</v>
      </c>
      <c r="G1196" t="s">
        <v>446</v>
      </c>
      <c r="H1196" t="s">
        <v>4927</v>
      </c>
      <c r="I1196">
        <v>1</v>
      </c>
      <c r="J1196" t="s">
        <v>97</v>
      </c>
      <c r="K1196">
        <v>1</v>
      </c>
      <c r="L1196">
        <v>0</v>
      </c>
      <c r="M1196" t="s">
        <v>11</v>
      </c>
    </row>
    <row r="1197" spans="1:13">
      <c r="A1197" s="93">
        <v>145275</v>
      </c>
      <c r="B1197" t="s">
        <v>1754</v>
      </c>
      <c r="C1197" t="s">
        <v>4924</v>
      </c>
      <c r="D1197" s="92" t="s">
        <v>446</v>
      </c>
      <c r="E1197" s="92" t="s">
        <v>446</v>
      </c>
      <c r="F1197" t="s">
        <v>446</v>
      </c>
      <c r="G1197" t="s">
        <v>446</v>
      </c>
      <c r="H1197" t="s">
        <v>4932</v>
      </c>
      <c r="I1197">
        <v>0</v>
      </c>
      <c r="J1197" t="s">
        <v>97</v>
      </c>
      <c r="K1197">
        <v>0</v>
      </c>
      <c r="L1197">
        <v>1</v>
      </c>
      <c r="M1197" t="s">
        <v>4935</v>
      </c>
    </row>
    <row r="1198" spans="1:13">
      <c r="A1198" s="93">
        <v>145354</v>
      </c>
      <c r="B1198" t="s">
        <v>1755</v>
      </c>
      <c r="C1198" t="s">
        <v>4919</v>
      </c>
      <c r="D1198" s="92" t="s">
        <v>446</v>
      </c>
      <c r="E1198" s="92" t="s">
        <v>446</v>
      </c>
      <c r="F1198" t="s">
        <v>446</v>
      </c>
      <c r="G1198" t="s">
        <v>446</v>
      </c>
      <c r="H1198" t="s">
        <v>4931</v>
      </c>
      <c r="I1198">
        <v>0</v>
      </c>
      <c r="J1198" t="s">
        <v>97</v>
      </c>
      <c r="K1198">
        <v>0</v>
      </c>
      <c r="L1198">
        <v>0</v>
      </c>
      <c r="M1198" t="s">
        <v>11</v>
      </c>
    </row>
    <row r="1199" spans="1:13">
      <c r="A1199" s="93">
        <v>145497</v>
      </c>
      <c r="B1199" t="s">
        <v>1756</v>
      </c>
      <c r="C1199" t="s">
        <v>4924</v>
      </c>
      <c r="D1199" s="92">
        <v>0.06</v>
      </c>
      <c r="E1199" s="92">
        <v>1</v>
      </c>
      <c r="F1199" t="s">
        <v>446</v>
      </c>
      <c r="G1199" t="s">
        <v>446</v>
      </c>
      <c r="H1199" t="s">
        <v>4932</v>
      </c>
      <c r="I1199">
        <v>0</v>
      </c>
      <c r="J1199" t="s">
        <v>97</v>
      </c>
      <c r="K1199">
        <v>0</v>
      </c>
      <c r="L1199">
        <v>1</v>
      </c>
      <c r="M1199" t="s">
        <v>4935</v>
      </c>
    </row>
    <row r="1200" spans="1:13">
      <c r="A1200" s="93">
        <v>145521</v>
      </c>
      <c r="B1200" t="s">
        <v>1757</v>
      </c>
      <c r="C1200" t="s">
        <v>4919</v>
      </c>
      <c r="D1200" s="92">
        <v>0.43</v>
      </c>
      <c r="E1200" s="92">
        <v>0.19</v>
      </c>
      <c r="F1200" t="s">
        <v>446</v>
      </c>
      <c r="G1200" t="s">
        <v>446</v>
      </c>
      <c r="H1200" t="s">
        <v>4931</v>
      </c>
      <c r="I1200">
        <v>0</v>
      </c>
      <c r="J1200" t="s">
        <v>97</v>
      </c>
      <c r="K1200">
        <v>1</v>
      </c>
      <c r="L1200">
        <v>0</v>
      </c>
      <c r="M1200" t="s">
        <v>11</v>
      </c>
    </row>
    <row r="1201" spans="1:13">
      <c r="A1201" s="93">
        <v>145628</v>
      </c>
      <c r="B1201" t="s">
        <v>1758</v>
      </c>
      <c r="C1201" t="s">
        <v>4924</v>
      </c>
      <c r="D1201" s="92" t="s">
        <v>446</v>
      </c>
      <c r="E1201" s="92" t="s">
        <v>446</v>
      </c>
      <c r="F1201" t="s">
        <v>446</v>
      </c>
      <c r="G1201" t="s">
        <v>446</v>
      </c>
      <c r="H1201" t="s">
        <v>4932</v>
      </c>
      <c r="I1201">
        <v>0</v>
      </c>
      <c r="J1201" t="s">
        <v>97</v>
      </c>
      <c r="K1201">
        <v>0</v>
      </c>
      <c r="L1201">
        <v>1</v>
      </c>
      <c r="M1201" t="s">
        <v>4935</v>
      </c>
    </row>
    <row r="1202" spans="1:13">
      <c r="A1202" s="93">
        <v>145707</v>
      </c>
      <c r="B1202" t="s">
        <v>1759</v>
      </c>
      <c r="C1202" t="s">
        <v>4919</v>
      </c>
      <c r="D1202" s="92">
        <v>0.7</v>
      </c>
      <c r="E1202" s="92">
        <v>0.55</v>
      </c>
      <c r="F1202" t="s">
        <v>446</v>
      </c>
      <c r="G1202" t="s">
        <v>446</v>
      </c>
      <c r="H1202" t="s">
        <v>4928</v>
      </c>
      <c r="I1202">
        <v>1</v>
      </c>
      <c r="J1202" t="s">
        <v>97</v>
      </c>
      <c r="K1202">
        <v>1</v>
      </c>
      <c r="L1202">
        <v>0</v>
      </c>
      <c r="M1202" t="s">
        <v>11</v>
      </c>
    </row>
    <row r="1203" spans="1:13">
      <c r="A1203" s="93">
        <v>145831</v>
      </c>
      <c r="B1203" t="s">
        <v>1760</v>
      </c>
      <c r="C1203" t="s">
        <v>4919</v>
      </c>
      <c r="D1203" s="92">
        <v>0.47</v>
      </c>
      <c r="E1203" s="92">
        <v>0.36</v>
      </c>
      <c r="F1203" t="s">
        <v>446</v>
      </c>
      <c r="G1203" t="s">
        <v>446</v>
      </c>
      <c r="H1203" t="s">
        <v>4927</v>
      </c>
      <c r="I1203">
        <v>1</v>
      </c>
      <c r="J1203" t="s">
        <v>97</v>
      </c>
      <c r="K1203">
        <v>1</v>
      </c>
      <c r="L1203">
        <v>0</v>
      </c>
      <c r="M1203" t="s">
        <v>11</v>
      </c>
    </row>
    <row r="1204" spans="1:13">
      <c r="A1204" s="93">
        <v>145886</v>
      </c>
      <c r="B1204" t="s">
        <v>1761</v>
      </c>
      <c r="C1204" t="s">
        <v>4924</v>
      </c>
      <c r="D1204" s="92" t="s">
        <v>446</v>
      </c>
      <c r="E1204" s="92" t="s">
        <v>446</v>
      </c>
      <c r="F1204" t="s">
        <v>446</v>
      </c>
      <c r="G1204" t="s">
        <v>446</v>
      </c>
      <c r="H1204" t="s">
        <v>4932</v>
      </c>
      <c r="I1204">
        <v>0</v>
      </c>
      <c r="J1204" t="s">
        <v>97</v>
      </c>
      <c r="K1204">
        <v>0</v>
      </c>
      <c r="L1204">
        <v>1</v>
      </c>
      <c r="M1204" t="s">
        <v>4935</v>
      </c>
    </row>
    <row r="1205" spans="1:13">
      <c r="A1205" s="93">
        <v>146278</v>
      </c>
      <c r="B1205" t="s">
        <v>1762</v>
      </c>
      <c r="C1205" t="s">
        <v>4919</v>
      </c>
      <c r="D1205" s="92">
        <v>0.51</v>
      </c>
      <c r="E1205" s="92">
        <v>0.44</v>
      </c>
      <c r="F1205" t="s">
        <v>446</v>
      </c>
      <c r="G1205" t="s">
        <v>446</v>
      </c>
      <c r="H1205" t="s">
        <v>4928</v>
      </c>
      <c r="I1205">
        <v>1</v>
      </c>
      <c r="J1205" t="s">
        <v>97</v>
      </c>
      <c r="K1205">
        <v>1</v>
      </c>
      <c r="L1205">
        <v>0</v>
      </c>
      <c r="M1205" t="s">
        <v>11</v>
      </c>
    </row>
    <row r="1206" spans="1:13">
      <c r="A1206" s="93">
        <v>146348</v>
      </c>
      <c r="B1206" t="s">
        <v>1763</v>
      </c>
      <c r="C1206" t="s">
        <v>4919</v>
      </c>
      <c r="D1206" s="92">
        <v>0.42</v>
      </c>
      <c r="E1206" s="92">
        <v>0.32</v>
      </c>
      <c r="F1206" t="s">
        <v>446</v>
      </c>
      <c r="G1206" t="s">
        <v>446</v>
      </c>
      <c r="H1206" t="s">
        <v>4931</v>
      </c>
      <c r="I1206">
        <v>0</v>
      </c>
      <c r="J1206" t="s">
        <v>97</v>
      </c>
      <c r="K1206">
        <v>1</v>
      </c>
      <c r="L1206">
        <v>1</v>
      </c>
      <c r="M1206" t="s">
        <v>4935</v>
      </c>
    </row>
    <row r="1207" spans="1:13">
      <c r="A1207" s="93">
        <v>146366</v>
      </c>
      <c r="B1207" t="s">
        <v>1764</v>
      </c>
      <c r="C1207" t="s">
        <v>4919</v>
      </c>
      <c r="D1207" s="92">
        <v>0.4</v>
      </c>
      <c r="E1207" s="92">
        <v>0.31</v>
      </c>
      <c r="F1207" t="s">
        <v>446</v>
      </c>
      <c r="G1207" t="s">
        <v>446</v>
      </c>
      <c r="H1207" t="s">
        <v>4928</v>
      </c>
      <c r="I1207">
        <v>1</v>
      </c>
      <c r="J1207" t="s">
        <v>97</v>
      </c>
      <c r="K1207">
        <v>1</v>
      </c>
      <c r="L1207">
        <v>0</v>
      </c>
      <c r="M1207" t="s">
        <v>11</v>
      </c>
    </row>
    <row r="1208" spans="1:13">
      <c r="A1208" s="93">
        <v>146490</v>
      </c>
      <c r="B1208" t="s">
        <v>1765</v>
      </c>
      <c r="C1208" t="s">
        <v>4924</v>
      </c>
      <c r="D1208" s="92" t="s">
        <v>446</v>
      </c>
      <c r="E1208" s="92" t="s">
        <v>446</v>
      </c>
      <c r="F1208" t="s">
        <v>446</v>
      </c>
      <c r="G1208" t="s">
        <v>446</v>
      </c>
      <c r="H1208" t="s">
        <v>4932</v>
      </c>
      <c r="I1208">
        <v>0</v>
      </c>
      <c r="J1208" t="s">
        <v>97</v>
      </c>
      <c r="K1208">
        <v>0</v>
      </c>
      <c r="L1208">
        <v>1</v>
      </c>
      <c r="M1208" t="s">
        <v>4935</v>
      </c>
    </row>
    <row r="1209" spans="1:13">
      <c r="A1209" s="93">
        <v>146533</v>
      </c>
      <c r="B1209" t="s">
        <v>1766</v>
      </c>
      <c r="C1209" t="s">
        <v>4924</v>
      </c>
      <c r="D1209" s="92" t="s">
        <v>446</v>
      </c>
      <c r="E1209" s="92" t="s">
        <v>446</v>
      </c>
      <c r="F1209" t="s">
        <v>446</v>
      </c>
      <c r="G1209" t="s">
        <v>446</v>
      </c>
      <c r="H1209" t="s">
        <v>4932</v>
      </c>
      <c r="I1209">
        <v>0</v>
      </c>
      <c r="J1209" t="s">
        <v>97</v>
      </c>
      <c r="K1209">
        <v>0</v>
      </c>
      <c r="L1209">
        <v>0</v>
      </c>
      <c r="M1209" t="s">
        <v>11</v>
      </c>
    </row>
    <row r="1210" spans="1:13">
      <c r="A1210" s="93">
        <v>146603</v>
      </c>
      <c r="B1210" t="s">
        <v>1767</v>
      </c>
      <c r="C1210" t="s">
        <v>4919</v>
      </c>
      <c r="D1210" s="92">
        <v>0.54</v>
      </c>
      <c r="E1210" s="92">
        <v>0.44</v>
      </c>
      <c r="F1210" t="s">
        <v>446</v>
      </c>
      <c r="G1210" t="s">
        <v>446</v>
      </c>
      <c r="H1210" t="s">
        <v>4931</v>
      </c>
      <c r="I1210">
        <v>0</v>
      </c>
      <c r="J1210" t="s">
        <v>97</v>
      </c>
      <c r="K1210">
        <v>1</v>
      </c>
      <c r="L1210">
        <v>0</v>
      </c>
      <c r="M1210" t="s">
        <v>11</v>
      </c>
    </row>
    <row r="1211" spans="1:13">
      <c r="A1211" s="93">
        <v>146667</v>
      </c>
      <c r="B1211" t="s">
        <v>1768</v>
      </c>
      <c r="C1211" t="s">
        <v>4923</v>
      </c>
      <c r="D1211" s="92">
        <v>0.45</v>
      </c>
      <c r="E1211" s="92">
        <v>0.24</v>
      </c>
      <c r="F1211" t="s">
        <v>446</v>
      </c>
      <c r="G1211" t="s">
        <v>446</v>
      </c>
      <c r="H1211" t="s">
        <v>4931</v>
      </c>
      <c r="I1211">
        <v>0</v>
      </c>
      <c r="J1211" t="s">
        <v>97</v>
      </c>
      <c r="K1211">
        <v>0</v>
      </c>
      <c r="L1211">
        <v>0</v>
      </c>
      <c r="M1211" t="s">
        <v>11</v>
      </c>
    </row>
    <row r="1212" spans="1:13">
      <c r="A1212" s="93">
        <v>146728</v>
      </c>
      <c r="B1212" t="s">
        <v>1769</v>
      </c>
      <c r="C1212" t="s">
        <v>4924</v>
      </c>
      <c r="D1212" s="92" t="s">
        <v>446</v>
      </c>
      <c r="E1212" s="92" t="s">
        <v>446</v>
      </c>
      <c r="F1212" t="s">
        <v>446</v>
      </c>
      <c r="G1212" t="s">
        <v>446</v>
      </c>
      <c r="H1212" t="s">
        <v>4932</v>
      </c>
      <c r="I1212">
        <v>0</v>
      </c>
      <c r="J1212" t="s">
        <v>97</v>
      </c>
      <c r="K1212">
        <v>0</v>
      </c>
      <c r="L1212">
        <v>1</v>
      </c>
      <c r="M1212" t="s">
        <v>4935</v>
      </c>
    </row>
    <row r="1213" spans="1:13">
      <c r="A1213" s="93">
        <v>146755</v>
      </c>
      <c r="B1213" t="s">
        <v>1770</v>
      </c>
      <c r="C1213" t="s">
        <v>4926</v>
      </c>
      <c r="D1213" s="92" t="s">
        <v>446</v>
      </c>
      <c r="E1213" s="92" t="s">
        <v>446</v>
      </c>
      <c r="F1213" t="s">
        <v>446</v>
      </c>
      <c r="G1213" t="s">
        <v>446</v>
      </c>
      <c r="H1213" t="s">
        <v>4932</v>
      </c>
      <c r="I1213">
        <v>0</v>
      </c>
      <c r="J1213" t="s">
        <v>97</v>
      </c>
      <c r="K1213">
        <v>0</v>
      </c>
      <c r="L1213">
        <v>0</v>
      </c>
      <c r="M1213" t="s">
        <v>11</v>
      </c>
    </row>
    <row r="1214" spans="1:13">
      <c r="A1214" s="93">
        <v>146977</v>
      </c>
      <c r="B1214" t="s">
        <v>1771</v>
      </c>
      <c r="C1214" t="s">
        <v>4924</v>
      </c>
      <c r="D1214" s="92" t="s">
        <v>446</v>
      </c>
      <c r="E1214" s="92" t="s">
        <v>446</v>
      </c>
      <c r="F1214" t="s">
        <v>446</v>
      </c>
      <c r="G1214" t="s">
        <v>446</v>
      </c>
      <c r="H1214" t="s">
        <v>4932</v>
      </c>
      <c r="I1214">
        <v>0</v>
      </c>
      <c r="J1214" t="s">
        <v>97</v>
      </c>
      <c r="K1214">
        <v>0</v>
      </c>
      <c r="L1214">
        <v>1</v>
      </c>
      <c r="M1214" t="s">
        <v>4935</v>
      </c>
    </row>
    <row r="1215" spans="1:13">
      <c r="A1215" s="93">
        <v>147031</v>
      </c>
      <c r="B1215" t="s">
        <v>1772</v>
      </c>
      <c r="C1215" t="s">
        <v>4924</v>
      </c>
      <c r="D1215" s="92" t="s">
        <v>446</v>
      </c>
      <c r="E1215" s="92" t="s">
        <v>446</v>
      </c>
      <c r="F1215" t="s">
        <v>446</v>
      </c>
      <c r="G1215" t="s">
        <v>446</v>
      </c>
      <c r="H1215" t="s">
        <v>4932</v>
      </c>
      <c r="I1215">
        <v>0</v>
      </c>
      <c r="J1215" t="s">
        <v>97</v>
      </c>
      <c r="K1215">
        <v>0</v>
      </c>
      <c r="L1215">
        <v>1</v>
      </c>
      <c r="M1215" t="s">
        <v>4935</v>
      </c>
    </row>
    <row r="1216" spans="1:13">
      <c r="A1216" s="93">
        <v>147396</v>
      </c>
      <c r="B1216" t="s">
        <v>1773</v>
      </c>
      <c r="C1216" t="s">
        <v>4919</v>
      </c>
      <c r="D1216" s="92" t="s">
        <v>446</v>
      </c>
      <c r="E1216" s="92" t="s">
        <v>446</v>
      </c>
      <c r="F1216" t="s">
        <v>446</v>
      </c>
      <c r="G1216" t="s">
        <v>446</v>
      </c>
      <c r="H1216" t="s">
        <v>4931</v>
      </c>
      <c r="I1216">
        <v>0</v>
      </c>
      <c r="J1216" t="s">
        <v>97</v>
      </c>
      <c r="K1216">
        <v>0</v>
      </c>
      <c r="L1216">
        <v>0</v>
      </c>
      <c r="M1216" t="s">
        <v>11</v>
      </c>
    </row>
    <row r="1217" spans="1:13">
      <c r="A1217" s="93">
        <v>147590</v>
      </c>
      <c r="B1217" t="s">
        <v>1774</v>
      </c>
      <c r="C1217" t="s">
        <v>4924</v>
      </c>
      <c r="D1217" s="92">
        <v>0.25</v>
      </c>
      <c r="E1217" s="92">
        <v>0.25</v>
      </c>
      <c r="F1217" t="s">
        <v>446</v>
      </c>
      <c r="G1217" t="s">
        <v>446</v>
      </c>
      <c r="H1217" t="s">
        <v>4932</v>
      </c>
      <c r="I1217">
        <v>0</v>
      </c>
      <c r="J1217" t="s">
        <v>97</v>
      </c>
      <c r="K1217">
        <v>0</v>
      </c>
      <c r="L1217">
        <v>1</v>
      </c>
      <c r="M1217" t="s">
        <v>4935</v>
      </c>
    </row>
    <row r="1218" spans="1:13">
      <c r="A1218" s="93">
        <v>147697</v>
      </c>
      <c r="B1218" t="s">
        <v>1775</v>
      </c>
      <c r="C1218" t="s">
        <v>4924</v>
      </c>
      <c r="D1218" s="92" t="s">
        <v>446</v>
      </c>
      <c r="E1218" s="92" t="s">
        <v>446</v>
      </c>
      <c r="F1218" t="s">
        <v>446</v>
      </c>
      <c r="G1218" t="s">
        <v>446</v>
      </c>
      <c r="H1218" t="s">
        <v>4932</v>
      </c>
      <c r="I1218">
        <v>0</v>
      </c>
      <c r="J1218" t="s">
        <v>97</v>
      </c>
      <c r="K1218">
        <v>0</v>
      </c>
      <c r="L1218">
        <v>0</v>
      </c>
      <c r="M1218" t="s">
        <v>11</v>
      </c>
    </row>
    <row r="1219" spans="1:13">
      <c r="A1219" s="93">
        <v>148016</v>
      </c>
      <c r="B1219" t="s">
        <v>1776</v>
      </c>
      <c r="C1219" t="s">
        <v>4920</v>
      </c>
      <c r="D1219" s="92">
        <v>0.79</v>
      </c>
      <c r="E1219" s="92">
        <v>0.65</v>
      </c>
      <c r="F1219">
        <v>1030</v>
      </c>
      <c r="G1219">
        <v>1110</v>
      </c>
      <c r="H1219" t="s">
        <v>4932</v>
      </c>
      <c r="I1219">
        <v>0</v>
      </c>
      <c r="J1219" t="s">
        <v>97</v>
      </c>
      <c r="K1219">
        <v>0</v>
      </c>
      <c r="L1219">
        <v>0</v>
      </c>
      <c r="M1219" t="s">
        <v>11</v>
      </c>
    </row>
    <row r="1220" spans="1:13">
      <c r="A1220" s="93">
        <v>148256</v>
      </c>
      <c r="B1220" t="s">
        <v>1777</v>
      </c>
      <c r="C1220" t="s">
        <v>4919</v>
      </c>
      <c r="D1220" s="92">
        <v>0.63</v>
      </c>
      <c r="E1220" s="92">
        <v>0.42</v>
      </c>
      <c r="F1220" t="s">
        <v>446</v>
      </c>
      <c r="G1220" t="s">
        <v>446</v>
      </c>
      <c r="H1220" t="s">
        <v>4928</v>
      </c>
      <c r="I1220">
        <v>1</v>
      </c>
      <c r="J1220" t="s">
        <v>97</v>
      </c>
      <c r="K1220">
        <v>1</v>
      </c>
      <c r="L1220">
        <v>0</v>
      </c>
      <c r="M1220" t="s">
        <v>11</v>
      </c>
    </row>
    <row r="1221" spans="1:13">
      <c r="A1221" s="93">
        <v>148292</v>
      </c>
      <c r="B1221" t="s">
        <v>1778</v>
      </c>
      <c r="C1221" t="s">
        <v>4919</v>
      </c>
      <c r="D1221" s="92">
        <v>0.5</v>
      </c>
      <c r="E1221" s="92">
        <v>0.3</v>
      </c>
      <c r="F1221" t="s">
        <v>446</v>
      </c>
      <c r="G1221" t="s">
        <v>446</v>
      </c>
      <c r="H1221" t="s">
        <v>4927</v>
      </c>
      <c r="I1221">
        <v>1</v>
      </c>
      <c r="J1221" t="s">
        <v>97</v>
      </c>
      <c r="K1221">
        <v>1</v>
      </c>
      <c r="L1221">
        <v>0</v>
      </c>
      <c r="M1221" t="s">
        <v>11</v>
      </c>
    </row>
    <row r="1222" spans="1:13">
      <c r="A1222" s="93">
        <v>148575</v>
      </c>
      <c r="B1222" t="s">
        <v>1779</v>
      </c>
      <c r="C1222" t="s">
        <v>4924</v>
      </c>
      <c r="D1222" s="92" t="s">
        <v>446</v>
      </c>
      <c r="E1222" s="92" t="s">
        <v>446</v>
      </c>
      <c r="F1222" t="s">
        <v>446</v>
      </c>
      <c r="G1222" t="s">
        <v>446</v>
      </c>
      <c r="H1222" t="s">
        <v>4932</v>
      </c>
      <c r="I1222">
        <v>0</v>
      </c>
      <c r="J1222" t="s">
        <v>97</v>
      </c>
      <c r="K1222">
        <v>0</v>
      </c>
      <c r="L1222">
        <v>0</v>
      </c>
      <c r="M1222" t="s">
        <v>11</v>
      </c>
    </row>
    <row r="1223" spans="1:13">
      <c r="A1223" s="93">
        <v>148593</v>
      </c>
      <c r="B1223" t="s">
        <v>1780</v>
      </c>
      <c r="C1223" t="s">
        <v>4924</v>
      </c>
      <c r="D1223" s="92" t="s">
        <v>446</v>
      </c>
      <c r="E1223" s="92" t="s">
        <v>446</v>
      </c>
      <c r="F1223" t="s">
        <v>446</v>
      </c>
      <c r="G1223" t="s">
        <v>446</v>
      </c>
      <c r="H1223" t="s">
        <v>4932</v>
      </c>
      <c r="I1223">
        <v>0</v>
      </c>
      <c r="J1223" t="s">
        <v>97</v>
      </c>
      <c r="K1223">
        <v>0</v>
      </c>
      <c r="L1223">
        <v>0</v>
      </c>
      <c r="M1223" t="s">
        <v>11</v>
      </c>
    </row>
    <row r="1224" spans="1:13">
      <c r="A1224" s="93">
        <v>148672</v>
      </c>
      <c r="B1224" t="s">
        <v>1781</v>
      </c>
      <c r="C1224" t="s">
        <v>4919</v>
      </c>
      <c r="D1224" s="92">
        <v>0.54</v>
      </c>
      <c r="E1224" s="92">
        <v>0.49</v>
      </c>
      <c r="F1224" t="s">
        <v>446</v>
      </c>
      <c r="G1224" t="s">
        <v>446</v>
      </c>
      <c r="H1224" t="s">
        <v>4928</v>
      </c>
      <c r="I1224">
        <v>1</v>
      </c>
      <c r="J1224" t="s">
        <v>97</v>
      </c>
      <c r="K1224">
        <v>1</v>
      </c>
      <c r="L1224">
        <v>0</v>
      </c>
      <c r="M1224" t="s">
        <v>11</v>
      </c>
    </row>
    <row r="1225" spans="1:13">
      <c r="A1225" s="93">
        <v>148821</v>
      </c>
      <c r="B1225" t="s">
        <v>1782</v>
      </c>
      <c r="C1225" t="s">
        <v>4919</v>
      </c>
      <c r="D1225" s="92">
        <v>0.52</v>
      </c>
      <c r="E1225" s="92">
        <v>0.46</v>
      </c>
      <c r="F1225" t="s">
        <v>446</v>
      </c>
      <c r="G1225" t="s">
        <v>446</v>
      </c>
      <c r="H1225" t="s">
        <v>4931</v>
      </c>
      <c r="I1225">
        <v>0</v>
      </c>
      <c r="J1225" t="s">
        <v>97</v>
      </c>
      <c r="K1225">
        <v>1</v>
      </c>
      <c r="L1225">
        <v>0</v>
      </c>
      <c r="M1225" t="s">
        <v>11</v>
      </c>
    </row>
    <row r="1226" spans="1:13">
      <c r="A1226" s="93">
        <v>148885</v>
      </c>
      <c r="B1226" t="s">
        <v>1783</v>
      </c>
      <c r="C1226" t="s">
        <v>4924</v>
      </c>
      <c r="D1226" s="92" t="s">
        <v>446</v>
      </c>
      <c r="E1226" s="92" t="s">
        <v>446</v>
      </c>
      <c r="F1226" t="s">
        <v>446</v>
      </c>
      <c r="G1226" t="s">
        <v>446</v>
      </c>
      <c r="H1226" t="s">
        <v>4932</v>
      </c>
      <c r="I1226">
        <v>0</v>
      </c>
      <c r="J1226" t="s">
        <v>97</v>
      </c>
      <c r="K1226">
        <v>0</v>
      </c>
      <c r="L1226">
        <v>1</v>
      </c>
      <c r="M1226" t="s">
        <v>4935</v>
      </c>
    </row>
    <row r="1227" spans="1:13">
      <c r="A1227" s="93">
        <v>148937</v>
      </c>
      <c r="B1227" t="s">
        <v>1784</v>
      </c>
      <c r="C1227" t="s">
        <v>4919</v>
      </c>
      <c r="D1227" s="92">
        <v>0.5</v>
      </c>
      <c r="E1227" s="92">
        <v>0.35</v>
      </c>
      <c r="F1227" t="s">
        <v>446</v>
      </c>
      <c r="G1227" t="s">
        <v>446</v>
      </c>
      <c r="H1227" t="s">
        <v>4927</v>
      </c>
      <c r="I1227">
        <v>1</v>
      </c>
      <c r="J1227" t="s">
        <v>97</v>
      </c>
      <c r="K1227">
        <v>1</v>
      </c>
      <c r="L1227">
        <v>0</v>
      </c>
      <c r="M1227" t="s">
        <v>11</v>
      </c>
    </row>
    <row r="1228" spans="1:13">
      <c r="A1228" s="93">
        <v>148982</v>
      </c>
      <c r="B1228" t="s">
        <v>1785</v>
      </c>
      <c r="C1228" t="s">
        <v>4924</v>
      </c>
      <c r="D1228" s="92" t="s">
        <v>446</v>
      </c>
      <c r="E1228" s="92" t="s">
        <v>446</v>
      </c>
      <c r="F1228" t="s">
        <v>446</v>
      </c>
      <c r="G1228" t="s">
        <v>446</v>
      </c>
      <c r="H1228" t="s">
        <v>4932</v>
      </c>
      <c r="I1228">
        <v>0</v>
      </c>
      <c r="J1228" t="s">
        <v>97</v>
      </c>
      <c r="K1228">
        <v>0</v>
      </c>
      <c r="L1228">
        <v>1</v>
      </c>
      <c r="M1228" t="s">
        <v>4935</v>
      </c>
    </row>
    <row r="1229" spans="1:13">
      <c r="A1229" s="93">
        <v>149028</v>
      </c>
      <c r="B1229" t="s">
        <v>1786</v>
      </c>
      <c r="C1229" t="s">
        <v>4924</v>
      </c>
      <c r="D1229" s="92">
        <v>1</v>
      </c>
      <c r="E1229" s="92" t="s">
        <v>446</v>
      </c>
      <c r="F1229" t="s">
        <v>446</v>
      </c>
      <c r="G1229" t="s">
        <v>446</v>
      </c>
      <c r="H1229" t="s">
        <v>4932</v>
      </c>
      <c r="I1229">
        <v>0</v>
      </c>
      <c r="J1229" t="s">
        <v>97</v>
      </c>
      <c r="K1229">
        <v>0</v>
      </c>
      <c r="L1229">
        <v>0</v>
      </c>
      <c r="M1229" t="s">
        <v>11</v>
      </c>
    </row>
    <row r="1230" spans="1:13">
      <c r="A1230" s="93">
        <v>149329</v>
      </c>
      <c r="B1230" t="s">
        <v>1787</v>
      </c>
      <c r="C1230" t="s">
        <v>4924</v>
      </c>
      <c r="D1230" s="92">
        <v>0.05</v>
      </c>
      <c r="E1230" s="92" t="s">
        <v>446</v>
      </c>
      <c r="F1230" t="s">
        <v>446</v>
      </c>
      <c r="G1230" t="s">
        <v>446</v>
      </c>
      <c r="H1230" t="s">
        <v>4931</v>
      </c>
      <c r="I1230">
        <v>0</v>
      </c>
      <c r="J1230" t="s">
        <v>97</v>
      </c>
      <c r="K1230">
        <v>0</v>
      </c>
      <c r="L1230">
        <v>1</v>
      </c>
      <c r="M1230" t="s">
        <v>4935</v>
      </c>
    </row>
    <row r="1231" spans="1:13">
      <c r="A1231" s="93">
        <v>149781</v>
      </c>
      <c r="B1231" t="s">
        <v>1788</v>
      </c>
      <c r="C1231" t="s">
        <v>4922</v>
      </c>
      <c r="D1231" s="92">
        <v>0.88</v>
      </c>
      <c r="E1231" s="92">
        <v>0.86</v>
      </c>
      <c r="F1231">
        <v>1250</v>
      </c>
      <c r="G1231">
        <v>1340</v>
      </c>
      <c r="H1231" t="s">
        <v>4930</v>
      </c>
      <c r="I1231">
        <v>0</v>
      </c>
      <c r="J1231" t="s">
        <v>97</v>
      </c>
      <c r="K1231">
        <v>0</v>
      </c>
      <c r="L1231">
        <v>1</v>
      </c>
      <c r="M1231" t="s">
        <v>4934</v>
      </c>
    </row>
    <row r="1232" spans="1:13">
      <c r="A1232" s="93">
        <v>150048</v>
      </c>
      <c r="B1232" t="s">
        <v>1789</v>
      </c>
      <c r="C1232" t="s">
        <v>4925</v>
      </c>
      <c r="D1232" s="92">
        <v>0.38</v>
      </c>
      <c r="E1232" s="92">
        <v>0.28</v>
      </c>
      <c r="F1232" t="s">
        <v>446</v>
      </c>
      <c r="G1232" t="s">
        <v>446</v>
      </c>
      <c r="H1232" t="s">
        <v>4932</v>
      </c>
      <c r="I1232">
        <v>0</v>
      </c>
      <c r="J1232" t="s">
        <v>97</v>
      </c>
      <c r="K1232">
        <v>0</v>
      </c>
      <c r="L1232">
        <v>0</v>
      </c>
      <c r="M1232" t="s">
        <v>11</v>
      </c>
    </row>
    <row r="1233" spans="1:13">
      <c r="A1233" s="93">
        <v>150066</v>
      </c>
      <c r="B1233" t="s">
        <v>1790</v>
      </c>
      <c r="C1233" t="s">
        <v>4920</v>
      </c>
      <c r="D1233" s="92">
        <v>0.62</v>
      </c>
      <c r="E1233" s="92">
        <v>0.33</v>
      </c>
      <c r="F1233">
        <v>960</v>
      </c>
      <c r="G1233">
        <v>1060</v>
      </c>
      <c r="H1233" t="s">
        <v>4930</v>
      </c>
      <c r="I1233">
        <v>0</v>
      </c>
      <c r="J1233" t="s">
        <v>97</v>
      </c>
      <c r="K1233">
        <v>0</v>
      </c>
      <c r="L1233">
        <v>0</v>
      </c>
      <c r="M1233" t="s">
        <v>11</v>
      </c>
    </row>
    <row r="1234" spans="1:13">
      <c r="A1234" s="93">
        <v>150145</v>
      </c>
      <c r="B1234" t="s">
        <v>1791</v>
      </c>
      <c r="C1234" t="s">
        <v>4920</v>
      </c>
      <c r="D1234" s="92">
        <v>0.64</v>
      </c>
      <c r="E1234" s="92">
        <v>0.4</v>
      </c>
      <c r="F1234" t="s">
        <v>446</v>
      </c>
      <c r="G1234" t="s">
        <v>446</v>
      </c>
      <c r="H1234" t="s">
        <v>4931</v>
      </c>
      <c r="I1234">
        <v>0</v>
      </c>
      <c r="J1234" t="s">
        <v>97</v>
      </c>
      <c r="K1234">
        <v>0</v>
      </c>
      <c r="L1234">
        <v>0</v>
      </c>
      <c r="M1234" t="s">
        <v>11</v>
      </c>
    </row>
    <row r="1235" spans="1:13">
      <c r="A1235" s="93">
        <v>150163</v>
      </c>
      <c r="B1235" t="s">
        <v>617</v>
      </c>
      <c r="C1235" t="s">
        <v>4916</v>
      </c>
      <c r="D1235" s="92">
        <v>0.82</v>
      </c>
      <c r="E1235" s="92">
        <v>0.79</v>
      </c>
      <c r="F1235">
        <v>1150</v>
      </c>
      <c r="G1235">
        <v>1245</v>
      </c>
      <c r="H1235" t="s">
        <v>4930</v>
      </c>
      <c r="I1235">
        <v>0</v>
      </c>
      <c r="J1235" t="s">
        <v>97</v>
      </c>
      <c r="K1235">
        <v>0</v>
      </c>
      <c r="L1235">
        <v>0</v>
      </c>
      <c r="M1235" t="s">
        <v>11</v>
      </c>
    </row>
    <row r="1236" spans="1:13">
      <c r="A1236" s="93">
        <v>150215</v>
      </c>
      <c r="B1236" t="s">
        <v>1792</v>
      </c>
      <c r="C1236" t="s">
        <v>4924</v>
      </c>
      <c r="D1236" s="92" t="s">
        <v>446</v>
      </c>
      <c r="E1236" s="92" t="s">
        <v>446</v>
      </c>
      <c r="F1236" t="s">
        <v>446</v>
      </c>
      <c r="G1236" t="s">
        <v>446</v>
      </c>
      <c r="H1236" t="s">
        <v>4932</v>
      </c>
      <c r="I1236">
        <v>0</v>
      </c>
      <c r="J1236" t="s">
        <v>97</v>
      </c>
      <c r="K1236">
        <v>0</v>
      </c>
      <c r="L1236">
        <v>0</v>
      </c>
      <c r="M1236" t="s">
        <v>11</v>
      </c>
    </row>
    <row r="1237" spans="1:13">
      <c r="A1237" s="93">
        <v>150251</v>
      </c>
      <c r="B1237" t="s">
        <v>1793</v>
      </c>
      <c r="C1237" t="s">
        <v>4919</v>
      </c>
      <c r="D1237" s="92" t="s">
        <v>446</v>
      </c>
      <c r="E1237" s="92" t="s">
        <v>446</v>
      </c>
      <c r="F1237" t="s">
        <v>446</v>
      </c>
      <c r="G1237" t="s">
        <v>446</v>
      </c>
      <c r="H1237" t="s">
        <v>4930</v>
      </c>
      <c r="I1237">
        <v>0</v>
      </c>
      <c r="J1237" t="s">
        <v>97</v>
      </c>
      <c r="K1237">
        <v>0</v>
      </c>
      <c r="L1237">
        <v>1</v>
      </c>
      <c r="M1237" t="s">
        <v>4935</v>
      </c>
    </row>
    <row r="1238" spans="1:13">
      <c r="A1238" s="93">
        <v>150288</v>
      </c>
      <c r="B1238" t="s">
        <v>1794</v>
      </c>
      <c r="C1238" t="s">
        <v>4924</v>
      </c>
      <c r="D1238" s="92" t="s">
        <v>446</v>
      </c>
      <c r="E1238" s="92" t="s">
        <v>446</v>
      </c>
      <c r="F1238" t="s">
        <v>446</v>
      </c>
      <c r="G1238" t="s">
        <v>446</v>
      </c>
      <c r="H1238" t="s">
        <v>4932</v>
      </c>
      <c r="I1238">
        <v>0</v>
      </c>
      <c r="J1238" t="s">
        <v>97</v>
      </c>
      <c r="K1238">
        <v>0</v>
      </c>
      <c r="L1238">
        <v>0</v>
      </c>
      <c r="M1238" t="s">
        <v>11</v>
      </c>
    </row>
    <row r="1239" spans="1:13">
      <c r="A1239" s="93">
        <v>150455</v>
      </c>
      <c r="B1239" t="s">
        <v>1795</v>
      </c>
      <c r="C1239" t="s">
        <v>4917</v>
      </c>
      <c r="D1239" s="92">
        <v>0.68</v>
      </c>
      <c r="E1239" s="92">
        <v>0.59</v>
      </c>
      <c r="F1239">
        <v>1100</v>
      </c>
      <c r="G1239">
        <v>1220</v>
      </c>
      <c r="H1239" t="s">
        <v>4930</v>
      </c>
      <c r="I1239">
        <v>0</v>
      </c>
      <c r="J1239" t="s">
        <v>97</v>
      </c>
      <c r="K1239">
        <v>0</v>
      </c>
      <c r="L1239">
        <v>0</v>
      </c>
      <c r="M1239" t="s">
        <v>11</v>
      </c>
    </row>
    <row r="1240" spans="1:13">
      <c r="A1240" s="93">
        <v>150534</v>
      </c>
      <c r="B1240" t="s">
        <v>1796</v>
      </c>
      <c r="C1240" t="s">
        <v>4916</v>
      </c>
      <c r="D1240" s="92">
        <v>0.68</v>
      </c>
      <c r="E1240" s="92">
        <v>0.52</v>
      </c>
      <c r="F1240">
        <v>1050</v>
      </c>
      <c r="G1240">
        <v>1150</v>
      </c>
      <c r="H1240" t="s">
        <v>4931</v>
      </c>
      <c r="I1240">
        <v>0</v>
      </c>
      <c r="J1240" t="s">
        <v>97</v>
      </c>
      <c r="K1240">
        <v>0</v>
      </c>
      <c r="L1240">
        <v>0</v>
      </c>
      <c r="M1240" t="s">
        <v>11</v>
      </c>
    </row>
    <row r="1241" spans="1:13">
      <c r="A1241" s="93">
        <v>150604</v>
      </c>
      <c r="B1241" t="s">
        <v>1797</v>
      </c>
      <c r="C1241" t="s">
        <v>4920</v>
      </c>
      <c r="D1241" s="92">
        <v>0.63</v>
      </c>
      <c r="E1241" s="92">
        <v>0.57</v>
      </c>
      <c r="F1241">
        <v>960</v>
      </c>
      <c r="G1241">
        <v>1070</v>
      </c>
      <c r="H1241" t="s">
        <v>4930</v>
      </c>
      <c r="I1241">
        <v>0</v>
      </c>
      <c r="J1241" t="s">
        <v>97</v>
      </c>
      <c r="K1241">
        <v>0</v>
      </c>
      <c r="L1241">
        <v>0</v>
      </c>
      <c r="M1241" t="s">
        <v>11</v>
      </c>
    </row>
    <row r="1242" spans="1:13">
      <c r="A1242" s="93">
        <v>150756</v>
      </c>
      <c r="B1242" t="s">
        <v>1798</v>
      </c>
      <c r="C1242" t="s">
        <v>4920</v>
      </c>
      <c r="D1242" s="92">
        <v>0.68</v>
      </c>
      <c r="E1242" s="92">
        <v>0.61</v>
      </c>
      <c r="F1242">
        <v>1210</v>
      </c>
      <c r="G1242">
        <v>1290</v>
      </c>
      <c r="H1242" t="s">
        <v>4931</v>
      </c>
      <c r="I1242">
        <v>0</v>
      </c>
      <c r="J1242" t="s">
        <v>97</v>
      </c>
      <c r="K1242">
        <v>0</v>
      </c>
      <c r="L1242">
        <v>0</v>
      </c>
      <c r="M1242" t="s">
        <v>11</v>
      </c>
    </row>
    <row r="1243" spans="1:13">
      <c r="A1243" s="93">
        <v>150941</v>
      </c>
      <c r="B1243" t="s">
        <v>1799</v>
      </c>
      <c r="C1243" t="s">
        <v>4920</v>
      </c>
      <c r="D1243" s="92">
        <v>0.68</v>
      </c>
      <c r="E1243" s="92">
        <v>0.55</v>
      </c>
      <c r="F1243">
        <v>1010</v>
      </c>
      <c r="G1243">
        <v>1110</v>
      </c>
      <c r="H1243" t="s">
        <v>4930</v>
      </c>
      <c r="I1243">
        <v>0</v>
      </c>
      <c r="J1243" t="s">
        <v>97</v>
      </c>
      <c r="K1243">
        <v>0</v>
      </c>
      <c r="L1243">
        <v>0</v>
      </c>
      <c r="M1243" t="s">
        <v>11</v>
      </c>
    </row>
    <row r="1244" spans="1:13">
      <c r="A1244" s="93">
        <v>151263</v>
      </c>
      <c r="B1244" t="s">
        <v>1800</v>
      </c>
      <c r="C1244" t="s">
        <v>4920</v>
      </c>
      <c r="D1244" s="92">
        <v>0.62</v>
      </c>
      <c r="E1244" s="92">
        <v>0.52</v>
      </c>
      <c r="F1244" t="s">
        <v>446</v>
      </c>
      <c r="G1244" t="s">
        <v>446</v>
      </c>
      <c r="H1244" t="s">
        <v>4930</v>
      </c>
      <c r="I1244">
        <v>0</v>
      </c>
      <c r="J1244" t="s">
        <v>97</v>
      </c>
      <c r="K1244">
        <v>0</v>
      </c>
      <c r="L1244">
        <v>0</v>
      </c>
      <c r="M1244" t="s">
        <v>11</v>
      </c>
    </row>
    <row r="1245" spans="1:13">
      <c r="A1245" s="93">
        <v>151306</v>
      </c>
      <c r="B1245" t="s">
        <v>1801</v>
      </c>
      <c r="C1245" t="s">
        <v>4920</v>
      </c>
      <c r="D1245" s="92">
        <v>0.5</v>
      </c>
      <c r="E1245" s="92">
        <v>0.41</v>
      </c>
      <c r="F1245">
        <v>1020</v>
      </c>
      <c r="G1245">
        <v>1125</v>
      </c>
      <c r="H1245" t="s">
        <v>4932</v>
      </c>
      <c r="I1245">
        <v>0</v>
      </c>
      <c r="J1245" t="s">
        <v>97</v>
      </c>
      <c r="K1245">
        <v>0</v>
      </c>
      <c r="L1245">
        <v>0</v>
      </c>
      <c r="M1245" t="s">
        <v>11</v>
      </c>
    </row>
    <row r="1246" spans="1:13">
      <c r="A1246" s="93">
        <v>151342</v>
      </c>
      <c r="B1246" t="s">
        <v>1802</v>
      </c>
      <c r="C1246" t="s">
        <v>4920</v>
      </c>
      <c r="D1246" s="92">
        <v>0.38</v>
      </c>
      <c r="E1246" s="92">
        <v>0.34</v>
      </c>
      <c r="F1246">
        <v>980</v>
      </c>
      <c r="G1246">
        <v>1085</v>
      </c>
      <c r="H1246" t="s">
        <v>4932</v>
      </c>
      <c r="I1246">
        <v>0</v>
      </c>
      <c r="J1246" t="s">
        <v>97</v>
      </c>
      <c r="K1246">
        <v>0</v>
      </c>
      <c r="L1246">
        <v>0</v>
      </c>
      <c r="M1246" t="s">
        <v>11</v>
      </c>
    </row>
    <row r="1247" spans="1:13">
      <c r="A1247" s="93">
        <v>151379</v>
      </c>
      <c r="B1247" t="s">
        <v>1803</v>
      </c>
      <c r="C1247" t="s">
        <v>4918</v>
      </c>
      <c r="D1247" s="92">
        <v>0.37</v>
      </c>
      <c r="E1247" s="92">
        <v>0.23</v>
      </c>
      <c r="F1247">
        <v>980</v>
      </c>
      <c r="G1247">
        <v>1085</v>
      </c>
      <c r="H1247" t="s">
        <v>4932</v>
      </c>
      <c r="I1247">
        <v>0</v>
      </c>
      <c r="J1247" t="s">
        <v>97</v>
      </c>
      <c r="K1247">
        <v>0</v>
      </c>
      <c r="L1247">
        <v>0</v>
      </c>
      <c r="M1247" t="s">
        <v>11</v>
      </c>
    </row>
    <row r="1248" spans="1:13">
      <c r="A1248" s="93">
        <v>151388</v>
      </c>
      <c r="B1248" t="s">
        <v>1804</v>
      </c>
      <c r="C1248" t="s">
        <v>4920</v>
      </c>
      <c r="D1248" s="92">
        <v>0.42</v>
      </c>
      <c r="E1248" s="92">
        <v>0.34</v>
      </c>
      <c r="F1248">
        <v>1000</v>
      </c>
      <c r="G1248">
        <v>1110</v>
      </c>
      <c r="H1248" t="s">
        <v>4932</v>
      </c>
      <c r="I1248">
        <v>0</v>
      </c>
      <c r="J1248" t="s">
        <v>97</v>
      </c>
      <c r="K1248">
        <v>0</v>
      </c>
      <c r="L1248">
        <v>0</v>
      </c>
      <c r="M1248" t="s">
        <v>11</v>
      </c>
    </row>
    <row r="1249" spans="1:13">
      <c r="A1249" s="93">
        <v>151467</v>
      </c>
      <c r="B1249" t="s">
        <v>1805</v>
      </c>
      <c r="C1249" t="s">
        <v>4925</v>
      </c>
      <c r="D1249" s="92" t="s">
        <v>446</v>
      </c>
      <c r="E1249" s="92" t="s">
        <v>446</v>
      </c>
      <c r="F1249" t="s">
        <v>446</v>
      </c>
      <c r="G1249" t="s">
        <v>446</v>
      </c>
      <c r="H1249" t="s">
        <v>4931</v>
      </c>
      <c r="I1249">
        <v>0</v>
      </c>
      <c r="J1249" t="s">
        <v>97</v>
      </c>
      <c r="K1249">
        <v>0</v>
      </c>
      <c r="L1249">
        <v>0</v>
      </c>
      <c r="M1249" t="s">
        <v>11</v>
      </c>
    </row>
    <row r="1250" spans="1:13">
      <c r="A1250" s="93">
        <v>151661</v>
      </c>
      <c r="B1250" t="s">
        <v>1806</v>
      </c>
      <c r="C1250" t="s">
        <v>4919</v>
      </c>
      <c r="D1250" s="92" t="s">
        <v>446</v>
      </c>
      <c r="E1250" s="92" t="s">
        <v>446</v>
      </c>
      <c r="F1250" t="s">
        <v>446</v>
      </c>
      <c r="G1250" t="s">
        <v>446</v>
      </c>
      <c r="H1250" t="s">
        <v>4930</v>
      </c>
      <c r="I1250">
        <v>0</v>
      </c>
      <c r="J1250" t="s">
        <v>97</v>
      </c>
      <c r="K1250">
        <v>0</v>
      </c>
      <c r="L1250">
        <v>0</v>
      </c>
      <c r="M1250" t="s">
        <v>11</v>
      </c>
    </row>
    <row r="1251" spans="1:13">
      <c r="A1251" s="93">
        <v>151786</v>
      </c>
      <c r="B1251" t="s">
        <v>566</v>
      </c>
      <c r="C1251" t="s">
        <v>4920</v>
      </c>
      <c r="D1251" s="92">
        <v>0.62</v>
      </c>
      <c r="E1251" s="92">
        <v>0.53</v>
      </c>
      <c r="F1251" t="s">
        <v>446</v>
      </c>
      <c r="G1251" t="s">
        <v>446</v>
      </c>
      <c r="H1251" t="s">
        <v>4930</v>
      </c>
      <c r="I1251">
        <v>0</v>
      </c>
      <c r="J1251" t="s">
        <v>97</v>
      </c>
      <c r="K1251">
        <v>0</v>
      </c>
      <c r="L1251">
        <v>0</v>
      </c>
      <c r="M1251" t="s">
        <v>11</v>
      </c>
    </row>
    <row r="1252" spans="1:13">
      <c r="A1252" s="93">
        <v>151810</v>
      </c>
      <c r="B1252" t="s">
        <v>1807</v>
      </c>
      <c r="C1252" t="s">
        <v>4918</v>
      </c>
      <c r="D1252" s="92">
        <v>0.11</v>
      </c>
      <c r="E1252" s="92">
        <v>0.11</v>
      </c>
      <c r="F1252" t="s">
        <v>446</v>
      </c>
      <c r="G1252" t="s">
        <v>446</v>
      </c>
      <c r="H1252" t="s">
        <v>4930</v>
      </c>
      <c r="I1252">
        <v>0</v>
      </c>
      <c r="J1252" t="s">
        <v>97</v>
      </c>
      <c r="K1252">
        <v>0</v>
      </c>
      <c r="L1252">
        <v>0</v>
      </c>
      <c r="M1252" t="s">
        <v>11</v>
      </c>
    </row>
    <row r="1253" spans="1:13">
      <c r="A1253" s="93">
        <v>151865</v>
      </c>
      <c r="B1253" t="s">
        <v>1808</v>
      </c>
      <c r="C1253" t="s">
        <v>4924</v>
      </c>
      <c r="D1253" s="92" t="s">
        <v>446</v>
      </c>
      <c r="E1253" s="92" t="s">
        <v>446</v>
      </c>
      <c r="F1253" t="s">
        <v>446</v>
      </c>
      <c r="G1253" t="s">
        <v>446</v>
      </c>
      <c r="H1253" t="s">
        <v>4932</v>
      </c>
      <c r="I1253">
        <v>0</v>
      </c>
      <c r="J1253" t="s">
        <v>97</v>
      </c>
      <c r="K1253">
        <v>0</v>
      </c>
      <c r="L1253">
        <v>0</v>
      </c>
      <c r="M1253" t="s">
        <v>11</v>
      </c>
    </row>
    <row r="1254" spans="1:13">
      <c r="A1254" s="93">
        <v>151962</v>
      </c>
      <c r="B1254" t="s">
        <v>1809</v>
      </c>
      <c r="C1254" t="s">
        <v>4923</v>
      </c>
      <c r="D1254" s="92">
        <v>0.71</v>
      </c>
      <c r="E1254" s="92">
        <v>1</v>
      </c>
      <c r="F1254" t="s">
        <v>446</v>
      </c>
      <c r="G1254" t="s">
        <v>446</v>
      </c>
      <c r="H1254" t="s">
        <v>4930</v>
      </c>
      <c r="I1254">
        <v>0</v>
      </c>
      <c r="J1254" t="s">
        <v>97</v>
      </c>
      <c r="K1254">
        <v>0</v>
      </c>
      <c r="L1254">
        <v>0</v>
      </c>
      <c r="M1254" t="s">
        <v>11</v>
      </c>
    </row>
    <row r="1255" spans="1:13">
      <c r="A1255" s="93">
        <v>152044</v>
      </c>
      <c r="B1255" t="s">
        <v>1810</v>
      </c>
      <c r="C1255" t="s">
        <v>4919</v>
      </c>
      <c r="D1255" s="92" t="s">
        <v>446</v>
      </c>
      <c r="E1255" s="92" t="s">
        <v>446</v>
      </c>
      <c r="F1255" t="s">
        <v>446</v>
      </c>
      <c r="G1255" t="s">
        <v>446</v>
      </c>
      <c r="H1255" t="s">
        <v>4931</v>
      </c>
      <c r="I1255">
        <v>0</v>
      </c>
      <c r="J1255" t="s">
        <v>97</v>
      </c>
      <c r="K1255">
        <v>0</v>
      </c>
      <c r="L1255">
        <v>0</v>
      </c>
      <c r="M1255" t="s">
        <v>11</v>
      </c>
    </row>
    <row r="1256" spans="1:13">
      <c r="A1256" s="93">
        <v>152318</v>
      </c>
      <c r="B1256" t="s">
        <v>1811</v>
      </c>
      <c r="C1256" t="s">
        <v>4922</v>
      </c>
      <c r="D1256" s="92">
        <v>0.85</v>
      </c>
      <c r="E1256" s="92">
        <v>0.8</v>
      </c>
      <c r="F1256">
        <v>1270</v>
      </c>
      <c r="G1256">
        <v>1375</v>
      </c>
      <c r="H1256" t="s">
        <v>4930</v>
      </c>
      <c r="I1256">
        <v>0</v>
      </c>
      <c r="J1256" t="s">
        <v>97</v>
      </c>
      <c r="K1256">
        <v>0</v>
      </c>
      <c r="L1256">
        <v>0</v>
      </c>
      <c r="M1256" t="s">
        <v>11</v>
      </c>
    </row>
    <row r="1257" spans="1:13">
      <c r="A1257" s="93">
        <v>152336</v>
      </c>
      <c r="B1257" t="s">
        <v>1812</v>
      </c>
      <c r="C1257" t="s">
        <v>4920</v>
      </c>
      <c r="D1257" s="92">
        <v>0.53</v>
      </c>
      <c r="E1257" s="92">
        <v>0.35</v>
      </c>
      <c r="F1257">
        <v>960</v>
      </c>
      <c r="G1257">
        <v>1055</v>
      </c>
      <c r="H1257" t="s">
        <v>4931</v>
      </c>
      <c r="I1257">
        <v>0</v>
      </c>
      <c r="J1257" t="s">
        <v>97</v>
      </c>
      <c r="K1257">
        <v>0</v>
      </c>
      <c r="L1257">
        <v>0</v>
      </c>
      <c r="M1257" t="s">
        <v>11</v>
      </c>
    </row>
    <row r="1258" spans="1:13">
      <c r="A1258" s="93">
        <v>152381</v>
      </c>
      <c r="B1258" t="s">
        <v>1813</v>
      </c>
      <c r="C1258" t="s">
        <v>4918</v>
      </c>
      <c r="D1258" s="92">
        <v>0.5600000000000001</v>
      </c>
      <c r="E1258" s="92">
        <v>0.47</v>
      </c>
      <c r="F1258">
        <v>980</v>
      </c>
      <c r="G1258">
        <v>1050</v>
      </c>
      <c r="H1258" t="s">
        <v>4931</v>
      </c>
      <c r="I1258">
        <v>0</v>
      </c>
      <c r="J1258" t="s">
        <v>97</v>
      </c>
      <c r="K1258">
        <v>0</v>
      </c>
      <c r="L1258">
        <v>0</v>
      </c>
      <c r="M1258" t="s">
        <v>11</v>
      </c>
    </row>
    <row r="1259" spans="1:13">
      <c r="A1259" s="93">
        <v>152451</v>
      </c>
      <c r="B1259" t="s">
        <v>1814</v>
      </c>
      <c r="C1259" t="s">
        <v>4924</v>
      </c>
      <c r="D1259" s="92" t="s">
        <v>446</v>
      </c>
      <c r="E1259" s="92" t="s">
        <v>446</v>
      </c>
      <c r="F1259" t="s">
        <v>446</v>
      </c>
      <c r="G1259" t="s">
        <v>446</v>
      </c>
      <c r="H1259" t="s">
        <v>4932</v>
      </c>
      <c r="I1259">
        <v>0</v>
      </c>
      <c r="J1259" t="s">
        <v>97</v>
      </c>
      <c r="K1259">
        <v>0</v>
      </c>
      <c r="L1259">
        <v>0</v>
      </c>
      <c r="M1259" t="s">
        <v>11</v>
      </c>
    </row>
    <row r="1260" spans="1:13">
      <c r="A1260" s="93">
        <v>152497</v>
      </c>
      <c r="B1260" t="s">
        <v>1815</v>
      </c>
      <c r="C1260" t="s">
        <v>4925</v>
      </c>
      <c r="D1260" s="92">
        <v>0.41</v>
      </c>
      <c r="E1260" s="92">
        <v>0.5</v>
      </c>
      <c r="F1260">
        <v>860</v>
      </c>
      <c r="G1260">
        <v>955</v>
      </c>
      <c r="H1260" t="s">
        <v>4930</v>
      </c>
      <c r="I1260">
        <v>0</v>
      </c>
      <c r="J1260" t="s">
        <v>97</v>
      </c>
      <c r="K1260">
        <v>0</v>
      </c>
      <c r="L1260">
        <v>0</v>
      </c>
      <c r="M1260" t="s">
        <v>11</v>
      </c>
    </row>
    <row r="1261" spans="1:13">
      <c r="A1261" s="93">
        <v>152567</v>
      </c>
      <c r="B1261" t="s">
        <v>1816</v>
      </c>
      <c r="C1261" t="s">
        <v>4920</v>
      </c>
      <c r="D1261" s="92">
        <v>0.62</v>
      </c>
      <c r="E1261" s="92">
        <v>0.45</v>
      </c>
      <c r="F1261">
        <v>1030</v>
      </c>
      <c r="G1261">
        <v>1135</v>
      </c>
      <c r="H1261" t="s">
        <v>4930</v>
      </c>
      <c r="I1261">
        <v>0</v>
      </c>
      <c r="J1261" t="s">
        <v>97</v>
      </c>
      <c r="K1261">
        <v>0</v>
      </c>
      <c r="L1261">
        <v>0</v>
      </c>
      <c r="M1261" t="s">
        <v>11</v>
      </c>
    </row>
    <row r="1262" spans="1:13">
      <c r="A1262" s="93">
        <v>152637</v>
      </c>
      <c r="B1262" t="s">
        <v>1817</v>
      </c>
      <c r="C1262" t="s">
        <v>4923</v>
      </c>
      <c r="D1262" s="92">
        <v>0.18</v>
      </c>
      <c r="E1262" s="92">
        <v>0.05</v>
      </c>
      <c r="F1262" t="s">
        <v>446</v>
      </c>
      <c r="G1262" t="s">
        <v>446</v>
      </c>
      <c r="H1262" t="s">
        <v>4931</v>
      </c>
      <c r="I1262">
        <v>0</v>
      </c>
      <c r="J1262" t="s">
        <v>97</v>
      </c>
      <c r="K1262">
        <v>0</v>
      </c>
      <c r="L1262">
        <v>0</v>
      </c>
      <c r="M1262" t="s">
        <v>11</v>
      </c>
    </row>
    <row r="1263" spans="1:13">
      <c r="A1263" s="93">
        <v>152798</v>
      </c>
      <c r="B1263" t="s">
        <v>1818</v>
      </c>
      <c r="C1263" t="s">
        <v>4923</v>
      </c>
      <c r="D1263" s="92" t="s">
        <v>446</v>
      </c>
      <c r="E1263" s="92" t="s">
        <v>446</v>
      </c>
      <c r="F1263" t="s">
        <v>446</v>
      </c>
      <c r="G1263" t="s">
        <v>446</v>
      </c>
      <c r="H1263" t="s">
        <v>4932</v>
      </c>
      <c r="I1263">
        <v>0</v>
      </c>
      <c r="J1263" t="s">
        <v>97</v>
      </c>
      <c r="K1263">
        <v>0</v>
      </c>
      <c r="L1263">
        <v>0</v>
      </c>
      <c r="M1263" t="s">
        <v>11</v>
      </c>
    </row>
    <row r="1264" spans="1:13">
      <c r="A1264" s="93">
        <v>152992</v>
      </c>
      <c r="B1264" t="s">
        <v>1819</v>
      </c>
      <c r="C1264" t="s">
        <v>4920</v>
      </c>
      <c r="D1264" s="92">
        <v>0.49</v>
      </c>
      <c r="E1264" s="92">
        <v>0.33</v>
      </c>
      <c r="F1264" t="s">
        <v>446</v>
      </c>
      <c r="G1264" t="s">
        <v>446</v>
      </c>
      <c r="H1264" t="s">
        <v>4930</v>
      </c>
      <c r="I1264">
        <v>0</v>
      </c>
      <c r="J1264" t="s">
        <v>97</v>
      </c>
      <c r="K1264">
        <v>0</v>
      </c>
      <c r="L1264">
        <v>0</v>
      </c>
      <c r="M1264" t="s">
        <v>11</v>
      </c>
    </row>
    <row r="1265" spans="1:13">
      <c r="A1265" s="93">
        <v>153001</v>
      </c>
      <c r="B1265" t="s">
        <v>1820</v>
      </c>
      <c r="C1265" t="s">
        <v>4920</v>
      </c>
      <c r="D1265" s="92">
        <v>0.62</v>
      </c>
      <c r="E1265" s="92">
        <v>0.46</v>
      </c>
      <c r="F1265">
        <v>970</v>
      </c>
      <c r="G1265">
        <v>1090</v>
      </c>
      <c r="H1265" t="s">
        <v>4931</v>
      </c>
      <c r="I1265">
        <v>0</v>
      </c>
      <c r="J1265" t="s">
        <v>97</v>
      </c>
      <c r="K1265">
        <v>0</v>
      </c>
      <c r="L1265">
        <v>0</v>
      </c>
      <c r="M1265" t="s">
        <v>11</v>
      </c>
    </row>
    <row r="1266" spans="1:13">
      <c r="A1266" s="93">
        <v>153074</v>
      </c>
      <c r="B1266" t="s">
        <v>1821</v>
      </c>
      <c r="C1266" t="s">
        <v>4919</v>
      </c>
      <c r="D1266" s="92" t="s">
        <v>446</v>
      </c>
      <c r="E1266" s="92" t="s">
        <v>446</v>
      </c>
      <c r="F1266" t="s">
        <v>446</v>
      </c>
      <c r="G1266" t="s">
        <v>446</v>
      </c>
      <c r="H1266" t="s">
        <v>4931</v>
      </c>
      <c r="I1266">
        <v>0</v>
      </c>
      <c r="J1266" t="s">
        <v>97</v>
      </c>
      <c r="K1266">
        <v>0</v>
      </c>
      <c r="L1266">
        <v>0</v>
      </c>
      <c r="M1266" t="s">
        <v>11</v>
      </c>
    </row>
    <row r="1267" spans="1:13">
      <c r="A1267" s="93">
        <v>153083</v>
      </c>
      <c r="B1267" t="s">
        <v>1822</v>
      </c>
      <c r="C1267" t="s">
        <v>4919</v>
      </c>
      <c r="D1267" s="92" t="s">
        <v>446</v>
      </c>
      <c r="E1267" s="92" t="s">
        <v>446</v>
      </c>
      <c r="F1267" t="s">
        <v>446</v>
      </c>
      <c r="G1267" t="s">
        <v>446</v>
      </c>
      <c r="H1267" t="s">
        <v>4931</v>
      </c>
      <c r="I1267">
        <v>0</v>
      </c>
      <c r="J1267" t="s">
        <v>97</v>
      </c>
      <c r="K1267">
        <v>0</v>
      </c>
      <c r="L1267">
        <v>0</v>
      </c>
      <c r="M1267" t="s">
        <v>11</v>
      </c>
    </row>
    <row r="1268" spans="1:13">
      <c r="A1268" s="93">
        <v>153108</v>
      </c>
      <c r="B1268" t="s">
        <v>1823</v>
      </c>
      <c r="C1268" t="s">
        <v>4920</v>
      </c>
      <c r="D1268" s="92">
        <v>0.67</v>
      </c>
      <c r="E1268" s="92">
        <v>0.62</v>
      </c>
      <c r="F1268">
        <v>1010</v>
      </c>
      <c r="G1268">
        <v>1110</v>
      </c>
      <c r="H1268" t="s">
        <v>4930</v>
      </c>
      <c r="I1268">
        <v>0</v>
      </c>
      <c r="J1268" t="s">
        <v>97</v>
      </c>
      <c r="K1268">
        <v>0</v>
      </c>
      <c r="L1268">
        <v>0</v>
      </c>
      <c r="M1268" t="s">
        <v>11</v>
      </c>
    </row>
    <row r="1269" spans="1:13">
      <c r="A1269" s="93">
        <v>153126</v>
      </c>
      <c r="B1269" t="s">
        <v>1824</v>
      </c>
      <c r="C1269" t="s">
        <v>4920</v>
      </c>
      <c r="D1269" s="92">
        <v>0.61</v>
      </c>
      <c r="E1269" s="92">
        <v>0.53</v>
      </c>
      <c r="F1269">
        <v>1010</v>
      </c>
      <c r="G1269">
        <v>1075</v>
      </c>
      <c r="H1269" t="s">
        <v>4930</v>
      </c>
      <c r="I1269">
        <v>0</v>
      </c>
      <c r="J1269" t="s">
        <v>97</v>
      </c>
      <c r="K1269">
        <v>0</v>
      </c>
      <c r="L1269">
        <v>0</v>
      </c>
      <c r="M1269" t="s">
        <v>11</v>
      </c>
    </row>
    <row r="1270" spans="1:13">
      <c r="A1270" s="93">
        <v>153214</v>
      </c>
      <c r="B1270" t="s">
        <v>1825</v>
      </c>
      <c r="C1270" t="s">
        <v>4919</v>
      </c>
      <c r="D1270" s="92">
        <v>0.39</v>
      </c>
      <c r="E1270" s="92">
        <v>0.3</v>
      </c>
      <c r="F1270" t="s">
        <v>446</v>
      </c>
      <c r="G1270" t="s">
        <v>446</v>
      </c>
      <c r="H1270" t="s">
        <v>4932</v>
      </c>
      <c r="I1270">
        <v>0</v>
      </c>
      <c r="J1270" t="s">
        <v>97</v>
      </c>
      <c r="K1270">
        <v>0</v>
      </c>
      <c r="L1270">
        <v>0</v>
      </c>
      <c r="M1270" t="s">
        <v>11</v>
      </c>
    </row>
    <row r="1271" spans="1:13">
      <c r="A1271" s="93">
        <v>153241</v>
      </c>
      <c r="B1271" t="s">
        <v>1826</v>
      </c>
      <c r="C1271" t="s">
        <v>4924</v>
      </c>
      <c r="D1271" s="92">
        <v>1</v>
      </c>
      <c r="E1271" s="92" t="s">
        <v>446</v>
      </c>
      <c r="F1271" t="s">
        <v>446</v>
      </c>
      <c r="G1271" t="s">
        <v>446</v>
      </c>
      <c r="H1271" t="s">
        <v>4932</v>
      </c>
      <c r="I1271">
        <v>0</v>
      </c>
      <c r="J1271" t="s">
        <v>97</v>
      </c>
      <c r="K1271">
        <v>0</v>
      </c>
      <c r="L1271">
        <v>0</v>
      </c>
      <c r="M1271" t="s">
        <v>11</v>
      </c>
    </row>
    <row r="1272" spans="1:13">
      <c r="A1272" s="93">
        <v>153250</v>
      </c>
      <c r="B1272" t="s">
        <v>1827</v>
      </c>
      <c r="C1272" t="s">
        <v>4920</v>
      </c>
      <c r="D1272" s="92">
        <v>0.72</v>
      </c>
      <c r="E1272" s="92">
        <v>0.45</v>
      </c>
      <c r="F1272">
        <v>1080</v>
      </c>
      <c r="G1272">
        <v>1195</v>
      </c>
      <c r="H1272" t="s">
        <v>4930</v>
      </c>
      <c r="I1272">
        <v>0</v>
      </c>
      <c r="J1272" t="s">
        <v>97</v>
      </c>
      <c r="K1272">
        <v>0</v>
      </c>
      <c r="L1272">
        <v>0</v>
      </c>
      <c r="M1272" t="s">
        <v>11</v>
      </c>
    </row>
    <row r="1273" spans="1:13">
      <c r="A1273" s="93">
        <v>153296</v>
      </c>
      <c r="B1273" t="s">
        <v>1828</v>
      </c>
      <c r="C1273" t="s">
        <v>4919</v>
      </c>
      <c r="D1273" s="92">
        <v>0.49</v>
      </c>
      <c r="E1273" s="92">
        <v>0.39</v>
      </c>
      <c r="F1273" t="s">
        <v>446</v>
      </c>
      <c r="G1273" t="s">
        <v>446</v>
      </c>
      <c r="H1273" t="s">
        <v>4932</v>
      </c>
      <c r="I1273">
        <v>0</v>
      </c>
      <c r="J1273" t="s">
        <v>97</v>
      </c>
      <c r="K1273">
        <v>0</v>
      </c>
      <c r="L1273">
        <v>0</v>
      </c>
      <c r="M1273" t="s">
        <v>11</v>
      </c>
    </row>
    <row r="1274" spans="1:13">
      <c r="A1274" s="93">
        <v>153302</v>
      </c>
      <c r="B1274" t="s">
        <v>1829</v>
      </c>
      <c r="C1274" t="s">
        <v>4923</v>
      </c>
      <c r="D1274" s="92">
        <v>0.52</v>
      </c>
      <c r="E1274" s="92">
        <v>0.47</v>
      </c>
      <c r="F1274">
        <v>1100</v>
      </c>
      <c r="G1274">
        <v>1170</v>
      </c>
      <c r="H1274" t="s">
        <v>4931</v>
      </c>
      <c r="I1274">
        <v>0</v>
      </c>
      <c r="J1274" t="s">
        <v>97</v>
      </c>
      <c r="K1274">
        <v>0</v>
      </c>
      <c r="L1274">
        <v>0</v>
      </c>
      <c r="M1274" t="s">
        <v>11</v>
      </c>
    </row>
    <row r="1275" spans="1:13">
      <c r="A1275" s="93">
        <v>153311</v>
      </c>
      <c r="B1275" t="s">
        <v>1830</v>
      </c>
      <c r="C1275" t="s">
        <v>4919</v>
      </c>
      <c r="D1275" s="92">
        <v>0.45</v>
      </c>
      <c r="E1275" s="92">
        <v>0.38</v>
      </c>
      <c r="F1275" t="s">
        <v>446</v>
      </c>
      <c r="G1275" t="s">
        <v>446</v>
      </c>
      <c r="H1275" t="s">
        <v>4932</v>
      </c>
      <c r="I1275">
        <v>0</v>
      </c>
      <c r="J1275" t="s">
        <v>97</v>
      </c>
      <c r="K1275">
        <v>0</v>
      </c>
      <c r="L1275">
        <v>0</v>
      </c>
      <c r="M1275" t="s">
        <v>11</v>
      </c>
    </row>
    <row r="1276" spans="1:13">
      <c r="A1276" s="93">
        <v>153320</v>
      </c>
      <c r="B1276" t="s">
        <v>1831</v>
      </c>
      <c r="C1276" t="s">
        <v>4924</v>
      </c>
      <c r="D1276" s="92">
        <v>0.48</v>
      </c>
      <c r="E1276" s="92">
        <v>0</v>
      </c>
      <c r="F1276">
        <v>1040</v>
      </c>
      <c r="G1276">
        <v>1160</v>
      </c>
      <c r="H1276" t="s">
        <v>4931</v>
      </c>
      <c r="I1276">
        <v>0</v>
      </c>
      <c r="J1276" t="s">
        <v>97</v>
      </c>
      <c r="K1276">
        <v>0</v>
      </c>
      <c r="L1276">
        <v>0</v>
      </c>
      <c r="M1276" t="s">
        <v>11</v>
      </c>
    </row>
    <row r="1277" spans="1:13">
      <c r="A1277" s="93">
        <v>153375</v>
      </c>
      <c r="B1277" t="s">
        <v>1832</v>
      </c>
      <c r="C1277" t="s">
        <v>4920</v>
      </c>
      <c r="D1277" s="92">
        <v>0.54</v>
      </c>
      <c r="E1277" s="92">
        <v>0.34</v>
      </c>
      <c r="F1277">
        <v>930</v>
      </c>
      <c r="G1277">
        <v>1020</v>
      </c>
      <c r="H1277" t="s">
        <v>4930</v>
      </c>
      <c r="I1277">
        <v>0</v>
      </c>
      <c r="J1277" t="s">
        <v>97</v>
      </c>
      <c r="K1277">
        <v>0</v>
      </c>
      <c r="L1277">
        <v>0</v>
      </c>
      <c r="M1277" t="s">
        <v>11</v>
      </c>
    </row>
    <row r="1278" spans="1:13">
      <c r="A1278" s="93">
        <v>153427</v>
      </c>
      <c r="B1278" t="s">
        <v>1833</v>
      </c>
      <c r="C1278" t="s">
        <v>4923</v>
      </c>
      <c r="D1278" s="92" t="s">
        <v>446</v>
      </c>
      <c r="E1278" s="92" t="s">
        <v>446</v>
      </c>
      <c r="F1278" t="s">
        <v>446</v>
      </c>
      <c r="G1278" t="s">
        <v>446</v>
      </c>
      <c r="H1278" t="s">
        <v>4930</v>
      </c>
      <c r="I1278">
        <v>0</v>
      </c>
      <c r="J1278" t="s">
        <v>97</v>
      </c>
      <c r="K1278">
        <v>0</v>
      </c>
      <c r="L1278">
        <v>0</v>
      </c>
      <c r="M1278" t="s">
        <v>11</v>
      </c>
    </row>
    <row r="1279" spans="1:13">
      <c r="A1279" s="93">
        <v>153463</v>
      </c>
      <c r="B1279" t="s">
        <v>1834</v>
      </c>
      <c r="C1279" t="s">
        <v>4919</v>
      </c>
      <c r="D1279" s="92" t="s">
        <v>446</v>
      </c>
      <c r="E1279" s="92" t="s">
        <v>446</v>
      </c>
      <c r="F1279" t="s">
        <v>446</v>
      </c>
      <c r="G1279" t="s">
        <v>446</v>
      </c>
      <c r="H1279" t="s">
        <v>4931</v>
      </c>
      <c r="I1279">
        <v>0</v>
      </c>
      <c r="J1279" t="s">
        <v>97</v>
      </c>
      <c r="K1279">
        <v>0</v>
      </c>
      <c r="L1279">
        <v>0</v>
      </c>
      <c r="M1279" t="s">
        <v>11</v>
      </c>
    </row>
    <row r="1280" spans="1:13">
      <c r="A1280" s="93">
        <v>153524</v>
      </c>
      <c r="B1280" t="s">
        <v>1835</v>
      </c>
      <c r="C1280" t="s">
        <v>4919</v>
      </c>
      <c r="D1280" s="92">
        <v>0.48</v>
      </c>
      <c r="E1280" s="92">
        <v>0.4</v>
      </c>
      <c r="F1280" t="s">
        <v>446</v>
      </c>
      <c r="G1280" t="s">
        <v>446</v>
      </c>
      <c r="H1280" t="s">
        <v>4932</v>
      </c>
      <c r="I1280">
        <v>0</v>
      </c>
      <c r="J1280" t="s">
        <v>97</v>
      </c>
      <c r="K1280">
        <v>0</v>
      </c>
      <c r="L1280">
        <v>0</v>
      </c>
      <c r="M1280" t="s">
        <v>11</v>
      </c>
    </row>
    <row r="1281" spans="1:13">
      <c r="A1281" s="93">
        <v>153533</v>
      </c>
      <c r="B1281" t="s">
        <v>1836</v>
      </c>
      <c r="C1281" t="s">
        <v>4919</v>
      </c>
      <c r="D1281" s="92">
        <v>0.59</v>
      </c>
      <c r="E1281" s="92">
        <v>0.42</v>
      </c>
      <c r="F1281" t="s">
        <v>446</v>
      </c>
      <c r="G1281" t="s">
        <v>446</v>
      </c>
      <c r="H1281" t="s">
        <v>4932</v>
      </c>
      <c r="I1281">
        <v>0</v>
      </c>
      <c r="J1281" t="s">
        <v>97</v>
      </c>
      <c r="K1281">
        <v>0</v>
      </c>
      <c r="L1281">
        <v>0</v>
      </c>
      <c r="M1281" t="s">
        <v>11</v>
      </c>
    </row>
    <row r="1282" spans="1:13">
      <c r="A1282" s="93">
        <v>153542</v>
      </c>
      <c r="B1282" t="s">
        <v>1837</v>
      </c>
      <c r="C1282" t="s">
        <v>4919</v>
      </c>
      <c r="D1282" s="92" t="s">
        <v>446</v>
      </c>
      <c r="E1282" s="92" t="s">
        <v>446</v>
      </c>
      <c r="F1282" t="s">
        <v>446</v>
      </c>
      <c r="G1282" t="s">
        <v>446</v>
      </c>
      <c r="H1282" t="s">
        <v>4932</v>
      </c>
      <c r="I1282">
        <v>0</v>
      </c>
      <c r="J1282" t="s">
        <v>97</v>
      </c>
      <c r="K1282">
        <v>0</v>
      </c>
      <c r="L1282">
        <v>0</v>
      </c>
      <c r="M1282" t="s">
        <v>11</v>
      </c>
    </row>
    <row r="1283" spans="1:13">
      <c r="A1283" s="93">
        <v>153597</v>
      </c>
      <c r="B1283" t="s">
        <v>1838</v>
      </c>
      <c r="C1283" t="s">
        <v>4919</v>
      </c>
      <c r="D1283" s="92" t="s">
        <v>446</v>
      </c>
      <c r="E1283" s="92" t="s">
        <v>446</v>
      </c>
      <c r="F1283" t="s">
        <v>446</v>
      </c>
      <c r="G1283" t="s">
        <v>446</v>
      </c>
      <c r="H1283" t="s">
        <v>4931</v>
      </c>
      <c r="I1283">
        <v>0</v>
      </c>
      <c r="J1283" t="s">
        <v>97</v>
      </c>
      <c r="K1283">
        <v>0</v>
      </c>
      <c r="L1283">
        <v>0</v>
      </c>
      <c r="M1283" t="s">
        <v>11</v>
      </c>
    </row>
    <row r="1284" spans="1:13">
      <c r="A1284" s="93">
        <v>153630</v>
      </c>
      <c r="B1284" t="s">
        <v>1839</v>
      </c>
      <c r="C1284" t="s">
        <v>4919</v>
      </c>
      <c r="D1284" s="92">
        <v>0.34</v>
      </c>
      <c r="E1284" s="92">
        <v>0.24</v>
      </c>
      <c r="F1284" t="s">
        <v>446</v>
      </c>
      <c r="G1284" t="s">
        <v>446</v>
      </c>
      <c r="H1284" t="s">
        <v>4932</v>
      </c>
      <c r="I1284">
        <v>0</v>
      </c>
      <c r="J1284" t="s">
        <v>97</v>
      </c>
      <c r="K1284">
        <v>0</v>
      </c>
      <c r="L1284">
        <v>0</v>
      </c>
      <c r="M1284" t="s">
        <v>11</v>
      </c>
    </row>
    <row r="1285" spans="1:13">
      <c r="A1285" s="93">
        <v>153746</v>
      </c>
      <c r="B1285" t="s">
        <v>1840</v>
      </c>
      <c r="C1285" t="s">
        <v>4919</v>
      </c>
      <c r="D1285" s="92" t="s">
        <v>446</v>
      </c>
      <c r="E1285" s="92" t="s">
        <v>446</v>
      </c>
      <c r="F1285" t="s">
        <v>446</v>
      </c>
      <c r="G1285" t="s">
        <v>446</v>
      </c>
      <c r="H1285" t="s">
        <v>4930</v>
      </c>
      <c r="I1285">
        <v>0</v>
      </c>
      <c r="J1285" t="s">
        <v>97</v>
      </c>
      <c r="K1285">
        <v>0</v>
      </c>
      <c r="L1285">
        <v>0</v>
      </c>
      <c r="M1285" t="s">
        <v>11</v>
      </c>
    </row>
    <row r="1286" spans="1:13">
      <c r="A1286" s="93">
        <v>153764</v>
      </c>
      <c r="B1286" t="s">
        <v>1841</v>
      </c>
      <c r="C1286" t="s">
        <v>4919</v>
      </c>
      <c r="D1286" s="92" t="s">
        <v>446</v>
      </c>
      <c r="E1286" s="92" t="s">
        <v>446</v>
      </c>
      <c r="F1286" t="s">
        <v>446</v>
      </c>
      <c r="G1286" t="s">
        <v>446</v>
      </c>
      <c r="H1286" t="s">
        <v>4931</v>
      </c>
      <c r="I1286">
        <v>0</v>
      </c>
      <c r="J1286" t="s">
        <v>97</v>
      </c>
      <c r="K1286">
        <v>0</v>
      </c>
      <c r="L1286">
        <v>0</v>
      </c>
      <c r="M1286" t="s">
        <v>11</v>
      </c>
    </row>
    <row r="1287" spans="1:13">
      <c r="A1287" s="93">
        <v>153773</v>
      </c>
      <c r="B1287" t="s">
        <v>1842</v>
      </c>
      <c r="C1287" t="s">
        <v>4919</v>
      </c>
      <c r="D1287" s="92" t="s">
        <v>446</v>
      </c>
      <c r="E1287" s="92" t="s">
        <v>446</v>
      </c>
      <c r="F1287" t="s">
        <v>446</v>
      </c>
      <c r="G1287" t="s">
        <v>446</v>
      </c>
      <c r="H1287" t="s">
        <v>4931</v>
      </c>
      <c r="I1287">
        <v>0</v>
      </c>
      <c r="J1287" t="s">
        <v>97</v>
      </c>
      <c r="K1287">
        <v>0</v>
      </c>
      <c r="L1287">
        <v>0</v>
      </c>
      <c r="M1287" t="s">
        <v>11</v>
      </c>
    </row>
    <row r="1288" spans="1:13">
      <c r="A1288" s="93">
        <v>153782</v>
      </c>
      <c r="B1288" t="s">
        <v>1843</v>
      </c>
      <c r="C1288" t="s">
        <v>4919</v>
      </c>
      <c r="D1288" s="92" t="s">
        <v>446</v>
      </c>
      <c r="E1288" s="92" t="s">
        <v>446</v>
      </c>
      <c r="F1288" t="s">
        <v>446</v>
      </c>
      <c r="G1288" t="s">
        <v>446</v>
      </c>
      <c r="H1288" t="s">
        <v>4930</v>
      </c>
      <c r="I1288">
        <v>0</v>
      </c>
      <c r="J1288" t="s">
        <v>97</v>
      </c>
      <c r="K1288">
        <v>0</v>
      </c>
      <c r="L1288">
        <v>0</v>
      </c>
      <c r="M1288" t="s">
        <v>11</v>
      </c>
    </row>
    <row r="1289" spans="1:13">
      <c r="A1289" s="93">
        <v>153861</v>
      </c>
      <c r="B1289" t="s">
        <v>1844</v>
      </c>
      <c r="C1289" t="s">
        <v>4916</v>
      </c>
      <c r="D1289" s="92">
        <v>0.47</v>
      </c>
      <c r="E1289" s="92">
        <v>0.33</v>
      </c>
      <c r="F1289" t="s">
        <v>446</v>
      </c>
      <c r="G1289" t="s">
        <v>446</v>
      </c>
      <c r="H1289" t="s">
        <v>4931</v>
      </c>
      <c r="I1289">
        <v>0</v>
      </c>
      <c r="J1289" t="s">
        <v>97</v>
      </c>
      <c r="K1289">
        <v>0</v>
      </c>
      <c r="L1289">
        <v>0</v>
      </c>
      <c r="M1289" t="s">
        <v>11</v>
      </c>
    </row>
    <row r="1290" spans="1:13">
      <c r="A1290" s="93">
        <v>153922</v>
      </c>
      <c r="B1290" t="s">
        <v>1845</v>
      </c>
      <c r="C1290" t="s">
        <v>4919</v>
      </c>
      <c r="D1290" s="92">
        <v>0.43</v>
      </c>
      <c r="E1290" s="92">
        <v>0.37</v>
      </c>
      <c r="F1290" t="s">
        <v>446</v>
      </c>
      <c r="G1290" t="s">
        <v>446</v>
      </c>
      <c r="H1290" t="s">
        <v>4932</v>
      </c>
      <c r="I1290">
        <v>0</v>
      </c>
      <c r="J1290" t="s">
        <v>97</v>
      </c>
      <c r="K1290">
        <v>0</v>
      </c>
      <c r="L1290">
        <v>0</v>
      </c>
      <c r="M1290" t="s">
        <v>11</v>
      </c>
    </row>
    <row r="1291" spans="1:13">
      <c r="A1291" s="93">
        <v>153977</v>
      </c>
      <c r="B1291" t="s">
        <v>1846</v>
      </c>
      <c r="C1291" t="s">
        <v>4920</v>
      </c>
      <c r="D1291" s="92">
        <v>0.52</v>
      </c>
      <c r="E1291" s="92">
        <v>0</v>
      </c>
      <c r="F1291">
        <v>970</v>
      </c>
      <c r="G1291">
        <v>1040</v>
      </c>
      <c r="H1291" t="s">
        <v>4930</v>
      </c>
      <c r="I1291">
        <v>0</v>
      </c>
      <c r="J1291" t="s">
        <v>97</v>
      </c>
      <c r="K1291">
        <v>0</v>
      </c>
      <c r="L1291">
        <v>0</v>
      </c>
      <c r="M1291" t="s">
        <v>11</v>
      </c>
    </row>
    <row r="1292" spans="1:13">
      <c r="A1292" s="93">
        <v>154013</v>
      </c>
      <c r="B1292" t="s">
        <v>1847</v>
      </c>
      <c r="C1292" t="s">
        <v>4920</v>
      </c>
      <c r="D1292" s="92">
        <v>0.61</v>
      </c>
      <c r="E1292" s="92">
        <v>0.42</v>
      </c>
      <c r="F1292" t="s">
        <v>446</v>
      </c>
      <c r="G1292" t="s">
        <v>446</v>
      </c>
      <c r="H1292" t="s">
        <v>4930</v>
      </c>
      <c r="I1292">
        <v>0</v>
      </c>
      <c r="J1292" t="s">
        <v>97</v>
      </c>
      <c r="K1292">
        <v>0</v>
      </c>
      <c r="L1292">
        <v>0</v>
      </c>
      <c r="M1292" t="s">
        <v>11</v>
      </c>
    </row>
    <row r="1293" spans="1:13">
      <c r="A1293" s="93">
        <v>154059</v>
      </c>
      <c r="B1293" t="s">
        <v>1848</v>
      </c>
      <c r="C1293" t="s">
        <v>4919</v>
      </c>
      <c r="D1293" s="92">
        <v>0.58</v>
      </c>
      <c r="E1293" s="92">
        <v>0.39</v>
      </c>
      <c r="F1293" t="s">
        <v>446</v>
      </c>
      <c r="G1293" t="s">
        <v>446</v>
      </c>
      <c r="H1293" t="s">
        <v>4932</v>
      </c>
      <c r="I1293">
        <v>0</v>
      </c>
      <c r="J1293" t="s">
        <v>97</v>
      </c>
      <c r="K1293">
        <v>0</v>
      </c>
      <c r="L1293">
        <v>0</v>
      </c>
      <c r="M1293" t="s">
        <v>11</v>
      </c>
    </row>
    <row r="1294" spans="1:13">
      <c r="A1294" s="93">
        <v>154095</v>
      </c>
      <c r="B1294" t="s">
        <v>610</v>
      </c>
      <c r="C1294" t="s">
        <v>4920</v>
      </c>
      <c r="D1294" s="92">
        <v>0.6899999999999999</v>
      </c>
      <c r="E1294" s="92">
        <v>0.57</v>
      </c>
      <c r="F1294">
        <v>1040</v>
      </c>
      <c r="G1294">
        <v>1140</v>
      </c>
      <c r="H1294" t="s">
        <v>4931</v>
      </c>
      <c r="I1294">
        <v>0</v>
      </c>
      <c r="J1294" t="s">
        <v>97</v>
      </c>
      <c r="K1294">
        <v>0</v>
      </c>
      <c r="L1294">
        <v>0</v>
      </c>
      <c r="M1294" t="s">
        <v>11</v>
      </c>
    </row>
    <row r="1295" spans="1:13">
      <c r="A1295" s="93">
        <v>154129</v>
      </c>
      <c r="B1295" t="s">
        <v>1849</v>
      </c>
      <c r="C1295" t="s">
        <v>4919</v>
      </c>
      <c r="D1295" s="92">
        <v>0.68</v>
      </c>
      <c r="E1295" s="92">
        <v>0.48</v>
      </c>
      <c r="F1295" t="s">
        <v>446</v>
      </c>
      <c r="G1295" t="s">
        <v>446</v>
      </c>
      <c r="H1295" t="s">
        <v>4932</v>
      </c>
      <c r="I1295">
        <v>0</v>
      </c>
      <c r="J1295" t="s">
        <v>97</v>
      </c>
      <c r="K1295">
        <v>0</v>
      </c>
      <c r="L1295">
        <v>0</v>
      </c>
      <c r="M1295" t="s">
        <v>11</v>
      </c>
    </row>
    <row r="1296" spans="1:13">
      <c r="A1296" s="93">
        <v>154156</v>
      </c>
      <c r="B1296" t="s">
        <v>1850</v>
      </c>
      <c r="C1296" t="s">
        <v>4924</v>
      </c>
      <c r="D1296" s="92" t="s">
        <v>446</v>
      </c>
      <c r="E1296" s="92" t="s">
        <v>446</v>
      </c>
      <c r="F1296" t="s">
        <v>446</v>
      </c>
      <c r="G1296" t="s">
        <v>446</v>
      </c>
      <c r="H1296" t="s">
        <v>4932</v>
      </c>
      <c r="I1296">
        <v>0</v>
      </c>
      <c r="J1296" t="s">
        <v>97</v>
      </c>
      <c r="K1296">
        <v>0</v>
      </c>
      <c r="L1296">
        <v>0</v>
      </c>
      <c r="M1296" t="s">
        <v>11</v>
      </c>
    </row>
    <row r="1297" spans="1:13">
      <c r="A1297" s="93">
        <v>154165</v>
      </c>
      <c r="B1297" t="s">
        <v>1851</v>
      </c>
      <c r="C1297" t="s">
        <v>4919</v>
      </c>
      <c r="D1297" s="92" t="s">
        <v>446</v>
      </c>
      <c r="E1297" s="92" t="s">
        <v>446</v>
      </c>
      <c r="F1297" t="s">
        <v>446</v>
      </c>
      <c r="G1297" t="s">
        <v>446</v>
      </c>
      <c r="H1297" t="s">
        <v>4931</v>
      </c>
      <c r="I1297">
        <v>0</v>
      </c>
      <c r="J1297" t="s">
        <v>97</v>
      </c>
      <c r="K1297">
        <v>0</v>
      </c>
      <c r="L1297">
        <v>0</v>
      </c>
      <c r="M1297" t="s">
        <v>11</v>
      </c>
    </row>
    <row r="1298" spans="1:13">
      <c r="A1298" s="93">
        <v>154208</v>
      </c>
      <c r="B1298" t="s">
        <v>1852</v>
      </c>
      <c r="C1298" t="s">
        <v>4919</v>
      </c>
      <c r="D1298" s="92" t="s">
        <v>446</v>
      </c>
      <c r="E1298" s="92" t="s">
        <v>446</v>
      </c>
      <c r="F1298" t="s">
        <v>446</v>
      </c>
      <c r="G1298" t="s">
        <v>446</v>
      </c>
      <c r="H1298" t="s">
        <v>4930</v>
      </c>
      <c r="I1298">
        <v>0</v>
      </c>
      <c r="J1298" t="s">
        <v>97</v>
      </c>
      <c r="K1298">
        <v>0</v>
      </c>
      <c r="L1298">
        <v>0</v>
      </c>
      <c r="M1298" t="s">
        <v>11</v>
      </c>
    </row>
    <row r="1299" spans="1:13">
      <c r="A1299" s="93">
        <v>154262</v>
      </c>
      <c r="B1299" t="s">
        <v>1853</v>
      </c>
      <c r="C1299" t="s">
        <v>4924</v>
      </c>
      <c r="D1299" s="92" t="s">
        <v>446</v>
      </c>
      <c r="E1299" s="92" t="s">
        <v>446</v>
      </c>
      <c r="F1299" t="s">
        <v>446</v>
      </c>
      <c r="G1299" t="s">
        <v>446</v>
      </c>
      <c r="H1299" t="s">
        <v>4930</v>
      </c>
      <c r="I1299">
        <v>0</v>
      </c>
      <c r="J1299" t="s">
        <v>97</v>
      </c>
      <c r="K1299">
        <v>0</v>
      </c>
      <c r="L1299">
        <v>0</v>
      </c>
      <c r="M1299" t="s">
        <v>11</v>
      </c>
    </row>
    <row r="1300" spans="1:13">
      <c r="A1300" s="93">
        <v>154332</v>
      </c>
      <c r="B1300" t="s">
        <v>1854</v>
      </c>
      <c r="C1300" t="s">
        <v>4919</v>
      </c>
      <c r="D1300" s="92" t="s">
        <v>446</v>
      </c>
      <c r="E1300" s="92" t="s">
        <v>446</v>
      </c>
      <c r="F1300" t="s">
        <v>446</v>
      </c>
      <c r="G1300" t="s">
        <v>446</v>
      </c>
      <c r="H1300" t="s">
        <v>4930</v>
      </c>
      <c r="I1300">
        <v>0</v>
      </c>
      <c r="J1300" t="s">
        <v>97</v>
      </c>
      <c r="K1300">
        <v>0</v>
      </c>
      <c r="L1300">
        <v>0</v>
      </c>
      <c r="M1300" t="s">
        <v>11</v>
      </c>
    </row>
    <row r="1301" spans="1:13">
      <c r="A1301" s="93">
        <v>154341</v>
      </c>
      <c r="B1301" t="s">
        <v>1855</v>
      </c>
      <c r="C1301" t="s">
        <v>4919</v>
      </c>
      <c r="D1301" s="92" t="s">
        <v>446</v>
      </c>
      <c r="E1301" s="92" t="s">
        <v>446</v>
      </c>
      <c r="F1301" t="s">
        <v>446</v>
      </c>
      <c r="G1301" t="s">
        <v>446</v>
      </c>
      <c r="H1301" t="s">
        <v>4932</v>
      </c>
      <c r="I1301">
        <v>0</v>
      </c>
      <c r="J1301" t="s">
        <v>97</v>
      </c>
      <c r="K1301">
        <v>0</v>
      </c>
      <c r="L1301">
        <v>0</v>
      </c>
      <c r="M1301" t="s">
        <v>11</v>
      </c>
    </row>
    <row r="1302" spans="1:13">
      <c r="A1302" s="93">
        <v>154350</v>
      </c>
      <c r="B1302" t="s">
        <v>1856</v>
      </c>
      <c r="C1302" t="s">
        <v>4916</v>
      </c>
      <c r="D1302" s="92">
        <v>0.71</v>
      </c>
      <c r="E1302" s="92">
        <v>0.65</v>
      </c>
      <c r="F1302">
        <v>1040</v>
      </c>
      <c r="G1302">
        <v>1160</v>
      </c>
      <c r="H1302" t="s">
        <v>4930</v>
      </c>
      <c r="I1302">
        <v>0</v>
      </c>
      <c r="J1302" t="s">
        <v>97</v>
      </c>
      <c r="K1302">
        <v>0</v>
      </c>
      <c r="L1302">
        <v>0</v>
      </c>
      <c r="M1302" t="s">
        <v>11</v>
      </c>
    </row>
    <row r="1303" spans="1:13">
      <c r="A1303" s="93">
        <v>154396</v>
      </c>
      <c r="B1303" t="s">
        <v>1857</v>
      </c>
      <c r="C1303" t="s">
        <v>4919</v>
      </c>
      <c r="D1303" s="92">
        <v>0.57</v>
      </c>
      <c r="E1303" s="92">
        <v>0.48</v>
      </c>
      <c r="F1303" t="s">
        <v>446</v>
      </c>
      <c r="G1303" t="s">
        <v>446</v>
      </c>
      <c r="H1303" t="s">
        <v>4932</v>
      </c>
      <c r="I1303">
        <v>0</v>
      </c>
      <c r="J1303" t="s">
        <v>97</v>
      </c>
      <c r="K1303">
        <v>0</v>
      </c>
      <c r="L1303">
        <v>0</v>
      </c>
      <c r="M1303" t="s">
        <v>11</v>
      </c>
    </row>
    <row r="1304" spans="1:13">
      <c r="A1304" s="93">
        <v>154448</v>
      </c>
      <c r="B1304" t="s">
        <v>1858</v>
      </c>
      <c r="C1304" t="s">
        <v>4919</v>
      </c>
      <c r="D1304" s="92" t="s">
        <v>446</v>
      </c>
      <c r="E1304" s="92" t="s">
        <v>446</v>
      </c>
      <c r="F1304" t="s">
        <v>446</v>
      </c>
      <c r="G1304" t="s">
        <v>446</v>
      </c>
      <c r="H1304" t="s">
        <v>4929</v>
      </c>
      <c r="I1304">
        <v>1</v>
      </c>
      <c r="J1304" t="s">
        <v>97</v>
      </c>
      <c r="K1304">
        <v>0</v>
      </c>
      <c r="L1304">
        <v>0</v>
      </c>
      <c r="M1304" t="s">
        <v>11</v>
      </c>
    </row>
    <row r="1305" spans="1:13">
      <c r="A1305" s="93">
        <v>154457</v>
      </c>
      <c r="B1305" t="s">
        <v>1859</v>
      </c>
      <c r="C1305" t="s">
        <v>4919</v>
      </c>
      <c r="D1305" s="92" t="s">
        <v>446</v>
      </c>
      <c r="E1305" s="92" t="s">
        <v>446</v>
      </c>
      <c r="F1305" t="s">
        <v>446</v>
      </c>
      <c r="G1305" t="s">
        <v>446</v>
      </c>
      <c r="H1305" t="s">
        <v>4931</v>
      </c>
      <c r="I1305">
        <v>0</v>
      </c>
      <c r="J1305" t="s">
        <v>97</v>
      </c>
      <c r="K1305">
        <v>0</v>
      </c>
      <c r="L1305">
        <v>0</v>
      </c>
      <c r="M1305" t="s">
        <v>11</v>
      </c>
    </row>
    <row r="1306" spans="1:13">
      <c r="A1306" s="93">
        <v>154466</v>
      </c>
      <c r="B1306" t="s">
        <v>1860</v>
      </c>
      <c r="C1306" t="s">
        <v>4919</v>
      </c>
      <c r="D1306" s="92" t="s">
        <v>446</v>
      </c>
      <c r="E1306" s="92" t="s">
        <v>446</v>
      </c>
      <c r="F1306" t="s">
        <v>446</v>
      </c>
      <c r="G1306" t="s">
        <v>446</v>
      </c>
      <c r="H1306" t="s">
        <v>4928</v>
      </c>
      <c r="I1306">
        <v>1</v>
      </c>
      <c r="J1306" t="s">
        <v>97</v>
      </c>
      <c r="K1306">
        <v>0</v>
      </c>
      <c r="L1306">
        <v>0</v>
      </c>
      <c r="M1306" t="s">
        <v>11</v>
      </c>
    </row>
    <row r="1307" spans="1:13">
      <c r="A1307" s="93">
        <v>154518</v>
      </c>
      <c r="B1307" t="s">
        <v>1861</v>
      </c>
      <c r="C1307" t="s">
        <v>4918</v>
      </c>
      <c r="D1307" s="92">
        <v>0.05</v>
      </c>
      <c r="E1307" s="92">
        <v>0.02</v>
      </c>
      <c r="F1307" t="s">
        <v>446</v>
      </c>
      <c r="G1307" t="s">
        <v>446</v>
      </c>
      <c r="H1307" t="s">
        <v>4930</v>
      </c>
      <c r="I1307">
        <v>0</v>
      </c>
      <c r="J1307" t="s">
        <v>97</v>
      </c>
      <c r="K1307">
        <v>0</v>
      </c>
      <c r="L1307">
        <v>0</v>
      </c>
      <c r="M1307" t="s">
        <v>11</v>
      </c>
    </row>
    <row r="1308" spans="1:13">
      <c r="A1308" s="93">
        <v>154527</v>
      </c>
      <c r="B1308" t="s">
        <v>1862</v>
      </c>
      <c r="C1308" t="s">
        <v>4920</v>
      </c>
      <c r="D1308" s="92">
        <v>0.67</v>
      </c>
      <c r="E1308" s="92">
        <v>0.39</v>
      </c>
      <c r="F1308">
        <v>1040</v>
      </c>
      <c r="G1308">
        <v>1140</v>
      </c>
      <c r="H1308" t="s">
        <v>4930</v>
      </c>
      <c r="I1308">
        <v>0</v>
      </c>
      <c r="J1308" t="s">
        <v>97</v>
      </c>
      <c r="K1308">
        <v>0</v>
      </c>
      <c r="L1308">
        <v>0</v>
      </c>
      <c r="M1308" t="s">
        <v>11</v>
      </c>
    </row>
    <row r="1309" spans="1:13">
      <c r="A1309" s="93">
        <v>154536</v>
      </c>
      <c r="B1309" t="s">
        <v>1863</v>
      </c>
      <c r="C1309" t="s">
        <v>4924</v>
      </c>
      <c r="D1309" s="92" t="s">
        <v>446</v>
      </c>
      <c r="E1309" s="92" t="s">
        <v>446</v>
      </c>
      <c r="F1309" t="s">
        <v>446</v>
      </c>
      <c r="G1309" t="s">
        <v>446</v>
      </c>
      <c r="H1309" t="s">
        <v>4932</v>
      </c>
      <c r="I1309">
        <v>0</v>
      </c>
      <c r="J1309" t="s">
        <v>97</v>
      </c>
      <c r="K1309">
        <v>0</v>
      </c>
      <c r="L1309">
        <v>0</v>
      </c>
      <c r="M1309" t="s">
        <v>11</v>
      </c>
    </row>
    <row r="1310" spans="1:13">
      <c r="A1310" s="93">
        <v>154545</v>
      </c>
      <c r="B1310" t="s">
        <v>1864</v>
      </c>
      <c r="C1310" t="s">
        <v>4919</v>
      </c>
      <c r="D1310" s="92" t="s">
        <v>446</v>
      </c>
      <c r="E1310" s="92" t="s">
        <v>446</v>
      </c>
      <c r="F1310" t="s">
        <v>446</v>
      </c>
      <c r="G1310" t="s">
        <v>446</v>
      </c>
      <c r="H1310" t="s">
        <v>4928</v>
      </c>
      <c r="I1310">
        <v>1</v>
      </c>
      <c r="J1310" t="s">
        <v>97</v>
      </c>
      <c r="K1310">
        <v>0</v>
      </c>
      <c r="L1310">
        <v>0</v>
      </c>
      <c r="M1310" t="s">
        <v>11</v>
      </c>
    </row>
    <row r="1311" spans="1:13">
      <c r="A1311" s="93">
        <v>154572</v>
      </c>
      <c r="B1311" t="s">
        <v>1865</v>
      </c>
      <c r="C1311" t="s">
        <v>4919</v>
      </c>
      <c r="D1311" s="92">
        <v>0.44</v>
      </c>
      <c r="E1311" s="92">
        <v>0.4</v>
      </c>
      <c r="F1311" t="s">
        <v>446</v>
      </c>
      <c r="G1311" t="s">
        <v>446</v>
      </c>
      <c r="H1311" t="s">
        <v>4932</v>
      </c>
      <c r="I1311">
        <v>0</v>
      </c>
      <c r="J1311" t="s">
        <v>97</v>
      </c>
      <c r="K1311">
        <v>0</v>
      </c>
      <c r="L1311">
        <v>0</v>
      </c>
      <c r="M1311" t="s">
        <v>11</v>
      </c>
    </row>
    <row r="1312" spans="1:13">
      <c r="A1312" s="93">
        <v>154642</v>
      </c>
      <c r="B1312" t="s">
        <v>1866</v>
      </c>
      <c r="C1312" t="s">
        <v>4919</v>
      </c>
      <c r="D1312" s="92">
        <v>0.53</v>
      </c>
      <c r="E1312" s="92">
        <v>0.48</v>
      </c>
      <c r="F1312" t="s">
        <v>446</v>
      </c>
      <c r="G1312" t="s">
        <v>446</v>
      </c>
      <c r="H1312" t="s">
        <v>4932</v>
      </c>
      <c r="I1312">
        <v>0</v>
      </c>
      <c r="J1312" t="s">
        <v>97</v>
      </c>
      <c r="K1312">
        <v>0</v>
      </c>
      <c r="L1312">
        <v>0</v>
      </c>
      <c r="M1312" t="s">
        <v>11</v>
      </c>
    </row>
    <row r="1313" spans="1:13">
      <c r="A1313" s="93">
        <v>154688</v>
      </c>
      <c r="B1313" t="s">
        <v>1867</v>
      </c>
      <c r="C1313" t="s">
        <v>4920</v>
      </c>
      <c r="D1313" s="92">
        <v>0.63</v>
      </c>
      <c r="E1313" s="92">
        <v>0.47</v>
      </c>
      <c r="F1313">
        <v>970</v>
      </c>
      <c r="G1313">
        <v>1055</v>
      </c>
      <c r="H1313" t="s">
        <v>4930</v>
      </c>
      <c r="I1313">
        <v>0</v>
      </c>
      <c r="J1313" t="s">
        <v>97</v>
      </c>
      <c r="K1313">
        <v>0</v>
      </c>
      <c r="L1313">
        <v>0</v>
      </c>
      <c r="M1313" t="s">
        <v>11</v>
      </c>
    </row>
    <row r="1314" spans="1:13">
      <c r="A1314" s="93">
        <v>154712</v>
      </c>
      <c r="B1314" t="s">
        <v>1868</v>
      </c>
      <c r="C1314" t="s">
        <v>4916</v>
      </c>
      <c r="D1314" s="92">
        <v>0.64</v>
      </c>
      <c r="E1314" s="92">
        <v>0.43</v>
      </c>
      <c r="F1314">
        <v>1100</v>
      </c>
      <c r="G1314">
        <v>1225</v>
      </c>
      <c r="H1314" t="s">
        <v>4930</v>
      </c>
      <c r="I1314">
        <v>0</v>
      </c>
      <c r="J1314" t="s">
        <v>97</v>
      </c>
      <c r="K1314">
        <v>0</v>
      </c>
      <c r="L1314">
        <v>0</v>
      </c>
      <c r="M1314" t="s">
        <v>11</v>
      </c>
    </row>
    <row r="1315" spans="1:13">
      <c r="A1315" s="93">
        <v>154721</v>
      </c>
      <c r="B1315" t="s">
        <v>1869</v>
      </c>
      <c r="C1315" t="s">
        <v>4923</v>
      </c>
      <c r="D1315" s="92">
        <v>0.22</v>
      </c>
      <c r="E1315" s="92">
        <v>0.18</v>
      </c>
      <c r="F1315">
        <v>930</v>
      </c>
      <c r="G1315">
        <v>1035</v>
      </c>
      <c r="H1315" t="s">
        <v>4930</v>
      </c>
      <c r="I1315">
        <v>0</v>
      </c>
      <c r="J1315" t="s">
        <v>97</v>
      </c>
      <c r="K1315">
        <v>0</v>
      </c>
      <c r="L1315">
        <v>0</v>
      </c>
      <c r="M1315" t="s">
        <v>11</v>
      </c>
    </row>
    <row r="1316" spans="1:13">
      <c r="A1316" s="93">
        <v>154749</v>
      </c>
      <c r="B1316" t="s">
        <v>1870</v>
      </c>
      <c r="C1316" t="s">
        <v>4920</v>
      </c>
      <c r="D1316" s="92">
        <v>0.45</v>
      </c>
      <c r="E1316" s="92">
        <v>0.22</v>
      </c>
      <c r="F1316">
        <v>970</v>
      </c>
      <c r="G1316">
        <v>1090</v>
      </c>
      <c r="H1316" t="s">
        <v>4930</v>
      </c>
      <c r="I1316">
        <v>0</v>
      </c>
      <c r="J1316" t="s">
        <v>97</v>
      </c>
      <c r="K1316">
        <v>0</v>
      </c>
      <c r="L1316">
        <v>0</v>
      </c>
      <c r="M1316" t="s">
        <v>11</v>
      </c>
    </row>
    <row r="1317" spans="1:13">
      <c r="A1317" s="93">
        <v>154800</v>
      </c>
      <c r="B1317" t="s">
        <v>1871</v>
      </c>
      <c r="C1317" t="s">
        <v>4919</v>
      </c>
      <c r="D1317" s="92">
        <v>0.43</v>
      </c>
      <c r="E1317" s="92">
        <v>0.36</v>
      </c>
      <c r="F1317" t="s">
        <v>446</v>
      </c>
      <c r="G1317" t="s">
        <v>446</v>
      </c>
      <c r="H1317" t="s">
        <v>4932</v>
      </c>
      <c r="I1317">
        <v>0</v>
      </c>
      <c r="J1317" t="s">
        <v>97</v>
      </c>
      <c r="K1317">
        <v>0</v>
      </c>
      <c r="L1317">
        <v>0</v>
      </c>
      <c r="M1317" t="s">
        <v>11</v>
      </c>
    </row>
    <row r="1318" spans="1:13">
      <c r="A1318" s="93">
        <v>154855</v>
      </c>
      <c r="B1318" t="s">
        <v>1872</v>
      </c>
      <c r="C1318" t="s">
        <v>4923</v>
      </c>
      <c r="D1318" s="92">
        <v>0.23</v>
      </c>
      <c r="E1318" s="92">
        <v>0.16</v>
      </c>
      <c r="F1318" t="s">
        <v>446</v>
      </c>
      <c r="G1318" t="s">
        <v>446</v>
      </c>
      <c r="H1318" t="s">
        <v>4930</v>
      </c>
      <c r="I1318">
        <v>0</v>
      </c>
      <c r="J1318" t="s">
        <v>97</v>
      </c>
      <c r="K1318">
        <v>0</v>
      </c>
      <c r="L1318">
        <v>0</v>
      </c>
      <c r="M1318" t="s">
        <v>11</v>
      </c>
    </row>
    <row r="1319" spans="1:13">
      <c r="A1319" s="93">
        <v>154925</v>
      </c>
      <c r="B1319" t="s">
        <v>1873</v>
      </c>
      <c r="C1319" t="s">
        <v>4919</v>
      </c>
      <c r="D1319" s="92">
        <v>0.52</v>
      </c>
      <c r="E1319" s="92">
        <v>0.47</v>
      </c>
      <c r="F1319" t="s">
        <v>446</v>
      </c>
      <c r="G1319" t="s">
        <v>446</v>
      </c>
      <c r="H1319" t="s">
        <v>4932</v>
      </c>
      <c r="I1319">
        <v>0</v>
      </c>
      <c r="J1319" t="s">
        <v>97</v>
      </c>
      <c r="K1319">
        <v>0</v>
      </c>
      <c r="L1319">
        <v>0</v>
      </c>
      <c r="M1319" t="s">
        <v>11</v>
      </c>
    </row>
    <row r="1320" spans="1:13">
      <c r="A1320" s="93">
        <v>154934</v>
      </c>
      <c r="B1320" t="s">
        <v>1874</v>
      </c>
      <c r="C1320" t="s">
        <v>4919</v>
      </c>
      <c r="D1320" s="92">
        <v>0.59</v>
      </c>
      <c r="E1320" s="92">
        <v>0.52</v>
      </c>
      <c r="F1320" t="s">
        <v>446</v>
      </c>
      <c r="G1320" t="s">
        <v>446</v>
      </c>
      <c r="H1320" t="s">
        <v>4932</v>
      </c>
      <c r="I1320">
        <v>0</v>
      </c>
      <c r="J1320" t="s">
        <v>97</v>
      </c>
      <c r="K1320">
        <v>0</v>
      </c>
      <c r="L1320">
        <v>0</v>
      </c>
      <c r="M1320" t="s">
        <v>11</v>
      </c>
    </row>
    <row r="1321" spans="1:13">
      <c r="A1321" s="93">
        <v>154952</v>
      </c>
      <c r="B1321" t="s">
        <v>1875</v>
      </c>
      <c r="C1321" t="s">
        <v>4919</v>
      </c>
      <c r="D1321" s="92">
        <v>0.54</v>
      </c>
      <c r="E1321" s="92">
        <v>0.51</v>
      </c>
      <c r="F1321" t="s">
        <v>446</v>
      </c>
      <c r="G1321" t="s">
        <v>446</v>
      </c>
      <c r="H1321" t="s">
        <v>4932</v>
      </c>
      <c r="I1321">
        <v>0</v>
      </c>
      <c r="J1321" t="s">
        <v>97</v>
      </c>
      <c r="K1321">
        <v>0</v>
      </c>
      <c r="L1321">
        <v>0</v>
      </c>
      <c r="M1321" t="s">
        <v>11</v>
      </c>
    </row>
    <row r="1322" spans="1:13">
      <c r="A1322" s="93">
        <v>154998</v>
      </c>
      <c r="B1322" t="s">
        <v>1876</v>
      </c>
      <c r="C1322" t="s">
        <v>4919</v>
      </c>
      <c r="D1322" s="92">
        <v>0.44</v>
      </c>
      <c r="E1322" s="92">
        <v>0.43</v>
      </c>
      <c r="F1322" t="s">
        <v>446</v>
      </c>
      <c r="G1322" t="s">
        <v>446</v>
      </c>
      <c r="H1322" t="s">
        <v>4932</v>
      </c>
      <c r="I1322">
        <v>0</v>
      </c>
      <c r="J1322" t="s">
        <v>97</v>
      </c>
      <c r="K1322">
        <v>0</v>
      </c>
      <c r="L1322">
        <v>0</v>
      </c>
      <c r="M1322" t="s">
        <v>11</v>
      </c>
    </row>
    <row r="1323" spans="1:13">
      <c r="A1323" s="93">
        <v>155007</v>
      </c>
      <c r="B1323" t="s">
        <v>1877</v>
      </c>
      <c r="C1323" t="s">
        <v>4923</v>
      </c>
      <c r="D1323" s="92" t="s">
        <v>446</v>
      </c>
      <c r="E1323" s="92" t="s">
        <v>446</v>
      </c>
      <c r="F1323" t="s">
        <v>446</v>
      </c>
      <c r="G1323" t="s">
        <v>446</v>
      </c>
      <c r="H1323" t="s">
        <v>4930</v>
      </c>
      <c r="I1323">
        <v>0</v>
      </c>
      <c r="J1323" t="s">
        <v>97</v>
      </c>
      <c r="K1323">
        <v>0</v>
      </c>
      <c r="L1323">
        <v>0</v>
      </c>
      <c r="M1323" t="s">
        <v>11</v>
      </c>
    </row>
    <row r="1324" spans="1:13">
      <c r="A1324" s="93">
        <v>155025</v>
      </c>
      <c r="B1324" t="s">
        <v>1878</v>
      </c>
      <c r="C1324" t="s">
        <v>4920</v>
      </c>
      <c r="D1324" s="92">
        <v>0.49</v>
      </c>
      <c r="E1324" s="92">
        <v>0.36</v>
      </c>
      <c r="F1324" t="s">
        <v>446</v>
      </c>
      <c r="G1324" t="s">
        <v>446</v>
      </c>
      <c r="H1324" t="s">
        <v>4932</v>
      </c>
      <c r="I1324">
        <v>0</v>
      </c>
      <c r="J1324" t="s">
        <v>97</v>
      </c>
      <c r="K1324">
        <v>0</v>
      </c>
      <c r="L1324">
        <v>0</v>
      </c>
      <c r="M1324" t="s">
        <v>11</v>
      </c>
    </row>
    <row r="1325" spans="1:13">
      <c r="A1325" s="93">
        <v>155052</v>
      </c>
      <c r="B1325" t="s">
        <v>1879</v>
      </c>
      <c r="C1325" t="s">
        <v>4919</v>
      </c>
      <c r="D1325" s="92" t="s">
        <v>446</v>
      </c>
      <c r="E1325" s="92" t="s">
        <v>446</v>
      </c>
      <c r="F1325" t="s">
        <v>446</v>
      </c>
      <c r="G1325" t="s">
        <v>446</v>
      </c>
      <c r="H1325" t="s">
        <v>4932</v>
      </c>
      <c r="I1325">
        <v>0</v>
      </c>
      <c r="J1325" t="s">
        <v>97</v>
      </c>
      <c r="K1325">
        <v>0</v>
      </c>
      <c r="L1325">
        <v>0</v>
      </c>
      <c r="M1325" t="s">
        <v>11</v>
      </c>
    </row>
    <row r="1326" spans="1:13">
      <c r="A1326" s="93">
        <v>155061</v>
      </c>
      <c r="B1326" t="s">
        <v>1880</v>
      </c>
      <c r="C1326" t="s">
        <v>4920</v>
      </c>
      <c r="D1326" s="92">
        <v>0.46</v>
      </c>
      <c r="E1326" s="92">
        <v>0.37</v>
      </c>
      <c r="F1326" t="s">
        <v>446</v>
      </c>
      <c r="G1326" t="s">
        <v>446</v>
      </c>
      <c r="H1326" t="s">
        <v>4932</v>
      </c>
      <c r="I1326">
        <v>0</v>
      </c>
      <c r="J1326" t="s">
        <v>97</v>
      </c>
      <c r="K1326">
        <v>0</v>
      </c>
      <c r="L1326">
        <v>0</v>
      </c>
      <c r="M1326" t="s">
        <v>11</v>
      </c>
    </row>
    <row r="1327" spans="1:13">
      <c r="A1327" s="93">
        <v>155070</v>
      </c>
      <c r="B1327" t="s">
        <v>1881</v>
      </c>
      <c r="C1327" t="s">
        <v>4924</v>
      </c>
      <c r="D1327" s="92">
        <v>0.44</v>
      </c>
      <c r="E1327" s="92">
        <v>0.29</v>
      </c>
      <c r="F1327" t="s">
        <v>446</v>
      </c>
      <c r="G1327" t="s">
        <v>446</v>
      </c>
      <c r="H1327" t="s">
        <v>4930</v>
      </c>
      <c r="I1327">
        <v>0</v>
      </c>
      <c r="J1327" t="s">
        <v>97</v>
      </c>
      <c r="K1327">
        <v>0</v>
      </c>
      <c r="L1327">
        <v>0</v>
      </c>
      <c r="M1327" t="s">
        <v>11</v>
      </c>
    </row>
    <row r="1328" spans="1:13">
      <c r="A1328" s="93">
        <v>155089</v>
      </c>
      <c r="B1328" t="s">
        <v>1882</v>
      </c>
      <c r="C1328" t="s">
        <v>4920</v>
      </c>
      <c r="D1328" s="92">
        <v>0.43</v>
      </c>
      <c r="E1328" s="92">
        <v>0.33</v>
      </c>
      <c r="F1328">
        <v>970</v>
      </c>
      <c r="G1328">
        <v>1055</v>
      </c>
      <c r="H1328" t="s">
        <v>4930</v>
      </c>
      <c r="I1328">
        <v>0</v>
      </c>
      <c r="J1328" t="s">
        <v>97</v>
      </c>
      <c r="K1328">
        <v>0</v>
      </c>
      <c r="L1328">
        <v>0</v>
      </c>
      <c r="M1328" t="s">
        <v>11</v>
      </c>
    </row>
    <row r="1329" spans="1:13">
      <c r="A1329" s="93">
        <v>155104</v>
      </c>
      <c r="B1329" t="s">
        <v>1883</v>
      </c>
      <c r="C1329" t="s">
        <v>4919</v>
      </c>
      <c r="D1329" s="92">
        <v>0.53</v>
      </c>
      <c r="E1329" s="92">
        <v>0.5</v>
      </c>
      <c r="F1329" t="s">
        <v>446</v>
      </c>
      <c r="G1329" t="s">
        <v>446</v>
      </c>
      <c r="H1329" t="s">
        <v>4932</v>
      </c>
      <c r="I1329">
        <v>0</v>
      </c>
      <c r="J1329" t="s">
        <v>97</v>
      </c>
      <c r="K1329">
        <v>0</v>
      </c>
      <c r="L1329">
        <v>0</v>
      </c>
      <c r="M1329" t="s">
        <v>11</v>
      </c>
    </row>
    <row r="1330" spans="1:13">
      <c r="A1330" s="93">
        <v>155140</v>
      </c>
      <c r="B1330" t="s">
        <v>1884</v>
      </c>
      <c r="C1330" t="s">
        <v>4923</v>
      </c>
      <c r="D1330" s="92" t="s">
        <v>446</v>
      </c>
      <c r="E1330" s="92" t="s">
        <v>446</v>
      </c>
      <c r="F1330" t="s">
        <v>446</v>
      </c>
      <c r="G1330" t="s">
        <v>446</v>
      </c>
      <c r="H1330" t="s">
        <v>4932</v>
      </c>
      <c r="I1330">
        <v>0</v>
      </c>
      <c r="J1330" t="s">
        <v>97</v>
      </c>
      <c r="K1330">
        <v>0</v>
      </c>
      <c r="L1330">
        <v>0</v>
      </c>
      <c r="M1330" t="s">
        <v>11</v>
      </c>
    </row>
    <row r="1331" spans="1:13">
      <c r="A1331" s="93">
        <v>155177</v>
      </c>
      <c r="B1331" t="s">
        <v>1885</v>
      </c>
      <c r="C1331" t="s">
        <v>4923</v>
      </c>
      <c r="D1331" s="92">
        <v>0.75</v>
      </c>
      <c r="E1331" s="92">
        <v>1</v>
      </c>
      <c r="F1331" t="s">
        <v>446</v>
      </c>
      <c r="G1331" t="s">
        <v>446</v>
      </c>
      <c r="H1331" t="s">
        <v>4930</v>
      </c>
      <c r="I1331">
        <v>0</v>
      </c>
      <c r="J1331" t="s">
        <v>97</v>
      </c>
      <c r="K1331">
        <v>0</v>
      </c>
      <c r="L1331">
        <v>0</v>
      </c>
      <c r="M1331" t="s">
        <v>11</v>
      </c>
    </row>
    <row r="1332" spans="1:13">
      <c r="A1332" s="93">
        <v>155186</v>
      </c>
      <c r="B1332" t="s">
        <v>1757</v>
      </c>
      <c r="C1332" t="s">
        <v>4919</v>
      </c>
      <c r="D1332" s="92">
        <v>0.5600000000000001</v>
      </c>
      <c r="E1332" s="92">
        <v>0.5</v>
      </c>
      <c r="F1332" t="s">
        <v>446</v>
      </c>
      <c r="G1332" t="s">
        <v>446</v>
      </c>
      <c r="H1332" t="s">
        <v>4932</v>
      </c>
      <c r="I1332">
        <v>0</v>
      </c>
      <c r="J1332" t="s">
        <v>97</v>
      </c>
      <c r="K1332">
        <v>0</v>
      </c>
      <c r="L1332">
        <v>0</v>
      </c>
      <c r="M1332" t="s">
        <v>11</v>
      </c>
    </row>
    <row r="1333" spans="1:13">
      <c r="A1333" s="93">
        <v>155195</v>
      </c>
      <c r="B1333" t="s">
        <v>1886</v>
      </c>
      <c r="C1333" t="s">
        <v>4919</v>
      </c>
      <c r="D1333" s="92">
        <v>0.53</v>
      </c>
      <c r="E1333" s="92">
        <v>0.48</v>
      </c>
      <c r="F1333" t="s">
        <v>446</v>
      </c>
      <c r="G1333" t="s">
        <v>446</v>
      </c>
      <c r="H1333" t="s">
        <v>4932</v>
      </c>
      <c r="I1333">
        <v>0</v>
      </c>
      <c r="J1333" t="s">
        <v>97</v>
      </c>
      <c r="K1333">
        <v>0</v>
      </c>
      <c r="L1333">
        <v>0</v>
      </c>
      <c r="M1333" t="s">
        <v>11</v>
      </c>
    </row>
    <row r="1334" spans="1:13">
      <c r="A1334" s="93">
        <v>155210</v>
      </c>
      <c r="B1334" t="s">
        <v>1887</v>
      </c>
      <c r="C1334" t="s">
        <v>4919</v>
      </c>
      <c r="D1334" s="92">
        <v>0.35</v>
      </c>
      <c r="E1334" s="92">
        <v>0.28</v>
      </c>
      <c r="F1334" t="s">
        <v>446</v>
      </c>
      <c r="G1334" t="s">
        <v>446</v>
      </c>
      <c r="H1334" t="s">
        <v>4932</v>
      </c>
      <c r="I1334">
        <v>0</v>
      </c>
      <c r="J1334" t="s">
        <v>97</v>
      </c>
      <c r="K1334">
        <v>0</v>
      </c>
      <c r="L1334">
        <v>0</v>
      </c>
      <c r="M1334" t="s">
        <v>11</v>
      </c>
    </row>
    <row r="1335" spans="1:13">
      <c r="A1335" s="93">
        <v>155283</v>
      </c>
      <c r="B1335" t="s">
        <v>1888</v>
      </c>
      <c r="C1335" t="s">
        <v>4924</v>
      </c>
      <c r="D1335" s="92">
        <v>0.4</v>
      </c>
      <c r="E1335" s="92">
        <v>0.33</v>
      </c>
      <c r="F1335" t="s">
        <v>446</v>
      </c>
      <c r="G1335" t="s">
        <v>446</v>
      </c>
      <c r="H1335" t="s">
        <v>4930</v>
      </c>
      <c r="I1335">
        <v>0</v>
      </c>
      <c r="J1335" t="s">
        <v>97</v>
      </c>
      <c r="K1335">
        <v>0</v>
      </c>
      <c r="L1335">
        <v>0</v>
      </c>
      <c r="M1335" t="s">
        <v>11</v>
      </c>
    </row>
    <row r="1336" spans="1:13">
      <c r="A1336" s="93">
        <v>155292</v>
      </c>
      <c r="B1336" t="s">
        <v>1889</v>
      </c>
      <c r="C1336" t="s">
        <v>4919</v>
      </c>
      <c r="D1336" s="92">
        <v>0.41</v>
      </c>
      <c r="E1336" s="92">
        <v>0.37</v>
      </c>
      <c r="F1336" t="s">
        <v>446</v>
      </c>
      <c r="G1336" t="s">
        <v>446</v>
      </c>
      <c r="H1336" t="s">
        <v>4932</v>
      </c>
      <c r="I1336">
        <v>0</v>
      </c>
      <c r="J1336" t="s">
        <v>97</v>
      </c>
      <c r="K1336">
        <v>0</v>
      </c>
      <c r="L1336">
        <v>0</v>
      </c>
      <c r="M1336" t="s">
        <v>11</v>
      </c>
    </row>
    <row r="1337" spans="1:13">
      <c r="A1337" s="93">
        <v>155308</v>
      </c>
      <c r="B1337" t="s">
        <v>1890</v>
      </c>
      <c r="C1337" t="s">
        <v>4923</v>
      </c>
      <c r="D1337" s="92">
        <v>1</v>
      </c>
      <c r="E1337" s="92" t="s">
        <v>446</v>
      </c>
      <c r="F1337" t="s">
        <v>446</v>
      </c>
      <c r="G1337" t="s">
        <v>446</v>
      </c>
      <c r="H1337" t="s">
        <v>4931</v>
      </c>
      <c r="I1337">
        <v>0</v>
      </c>
      <c r="J1337" t="s">
        <v>97</v>
      </c>
      <c r="K1337">
        <v>0</v>
      </c>
      <c r="L1337">
        <v>0</v>
      </c>
      <c r="M1337" t="s">
        <v>11</v>
      </c>
    </row>
    <row r="1338" spans="1:13">
      <c r="A1338" s="93">
        <v>155335</v>
      </c>
      <c r="B1338" t="s">
        <v>1891</v>
      </c>
      <c r="C1338" t="s">
        <v>4920</v>
      </c>
      <c r="D1338" s="92">
        <v>0.53</v>
      </c>
      <c r="E1338" s="92">
        <v>0.37</v>
      </c>
      <c r="F1338">
        <v>930</v>
      </c>
      <c r="G1338">
        <v>1070</v>
      </c>
      <c r="H1338" t="s">
        <v>4930</v>
      </c>
      <c r="I1338">
        <v>0</v>
      </c>
      <c r="J1338" t="s">
        <v>97</v>
      </c>
      <c r="K1338">
        <v>0</v>
      </c>
      <c r="L1338">
        <v>0</v>
      </c>
      <c r="M1338" t="s">
        <v>11</v>
      </c>
    </row>
    <row r="1339" spans="1:13">
      <c r="A1339" s="93">
        <v>155399</v>
      </c>
      <c r="B1339" t="s">
        <v>1892</v>
      </c>
      <c r="C1339" t="s">
        <v>4916</v>
      </c>
      <c r="D1339" s="92">
        <v>0.68</v>
      </c>
      <c r="E1339" s="92">
        <v>0.58</v>
      </c>
      <c r="F1339" t="s">
        <v>446</v>
      </c>
      <c r="G1339" t="s">
        <v>446</v>
      </c>
      <c r="H1339" t="s">
        <v>4930</v>
      </c>
      <c r="I1339">
        <v>0</v>
      </c>
      <c r="J1339" t="s">
        <v>97</v>
      </c>
      <c r="K1339">
        <v>0</v>
      </c>
      <c r="L1339">
        <v>0</v>
      </c>
      <c r="M1339" t="s">
        <v>11</v>
      </c>
    </row>
    <row r="1340" spans="1:13">
      <c r="A1340" s="93">
        <v>155414</v>
      </c>
      <c r="B1340" t="s">
        <v>1893</v>
      </c>
      <c r="C1340" t="s">
        <v>4920</v>
      </c>
      <c r="D1340" s="92">
        <v>0.43</v>
      </c>
      <c r="E1340" s="92">
        <v>0.38</v>
      </c>
      <c r="F1340" t="s">
        <v>446</v>
      </c>
      <c r="G1340" t="s">
        <v>446</v>
      </c>
      <c r="H1340" t="s">
        <v>4930</v>
      </c>
      <c r="I1340">
        <v>0</v>
      </c>
      <c r="J1340" t="s">
        <v>97</v>
      </c>
      <c r="K1340">
        <v>0</v>
      </c>
      <c r="L1340">
        <v>0</v>
      </c>
      <c r="M1340" t="s">
        <v>11</v>
      </c>
    </row>
    <row r="1341" spans="1:13">
      <c r="A1341" s="93">
        <v>155450</v>
      </c>
      <c r="B1341" t="s">
        <v>1894</v>
      </c>
      <c r="C1341" t="s">
        <v>4919</v>
      </c>
      <c r="D1341" s="92">
        <v>0.4</v>
      </c>
      <c r="E1341" s="92">
        <v>0.42</v>
      </c>
      <c r="F1341" t="s">
        <v>446</v>
      </c>
      <c r="G1341" t="s">
        <v>446</v>
      </c>
      <c r="H1341" t="s">
        <v>4932</v>
      </c>
      <c r="I1341">
        <v>0</v>
      </c>
      <c r="J1341" t="s">
        <v>97</v>
      </c>
      <c r="K1341">
        <v>0</v>
      </c>
      <c r="L1341">
        <v>0</v>
      </c>
      <c r="M1341" t="s">
        <v>11</v>
      </c>
    </row>
    <row r="1342" spans="1:13">
      <c r="A1342" s="93">
        <v>155487</v>
      </c>
      <c r="B1342" t="s">
        <v>1895</v>
      </c>
      <c r="C1342" t="s">
        <v>4919</v>
      </c>
      <c r="D1342" s="92">
        <v>0.6</v>
      </c>
      <c r="E1342" s="92">
        <v>0.57</v>
      </c>
      <c r="F1342" t="s">
        <v>446</v>
      </c>
      <c r="G1342" t="s">
        <v>446</v>
      </c>
      <c r="H1342" t="s">
        <v>4932</v>
      </c>
      <c r="I1342">
        <v>0</v>
      </c>
      <c r="J1342" t="s">
        <v>97</v>
      </c>
      <c r="K1342">
        <v>0</v>
      </c>
      <c r="L1342">
        <v>0</v>
      </c>
      <c r="M1342" t="s">
        <v>11</v>
      </c>
    </row>
    <row r="1343" spans="1:13">
      <c r="A1343" s="93">
        <v>155496</v>
      </c>
      <c r="B1343" t="s">
        <v>1896</v>
      </c>
      <c r="C1343" t="s">
        <v>4918</v>
      </c>
      <c r="D1343" s="92">
        <v>0.38</v>
      </c>
      <c r="E1343" s="92">
        <v>0.32</v>
      </c>
      <c r="F1343">
        <v>970</v>
      </c>
      <c r="G1343">
        <v>1105</v>
      </c>
      <c r="H1343" t="s">
        <v>4930</v>
      </c>
      <c r="I1343">
        <v>0</v>
      </c>
      <c r="J1343" t="s">
        <v>97</v>
      </c>
      <c r="K1343">
        <v>0</v>
      </c>
      <c r="L1343">
        <v>0</v>
      </c>
      <c r="M1343" t="s">
        <v>11</v>
      </c>
    </row>
    <row r="1344" spans="1:13">
      <c r="A1344" s="93">
        <v>155511</v>
      </c>
      <c r="B1344" t="s">
        <v>1897</v>
      </c>
      <c r="C1344" t="s">
        <v>4920</v>
      </c>
      <c r="D1344" s="92">
        <v>0.44</v>
      </c>
      <c r="E1344" s="92">
        <v>0.38</v>
      </c>
      <c r="F1344" t="s">
        <v>446</v>
      </c>
      <c r="G1344" t="s">
        <v>446</v>
      </c>
      <c r="H1344" t="s">
        <v>4930</v>
      </c>
      <c r="I1344">
        <v>0</v>
      </c>
      <c r="J1344" t="s">
        <v>97</v>
      </c>
      <c r="K1344">
        <v>0</v>
      </c>
      <c r="L1344">
        <v>0</v>
      </c>
      <c r="M1344" t="s">
        <v>11</v>
      </c>
    </row>
    <row r="1345" spans="1:13">
      <c r="A1345" s="93">
        <v>155520</v>
      </c>
      <c r="B1345" t="s">
        <v>1898</v>
      </c>
      <c r="C1345" t="s">
        <v>4920</v>
      </c>
      <c r="D1345" s="92">
        <v>0.45</v>
      </c>
      <c r="E1345" s="92">
        <v>0.23</v>
      </c>
      <c r="F1345">
        <v>930</v>
      </c>
      <c r="G1345">
        <v>1035</v>
      </c>
      <c r="H1345" t="s">
        <v>4930</v>
      </c>
      <c r="I1345">
        <v>0</v>
      </c>
      <c r="J1345" t="s">
        <v>97</v>
      </c>
      <c r="K1345">
        <v>0</v>
      </c>
      <c r="L1345">
        <v>0</v>
      </c>
      <c r="M1345" t="s">
        <v>11</v>
      </c>
    </row>
    <row r="1346" spans="1:13">
      <c r="A1346" s="93">
        <v>155566</v>
      </c>
      <c r="B1346" t="s">
        <v>1899</v>
      </c>
      <c r="C1346" t="s">
        <v>4919</v>
      </c>
      <c r="D1346" s="92">
        <v>0.48</v>
      </c>
      <c r="E1346" s="92">
        <v>0.45</v>
      </c>
      <c r="F1346" t="s">
        <v>446</v>
      </c>
      <c r="G1346" t="s">
        <v>446</v>
      </c>
      <c r="H1346" t="s">
        <v>4932</v>
      </c>
      <c r="I1346">
        <v>0</v>
      </c>
      <c r="J1346" t="s">
        <v>97</v>
      </c>
      <c r="K1346">
        <v>0</v>
      </c>
      <c r="L1346">
        <v>0</v>
      </c>
      <c r="M1346" t="s">
        <v>11</v>
      </c>
    </row>
    <row r="1347" spans="1:13">
      <c r="A1347" s="93">
        <v>155593</v>
      </c>
      <c r="B1347" t="s">
        <v>1900</v>
      </c>
      <c r="C1347" t="s">
        <v>4919</v>
      </c>
      <c r="D1347" s="92" t="s">
        <v>446</v>
      </c>
      <c r="E1347" s="92" t="s">
        <v>446</v>
      </c>
      <c r="F1347" t="s">
        <v>446</v>
      </c>
      <c r="G1347" t="s">
        <v>446</v>
      </c>
      <c r="H1347" t="s">
        <v>4932</v>
      </c>
      <c r="I1347">
        <v>0</v>
      </c>
      <c r="J1347" t="s">
        <v>97</v>
      </c>
      <c r="K1347">
        <v>0</v>
      </c>
      <c r="L1347">
        <v>0</v>
      </c>
      <c r="M1347" t="s">
        <v>11</v>
      </c>
    </row>
    <row r="1348" spans="1:13">
      <c r="A1348" s="93">
        <v>155618</v>
      </c>
      <c r="B1348" t="s">
        <v>1901</v>
      </c>
      <c r="C1348" t="s">
        <v>4919</v>
      </c>
      <c r="D1348" s="92">
        <v>0.61</v>
      </c>
      <c r="E1348" s="92">
        <v>0.6</v>
      </c>
      <c r="F1348" t="s">
        <v>446</v>
      </c>
      <c r="G1348" t="s">
        <v>446</v>
      </c>
      <c r="H1348" t="s">
        <v>4932</v>
      </c>
      <c r="I1348">
        <v>0</v>
      </c>
      <c r="J1348" t="s">
        <v>97</v>
      </c>
      <c r="K1348">
        <v>0</v>
      </c>
      <c r="L1348">
        <v>0</v>
      </c>
      <c r="M1348" t="s">
        <v>11</v>
      </c>
    </row>
    <row r="1349" spans="1:13">
      <c r="A1349" s="93">
        <v>155627</v>
      </c>
      <c r="B1349" t="s">
        <v>1902</v>
      </c>
      <c r="C1349" t="s">
        <v>4916</v>
      </c>
      <c r="D1349" s="92">
        <v>0.4</v>
      </c>
      <c r="E1349" s="92">
        <v>0.32</v>
      </c>
      <c r="F1349">
        <v>890</v>
      </c>
      <c r="G1349">
        <v>950</v>
      </c>
      <c r="H1349" t="s">
        <v>4930</v>
      </c>
      <c r="I1349">
        <v>0</v>
      </c>
      <c r="J1349" t="s">
        <v>97</v>
      </c>
      <c r="K1349">
        <v>0</v>
      </c>
      <c r="L1349">
        <v>0</v>
      </c>
      <c r="M1349" t="s">
        <v>11</v>
      </c>
    </row>
    <row r="1350" spans="1:13">
      <c r="A1350" s="93">
        <v>155636</v>
      </c>
      <c r="B1350" t="s">
        <v>1903</v>
      </c>
      <c r="C1350" t="s">
        <v>4924</v>
      </c>
      <c r="D1350" s="92" t="s">
        <v>446</v>
      </c>
      <c r="E1350" s="92" t="s">
        <v>446</v>
      </c>
      <c r="F1350" t="s">
        <v>446</v>
      </c>
      <c r="G1350" t="s">
        <v>446</v>
      </c>
      <c r="H1350" t="s">
        <v>4932</v>
      </c>
      <c r="I1350">
        <v>0</v>
      </c>
      <c r="J1350" t="s">
        <v>97</v>
      </c>
      <c r="K1350">
        <v>0</v>
      </c>
      <c r="L1350">
        <v>0</v>
      </c>
      <c r="M1350" t="s">
        <v>11</v>
      </c>
    </row>
    <row r="1351" spans="1:13">
      <c r="A1351" s="93">
        <v>155681</v>
      </c>
      <c r="B1351" t="s">
        <v>1904</v>
      </c>
      <c r="C1351" t="s">
        <v>4923</v>
      </c>
      <c r="D1351" s="92">
        <v>0.52</v>
      </c>
      <c r="E1351" s="92">
        <v>0.39</v>
      </c>
      <c r="F1351">
        <v>930</v>
      </c>
      <c r="G1351">
        <v>1055</v>
      </c>
      <c r="H1351" t="s">
        <v>4932</v>
      </c>
      <c r="I1351">
        <v>0</v>
      </c>
      <c r="J1351" t="s">
        <v>97</v>
      </c>
      <c r="K1351">
        <v>0</v>
      </c>
      <c r="L1351">
        <v>0</v>
      </c>
      <c r="M1351" t="s">
        <v>11</v>
      </c>
    </row>
    <row r="1352" spans="1:13">
      <c r="A1352" s="93">
        <v>155715</v>
      </c>
      <c r="B1352" t="s">
        <v>1905</v>
      </c>
      <c r="C1352" t="s">
        <v>4919</v>
      </c>
      <c r="D1352" s="92">
        <v>0.53</v>
      </c>
      <c r="E1352" s="92">
        <v>0.42</v>
      </c>
      <c r="F1352" t="s">
        <v>446</v>
      </c>
      <c r="G1352" t="s">
        <v>446</v>
      </c>
      <c r="H1352" t="s">
        <v>4932</v>
      </c>
      <c r="I1352">
        <v>0</v>
      </c>
      <c r="J1352" t="s">
        <v>97</v>
      </c>
      <c r="K1352">
        <v>0</v>
      </c>
      <c r="L1352">
        <v>0</v>
      </c>
      <c r="M1352" t="s">
        <v>11</v>
      </c>
    </row>
    <row r="1353" spans="1:13">
      <c r="A1353" s="93">
        <v>155812</v>
      </c>
      <c r="B1353" t="s">
        <v>1906</v>
      </c>
      <c r="C1353" t="s">
        <v>4920</v>
      </c>
      <c r="D1353" s="92">
        <v>0.51</v>
      </c>
      <c r="E1353" s="92">
        <v>0.44</v>
      </c>
      <c r="F1353" t="s">
        <v>446</v>
      </c>
      <c r="G1353" t="s">
        <v>446</v>
      </c>
      <c r="H1353" t="s">
        <v>4930</v>
      </c>
      <c r="I1353">
        <v>0</v>
      </c>
      <c r="J1353" t="s">
        <v>97</v>
      </c>
      <c r="K1353">
        <v>0</v>
      </c>
      <c r="L1353">
        <v>0</v>
      </c>
      <c r="M1353" t="s">
        <v>11</v>
      </c>
    </row>
    <row r="1354" spans="1:13">
      <c r="A1354" s="93">
        <v>155830</v>
      </c>
      <c r="B1354" t="s">
        <v>1907</v>
      </c>
      <c r="C1354" t="s">
        <v>4919</v>
      </c>
      <c r="D1354" s="92" t="s">
        <v>446</v>
      </c>
      <c r="E1354" s="92" t="s">
        <v>446</v>
      </c>
      <c r="F1354" t="s">
        <v>446</v>
      </c>
      <c r="G1354" t="s">
        <v>446</v>
      </c>
      <c r="H1354" t="s">
        <v>4932</v>
      </c>
      <c r="I1354">
        <v>0</v>
      </c>
      <c r="J1354" t="s">
        <v>97</v>
      </c>
      <c r="K1354">
        <v>0</v>
      </c>
      <c r="L1354">
        <v>0</v>
      </c>
      <c r="M1354" t="s">
        <v>11</v>
      </c>
    </row>
    <row r="1355" spans="1:13">
      <c r="A1355" s="93">
        <v>155858</v>
      </c>
      <c r="B1355" t="s">
        <v>1908</v>
      </c>
      <c r="C1355" t="s">
        <v>4919</v>
      </c>
      <c r="D1355" s="92">
        <v>0.51</v>
      </c>
      <c r="E1355" s="92">
        <v>0.51</v>
      </c>
      <c r="F1355" t="s">
        <v>446</v>
      </c>
      <c r="G1355" t="s">
        <v>446</v>
      </c>
      <c r="H1355" t="s">
        <v>4932</v>
      </c>
      <c r="I1355">
        <v>0</v>
      </c>
      <c r="J1355" t="s">
        <v>97</v>
      </c>
      <c r="K1355">
        <v>0</v>
      </c>
      <c r="L1355">
        <v>0</v>
      </c>
      <c r="M1355" t="s">
        <v>11</v>
      </c>
    </row>
    <row r="1356" spans="1:13">
      <c r="A1356" s="93">
        <v>155900</v>
      </c>
      <c r="B1356" t="s">
        <v>1909</v>
      </c>
      <c r="C1356" t="s">
        <v>4920</v>
      </c>
      <c r="D1356" s="92">
        <v>0.4</v>
      </c>
      <c r="E1356" s="92">
        <v>0.38</v>
      </c>
      <c r="F1356">
        <v>890</v>
      </c>
      <c r="G1356">
        <v>1000</v>
      </c>
      <c r="H1356" t="s">
        <v>4930</v>
      </c>
      <c r="I1356">
        <v>0</v>
      </c>
      <c r="J1356" t="s">
        <v>97</v>
      </c>
      <c r="K1356">
        <v>0</v>
      </c>
      <c r="L1356">
        <v>0</v>
      </c>
      <c r="M1356" t="s">
        <v>11</v>
      </c>
    </row>
    <row r="1357" spans="1:13">
      <c r="A1357" s="93">
        <v>155937</v>
      </c>
      <c r="B1357" t="s">
        <v>1910</v>
      </c>
      <c r="C1357" t="s">
        <v>4920</v>
      </c>
      <c r="D1357" s="92">
        <v>0.48</v>
      </c>
      <c r="E1357" s="92">
        <v>0.37</v>
      </c>
      <c r="F1357">
        <v>970</v>
      </c>
      <c r="G1357">
        <v>1090</v>
      </c>
      <c r="H1357" t="s">
        <v>4930</v>
      </c>
      <c r="I1357">
        <v>0</v>
      </c>
      <c r="J1357" t="s">
        <v>97</v>
      </c>
      <c r="K1357">
        <v>0</v>
      </c>
      <c r="L1357">
        <v>0</v>
      </c>
      <c r="M1357" t="s">
        <v>11</v>
      </c>
    </row>
    <row r="1358" spans="1:13">
      <c r="A1358" s="93">
        <v>155973</v>
      </c>
      <c r="B1358" t="s">
        <v>1911</v>
      </c>
      <c r="C1358" t="s">
        <v>4920</v>
      </c>
      <c r="D1358" s="92">
        <v>0.44</v>
      </c>
      <c r="E1358" s="92">
        <v>0.27</v>
      </c>
      <c r="F1358" t="s">
        <v>446</v>
      </c>
      <c r="G1358" t="s">
        <v>446</v>
      </c>
      <c r="H1358" t="s">
        <v>4930</v>
      </c>
      <c r="I1358">
        <v>0</v>
      </c>
      <c r="J1358" t="s">
        <v>97</v>
      </c>
      <c r="K1358">
        <v>0</v>
      </c>
      <c r="L1358">
        <v>0</v>
      </c>
      <c r="M1358" t="s">
        <v>11</v>
      </c>
    </row>
    <row r="1359" spans="1:13">
      <c r="A1359" s="93">
        <v>156082</v>
      </c>
      <c r="B1359" t="s">
        <v>1912</v>
      </c>
      <c r="C1359" t="s">
        <v>4920</v>
      </c>
      <c r="D1359" s="92">
        <v>0.42</v>
      </c>
      <c r="E1359" s="92">
        <v>0.29</v>
      </c>
      <c r="F1359" t="s">
        <v>446</v>
      </c>
      <c r="G1359" t="s">
        <v>446</v>
      </c>
      <c r="H1359" t="s">
        <v>4932</v>
      </c>
      <c r="I1359">
        <v>0</v>
      </c>
      <c r="J1359" t="s">
        <v>97</v>
      </c>
      <c r="K1359">
        <v>0</v>
      </c>
      <c r="L1359">
        <v>0</v>
      </c>
      <c r="M1359" t="s">
        <v>11</v>
      </c>
    </row>
    <row r="1360" spans="1:13">
      <c r="A1360" s="93">
        <v>156107</v>
      </c>
      <c r="B1360" t="s">
        <v>1913</v>
      </c>
      <c r="C1360" t="s">
        <v>4919</v>
      </c>
      <c r="D1360" s="92">
        <v>0.46</v>
      </c>
      <c r="E1360" s="92">
        <v>0.37</v>
      </c>
      <c r="F1360" t="s">
        <v>446</v>
      </c>
      <c r="G1360" t="s">
        <v>446</v>
      </c>
      <c r="H1360" t="s">
        <v>4932</v>
      </c>
      <c r="I1360">
        <v>0</v>
      </c>
      <c r="J1360" t="s">
        <v>97</v>
      </c>
      <c r="K1360">
        <v>0</v>
      </c>
      <c r="L1360">
        <v>0</v>
      </c>
      <c r="M1360" t="s">
        <v>11</v>
      </c>
    </row>
    <row r="1361" spans="1:13">
      <c r="A1361" s="93">
        <v>156125</v>
      </c>
      <c r="B1361" t="s">
        <v>1914</v>
      </c>
      <c r="C1361" t="s">
        <v>4920</v>
      </c>
      <c r="D1361" s="92">
        <v>0.48</v>
      </c>
      <c r="E1361" s="92">
        <v>0.38</v>
      </c>
      <c r="F1361">
        <v>1010</v>
      </c>
      <c r="G1361">
        <v>1125</v>
      </c>
      <c r="H1361" t="s">
        <v>4932</v>
      </c>
      <c r="I1361">
        <v>0</v>
      </c>
      <c r="J1361" t="s">
        <v>97</v>
      </c>
      <c r="K1361">
        <v>0</v>
      </c>
      <c r="L1361">
        <v>0</v>
      </c>
      <c r="M1361" t="s">
        <v>11</v>
      </c>
    </row>
    <row r="1362" spans="1:13">
      <c r="A1362" s="93">
        <v>156134</v>
      </c>
      <c r="B1362" t="s">
        <v>1915</v>
      </c>
      <c r="C1362" t="s">
        <v>4919</v>
      </c>
      <c r="D1362" s="92" t="s">
        <v>446</v>
      </c>
      <c r="E1362" s="92" t="s">
        <v>446</v>
      </c>
      <c r="F1362" t="s">
        <v>446</v>
      </c>
      <c r="G1362" t="s">
        <v>446</v>
      </c>
      <c r="H1362" t="s">
        <v>4930</v>
      </c>
      <c r="I1362">
        <v>0</v>
      </c>
      <c r="J1362" t="s">
        <v>97</v>
      </c>
      <c r="K1362">
        <v>0</v>
      </c>
      <c r="L1362">
        <v>0</v>
      </c>
      <c r="M1362" t="s">
        <v>11</v>
      </c>
    </row>
    <row r="1363" spans="1:13">
      <c r="A1363" s="93">
        <v>156189</v>
      </c>
      <c r="B1363" t="s">
        <v>1916</v>
      </c>
      <c r="C1363" t="s">
        <v>4920</v>
      </c>
      <c r="D1363" s="92">
        <v>0.36</v>
      </c>
      <c r="E1363" s="92">
        <v>0</v>
      </c>
      <c r="F1363">
        <v>930</v>
      </c>
      <c r="G1363">
        <v>1020</v>
      </c>
      <c r="H1363" t="s">
        <v>4931</v>
      </c>
      <c r="I1363">
        <v>0</v>
      </c>
      <c r="J1363" t="s">
        <v>97</v>
      </c>
      <c r="K1363">
        <v>0</v>
      </c>
      <c r="L1363">
        <v>0</v>
      </c>
      <c r="M1363" t="s">
        <v>11</v>
      </c>
    </row>
    <row r="1364" spans="1:13">
      <c r="A1364" s="93">
        <v>156213</v>
      </c>
      <c r="B1364" t="s">
        <v>1917</v>
      </c>
      <c r="C1364" t="s">
        <v>4920</v>
      </c>
      <c r="D1364" s="92">
        <v>0.65</v>
      </c>
      <c r="E1364" s="92">
        <v>0.38</v>
      </c>
      <c r="F1364" t="s">
        <v>446</v>
      </c>
      <c r="G1364" t="s">
        <v>446</v>
      </c>
      <c r="H1364" t="s">
        <v>4930</v>
      </c>
      <c r="I1364">
        <v>0</v>
      </c>
      <c r="J1364" t="s">
        <v>97</v>
      </c>
      <c r="K1364">
        <v>0</v>
      </c>
      <c r="L1364">
        <v>0</v>
      </c>
      <c r="M1364" t="s">
        <v>11</v>
      </c>
    </row>
    <row r="1365" spans="1:13">
      <c r="A1365" s="93">
        <v>156222</v>
      </c>
      <c r="B1365" t="s">
        <v>1918</v>
      </c>
      <c r="C1365" t="s">
        <v>4924</v>
      </c>
      <c r="D1365" s="92" t="s">
        <v>446</v>
      </c>
      <c r="E1365" s="92" t="s">
        <v>446</v>
      </c>
      <c r="F1365" t="s">
        <v>446</v>
      </c>
      <c r="G1365" t="s">
        <v>446</v>
      </c>
      <c r="H1365" t="s">
        <v>4932</v>
      </c>
      <c r="I1365">
        <v>0</v>
      </c>
      <c r="J1365" t="s">
        <v>97</v>
      </c>
      <c r="K1365">
        <v>0</v>
      </c>
      <c r="L1365">
        <v>0</v>
      </c>
      <c r="M1365" t="s">
        <v>11</v>
      </c>
    </row>
    <row r="1366" spans="1:13">
      <c r="A1366" s="93">
        <v>156231</v>
      </c>
      <c r="B1366" t="s">
        <v>1919</v>
      </c>
      <c r="C1366" t="s">
        <v>4919</v>
      </c>
      <c r="D1366" s="92">
        <v>0.49</v>
      </c>
      <c r="E1366" s="92">
        <v>0.3</v>
      </c>
      <c r="F1366" t="s">
        <v>446</v>
      </c>
      <c r="G1366" t="s">
        <v>446</v>
      </c>
      <c r="H1366" t="s">
        <v>4932</v>
      </c>
      <c r="I1366">
        <v>0</v>
      </c>
      <c r="J1366" t="s">
        <v>97</v>
      </c>
      <c r="K1366">
        <v>0</v>
      </c>
      <c r="L1366">
        <v>0</v>
      </c>
      <c r="M1366" t="s">
        <v>11</v>
      </c>
    </row>
    <row r="1367" spans="1:13">
      <c r="A1367" s="93">
        <v>156286</v>
      </c>
      <c r="B1367" t="s">
        <v>1920</v>
      </c>
      <c r="C1367" t="s">
        <v>4920</v>
      </c>
      <c r="D1367" s="92">
        <v>0.65</v>
      </c>
      <c r="E1367" s="92">
        <v>0.57</v>
      </c>
      <c r="F1367">
        <v>1080</v>
      </c>
      <c r="G1367">
        <v>1180</v>
      </c>
      <c r="H1367" t="s">
        <v>4930</v>
      </c>
      <c r="I1367">
        <v>0</v>
      </c>
      <c r="J1367" t="s">
        <v>97</v>
      </c>
      <c r="K1367">
        <v>0</v>
      </c>
      <c r="L1367">
        <v>0</v>
      </c>
      <c r="M1367" t="s">
        <v>11</v>
      </c>
    </row>
    <row r="1368" spans="1:13">
      <c r="A1368" s="93">
        <v>156338</v>
      </c>
      <c r="B1368" t="s">
        <v>1921</v>
      </c>
      <c r="C1368" t="s">
        <v>4919</v>
      </c>
      <c r="D1368" s="92">
        <v>0.45</v>
      </c>
      <c r="E1368" s="92">
        <v>0.33</v>
      </c>
      <c r="F1368" t="s">
        <v>446</v>
      </c>
      <c r="G1368" t="s">
        <v>446</v>
      </c>
      <c r="H1368" t="s">
        <v>4932</v>
      </c>
      <c r="I1368">
        <v>0</v>
      </c>
      <c r="J1368" t="s">
        <v>97</v>
      </c>
      <c r="K1368">
        <v>0</v>
      </c>
      <c r="L1368">
        <v>0</v>
      </c>
      <c r="M1368" t="s">
        <v>11</v>
      </c>
    </row>
    <row r="1369" spans="1:13">
      <c r="A1369" s="93">
        <v>156356</v>
      </c>
      <c r="B1369" t="s">
        <v>1922</v>
      </c>
      <c r="C1369" t="s">
        <v>4916</v>
      </c>
      <c r="D1369" s="92">
        <v>0.37</v>
      </c>
      <c r="E1369" s="92">
        <v>0.36</v>
      </c>
      <c r="F1369">
        <v>970</v>
      </c>
      <c r="G1369">
        <v>1090</v>
      </c>
      <c r="H1369" t="s">
        <v>4931</v>
      </c>
      <c r="I1369">
        <v>0</v>
      </c>
      <c r="J1369" t="s">
        <v>97</v>
      </c>
      <c r="K1369">
        <v>0</v>
      </c>
      <c r="L1369">
        <v>0</v>
      </c>
      <c r="M1369" t="s">
        <v>11</v>
      </c>
    </row>
    <row r="1370" spans="1:13">
      <c r="A1370" s="93">
        <v>156365</v>
      </c>
      <c r="B1370" t="s">
        <v>1923</v>
      </c>
      <c r="C1370" t="s">
        <v>4920</v>
      </c>
      <c r="D1370" s="92">
        <v>0.37</v>
      </c>
      <c r="E1370" s="92">
        <v>0.18</v>
      </c>
      <c r="F1370" t="s">
        <v>446</v>
      </c>
      <c r="G1370" t="s">
        <v>446</v>
      </c>
      <c r="H1370" t="s">
        <v>4930</v>
      </c>
      <c r="I1370">
        <v>0</v>
      </c>
      <c r="J1370" t="s">
        <v>97</v>
      </c>
      <c r="K1370">
        <v>0</v>
      </c>
      <c r="L1370">
        <v>0</v>
      </c>
      <c r="M1370" t="s">
        <v>11</v>
      </c>
    </row>
    <row r="1371" spans="1:13">
      <c r="A1371" s="93">
        <v>156392</v>
      </c>
      <c r="B1371" t="s">
        <v>1924</v>
      </c>
      <c r="C1371" t="s">
        <v>4919</v>
      </c>
      <c r="D1371" s="92">
        <v>0.42</v>
      </c>
      <c r="E1371" s="92">
        <v>0.28</v>
      </c>
      <c r="F1371" t="s">
        <v>446</v>
      </c>
      <c r="G1371" t="s">
        <v>446</v>
      </c>
      <c r="H1371" t="s">
        <v>4932</v>
      </c>
      <c r="I1371">
        <v>0</v>
      </c>
      <c r="J1371" t="s">
        <v>97</v>
      </c>
      <c r="K1371">
        <v>0</v>
      </c>
      <c r="L1371">
        <v>0</v>
      </c>
      <c r="M1371" t="s">
        <v>11</v>
      </c>
    </row>
    <row r="1372" spans="1:13">
      <c r="A1372" s="93">
        <v>156408</v>
      </c>
      <c r="B1372" t="s">
        <v>1925</v>
      </c>
      <c r="C1372" t="s">
        <v>4917</v>
      </c>
      <c r="D1372" s="92">
        <v>0.85</v>
      </c>
      <c r="E1372" s="92">
        <v>0.91</v>
      </c>
      <c r="F1372">
        <v>1280</v>
      </c>
      <c r="G1372">
        <v>1370</v>
      </c>
      <c r="H1372" t="s">
        <v>4930</v>
      </c>
      <c r="I1372">
        <v>0</v>
      </c>
      <c r="J1372" t="s">
        <v>97</v>
      </c>
      <c r="K1372">
        <v>0</v>
      </c>
      <c r="L1372">
        <v>0</v>
      </c>
      <c r="M1372" t="s">
        <v>11</v>
      </c>
    </row>
    <row r="1373" spans="1:13">
      <c r="A1373" s="93">
        <v>156417</v>
      </c>
      <c r="B1373" t="s">
        <v>1926</v>
      </c>
      <c r="C1373" t="s">
        <v>4923</v>
      </c>
      <c r="D1373" s="92">
        <v>0.32</v>
      </c>
      <c r="E1373" s="92">
        <v>1</v>
      </c>
      <c r="F1373" t="s">
        <v>446</v>
      </c>
      <c r="G1373" t="s">
        <v>446</v>
      </c>
      <c r="H1373" t="s">
        <v>4931</v>
      </c>
      <c r="I1373">
        <v>0</v>
      </c>
      <c r="J1373" t="s">
        <v>97</v>
      </c>
      <c r="K1373">
        <v>0</v>
      </c>
      <c r="L1373">
        <v>0</v>
      </c>
      <c r="M1373" t="s">
        <v>11</v>
      </c>
    </row>
    <row r="1374" spans="1:13">
      <c r="A1374" s="93">
        <v>156471</v>
      </c>
      <c r="B1374" t="s">
        <v>1927</v>
      </c>
      <c r="C1374" t="s">
        <v>4923</v>
      </c>
      <c r="D1374" s="92" t="s">
        <v>446</v>
      </c>
      <c r="E1374" s="92" t="s">
        <v>446</v>
      </c>
      <c r="F1374" t="s">
        <v>446</v>
      </c>
      <c r="G1374" t="s">
        <v>446</v>
      </c>
      <c r="H1374" t="s">
        <v>4932</v>
      </c>
      <c r="I1374">
        <v>0</v>
      </c>
      <c r="J1374" t="s">
        <v>97</v>
      </c>
      <c r="K1374">
        <v>0</v>
      </c>
      <c r="L1374">
        <v>0</v>
      </c>
      <c r="M1374" t="s">
        <v>11</v>
      </c>
    </row>
    <row r="1375" spans="1:13">
      <c r="A1375" s="93">
        <v>156541</v>
      </c>
      <c r="B1375" t="s">
        <v>1928</v>
      </c>
      <c r="C1375" t="s">
        <v>4920</v>
      </c>
      <c r="D1375" s="92">
        <v>0.44</v>
      </c>
      <c r="E1375" s="92">
        <v>0.17</v>
      </c>
      <c r="F1375">
        <v>930</v>
      </c>
      <c r="G1375">
        <v>1055</v>
      </c>
      <c r="H1375" t="s">
        <v>4931</v>
      </c>
      <c r="I1375">
        <v>0</v>
      </c>
      <c r="J1375" t="s">
        <v>97</v>
      </c>
      <c r="K1375">
        <v>0</v>
      </c>
      <c r="L1375">
        <v>0</v>
      </c>
      <c r="M1375" t="s">
        <v>11</v>
      </c>
    </row>
    <row r="1376" spans="1:13">
      <c r="A1376" s="93">
        <v>156620</v>
      </c>
      <c r="B1376" t="s">
        <v>1929</v>
      </c>
      <c r="C1376" t="s">
        <v>4920</v>
      </c>
      <c r="D1376" s="92">
        <v>0.52</v>
      </c>
      <c r="E1376" s="92">
        <v>0.38</v>
      </c>
      <c r="F1376">
        <v>970</v>
      </c>
      <c r="G1376">
        <v>1075</v>
      </c>
      <c r="H1376" t="s">
        <v>4932</v>
      </c>
      <c r="I1376">
        <v>0</v>
      </c>
      <c r="J1376" t="s">
        <v>97</v>
      </c>
      <c r="K1376">
        <v>0</v>
      </c>
      <c r="L1376">
        <v>0</v>
      </c>
      <c r="M1376" t="s">
        <v>11</v>
      </c>
    </row>
    <row r="1377" spans="1:13">
      <c r="A1377" s="93">
        <v>156648</v>
      </c>
      <c r="B1377" t="s">
        <v>1930</v>
      </c>
      <c r="C1377" t="s">
        <v>4919</v>
      </c>
      <c r="D1377" s="92">
        <v>0.45</v>
      </c>
      <c r="E1377" s="92">
        <v>0.31</v>
      </c>
      <c r="F1377" t="s">
        <v>446</v>
      </c>
      <c r="G1377" t="s">
        <v>446</v>
      </c>
      <c r="H1377" t="s">
        <v>4932</v>
      </c>
      <c r="I1377">
        <v>0</v>
      </c>
      <c r="J1377" t="s">
        <v>97</v>
      </c>
      <c r="K1377">
        <v>0</v>
      </c>
      <c r="L1377">
        <v>0</v>
      </c>
      <c r="M1377" t="s">
        <v>11</v>
      </c>
    </row>
    <row r="1378" spans="1:13">
      <c r="A1378" s="93">
        <v>156727</v>
      </c>
      <c r="B1378" t="s">
        <v>1931</v>
      </c>
      <c r="C1378" t="s">
        <v>4924</v>
      </c>
      <c r="D1378" s="92" t="s">
        <v>446</v>
      </c>
      <c r="E1378" s="92" t="s">
        <v>446</v>
      </c>
      <c r="F1378" t="s">
        <v>446</v>
      </c>
      <c r="G1378" t="s">
        <v>446</v>
      </c>
      <c r="H1378" t="s">
        <v>4932</v>
      </c>
      <c r="I1378">
        <v>0</v>
      </c>
      <c r="J1378" t="s">
        <v>97</v>
      </c>
      <c r="K1378">
        <v>0</v>
      </c>
      <c r="L1378">
        <v>0</v>
      </c>
      <c r="M1378" t="s">
        <v>11</v>
      </c>
    </row>
    <row r="1379" spans="1:13">
      <c r="A1379" s="93">
        <v>156745</v>
      </c>
      <c r="B1379" t="s">
        <v>1932</v>
      </c>
      <c r="C1379" t="s">
        <v>4920</v>
      </c>
      <c r="D1379" s="92">
        <v>0.53</v>
      </c>
      <c r="E1379" s="92">
        <v>0.25</v>
      </c>
      <c r="F1379" t="s">
        <v>446</v>
      </c>
      <c r="G1379" t="s">
        <v>446</v>
      </c>
      <c r="H1379" t="s">
        <v>4929</v>
      </c>
      <c r="I1379">
        <v>1</v>
      </c>
      <c r="J1379" t="s">
        <v>97</v>
      </c>
      <c r="K1379">
        <v>0</v>
      </c>
      <c r="L1379">
        <v>0</v>
      </c>
      <c r="M1379" t="s">
        <v>11</v>
      </c>
    </row>
    <row r="1380" spans="1:13">
      <c r="A1380" s="93">
        <v>156790</v>
      </c>
      <c r="B1380" t="s">
        <v>1933</v>
      </c>
      <c r="C1380" t="s">
        <v>4919</v>
      </c>
      <c r="D1380" s="92">
        <v>0.43</v>
      </c>
      <c r="E1380" s="92">
        <v>0.4</v>
      </c>
      <c r="F1380" t="s">
        <v>446</v>
      </c>
      <c r="G1380" t="s">
        <v>446</v>
      </c>
      <c r="H1380" t="s">
        <v>4932</v>
      </c>
      <c r="I1380">
        <v>0</v>
      </c>
      <c r="J1380" t="s">
        <v>97</v>
      </c>
      <c r="K1380">
        <v>0</v>
      </c>
      <c r="L1380">
        <v>0</v>
      </c>
      <c r="M1380" t="s">
        <v>11</v>
      </c>
    </row>
    <row r="1381" spans="1:13">
      <c r="A1381" s="93">
        <v>156851</v>
      </c>
      <c r="B1381" t="s">
        <v>1934</v>
      </c>
      <c r="C1381" t="s">
        <v>4919</v>
      </c>
      <c r="D1381" s="92">
        <v>0.38</v>
      </c>
      <c r="E1381" s="92">
        <v>0.26</v>
      </c>
      <c r="F1381" t="s">
        <v>446</v>
      </c>
      <c r="G1381" t="s">
        <v>446</v>
      </c>
      <c r="H1381" t="s">
        <v>4932</v>
      </c>
      <c r="I1381">
        <v>0</v>
      </c>
      <c r="J1381" t="s">
        <v>97</v>
      </c>
      <c r="K1381">
        <v>0</v>
      </c>
      <c r="L1381">
        <v>0</v>
      </c>
      <c r="M1381" t="s">
        <v>11</v>
      </c>
    </row>
    <row r="1382" spans="1:13">
      <c r="A1382" s="93">
        <v>156860</v>
      </c>
      <c r="B1382" t="s">
        <v>1935</v>
      </c>
      <c r="C1382" t="s">
        <v>4919</v>
      </c>
      <c r="D1382" s="92">
        <v>0.4</v>
      </c>
      <c r="E1382" s="92">
        <v>0.29</v>
      </c>
      <c r="F1382" t="s">
        <v>446</v>
      </c>
      <c r="G1382" t="s">
        <v>446</v>
      </c>
      <c r="H1382" t="s">
        <v>4932</v>
      </c>
      <c r="I1382">
        <v>0</v>
      </c>
      <c r="J1382" t="s">
        <v>97</v>
      </c>
      <c r="K1382">
        <v>0</v>
      </c>
      <c r="L1382">
        <v>0</v>
      </c>
      <c r="M1382" t="s">
        <v>11</v>
      </c>
    </row>
    <row r="1383" spans="1:13">
      <c r="A1383" s="93">
        <v>157021</v>
      </c>
      <c r="B1383" t="s">
        <v>1936</v>
      </c>
      <c r="C1383" t="s">
        <v>4923</v>
      </c>
      <c r="D1383" s="92" t="s">
        <v>446</v>
      </c>
      <c r="E1383" s="92" t="s">
        <v>446</v>
      </c>
      <c r="F1383" t="s">
        <v>446</v>
      </c>
      <c r="G1383" t="s">
        <v>446</v>
      </c>
      <c r="H1383" t="s">
        <v>4931</v>
      </c>
      <c r="I1383">
        <v>0</v>
      </c>
      <c r="J1383" t="s">
        <v>97</v>
      </c>
      <c r="K1383">
        <v>0</v>
      </c>
      <c r="L1383">
        <v>0</v>
      </c>
      <c r="M1383" t="s">
        <v>11</v>
      </c>
    </row>
    <row r="1384" spans="1:13">
      <c r="A1384" s="93">
        <v>157030</v>
      </c>
      <c r="B1384" t="s">
        <v>1937</v>
      </c>
      <c r="C1384" t="s">
        <v>4918</v>
      </c>
      <c r="D1384" s="92">
        <v>0.38</v>
      </c>
      <c r="E1384" s="92">
        <v>0.5</v>
      </c>
      <c r="F1384">
        <v>930</v>
      </c>
      <c r="G1384">
        <v>1120</v>
      </c>
      <c r="H1384" t="s">
        <v>4931</v>
      </c>
      <c r="I1384">
        <v>0</v>
      </c>
      <c r="J1384" t="s">
        <v>97</v>
      </c>
      <c r="K1384">
        <v>0</v>
      </c>
      <c r="L1384">
        <v>0</v>
      </c>
      <c r="M1384" t="s">
        <v>11</v>
      </c>
    </row>
    <row r="1385" spans="1:13">
      <c r="A1385" s="93">
        <v>157076</v>
      </c>
      <c r="B1385" t="s">
        <v>1938</v>
      </c>
      <c r="C1385" t="s">
        <v>4920</v>
      </c>
      <c r="D1385" s="92">
        <v>0.43</v>
      </c>
      <c r="E1385" s="92">
        <v>0.29</v>
      </c>
      <c r="F1385">
        <v>1010</v>
      </c>
      <c r="G1385">
        <v>1095</v>
      </c>
      <c r="H1385" t="s">
        <v>4930</v>
      </c>
      <c r="I1385">
        <v>0</v>
      </c>
      <c r="J1385" t="s">
        <v>97</v>
      </c>
      <c r="K1385">
        <v>0</v>
      </c>
      <c r="L1385">
        <v>0</v>
      </c>
      <c r="M1385" t="s">
        <v>11</v>
      </c>
    </row>
    <row r="1386" spans="1:13">
      <c r="A1386" s="93">
        <v>157207</v>
      </c>
      <c r="B1386" t="s">
        <v>1939</v>
      </c>
      <c r="C1386" t="s">
        <v>4924</v>
      </c>
      <c r="D1386" s="92" t="s">
        <v>446</v>
      </c>
      <c r="E1386" s="92" t="s">
        <v>446</v>
      </c>
      <c r="F1386" t="s">
        <v>446</v>
      </c>
      <c r="G1386" t="s">
        <v>446</v>
      </c>
      <c r="H1386" t="s">
        <v>4932</v>
      </c>
      <c r="I1386">
        <v>0</v>
      </c>
      <c r="J1386" t="s">
        <v>97</v>
      </c>
      <c r="K1386">
        <v>0</v>
      </c>
      <c r="L1386">
        <v>0</v>
      </c>
      <c r="M1386" t="s">
        <v>11</v>
      </c>
    </row>
    <row r="1387" spans="1:13">
      <c r="A1387" s="93">
        <v>157298</v>
      </c>
      <c r="B1387" t="s">
        <v>1940</v>
      </c>
      <c r="C1387" t="s">
        <v>4924</v>
      </c>
      <c r="D1387" s="92" t="s">
        <v>446</v>
      </c>
      <c r="E1387" s="92" t="s">
        <v>446</v>
      </c>
      <c r="F1387" t="s">
        <v>446</v>
      </c>
      <c r="G1387" t="s">
        <v>446</v>
      </c>
      <c r="H1387" t="s">
        <v>4932</v>
      </c>
      <c r="I1387">
        <v>0</v>
      </c>
      <c r="J1387" t="s">
        <v>97</v>
      </c>
      <c r="K1387">
        <v>0</v>
      </c>
      <c r="L1387">
        <v>0</v>
      </c>
      <c r="M1387" t="s">
        <v>11</v>
      </c>
    </row>
    <row r="1388" spans="1:13">
      <c r="A1388" s="93">
        <v>157304</v>
      </c>
      <c r="B1388" t="s">
        <v>1941</v>
      </c>
      <c r="C1388" t="s">
        <v>4919</v>
      </c>
      <c r="D1388" s="92">
        <v>0.49</v>
      </c>
      <c r="E1388" s="92">
        <v>0.31</v>
      </c>
      <c r="F1388" t="s">
        <v>446</v>
      </c>
      <c r="G1388" t="s">
        <v>446</v>
      </c>
      <c r="H1388" t="s">
        <v>4932</v>
      </c>
      <c r="I1388">
        <v>0</v>
      </c>
      <c r="J1388" t="s">
        <v>97</v>
      </c>
      <c r="K1388">
        <v>0</v>
      </c>
      <c r="L1388">
        <v>0</v>
      </c>
      <c r="M1388" t="s">
        <v>11</v>
      </c>
    </row>
    <row r="1389" spans="1:13">
      <c r="A1389" s="93">
        <v>157331</v>
      </c>
      <c r="B1389" t="s">
        <v>1942</v>
      </c>
      <c r="C1389" t="s">
        <v>4919</v>
      </c>
      <c r="D1389" s="92">
        <v>0.48</v>
      </c>
      <c r="E1389" s="92">
        <v>0.48</v>
      </c>
      <c r="F1389" t="s">
        <v>446</v>
      </c>
      <c r="G1389" t="s">
        <v>446</v>
      </c>
      <c r="H1389" t="s">
        <v>4932</v>
      </c>
      <c r="I1389">
        <v>0</v>
      </c>
      <c r="J1389" t="s">
        <v>97</v>
      </c>
      <c r="K1389">
        <v>0</v>
      </c>
      <c r="L1389">
        <v>0</v>
      </c>
      <c r="M1389" t="s">
        <v>11</v>
      </c>
    </row>
    <row r="1390" spans="1:13">
      <c r="A1390" s="93">
        <v>157377</v>
      </c>
      <c r="B1390" t="s">
        <v>1943</v>
      </c>
      <c r="C1390" t="s">
        <v>4918</v>
      </c>
      <c r="D1390" s="92">
        <v>0.49</v>
      </c>
      <c r="E1390" s="92">
        <v>0.63</v>
      </c>
      <c r="F1390">
        <v>1010</v>
      </c>
      <c r="G1390">
        <v>1095</v>
      </c>
      <c r="H1390" t="s">
        <v>4930</v>
      </c>
      <c r="I1390">
        <v>0</v>
      </c>
      <c r="J1390" t="s">
        <v>97</v>
      </c>
      <c r="K1390">
        <v>0</v>
      </c>
      <c r="L1390">
        <v>0</v>
      </c>
      <c r="M1390" t="s">
        <v>11</v>
      </c>
    </row>
    <row r="1391" spans="1:13">
      <c r="A1391" s="93">
        <v>157386</v>
      </c>
      <c r="B1391" t="s">
        <v>1944</v>
      </c>
      <c r="C1391" t="s">
        <v>4920</v>
      </c>
      <c r="D1391" s="92">
        <v>0.44</v>
      </c>
      <c r="E1391" s="92">
        <v>0.35</v>
      </c>
      <c r="F1391" t="s">
        <v>446</v>
      </c>
      <c r="G1391" t="s">
        <v>446</v>
      </c>
      <c r="H1391" t="s">
        <v>4932</v>
      </c>
      <c r="I1391">
        <v>0</v>
      </c>
      <c r="J1391" t="s">
        <v>97</v>
      </c>
      <c r="K1391">
        <v>0</v>
      </c>
      <c r="L1391">
        <v>0</v>
      </c>
      <c r="M1391" t="s">
        <v>11</v>
      </c>
    </row>
    <row r="1392" spans="1:13">
      <c r="A1392" s="93">
        <v>157401</v>
      </c>
      <c r="B1392" t="s">
        <v>1945</v>
      </c>
      <c r="C1392" t="s">
        <v>4920</v>
      </c>
      <c r="D1392" s="92">
        <v>0.5600000000000001</v>
      </c>
      <c r="E1392" s="92">
        <v>0.41</v>
      </c>
      <c r="F1392">
        <v>1040</v>
      </c>
      <c r="G1392">
        <v>1160</v>
      </c>
      <c r="H1392" t="s">
        <v>4931</v>
      </c>
      <c r="I1392">
        <v>0</v>
      </c>
      <c r="J1392" t="s">
        <v>97</v>
      </c>
      <c r="K1392">
        <v>0</v>
      </c>
      <c r="L1392">
        <v>0</v>
      </c>
      <c r="M1392" t="s">
        <v>11</v>
      </c>
    </row>
    <row r="1393" spans="1:13">
      <c r="A1393" s="93">
        <v>157438</v>
      </c>
      <c r="B1393" t="s">
        <v>1946</v>
      </c>
      <c r="C1393" t="s">
        <v>4919</v>
      </c>
      <c r="D1393" s="92">
        <v>0.5600000000000001</v>
      </c>
      <c r="E1393" s="92">
        <v>0.53</v>
      </c>
      <c r="F1393" t="s">
        <v>446</v>
      </c>
      <c r="G1393" t="s">
        <v>446</v>
      </c>
      <c r="H1393" t="s">
        <v>4932</v>
      </c>
      <c r="I1393">
        <v>0</v>
      </c>
      <c r="J1393" t="s">
        <v>97</v>
      </c>
      <c r="K1393">
        <v>0</v>
      </c>
      <c r="L1393">
        <v>0</v>
      </c>
      <c r="M1393" t="s">
        <v>11</v>
      </c>
    </row>
    <row r="1394" spans="1:13">
      <c r="A1394" s="93">
        <v>157483</v>
      </c>
      <c r="B1394" t="s">
        <v>1947</v>
      </c>
      <c r="C1394" t="s">
        <v>4919</v>
      </c>
      <c r="D1394" s="92">
        <v>0.57</v>
      </c>
      <c r="E1394" s="92">
        <v>0.43</v>
      </c>
      <c r="F1394" t="s">
        <v>446</v>
      </c>
      <c r="G1394" t="s">
        <v>446</v>
      </c>
      <c r="H1394" t="s">
        <v>4932</v>
      </c>
      <c r="I1394">
        <v>0</v>
      </c>
      <c r="J1394" t="s">
        <v>97</v>
      </c>
      <c r="K1394">
        <v>0</v>
      </c>
      <c r="L1394">
        <v>0</v>
      </c>
      <c r="M1394" t="s">
        <v>11</v>
      </c>
    </row>
    <row r="1395" spans="1:13">
      <c r="A1395" s="93">
        <v>157535</v>
      </c>
      <c r="B1395" t="s">
        <v>1948</v>
      </c>
      <c r="C1395" t="s">
        <v>4923</v>
      </c>
      <c r="D1395" s="92">
        <v>0.31</v>
      </c>
      <c r="E1395" s="92">
        <v>0.15</v>
      </c>
      <c r="F1395" t="s">
        <v>446</v>
      </c>
      <c r="G1395" t="s">
        <v>446</v>
      </c>
      <c r="H1395" t="s">
        <v>4931</v>
      </c>
      <c r="I1395">
        <v>0</v>
      </c>
      <c r="J1395" t="s">
        <v>97</v>
      </c>
      <c r="K1395">
        <v>0</v>
      </c>
      <c r="L1395">
        <v>0</v>
      </c>
      <c r="M1395" t="s">
        <v>11</v>
      </c>
    </row>
    <row r="1396" spans="1:13">
      <c r="A1396" s="93">
        <v>157553</v>
      </c>
      <c r="B1396" t="s">
        <v>1949</v>
      </c>
      <c r="C1396" t="s">
        <v>4919</v>
      </c>
      <c r="D1396" s="92">
        <v>0.36</v>
      </c>
      <c r="E1396" s="92">
        <v>0.24</v>
      </c>
      <c r="F1396" t="s">
        <v>446</v>
      </c>
      <c r="G1396" t="s">
        <v>446</v>
      </c>
      <c r="H1396" t="s">
        <v>4932</v>
      </c>
      <c r="I1396">
        <v>0</v>
      </c>
      <c r="J1396" t="s">
        <v>97</v>
      </c>
      <c r="K1396">
        <v>0</v>
      </c>
      <c r="L1396">
        <v>0</v>
      </c>
      <c r="M1396" t="s">
        <v>11</v>
      </c>
    </row>
    <row r="1397" spans="1:13">
      <c r="A1397" s="93">
        <v>157711</v>
      </c>
      <c r="B1397" t="s">
        <v>1950</v>
      </c>
      <c r="C1397" t="s">
        <v>4919</v>
      </c>
      <c r="D1397" s="92">
        <v>0.36</v>
      </c>
      <c r="E1397" s="92">
        <v>0.3</v>
      </c>
      <c r="F1397" t="s">
        <v>446</v>
      </c>
      <c r="G1397" t="s">
        <v>446</v>
      </c>
      <c r="H1397" t="s">
        <v>4932</v>
      </c>
      <c r="I1397">
        <v>0</v>
      </c>
      <c r="J1397" t="s">
        <v>97</v>
      </c>
      <c r="K1397">
        <v>0</v>
      </c>
      <c r="L1397">
        <v>0</v>
      </c>
      <c r="M1397" t="s">
        <v>11</v>
      </c>
    </row>
    <row r="1398" spans="1:13">
      <c r="A1398" s="93">
        <v>157739</v>
      </c>
      <c r="B1398" t="s">
        <v>1951</v>
      </c>
      <c r="C1398" t="s">
        <v>4919</v>
      </c>
      <c r="D1398" s="92">
        <v>0.39</v>
      </c>
      <c r="E1398" s="92">
        <v>0.35</v>
      </c>
      <c r="F1398" t="s">
        <v>446</v>
      </c>
      <c r="G1398" t="s">
        <v>446</v>
      </c>
      <c r="H1398" t="s">
        <v>4932</v>
      </c>
      <c r="I1398">
        <v>0</v>
      </c>
      <c r="J1398" t="s">
        <v>97</v>
      </c>
      <c r="K1398">
        <v>0</v>
      </c>
      <c r="L1398">
        <v>0</v>
      </c>
      <c r="M1398" t="s">
        <v>11</v>
      </c>
    </row>
    <row r="1399" spans="1:13">
      <c r="A1399" s="93">
        <v>157748</v>
      </c>
      <c r="B1399" t="s">
        <v>1952</v>
      </c>
      <c r="C1399" t="s">
        <v>4920</v>
      </c>
      <c r="D1399" s="92">
        <v>0.34</v>
      </c>
      <c r="E1399" s="92">
        <v>0.29</v>
      </c>
      <c r="F1399">
        <v>1040</v>
      </c>
      <c r="G1399">
        <v>1145</v>
      </c>
      <c r="H1399" t="s">
        <v>4932</v>
      </c>
      <c r="I1399">
        <v>0</v>
      </c>
      <c r="J1399" t="s">
        <v>97</v>
      </c>
      <c r="K1399">
        <v>0</v>
      </c>
      <c r="L1399">
        <v>0</v>
      </c>
      <c r="M1399" t="s">
        <v>11</v>
      </c>
    </row>
    <row r="1400" spans="1:13">
      <c r="A1400" s="93">
        <v>157757</v>
      </c>
      <c r="B1400" t="s">
        <v>1953</v>
      </c>
      <c r="C1400" t="s">
        <v>4920</v>
      </c>
      <c r="D1400" s="92">
        <v>0.47</v>
      </c>
      <c r="E1400" s="92">
        <v>0.44</v>
      </c>
      <c r="F1400">
        <v>930</v>
      </c>
      <c r="G1400">
        <v>1035</v>
      </c>
      <c r="H1400" t="s">
        <v>4930</v>
      </c>
      <c r="I1400">
        <v>0</v>
      </c>
      <c r="J1400" t="s">
        <v>97</v>
      </c>
      <c r="K1400">
        <v>0</v>
      </c>
      <c r="L1400">
        <v>0</v>
      </c>
      <c r="M1400" t="s">
        <v>11</v>
      </c>
    </row>
    <row r="1401" spans="1:13">
      <c r="A1401" s="93">
        <v>157793</v>
      </c>
      <c r="B1401" t="s">
        <v>1954</v>
      </c>
      <c r="C1401" t="s">
        <v>4923</v>
      </c>
      <c r="D1401" s="92" t="s">
        <v>446</v>
      </c>
      <c r="E1401" s="92" t="s">
        <v>446</v>
      </c>
      <c r="F1401" t="s">
        <v>446</v>
      </c>
      <c r="G1401" t="s">
        <v>446</v>
      </c>
      <c r="H1401" t="s">
        <v>4930</v>
      </c>
      <c r="I1401">
        <v>0</v>
      </c>
      <c r="J1401" t="s">
        <v>97</v>
      </c>
      <c r="K1401">
        <v>0</v>
      </c>
      <c r="L1401">
        <v>0</v>
      </c>
      <c r="M1401" t="s">
        <v>11</v>
      </c>
    </row>
    <row r="1402" spans="1:13">
      <c r="A1402" s="93">
        <v>157809</v>
      </c>
      <c r="B1402" t="s">
        <v>1955</v>
      </c>
      <c r="C1402" t="s">
        <v>4920</v>
      </c>
      <c r="D1402" s="92">
        <v>0.48</v>
      </c>
      <c r="E1402" s="92">
        <v>0.24</v>
      </c>
      <c r="F1402" t="s">
        <v>446</v>
      </c>
      <c r="G1402" t="s">
        <v>446</v>
      </c>
      <c r="H1402" t="s">
        <v>4930</v>
      </c>
      <c r="I1402">
        <v>0</v>
      </c>
      <c r="J1402" t="s">
        <v>97</v>
      </c>
      <c r="K1402">
        <v>0</v>
      </c>
      <c r="L1402">
        <v>0</v>
      </c>
      <c r="M1402" t="s">
        <v>11</v>
      </c>
    </row>
    <row r="1403" spans="1:13">
      <c r="A1403" s="93">
        <v>157818</v>
      </c>
      <c r="B1403" t="s">
        <v>1956</v>
      </c>
      <c r="C1403" t="s">
        <v>4916</v>
      </c>
      <c r="D1403" s="92">
        <v>0.72</v>
      </c>
      <c r="E1403" s="92">
        <v>0.74</v>
      </c>
      <c r="F1403">
        <v>1140</v>
      </c>
      <c r="G1403">
        <v>1255</v>
      </c>
      <c r="H1403" t="s">
        <v>4930</v>
      </c>
      <c r="I1403">
        <v>0</v>
      </c>
      <c r="J1403" t="s">
        <v>97</v>
      </c>
      <c r="K1403">
        <v>0</v>
      </c>
      <c r="L1403">
        <v>0</v>
      </c>
      <c r="M1403" t="s">
        <v>11</v>
      </c>
    </row>
    <row r="1404" spans="1:13">
      <c r="A1404" s="93">
        <v>157863</v>
      </c>
      <c r="B1404" t="s">
        <v>1021</v>
      </c>
      <c r="C1404" t="s">
        <v>4920</v>
      </c>
      <c r="D1404" s="92">
        <v>0.34</v>
      </c>
      <c r="E1404" s="92">
        <v>0.27</v>
      </c>
      <c r="F1404">
        <v>890</v>
      </c>
      <c r="G1404">
        <v>1000</v>
      </c>
      <c r="H1404" t="s">
        <v>4931</v>
      </c>
      <c r="I1404">
        <v>0</v>
      </c>
      <c r="J1404" t="s">
        <v>97</v>
      </c>
      <c r="K1404">
        <v>0</v>
      </c>
      <c r="L1404">
        <v>0</v>
      </c>
      <c r="M1404" t="s">
        <v>11</v>
      </c>
    </row>
    <row r="1405" spans="1:13">
      <c r="A1405" s="93">
        <v>157951</v>
      </c>
      <c r="B1405" t="s">
        <v>1957</v>
      </c>
      <c r="C1405" t="s">
        <v>4920</v>
      </c>
      <c r="D1405" s="92">
        <v>0.57</v>
      </c>
      <c r="E1405" s="92">
        <v>0.39</v>
      </c>
      <c r="F1405" t="s">
        <v>446</v>
      </c>
      <c r="G1405" t="s">
        <v>446</v>
      </c>
      <c r="H1405" t="s">
        <v>4930</v>
      </c>
      <c r="I1405">
        <v>0</v>
      </c>
      <c r="J1405" t="s">
        <v>97</v>
      </c>
      <c r="K1405">
        <v>0</v>
      </c>
      <c r="L1405">
        <v>0</v>
      </c>
      <c r="M1405" t="s">
        <v>11</v>
      </c>
    </row>
    <row r="1406" spans="1:13">
      <c r="A1406" s="93">
        <v>158088</v>
      </c>
      <c r="B1406" t="s">
        <v>1958</v>
      </c>
      <c r="C1406" t="s">
        <v>4919</v>
      </c>
      <c r="D1406" s="92">
        <v>0.6899999999999999</v>
      </c>
      <c r="E1406" s="92">
        <v>0.65</v>
      </c>
      <c r="F1406" t="s">
        <v>446</v>
      </c>
      <c r="G1406" t="s">
        <v>446</v>
      </c>
      <c r="H1406" t="s">
        <v>4932</v>
      </c>
      <c r="I1406">
        <v>0</v>
      </c>
      <c r="J1406" t="s">
        <v>97</v>
      </c>
      <c r="K1406">
        <v>0</v>
      </c>
      <c r="L1406">
        <v>0</v>
      </c>
      <c r="M1406" t="s">
        <v>11</v>
      </c>
    </row>
    <row r="1407" spans="1:13">
      <c r="A1407" s="93">
        <v>158325</v>
      </c>
      <c r="B1407" t="s">
        <v>1959</v>
      </c>
      <c r="C1407" t="s">
        <v>4919</v>
      </c>
      <c r="D1407" s="92" t="s">
        <v>446</v>
      </c>
      <c r="E1407" s="92" t="s">
        <v>446</v>
      </c>
      <c r="F1407" t="s">
        <v>446</v>
      </c>
      <c r="G1407" t="s">
        <v>446</v>
      </c>
      <c r="H1407" t="s">
        <v>4932</v>
      </c>
      <c r="I1407">
        <v>0</v>
      </c>
      <c r="J1407" t="s">
        <v>97</v>
      </c>
      <c r="K1407">
        <v>0</v>
      </c>
      <c r="L1407">
        <v>0</v>
      </c>
      <c r="M1407" t="s">
        <v>11</v>
      </c>
    </row>
    <row r="1408" spans="1:13">
      <c r="A1408" s="93">
        <v>158343</v>
      </c>
      <c r="B1408" t="s">
        <v>1960</v>
      </c>
      <c r="C1408" t="s">
        <v>4919</v>
      </c>
      <c r="D1408" s="92" t="s">
        <v>446</v>
      </c>
      <c r="E1408" s="92" t="s">
        <v>446</v>
      </c>
      <c r="F1408" t="s">
        <v>446</v>
      </c>
      <c r="G1408" t="s">
        <v>446</v>
      </c>
      <c r="H1408" t="s">
        <v>4930</v>
      </c>
      <c r="I1408">
        <v>0</v>
      </c>
      <c r="J1408" t="s">
        <v>97</v>
      </c>
      <c r="K1408">
        <v>0</v>
      </c>
      <c r="L1408">
        <v>0</v>
      </c>
      <c r="M1408" t="s">
        <v>11</v>
      </c>
    </row>
    <row r="1409" spans="1:13">
      <c r="A1409" s="93">
        <v>158431</v>
      </c>
      <c r="B1409" t="s">
        <v>1961</v>
      </c>
      <c r="C1409" t="s">
        <v>4919</v>
      </c>
      <c r="D1409" s="92">
        <v>0.33</v>
      </c>
      <c r="E1409" s="92">
        <v>0.24</v>
      </c>
      <c r="F1409" t="s">
        <v>446</v>
      </c>
      <c r="G1409" t="s">
        <v>446</v>
      </c>
      <c r="H1409" t="s">
        <v>4932</v>
      </c>
      <c r="I1409">
        <v>0</v>
      </c>
      <c r="J1409" t="s">
        <v>97</v>
      </c>
      <c r="K1409">
        <v>0</v>
      </c>
      <c r="L1409">
        <v>0</v>
      </c>
      <c r="M1409" t="s">
        <v>11</v>
      </c>
    </row>
    <row r="1410" spans="1:13">
      <c r="A1410" s="93">
        <v>158477</v>
      </c>
      <c r="B1410" t="s">
        <v>1962</v>
      </c>
      <c r="C1410" t="s">
        <v>4920</v>
      </c>
      <c r="D1410" s="92">
        <v>0.57</v>
      </c>
      <c r="E1410" s="92">
        <v>0.55</v>
      </c>
      <c r="F1410">
        <v>1020</v>
      </c>
      <c r="G1410">
        <v>1135</v>
      </c>
      <c r="H1410" t="s">
        <v>4930</v>
      </c>
      <c r="I1410">
        <v>0</v>
      </c>
      <c r="J1410" t="s">
        <v>97</v>
      </c>
      <c r="K1410">
        <v>0</v>
      </c>
      <c r="L1410">
        <v>0</v>
      </c>
      <c r="M1410" t="s">
        <v>11</v>
      </c>
    </row>
    <row r="1411" spans="1:13">
      <c r="A1411" s="93">
        <v>158662</v>
      </c>
      <c r="B1411" t="s">
        <v>1963</v>
      </c>
      <c r="C1411" t="s">
        <v>4919</v>
      </c>
      <c r="D1411" s="92">
        <v>0.23</v>
      </c>
      <c r="E1411" s="92">
        <v>0.18</v>
      </c>
      <c r="F1411" t="s">
        <v>446</v>
      </c>
      <c r="G1411" t="s">
        <v>446</v>
      </c>
      <c r="H1411" t="s">
        <v>4932</v>
      </c>
      <c r="I1411">
        <v>0</v>
      </c>
      <c r="J1411" t="s">
        <v>97</v>
      </c>
      <c r="K1411">
        <v>0</v>
      </c>
      <c r="L1411">
        <v>0</v>
      </c>
      <c r="M1411" t="s">
        <v>11</v>
      </c>
    </row>
    <row r="1412" spans="1:13">
      <c r="A1412" s="93">
        <v>158884</v>
      </c>
      <c r="B1412" t="s">
        <v>1964</v>
      </c>
      <c r="C1412" t="s">
        <v>4919</v>
      </c>
      <c r="D1412" s="92">
        <v>0.29</v>
      </c>
      <c r="E1412" s="92">
        <v>0.23</v>
      </c>
      <c r="F1412" t="s">
        <v>446</v>
      </c>
      <c r="G1412" t="s">
        <v>446</v>
      </c>
      <c r="H1412" t="s">
        <v>4932</v>
      </c>
      <c r="I1412">
        <v>0</v>
      </c>
      <c r="J1412" t="s">
        <v>97</v>
      </c>
      <c r="K1412">
        <v>0</v>
      </c>
      <c r="L1412">
        <v>0</v>
      </c>
      <c r="M1412" t="s">
        <v>11</v>
      </c>
    </row>
    <row r="1413" spans="1:13">
      <c r="A1413" s="93">
        <v>159197</v>
      </c>
      <c r="B1413" t="s">
        <v>1965</v>
      </c>
      <c r="C1413" t="s">
        <v>4919</v>
      </c>
      <c r="D1413" s="92" t="s">
        <v>446</v>
      </c>
      <c r="E1413" s="92" t="s">
        <v>446</v>
      </c>
      <c r="F1413" t="s">
        <v>446</v>
      </c>
      <c r="G1413" t="s">
        <v>446</v>
      </c>
      <c r="H1413" t="s">
        <v>4930</v>
      </c>
      <c r="I1413">
        <v>0</v>
      </c>
      <c r="J1413" t="s">
        <v>97</v>
      </c>
      <c r="K1413">
        <v>0</v>
      </c>
      <c r="L1413">
        <v>0</v>
      </c>
      <c r="M1413" t="s">
        <v>11</v>
      </c>
    </row>
    <row r="1414" spans="1:13">
      <c r="A1414" s="93">
        <v>159373</v>
      </c>
      <c r="B1414" t="s">
        <v>1966</v>
      </c>
      <c r="C1414" t="s">
        <v>4924</v>
      </c>
      <c r="D1414" s="92" t="s">
        <v>446</v>
      </c>
      <c r="E1414" s="92" t="s">
        <v>446</v>
      </c>
      <c r="F1414" t="s">
        <v>446</v>
      </c>
      <c r="G1414" t="s">
        <v>446</v>
      </c>
      <c r="H1414" t="s">
        <v>4932</v>
      </c>
      <c r="I1414">
        <v>0</v>
      </c>
      <c r="J1414" t="s">
        <v>97</v>
      </c>
      <c r="K1414">
        <v>0</v>
      </c>
      <c r="L1414">
        <v>0</v>
      </c>
      <c r="M1414" t="s">
        <v>11</v>
      </c>
    </row>
    <row r="1415" spans="1:13">
      <c r="A1415" s="93">
        <v>159382</v>
      </c>
      <c r="B1415" t="s">
        <v>1967</v>
      </c>
      <c r="C1415" t="s">
        <v>4918</v>
      </c>
      <c r="D1415" s="92">
        <v>0.29</v>
      </c>
      <c r="E1415" s="92">
        <v>0.25</v>
      </c>
      <c r="F1415">
        <v>970</v>
      </c>
      <c r="G1415">
        <v>1040</v>
      </c>
      <c r="H1415" t="s">
        <v>4932</v>
      </c>
      <c r="I1415">
        <v>0</v>
      </c>
      <c r="J1415" t="s">
        <v>97</v>
      </c>
      <c r="K1415">
        <v>0</v>
      </c>
      <c r="L1415">
        <v>0</v>
      </c>
      <c r="M1415" t="s">
        <v>11</v>
      </c>
    </row>
    <row r="1416" spans="1:13">
      <c r="A1416" s="93">
        <v>159407</v>
      </c>
      <c r="B1416" t="s">
        <v>1968</v>
      </c>
      <c r="C1416" t="s">
        <v>4919</v>
      </c>
      <c r="D1416" s="92">
        <v>0.44</v>
      </c>
      <c r="E1416" s="92">
        <v>0.37</v>
      </c>
      <c r="F1416" t="s">
        <v>446</v>
      </c>
      <c r="G1416" t="s">
        <v>446</v>
      </c>
      <c r="H1416" t="s">
        <v>4932</v>
      </c>
      <c r="I1416">
        <v>0</v>
      </c>
      <c r="J1416" t="s">
        <v>97</v>
      </c>
      <c r="K1416">
        <v>0</v>
      </c>
      <c r="L1416">
        <v>0</v>
      </c>
      <c r="M1416" t="s">
        <v>11</v>
      </c>
    </row>
    <row r="1417" spans="1:13">
      <c r="A1417" s="93">
        <v>159416</v>
      </c>
      <c r="B1417" t="s">
        <v>1969</v>
      </c>
      <c r="C1417" t="s">
        <v>4920</v>
      </c>
      <c r="D1417" s="92">
        <v>0.35</v>
      </c>
      <c r="E1417" s="92">
        <v>0.28</v>
      </c>
      <c r="F1417">
        <v>1040</v>
      </c>
      <c r="G1417">
        <v>1125</v>
      </c>
      <c r="H1417" t="s">
        <v>4932</v>
      </c>
      <c r="I1417">
        <v>0</v>
      </c>
      <c r="J1417" t="s">
        <v>97</v>
      </c>
      <c r="K1417">
        <v>0</v>
      </c>
      <c r="L1417">
        <v>0</v>
      </c>
      <c r="M1417" t="s">
        <v>11</v>
      </c>
    </row>
    <row r="1418" spans="1:13">
      <c r="A1418" s="93">
        <v>159568</v>
      </c>
      <c r="B1418" t="s">
        <v>1970</v>
      </c>
      <c r="C1418" t="s">
        <v>4920</v>
      </c>
      <c r="D1418" s="92">
        <v>0.33</v>
      </c>
      <c r="E1418" s="92">
        <v>0.18</v>
      </c>
      <c r="F1418">
        <v>930</v>
      </c>
      <c r="G1418">
        <v>1055</v>
      </c>
      <c r="H1418" t="s">
        <v>4931</v>
      </c>
      <c r="I1418">
        <v>0</v>
      </c>
      <c r="J1418" t="s">
        <v>97</v>
      </c>
      <c r="K1418">
        <v>0</v>
      </c>
      <c r="L1418">
        <v>0</v>
      </c>
      <c r="M1418" t="s">
        <v>11</v>
      </c>
    </row>
    <row r="1419" spans="1:13">
      <c r="A1419" s="93">
        <v>159647</v>
      </c>
      <c r="B1419" t="s">
        <v>1971</v>
      </c>
      <c r="C1419" t="s">
        <v>4916</v>
      </c>
      <c r="D1419" s="92">
        <v>0.58</v>
      </c>
      <c r="E1419" s="92">
        <v>0.51</v>
      </c>
      <c r="F1419">
        <v>1110</v>
      </c>
      <c r="G1419">
        <v>1195</v>
      </c>
      <c r="H1419" t="s">
        <v>4932</v>
      </c>
      <c r="I1419">
        <v>0</v>
      </c>
      <c r="J1419" t="s">
        <v>97</v>
      </c>
      <c r="K1419">
        <v>0</v>
      </c>
      <c r="L1419">
        <v>0</v>
      </c>
      <c r="M1419" t="s">
        <v>11</v>
      </c>
    </row>
    <row r="1420" spans="1:13">
      <c r="A1420" s="93">
        <v>159717</v>
      </c>
      <c r="B1420" t="s">
        <v>1972</v>
      </c>
      <c r="C1420" t="s">
        <v>4920</v>
      </c>
      <c r="D1420" s="92">
        <v>0.41</v>
      </c>
      <c r="E1420" s="92">
        <v>0.26</v>
      </c>
      <c r="F1420">
        <v>1040</v>
      </c>
      <c r="G1420">
        <v>1110</v>
      </c>
      <c r="H1420" t="s">
        <v>4932</v>
      </c>
      <c r="I1420">
        <v>0</v>
      </c>
      <c r="J1420" t="s">
        <v>97</v>
      </c>
      <c r="K1420">
        <v>0</v>
      </c>
      <c r="L1420">
        <v>0</v>
      </c>
      <c r="M1420" t="s">
        <v>11</v>
      </c>
    </row>
    <row r="1421" spans="1:13">
      <c r="A1421" s="93">
        <v>159939</v>
      </c>
      <c r="B1421" t="s">
        <v>1973</v>
      </c>
      <c r="C1421" t="s">
        <v>4920</v>
      </c>
      <c r="D1421" s="92">
        <v>0.41</v>
      </c>
      <c r="E1421" s="92">
        <v>0.33</v>
      </c>
      <c r="F1421">
        <v>970</v>
      </c>
      <c r="G1421">
        <v>1075</v>
      </c>
      <c r="H1421" t="s">
        <v>4932</v>
      </c>
      <c r="I1421">
        <v>0</v>
      </c>
      <c r="J1421" t="s">
        <v>97</v>
      </c>
      <c r="K1421">
        <v>0</v>
      </c>
      <c r="L1421">
        <v>0</v>
      </c>
      <c r="M1421" t="s">
        <v>11</v>
      </c>
    </row>
    <row r="1422" spans="1:13">
      <c r="A1422" s="93">
        <v>159948</v>
      </c>
      <c r="B1422" t="s">
        <v>1974</v>
      </c>
      <c r="C1422" t="s">
        <v>4923</v>
      </c>
      <c r="D1422" s="92">
        <v>0.41</v>
      </c>
      <c r="E1422" s="92">
        <v>0.64</v>
      </c>
      <c r="F1422" t="s">
        <v>446</v>
      </c>
      <c r="G1422" t="s">
        <v>446</v>
      </c>
      <c r="H1422" t="s">
        <v>4932</v>
      </c>
      <c r="I1422">
        <v>0</v>
      </c>
      <c r="J1422" t="s">
        <v>97</v>
      </c>
      <c r="K1422">
        <v>0</v>
      </c>
      <c r="L1422">
        <v>0</v>
      </c>
      <c r="M1422" t="s">
        <v>11</v>
      </c>
    </row>
    <row r="1423" spans="1:13">
      <c r="A1423" s="93">
        <v>159966</v>
      </c>
      <c r="B1423" t="s">
        <v>1975</v>
      </c>
      <c r="C1423" t="s">
        <v>4920</v>
      </c>
      <c r="D1423" s="92">
        <v>0.49</v>
      </c>
      <c r="E1423" s="92">
        <v>0.36</v>
      </c>
      <c r="F1423">
        <v>1040</v>
      </c>
      <c r="G1423">
        <v>1125</v>
      </c>
      <c r="H1423" t="s">
        <v>4932</v>
      </c>
      <c r="I1423">
        <v>0</v>
      </c>
      <c r="J1423" t="s">
        <v>97</v>
      </c>
      <c r="K1423">
        <v>0</v>
      </c>
      <c r="L1423">
        <v>0</v>
      </c>
      <c r="M1423" t="s">
        <v>11</v>
      </c>
    </row>
    <row r="1424" spans="1:13">
      <c r="A1424" s="93">
        <v>159993</v>
      </c>
      <c r="B1424" t="s">
        <v>1976</v>
      </c>
      <c r="C1424" t="s">
        <v>4920</v>
      </c>
      <c r="D1424" s="92">
        <v>0.53</v>
      </c>
      <c r="E1424" s="92">
        <v>0.44</v>
      </c>
      <c r="F1424">
        <v>1010</v>
      </c>
      <c r="G1424">
        <v>1095</v>
      </c>
      <c r="H1424" t="s">
        <v>4932</v>
      </c>
      <c r="I1424">
        <v>0</v>
      </c>
      <c r="J1424" t="s">
        <v>97</v>
      </c>
      <c r="K1424">
        <v>0</v>
      </c>
      <c r="L1424">
        <v>0</v>
      </c>
      <c r="M1424" t="s">
        <v>11</v>
      </c>
    </row>
    <row r="1425" spans="1:13">
      <c r="A1425" s="93">
        <v>160010</v>
      </c>
      <c r="B1425" t="s">
        <v>1977</v>
      </c>
      <c r="C1425" t="s">
        <v>4919</v>
      </c>
      <c r="D1425" s="92">
        <v>0.49</v>
      </c>
      <c r="E1425" s="92">
        <v>0.49</v>
      </c>
      <c r="F1425" t="s">
        <v>446</v>
      </c>
      <c r="G1425" t="s">
        <v>446</v>
      </c>
      <c r="H1425" t="s">
        <v>4932</v>
      </c>
      <c r="I1425">
        <v>0</v>
      </c>
      <c r="J1425" t="s">
        <v>97</v>
      </c>
      <c r="K1425">
        <v>0</v>
      </c>
      <c r="L1425">
        <v>0</v>
      </c>
      <c r="M1425" t="s">
        <v>11</v>
      </c>
    </row>
    <row r="1426" spans="1:13">
      <c r="A1426" s="93">
        <v>160038</v>
      </c>
      <c r="B1426" t="s">
        <v>1978</v>
      </c>
      <c r="C1426" t="s">
        <v>4920</v>
      </c>
      <c r="D1426" s="92">
        <v>0.44</v>
      </c>
      <c r="E1426" s="92">
        <v>0.38</v>
      </c>
      <c r="F1426">
        <v>890</v>
      </c>
      <c r="G1426">
        <v>1000</v>
      </c>
      <c r="H1426" t="s">
        <v>4932</v>
      </c>
      <c r="I1426">
        <v>0</v>
      </c>
      <c r="J1426" t="s">
        <v>97</v>
      </c>
      <c r="K1426">
        <v>0</v>
      </c>
      <c r="L1426">
        <v>0</v>
      </c>
      <c r="M1426" t="s">
        <v>11</v>
      </c>
    </row>
    <row r="1427" spans="1:13">
      <c r="A1427" s="93">
        <v>160065</v>
      </c>
      <c r="B1427" t="s">
        <v>1979</v>
      </c>
      <c r="C1427" t="s">
        <v>4920</v>
      </c>
      <c r="D1427" s="92">
        <v>0.35</v>
      </c>
      <c r="E1427" s="92">
        <v>0.17</v>
      </c>
      <c r="F1427">
        <v>890</v>
      </c>
      <c r="G1427">
        <v>985</v>
      </c>
      <c r="H1427" t="s">
        <v>4931</v>
      </c>
      <c r="I1427">
        <v>0</v>
      </c>
      <c r="J1427" t="s">
        <v>97</v>
      </c>
      <c r="K1427">
        <v>0</v>
      </c>
      <c r="L1427">
        <v>0</v>
      </c>
      <c r="M1427" t="s">
        <v>11</v>
      </c>
    </row>
    <row r="1428" spans="1:13">
      <c r="A1428" s="93">
        <v>160074</v>
      </c>
      <c r="B1428" t="s">
        <v>1980</v>
      </c>
      <c r="C1428" t="s">
        <v>4920</v>
      </c>
      <c r="D1428" s="92">
        <v>0.28</v>
      </c>
      <c r="E1428" s="92">
        <v>0.26</v>
      </c>
      <c r="F1428">
        <v>970</v>
      </c>
      <c r="G1428">
        <v>1055</v>
      </c>
      <c r="H1428" t="s">
        <v>4931</v>
      </c>
      <c r="I1428">
        <v>0</v>
      </c>
      <c r="J1428" t="s">
        <v>97</v>
      </c>
      <c r="K1428">
        <v>0</v>
      </c>
      <c r="L1428">
        <v>0</v>
      </c>
      <c r="M1428" t="s">
        <v>11</v>
      </c>
    </row>
    <row r="1429" spans="1:13">
      <c r="A1429" s="93">
        <v>160409</v>
      </c>
      <c r="B1429" t="s">
        <v>1981</v>
      </c>
      <c r="C1429" t="s">
        <v>4923</v>
      </c>
      <c r="D1429" s="92">
        <v>0.51</v>
      </c>
      <c r="E1429" s="92">
        <v>0.64</v>
      </c>
      <c r="F1429" t="s">
        <v>446</v>
      </c>
      <c r="G1429" t="s">
        <v>446</v>
      </c>
      <c r="H1429" t="s">
        <v>4930</v>
      </c>
      <c r="I1429">
        <v>0</v>
      </c>
      <c r="J1429" t="s">
        <v>97</v>
      </c>
      <c r="K1429">
        <v>0</v>
      </c>
      <c r="L1429">
        <v>0</v>
      </c>
      <c r="M1429" t="s">
        <v>11</v>
      </c>
    </row>
    <row r="1430" spans="1:13">
      <c r="A1430" s="93">
        <v>160481</v>
      </c>
      <c r="B1430" t="s">
        <v>1982</v>
      </c>
      <c r="C1430" t="s">
        <v>4919</v>
      </c>
      <c r="D1430" s="92">
        <v>0.35</v>
      </c>
      <c r="E1430" s="92">
        <v>0.27</v>
      </c>
      <c r="F1430" t="s">
        <v>446</v>
      </c>
      <c r="G1430" t="s">
        <v>446</v>
      </c>
      <c r="H1430" t="s">
        <v>4932</v>
      </c>
      <c r="I1430">
        <v>0</v>
      </c>
      <c r="J1430" t="s">
        <v>97</v>
      </c>
      <c r="K1430">
        <v>0</v>
      </c>
      <c r="L1430">
        <v>0</v>
      </c>
      <c r="M1430" t="s">
        <v>11</v>
      </c>
    </row>
    <row r="1431" spans="1:13">
      <c r="A1431" s="93">
        <v>160524</v>
      </c>
      <c r="B1431" t="s">
        <v>1983</v>
      </c>
      <c r="C1431" t="s">
        <v>4919</v>
      </c>
      <c r="D1431" s="92" t="s">
        <v>446</v>
      </c>
      <c r="E1431" s="92" t="s">
        <v>446</v>
      </c>
      <c r="F1431" t="s">
        <v>446</v>
      </c>
      <c r="G1431" t="s">
        <v>446</v>
      </c>
      <c r="H1431" t="s">
        <v>4930</v>
      </c>
      <c r="I1431">
        <v>0</v>
      </c>
      <c r="J1431" t="s">
        <v>97</v>
      </c>
      <c r="K1431">
        <v>0</v>
      </c>
      <c r="L1431">
        <v>0</v>
      </c>
      <c r="M1431" t="s">
        <v>11</v>
      </c>
    </row>
    <row r="1432" spans="1:13">
      <c r="A1432" s="93">
        <v>160649</v>
      </c>
      <c r="B1432" t="s">
        <v>1984</v>
      </c>
      <c r="C1432" t="s">
        <v>4919</v>
      </c>
      <c r="D1432" s="92">
        <v>0.18</v>
      </c>
      <c r="E1432" s="92">
        <v>0.34</v>
      </c>
      <c r="F1432" t="s">
        <v>446</v>
      </c>
      <c r="G1432" t="s">
        <v>446</v>
      </c>
      <c r="H1432" t="s">
        <v>4932</v>
      </c>
      <c r="I1432">
        <v>0</v>
      </c>
      <c r="J1432" t="s">
        <v>153</v>
      </c>
      <c r="K1432">
        <v>0</v>
      </c>
      <c r="L1432">
        <v>0</v>
      </c>
      <c r="M1432" t="s">
        <v>11</v>
      </c>
    </row>
    <row r="1433" spans="1:13">
      <c r="A1433" s="93">
        <v>160658</v>
      </c>
      <c r="B1433" t="s">
        <v>1985</v>
      </c>
      <c r="C1433" t="s">
        <v>4920</v>
      </c>
      <c r="D1433" s="92">
        <v>0.5</v>
      </c>
      <c r="E1433" s="92">
        <v>0.39</v>
      </c>
      <c r="F1433">
        <v>1010</v>
      </c>
      <c r="G1433">
        <v>1095</v>
      </c>
      <c r="H1433" t="s">
        <v>4932</v>
      </c>
      <c r="I1433">
        <v>0</v>
      </c>
      <c r="J1433" t="s">
        <v>97</v>
      </c>
      <c r="K1433">
        <v>0</v>
      </c>
      <c r="L1433">
        <v>0</v>
      </c>
      <c r="M1433" t="s">
        <v>11</v>
      </c>
    </row>
    <row r="1434" spans="1:13">
      <c r="A1434" s="93">
        <v>160755</v>
      </c>
      <c r="B1434" t="s">
        <v>1986</v>
      </c>
      <c r="C1434" t="s">
        <v>4917</v>
      </c>
      <c r="D1434" s="92">
        <v>0.86</v>
      </c>
      <c r="E1434" s="92">
        <v>0.75</v>
      </c>
      <c r="F1434">
        <v>1370</v>
      </c>
      <c r="G1434">
        <v>1415</v>
      </c>
      <c r="H1434" t="s">
        <v>4930</v>
      </c>
      <c r="I1434">
        <v>0</v>
      </c>
      <c r="J1434" t="s">
        <v>97</v>
      </c>
      <c r="K1434">
        <v>0</v>
      </c>
      <c r="L1434">
        <v>0</v>
      </c>
      <c r="M1434" t="s">
        <v>11</v>
      </c>
    </row>
    <row r="1435" spans="1:13">
      <c r="A1435" s="93">
        <v>160959</v>
      </c>
      <c r="B1435" t="s">
        <v>1987</v>
      </c>
      <c r="C1435" t="s">
        <v>4917</v>
      </c>
      <c r="D1435" s="92">
        <v>0.61</v>
      </c>
      <c r="E1435" s="92">
        <v>0.2</v>
      </c>
      <c r="F1435" t="s">
        <v>446</v>
      </c>
      <c r="G1435" t="s">
        <v>446</v>
      </c>
      <c r="H1435" t="s">
        <v>4931</v>
      </c>
      <c r="I1435">
        <v>0</v>
      </c>
      <c r="J1435" t="s">
        <v>97</v>
      </c>
      <c r="K1435">
        <v>0</v>
      </c>
      <c r="L1435">
        <v>0</v>
      </c>
      <c r="M1435" t="s">
        <v>11</v>
      </c>
    </row>
    <row r="1436" spans="1:13">
      <c r="A1436" s="93">
        <v>160977</v>
      </c>
      <c r="B1436" t="s">
        <v>1988</v>
      </c>
      <c r="C1436" t="s">
        <v>4921</v>
      </c>
      <c r="D1436" s="92">
        <v>0.92</v>
      </c>
      <c r="E1436" s="92">
        <v>0.82</v>
      </c>
      <c r="F1436" t="s">
        <v>446</v>
      </c>
      <c r="G1436" t="s">
        <v>446</v>
      </c>
      <c r="H1436" t="s">
        <v>4927</v>
      </c>
      <c r="I1436">
        <v>1</v>
      </c>
      <c r="J1436" t="s">
        <v>97</v>
      </c>
      <c r="K1436">
        <v>0</v>
      </c>
      <c r="L1436">
        <v>0</v>
      </c>
      <c r="M1436" t="s">
        <v>11</v>
      </c>
    </row>
    <row r="1437" spans="1:13">
      <c r="A1437" s="93">
        <v>160995</v>
      </c>
      <c r="B1437" t="s">
        <v>1989</v>
      </c>
      <c r="C1437" t="s">
        <v>4923</v>
      </c>
      <c r="D1437" s="92" t="s">
        <v>446</v>
      </c>
      <c r="E1437" s="92" t="s">
        <v>446</v>
      </c>
      <c r="F1437" t="s">
        <v>446</v>
      </c>
      <c r="G1437" t="s">
        <v>446</v>
      </c>
      <c r="H1437" t="s">
        <v>4930</v>
      </c>
      <c r="I1437">
        <v>0</v>
      </c>
      <c r="J1437" t="s">
        <v>97</v>
      </c>
      <c r="K1437">
        <v>0</v>
      </c>
      <c r="L1437">
        <v>0</v>
      </c>
      <c r="M1437" t="s">
        <v>11</v>
      </c>
    </row>
    <row r="1438" spans="1:13">
      <c r="A1438" s="93">
        <v>161022</v>
      </c>
      <c r="B1438" t="s">
        <v>1990</v>
      </c>
      <c r="C1438" t="s">
        <v>4923</v>
      </c>
      <c r="D1438" s="92" t="s">
        <v>446</v>
      </c>
      <c r="E1438" s="92" t="s">
        <v>446</v>
      </c>
      <c r="F1438" t="s">
        <v>446</v>
      </c>
      <c r="G1438" t="s">
        <v>446</v>
      </c>
      <c r="H1438" t="s">
        <v>4930</v>
      </c>
      <c r="I1438">
        <v>0</v>
      </c>
      <c r="J1438" t="s">
        <v>97</v>
      </c>
      <c r="K1438">
        <v>0</v>
      </c>
      <c r="L1438">
        <v>0</v>
      </c>
      <c r="M1438" t="s">
        <v>11</v>
      </c>
    </row>
    <row r="1439" spans="1:13">
      <c r="A1439" s="93">
        <v>161077</v>
      </c>
      <c r="B1439" t="s">
        <v>1991</v>
      </c>
      <c r="C1439" t="s">
        <v>4919</v>
      </c>
      <c r="D1439" s="92">
        <v>0.34</v>
      </c>
      <c r="E1439" s="92">
        <v>0.36</v>
      </c>
      <c r="F1439" t="s">
        <v>446</v>
      </c>
      <c r="G1439" t="s">
        <v>446</v>
      </c>
      <c r="H1439" t="s">
        <v>4932</v>
      </c>
      <c r="I1439">
        <v>0</v>
      </c>
      <c r="J1439" t="s">
        <v>97</v>
      </c>
      <c r="K1439">
        <v>0</v>
      </c>
      <c r="L1439">
        <v>0</v>
      </c>
      <c r="M1439" t="s">
        <v>11</v>
      </c>
    </row>
    <row r="1440" spans="1:13">
      <c r="A1440" s="93">
        <v>161086</v>
      </c>
      <c r="B1440" t="s">
        <v>1992</v>
      </c>
      <c r="C1440" t="s">
        <v>4921</v>
      </c>
      <c r="D1440" s="92">
        <v>0.89</v>
      </c>
      <c r="E1440" s="92">
        <v>0.86</v>
      </c>
      <c r="F1440">
        <v>1400</v>
      </c>
      <c r="G1440">
        <v>1465</v>
      </c>
      <c r="H1440" t="s">
        <v>4927</v>
      </c>
      <c r="I1440">
        <v>1</v>
      </c>
      <c r="J1440" t="s">
        <v>97</v>
      </c>
      <c r="K1440">
        <v>0</v>
      </c>
      <c r="L1440">
        <v>0</v>
      </c>
      <c r="M1440" t="s">
        <v>11</v>
      </c>
    </row>
    <row r="1441" spans="1:13">
      <c r="A1441" s="93">
        <v>161138</v>
      </c>
      <c r="B1441" t="s">
        <v>1993</v>
      </c>
      <c r="C1441" t="s">
        <v>4919</v>
      </c>
      <c r="D1441" s="92">
        <v>0.35</v>
      </c>
      <c r="E1441" s="92">
        <v>0.21</v>
      </c>
      <c r="F1441" t="s">
        <v>446</v>
      </c>
      <c r="G1441" t="s">
        <v>446</v>
      </c>
      <c r="H1441" t="s">
        <v>4932</v>
      </c>
      <c r="I1441">
        <v>0</v>
      </c>
      <c r="J1441" t="s">
        <v>97</v>
      </c>
      <c r="K1441">
        <v>0</v>
      </c>
      <c r="L1441">
        <v>0</v>
      </c>
      <c r="M1441" t="s">
        <v>11</v>
      </c>
    </row>
    <row r="1442" spans="1:13">
      <c r="A1442" s="93">
        <v>161192</v>
      </c>
      <c r="B1442" t="s">
        <v>1994</v>
      </c>
      <c r="C1442" t="s">
        <v>4919</v>
      </c>
      <c r="D1442" s="92">
        <v>0.45</v>
      </c>
      <c r="E1442" s="92">
        <v>0.27</v>
      </c>
      <c r="F1442" t="s">
        <v>446</v>
      </c>
      <c r="G1442" t="s">
        <v>446</v>
      </c>
      <c r="H1442" t="s">
        <v>4932</v>
      </c>
      <c r="I1442">
        <v>0</v>
      </c>
      <c r="J1442" t="s">
        <v>97</v>
      </c>
      <c r="K1442">
        <v>0</v>
      </c>
      <c r="L1442">
        <v>0</v>
      </c>
      <c r="M1442" t="s">
        <v>11</v>
      </c>
    </row>
    <row r="1443" spans="1:13">
      <c r="A1443" s="93">
        <v>161208</v>
      </c>
      <c r="B1443" t="s">
        <v>1995</v>
      </c>
      <c r="C1443" t="s">
        <v>4919</v>
      </c>
      <c r="D1443" s="92" t="s">
        <v>446</v>
      </c>
      <c r="E1443" s="92" t="s">
        <v>446</v>
      </c>
      <c r="F1443" t="s">
        <v>446</v>
      </c>
      <c r="G1443" t="s">
        <v>446</v>
      </c>
      <c r="H1443" t="s">
        <v>4930</v>
      </c>
      <c r="I1443">
        <v>0</v>
      </c>
      <c r="J1443" t="s">
        <v>97</v>
      </c>
      <c r="K1443">
        <v>0</v>
      </c>
      <c r="L1443">
        <v>0</v>
      </c>
      <c r="M1443" t="s">
        <v>11</v>
      </c>
    </row>
    <row r="1444" spans="1:13">
      <c r="A1444" s="93">
        <v>161217</v>
      </c>
      <c r="B1444" t="s">
        <v>1996</v>
      </c>
      <c r="C1444" t="s">
        <v>4920</v>
      </c>
      <c r="D1444" s="92">
        <v>0.14</v>
      </c>
      <c r="E1444" s="92">
        <v>0.13</v>
      </c>
      <c r="F1444" t="s">
        <v>446</v>
      </c>
      <c r="G1444" t="s">
        <v>446</v>
      </c>
      <c r="H1444" t="s">
        <v>4932</v>
      </c>
      <c r="I1444">
        <v>0</v>
      </c>
      <c r="J1444" t="s">
        <v>97</v>
      </c>
      <c r="K1444">
        <v>0</v>
      </c>
      <c r="L1444">
        <v>0</v>
      </c>
      <c r="M1444" t="s">
        <v>11</v>
      </c>
    </row>
    <row r="1445" spans="1:13">
      <c r="A1445" s="93">
        <v>161226</v>
      </c>
      <c r="B1445" t="s">
        <v>1997</v>
      </c>
      <c r="C1445" t="s">
        <v>4920</v>
      </c>
      <c r="D1445" s="92">
        <v>0.58</v>
      </c>
      <c r="E1445" s="92">
        <v>0.47</v>
      </c>
      <c r="F1445" t="s">
        <v>446</v>
      </c>
      <c r="G1445" t="s">
        <v>446</v>
      </c>
      <c r="H1445" t="s">
        <v>4932</v>
      </c>
      <c r="I1445">
        <v>0</v>
      </c>
      <c r="J1445" t="s">
        <v>97</v>
      </c>
      <c r="K1445">
        <v>0</v>
      </c>
      <c r="L1445">
        <v>0</v>
      </c>
      <c r="M1445" t="s">
        <v>11</v>
      </c>
    </row>
    <row r="1446" spans="1:13">
      <c r="A1446" s="93">
        <v>161235</v>
      </c>
      <c r="B1446" t="s">
        <v>1998</v>
      </c>
      <c r="C1446" t="s">
        <v>4918</v>
      </c>
      <c r="D1446" s="92">
        <v>0.39</v>
      </c>
      <c r="E1446" s="92">
        <v>0.1</v>
      </c>
      <c r="F1446" t="s">
        <v>446</v>
      </c>
      <c r="G1446" t="s">
        <v>446</v>
      </c>
      <c r="H1446" t="s">
        <v>4932</v>
      </c>
      <c r="I1446">
        <v>0</v>
      </c>
      <c r="J1446" t="s">
        <v>97</v>
      </c>
      <c r="K1446">
        <v>0</v>
      </c>
      <c r="L1446">
        <v>0</v>
      </c>
      <c r="M1446" t="s">
        <v>11</v>
      </c>
    </row>
    <row r="1447" spans="1:13">
      <c r="A1447" s="93">
        <v>161244</v>
      </c>
      <c r="B1447" t="s">
        <v>1999</v>
      </c>
      <c r="C1447" t="s">
        <v>4920</v>
      </c>
      <c r="D1447" s="92">
        <v>0.27</v>
      </c>
      <c r="E1447" s="92">
        <v>0.2</v>
      </c>
      <c r="F1447" t="s">
        <v>446</v>
      </c>
      <c r="G1447" t="s">
        <v>446</v>
      </c>
      <c r="H1447" t="s">
        <v>4932</v>
      </c>
      <c r="I1447">
        <v>0</v>
      </c>
      <c r="J1447" t="s">
        <v>97</v>
      </c>
      <c r="K1447">
        <v>0</v>
      </c>
      <c r="L1447">
        <v>0</v>
      </c>
      <c r="M1447" t="s">
        <v>11</v>
      </c>
    </row>
    <row r="1448" spans="1:13">
      <c r="A1448" s="93">
        <v>161253</v>
      </c>
      <c r="B1448" t="s">
        <v>2000</v>
      </c>
      <c r="C1448" t="s">
        <v>4920</v>
      </c>
      <c r="D1448" s="92">
        <v>0.57</v>
      </c>
      <c r="E1448" s="92">
        <v>0.43</v>
      </c>
      <c r="F1448">
        <v>1060</v>
      </c>
      <c r="G1448">
        <v>1170</v>
      </c>
      <c r="H1448" t="s">
        <v>4932</v>
      </c>
      <c r="I1448">
        <v>0</v>
      </c>
      <c r="J1448" t="s">
        <v>97</v>
      </c>
      <c r="K1448">
        <v>0</v>
      </c>
      <c r="L1448">
        <v>0</v>
      </c>
      <c r="M1448" t="s">
        <v>11</v>
      </c>
    </row>
    <row r="1449" spans="1:13">
      <c r="A1449" s="93">
        <v>161299</v>
      </c>
      <c r="B1449" t="s">
        <v>2001</v>
      </c>
      <c r="C1449" t="s">
        <v>4920</v>
      </c>
      <c r="D1449" s="92">
        <v>0.72</v>
      </c>
      <c r="E1449" s="92">
        <v>0.52</v>
      </c>
      <c r="F1449" t="s">
        <v>446</v>
      </c>
      <c r="G1449" t="s">
        <v>446</v>
      </c>
      <c r="H1449" t="s">
        <v>4932</v>
      </c>
      <c r="I1449">
        <v>0</v>
      </c>
      <c r="J1449" t="s">
        <v>97</v>
      </c>
      <c r="K1449">
        <v>0</v>
      </c>
      <c r="L1449">
        <v>0</v>
      </c>
      <c r="M1449" t="s">
        <v>11</v>
      </c>
    </row>
    <row r="1450" spans="1:13">
      <c r="A1450" s="93">
        <v>161341</v>
      </c>
      <c r="B1450" t="s">
        <v>2002</v>
      </c>
      <c r="C1450" t="s">
        <v>4920</v>
      </c>
      <c r="D1450" s="92">
        <v>0.35</v>
      </c>
      <c r="E1450" s="92">
        <v>0.35</v>
      </c>
      <c r="F1450" t="s">
        <v>446</v>
      </c>
      <c r="G1450" t="s">
        <v>446</v>
      </c>
      <c r="H1450" t="s">
        <v>4932</v>
      </c>
      <c r="I1450">
        <v>0</v>
      </c>
      <c r="J1450" t="s">
        <v>97</v>
      </c>
      <c r="K1450">
        <v>0</v>
      </c>
      <c r="L1450">
        <v>0</v>
      </c>
      <c r="M1450" t="s">
        <v>11</v>
      </c>
    </row>
    <row r="1451" spans="1:13">
      <c r="A1451" s="93">
        <v>161457</v>
      </c>
      <c r="B1451" t="s">
        <v>2003</v>
      </c>
      <c r="C1451" t="s">
        <v>4920</v>
      </c>
      <c r="D1451" s="92">
        <v>0.65</v>
      </c>
      <c r="E1451" s="92">
        <v>0.41</v>
      </c>
      <c r="F1451" t="s">
        <v>446</v>
      </c>
      <c r="G1451" t="s">
        <v>446</v>
      </c>
      <c r="H1451" t="s">
        <v>4930</v>
      </c>
      <c r="I1451">
        <v>0</v>
      </c>
      <c r="J1451" t="s">
        <v>97</v>
      </c>
      <c r="K1451">
        <v>0</v>
      </c>
      <c r="L1451">
        <v>0</v>
      </c>
      <c r="M1451" t="s">
        <v>11</v>
      </c>
    </row>
    <row r="1452" spans="1:13">
      <c r="A1452" s="93">
        <v>161484</v>
      </c>
      <c r="B1452" t="s">
        <v>2004</v>
      </c>
      <c r="C1452" t="s">
        <v>4919</v>
      </c>
      <c r="D1452" s="92">
        <v>0.45</v>
      </c>
      <c r="E1452" s="92">
        <v>0.34</v>
      </c>
      <c r="F1452" t="s">
        <v>446</v>
      </c>
      <c r="G1452" t="s">
        <v>446</v>
      </c>
      <c r="H1452" t="s">
        <v>4932</v>
      </c>
      <c r="I1452">
        <v>0</v>
      </c>
      <c r="J1452" t="s">
        <v>97</v>
      </c>
      <c r="K1452">
        <v>0</v>
      </c>
      <c r="L1452">
        <v>0</v>
      </c>
      <c r="M1452" t="s">
        <v>11</v>
      </c>
    </row>
    <row r="1453" spans="1:13">
      <c r="A1453" s="93">
        <v>161509</v>
      </c>
      <c r="B1453" t="s">
        <v>2005</v>
      </c>
      <c r="C1453" t="s">
        <v>4926</v>
      </c>
      <c r="D1453" s="92">
        <v>0.5</v>
      </c>
      <c r="E1453" s="92">
        <v>0.37</v>
      </c>
      <c r="F1453" t="s">
        <v>446</v>
      </c>
      <c r="G1453" t="s">
        <v>446</v>
      </c>
      <c r="H1453" t="s">
        <v>4930</v>
      </c>
      <c r="I1453">
        <v>0</v>
      </c>
      <c r="J1453" t="s">
        <v>97</v>
      </c>
      <c r="K1453">
        <v>0</v>
      </c>
      <c r="L1453">
        <v>0</v>
      </c>
      <c r="M1453" t="s">
        <v>11</v>
      </c>
    </row>
    <row r="1454" spans="1:13">
      <c r="A1454" s="93">
        <v>161518</v>
      </c>
      <c r="B1454" t="s">
        <v>2006</v>
      </c>
      <c r="C1454" t="s">
        <v>4920</v>
      </c>
      <c r="D1454" s="92">
        <v>0.65</v>
      </c>
      <c r="E1454" s="92">
        <v>0.71</v>
      </c>
      <c r="F1454">
        <v>1020</v>
      </c>
      <c r="G1454">
        <v>1125</v>
      </c>
      <c r="H1454" t="s">
        <v>4930</v>
      </c>
      <c r="I1454">
        <v>0</v>
      </c>
      <c r="J1454" t="s">
        <v>97</v>
      </c>
      <c r="K1454">
        <v>0</v>
      </c>
      <c r="L1454">
        <v>0</v>
      </c>
      <c r="M1454" t="s">
        <v>11</v>
      </c>
    </row>
    <row r="1455" spans="1:13">
      <c r="A1455" s="93">
        <v>161554</v>
      </c>
      <c r="B1455" t="s">
        <v>2007</v>
      </c>
      <c r="C1455" t="s">
        <v>4920</v>
      </c>
      <c r="D1455" s="92">
        <v>0.37</v>
      </c>
      <c r="E1455" s="92">
        <v>0.31</v>
      </c>
      <c r="F1455">
        <v>1000</v>
      </c>
      <c r="G1455">
        <v>1115</v>
      </c>
      <c r="H1455" t="s">
        <v>4932</v>
      </c>
      <c r="I1455">
        <v>0</v>
      </c>
      <c r="J1455" t="s">
        <v>97</v>
      </c>
      <c r="K1455">
        <v>0</v>
      </c>
      <c r="L1455">
        <v>0</v>
      </c>
      <c r="M1455" t="s">
        <v>11</v>
      </c>
    </row>
    <row r="1456" spans="1:13">
      <c r="A1456" s="93">
        <v>161563</v>
      </c>
      <c r="B1456" t="s">
        <v>2008</v>
      </c>
      <c r="C1456" t="s">
        <v>4918</v>
      </c>
      <c r="D1456" s="92">
        <v>0.51</v>
      </c>
      <c r="E1456" s="92">
        <v>0.24</v>
      </c>
      <c r="F1456" t="s">
        <v>446</v>
      </c>
      <c r="G1456" t="s">
        <v>446</v>
      </c>
      <c r="H1456" t="s">
        <v>4930</v>
      </c>
      <c r="I1456">
        <v>0</v>
      </c>
      <c r="J1456" t="s">
        <v>97</v>
      </c>
      <c r="K1456">
        <v>0</v>
      </c>
      <c r="L1456">
        <v>0</v>
      </c>
      <c r="M1456" t="s">
        <v>11</v>
      </c>
    </row>
    <row r="1457" spans="1:13">
      <c r="A1457" s="93">
        <v>161572</v>
      </c>
      <c r="B1457" t="s">
        <v>2009</v>
      </c>
      <c r="C1457" t="s">
        <v>4920</v>
      </c>
      <c r="D1457" s="92">
        <v>0.52</v>
      </c>
      <c r="E1457" s="92">
        <v>0.45</v>
      </c>
      <c r="F1457" t="s">
        <v>446</v>
      </c>
      <c r="G1457" t="s">
        <v>446</v>
      </c>
      <c r="H1457" t="s">
        <v>4930</v>
      </c>
      <c r="I1457">
        <v>0</v>
      </c>
      <c r="J1457" t="s">
        <v>97</v>
      </c>
      <c r="K1457">
        <v>0</v>
      </c>
      <c r="L1457">
        <v>0</v>
      </c>
      <c r="M1457" t="s">
        <v>11</v>
      </c>
    </row>
    <row r="1458" spans="1:13">
      <c r="A1458" s="93">
        <v>161581</v>
      </c>
      <c r="B1458" t="s">
        <v>2010</v>
      </c>
      <c r="C1458" t="s">
        <v>4919</v>
      </c>
      <c r="D1458" s="92">
        <v>0.53</v>
      </c>
      <c r="E1458" s="92">
        <v>0.58</v>
      </c>
      <c r="F1458" t="s">
        <v>446</v>
      </c>
      <c r="G1458" t="s">
        <v>446</v>
      </c>
      <c r="H1458" t="s">
        <v>4932</v>
      </c>
      <c r="I1458">
        <v>0</v>
      </c>
      <c r="J1458" t="s">
        <v>97</v>
      </c>
      <c r="K1458">
        <v>0</v>
      </c>
      <c r="L1458">
        <v>0</v>
      </c>
      <c r="M1458" t="s">
        <v>11</v>
      </c>
    </row>
    <row r="1459" spans="1:13">
      <c r="A1459" s="93">
        <v>161688</v>
      </c>
      <c r="B1459" t="s">
        <v>2011</v>
      </c>
      <c r="C1459" t="s">
        <v>4919</v>
      </c>
      <c r="D1459" s="92">
        <v>0.4</v>
      </c>
      <c r="E1459" s="92">
        <v>0.32</v>
      </c>
      <c r="F1459" t="s">
        <v>446</v>
      </c>
      <c r="G1459" t="s">
        <v>446</v>
      </c>
      <c r="H1459" t="s">
        <v>4932</v>
      </c>
      <c r="I1459">
        <v>0</v>
      </c>
      <c r="J1459" t="s">
        <v>97</v>
      </c>
      <c r="K1459">
        <v>0</v>
      </c>
      <c r="L1459">
        <v>0</v>
      </c>
      <c r="M1459" t="s">
        <v>11</v>
      </c>
    </row>
    <row r="1460" spans="1:13">
      <c r="A1460" s="93">
        <v>161767</v>
      </c>
      <c r="B1460" t="s">
        <v>2012</v>
      </c>
      <c r="C1460" t="s">
        <v>4919</v>
      </c>
      <c r="D1460" s="92">
        <v>0.37</v>
      </c>
      <c r="E1460" s="92">
        <v>0.28</v>
      </c>
      <c r="F1460" t="s">
        <v>446</v>
      </c>
      <c r="G1460" t="s">
        <v>446</v>
      </c>
      <c r="H1460" t="s">
        <v>4932</v>
      </c>
      <c r="I1460">
        <v>0</v>
      </c>
      <c r="J1460" t="s">
        <v>97</v>
      </c>
      <c r="K1460">
        <v>0</v>
      </c>
      <c r="L1460">
        <v>0</v>
      </c>
      <c r="M1460" t="s">
        <v>11</v>
      </c>
    </row>
    <row r="1461" spans="1:13">
      <c r="A1461" s="93">
        <v>161864</v>
      </c>
      <c r="B1461" t="s">
        <v>2013</v>
      </c>
      <c r="C1461" t="s">
        <v>4919</v>
      </c>
      <c r="D1461" s="92">
        <v>0.11</v>
      </c>
      <c r="E1461" s="92">
        <v>0.12</v>
      </c>
      <c r="F1461" t="s">
        <v>446</v>
      </c>
      <c r="G1461" t="s">
        <v>446</v>
      </c>
      <c r="H1461" t="s">
        <v>4932</v>
      </c>
      <c r="I1461">
        <v>0</v>
      </c>
      <c r="J1461" t="s">
        <v>97</v>
      </c>
      <c r="K1461">
        <v>0</v>
      </c>
      <c r="L1461">
        <v>0</v>
      </c>
      <c r="M1461" t="s">
        <v>11</v>
      </c>
    </row>
    <row r="1462" spans="1:13">
      <c r="A1462" s="93">
        <v>161873</v>
      </c>
      <c r="B1462" t="s">
        <v>2014</v>
      </c>
      <c r="C1462" t="s">
        <v>4918</v>
      </c>
      <c r="D1462" s="92">
        <v>0.38</v>
      </c>
      <c r="E1462" s="92">
        <v>0.33</v>
      </c>
      <c r="F1462">
        <v>960</v>
      </c>
      <c r="G1462">
        <v>1050</v>
      </c>
      <c r="H1462" t="s">
        <v>4932</v>
      </c>
      <c r="I1462">
        <v>0</v>
      </c>
      <c r="J1462" t="s">
        <v>97</v>
      </c>
      <c r="K1462">
        <v>0</v>
      </c>
      <c r="L1462">
        <v>0</v>
      </c>
      <c r="M1462" t="s">
        <v>11</v>
      </c>
    </row>
    <row r="1463" spans="1:13">
      <c r="A1463" s="93">
        <v>162007</v>
      </c>
      <c r="B1463" t="s">
        <v>2015</v>
      </c>
      <c r="C1463" t="s">
        <v>4918</v>
      </c>
      <c r="D1463" s="92">
        <v>0.42</v>
      </c>
      <c r="E1463" s="92">
        <v>0.5600000000000001</v>
      </c>
      <c r="F1463">
        <v>840</v>
      </c>
      <c r="G1463">
        <v>930</v>
      </c>
      <c r="H1463" t="s">
        <v>4932</v>
      </c>
      <c r="I1463">
        <v>0</v>
      </c>
      <c r="J1463" t="s">
        <v>153</v>
      </c>
      <c r="K1463">
        <v>0</v>
      </c>
      <c r="L1463">
        <v>0</v>
      </c>
      <c r="M1463" t="s">
        <v>11</v>
      </c>
    </row>
    <row r="1464" spans="1:13">
      <c r="A1464" s="93">
        <v>162061</v>
      </c>
      <c r="B1464" t="s">
        <v>2016</v>
      </c>
      <c r="C1464" t="s">
        <v>4920</v>
      </c>
      <c r="D1464" s="92">
        <v>0.49</v>
      </c>
      <c r="E1464" s="92">
        <v>0.4</v>
      </c>
      <c r="F1464" t="s">
        <v>446</v>
      </c>
      <c r="G1464" t="s">
        <v>446</v>
      </c>
      <c r="H1464" t="s">
        <v>4930</v>
      </c>
      <c r="I1464">
        <v>0</v>
      </c>
      <c r="J1464" t="s">
        <v>97</v>
      </c>
      <c r="K1464">
        <v>0</v>
      </c>
      <c r="L1464">
        <v>0</v>
      </c>
      <c r="M1464" t="s">
        <v>11</v>
      </c>
    </row>
    <row r="1465" spans="1:13">
      <c r="A1465" s="93">
        <v>162104</v>
      </c>
      <c r="B1465" t="s">
        <v>2017</v>
      </c>
      <c r="C1465" t="s">
        <v>4919</v>
      </c>
      <c r="D1465" s="92">
        <v>0.31</v>
      </c>
      <c r="E1465" s="92">
        <v>0.23</v>
      </c>
      <c r="F1465" t="s">
        <v>446</v>
      </c>
      <c r="G1465" t="s">
        <v>446</v>
      </c>
      <c r="H1465" t="s">
        <v>4932</v>
      </c>
      <c r="I1465">
        <v>0</v>
      </c>
      <c r="J1465" t="s">
        <v>97</v>
      </c>
      <c r="K1465">
        <v>0</v>
      </c>
      <c r="L1465">
        <v>0</v>
      </c>
      <c r="M1465" t="s">
        <v>11</v>
      </c>
    </row>
    <row r="1466" spans="1:13">
      <c r="A1466" s="93">
        <v>162122</v>
      </c>
      <c r="B1466" t="s">
        <v>2018</v>
      </c>
      <c r="C1466" t="s">
        <v>4919</v>
      </c>
      <c r="D1466" s="92">
        <v>0.37</v>
      </c>
      <c r="E1466" s="92">
        <v>0.23</v>
      </c>
      <c r="F1466" t="s">
        <v>446</v>
      </c>
      <c r="G1466" t="s">
        <v>446</v>
      </c>
      <c r="H1466" t="s">
        <v>4932</v>
      </c>
      <c r="I1466">
        <v>0</v>
      </c>
      <c r="J1466" t="s">
        <v>97</v>
      </c>
      <c r="K1466">
        <v>0</v>
      </c>
      <c r="L1466">
        <v>0</v>
      </c>
      <c r="M1466" t="s">
        <v>11</v>
      </c>
    </row>
    <row r="1467" spans="1:13">
      <c r="A1467" s="93">
        <v>162168</v>
      </c>
      <c r="B1467" t="s">
        <v>2019</v>
      </c>
      <c r="C1467" t="s">
        <v>4919</v>
      </c>
      <c r="D1467" s="92">
        <v>0.38</v>
      </c>
      <c r="E1467" s="92">
        <v>0.28</v>
      </c>
      <c r="F1467" t="s">
        <v>446</v>
      </c>
      <c r="G1467" t="s">
        <v>446</v>
      </c>
      <c r="H1467" t="s">
        <v>4932</v>
      </c>
      <c r="I1467">
        <v>0</v>
      </c>
      <c r="J1467" t="s">
        <v>97</v>
      </c>
      <c r="K1467">
        <v>0</v>
      </c>
      <c r="L1467">
        <v>0</v>
      </c>
      <c r="M1467" t="s">
        <v>11</v>
      </c>
    </row>
    <row r="1468" spans="1:13">
      <c r="A1468" s="93">
        <v>162210</v>
      </c>
      <c r="B1468" t="s">
        <v>2020</v>
      </c>
      <c r="C1468" t="s">
        <v>4918</v>
      </c>
      <c r="D1468" s="92">
        <v>0.41</v>
      </c>
      <c r="E1468" s="92">
        <v>0.42</v>
      </c>
      <c r="F1468" t="s">
        <v>446</v>
      </c>
      <c r="G1468" t="s">
        <v>446</v>
      </c>
      <c r="H1468" t="s">
        <v>4931</v>
      </c>
      <c r="I1468">
        <v>0</v>
      </c>
      <c r="J1468" t="s">
        <v>97</v>
      </c>
      <c r="K1468">
        <v>0</v>
      </c>
      <c r="L1468">
        <v>0</v>
      </c>
      <c r="M1468" t="s">
        <v>11</v>
      </c>
    </row>
    <row r="1469" spans="1:13">
      <c r="A1469" s="93">
        <v>162557</v>
      </c>
      <c r="B1469" t="s">
        <v>2021</v>
      </c>
      <c r="C1469" t="s">
        <v>4919</v>
      </c>
      <c r="D1469" s="92">
        <v>0.43</v>
      </c>
      <c r="E1469" s="92">
        <v>0.36</v>
      </c>
      <c r="F1469" t="s">
        <v>446</v>
      </c>
      <c r="G1469" t="s">
        <v>446</v>
      </c>
      <c r="H1469" t="s">
        <v>4932</v>
      </c>
      <c r="I1469">
        <v>0</v>
      </c>
      <c r="J1469" t="s">
        <v>97</v>
      </c>
      <c r="K1469">
        <v>0</v>
      </c>
      <c r="L1469">
        <v>0</v>
      </c>
      <c r="M1469" t="s">
        <v>11</v>
      </c>
    </row>
    <row r="1470" spans="1:13">
      <c r="A1470" s="93">
        <v>162584</v>
      </c>
      <c r="B1470" t="s">
        <v>2022</v>
      </c>
      <c r="C1470" t="s">
        <v>4918</v>
      </c>
      <c r="D1470" s="92">
        <v>0.5</v>
      </c>
      <c r="E1470" s="92">
        <v>0.49</v>
      </c>
      <c r="F1470">
        <v>980</v>
      </c>
      <c r="G1470">
        <v>1090</v>
      </c>
      <c r="H1470" t="s">
        <v>4932</v>
      </c>
      <c r="I1470">
        <v>0</v>
      </c>
      <c r="J1470" t="s">
        <v>97</v>
      </c>
      <c r="K1470">
        <v>0</v>
      </c>
      <c r="L1470">
        <v>0</v>
      </c>
      <c r="M1470" t="s">
        <v>11</v>
      </c>
    </row>
    <row r="1471" spans="1:13">
      <c r="A1471" s="93">
        <v>162609</v>
      </c>
      <c r="B1471" t="s">
        <v>2023</v>
      </c>
      <c r="C1471" t="s">
        <v>4919</v>
      </c>
      <c r="D1471" s="92">
        <v>0.41</v>
      </c>
      <c r="E1471" s="92">
        <v>0.27</v>
      </c>
      <c r="F1471" t="s">
        <v>446</v>
      </c>
      <c r="G1471" t="s">
        <v>446</v>
      </c>
      <c r="H1471" t="s">
        <v>4932</v>
      </c>
      <c r="I1471">
        <v>0</v>
      </c>
      <c r="J1471" t="s">
        <v>97</v>
      </c>
      <c r="K1471">
        <v>0</v>
      </c>
      <c r="L1471">
        <v>0</v>
      </c>
      <c r="M1471" t="s">
        <v>11</v>
      </c>
    </row>
    <row r="1472" spans="1:13">
      <c r="A1472" s="93">
        <v>162654</v>
      </c>
      <c r="B1472" t="s">
        <v>2024</v>
      </c>
      <c r="C1472" t="s">
        <v>4916</v>
      </c>
      <c r="D1472" s="92">
        <v>0.64</v>
      </c>
      <c r="E1472" s="92">
        <v>0.5600000000000001</v>
      </c>
      <c r="F1472">
        <v>1090</v>
      </c>
      <c r="G1472">
        <v>1225</v>
      </c>
      <c r="H1472" t="s">
        <v>4931</v>
      </c>
      <c r="I1472">
        <v>0</v>
      </c>
      <c r="J1472" t="s">
        <v>97</v>
      </c>
      <c r="K1472">
        <v>0</v>
      </c>
      <c r="L1472">
        <v>0</v>
      </c>
      <c r="M1472" t="s">
        <v>11</v>
      </c>
    </row>
    <row r="1473" spans="1:13">
      <c r="A1473" s="93">
        <v>162690</v>
      </c>
      <c r="B1473" t="s">
        <v>2025</v>
      </c>
      <c r="C1473" t="s">
        <v>4919</v>
      </c>
      <c r="D1473" s="92">
        <v>0.42</v>
      </c>
      <c r="E1473" s="92">
        <v>0.35</v>
      </c>
      <c r="F1473" t="s">
        <v>446</v>
      </c>
      <c r="G1473" t="s">
        <v>446</v>
      </c>
      <c r="H1473" t="s">
        <v>4932</v>
      </c>
      <c r="I1473">
        <v>0</v>
      </c>
      <c r="J1473" t="s">
        <v>97</v>
      </c>
      <c r="K1473">
        <v>0</v>
      </c>
      <c r="L1473">
        <v>0</v>
      </c>
      <c r="M1473" t="s">
        <v>11</v>
      </c>
    </row>
    <row r="1474" spans="1:13">
      <c r="A1474" s="93">
        <v>162706</v>
      </c>
      <c r="B1474" t="s">
        <v>2026</v>
      </c>
      <c r="C1474" t="s">
        <v>4919</v>
      </c>
      <c r="D1474" s="92">
        <v>0.42</v>
      </c>
      <c r="E1474" s="92">
        <v>0.37</v>
      </c>
      <c r="F1474" t="s">
        <v>446</v>
      </c>
      <c r="G1474" t="s">
        <v>446</v>
      </c>
      <c r="H1474" t="s">
        <v>4932</v>
      </c>
      <c r="I1474">
        <v>0</v>
      </c>
      <c r="J1474" t="s">
        <v>97</v>
      </c>
      <c r="K1474">
        <v>0</v>
      </c>
      <c r="L1474">
        <v>0</v>
      </c>
      <c r="M1474" t="s">
        <v>11</v>
      </c>
    </row>
    <row r="1475" spans="1:13">
      <c r="A1475" s="93">
        <v>162760</v>
      </c>
      <c r="B1475" t="s">
        <v>2027</v>
      </c>
      <c r="C1475" t="s">
        <v>4920</v>
      </c>
      <c r="D1475" s="92">
        <v>0.64</v>
      </c>
      <c r="E1475" s="92">
        <v>0.52</v>
      </c>
      <c r="F1475" t="s">
        <v>446</v>
      </c>
      <c r="G1475" t="s">
        <v>446</v>
      </c>
      <c r="H1475" t="s">
        <v>4931</v>
      </c>
      <c r="I1475">
        <v>0</v>
      </c>
      <c r="J1475" t="s">
        <v>97</v>
      </c>
      <c r="K1475">
        <v>0</v>
      </c>
      <c r="L1475">
        <v>0</v>
      </c>
      <c r="M1475" t="s">
        <v>11</v>
      </c>
    </row>
    <row r="1476" spans="1:13">
      <c r="A1476" s="93">
        <v>162779</v>
      </c>
      <c r="B1476" t="s">
        <v>2028</v>
      </c>
      <c r="C1476" t="s">
        <v>4919</v>
      </c>
      <c r="D1476" s="92">
        <v>0.37</v>
      </c>
      <c r="E1476" s="92">
        <v>0.29</v>
      </c>
      <c r="F1476" t="s">
        <v>446</v>
      </c>
      <c r="G1476" t="s">
        <v>446</v>
      </c>
      <c r="H1476" t="s">
        <v>4932</v>
      </c>
      <c r="I1476">
        <v>0</v>
      </c>
      <c r="J1476" t="s">
        <v>97</v>
      </c>
      <c r="K1476">
        <v>0</v>
      </c>
      <c r="L1476">
        <v>0</v>
      </c>
      <c r="M1476" t="s">
        <v>11</v>
      </c>
    </row>
    <row r="1477" spans="1:13">
      <c r="A1477" s="93">
        <v>163028</v>
      </c>
      <c r="B1477" t="s">
        <v>2029</v>
      </c>
      <c r="C1477" t="s">
        <v>4919</v>
      </c>
      <c r="D1477" s="92" t="s">
        <v>446</v>
      </c>
      <c r="E1477" s="92" t="s">
        <v>446</v>
      </c>
      <c r="F1477" t="s">
        <v>446</v>
      </c>
      <c r="G1477" t="s">
        <v>446</v>
      </c>
      <c r="H1477" t="s">
        <v>4930</v>
      </c>
      <c r="I1477">
        <v>0</v>
      </c>
      <c r="J1477" t="s">
        <v>97</v>
      </c>
      <c r="K1477">
        <v>0</v>
      </c>
      <c r="L1477">
        <v>0</v>
      </c>
      <c r="M1477" t="s">
        <v>11</v>
      </c>
    </row>
    <row r="1478" spans="1:13">
      <c r="A1478" s="93">
        <v>163046</v>
      </c>
      <c r="B1478" t="s">
        <v>2030</v>
      </c>
      <c r="C1478" t="s">
        <v>4916</v>
      </c>
      <c r="D1478" s="92">
        <v>0.8100000000000001</v>
      </c>
      <c r="E1478" s="92">
        <v>0.78</v>
      </c>
      <c r="F1478" t="s">
        <v>446</v>
      </c>
      <c r="G1478" t="s">
        <v>446</v>
      </c>
      <c r="H1478" t="s">
        <v>4930</v>
      </c>
      <c r="I1478">
        <v>0</v>
      </c>
      <c r="J1478" t="s">
        <v>97</v>
      </c>
      <c r="K1478">
        <v>0</v>
      </c>
      <c r="L1478">
        <v>0</v>
      </c>
      <c r="M1478" t="s">
        <v>11</v>
      </c>
    </row>
    <row r="1479" spans="1:13">
      <c r="A1479" s="93">
        <v>163268</v>
      </c>
      <c r="B1479" t="s">
        <v>2031</v>
      </c>
      <c r="C1479" t="s">
        <v>4916</v>
      </c>
      <c r="D1479" s="92">
        <v>0.7</v>
      </c>
      <c r="E1479" s="92">
        <v>0.6899999999999999</v>
      </c>
      <c r="F1479">
        <v>1220</v>
      </c>
      <c r="G1479">
        <v>1315</v>
      </c>
      <c r="H1479" t="s">
        <v>4932</v>
      </c>
      <c r="I1479">
        <v>0</v>
      </c>
      <c r="J1479" t="s">
        <v>97</v>
      </c>
      <c r="K1479">
        <v>0</v>
      </c>
      <c r="L1479">
        <v>0</v>
      </c>
      <c r="M1479" t="s">
        <v>11</v>
      </c>
    </row>
    <row r="1480" spans="1:13">
      <c r="A1480" s="93">
        <v>163286</v>
      </c>
      <c r="B1480" t="s">
        <v>2032</v>
      </c>
      <c r="C1480" t="s">
        <v>4917</v>
      </c>
      <c r="D1480" s="92">
        <v>0.88</v>
      </c>
      <c r="E1480" s="92">
        <v>0.84</v>
      </c>
      <c r="F1480">
        <v>1330</v>
      </c>
      <c r="G1480">
        <v>1420</v>
      </c>
      <c r="H1480" t="s">
        <v>4932</v>
      </c>
      <c r="I1480">
        <v>0</v>
      </c>
      <c r="J1480" t="s">
        <v>97</v>
      </c>
      <c r="K1480">
        <v>0</v>
      </c>
      <c r="L1480">
        <v>0</v>
      </c>
      <c r="M1480" t="s">
        <v>11</v>
      </c>
    </row>
    <row r="1481" spans="1:13">
      <c r="A1481" s="93">
        <v>163295</v>
      </c>
      <c r="B1481" t="s">
        <v>559</v>
      </c>
      <c r="C1481" t="s">
        <v>4926</v>
      </c>
      <c r="D1481" s="92">
        <v>0.73</v>
      </c>
      <c r="E1481" s="92">
        <v>0.71</v>
      </c>
      <c r="F1481" t="s">
        <v>446</v>
      </c>
      <c r="G1481" t="s">
        <v>446</v>
      </c>
      <c r="H1481" t="s">
        <v>4930</v>
      </c>
      <c r="I1481">
        <v>0</v>
      </c>
      <c r="J1481" t="s">
        <v>97</v>
      </c>
      <c r="K1481">
        <v>0</v>
      </c>
      <c r="L1481">
        <v>0</v>
      </c>
      <c r="M1481" t="s">
        <v>11</v>
      </c>
    </row>
    <row r="1482" spans="1:13">
      <c r="A1482" s="93">
        <v>163338</v>
      </c>
      <c r="B1482" t="s">
        <v>2033</v>
      </c>
      <c r="C1482" t="s">
        <v>4920</v>
      </c>
      <c r="D1482" s="92">
        <v>0.33</v>
      </c>
      <c r="E1482" s="92">
        <v>0.47</v>
      </c>
      <c r="F1482" t="s">
        <v>446</v>
      </c>
      <c r="G1482" t="s">
        <v>446</v>
      </c>
      <c r="H1482" t="s">
        <v>4932</v>
      </c>
      <c r="I1482">
        <v>0</v>
      </c>
      <c r="J1482" t="s">
        <v>153</v>
      </c>
      <c r="K1482">
        <v>0</v>
      </c>
      <c r="L1482">
        <v>0</v>
      </c>
      <c r="M1482" t="s">
        <v>11</v>
      </c>
    </row>
    <row r="1483" spans="1:13">
      <c r="A1483" s="93">
        <v>163426</v>
      </c>
      <c r="B1483" t="s">
        <v>2034</v>
      </c>
      <c r="C1483" t="s">
        <v>4919</v>
      </c>
      <c r="D1483" s="92">
        <v>0.39</v>
      </c>
      <c r="E1483" s="92">
        <v>0.33</v>
      </c>
      <c r="F1483" t="s">
        <v>446</v>
      </c>
      <c r="G1483" t="s">
        <v>446</v>
      </c>
      <c r="H1483" t="s">
        <v>4932</v>
      </c>
      <c r="I1483">
        <v>0</v>
      </c>
      <c r="J1483" t="s">
        <v>97</v>
      </c>
      <c r="K1483">
        <v>0</v>
      </c>
      <c r="L1483">
        <v>0</v>
      </c>
      <c r="M1483" t="s">
        <v>11</v>
      </c>
    </row>
    <row r="1484" spans="1:13">
      <c r="A1484" s="93">
        <v>163532</v>
      </c>
      <c r="B1484" t="s">
        <v>2035</v>
      </c>
      <c r="C1484" t="s">
        <v>4924</v>
      </c>
      <c r="D1484" s="92">
        <v>0.45</v>
      </c>
      <c r="E1484" s="92" t="s">
        <v>446</v>
      </c>
      <c r="F1484" t="s">
        <v>446</v>
      </c>
      <c r="G1484" t="s">
        <v>446</v>
      </c>
      <c r="H1484" t="s">
        <v>4932</v>
      </c>
      <c r="I1484">
        <v>0</v>
      </c>
      <c r="J1484" t="s">
        <v>97</v>
      </c>
      <c r="K1484">
        <v>0</v>
      </c>
      <c r="L1484">
        <v>0</v>
      </c>
      <c r="M1484" t="s">
        <v>11</v>
      </c>
    </row>
    <row r="1485" spans="1:13">
      <c r="A1485" s="93">
        <v>163578</v>
      </c>
      <c r="B1485" t="s">
        <v>2036</v>
      </c>
      <c r="C1485" t="s">
        <v>4916</v>
      </c>
      <c r="D1485" s="92">
        <v>0.57</v>
      </c>
      <c r="E1485" s="92">
        <v>0.45</v>
      </c>
      <c r="F1485" t="s">
        <v>446</v>
      </c>
      <c r="G1485" t="s">
        <v>446</v>
      </c>
      <c r="H1485" t="s">
        <v>4930</v>
      </c>
      <c r="I1485">
        <v>0</v>
      </c>
      <c r="J1485" t="s">
        <v>97</v>
      </c>
      <c r="K1485">
        <v>0</v>
      </c>
      <c r="L1485">
        <v>0</v>
      </c>
      <c r="M1485" t="s">
        <v>11</v>
      </c>
    </row>
    <row r="1486" spans="1:13">
      <c r="A1486" s="93">
        <v>163657</v>
      </c>
      <c r="B1486" t="s">
        <v>2037</v>
      </c>
      <c r="C1486" t="s">
        <v>4919</v>
      </c>
      <c r="D1486" s="92">
        <v>0.22</v>
      </c>
      <c r="E1486" s="92">
        <v>0.19</v>
      </c>
      <c r="F1486" t="s">
        <v>446</v>
      </c>
      <c r="G1486" t="s">
        <v>446</v>
      </c>
      <c r="H1486" t="s">
        <v>4932</v>
      </c>
      <c r="I1486">
        <v>0</v>
      </c>
      <c r="J1486" t="s">
        <v>97</v>
      </c>
      <c r="K1486">
        <v>0</v>
      </c>
      <c r="L1486">
        <v>0</v>
      </c>
      <c r="M1486" t="s">
        <v>11</v>
      </c>
    </row>
    <row r="1487" spans="1:13">
      <c r="A1487" s="93">
        <v>163851</v>
      </c>
      <c r="B1487" t="s">
        <v>2038</v>
      </c>
      <c r="C1487" t="s">
        <v>4916</v>
      </c>
      <c r="D1487" s="92">
        <v>0.72</v>
      </c>
      <c r="E1487" s="92">
        <v>0.64</v>
      </c>
      <c r="F1487" t="s">
        <v>446</v>
      </c>
      <c r="G1487" t="s">
        <v>446</v>
      </c>
      <c r="H1487" t="s">
        <v>4932</v>
      </c>
      <c r="I1487">
        <v>0</v>
      </c>
      <c r="J1487" t="s">
        <v>97</v>
      </c>
      <c r="K1487">
        <v>0</v>
      </c>
      <c r="L1487">
        <v>0</v>
      </c>
      <c r="M1487" t="s">
        <v>11</v>
      </c>
    </row>
    <row r="1488" spans="1:13">
      <c r="A1488" s="93">
        <v>163912</v>
      </c>
      <c r="B1488" t="s">
        <v>2039</v>
      </c>
      <c r="C1488" t="s">
        <v>4916</v>
      </c>
      <c r="D1488" s="92">
        <v>0.74</v>
      </c>
      <c r="E1488" s="92">
        <v>0.65</v>
      </c>
      <c r="F1488">
        <v>1140</v>
      </c>
      <c r="G1488">
        <v>1240</v>
      </c>
      <c r="H1488" t="s">
        <v>4932</v>
      </c>
      <c r="I1488">
        <v>0</v>
      </c>
      <c r="J1488" t="s">
        <v>97</v>
      </c>
      <c r="K1488">
        <v>0</v>
      </c>
      <c r="L1488">
        <v>0</v>
      </c>
      <c r="M1488" t="s">
        <v>11</v>
      </c>
    </row>
    <row r="1489" spans="1:13">
      <c r="A1489" s="93">
        <v>163976</v>
      </c>
      <c r="B1489" t="s">
        <v>2040</v>
      </c>
      <c r="C1489" t="s">
        <v>4922</v>
      </c>
      <c r="D1489" s="92">
        <v>0.7</v>
      </c>
      <c r="E1489" s="92">
        <v>0.52</v>
      </c>
      <c r="F1489">
        <v>1290</v>
      </c>
      <c r="G1489">
        <v>1385</v>
      </c>
      <c r="H1489" t="s">
        <v>4930</v>
      </c>
      <c r="I1489">
        <v>0</v>
      </c>
      <c r="J1489" t="s">
        <v>97</v>
      </c>
      <c r="K1489">
        <v>0</v>
      </c>
      <c r="L1489">
        <v>0</v>
      </c>
      <c r="M1489" t="s">
        <v>11</v>
      </c>
    </row>
    <row r="1490" spans="1:13">
      <c r="A1490" s="93">
        <v>164076</v>
      </c>
      <c r="B1490" t="s">
        <v>2041</v>
      </c>
      <c r="C1490" t="s">
        <v>4916</v>
      </c>
      <c r="D1490" s="92">
        <v>0.72</v>
      </c>
      <c r="E1490" s="92">
        <v>0.7</v>
      </c>
      <c r="F1490">
        <v>1040</v>
      </c>
      <c r="G1490">
        <v>1130</v>
      </c>
      <c r="H1490" t="s">
        <v>4932</v>
      </c>
      <c r="I1490">
        <v>0</v>
      </c>
      <c r="J1490" t="s">
        <v>97</v>
      </c>
      <c r="K1490">
        <v>0</v>
      </c>
      <c r="L1490">
        <v>0</v>
      </c>
      <c r="M1490" t="s">
        <v>11</v>
      </c>
    </row>
    <row r="1491" spans="1:13">
      <c r="A1491" s="93">
        <v>164085</v>
      </c>
      <c r="B1491" t="s">
        <v>2042</v>
      </c>
      <c r="C1491" t="s">
        <v>4924</v>
      </c>
      <c r="D1491" s="92" t="s">
        <v>446</v>
      </c>
      <c r="E1491" s="92" t="s">
        <v>446</v>
      </c>
      <c r="F1491" t="s">
        <v>446</v>
      </c>
      <c r="G1491" t="s">
        <v>446</v>
      </c>
      <c r="H1491" t="s">
        <v>4932</v>
      </c>
      <c r="I1491">
        <v>0</v>
      </c>
      <c r="J1491" t="s">
        <v>97</v>
      </c>
      <c r="K1491">
        <v>0</v>
      </c>
      <c r="L1491">
        <v>0</v>
      </c>
      <c r="M1491" t="s">
        <v>11</v>
      </c>
    </row>
    <row r="1492" spans="1:13">
      <c r="A1492" s="93">
        <v>164173</v>
      </c>
      <c r="B1492" t="s">
        <v>2043</v>
      </c>
      <c r="C1492" t="s">
        <v>4920</v>
      </c>
      <c r="D1492" s="92">
        <v>0.6</v>
      </c>
      <c r="E1492" s="92">
        <v>0.57</v>
      </c>
      <c r="F1492" t="s">
        <v>446</v>
      </c>
      <c r="G1492" t="s">
        <v>446</v>
      </c>
      <c r="H1492" t="s">
        <v>4930</v>
      </c>
      <c r="I1492">
        <v>0</v>
      </c>
      <c r="J1492" t="s">
        <v>97</v>
      </c>
      <c r="K1492">
        <v>0</v>
      </c>
      <c r="L1492">
        <v>0</v>
      </c>
      <c r="M1492" t="s">
        <v>11</v>
      </c>
    </row>
    <row r="1493" spans="1:13">
      <c r="A1493" s="93">
        <v>164216</v>
      </c>
      <c r="B1493" t="s">
        <v>2044</v>
      </c>
      <c r="C1493" t="s">
        <v>4916</v>
      </c>
      <c r="D1493" s="92">
        <v>0.73</v>
      </c>
      <c r="E1493" s="92">
        <v>0.63</v>
      </c>
      <c r="F1493" t="s">
        <v>446</v>
      </c>
      <c r="G1493" t="s">
        <v>446</v>
      </c>
      <c r="H1493" t="s">
        <v>4927</v>
      </c>
      <c r="I1493">
        <v>1</v>
      </c>
      <c r="J1493" t="s">
        <v>97</v>
      </c>
      <c r="K1493">
        <v>0</v>
      </c>
      <c r="L1493">
        <v>0</v>
      </c>
      <c r="M1493" t="s">
        <v>11</v>
      </c>
    </row>
    <row r="1494" spans="1:13">
      <c r="A1494" s="93">
        <v>164270</v>
      </c>
      <c r="B1494" t="s">
        <v>2045</v>
      </c>
      <c r="C1494" t="s">
        <v>4916</v>
      </c>
      <c r="D1494" s="92">
        <v>0.66</v>
      </c>
      <c r="E1494" s="92">
        <v>0.59</v>
      </c>
      <c r="F1494" t="s">
        <v>446</v>
      </c>
      <c r="G1494" t="s">
        <v>446</v>
      </c>
      <c r="H1494" t="s">
        <v>4931</v>
      </c>
      <c r="I1494">
        <v>0</v>
      </c>
      <c r="J1494" t="s">
        <v>97</v>
      </c>
      <c r="K1494">
        <v>0</v>
      </c>
      <c r="L1494">
        <v>0</v>
      </c>
      <c r="M1494" t="s">
        <v>11</v>
      </c>
    </row>
    <row r="1495" spans="1:13">
      <c r="A1495" s="93">
        <v>164313</v>
      </c>
      <c r="B1495" t="s">
        <v>2046</v>
      </c>
      <c r="C1495" t="s">
        <v>4919</v>
      </c>
      <c r="D1495" s="92">
        <v>0.3</v>
      </c>
      <c r="E1495" s="92">
        <v>0.2</v>
      </c>
      <c r="F1495" t="s">
        <v>446</v>
      </c>
      <c r="G1495" t="s">
        <v>446</v>
      </c>
      <c r="H1495" t="s">
        <v>4932</v>
      </c>
      <c r="I1495">
        <v>0</v>
      </c>
      <c r="J1495" t="s">
        <v>97</v>
      </c>
      <c r="K1495">
        <v>0</v>
      </c>
      <c r="L1495">
        <v>0</v>
      </c>
      <c r="M1495" t="s">
        <v>11</v>
      </c>
    </row>
    <row r="1496" spans="1:13">
      <c r="A1496" s="93">
        <v>164368</v>
      </c>
      <c r="B1496" t="s">
        <v>2047</v>
      </c>
      <c r="C1496" t="s">
        <v>4924</v>
      </c>
      <c r="D1496" s="92">
        <v>0.63</v>
      </c>
      <c r="E1496" s="92" t="s">
        <v>446</v>
      </c>
      <c r="F1496" t="s">
        <v>446</v>
      </c>
      <c r="G1496" t="s">
        <v>446</v>
      </c>
      <c r="H1496" t="s">
        <v>4930</v>
      </c>
      <c r="I1496">
        <v>0</v>
      </c>
      <c r="J1496" t="s">
        <v>97</v>
      </c>
      <c r="K1496">
        <v>0</v>
      </c>
      <c r="L1496">
        <v>0</v>
      </c>
      <c r="M1496" t="s">
        <v>11</v>
      </c>
    </row>
    <row r="1497" spans="1:13">
      <c r="A1497" s="93">
        <v>164447</v>
      </c>
      <c r="B1497" t="s">
        <v>2048</v>
      </c>
      <c r="C1497" t="s">
        <v>4918</v>
      </c>
      <c r="D1497" s="92">
        <v>0.43</v>
      </c>
      <c r="E1497" s="92">
        <v>0.36</v>
      </c>
      <c r="F1497">
        <v>940</v>
      </c>
      <c r="G1497">
        <v>1025</v>
      </c>
      <c r="H1497" t="s">
        <v>4930</v>
      </c>
      <c r="I1497">
        <v>0</v>
      </c>
      <c r="J1497" t="s">
        <v>97</v>
      </c>
      <c r="K1497">
        <v>0</v>
      </c>
      <c r="L1497">
        <v>0</v>
      </c>
      <c r="M1497" t="s">
        <v>11</v>
      </c>
    </row>
    <row r="1498" spans="1:13">
      <c r="A1498" s="93">
        <v>164465</v>
      </c>
      <c r="B1498" t="s">
        <v>2049</v>
      </c>
      <c r="C1498" t="s">
        <v>4917</v>
      </c>
      <c r="D1498" s="92">
        <v>0.92</v>
      </c>
      <c r="E1498" s="92">
        <v>0.9</v>
      </c>
      <c r="F1498">
        <v>1370</v>
      </c>
      <c r="G1498">
        <v>1460</v>
      </c>
      <c r="H1498" t="s">
        <v>4927</v>
      </c>
      <c r="I1498">
        <v>1</v>
      </c>
      <c r="J1498" t="s">
        <v>97</v>
      </c>
      <c r="K1498">
        <v>0</v>
      </c>
      <c r="L1498">
        <v>0</v>
      </c>
      <c r="M1498" t="s">
        <v>11</v>
      </c>
    </row>
    <row r="1499" spans="1:13">
      <c r="A1499" s="93">
        <v>164492</v>
      </c>
      <c r="B1499" t="s">
        <v>2050</v>
      </c>
      <c r="C1499" t="s">
        <v>4920</v>
      </c>
      <c r="D1499" s="92">
        <v>0.48</v>
      </c>
      <c r="E1499" s="92">
        <v>0.35</v>
      </c>
      <c r="F1499" t="s">
        <v>446</v>
      </c>
      <c r="G1499" t="s">
        <v>446</v>
      </c>
      <c r="H1499" t="s">
        <v>4930</v>
      </c>
      <c r="I1499">
        <v>0</v>
      </c>
      <c r="J1499" t="s">
        <v>97</v>
      </c>
      <c r="K1499">
        <v>0</v>
      </c>
      <c r="L1499">
        <v>0</v>
      </c>
      <c r="M1499" t="s">
        <v>11</v>
      </c>
    </row>
    <row r="1500" spans="1:13">
      <c r="A1500" s="93">
        <v>164562</v>
      </c>
      <c r="B1500" t="s">
        <v>2051</v>
      </c>
      <c r="C1500" t="s">
        <v>4920</v>
      </c>
      <c r="D1500" s="92">
        <v>0.72</v>
      </c>
      <c r="E1500" s="92">
        <v>0.63</v>
      </c>
      <c r="F1500" t="s">
        <v>446</v>
      </c>
      <c r="G1500" t="s">
        <v>446</v>
      </c>
      <c r="H1500" t="s">
        <v>4930</v>
      </c>
      <c r="I1500">
        <v>0</v>
      </c>
      <c r="J1500" t="s">
        <v>97</v>
      </c>
      <c r="K1500">
        <v>0</v>
      </c>
      <c r="L1500">
        <v>0</v>
      </c>
      <c r="M1500" t="s">
        <v>11</v>
      </c>
    </row>
    <row r="1501" spans="1:13">
      <c r="A1501" s="93">
        <v>164580</v>
      </c>
      <c r="B1501" t="s">
        <v>2052</v>
      </c>
      <c r="C1501" t="s">
        <v>4917</v>
      </c>
      <c r="D1501" s="92">
        <v>0.9399999999999999</v>
      </c>
      <c r="E1501" s="92">
        <v>0.97</v>
      </c>
      <c r="F1501">
        <v>1330</v>
      </c>
      <c r="G1501">
        <v>1405</v>
      </c>
      <c r="H1501" t="s">
        <v>4930</v>
      </c>
      <c r="I1501">
        <v>0</v>
      </c>
      <c r="J1501" t="s">
        <v>97</v>
      </c>
      <c r="K1501">
        <v>0</v>
      </c>
      <c r="L1501">
        <v>0</v>
      </c>
      <c r="M1501" t="s">
        <v>11</v>
      </c>
    </row>
    <row r="1502" spans="1:13">
      <c r="A1502" s="93">
        <v>164614</v>
      </c>
      <c r="B1502" t="s">
        <v>2053</v>
      </c>
      <c r="C1502" t="s">
        <v>4923</v>
      </c>
      <c r="D1502" s="92">
        <v>0.52</v>
      </c>
      <c r="E1502" s="92">
        <v>0.33</v>
      </c>
      <c r="F1502" t="s">
        <v>446</v>
      </c>
      <c r="G1502" t="s">
        <v>446</v>
      </c>
      <c r="H1502" t="s">
        <v>4930</v>
      </c>
      <c r="I1502">
        <v>0</v>
      </c>
      <c r="J1502" t="s">
        <v>97</v>
      </c>
      <c r="K1502">
        <v>0</v>
      </c>
      <c r="L1502">
        <v>0</v>
      </c>
      <c r="M1502" t="s">
        <v>11</v>
      </c>
    </row>
    <row r="1503" spans="1:13">
      <c r="A1503" s="93">
        <v>164632</v>
      </c>
      <c r="B1503" t="s">
        <v>2054</v>
      </c>
      <c r="C1503" t="s">
        <v>4920</v>
      </c>
      <c r="D1503" s="92">
        <v>0.54</v>
      </c>
      <c r="E1503" s="92">
        <v>0.42</v>
      </c>
      <c r="F1503">
        <v>1020</v>
      </c>
      <c r="G1503">
        <v>1110</v>
      </c>
      <c r="H1503" t="s">
        <v>4930</v>
      </c>
      <c r="I1503">
        <v>0</v>
      </c>
      <c r="J1503" t="s">
        <v>97</v>
      </c>
      <c r="K1503">
        <v>0</v>
      </c>
      <c r="L1503">
        <v>0</v>
      </c>
      <c r="M1503" t="s">
        <v>11</v>
      </c>
    </row>
    <row r="1504" spans="1:13">
      <c r="A1504" s="93">
        <v>164641</v>
      </c>
      <c r="B1504" t="s">
        <v>2055</v>
      </c>
      <c r="C1504" t="s">
        <v>4924</v>
      </c>
      <c r="D1504" s="92">
        <v>0.16</v>
      </c>
      <c r="E1504" s="92">
        <v>0.24</v>
      </c>
      <c r="F1504" t="s">
        <v>446</v>
      </c>
      <c r="G1504" t="s">
        <v>446</v>
      </c>
      <c r="H1504" t="s">
        <v>4930</v>
      </c>
      <c r="I1504">
        <v>0</v>
      </c>
      <c r="J1504" t="s">
        <v>97</v>
      </c>
      <c r="K1504">
        <v>0</v>
      </c>
      <c r="L1504">
        <v>0</v>
      </c>
      <c r="M1504" t="s">
        <v>11</v>
      </c>
    </row>
    <row r="1505" spans="1:13">
      <c r="A1505" s="93">
        <v>164720</v>
      </c>
      <c r="B1505" t="s">
        <v>2056</v>
      </c>
      <c r="C1505" t="s">
        <v>4920</v>
      </c>
      <c r="D1505" s="92">
        <v>0.51</v>
      </c>
      <c r="E1505" s="92">
        <v>0.4</v>
      </c>
      <c r="F1505" t="s">
        <v>446</v>
      </c>
      <c r="G1505" t="s">
        <v>446</v>
      </c>
      <c r="H1505" t="s">
        <v>4932</v>
      </c>
      <c r="I1505">
        <v>0</v>
      </c>
      <c r="J1505" t="s">
        <v>97</v>
      </c>
      <c r="K1505">
        <v>0</v>
      </c>
      <c r="L1505">
        <v>0</v>
      </c>
      <c r="M1505" t="s">
        <v>11</v>
      </c>
    </row>
    <row r="1506" spans="1:13">
      <c r="A1506" s="93">
        <v>164739</v>
      </c>
      <c r="B1506" t="s">
        <v>2057</v>
      </c>
      <c r="C1506" t="s">
        <v>4917</v>
      </c>
      <c r="D1506" s="92">
        <v>0.88</v>
      </c>
      <c r="E1506" s="92">
        <v>0.85</v>
      </c>
      <c r="F1506">
        <v>1240</v>
      </c>
      <c r="G1506">
        <v>1325</v>
      </c>
      <c r="H1506" t="s">
        <v>4930</v>
      </c>
      <c r="I1506">
        <v>0</v>
      </c>
      <c r="J1506" t="s">
        <v>97</v>
      </c>
      <c r="K1506">
        <v>0</v>
      </c>
      <c r="L1506">
        <v>0</v>
      </c>
      <c r="M1506" t="s">
        <v>11</v>
      </c>
    </row>
    <row r="1507" spans="1:13">
      <c r="A1507" s="93">
        <v>164775</v>
      </c>
      <c r="B1507" t="s">
        <v>2058</v>
      </c>
      <c r="C1507" t="s">
        <v>4919</v>
      </c>
      <c r="D1507" s="92">
        <v>0.28</v>
      </c>
      <c r="E1507" s="92">
        <v>0.24</v>
      </c>
      <c r="F1507" t="s">
        <v>446</v>
      </c>
      <c r="G1507" t="s">
        <v>446</v>
      </c>
      <c r="H1507" t="s">
        <v>4932</v>
      </c>
      <c r="I1507">
        <v>0</v>
      </c>
      <c r="J1507" t="s">
        <v>97</v>
      </c>
      <c r="K1507">
        <v>0</v>
      </c>
      <c r="L1507">
        <v>0</v>
      </c>
      <c r="M1507" t="s">
        <v>11</v>
      </c>
    </row>
    <row r="1508" spans="1:13">
      <c r="A1508" s="93">
        <v>164872</v>
      </c>
      <c r="B1508" t="s">
        <v>2059</v>
      </c>
      <c r="C1508" t="s">
        <v>4923</v>
      </c>
      <c r="D1508" s="92">
        <v>0.41</v>
      </c>
      <c r="E1508" s="92">
        <v>0.14</v>
      </c>
      <c r="F1508" t="s">
        <v>446</v>
      </c>
      <c r="G1508" t="s">
        <v>446</v>
      </c>
      <c r="H1508" t="s">
        <v>4930</v>
      </c>
      <c r="I1508">
        <v>0</v>
      </c>
      <c r="J1508" t="s">
        <v>97</v>
      </c>
      <c r="K1508">
        <v>0</v>
      </c>
      <c r="L1508">
        <v>0</v>
      </c>
      <c r="M1508" t="s">
        <v>11</v>
      </c>
    </row>
    <row r="1509" spans="1:13">
      <c r="A1509" s="93">
        <v>164915</v>
      </c>
      <c r="B1509" t="s">
        <v>2060</v>
      </c>
      <c r="C1509" t="s">
        <v>4924</v>
      </c>
      <c r="D1509" s="92" t="s">
        <v>446</v>
      </c>
      <c r="E1509" s="92" t="s">
        <v>446</v>
      </c>
      <c r="F1509" t="s">
        <v>446</v>
      </c>
      <c r="G1509" t="s">
        <v>446</v>
      </c>
      <c r="H1509" t="s">
        <v>4932</v>
      </c>
      <c r="I1509">
        <v>0</v>
      </c>
      <c r="J1509" t="s">
        <v>97</v>
      </c>
      <c r="K1509">
        <v>0</v>
      </c>
      <c r="L1509">
        <v>0</v>
      </c>
      <c r="M1509" t="s">
        <v>11</v>
      </c>
    </row>
    <row r="1510" spans="1:13">
      <c r="A1510" s="93">
        <v>165015</v>
      </c>
      <c r="B1510" t="s">
        <v>2061</v>
      </c>
      <c r="C1510" t="s">
        <v>4922</v>
      </c>
      <c r="D1510" s="92">
        <v>0.88</v>
      </c>
      <c r="E1510" s="92">
        <v>0.85</v>
      </c>
      <c r="F1510">
        <v>1370</v>
      </c>
      <c r="G1510">
        <v>1450</v>
      </c>
      <c r="H1510" t="s">
        <v>4931</v>
      </c>
      <c r="I1510">
        <v>0</v>
      </c>
      <c r="J1510" t="s">
        <v>97</v>
      </c>
      <c r="K1510">
        <v>0</v>
      </c>
      <c r="L1510">
        <v>0</v>
      </c>
      <c r="M1510" t="s">
        <v>11</v>
      </c>
    </row>
    <row r="1511" spans="1:13">
      <c r="A1511" s="93">
        <v>165024</v>
      </c>
      <c r="B1511" t="s">
        <v>2062</v>
      </c>
      <c r="C1511" t="s">
        <v>4920</v>
      </c>
      <c r="D1511" s="92">
        <v>0.62</v>
      </c>
      <c r="E1511" s="92">
        <v>0.59</v>
      </c>
      <c r="F1511">
        <v>1010</v>
      </c>
      <c r="G1511">
        <v>1105</v>
      </c>
      <c r="H1511" t="s">
        <v>4932</v>
      </c>
      <c r="I1511">
        <v>0</v>
      </c>
      <c r="J1511" t="s">
        <v>97</v>
      </c>
      <c r="K1511">
        <v>0</v>
      </c>
      <c r="L1511">
        <v>0</v>
      </c>
      <c r="M1511" t="s">
        <v>11</v>
      </c>
    </row>
    <row r="1512" spans="1:13">
      <c r="A1512" s="93">
        <v>165033</v>
      </c>
      <c r="B1512" t="s">
        <v>2063</v>
      </c>
      <c r="C1512" t="s">
        <v>4919</v>
      </c>
      <c r="D1512" s="92">
        <v>0.25</v>
      </c>
      <c r="E1512" s="92">
        <v>0.14</v>
      </c>
      <c r="F1512" t="s">
        <v>446</v>
      </c>
      <c r="G1512" t="s">
        <v>446</v>
      </c>
      <c r="H1512" t="s">
        <v>4932</v>
      </c>
      <c r="I1512">
        <v>0</v>
      </c>
      <c r="J1512" t="s">
        <v>97</v>
      </c>
      <c r="K1512">
        <v>0</v>
      </c>
      <c r="L1512">
        <v>0</v>
      </c>
      <c r="M1512" t="s">
        <v>11</v>
      </c>
    </row>
    <row r="1513" spans="1:13">
      <c r="A1513" s="93">
        <v>165060</v>
      </c>
      <c r="B1513" t="s">
        <v>2064</v>
      </c>
      <c r="C1513" t="s">
        <v>4925</v>
      </c>
      <c r="D1513" s="92" t="s">
        <v>446</v>
      </c>
      <c r="E1513" s="92" t="s">
        <v>446</v>
      </c>
      <c r="F1513" t="s">
        <v>446</v>
      </c>
      <c r="G1513" t="s">
        <v>446</v>
      </c>
      <c r="H1513" t="s">
        <v>4930</v>
      </c>
      <c r="I1513">
        <v>0</v>
      </c>
      <c r="J1513" t="s">
        <v>97</v>
      </c>
      <c r="K1513">
        <v>0</v>
      </c>
      <c r="L1513">
        <v>0</v>
      </c>
      <c r="M1513" t="s">
        <v>11</v>
      </c>
    </row>
    <row r="1514" spans="1:13">
      <c r="A1514" s="93">
        <v>165112</v>
      </c>
      <c r="B1514" t="s">
        <v>2065</v>
      </c>
      <c r="C1514" t="s">
        <v>4919</v>
      </c>
      <c r="D1514" s="92">
        <v>0.21</v>
      </c>
      <c r="E1514" s="92">
        <v>0.17</v>
      </c>
      <c r="F1514" t="s">
        <v>446</v>
      </c>
      <c r="G1514" t="s">
        <v>446</v>
      </c>
      <c r="H1514" t="s">
        <v>4932</v>
      </c>
      <c r="I1514">
        <v>0</v>
      </c>
      <c r="J1514" t="s">
        <v>97</v>
      </c>
      <c r="K1514">
        <v>0</v>
      </c>
      <c r="L1514">
        <v>0</v>
      </c>
      <c r="M1514" t="s">
        <v>11</v>
      </c>
    </row>
    <row r="1515" spans="1:13">
      <c r="A1515" s="93">
        <v>165167</v>
      </c>
      <c r="B1515" t="s">
        <v>2066</v>
      </c>
      <c r="C1515" t="s">
        <v>4923</v>
      </c>
      <c r="D1515" s="92">
        <v>0.2</v>
      </c>
      <c r="E1515" s="92">
        <v>0.29</v>
      </c>
      <c r="F1515" t="s">
        <v>446</v>
      </c>
      <c r="G1515" t="s">
        <v>446</v>
      </c>
      <c r="H1515" t="s">
        <v>4932</v>
      </c>
      <c r="I1515">
        <v>0</v>
      </c>
      <c r="J1515" t="s">
        <v>97</v>
      </c>
      <c r="K1515">
        <v>0</v>
      </c>
      <c r="L1515">
        <v>0</v>
      </c>
      <c r="M1515" t="s">
        <v>11</v>
      </c>
    </row>
    <row r="1516" spans="1:13">
      <c r="A1516" s="93">
        <v>165194</v>
      </c>
      <c r="B1516" t="s">
        <v>2067</v>
      </c>
      <c r="C1516" t="s">
        <v>4919</v>
      </c>
      <c r="D1516" s="92">
        <v>0.3</v>
      </c>
      <c r="E1516" s="92">
        <v>0.3</v>
      </c>
      <c r="F1516" t="s">
        <v>446</v>
      </c>
      <c r="G1516" t="s">
        <v>446</v>
      </c>
      <c r="H1516" t="s">
        <v>4932</v>
      </c>
      <c r="I1516">
        <v>0</v>
      </c>
      <c r="J1516" t="s">
        <v>97</v>
      </c>
      <c r="K1516">
        <v>0</v>
      </c>
      <c r="L1516">
        <v>0</v>
      </c>
      <c r="M1516" t="s">
        <v>11</v>
      </c>
    </row>
    <row r="1517" spans="1:13">
      <c r="A1517" s="93">
        <v>165264</v>
      </c>
      <c r="B1517" t="s">
        <v>2068</v>
      </c>
      <c r="C1517" t="s">
        <v>4924</v>
      </c>
      <c r="D1517" s="92" t="s">
        <v>446</v>
      </c>
      <c r="E1517" s="92" t="s">
        <v>446</v>
      </c>
      <c r="F1517" t="s">
        <v>446</v>
      </c>
      <c r="G1517" t="s">
        <v>446</v>
      </c>
      <c r="H1517" t="s">
        <v>4932</v>
      </c>
      <c r="I1517">
        <v>0</v>
      </c>
      <c r="J1517" t="s">
        <v>97</v>
      </c>
      <c r="K1517">
        <v>0</v>
      </c>
      <c r="L1517">
        <v>0</v>
      </c>
      <c r="M1517" t="s">
        <v>11</v>
      </c>
    </row>
    <row r="1518" spans="1:13">
      <c r="A1518" s="93">
        <v>165334</v>
      </c>
      <c r="B1518" t="s">
        <v>2069</v>
      </c>
      <c r="C1518" t="s">
        <v>4917</v>
      </c>
      <c r="D1518" s="92">
        <v>0.78</v>
      </c>
      <c r="E1518" s="92">
        <v>0.71</v>
      </c>
      <c r="F1518">
        <v>1220</v>
      </c>
      <c r="G1518">
        <v>1310</v>
      </c>
      <c r="H1518" t="s">
        <v>4930</v>
      </c>
      <c r="I1518">
        <v>0</v>
      </c>
      <c r="J1518" t="s">
        <v>97</v>
      </c>
      <c r="K1518">
        <v>0</v>
      </c>
      <c r="L1518">
        <v>0</v>
      </c>
      <c r="M1518" t="s">
        <v>11</v>
      </c>
    </row>
    <row r="1519" spans="1:13">
      <c r="A1519" s="93">
        <v>165495</v>
      </c>
      <c r="B1519" t="s">
        <v>2070</v>
      </c>
      <c r="C1519" t="s">
        <v>4924</v>
      </c>
      <c r="D1519" s="92" t="s">
        <v>446</v>
      </c>
      <c r="E1519" s="92" t="s">
        <v>446</v>
      </c>
      <c r="F1519" t="s">
        <v>446</v>
      </c>
      <c r="G1519" t="s">
        <v>446</v>
      </c>
      <c r="H1519" t="s">
        <v>4932</v>
      </c>
      <c r="I1519">
        <v>0</v>
      </c>
      <c r="J1519" t="s">
        <v>97</v>
      </c>
      <c r="K1519">
        <v>0</v>
      </c>
      <c r="L1519">
        <v>0</v>
      </c>
      <c r="M1519" t="s">
        <v>11</v>
      </c>
    </row>
    <row r="1520" spans="1:13">
      <c r="A1520" s="93">
        <v>165574</v>
      </c>
      <c r="B1520" t="s">
        <v>2071</v>
      </c>
      <c r="C1520" t="s">
        <v>4918</v>
      </c>
      <c r="D1520" s="92">
        <v>0.46</v>
      </c>
      <c r="E1520" s="92">
        <v>0.34</v>
      </c>
      <c r="F1520" t="s">
        <v>446</v>
      </c>
      <c r="G1520" t="s">
        <v>446</v>
      </c>
      <c r="H1520" t="s">
        <v>4930</v>
      </c>
      <c r="I1520">
        <v>0</v>
      </c>
      <c r="J1520" t="s">
        <v>97</v>
      </c>
      <c r="K1520">
        <v>0</v>
      </c>
      <c r="L1520">
        <v>0</v>
      </c>
      <c r="M1520" t="s">
        <v>11</v>
      </c>
    </row>
    <row r="1521" spans="1:13">
      <c r="A1521" s="93">
        <v>165635</v>
      </c>
      <c r="B1521" t="s">
        <v>2072</v>
      </c>
      <c r="C1521" t="s">
        <v>4919</v>
      </c>
      <c r="D1521" s="92" t="s">
        <v>446</v>
      </c>
      <c r="E1521" s="92" t="s">
        <v>446</v>
      </c>
      <c r="F1521" t="s">
        <v>446</v>
      </c>
      <c r="G1521" t="s">
        <v>446</v>
      </c>
      <c r="H1521" t="s">
        <v>4930</v>
      </c>
      <c r="I1521">
        <v>0</v>
      </c>
      <c r="J1521" t="s">
        <v>97</v>
      </c>
      <c r="K1521">
        <v>0</v>
      </c>
      <c r="L1521">
        <v>0</v>
      </c>
      <c r="M1521" t="s">
        <v>11</v>
      </c>
    </row>
    <row r="1522" spans="1:13">
      <c r="A1522" s="93">
        <v>165644</v>
      </c>
      <c r="B1522" t="s">
        <v>2073</v>
      </c>
      <c r="C1522" t="s">
        <v>4920</v>
      </c>
      <c r="D1522" s="92">
        <v>0.43</v>
      </c>
      <c r="E1522" s="92">
        <v>0.35</v>
      </c>
      <c r="F1522">
        <v>960</v>
      </c>
      <c r="G1522">
        <v>1140</v>
      </c>
      <c r="H1522" t="s">
        <v>4930</v>
      </c>
      <c r="I1522">
        <v>0</v>
      </c>
      <c r="J1522" t="s">
        <v>97</v>
      </c>
      <c r="K1522">
        <v>0</v>
      </c>
      <c r="L1522">
        <v>0</v>
      </c>
      <c r="M1522" t="s">
        <v>11</v>
      </c>
    </row>
    <row r="1523" spans="1:13">
      <c r="A1523" s="93">
        <v>165662</v>
      </c>
      <c r="B1523" t="s">
        <v>2074</v>
      </c>
      <c r="C1523" t="s">
        <v>4917</v>
      </c>
      <c r="D1523" s="92">
        <v>0.79</v>
      </c>
      <c r="E1523" s="92">
        <v>0.71</v>
      </c>
      <c r="F1523">
        <v>1200</v>
      </c>
      <c r="G1523">
        <v>1300</v>
      </c>
      <c r="H1523" t="s">
        <v>4930</v>
      </c>
      <c r="I1523">
        <v>0</v>
      </c>
      <c r="J1523" t="s">
        <v>97</v>
      </c>
      <c r="K1523">
        <v>0</v>
      </c>
      <c r="L1523">
        <v>0</v>
      </c>
      <c r="M1523" t="s">
        <v>11</v>
      </c>
    </row>
    <row r="1524" spans="1:13">
      <c r="A1524" s="93">
        <v>165671</v>
      </c>
      <c r="B1524" t="s">
        <v>1687</v>
      </c>
      <c r="C1524" t="s">
        <v>4920</v>
      </c>
      <c r="D1524" s="92">
        <v>0.66</v>
      </c>
      <c r="E1524" s="92">
        <v>0.57</v>
      </c>
      <c r="F1524">
        <v>1150</v>
      </c>
      <c r="G1524">
        <v>1215</v>
      </c>
      <c r="H1524" t="s">
        <v>4930</v>
      </c>
      <c r="I1524">
        <v>0</v>
      </c>
      <c r="J1524" t="s">
        <v>97</v>
      </c>
      <c r="K1524">
        <v>0</v>
      </c>
      <c r="L1524">
        <v>0</v>
      </c>
      <c r="M1524" t="s">
        <v>11</v>
      </c>
    </row>
    <row r="1525" spans="1:13">
      <c r="A1525" s="93">
        <v>165699</v>
      </c>
      <c r="B1525" t="s">
        <v>2075</v>
      </c>
      <c r="C1525" t="s">
        <v>4916</v>
      </c>
      <c r="D1525" s="92">
        <v>0.77</v>
      </c>
      <c r="E1525" s="92">
        <v>0.7</v>
      </c>
      <c r="F1525" t="s">
        <v>446</v>
      </c>
      <c r="G1525" t="s">
        <v>446</v>
      </c>
      <c r="H1525" t="s">
        <v>4930</v>
      </c>
      <c r="I1525">
        <v>0</v>
      </c>
      <c r="J1525" t="s">
        <v>97</v>
      </c>
      <c r="K1525">
        <v>0</v>
      </c>
      <c r="L1525">
        <v>0</v>
      </c>
      <c r="M1525" t="s">
        <v>11</v>
      </c>
    </row>
    <row r="1526" spans="1:13">
      <c r="A1526" s="93">
        <v>165802</v>
      </c>
      <c r="B1526" t="s">
        <v>2076</v>
      </c>
      <c r="C1526" t="s">
        <v>4924</v>
      </c>
      <c r="D1526" s="92">
        <v>0.34</v>
      </c>
      <c r="E1526" s="92">
        <v>0.42</v>
      </c>
      <c r="F1526">
        <v>800</v>
      </c>
      <c r="G1526">
        <v>935</v>
      </c>
      <c r="H1526" t="s">
        <v>4930</v>
      </c>
      <c r="I1526">
        <v>0</v>
      </c>
      <c r="J1526" t="s">
        <v>97</v>
      </c>
      <c r="K1526">
        <v>0</v>
      </c>
      <c r="L1526">
        <v>0</v>
      </c>
      <c r="M1526" t="s">
        <v>11</v>
      </c>
    </row>
    <row r="1527" spans="1:13">
      <c r="A1527" s="93">
        <v>165820</v>
      </c>
      <c r="B1527" t="s">
        <v>2077</v>
      </c>
      <c r="C1527" t="s">
        <v>4920</v>
      </c>
      <c r="D1527" s="92">
        <v>0.58</v>
      </c>
      <c r="E1527" s="92">
        <v>0.52</v>
      </c>
      <c r="F1527">
        <v>980</v>
      </c>
      <c r="G1527">
        <v>1080</v>
      </c>
      <c r="H1527" t="s">
        <v>4932</v>
      </c>
      <c r="I1527">
        <v>0</v>
      </c>
      <c r="J1527" t="s">
        <v>97</v>
      </c>
      <c r="K1527">
        <v>0</v>
      </c>
      <c r="L1527">
        <v>0</v>
      </c>
      <c r="M1527" t="s">
        <v>11</v>
      </c>
    </row>
    <row r="1528" spans="1:13">
      <c r="A1528" s="93">
        <v>165866</v>
      </c>
      <c r="B1528" t="s">
        <v>2078</v>
      </c>
      <c r="C1528" t="s">
        <v>4920</v>
      </c>
      <c r="D1528" s="92">
        <v>0.57</v>
      </c>
      <c r="E1528" s="92">
        <v>0.47</v>
      </c>
      <c r="F1528">
        <v>990</v>
      </c>
      <c r="G1528">
        <v>1085</v>
      </c>
      <c r="H1528" t="s">
        <v>4932</v>
      </c>
      <c r="I1528">
        <v>0</v>
      </c>
      <c r="J1528" t="s">
        <v>97</v>
      </c>
      <c r="K1528">
        <v>0</v>
      </c>
      <c r="L1528">
        <v>0</v>
      </c>
      <c r="M1528" t="s">
        <v>11</v>
      </c>
    </row>
    <row r="1529" spans="1:13">
      <c r="A1529" s="93">
        <v>165884</v>
      </c>
      <c r="B1529" t="s">
        <v>2079</v>
      </c>
      <c r="C1529" t="s">
        <v>4920</v>
      </c>
      <c r="D1529" s="92" t="s">
        <v>446</v>
      </c>
      <c r="E1529" s="92" t="s">
        <v>446</v>
      </c>
      <c r="F1529" t="s">
        <v>446</v>
      </c>
      <c r="G1529" t="s">
        <v>446</v>
      </c>
      <c r="H1529" t="s">
        <v>4930</v>
      </c>
      <c r="I1529">
        <v>0</v>
      </c>
      <c r="J1529" t="s">
        <v>97</v>
      </c>
      <c r="K1529">
        <v>0</v>
      </c>
      <c r="L1529">
        <v>0</v>
      </c>
      <c r="M1529" t="s">
        <v>11</v>
      </c>
    </row>
    <row r="1530" spans="1:13">
      <c r="A1530" s="93">
        <v>165945</v>
      </c>
      <c r="B1530" t="s">
        <v>2080</v>
      </c>
      <c r="C1530" t="s">
        <v>4924</v>
      </c>
      <c r="D1530" s="92" t="s">
        <v>446</v>
      </c>
      <c r="E1530" s="92" t="s">
        <v>446</v>
      </c>
      <c r="F1530" t="s">
        <v>446</v>
      </c>
      <c r="G1530" t="s">
        <v>446</v>
      </c>
      <c r="H1530" t="s">
        <v>4932</v>
      </c>
      <c r="I1530">
        <v>0</v>
      </c>
      <c r="J1530" t="s">
        <v>97</v>
      </c>
      <c r="K1530">
        <v>0</v>
      </c>
      <c r="L1530">
        <v>0</v>
      </c>
      <c r="M1530" t="s">
        <v>11</v>
      </c>
    </row>
    <row r="1531" spans="1:13">
      <c r="A1531" s="93">
        <v>165981</v>
      </c>
      <c r="B1531" t="s">
        <v>2081</v>
      </c>
      <c r="C1531" t="s">
        <v>4919</v>
      </c>
      <c r="D1531" s="92">
        <v>0.36</v>
      </c>
      <c r="E1531" s="92">
        <v>0.19</v>
      </c>
      <c r="F1531" t="s">
        <v>446</v>
      </c>
      <c r="G1531" t="s">
        <v>446</v>
      </c>
      <c r="H1531" t="s">
        <v>4932</v>
      </c>
      <c r="I1531">
        <v>0</v>
      </c>
      <c r="J1531" t="s">
        <v>97</v>
      </c>
      <c r="K1531">
        <v>0</v>
      </c>
      <c r="L1531">
        <v>0</v>
      </c>
      <c r="M1531" t="s">
        <v>11</v>
      </c>
    </row>
    <row r="1532" spans="1:13">
      <c r="A1532" s="93">
        <v>166018</v>
      </c>
      <c r="B1532" t="s">
        <v>2082</v>
      </c>
      <c r="C1532" t="s">
        <v>4922</v>
      </c>
      <c r="D1532" s="92">
        <v>0.64</v>
      </c>
      <c r="E1532" s="92">
        <v>0.61</v>
      </c>
      <c r="F1532" t="s">
        <v>446</v>
      </c>
      <c r="G1532" t="s">
        <v>446</v>
      </c>
      <c r="H1532" t="s">
        <v>4930</v>
      </c>
      <c r="I1532">
        <v>0</v>
      </c>
      <c r="J1532" t="s">
        <v>97</v>
      </c>
      <c r="K1532">
        <v>0</v>
      </c>
      <c r="L1532">
        <v>0</v>
      </c>
      <c r="M1532" t="s">
        <v>11</v>
      </c>
    </row>
    <row r="1533" spans="1:13">
      <c r="A1533" s="93">
        <v>166045</v>
      </c>
      <c r="B1533" t="s">
        <v>2083</v>
      </c>
      <c r="C1533" t="s">
        <v>4924</v>
      </c>
      <c r="D1533" s="92" t="s">
        <v>446</v>
      </c>
      <c r="E1533" s="92" t="s">
        <v>446</v>
      </c>
      <c r="F1533" t="s">
        <v>446</v>
      </c>
      <c r="G1533" t="s">
        <v>446</v>
      </c>
      <c r="H1533" t="s">
        <v>4932</v>
      </c>
      <c r="I1533">
        <v>0</v>
      </c>
      <c r="J1533" t="s">
        <v>97</v>
      </c>
      <c r="K1533">
        <v>0</v>
      </c>
      <c r="L1533">
        <v>0</v>
      </c>
      <c r="M1533" t="s">
        <v>11</v>
      </c>
    </row>
    <row r="1534" spans="1:13">
      <c r="A1534" s="93">
        <v>166054</v>
      </c>
      <c r="B1534" t="s">
        <v>2084</v>
      </c>
      <c r="C1534" t="s">
        <v>4920</v>
      </c>
      <c r="D1534" s="92">
        <v>0.6</v>
      </c>
      <c r="E1534" s="92">
        <v>1</v>
      </c>
      <c r="F1534" t="s">
        <v>446</v>
      </c>
      <c r="G1534" t="s">
        <v>446</v>
      </c>
      <c r="H1534" t="s">
        <v>4930</v>
      </c>
      <c r="I1534">
        <v>0</v>
      </c>
      <c r="J1534" t="s">
        <v>97</v>
      </c>
      <c r="K1534">
        <v>0</v>
      </c>
      <c r="L1534">
        <v>0</v>
      </c>
      <c r="M1534" t="s">
        <v>11</v>
      </c>
    </row>
    <row r="1535" spans="1:13">
      <c r="A1535" s="93">
        <v>166124</v>
      </c>
      <c r="B1535" t="s">
        <v>527</v>
      </c>
      <c r="C1535" t="s">
        <v>4922</v>
      </c>
      <c r="D1535" s="92">
        <v>0.93</v>
      </c>
      <c r="E1535" s="92">
        <v>0.9</v>
      </c>
      <c r="F1535">
        <v>1240</v>
      </c>
      <c r="G1535">
        <v>1330</v>
      </c>
      <c r="H1535" t="s">
        <v>4929</v>
      </c>
      <c r="I1535">
        <v>1</v>
      </c>
      <c r="J1535" t="s">
        <v>97</v>
      </c>
      <c r="K1535">
        <v>0</v>
      </c>
      <c r="L1535">
        <v>0</v>
      </c>
      <c r="M1535" t="s">
        <v>11</v>
      </c>
    </row>
    <row r="1536" spans="1:13">
      <c r="A1536" s="93">
        <v>166133</v>
      </c>
      <c r="B1536" t="s">
        <v>2085</v>
      </c>
      <c r="C1536" t="s">
        <v>4919</v>
      </c>
      <c r="D1536" s="92">
        <v>0.31</v>
      </c>
      <c r="E1536" s="92">
        <v>0.2</v>
      </c>
      <c r="F1536" t="s">
        <v>446</v>
      </c>
      <c r="G1536" t="s">
        <v>446</v>
      </c>
      <c r="H1536" t="s">
        <v>4932</v>
      </c>
      <c r="I1536">
        <v>0</v>
      </c>
      <c r="J1536" t="s">
        <v>97</v>
      </c>
      <c r="K1536">
        <v>0</v>
      </c>
      <c r="L1536">
        <v>0</v>
      </c>
      <c r="M1536" t="s">
        <v>11</v>
      </c>
    </row>
    <row r="1537" spans="1:13">
      <c r="A1537" s="93">
        <v>166391</v>
      </c>
      <c r="B1537" t="s">
        <v>2086</v>
      </c>
      <c r="C1537" t="s">
        <v>4920</v>
      </c>
      <c r="D1537" s="92">
        <v>0.63</v>
      </c>
      <c r="E1537" s="92">
        <v>0.51</v>
      </c>
      <c r="F1537">
        <v>1080</v>
      </c>
      <c r="G1537">
        <v>1200</v>
      </c>
      <c r="H1537" t="s">
        <v>4930</v>
      </c>
      <c r="I1537">
        <v>0</v>
      </c>
      <c r="J1537" t="s">
        <v>97</v>
      </c>
      <c r="K1537">
        <v>0</v>
      </c>
      <c r="L1537">
        <v>0</v>
      </c>
      <c r="M1537" t="s">
        <v>11</v>
      </c>
    </row>
    <row r="1538" spans="1:13">
      <c r="A1538" s="93">
        <v>166407</v>
      </c>
      <c r="B1538" t="s">
        <v>2087</v>
      </c>
      <c r="C1538" t="s">
        <v>4919</v>
      </c>
      <c r="D1538" s="92" t="s">
        <v>446</v>
      </c>
      <c r="E1538" s="92" t="s">
        <v>446</v>
      </c>
      <c r="F1538" t="s">
        <v>446</v>
      </c>
      <c r="G1538" t="s">
        <v>446</v>
      </c>
      <c r="H1538" t="s">
        <v>4932</v>
      </c>
      <c r="I1538">
        <v>0</v>
      </c>
      <c r="J1538" t="s">
        <v>97</v>
      </c>
      <c r="K1538">
        <v>0</v>
      </c>
      <c r="L1538">
        <v>0</v>
      </c>
      <c r="M1538" t="s">
        <v>11</v>
      </c>
    </row>
    <row r="1539" spans="1:13">
      <c r="A1539" s="93">
        <v>166452</v>
      </c>
      <c r="B1539" t="s">
        <v>2088</v>
      </c>
      <c r="C1539" t="s">
        <v>4920</v>
      </c>
      <c r="D1539" s="92">
        <v>0.6</v>
      </c>
      <c r="E1539" s="92">
        <v>0.54</v>
      </c>
      <c r="F1539" t="s">
        <v>446</v>
      </c>
      <c r="G1539" t="s">
        <v>446</v>
      </c>
      <c r="H1539" t="s">
        <v>4930</v>
      </c>
      <c r="I1539">
        <v>0</v>
      </c>
      <c r="J1539" t="s">
        <v>97</v>
      </c>
      <c r="K1539">
        <v>0</v>
      </c>
      <c r="L1539">
        <v>0</v>
      </c>
      <c r="M1539" t="s">
        <v>11</v>
      </c>
    </row>
    <row r="1540" spans="1:13">
      <c r="A1540" s="93">
        <v>166489</v>
      </c>
      <c r="B1540" t="s">
        <v>2089</v>
      </c>
      <c r="C1540" t="s">
        <v>4924</v>
      </c>
      <c r="D1540" s="92" t="s">
        <v>446</v>
      </c>
      <c r="E1540" s="92" t="s">
        <v>446</v>
      </c>
      <c r="F1540" t="s">
        <v>446</v>
      </c>
      <c r="G1540" t="s">
        <v>446</v>
      </c>
      <c r="H1540" t="s">
        <v>4932</v>
      </c>
      <c r="I1540">
        <v>0</v>
      </c>
      <c r="J1540" t="s">
        <v>97</v>
      </c>
      <c r="K1540">
        <v>0</v>
      </c>
      <c r="L1540">
        <v>0</v>
      </c>
      <c r="M1540" t="s">
        <v>11</v>
      </c>
    </row>
    <row r="1541" spans="1:13">
      <c r="A1541" s="93">
        <v>166513</v>
      </c>
      <c r="B1541" t="s">
        <v>2090</v>
      </c>
      <c r="C1541" t="s">
        <v>4920</v>
      </c>
      <c r="D1541" s="92">
        <v>0.6899999999999999</v>
      </c>
      <c r="E1541" s="92">
        <v>0.55</v>
      </c>
      <c r="F1541">
        <v>1170</v>
      </c>
      <c r="G1541">
        <v>1255</v>
      </c>
      <c r="H1541" t="s">
        <v>4932</v>
      </c>
      <c r="I1541">
        <v>0</v>
      </c>
      <c r="J1541" t="s">
        <v>97</v>
      </c>
      <c r="K1541">
        <v>0</v>
      </c>
      <c r="L1541">
        <v>0</v>
      </c>
      <c r="M1541" t="s">
        <v>11</v>
      </c>
    </row>
    <row r="1542" spans="1:13">
      <c r="A1542" s="93">
        <v>166629</v>
      </c>
      <c r="B1542" t="s">
        <v>2091</v>
      </c>
      <c r="C1542" t="s">
        <v>4916</v>
      </c>
      <c r="D1542" s="92">
        <v>0.84</v>
      </c>
      <c r="E1542" s="92">
        <v>0.75</v>
      </c>
      <c r="F1542">
        <v>1250</v>
      </c>
      <c r="G1542">
        <v>1355</v>
      </c>
      <c r="H1542" t="s">
        <v>4932</v>
      </c>
      <c r="I1542">
        <v>0</v>
      </c>
      <c r="J1542" t="s">
        <v>97</v>
      </c>
      <c r="K1542">
        <v>0</v>
      </c>
      <c r="L1542">
        <v>0</v>
      </c>
      <c r="M1542" t="s">
        <v>11</v>
      </c>
    </row>
    <row r="1543" spans="1:13">
      <c r="A1543" s="93">
        <v>166638</v>
      </c>
      <c r="B1543" t="s">
        <v>2092</v>
      </c>
      <c r="C1543" t="s">
        <v>4920</v>
      </c>
      <c r="D1543" s="92">
        <v>0.49</v>
      </c>
      <c r="E1543" s="92">
        <v>0.43</v>
      </c>
      <c r="F1543">
        <v>1060</v>
      </c>
      <c r="G1543">
        <v>1170</v>
      </c>
      <c r="H1543" t="s">
        <v>4932</v>
      </c>
      <c r="I1543">
        <v>0</v>
      </c>
      <c r="J1543" t="s">
        <v>97</v>
      </c>
      <c r="K1543">
        <v>0</v>
      </c>
      <c r="L1543">
        <v>0</v>
      </c>
      <c r="M1543" t="s">
        <v>11</v>
      </c>
    </row>
    <row r="1544" spans="1:13">
      <c r="A1544" s="93">
        <v>166647</v>
      </c>
      <c r="B1544" t="s">
        <v>2093</v>
      </c>
      <c r="C1544" t="s">
        <v>4919</v>
      </c>
      <c r="D1544" s="92">
        <v>0.31</v>
      </c>
      <c r="E1544" s="92">
        <v>0.26</v>
      </c>
      <c r="F1544" t="s">
        <v>446</v>
      </c>
      <c r="G1544" t="s">
        <v>446</v>
      </c>
      <c r="H1544" t="s">
        <v>4932</v>
      </c>
      <c r="I1544">
        <v>0</v>
      </c>
      <c r="J1544" t="s">
        <v>97</v>
      </c>
      <c r="K1544">
        <v>0</v>
      </c>
      <c r="L1544">
        <v>0</v>
      </c>
      <c r="M1544" t="s">
        <v>11</v>
      </c>
    </row>
    <row r="1545" spans="1:13">
      <c r="A1545" s="93">
        <v>166656</v>
      </c>
      <c r="B1545" t="s">
        <v>2094</v>
      </c>
      <c r="C1545" t="s">
        <v>4926</v>
      </c>
      <c r="D1545" s="92">
        <v>0.66</v>
      </c>
      <c r="E1545" s="92">
        <v>0.55</v>
      </c>
      <c r="F1545">
        <v>1090</v>
      </c>
      <c r="G1545">
        <v>1240</v>
      </c>
      <c r="H1545" t="s">
        <v>4930</v>
      </c>
      <c r="I1545">
        <v>0</v>
      </c>
      <c r="J1545" t="s">
        <v>97</v>
      </c>
      <c r="K1545">
        <v>0</v>
      </c>
      <c r="L1545">
        <v>0</v>
      </c>
      <c r="M1545" t="s">
        <v>11</v>
      </c>
    </row>
    <row r="1546" spans="1:13">
      <c r="A1546" s="93">
        <v>166674</v>
      </c>
      <c r="B1546" t="s">
        <v>2095</v>
      </c>
      <c r="C1546" t="s">
        <v>4926</v>
      </c>
      <c r="D1546" s="92">
        <v>0.73</v>
      </c>
      <c r="E1546" s="92">
        <v>0.73</v>
      </c>
      <c r="F1546" t="s">
        <v>446</v>
      </c>
      <c r="G1546" t="s">
        <v>446</v>
      </c>
      <c r="H1546" t="s">
        <v>4932</v>
      </c>
      <c r="I1546">
        <v>0</v>
      </c>
      <c r="J1546" t="s">
        <v>97</v>
      </c>
      <c r="K1546">
        <v>0</v>
      </c>
      <c r="L1546">
        <v>0</v>
      </c>
      <c r="M1546" t="s">
        <v>11</v>
      </c>
    </row>
    <row r="1547" spans="1:13">
      <c r="A1547" s="93">
        <v>166683</v>
      </c>
      <c r="B1547" t="s">
        <v>2096</v>
      </c>
      <c r="C1547" t="s">
        <v>4921</v>
      </c>
      <c r="D1547" s="92">
        <v>0.96</v>
      </c>
      <c r="E1547" s="92">
        <v>0.93</v>
      </c>
      <c r="F1547" t="s">
        <v>446</v>
      </c>
      <c r="G1547" t="s">
        <v>446</v>
      </c>
      <c r="H1547" t="s">
        <v>4928</v>
      </c>
      <c r="I1547">
        <v>1</v>
      </c>
      <c r="J1547" t="s">
        <v>97</v>
      </c>
      <c r="K1547">
        <v>0</v>
      </c>
      <c r="L1547">
        <v>0</v>
      </c>
      <c r="M1547" t="s">
        <v>11</v>
      </c>
    </row>
    <row r="1548" spans="1:13">
      <c r="A1548" s="93">
        <v>166692</v>
      </c>
      <c r="B1548" t="s">
        <v>2097</v>
      </c>
      <c r="C1548" t="s">
        <v>4920</v>
      </c>
      <c r="D1548" s="92">
        <v>0.79</v>
      </c>
      <c r="E1548" s="92">
        <v>0.6</v>
      </c>
      <c r="F1548" t="s">
        <v>446</v>
      </c>
      <c r="G1548" t="s">
        <v>446</v>
      </c>
      <c r="H1548" t="s">
        <v>4932</v>
      </c>
      <c r="I1548">
        <v>0</v>
      </c>
      <c r="J1548" t="s">
        <v>97</v>
      </c>
      <c r="K1548">
        <v>0</v>
      </c>
      <c r="L1548">
        <v>0</v>
      </c>
      <c r="M1548" t="s">
        <v>11</v>
      </c>
    </row>
    <row r="1549" spans="1:13">
      <c r="A1549" s="93">
        <v>166708</v>
      </c>
      <c r="B1549" t="s">
        <v>2098</v>
      </c>
      <c r="C1549" t="s">
        <v>4924</v>
      </c>
      <c r="D1549" s="92" t="s">
        <v>446</v>
      </c>
      <c r="E1549" s="92" t="s">
        <v>446</v>
      </c>
      <c r="F1549" t="s">
        <v>446</v>
      </c>
      <c r="G1549" t="s">
        <v>446</v>
      </c>
      <c r="H1549" t="s">
        <v>4932</v>
      </c>
      <c r="I1549">
        <v>0</v>
      </c>
      <c r="J1549" t="s">
        <v>97</v>
      </c>
      <c r="K1549">
        <v>0</v>
      </c>
      <c r="L1549">
        <v>0</v>
      </c>
      <c r="M1549" t="s">
        <v>11</v>
      </c>
    </row>
    <row r="1550" spans="1:13">
      <c r="A1550" s="93">
        <v>166717</v>
      </c>
      <c r="B1550" t="s">
        <v>2099</v>
      </c>
      <c r="C1550" t="s">
        <v>4924</v>
      </c>
      <c r="D1550" s="92" t="s">
        <v>446</v>
      </c>
      <c r="E1550" s="92" t="s">
        <v>446</v>
      </c>
      <c r="F1550" t="s">
        <v>446</v>
      </c>
      <c r="G1550" t="s">
        <v>446</v>
      </c>
      <c r="H1550" t="s">
        <v>4932</v>
      </c>
      <c r="I1550">
        <v>0</v>
      </c>
      <c r="J1550" t="s">
        <v>97</v>
      </c>
      <c r="K1550">
        <v>0</v>
      </c>
      <c r="L1550">
        <v>0</v>
      </c>
      <c r="M1550" t="s">
        <v>11</v>
      </c>
    </row>
    <row r="1551" spans="1:13">
      <c r="A1551" s="93">
        <v>166823</v>
      </c>
      <c r="B1551" t="s">
        <v>2100</v>
      </c>
      <c r="C1551" t="s">
        <v>4919</v>
      </c>
      <c r="D1551" s="92">
        <v>0.26</v>
      </c>
      <c r="E1551" s="92">
        <v>0.2</v>
      </c>
      <c r="F1551" t="s">
        <v>446</v>
      </c>
      <c r="G1551" t="s">
        <v>446</v>
      </c>
      <c r="H1551" t="s">
        <v>4932</v>
      </c>
      <c r="I1551">
        <v>0</v>
      </c>
      <c r="J1551" t="s">
        <v>97</v>
      </c>
      <c r="K1551">
        <v>0</v>
      </c>
      <c r="L1551">
        <v>0</v>
      </c>
      <c r="M1551" t="s">
        <v>11</v>
      </c>
    </row>
    <row r="1552" spans="1:13">
      <c r="A1552" s="93">
        <v>166850</v>
      </c>
      <c r="B1552" t="s">
        <v>2101</v>
      </c>
      <c r="C1552" t="s">
        <v>4920</v>
      </c>
      <c r="D1552" s="92">
        <v>0.72</v>
      </c>
      <c r="E1552" s="92">
        <v>0.5600000000000001</v>
      </c>
      <c r="F1552" t="s">
        <v>446</v>
      </c>
      <c r="G1552" t="s">
        <v>446</v>
      </c>
      <c r="H1552" t="s">
        <v>4930</v>
      </c>
      <c r="I1552">
        <v>0</v>
      </c>
      <c r="J1552" t="s">
        <v>97</v>
      </c>
      <c r="K1552">
        <v>0</v>
      </c>
      <c r="L1552">
        <v>0</v>
      </c>
      <c r="M1552" t="s">
        <v>11</v>
      </c>
    </row>
    <row r="1553" spans="1:13">
      <c r="A1553" s="93">
        <v>166869</v>
      </c>
      <c r="B1553" t="s">
        <v>2102</v>
      </c>
      <c r="C1553" t="s">
        <v>4924</v>
      </c>
      <c r="D1553" s="92" t="s">
        <v>446</v>
      </c>
      <c r="E1553" s="92" t="s">
        <v>446</v>
      </c>
      <c r="F1553" t="s">
        <v>446</v>
      </c>
      <c r="G1553" t="s">
        <v>446</v>
      </c>
      <c r="H1553" t="s">
        <v>4932</v>
      </c>
      <c r="I1553">
        <v>0</v>
      </c>
      <c r="J1553" t="s">
        <v>97</v>
      </c>
      <c r="K1553">
        <v>0</v>
      </c>
      <c r="L1553">
        <v>0</v>
      </c>
      <c r="M1553" t="s">
        <v>11</v>
      </c>
    </row>
    <row r="1554" spans="1:13">
      <c r="A1554" s="93">
        <v>166887</v>
      </c>
      <c r="B1554" t="s">
        <v>1546</v>
      </c>
      <c r="C1554" t="s">
        <v>4919</v>
      </c>
      <c r="D1554" s="92">
        <v>0.31</v>
      </c>
      <c r="E1554" s="92">
        <v>0.21</v>
      </c>
      <c r="F1554" t="s">
        <v>446</v>
      </c>
      <c r="G1554" t="s">
        <v>446</v>
      </c>
      <c r="H1554" t="s">
        <v>4932</v>
      </c>
      <c r="I1554">
        <v>0</v>
      </c>
      <c r="J1554" t="s">
        <v>97</v>
      </c>
      <c r="K1554">
        <v>0</v>
      </c>
      <c r="L1554">
        <v>0</v>
      </c>
      <c r="M1554" t="s">
        <v>11</v>
      </c>
    </row>
    <row r="1555" spans="1:13">
      <c r="A1555" s="93">
        <v>166911</v>
      </c>
      <c r="B1555" t="s">
        <v>2103</v>
      </c>
      <c r="C1555" t="s">
        <v>4926</v>
      </c>
      <c r="D1555" s="92">
        <v>0.62</v>
      </c>
      <c r="E1555" s="92">
        <v>0.59</v>
      </c>
      <c r="F1555" t="s">
        <v>446</v>
      </c>
      <c r="G1555" t="s">
        <v>446</v>
      </c>
      <c r="H1555" t="s">
        <v>4930</v>
      </c>
      <c r="I1555">
        <v>0</v>
      </c>
      <c r="J1555" t="s">
        <v>97</v>
      </c>
      <c r="K1555">
        <v>0</v>
      </c>
      <c r="L1555">
        <v>0</v>
      </c>
      <c r="M1555" t="s">
        <v>11</v>
      </c>
    </row>
    <row r="1556" spans="1:13">
      <c r="A1556" s="93">
        <v>166939</v>
      </c>
      <c r="B1556" t="s">
        <v>2104</v>
      </c>
      <c r="C1556" t="s">
        <v>4922</v>
      </c>
      <c r="D1556" s="92">
        <v>0.84</v>
      </c>
      <c r="E1556" s="92">
        <v>0.83</v>
      </c>
      <c r="F1556">
        <v>1300</v>
      </c>
      <c r="G1556">
        <v>1405</v>
      </c>
      <c r="H1556" t="s">
        <v>4928</v>
      </c>
      <c r="I1556">
        <v>1</v>
      </c>
      <c r="J1556" t="s">
        <v>97</v>
      </c>
      <c r="K1556">
        <v>0</v>
      </c>
      <c r="L1556">
        <v>0</v>
      </c>
      <c r="M1556" t="s">
        <v>11</v>
      </c>
    </row>
    <row r="1557" spans="1:13">
      <c r="A1557" s="93">
        <v>166957</v>
      </c>
      <c r="B1557" t="s">
        <v>2105</v>
      </c>
      <c r="C1557" t="s">
        <v>4919</v>
      </c>
      <c r="D1557" s="92">
        <v>0.31</v>
      </c>
      <c r="E1557" s="92">
        <v>0.27</v>
      </c>
      <c r="F1557" t="s">
        <v>446</v>
      </c>
      <c r="G1557" t="s">
        <v>446</v>
      </c>
      <c r="H1557" t="s">
        <v>4932</v>
      </c>
      <c r="I1557">
        <v>0</v>
      </c>
      <c r="J1557" t="s">
        <v>97</v>
      </c>
      <c r="K1557">
        <v>0</v>
      </c>
      <c r="L1557">
        <v>0</v>
      </c>
      <c r="M1557" t="s">
        <v>11</v>
      </c>
    </row>
    <row r="1558" spans="1:13">
      <c r="A1558" s="93">
        <v>167057</v>
      </c>
      <c r="B1558" t="s">
        <v>2106</v>
      </c>
      <c r="C1558" t="s">
        <v>4926</v>
      </c>
      <c r="D1558" s="92">
        <v>0.78</v>
      </c>
      <c r="E1558" s="92">
        <v>0.55</v>
      </c>
      <c r="F1558" t="s">
        <v>446</v>
      </c>
      <c r="G1558" t="s">
        <v>446</v>
      </c>
      <c r="H1558" t="s">
        <v>4930</v>
      </c>
      <c r="I1558">
        <v>0</v>
      </c>
      <c r="J1558" t="s">
        <v>97</v>
      </c>
      <c r="K1558">
        <v>0</v>
      </c>
      <c r="L1558">
        <v>0</v>
      </c>
      <c r="M1558" t="s">
        <v>11</v>
      </c>
    </row>
    <row r="1559" spans="1:13">
      <c r="A1559" s="93">
        <v>167093</v>
      </c>
      <c r="B1559" t="s">
        <v>2107</v>
      </c>
      <c r="C1559" t="s">
        <v>4924</v>
      </c>
      <c r="D1559" s="92" t="s">
        <v>446</v>
      </c>
      <c r="E1559" s="92" t="s">
        <v>446</v>
      </c>
      <c r="F1559" t="s">
        <v>446</v>
      </c>
      <c r="G1559" t="s">
        <v>446</v>
      </c>
      <c r="H1559" t="s">
        <v>4932</v>
      </c>
      <c r="I1559">
        <v>0</v>
      </c>
      <c r="J1559" t="s">
        <v>97</v>
      </c>
      <c r="K1559">
        <v>0</v>
      </c>
      <c r="L1559">
        <v>0</v>
      </c>
      <c r="M1559" t="s">
        <v>11</v>
      </c>
    </row>
    <row r="1560" spans="1:13">
      <c r="A1560" s="93">
        <v>167215</v>
      </c>
      <c r="B1560" t="s">
        <v>2108</v>
      </c>
      <c r="C1560" t="s">
        <v>4924</v>
      </c>
      <c r="D1560" s="92" t="s">
        <v>446</v>
      </c>
      <c r="E1560" s="92" t="s">
        <v>446</v>
      </c>
      <c r="F1560" t="s">
        <v>446</v>
      </c>
      <c r="G1560" t="s">
        <v>446</v>
      </c>
      <c r="H1560" t="s">
        <v>4932</v>
      </c>
      <c r="I1560">
        <v>0</v>
      </c>
      <c r="J1560" t="s">
        <v>97</v>
      </c>
      <c r="K1560">
        <v>0</v>
      </c>
      <c r="L1560">
        <v>0</v>
      </c>
      <c r="M1560" t="s">
        <v>11</v>
      </c>
    </row>
    <row r="1561" spans="1:13">
      <c r="A1561" s="93">
        <v>167260</v>
      </c>
      <c r="B1561" t="s">
        <v>2109</v>
      </c>
      <c r="C1561" t="s">
        <v>4918</v>
      </c>
      <c r="D1561" s="92">
        <v>0.57</v>
      </c>
      <c r="E1561" s="92">
        <v>0.41</v>
      </c>
      <c r="F1561">
        <v>970</v>
      </c>
      <c r="G1561">
        <v>1065</v>
      </c>
      <c r="H1561" t="s">
        <v>4930</v>
      </c>
      <c r="I1561">
        <v>0</v>
      </c>
      <c r="J1561" t="s">
        <v>97</v>
      </c>
      <c r="K1561">
        <v>0</v>
      </c>
      <c r="L1561">
        <v>0</v>
      </c>
      <c r="M1561" t="s">
        <v>11</v>
      </c>
    </row>
    <row r="1562" spans="1:13">
      <c r="A1562" s="93">
        <v>167288</v>
      </c>
      <c r="B1562" t="s">
        <v>2110</v>
      </c>
      <c r="C1562" t="s">
        <v>4920</v>
      </c>
      <c r="D1562" s="92">
        <v>0.57</v>
      </c>
      <c r="E1562" s="92">
        <v>0.49</v>
      </c>
      <c r="F1562" t="s">
        <v>446</v>
      </c>
      <c r="G1562" t="s">
        <v>446</v>
      </c>
      <c r="H1562" t="s">
        <v>4932</v>
      </c>
      <c r="I1562">
        <v>0</v>
      </c>
      <c r="J1562" t="s">
        <v>97</v>
      </c>
      <c r="K1562">
        <v>0</v>
      </c>
      <c r="L1562">
        <v>0</v>
      </c>
      <c r="M1562" t="s">
        <v>11</v>
      </c>
    </row>
    <row r="1563" spans="1:13">
      <c r="A1563" s="93">
        <v>167297</v>
      </c>
      <c r="B1563" t="s">
        <v>2111</v>
      </c>
      <c r="C1563" t="s">
        <v>4919</v>
      </c>
      <c r="D1563" s="92" t="s">
        <v>446</v>
      </c>
      <c r="E1563" s="92" t="s">
        <v>446</v>
      </c>
      <c r="F1563" t="s">
        <v>446</v>
      </c>
      <c r="G1563" t="s">
        <v>446</v>
      </c>
      <c r="H1563" t="s">
        <v>4932</v>
      </c>
      <c r="I1563">
        <v>0</v>
      </c>
      <c r="J1563" t="s">
        <v>97</v>
      </c>
      <c r="K1563">
        <v>0</v>
      </c>
      <c r="L1563">
        <v>0</v>
      </c>
      <c r="M1563" t="s">
        <v>11</v>
      </c>
    </row>
    <row r="1564" spans="1:13">
      <c r="A1564" s="93">
        <v>167312</v>
      </c>
      <c r="B1564" t="s">
        <v>2112</v>
      </c>
      <c r="C1564" t="s">
        <v>4919</v>
      </c>
      <c r="D1564" s="92">
        <v>0.32</v>
      </c>
      <c r="E1564" s="92">
        <v>0.27</v>
      </c>
      <c r="F1564" t="s">
        <v>446</v>
      </c>
      <c r="G1564" t="s">
        <v>446</v>
      </c>
      <c r="H1564" t="s">
        <v>4932</v>
      </c>
      <c r="I1564">
        <v>0</v>
      </c>
      <c r="J1564" t="s">
        <v>97</v>
      </c>
      <c r="K1564">
        <v>0</v>
      </c>
      <c r="L1564">
        <v>0</v>
      </c>
      <c r="M1564" t="s">
        <v>11</v>
      </c>
    </row>
    <row r="1565" spans="1:13">
      <c r="A1565" s="93">
        <v>167358</v>
      </c>
      <c r="B1565" t="s">
        <v>2113</v>
      </c>
      <c r="C1565" t="s">
        <v>4921</v>
      </c>
      <c r="D1565" s="92">
        <v>0.91</v>
      </c>
      <c r="E1565" s="92">
        <v>0.9</v>
      </c>
      <c r="F1565">
        <v>1430</v>
      </c>
      <c r="G1565">
        <v>1490</v>
      </c>
      <c r="H1565" t="s">
        <v>4931</v>
      </c>
      <c r="I1565">
        <v>0</v>
      </c>
      <c r="J1565" t="s">
        <v>97</v>
      </c>
      <c r="K1565">
        <v>0</v>
      </c>
      <c r="L1565">
        <v>0</v>
      </c>
      <c r="M1565" t="s">
        <v>11</v>
      </c>
    </row>
    <row r="1566" spans="1:13">
      <c r="A1566" s="93">
        <v>167376</v>
      </c>
      <c r="B1566" t="s">
        <v>2114</v>
      </c>
      <c r="C1566" t="s">
        <v>4919</v>
      </c>
      <c r="D1566" s="92">
        <v>0.2</v>
      </c>
      <c r="E1566" s="92">
        <v>0.12</v>
      </c>
      <c r="F1566" t="s">
        <v>446</v>
      </c>
      <c r="G1566" t="s">
        <v>446</v>
      </c>
      <c r="H1566" t="s">
        <v>4932</v>
      </c>
      <c r="I1566">
        <v>0</v>
      </c>
      <c r="J1566" t="s">
        <v>97</v>
      </c>
      <c r="K1566">
        <v>0</v>
      </c>
      <c r="L1566">
        <v>0</v>
      </c>
      <c r="M1566" t="s">
        <v>11</v>
      </c>
    </row>
    <row r="1567" spans="1:13">
      <c r="A1567" s="93">
        <v>167394</v>
      </c>
      <c r="B1567" t="s">
        <v>2115</v>
      </c>
      <c r="C1567" t="s">
        <v>4916</v>
      </c>
      <c r="D1567" s="92">
        <v>0.68</v>
      </c>
      <c r="E1567" s="92">
        <v>0.52</v>
      </c>
      <c r="F1567">
        <v>1050</v>
      </c>
      <c r="G1567">
        <v>1125</v>
      </c>
      <c r="H1567" t="s">
        <v>4930</v>
      </c>
      <c r="I1567">
        <v>0</v>
      </c>
      <c r="J1567" t="s">
        <v>97</v>
      </c>
      <c r="K1567">
        <v>0</v>
      </c>
      <c r="L1567">
        <v>0</v>
      </c>
      <c r="M1567" t="s">
        <v>11</v>
      </c>
    </row>
    <row r="1568" spans="1:13">
      <c r="A1568" s="93">
        <v>167455</v>
      </c>
      <c r="B1568" t="s">
        <v>2116</v>
      </c>
      <c r="C1568" t="s">
        <v>4918</v>
      </c>
      <c r="D1568" s="92">
        <v>0.25</v>
      </c>
      <c r="E1568" s="92">
        <v>0.25</v>
      </c>
      <c r="F1568" t="s">
        <v>446</v>
      </c>
      <c r="G1568" t="s">
        <v>446</v>
      </c>
      <c r="H1568" t="s">
        <v>4931</v>
      </c>
      <c r="I1568">
        <v>0</v>
      </c>
      <c r="J1568" t="s">
        <v>97</v>
      </c>
      <c r="K1568">
        <v>0</v>
      </c>
      <c r="L1568">
        <v>0</v>
      </c>
      <c r="M1568" t="s">
        <v>11</v>
      </c>
    </row>
    <row r="1569" spans="1:13">
      <c r="A1569" s="93">
        <v>167464</v>
      </c>
      <c r="B1569" t="s">
        <v>2117</v>
      </c>
      <c r="C1569" t="s">
        <v>4924</v>
      </c>
      <c r="D1569" s="92" t="s">
        <v>446</v>
      </c>
      <c r="E1569" s="92" t="s">
        <v>446</v>
      </c>
      <c r="F1569" t="s">
        <v>446</v>
      </c>
      <c r="G1569" t="s">
        <v>446</v>
      </c>
      <c r="H1569" t="s">
        <v>4932</v>
      </c>
      <c r="I1569">
        <v>0</v>
      </c>
      <c r="J1569" t="s">
        <v>97</v>
      </c>
      <c r="K1569">
        <v>0</v>
      </c>
      <c r="L1569">
        <v>0</v>
      </c>
      <c r="M1569" t="s">
        <v>11</v>
      </c>
    </row>
    <row r="1570" spans="1:13">
      <c r="A1570" s="93">
        <v>167525</v>
      </c>
      <c r="B1570" t="s">
        <v>2118</v>
      </c>
      <c r="C1570" t="s">
        <v>4919</v>
      </c>
      <c r="D1570" s="92">
        <v>0.28</v>
      </c>
      <c r="E1570" s="92">
        <v>0.25</v>
      </c>
      <c r="F1570" t="s">
        <v>446</v>
      </c>
      <c r="G1570" t="s">
        <v>446</v>
      </c>
      <c r="H1570" t="s">
        <v>4932</v>
      </c>
      <c r="I1570">
        <v>0</v>
      </c>
      <c r="J1570" t="s">
        <v>97</v>
      </c>
      <c r="K1570">
        <v>0</v>
      </c>
      <c r="L1570">
        <v>0</v>
      </c>
      <c r="M1570" t="s">
        <v>11</v>
      </c>
    </row>
    <row r="1571" spans="1:13">
      <c r="A1571" s="93">
        <v>167598</v>
      </c>
      <c r="B1571" t="s">
        <v>2119</v>
      </c>
      <c r="C1571" t="s">
        <v>4920</v>
      </c>
      <c r="D1571" s="92">
        <v>0.64</v>
      </c>
      <c r="E1571" s="92">
        <v>0.57</v>
      </c>
      <c r="F1571" t="s">
        <v>446</v>
      </c>
      <c r="G1571" t="s">
        <v>446</v>
      </c>
      <c r="H1571" t="s">
        <v>4930</v>
      </c>
      <c r="I1571">
        <v>0</v>
      </c>
      <c r="J1571" t="s">
        <v>97</v>
      </c>
      <c r="K1571">
        <v>0</v>
      </c>
      <c r="L1571">
        <v>0</v>
      </c>
      <c r="M1571" t="s">
        <v>11</v>
      </c>
    </row>
    <row r="1572" spans="1:13">
      <c r="A1572" s="93">
        <v>167631</v>
      </c>
      <c r="B1572" t="s">
        <v>2120</v>
      </c>
      <c r="C1572" t="s">
        <v>4919</v>
      </c>
      <c r="D1572" s="92" t="s">
        <v>446</v>
      </c>
      <c r="E1572" s="92" t="s">
        <v>446</v>
      </c>
      <c r="F1572" t="s">
        <v>446</v>
      </c>
      <c r="G1572" t="s">
        <v>446</v>
      </c>
      <c r="H1572" t="s">
        <v>4932</v>
      </c>
      <c r="I1572">
        <v>0</v>
      </c>
      <c r="J1572" t="s">
        <v>97</v>
      </c>
      <c r="K1572">
        <v>0</v>
      </c>
      <c r="L1572">
        <v>0</v>
      </c>
      <c r="M1572" t="s">
        <v>11</v>
      </c>
    </row>
    <row r="1573" spans="1:13">
      <c r="A1573" s="93">
        <v>167677</v>
      </c>
      <c r="B1573" t="s">
        <v>2121</v>
      </c>
      <c r="C1573" t="s">
        <v>4924</v>
      </c>
      <c r="D1573" s="92" t="s">
        <v>446</v>
      </c>
      <c r="E1573" s="92" t="s">
        <v>446</v>
      </c>
      <c r="F1573" t="s">
        <v>446</v>
      </c>
      <c r="G1573" t="s">
        <v>446</v>
      </c>
      <c r="H1573" t="s">
        <v>4932</v>
      </c>
      <c r="I1573">
        <v>0</v>
      </c>
      <c r="J1573" t="s">
        <v>97</v>
      </c>
      <c r="K1573">
        <v>0</v>
      </c>
      <c r="L1573">
        <v>0</v>
      </c>
      <c r="M1573" t="s">
        <v>11</v>
      </c>
    </row>
    <row r="1574" spans="1:13">
      <c r="A1574" s="93">
        <v>167729</v>
      </c>
      <c r="B1574" t="s">
        <v>2122</v>
      </c>
      <c r="C1574" t="s">
        <v>4918</v>
      </c>
      <c r="D1574" s="92">
        <v>0.58</v>
      </c>
      <c r="E1574" s="92">
        <v>0.54</v>
      </c>
      <c r="F1574" t="s">
        <v>446</v>
      </c>
      <c r="G1574" t="s">
        <v>446</v>
      </c>
      <c r="H1574" t="s">
        <v>4932</v>
      </c>
      <c r="I1574">
        <v>0</v>
      </c>
      <c r="J1574" t="s">
        <v>97</v>
      </c>
      <c r="K1574">
        <v>0</v>
      </c>
      <c r="L1574">
        <v>0</v>
      </c>
      <c r="M1574" t="s">
        <v>11</v>
      </c>
    </row>
    <row r="1575" spans="1:13">
      <c r="A1575" s="93">
        <v>167783</v>
      </c>
      <c r="B1575" t="s">
        <v>2123</v>
      </c>
      <c r="C1575" t="s">
        <v>4916</v>
      </c>
      <c r="D1575" s="92">
        <v>0.76</v>
      </c>
      <c r="E1575" s="92">
        <v>0.77</v>
      </c>
      <c r="F1575">
        <v>1140</v>
      </c>
      <c r="G1575">
        <v>1250</v>
      </c>
      <c r="H1575" t="s">
        <v>4931</v>
      </c>
      <c r="I1575">
        <v>0</v>
      </c>
      <c r="J1575" t="s">
        <v>97</v>
      </c>
      <c r="K1575">
        <v>0</v>
      </c>
      <c r="L1575">
        <v>0</v>
      </c>
      <c r="M1575" t="s">
        <v>11</v>
      </c>
    </row>
    <row r="1576" spans="1:13">
      <c r="A1576" s="93">
        <v>167792</v>
      </c>
      <c r="B1576" t="s">
        <v>2124</v>
      </c>
      <c r="C1576" t="s">
        <v>4922</v>
      </c>
      <c r="D1576" s="92" t="s">
        <v>446</v>
      </c>
      <c r="E1576" s="92" t="s">
        <v>446</v>
      </c>
      <c r="F1576" t="s">
        <v>446</v>
      </c>
      <c r="G1576" t="s">
        <v>446</v>
      </c>
      <c r="H1576" t="s">
        <v>4930</v>
      </c>
      <c r="I1576">
        <v>0</v>
      </c>
      <c r="J1576" t="s">
        <v>97</v>
      </c>
      <c r="K1576">
        <v>0</v>
      </c>
      <c r="L1576">
        <v>0</v>
      </c>
      <c r="M1576" t="s">
        <v>11</v>
      </c>
    </row>
    <row r="1577" spans="1:13">
      <c r="A1577" s="93">
        <v>167835</v>
      </c>
      <c r="B1577" t="s">
        <v>2125</v>
      </c>
      <c r="C1577" t="s">
        <v>4922</v>
      </c>
      <c r="D1577" s="92">
        <v>0.91</v>
      </c>
      <c r="E1577" s="92">
        <v>0.89</v>
      </c>
      <c r="F1577">
        <v>1370</v>
      </c>
      <c r="G1577">
        <v>1450</v>
      </c>
      <c r="H1577" t="s">
        <v>4931</v>
      </c>
      <c r="I1577">
        <v>0</v>
      </c>
      <c r="J1577" t="s">
        <v>97</v>
      </c>
      <c r="K1577">
        <v>0</v>
      </c>
      <c r="L1577">
        <v>0</v>
      </c>
      <c r="M1577" t="s">
        <v>11</v>
      </c>
    </row>
    <row r="1578" spans="1:13">
      <c r="A1578" s="93">
        <v>167899</v>
      </c>
      <c r="B1578" t="s">
        <v>2126</v>
      </c>
      <c r="C1578" t="s">
        <v>4920</v>
      </c>
      <c r="D1578" s="92">
        <v>0.73</v>
      </c>
      <c r="E1578" s="92">
        <v>0.6</v>
      </c>
      <c r="F1578">
        <v>1110</v>
      </c>
      <c r="G1578">
        <v>1215</v>
      </c>
      <c r="H1578" t="s">
        <v>4930</v>
      </c>
      <c r="I1578">
        <v>0</v>
      </c>
      <c r="J1578" t="s">
        <v>97</v>
      </c>
      <c r="K1578">
        <v>0</v>
      </c>
      <c r="L1578">
        <v>0</v>
      </c>
      <c r="M1578" t="s">
        <v>11</v>
      </c>
    </row>
    <row r="1579" spans="1:13">
      <c r="A1579" s="93">
        <v>167905</v>
      </c>
      <c r="B1579" t="s">
        <v>2127</v>
      </c>
      <c r="C1579" t="s">
        <v>4919</v>
      </c>
      <c r="D1579" s="92">
        <v>0.29</v>
      </c>
      <c r="E1579" s="92">
        <v>0.2</v>
      </c>
      <c r="F1579" t="s">
        <v>446</v>
      </c>
      <c r="G1579" t="s">
        <v>446</v>
      </c>
      <c r="H1579" t="s">
        <v>4932</v>
      </c>
      <c r="I1579">
        <v>0</v>
      </c>
      <c r="J1579" t="s">
        <v>97</v>
      </c>
      <c r="K1579">
        <v>0</v>
      </c>
      <c r="L1579">
        <v>0</v>
      </c>
      <c r="M1579" t="s">
        <v>11</v>
      </c>
    </row>
    <row r="1580" spans="1:13">
      <c r="A1580" s="93">
        <v>167987</v>
      </c>
      <c r="B1580" t="s">
        <v>2128</v>
      </c>
      <c r="C1580" t="s">
        <v>4920</v>
      </c>
      <c r="D1580" s="92">
        <v>0.54</v>
      </c>
      <c r="E1580" s="92">
        <v>0.49</v>
      </c>
      <c r="F1580">
        <v>1030</v>
      </c>
      <c r="G1580">
        <v>1145</v>
      </c>
      <c r="H1580" t="s">
        <v>4930</v>
      </c>
      <c r="I1580">
        <v>0</v>
      </c>
      <c r="J1580" t="s">
        <v>97</v>
      </c>
      <c r="K1580">
        <v>0</v>
      </c>
      <c r="L1580">
        <v>0</v>
      </c>
      <c r="M1580" t="s">
        <v>11</v>
      </c>
    </row>
    <row r="1581" spans="1:13">
      <c r="A1581" s="93">
        <v>167996</v>
      </c>
      <c r="B1581" t="s">
        <v>2129</v>
      </c>
      <c r="C1581" t="s">
        <v>4920</v>
      </c>
      <c r="D1581" s="92">
        <v>0.83</v>
      </c>
      <c r="E1581" s="92">
        <v>0.7</v>
      </c>
      <c r="F1581" t="s">
        <v>446</v>
      </c>
      <c r="G1581" t="s">
        <v>446</v>
      </c>
      <c r="H1581" t="s">
        <v>4930</v>
      </c>
      <c r="I1581">
        <v>0</v>
      </c>
      <c r="J1581" t="s">
        <v>97</v>
      </c>
      <c r="K1581">
        <v>0</v>
      </c>
      <c r="L1581">
        <v>0</v>
      </c>
      <c r="M1581" t="s">
        <v>11</v>
      </c>
    </row>
    <row r="1582" spans="1:13">
      <c r="A1582" s="93">
        <v>168005</v>
      </c>
      <c r="B1582" t="s">
        <v>2130</v>
      </c>
      <c r="C1582" t="s">
        <v>4920</v>
      </c>
      <c r="D1582" s="92">
        <v>0.6</v>
      </c>
      <c r="E1582" s="92">
        <v>0.5600000000000001</v>
      </c>
      <c r="F1582">
        <v>1080</v>
      </c>
      <c r="G1582">
        <v>1180</v>
      </c>
      <c r="H1582" t="s">
        <v>4930</v>
      </c>
      <c r="I1582">
        <v>0</v>
      </c>
      <c r="J1582" t="s">
        <v>97</v>
      </c>
      <c r="K1582">
        <v>0</v>
      </c>
      <c r="L1582">
        <v>0</v>
      </c>
      <c r="M1582" t="s">
        <v>11</v>
      </c>
    </row>
    <row r="1583" spans="1:13">
      <c r="A1583" s="93">
        <v>168227</v>
      </c>
      <c r="B1583" t="s">
        <v>2131</v>
      </c>
      <c r="C1583" t="s">
        <v>4920</v>
      </c>
      <c r="D1583" s="92">
        <v>0.71</v>
      </c>
      <c r="E1583" s="92">
        <v>0.5600000000000001</v>
      </c>
      <c r="F1583">
        <v>1140</v>
      </c>
      <c r="G1583">
        <v>1235</v>
      </c>
      <c r="H1583" t="s">
        <v>4930</v>
      </c>
      <c r="I1583">
        <v>0</v>
      </c>
      <c r="J1583" t="s">
        <v>97</v>
      </c>
      <c r="K1583">
        <v>0</v>
      </c>
      <c r="L1583">
        <v>0</v>
      </c>
      <c r="M1583" t="s">
        <v>11</v>
      </c>
    </row>
    <row r="1584" spans="1:13">
      <c r="A1584" s="93">
        <v>168254</v>
      </c>
      <c r="B1584" t="s">
        <v>2132</v>
      </c>
      <c r="C1584" t="s">
        <v>4920</v>
      </c>
      <c r="D1584" s="92">
        <v>0.64</v>
      </c>
      <c r="E1584" s="92">
        <v>0.46</v>
      </c>
      <c r="F1584">
        <v>1130</v>
      </c>
      <c r="G1584">
        <v>1205</v>
      </c>
      <c r="H1584" t="s">
        <v>4930</v>
      </c>
      <c r="I1584">
        <v>0</v>
      </c>
      <c r="J1584" t="s">
        <v>97</v>
      </c>
      <c r="K1584">
        <v>0</v>
      </c>
      <c r="L1584">
        <v>0</v>
      </c>
      <c r="M1584" t="s">
        <v>11</v>
      </c>
    </row>
    <row r="1585" spans="1:13">
      <c r="A1585" s="93">
        <v>168263</v>
      </c>
      <c r="B1585" t="s">
        <v>2133</v>
      </c>
      <c r="C1585" t="s">
        <v>4920</v>
      </c>
      <c r="D1585" s="92">
        <v>0.61</v>
      </c>
      <c r="E1585" s="92">
        <v>0.49</v>
      </c>
      <c r="F1585">
        <v>980</v>
      </c>
      <c r="G1585">
        <v>1085</v>
      </c>
      <c r="H1585" t="s">
        <v>4932</v>
      </c>
      <c r="I1585">
        <v>0</v>
      </c>
      <c r="J1585" t="s">
        <v>97</v>
      </c>
      <c r="K1585">
        <v>0</v>
      </c>
      <c r="L1585">
        <v>0</v>
      </c>
      <c r="M1585" t="s">
        <v>11</v>
      </c>
    </row>
    <row r="1586" spans="1:13">
      <c r="A1586" s="93">
        <v>168281</v>
      </c>
      <c r="B1586" t="s">
        <v>2134</v>
      </c>
      <c r="C1586" t="s">
        <v>4916</v>
      </c>
      <c r="D1586" s="92">
        <v>0.75</v>
      </c>
      <c r="E1586" s="92">
        <v>0.78</v>
      </c>
      <c r="F1586">
        <v>1160</v>
      </c>
      <c r="G1586">
        <v>1260</v>
      </c>
      <c r="H1586" t="s">
        <v>4930</v>
      </c>
      <c r="I1586">
        <v>0</v>
      </c>
      <c r="J1586" t="s">
        <v>97</v>
      </c>
      <c r="K1586">
        <v>0</v>
      </c>
      <c r="L1586">
        <v>0</v>
      </c>
      <c r="M1586" t="s">
        <v>11</v>
      </c>
    </row>
    <row r="1587" spans="1:13">
      <c r="A1587" s="93">
        <v>168342</v>
      </c>
      <c r="B1587" t="s">
        <v>2135</v>
      </c>
      <c r="C1587" t="s">
        <v>4921</v>
      </c>
      <c r="D1587" s="92">
        <v>0.9399999999999999</v>
      </c>
      <c r="E1587" s="92">
        <v>0.88</v>
      </c>
      <c r="F1587" t="s">
        <v>446</v>
      </c>
      <c r="G1587" t="s">
        <v>446</v>
      </c>
      <c r="H1587" t="s">
        <v>4927</v>
      </c>
      <c r="I1587">
        <v>1</v>
      </c>
      <c r="J1587" t="s">
        <v>97</v>
      </c>
      <c r="K1587">
        <v>0</v>
      </c>
      <c r="L1587">
        <v>0</v>
      </c>
      <c r="M1587" t="s">
        <v>11</v>
      </c>
    </row>
    <row r="1588" spans="1:13">
      <c r="A1588" s="93">
        <v>168421</v>
      </c>
      <c r="B1588" t="s">
        <v>2136</v>
      </c>
      <c r="C1588" t="s">
        <v>4922</v>
      </c>
      <c r="D1588" s="92">
        <v>0.87</v>
      </c>
      <c r="E1588" s="92">
        <v>0.82</v>
      </c>
      <c r="F1588" t="s">
        <v>446</v>
      </c>
      <c r="G1588" t="s">
        <v>446</v>
      </c>
      <c r="H1588" t="s">
        <v>4930</v>
      </c>
      <c r="I1588">
        <v>0</v>
      </c>
      <c r="J1588" t="s">
        <v>97</v>
      </c>
      <c r="K1588">
        <v>0</v>
      </c>
      <c r="L1588">
        <v>0</v>
      </c>
      <c r="M1588" t="s">
        <v>11</v>
      </c>
    </row>
    <row r="1589" spans="1:13">
      <c r="A1589" s="93">
        <v>168430</v>
      </c>
      <c r="B1589" t="s">
        <v>2137</v>
      </c>
      <c r="C1589" t="s">
        <v>4920</v>
      </c>
      <c r="D1589" s="92">
        <v>0.59</v>
      </c>
      <c r="E1589" s="92">
        <v>0.49</v>
      </c>
      <c r="F1589">
        <v>1030</v>
      </c>
      <c r="G1589">
        <v>1110</v>
      </c>
      <c r="H1589" t="s">
        <v>4932</v>
      </c>
      <c r="I1589">
        <v>0</v>
      </c>
      <c r="J1589" t="s">
        <v>97</v>
      </c>
      <c r="K1589">
        <v>0</v>
      </c>
      <c r="L1589">
        <v>0</v>
      </c>
      <c r="M1589" t="s">
        <v>11</v>
      </c>
    </row>
    <row r="1590" spans="1:13">
      <c r="A1590" s="93">
        <v>168528</v>
      </c>
      <c r="B1590" t="s">
        <v>2138</v>
      </c>
      <c r="C1590" t="s">
        <v>4920</v>
      </c>
      <c r="D1590" s="92">
        <v>0.5</v>
      </c>
      <c r="E1590" s="92">
        <v>0.31</v>
      </c>
      <c r="F1590">
        <v>940</v>
      </c>
      <c r="G1590">
        <v>1045</v>
      </c>
      <c r="H1590" t="s">
        <v>4930</v>
      </c>
      <c r="I1590">
        <v>0</v>
      </c>
      <c r="J1590" t="s">
        <v>97</v>
      </c>
      <c r="K1590">
        <v>0</v>
      </c>
      <c r="L1590">
        <v>0</v>
      </c>
      <c r="M1590" t="s">
        <v>11</v>
      </c>
    </row>
    <row r="1591" spans="1:13">
      <c r="A1591" s="93">
        <v>168591</v>
      </c>
      <c r="B1591" t="s">
        <v>2139</v>
      </c>
      <c r="C1591" t="s">
        <v>4920</v>
      </c>
      <c r="D1591" s="92">
        <v>0.67</v>
      </c>
      <c r="E1591" s="92">
        <v>0.53</v>
      </c>
      <c r="F1591" t="s">
        <v>446</v>
      </c>
      <c r="G1591" t="s">
        <v>446</v>
      </c>
      <c r="H1591" t="s">
        <v>4930</v>
      </c>
      <c r="I1591">
        <v>0</v>
      </c>
      <c r="J1591" t="s">
        <v>97</v>
      </c>
      <c r="K1591">
        <v>0</v>
      </c>
      <c r="L1591">
        <v>0</v>
      </c>
      <c r="M1591" t="s">
        <v>11</v>
      </c>
    </row>
    <row r="1592" spans="1:13">
      <c r="A1592" s="93">
        <v>168607</v>
      </c>
      <c r="B1592" t="s">
        <v>2140</v>
      </c>
      <c r="C1592" t="s">
        <v>4923</v>
      </c>
      <c r="D1592" s="92" t="s">
        <v>446</v>
      </c>
      <c r="E1592" s="92" t="s">
        <v>446</v>
      </c>
      <c r="F1592" t="s">
        <v>446</v>
      </c>
      <c r="G1592" t="s">
        <v>446</v>
      </c>
      <c r="H1592" t="s">
        <v>4932</v>
      </c>
      <c r="I1592">
        <v>0</v>
      </c>
      <c r="J1592" t="s">
        <v>97</v>
      </c>
      <c r="K1592">
        <v>0</v>
      </c>
      <c r="L1592">
        <v>0</v>
      </c>
      <c r="M1592" t="s">
        <v>11</v>
      </c>
    </row>
    <row r="1593" spans="1:13">
      <c r="A1593" s="93">
        <v>168740</v>
      </c>
      <c r="B1593" t="s">
        <v>2141</v>
      </c>
      <c r="C1593" t="s">
        <v>4920</v>
      </c>
      <c r="D1593" s="92">
        <v>0.64</v>
      </c>
      <c r="E1593" s="92">
        <v>0.67</v>
      </c>
      <c r="F1593">
        <v>1050</v>
      </c>
      <c r="G1593">
        <v>1175</v>
      </c>
      <c r="H1593" t="s">
        <v>4931</v>
      </c>
      <c r="I1593">
        <v>0</v>
      </c>
      <c r="J1593" t="s">
        <v>97</v>
      </c>
      <c r="K1593">
        <v>0</v>
      </c>
      <c r="L1593">
        <v>0</v>
      </c>
      <c r="M1593" t="s">
        <v>11</v>
      </c>
    </row>
    <row r="1594" spans="1:13">
      <c r="A1594" s="93">
        <v>168786</v>
      </c>
      <c r="B1594" t="s">
        <v>2142</v>
      </c>
      <c r="C1594" t="s">
        <v>4917</v>
      </c>
      <c r="D1594" s="92">
        <v>0.61</v>
      </c>
      <c r="E1594" s="92">
        <v>0.45</v>
      </c>
      <c r="F1594">
        <v>1000</v>
      </c>
      <c r="G1594">
        <v>1085</v>
      </c>
      <c r="H1594" t="s">
        <v>4931</v>
      </c>
      <c r="I1594">
        <v>0</v>
      </c>
      <c r="J1594" t="s">
        <v>97</v>
      </c>
      <c r="K1594">
        <v>0</v>
      </c>
      <c r="L1594">
        <v>0</v>
      </c>
      <c r="M1594" t="s">
        <v>11</v>
      </c>
    </row>
    <row r="1595" spans="1:13">
      <c r="A1595" s="93">
        <v>168883</v>
      </c>
      <c r="B1595" t="s">
        <v>2143</v>
      </c>
      <c r="C1595" t="s">
        <v>4919</v>
      </c>
      <c r="D1595" s="92">
        <v>0.42</v>
      </c>
      <c r="E1595" s="92">
        <v>0.29</v>
      </c>
      <c r="F1595" t="s">
        <v>446</v>
      </c>
      <c r="G1595" t="s">
        <v>446</v>
      </c>
      <c r="H1595" t="s">
        <v>4932</v>
      </c>
      <c r="I1595">
        <v>0</v>
      </c>
      <c r="J1595" t="s">
        <v>97</v>
      </c>
      <c r="K1595">
        <v>0</v>
      </c>
      <c r="L1595">
        <v>0</v>
      </c>
      <c r="M1595" t="s">
        <v>11</v>
      </c>
    </row>
    <row r="1596" spans="1:13">
      <c r="A1596" s="93">
        <v>169080</v>
      </c>
      <c r="B1596" t="s">
        <v>2144</v>
      </c>
      <c r="C1596" t="s">
        <v>4916</v>
      </c>
      <c r="D1596" s="92">
        <v>0.76</v>
      </c>
      <c r="E1596" s="92">
        <v>0.5600000000000001</v>
      </c>
      <c r="F1596">
        <v>1120</v>
      </c>
      <c r="G1596">
        <v>1230</v>
      </c>
      <c r="H1596" t="s">
        <v>4930</v>
      </c>
      <c r="I1596">
        <v>0</v>
      </c>
      <c r="J1596" t="s">
        <v>97</v>
      </c>
      <c r="K1596">
        <v>0</v>
      </c>
      <c r="L1596">
        <v>0</v>
      </c>
      <c r="M1596" t="s">
        <v>11</v>
      </c>
    </row>
    <row r="1597" spans="1:13">
      <c r="A1597" s="93">
        <v>169099</v>
      </c>
      <c r="B1597" t="s">
        <v>2145</v>
      </c>
      <c r="C1597" t="s">
        <v>4924</v>
      </c>
      <c r="D1597" s="92" t="s">
        <v>446</v>
      </c>
      <c r="E1597" s="92" t="s">
        <v>446</v>
      </c>
      <c r="F1597" t="s">
        <v>446</v>
      </c>
      <c r="G1597" t="s">
        <v>446</v>
      </c>
      <c r="H1597" t="s">
        <v>4932</v>
      </c>
      <c r="I1597">
        <v>0</v>
      </c>
      <c r="J1597" t="s">
        <v>97</v>
      </c>
      <c r="K1597">
        <v>0</v>
      </c>
      <c r="L1597">
        <v>0</v>
      </c>
      <c r="M1597" t="s">
        <v>11</v>
      </c>
    </row>
    <row r="1598" spans="1:13">
      <c r="A1598" s="93">
        <v>169187</v>
      </c>
      <c r="B1598" t="s">
        <v>2146</v>
      </c>
      <c r="C1598" t="s">
        <v>4919</v>
      </c>
      <c r="D1598" s="92" t="s">
        <v>446</v>
      </c>
      <c r="E1598" s="92" t="s">
        <v>446</v>
      </c>
      <c r="F1598" t="s">
        <v>446</v>
      </c>
      <c r="G1598" t="s">
        <v>446</v>
      </c>
      <c r="H1598" t="s">
        <v>4931</v>
      </c>
      <c r="I1598">
        <v>0</v>
      </c>
      <c r="J1598" t="s">
        <v>97</v>
      </c>
      <c r="K1598">
        <v>0</v>
      </c>
      <c r="L1598">
        <v>0</v>
      </c>
      <c r="M1598" t="s">
        <v>11</v>
      </c>
    </row>
    <row r="1599" spans="1:13">
      <c r="A1599" s="93">
        <v>169220</v>
      </c>
      <c r="B1599" t="s">
        <v>2147</v>
      </c>
      <c r="C1599" t="s">
        <v>4924</v>
      </c>
      <c r="D1599" s="92" t="s">
        <v>446</v>
      </c>
      <c r="E1599" s="92" t="s">
        <v>446</v>
      </c>
      <c r="F1599" t="s">
        <v>446</v>
      </c>
      <c r="G1599" t="s">
        <v>446</v>
      </c>
      <c r="H1599" t="s">
        <v>4932</v>
      </c>
      <c r="I1599">
        <v>0</v>
      </c>
      <c r="J1599" t="s">
        <v>97</v>
      </c>
      <c r="K1599">
        <v>0</v>
      </c>
      <c r="L1599">
        <v>0</v>
      </c>
      <c r="M1599" t="s">
        <v>11</v>
      </c>
    </row>
    <row r="1600" spans="1:13">
      <c r="A1600" s="93">
        <v>169275</v>
      </c>
      <c r="B1600" t="s">
        <v>2148</v>
      </c>
      <c r="C1600" t="s">
        <v>4919</v>
      </c>
      <c r="D1600" s="92">
        <v>0.23</v>
      </c>
      <c r="E1600" s="92">
        <v>0.19</v>
      </c>
      <c r="F1600" t="s">
        <v>446</v>
      </c>
      <c r="G1600" t="s">
        <v>446</v>
      </c>
      <c r="H1600" t="s">
        <v>4932</v>
      </c>
      <c r="I1600">
        <v>0</v>
      </c>
      <c r="J1600" t="s">
        <v>97</v>
      </c>
      <c r="K1600">
        <v>0</v>
      </c>
      <c r="L1600">
        <v>0</v>
      </c>
      <c r="M1600" t="s">
        <v>11</v>
      </c>
    </row>
    <row r="1601" spans="1:13">
      <c r="A1601" s="93">
        <v>169327</v>
      </c>
      <c r="B1601" t="s">
        <v>2149</v>
      </c>
      <c r="C1601" t="s">
        <v>4918</v>
      </c>
      <c r="D1601" s="92">
        <v>0.2</v>
      </c>
      <c r="E1601" s="92">
        <v>0.2</v>
      </c>
      <c r="F1601">
        <v>950</v>
      </c>
      <c r="G1601">
        <v>1060</v>
      </c>
      <c r="H1601" t="s">
        <v>4930</v>
      </c>
      <c r="I1601">
        <v>0</v>
      </c>
      <c r="J1601" t="s">
        <v>97</v>
      </c>
      <c r="K1601">
        <v>0</v>
      </c>
      <c r="L1601">
        <v>0</v>
      </c>
      <c r="M1601" t="s">
        <v>11</v>
      </c>
    </row>
    <row r="1602" spans="1:13">
      <c r="A1602" s="93">
        <v>169363</v>
      </c>
      <c r="B1602" t="s">
        <v>2150</v>
      </c>
      <c r="C1602" t="s">
        <v>4916</v>
      </c>
      <c r="D1602" s="92">
        <v>0.43</v>
      </c>
      <c r="E1602" s="92">
        <v>0.28</v>
      </c>
      <c r="F1602">
        <v>970</v>
      </c>
      <c r="G1602">
        <v>1075</v>
      </c>
      <c r="H1602" t="s">
        <v>4930</v>
      </c>
      <c r="I1602">
        <v>0</v>
      </c>
      <c r="J1602" t="s">
        <v>97</v>
      </c>
      <c r="K1602">
        <v>0</v>
      </c>
      <c r="L1602">
        <v>0</v>
      </c>
      <c r="M1602" t="s">
        <v>11</v>
      </c>
    </row>
    <row r="1603" spans="1:13">
      <c r="A1603" s="93">
        <v>169424</v>
      </c>
      <c r="B1603" t="s">
        <v>2151</v>
      </c>
      <c r="C1603" t="s">
        <v>4924</v>
      </c>
      <c r="D1603" s="92" t="s">
        <v>446</v>
      </c>
      <c r="E1603" s="92" t="s">
        <v>446</v>
      </c>
      <c r="F1603" t="s">
        <v>446</v>
      </c>
      <c r="G1603" t="s">
        <v>446</v>
      </c>
      <c r="H1603" t="s">
        <v>4932</v>
      </c>
      <c r="I1603">
        <v>0</v>
      </c>
      <c r="J1603" t="s">
        <v>97</v>
      </c>
      <c r="K1603">
        <v>0</v>
      </c>
      <c r="L1603">
        <v>0</v>
      </c>
      <c r="M1603" t="s">
        <v>11</v>
      </c>
    </row>
    <row r="1604" spans="1:13">
      <c r="A1604" s="93">
        <v>169442</v>
      </c>
      <c r="B1604" t="s">
        <v>2152</v>
      </c>
      <c r="C1604" t="s">
        <v>4926</v>
      </c>
      <c r="D1604" s="92">
        <v>0.62</v>
      </c>
      <c r="E1604" s="92">
        <v>0.5</v>
      </c>
      <c r="F1604" t="s">
        <v>446</v>
      </c>
      <c r="G1604" t="s">
        <v>446</v>
      </c>
      <c r="H1604" t="s">
        <v>4930</v>
      </c>
      <c r="I1604">
        <v>0</v>
      </c>
      <c r="J1604" t="s">
        <v>97</v>
      </c>
      <c r="K1604">
        <v>0</v>
      </c>
      <c r="L1604">
        <v>0</v>
      </c>
      <c r="M1604" t="s">
        <v>11</v>
      </c>
    </row>
    <row r="1605" spans="1:13">
      <c r="A1605" s="93">
        <v>169521</v>
      </c>
      <c r="B1605" t="s">
        <v>2153</v>
      </c>
      <c r="C1605" t="s">
        <v>4919</v>
      </c>
      <c r="D1605" s="92">
        <v>0.26</v>
      </c>
      <c r="E1605" s="92">
        <v>0.23</v>
      </c>
      <c r="F1605" t="s">
        <v>446</v>
      </c>
      <c r="G1605" t="s">
        <v>446</v>
      </c>
      <c r="H1605" t="s">
        <v>4932</v>
      </c>
      <c r="I1605">
        <v>0</v>
      </c>
      <c r="J1605" t="s">
        <v>97</v>
      </c>
      <c r="K1605">
        <v>0</v>
      </c>
      <c r="L1605">
        <v>0</v>
      </c>
      <c r="M1605" t="s">
        <v>11</v>
      </c>
    </row>
    <row r="1606" spans="1:13">
      <c r="A1606" s="93">
        <v>169655</v>
      </c>
      <c r="B1606" t="s">
        <v>2154</v>
      </c>
      <c r="C1606" t="s">
        <v>4925</v>
      </c>
      <c r="D1606" s="92">
        <v>0.61</v>
      </c>
      <c r="E1606" s="92">
        <v>0.48</v>
      </c>
      <c r="F1606" t="s">
        <v>446</v>
      </c>
      <c r="G1606" t="s">
        <v>446</v>
      </c>
      <c r="H1606" t="s">
        <v>4931</v>
      </c>
      <c r="I1606">
        <v>0</v>
      </c>
      <c r="J1606" t="s">
        <v>97</v>
      </c>
      <c r="K1606">
        <v>0</v>
      </c>
      <c r="L1606">
        <v>0</v>
      </c>
      <c r="M1606" t="s">
        <v>11</v>
      </c>
    </row>
    <row r="1607" spans="1:13">
      <c r="A1607" s="93">
        <v>169716</v>
      </c>
      <c r="B1607" t="s">
        <v>2155</v>
      </c>
      <c r="C1607" t="s">
        <v>4920</v>
      </c>
      <c r="D1607" s="92">
        <v>0.6899999999999999</v>
      </c>
      <c r="E1607" s="92">
        <v>0.47</v>
      </c>
      <c r="F1607">
        <v>1060</v>
      </c>
      <c r="G1607">
        <v>1155</v>
      </c>
      <c r="H1607" t="s">
        <v>4931</v>
      </c>
      <c r="I1607">
        <v>0</v>
      </c>
      <c r="J1607" t="s">
        <v>97</v>
      </c>
      <c r="K1607">
        <v>0</v>
      </c>
      <c r="L1607">
        <v>0</v>
      </c>
      <c r="M1607" t="s">
        <v>11</v>
      </c>
    </row>
    <row r="1608" spans="1:13">
      <c r="A1608" s="93">
        <v>169761</v>
      </c>
      <c r="B1608" t="s">
        <v>2156</v>
      </c>
      <c r="C1608" t="s">
        <v>4926</v>
      </c>
      <c r="D1608" s="92" t="s">
        <v>446</v>
      </c>
      <c r="E1608" s="92" t="s">
        <v>446</v>
      </c>
      <c r="F1608" t="s">
        <v>446</v>
      </c>
      <c r="G1608" t="s">
        <v>446</v>
      </c>
      <c r="H1608" t="s">
        <v>4930</v>
      </c>
      <c r="I1608">
        <v>0</v>
      </c>
      <c r="J1608" t="s">
        <v>97</v>
      </c>
      <c r="K1608">
        <v>0</v>
      </c>
      <c r="L1608">
        <v>0</v>
      </c>
      <c r="M1608" t="s">
        <v>11</v>
      </c>
    </row>
    <row r="1609" spans="1:13">
      <c r="A1609" s="93">
        <v>169947</v>
      </c>
      <c r="B1609" t="s">
        <v>2157</v>
      </c>
      <c r="C1609" t="s">
        <v>4919</v>
      </c>
      <c r="D1609" s="92" t="s">
        <v>446</v>
      </c>
      <c r="E1609" s="92" t="s">
        <v>446</v>
      </c>
      <c r="F1609" t="s">
        <v>446</v>
      </c>
      <c r="G1609" t="s">
        <v>446</v>
      </c>
      <c r="H1609" t="s">
        <v>4932</v>
      </c>
      <c r="I1609">
        <v>0</v>
      </c>
      <c r="J1609" t="s">
        <v>97</v>
      </c>
      <c r="K1609">
        <v>0</v>
      </c>
      <c r="L1609">
        <v>0</v>
      </c>
      <c r="M1609" t="s">
        <v>11</v>
      </c>
    </row>
    <row r="1610" spans="1:13">
      <c r="A1610" s="93">
        <v>169974</v>
      </c>
      <c r="B1610" t="s">
        <v>2158</v>
      </c>
      <c r="C1610" t="s">
        <v>4919</v>
      </c>
      <c r="D1610" s="92">
        <v>0.43</v>
      </c>
      <c r="E1610" s="92">
        <v>0.4</v>
      </c>
      <c r="F1610" t="s">
        <v>446</v>
      </c>
      <c r="G1610" t="s">
        <v>446</v>
      </c>
      <c r="H1610" t="s">
        <v>4932</v>
      </c>
      <c r="I1610">
        <v>0</v>
      </c>
      <c r="J1610" t="s">
        <v>97</v>
      </c>
      <c r="K1610">
        <v>0</v>
      </c>
      <c r="L1610">
        <v>0</v>
      </c>
      <c r="M1610" t="s">
        <v>11</v>
      </c>
    </row>
    <row r="1611" spans="1:13">
      <c r="A1611" s="93">
        <v>169983</v>
      </c>
      <c r="B1611" t="s">
        <v>2159</v>
      </c>
      <c r="C1611" t="s">
        <v>4917</v>
      </c>
      <c r="D1611" s="92">
        <v>0.67</v>
      </c>
      <c r="E1611" s="92">
        <v>0.52</v>
      </c>
      <c r="F1611">
        <v>1140</v>
      </c>
      <c r="G1611">
        <v>1240</v>
      </c>
      <c r="H1611" t="s">
        <v>4930</v>
      </c>
      <c r="I1611">
        <v>0</v>
      </c>
      <c r="J1611" t="s">
        <v>97</v>
      </c>
      <c r="K1611">
        <v>0</v>
      </c>
      <c r="L1611">
        <v>0</v>
      </c>
      <c r="M1611" t="s">
        <v>11</v>
      </c>
    </row>
    <row r="1612" spans="1:13">
      <c r="A1612" s="93">
        <v>169992</v>
      </c>
      <c r="B1612" t="s">
        <v>2160</v>
      </c>
      <c r="C1612" t="s">
        <v>4919</v>
      </c>
      <c r="D1612" s="92">
        <v>0.45</v>
      </c>
      <c r="E1612" s="92">
        <v>0.25</v>
      </c>
      <c r="F1612" t="s">
        <v>446</v>
      </c>
      <c r="G1612" t="s">
        <v>446</v>
      </c>
      <c r="H1612" t="s">
        <v>4932</v>
      </c>
      <c r="I1612">
        <v>0</v>
      </c>
      <c r="J1612" t="s">
        <v>97</v>
      </c>
      <c r="K1612">
        <v>0</v>
      </c>
      <c r="L1612">
        <v>0</v>
      </c>
      <c r="M1612" t="s">
        <v>11</v>
      </c>
    </row>
    <row r="1613" spans="1:13">
      <c r="A1613" s="93">
        <v>170000</v>
      </c>
      <c r="B1613" t="s">
        <v>2161</v>
      </c>
      <c r="C1613" t="s">
        <v>4924</v>
      </c>
      <c r="D1613" s="92">
        <v>0.4</v>
      </c>
      <c r="E1613" s="92">
        <v>0.37</v>
      </c>
      <c r="F1613" t="s">
        <v>446</v>
      </c>
      <c r="G1613" t="s">
        <v>446</v>
      </c>
      <c r="H1613" t="s">
        <v>4931</v>
      </c>
      <c r="I1613">
        <v>0</v>
      </c>
      <c r="J1613" t="s">
        <v>97</v>
      </c>
      <c r="K1613">
        <v>0</v>
      </c>
      <c r="L1613">
        <v>0</v>
      </c>
      <c r="M1613" t="s">
        <v>11</v>
      </c>
    </row>
    <row r="1614" spans="1:13">
      <c r="A1614" s="93">
        <v>170037</v>
      </c>
      <c r="B1614" t="s">
        <v>598</v>
      </c>
      <c r="C1614" t="s">
        <v>4920</v>
      </c>
      <c r="D1614" s="92">
        <v>0.63</v>
      </c>
      <c r="E1614" s="92">
        <v>0.43</v>
      </c>
      <c r="F1614">
        <v>970</v>
      </c>
      <c r="G1614">
        <v>1095</v>
      </c>
      <c r="H1614" t="s">
        <v>4930</v>
      </c>
      <c r="I1614">
        <v>0</v>
      </c>
      <c r="J1614" t="s">
        <v>97</v>
      </c>
      <c r="K1614">
        <v>0</v>
      </c>
      <c r="L1614">
        <v>0</v>
      </c>
      <c r="M1614" t="s">
        <v>11</v>
      </c>
    </row>
    <row r="1615" spans="1:13">
      <c r="A1615" s="93">
        <v>170091</v>
      </c>
      <c r="B1615" t="s">
        <v>2162</v>
      </c>
      <c r="C1615" t="s">
        <v>4923</v>
      </c>
      <c r="D1615" s="92">
        <v>0.2</v>
      </c>
      <c r="E1615" s="92">
        <v>0.05</v>
      </c>
      <c r="F1615" t="s">
        <v>446</v>
      </c>
      <c r="G1615" t="s">
        <v>446</v>
      </c>
      <c r="H1615" t="s">
        <v>4931</v>
      </c>
      <c r="I1615">
        <v>0</v>
      </c>
      <c r="J1615" t="s">
        <v>97</v>
      </c>
      <c r="K1615">
        <v>0</v>
      </c>
      <c r="L1615">
        <v>0</v>
      </c>
      <c r="M1615" t="s">
        <v>11</v>
      </c>
    </row>
    <row r="1616" spans="1:13">
      <c r="A1616" s="93">
        <v>170286</v>
      </c>
      <c r="B1616" t="s">
        <v>2163</v>
      </c>
      <c r="C1616" t="s">
        <v>4921</v>
      </c>
      <c r="D1616" s="92">
        <v>0.87</v>
      </c>
      <c r="E1616" s="92" t="s">
        <v>446</v>
      </c>
      <c r="F1616">
        <v>1340</v>
      </c>
      <c r="G1616">
        <v>1425</v>
      </c>
      <c r="H1616" t="s">
        <v>4932</v>
      </c>
      <c r="I1616">
        <v>0</v>
      </c>
      <c r="J1616" t="s">
        <v>97</v>
      </c>
      <c r="K1616">
        <v>0</v>
      </c>
      <c r="L1616">
        <v>0</v>
      </c>
      <c r="M1616" t="s">
        <v>11</v>
      </c>
    </row>
    <row r="1617" spans="1:13">
      <c r="A1617" s="93">
        <v>170550</v>
      </c>
      <c r="B1617" t="s">
        <v>2164</v>
      </c>
      <c r="C1617" t="s">
        <v>4919</v>
      </c>
      <c r="D1617" s="92">
        <v>0.25</v>
      </c>
      <c r="E1617" s="92">
        <v>0.17</v>
      </c>
      <c r="F1617" t="s">
        <v>446</v>
      </c>
      <c r="G1617" t="s">
        <v>446</v>
      </c>
      <c r="H1617" t="s">
        <v>4932</v>
      </c>
      <c r="I1617">
        <v>0</v>
      </c>
      <c r="J1617" t="s">
        <v>97</v>
      </c>
      <c r="K1617">
        <v>0</v>
      </c>
      <c r="L1617">
        <v>0</v>
      </c>
      <c r="M1617" t="s">
        <v>11</v>
      </c>
    </row>
    <row r="1618" spans="1:13">
      <c r="A1618" s="93">
        <v>170587</v>
      </c>
      <c r="B1618" t="s">
        <v>2165</v>
      </c>
      <c r="C1618" t="s">
        <v>4919</v>
      </c>
      <c r="D1618" s="92">
        <v>0.3</v>
      </c>
      <c r="E1618" s="92">
        <v>0.05</v>
      </c>
      <c r="F1618" t="s">
        <v>446</v>
      </c>
      <c r="G1618" t="s">
        <v>446</v>
      </c>
      <c r="H1618" t="s">
        <v>4932</v>
      </c>
      <c r="I1618">
        <v>0</v>
      </c>
      <c r="J1618" t="s">
        <v>97</v>
      </c>
      <c r="K1618">
        <v>0</v>
      </c>
      <c r="L1618">
        <v>0</v>
      </c>
      <c r="M1618" t="s">
        <v>11</v>
      </c>
    </row>
    <row r="1619" spans="1:13">
      <c r="A1619" s="93">
        <v>170620</v>
      </c>
      <c r="B1619" t="s">
        <v>2166</v>
      </c>
      <c r="C1619" t="s">
        <v>4923</v>
      </c>
      <c r="D1619" s="92">
        <v>0.42</v>
      </c>
      <c r="E1619" s="92">
        <v>0.38</v>
      </c>
      <c r="F1619" t="s">
        <v>446</v>
      </c>
      <c r="G1619" t="s">
        <v>446</v>
      </c>
      <c r="H1619" t="s">
        <v>4932</v>
      </c>
      <c r="I1619">
        <v>0</v>
      </c>
      <c r="J1619" t="s">
        <v>97</v>
      </c>
      <c r="K1619">
        <v>0</v>
      </c>
      <c r="L1619">
        <v>0</v>
      </c>
      <c r="M1619" t="s">
        <v>11</v>
      </c>
    </row>
    <row r="1620" spans="1:13">
      <c r="A1620" s="93">
        <v>170639</v>
      </c>
      <c r="B1620" t="s">
        <v>2167</v>
      </c>
      <c r="C1620" t="s">
        <v>4920</v>
      </c>
      <c r="D1620" s="92">
        <v>0.5</v>
      </c>
      <c r="E1620" s="92">
        <v>0.38</v>
      </c>
      <c r="F1620">
        <v>950</v>
      </c>
      <c r="G1620">
        <v>1055</v>
      </c>
      <c r="H1620" t="s">
        <v>4931</v>
      </c>
      <c r="I1620">
        <v>0</v>
      </c>
      <c r="J1620" t="s">
        <v>97</v>
      </c>
      <c r="K1620">
        <v>0</v>
      </c>
      <c r="L1620">
        <v>0</v>
      </c>
      <c r="M1620" t="s">
        <v>11</v>
      </c>
    </row>
    <row r="1621" spans="1:13">
      <c r="A1621" s="93">
        <v>170675</v>
      </c>
      <c r="B1621" t="s">
        <v>2168</v>
      </c>
      <c r="C1621" t="s">
        <v>4916</v>
      </c>
      <c r="D1621" s="92">
        <v>0.57</v>
      </c>
      <c r="E1621" s="92">
        <v>0.3</v>
      </c>
      <c r="F1621" t="s">
        <v>446</v>
      </c>
      <c r="G1621" t="s">
        <v>446</v>
      </c>
      <c r="H1621" t="s">
        <v>4930</v>
      </c>
      <c r="I1621">
        <v>0</v>
      </c>
      <c r="J1621" t="s">
        <v>97</v>
      </c>
      <c r="K1621">
        <v>0</v>
      </c>
      <c r="L1621">
        <v>0</v>
      </c>
      <c r="M1621" t="s">
        <v>11</v>
      </c>
    </row>
    <row r="1622" spans="1:13">
      <c r="A1622" s="93">
        <v>170806</v>
      </c>
      <c r="B1622" t="s">
        <v>2169</v>
      </c>
      <c r="C1622" t="s">
        <v>4920</v>
      </c>
      <c r="D1622" s="92">
        <v>0.6</v>
      </c>
      <c r="E1622" s="92">
        <v>0.34</v>
      </c>
      <c r="F1622">
        <v>890</v>
      </c>
      <c r="G1622">
        <v>1015</v>
      </c>
      <c r="H1622" t="s">
        <v>4931</v>
      </c>
      <c r="I1622">
        <v>0</v>
      </c>
      <c r="J1622" t="s">
        <v>97</v>
      </c>
      <c r="K1622">
        <v>0</v>
      </c>
      <c r="L1622">
        <v>0</v>
      </c>
      <c r="M1622" t="s">
        <v>11</v>
      </c>
    </row>
    <row r="1623" spans="1:13">
      <c r="A1623" s="93">
        <v>170967</v>
      </c>
      <c r="B1623" t="s">
        <v>2170</v>
      </c>
      <c r="C1623" t="s">
        <v>4918</v>
      </c>
      <c r="D1623" s="92">
        <v>0.44</v>
      </c>
      <c r="E1623" s="92">
        <v>0.24</v>
      </c>
      <c r="F1623" t="s">
        <v>446</v>
      </c>
      <c r="G1623" t="s">
        <v>446</v>
      </c>
      <c r="H1623" t="s">
        <v>4931</v>
      </c>
      <c r="I1623">
        <v>0</v>
      </c>
      <c r="J1623" t="s">
        <v>97</v>
      </c>
      <c r="K1623">
        <v>0</v>
      </c>
      <c r="L1623">
        <v>0</v>
      </c>
      <c r="M1623" t="s">
        <v>11</v>
      </c>
    </row>
    <row r="1624" spans="1:13">
      <c r="A1624" s="93">
        <v>171012</v>
      </c>
      <c r="B1624" t="s">
        <v>2171</v>
      </c>
      <c r="C1624" t="s">
        <v>4919</v>
      </c>
      <c r="D1624" s="92" t="s">
        <v>446</v>
      </c>
      <c r="E1624" s="92" t="s">
        <v>446</v>
      </c>
      <c r="F1624" t="s">
        <v>446</v>
      </c>
      <c r="G1624" t="s">
        <v>446</v>
      </c>
      <c r="H1624" t="s">
        <v>4928</v>
      </c>
      <c r="I1624">
        <v>1</v>
      </c>
      <c r="J1624" t="s">
        <v>97</v>
      </c>
      <c r="K1624">
        <v>0</v>
      </c>
      <c r="L1624">
        <v>0</v>
      </c>
      <c r="M1624" t="s">
        <v>11</v>
      </c>
    </row>
    <row r="1625" spans="1:13">
      <c r="A1625" s="93">
        <v>171137</v>
      </c>
      <c r="B1625" t="s">
        <v>2172</v>
      </c>
      <c r="C1625" t="s">
        <v>4916</v>
      </c>
      <c r="D1625" s="92">
        <v>0.5600000000000001</v>
      </c>
      <c r="E1625" s="92">
        <v>0.44</v>
      </c>
      <c r="F1625">
        <v>1050</v>
      </c>
      <c r="G1625">
        <v>1175</v>
      </c>
      <c r="H1625" t="s">
        <v>4933</v>
      </c>
      <c r="I1625">
        <v>0</v>
      </c>
      <c r="J1625" t="s">
        <v>97</v>
      </c>
      <c r="K1625">
        <v>0</v>
      </c>
      <c r="L1625">
        <v>0</v>
      </c>
      <c r="M1625" t="s">
        <v>11</v>
      </c>
    </row>
    <row r="1626" spans="1:13">
      <c r="A1626" s="93">
        <v>171146</v>
      </c>
      <c r="B1626" t="s">
        <v>2173</v>
      </c>
      <c r="C1626" t="s">
        <v>4920</v>
      </c>
      <c r="D1626" s="92">
        <v>0.38</v>
      </c>
      <c r="E1626" s="92">
        <v>0.24</v>
      </c>
      <c r="F1626">
        <v>1020</v>
      </c>
      <c r="G1626">
        <v>1135</v>
      </c>
      <c r="H1626" t="s">
        <v>4932</v>
      </c>
      <c r="I1626">
        <v>0</v>
      </c>
      <c r="J1626" t="s">
        <v>97</v>
      </c>
      <c r="K1626">
        <v>0</v>
      </c>
      <c r="L1626">
        <v>0</v>
      </c>
      <c r="M1626" t="s">
        <v>11</v>
      </c>
    </row>
    <row r="1627" spans="1:13">
      <c r="A1627" s="93">
        <v>171225</v>
      </c>
      <c r="B1627" t="s">
        <v>2174</v>
      </c>
      <c r="C1627" t="s">
        <v>4919</v>
      </c>
      <c r="D1627" s="92">
        <v>0.32</v>
      </c>
      <c r="E1627" s="92">
        <v>0.21</v>
      </c>
      <c r="F1627" t="s">
        <v>446</v>
      </c>
      <c r="G1627" t="s">
        <v>446</v>
      </c>
      <c r="H1627" t="s">
        <v>4932</v>
      </c>
      <c r="I1627">
        <v>0</v>
      </c>
      <c r="J1627" t="s">
        <v>97</v>
      </c>
      <c r="K1627">
        <v>0</v>
      </c>
      <c r="L1627">
        <v>0</v>
      </c>
      <c r="M1627" t="s">
        <v>11</v>
      </c>
    </row>
    <row r="1628" spans="1:13">
      <c r="A1628" s="93">
        <v>171234</v>
      </c>
      <c r="B1628" t="s">
        <v>2175</v>
      </c>
      <c r="C1628" t="s">
        <v>4919</v>
      </c>
      <c r="D1628" s="92">
        <v>0.4</v>
      </c>
      <c r="E1628" s="92">
        <v>0.25</v>
      </c>
      <c r="F1628" t="s">
        <v>446</v>
      </c>
      <c r="G1628" t="s">
        <v>446</v>
      </c>
      <c r="H1628" t="s">
        <v>4932</v>
      </c>
      <c r="I1628">
        <v>0</v>
      </c>
      <c r="J1628" t="s">
        <v>97</v>
      </c>
      <c r="K1628">
        <v>0</v>
      </c>
      <c r="L1628">
        <v>0</v>
      </c>
      <c r="M1628" t="s">
        <v>11</v>
      </c>
    </row>
    <row r="1629" spans="1:13">
      <c r="A1629" s="93">
        <v>171304</v>
      </c>
      <c r="B1629" t="s">
        <v>2176</v>
      </c>
      <c r="C1629" t="s">
        <v>4919</v>
      </c>
      <c r="D1629" s="92">
        <v>0.33</v>
      </c>
      <c r="E1629" s="92">
        <v>0.22</v>
      </c>
      <c r="F1629" t="s">
        <v>446</v>
      </c>
      <c r="G1629" t="s">
        <v>446</v>
      </c>
      <c r="H1629" t="s">
        <v>4932</v>
      </c>
      <c r="I1629">
        <v>0</v>
      </c>
      <c r="J1629" t="s">
        <v>97</v>
      </c>
      <c r="K1629">
        <v>0</v>
      </c>
      <c r="L1629">
        <v>0</v>
      </c>
      <c r="M1629" t="s">
        <v>11</v>
      </c>
    </row>
    <row r="1630" spans="1:13">
      <c r="A1630" s="93">
        <v>171395</v>
      </c>
      <c r="B1630" t="s">
        <v>2177</v>
      </c>
      <c r="C1630" t="s">
        <v>4919</v>
      </c>
      <c r="D1630" s="92">
        <v>0.37</v>
      </c>
      <c r="E1630" s="92">
        <v>0.24</v>
      </c>
      <c r="F1630" t="s">
        <v>446</v>
      </c>
      <c r="G1630" t="s">
        <v>446</v>
      </c>
      <c r="H1630" t="s">
        <v>4932</v>
      </c>
      <c r="I1630">
        <v>0</v>
      </c>
      <c r="J1630" t="s">
        <v>97</v>
      </c>
      <c r="K1630">
        <v>0</v>
      </c>
      <c r="L1630">
        <v>0</v>
      </c>
      <c r="M1630" t="s">
        <v>11</v>
      </c>
    </row>
    <row r="1631" spans="1:13">
      <c r="A1631" s="93">
        <v>171456</v>
      </c>
      <c r="B1631" t="s">
        <v>570</v>
      </c>
      <c r="C1631" t="s">
        <v>4920</v>
      </c>
      <c r="D1631" s="92">
        <v>0.52</v>
      </c>
      <c r="E1631" s="92">
        <v>0.34</v>
      </c>
      <c r="F1631" t="s">
        <v>446</v>
      </c>
      <c r="G1631" t="s">
        <v>446</v>
      </c>
      <c r="H1631" t="s">
        <v>4931</v>
      </c>
      <c r="I1631">
        <v>0</v>
      </c>
      <c r="J1631" t="s">
        <v>97</v>
      </c>
      <c r="K1631">
        <v>0</v>
      </c>
      <c r="L1631">
        <v>0</v>
      </c>
      <c r="M1631" t="s">
        <v>11</v>
      </c>
    </row>
    <row r="1632" spans="1:13">
      <c r="A1632" s="93">
        <v>171483</v>
      </c>
      <c r="B1632" t="s">
        <v>2178</v>
      </c>
      <c r="C1632" t="s">
        <v>4923</v>
      </c>
      <c r="D1632" s="92">
        <v>0.68</v>
      </c>
      <c r="E1632" s="92" t="s">
        <v>446</v>
      </c>
      <c r="F1632" t="s">
        <v>446</v>
      </c>
      <c r="G1632" t="s">
        <v>446</v>
      </c>
      <c r="H1632" t="s">
        <v>4932</v>
      </c>
      <c r="I1632">
        <v>0</v>
      </c>
      <c r="J1632" t="s">
        <v>97</v>
      </c>
      <c r="K1632">
        <v>0</v>
      </c>
      <c r="L1632">
        <v>0</v>
      </c>
      <c r="M1632" t="s">
        <v>11</v>
      </c>
    </row>
    <row r="1633" spans="1:13">
      <c r="A1633" s="93">
        <v>171492</v>
      </c>
      <c r="B1633" t="s">
        <v>2179</v>
      </c>
      <c r="C1633" t="s">
        <v>4918</v>
      </c>
      <c r="D1633" s="92">
        <v>0.58</v>
      </c>
      <c r="E1633" s="92">
        <v>0.24</v>
      </c>
      <c r="F1633" t="s">
        <v>446</v>
      </c>
      <c r="G1633" t="s">
        <v>446</v>
      </c>
      <c r="H1633" t="s">
        <v>4930</v>
      </c>
      <c r="I1633">
        <v>0</v>
      </c>
      <c r="J1633" t="s">
        <v>97</v>
      </c>
      <c r="K1633">
        <v>0</v>
      </c>
      <c r="L1633">
        <v>0</v>
      </c>
      <c r="M1633" t="s">
        <v>11</v>
      </c>
    </row>
    <row r="1634" spans="1:13">
      <c r="A1634" s="93">
        <v>171571</v>
      </c>
      <c r="B1634" t="s">
        <v>2180</v>
      </c>
      <c r="C1634" t="s">
        <v>4920</v>
      </c>
      <c r="D1634" s="92">
        <v>0.5600000000000001</v>
      </c>
      <c r="E1634" s="92">
        <v>0.35</v>
      </c>
      <c r="F1634">
        <v>970</v>
      </c>
      <c r="G1634">
        <v>1100</v>
      </c>
      <c r="H1634" t="s">
        <v>4932</v>
      </c>
      <c r="I1634">
        <v>0</v>
      </c>
      <c r="J1634" t="s">
        <v>97</v>
      </c>
      <c r="K1634">
        <v>0</v>
      </c>
      <c r="L1634">
        <v>0</v>
      </c>
      <c r="M1634" t="s">
        <v>11</v>
      </c>
    </row>
    <row r="1635" spans="1:13">
      <c r="A1635" s="93">
        <v>171599</v>
      </c>
      <c r="B1635" t="s">
        <v>2181</v>
      </c>
      <c r="C1635" t="s">
        <v>4918</v>
      </c>
      <c r="D1635" s="92">
        <v>0.46</v>
      </c>
      <c r="E1635" s="92">
        <v>0.31</v>
      </c>
      <c r="F1635">
        <v>910</v>
      </c>
      <c r="G1635">
        <v>1015</v>
      </c>
      <c r="H1635" t="s">
        <v>4930</v>
      </c>
      <c r="I1635">
        <v>0</v>
      </c>
      <c r="J1635" t="s">
        <v>97</v>
      </c>
      <c r="K1635">
        <v>0</v>
      </c>
      <c r="L1635">
        <v>0</v>
      </c>
      <c r="M1635" t="s">
        <v>11</v>
      </c>
    </row>
    <row r="1636" spans="1:13">
      <c r="A1636" s="93">
        <v>171881</v>
      </c>
      <c r="B1636" t="s">
        <v>2182</v>
      </c>
      <c r="C1636" t="s">
        <v>4923</v>
      </c>
      <c r="D1636" s="92">
        <v>0.42</v>
      </c>
      <c r="E1636" s="92">
        <v>0.17</v>
      </c>
      <c r="F1636" t="s">
        <v>446</v>
      </c>
      <c r="G1636" t="s">
        <v>446</v>
      </c>
      <c r="H1636" t="s">
        <v>4930</v>
      </c>
      <c r="I1636">
        <v>0</v>
      </c>
      <c r="J1636" t="s">
        <v>97</v>
      </c>
      <c r="K1636">
        <v>0</v>
      </c>
      <c r="L1636">
        <v>0</v>
      </c>
      <c r="M1636" t="s">
        <v>11</v>
      </c>
    </row>
    <row r="1637" spans="1:13">
      <c r="A1637" s="93">
        <v>172033</v>
      </c>
      <c r="B1637" t="s">
        <v>2183</v>
      </c>
      <c r="C1637" t="s">
        <v>4924</v>
      </c>
      <c r="D1637" s="92">
        <v>1</v>
      </c>
      <c r="E1637" s="92">
        <v>1</v>
      </c>
      <c r="F1637" t="s">
        <v>446</v>
      </c>
      <c r="G1637" t="s">
        <v>446</v>
      </c>
      <c r="H1637" t="s">
        <v>4932</v>
      </c>
      <c r="I1637">
        <v>0</v>
      </c>
      <c r="J1637" t="s">
        <v>97</v>
      </c>
      <c r="K1637">
        <v>0</v>
      </c>
      <c r="L1637">
        <v>0</v>
      </c>
      <c r="M1637" t="s">
        <v>11</v>
      </c>
    </row>
    <row r="1638" spans="1:13">
      <c r="A1638" s="93">
        <v>172051</v>
      </c>
      <c r="B1638" t="s">
        <v>2184</v>
      </c>
      <c r="C1638" t="s">
        <v>4920</v>
      </c>
      <c r="D1638" s="92">
        <v>0.42</v>
      </c>
      <c r="E1638" s="92">
        <v>0.26</v>
      </c>
      <c r="F1638">
        <v>960</v>
      </c>
      <c r="G1638">
        <v>1065</v>
      </c>
      <c r="H1638" t="s">
        <v>4931</v>
      </c>
      <c r="I1638">
        <v>0</v>
      </c>
      <c r="J1638" t="s">
        <v>97</v>
      </c>
      <c r="K1638">
        <v>0</v>
      </c>
      <c r="L1638">
        <v>0</v>
      </c>
      <c r="M1638" t="s">
        <v>11</v>
      </c>
    </row>
    <row r="1639" spans="1:13">
      <c r="A1639" s="93">
        <v>172200</v>
      </c>
      <c r="B1639" t="s">
        <v>2185</v>
      </c>
      <c r="C1639" t="s">
        <v>4923</v>
      </c>
      <c r="D1639" s="92">
        <v>0.25</v>
      </c>
      <c r="E1639" s="92">
        <v>0.25</v>
      </c>
      <c r="F1639" t="s">
        <v>446</v>
      </c>
      <c r="G1639" t="s">
        <v>446</v>
      </c>
      <c r="H1639" t="s">
        <v>4932</v>
      </c>
      <c r="I1639">
        <v>0</v>
      </c>
      <c r="J1639" t="s">
        <v>97</v>
      </c>
      <c r="K1639">
        <v>0</v>
      </c>
      <c r="L1639">
        <v>0</v>
      </c>
      <c r="M1639" t="s">
        <v>11</v>
      </c>
    </row>
    <row r="1640" spans="1:13">
      <c r="A1640" s="93">
        <v>172264</v>
      </c>
      <c r="B1640" t="s">
        <v>2186</v>
      </c>
      <c r="C1640" t="s">
        <v>4920</v>
      </c>
      <c r="D1640" s="92">
        <v>0.5</v>
      </c>
      <c r="E1640" s="92">
        <v>0.35</v>
      </c>
      <c r="F1640" t="s">
        <v>446</v>
      </c>
      <c r="G1640" t="s">
        <v>446</v>
      </c>
      <c r="H1640" t="s">
        <v>4930</v>
      </c>
      <c r="I1640">
        <v>0</v>
      </c>
      <c r="J1640" t="s">
        <v>97</v>
      </c>
      <c r="K1640">
        <v>0</v>
      </c>
      <c r="L1640">
        <v>0</v>
      </c>
      <c r="M1640" t="s">
        <v>11</v>
      </c>
    </row>
    <row r="1641" spans="1:13">
      <c r="A1641" s="93">
        <v>172291</v>
      </c>
      <c r="B1641" t="s">
        <v>2187</v>
      </c>
      <c r="C1641" t="s">
        <v>4919</v>
      </c>
      <c r="D1641" s="92">
        <v>0.34</v>
      </c>
      <c r="E1641" s="92">
        <v>0.2</v>
      </c>
      <c r="F1641" t="s">
        <v>446</v>
      </c>
      <c r="G1641" t="s">
        <v>446</v>
      </c>
      <c r="H1641" t="s">
        <v>4932</v>
      </c>
      <c r="I1641">
        <v>0</v>
      </c>
      <c r="J1641" t="s">
        <v>97</v>
      </c>
      <c r="K1641">
        <v>0</v>
      </c>
      <c r="L1641">
        <v>0</v>
      </c>
      <c r="M1641" t="s">
        <v>11</v>
      </c>
    </row>
    <row r="1642" spans="1:13">
      <c r="A1642" s="93">
        <v>172307</v>
      </c>
      <c r="B1642" t="s">
        <v>2188</v>
      </c>
      <c r="C1642" t="s">
        <v>4919</v>
      </c>
      <c r="D1642" s="92">
        <v>0.4</v>
      </c>
      <c r="E1642" s="92">
        <v>0.26</v>
      </c>
      <c r="F1642" t="s">
        <v>446</v>
      </c>
      <c r="G1642" t="s">
        <v>446</v>
      </c>
      <c r="H1642" t="s">
        <v>4932</v>
      </c>
      <c r="I1642">
        <v>0</v>
      </c>
      <c r="J1642" t="s">
        <v>97</v>
      </c>
      <c r="K1642">
        <v>0</v>
      </c>
      <c r="L1642">
        <v>0</v>
      </c>
      <c r="M1642" t="s">
        <v>11</v>
      </c>
    </row>
    <row r="1643" spans="1:13">
      <c r="A1643" s="93">
        <v>172334</v>
      </c>
      <c r="B1643" t="s">
        <v>2189</v>
      </c>
      <c r="C1643" t="s">
        <v>4920</v>
      </c>
      <c r="D1643" s="92">
        <v>0.62</v>
      </c>
      <c r="E1643" s="92">
        <v>0.49</v>
      </c>
      <c r="F1643" t="s">
        <v>446</v>
      </c>
      <c r="G1643" t="s">
        <v>446</v>
      </c>
      <c r="H1643" t="s">
        <v>4930</v>
      </c>
      <c r="I1643">
        <v>0</v>
      </c>
      <c r="J1643" t="s">
        <v>97</v>
      </c>
      <c r="K1643">
        <v>0</v>
      </c>
      <c r="L1643">
        <v>0</v>
      </c>
      <c r="M1643" t="s">
        <v>11</v>
      </c>
    </row>
    <row r="1644" spans="1:13">
      <c r="A1644" s="93">
        <v>172440</v>
      </c>
      <c r="B1644" t="s">
        <v>2190</v>
      </c>
      <c r="C1644" t="s">
        <v>4918</v>
      </c>
      <c r="D1644" s="92">
        <v>0.23</v>
      </c>
      <c r="E1644" s="92">
        <v>0.1</v>
      </c>
      <c r="F1644" t="s">
        <v>446</v>
      </c>
      <c r="G1644" t="s">
        <v>446</v>
      </c>
      <c r="H1644" t="s">
        <v>4931</v>
      </c>
      <c r="I1644">
        <v>0</v>
      </c>
      <c r="J1644" t="s">
        <v>97</v>
      </c>
      <c r="K1644">
        <v>0</v>
      </c>
      <c r="L1644">
        <v>0</v>
      </c>
      <c r="M1644" t="s">
        <v>11</v>
      </c>
    </row>
    <row r="1645" spans="1:13">
      <c r="A1645" s="93">
        <v>172477</v>
      </c>
      <c r="B1645" t="s">
        <v>2191</v>
      </c>
      <c r="C1645" t="s">
        <v>4924</v>
      </c>
      <c r="D1645" s="92" t="s">
        <v>446</v>
      </c>
      <c r="E1645" s="92" t="s">
        <v>446</v>
      </c>
      <c r="F1645" t="s">
        <v>446</v>
      </c>
      <c r="G1645" t="s">
        <v>446</v>
      </c>
      <c r="H1645" t="s">
        <v>4932</v>
      </c>
      <c r="I1645">
        <v>0</v>
      </c>
      <c r="J1645" t="s">
        <v>97</v>
      </c>
      <c r="K1645">
        <v>0</v>
      </c>
      <c r="L1645">
        <v>0</v>
      </c>
      <c r="M1645" t="s">
        <v>11</v>
      </c>
    </row>
    <row r="1646" spans="1:13">
      <c r="A1646" s="93">
        <v>172608</v>
      </c>
      <c r="B1646" t="s">
        <v>2192</v>
      </c>
      <c r="C1646" t="s">
        <v>4924</v>
      </c>
      <c r="D1646" s="92" t="s">
        <v>446</v>
      </c>
      <c r="E1646" s="92" t="s">
        <v>446</v>
      </c>
      <c r="F1646" t="s">
        <v>446</v>
      </c>
      <c r="G1646" t="s">
        <v>446</v>
      </c>
      <c r="H1646" t="s">
        <v>4932</v>
      </c>
      <c r="I1646">
        <v>0</v>
      </c>
      <c r="J1646" t="s">
        <v>97</v>
      </c>
      <c r="K1646">
        <v>0</v>
      </c>
      <c r="L1646">
        <v>0</v>
      </c>
      <c r="M1646" t="s">
        <v>11</v>
      </c>
    </row>
    <row r="1647" spans="1:13">
      <c r="A1647" s="93">
        <v>172635</v>
      </c>
      <c r="B1647" t="s">
        <v>2193</v>
      </c>
      <c r="C1647" t="s">
        <v>4919</v>
      </c>
      <c r="D1647" s="92">
        <v>0.23</v>
      </c>
      <c r="E1647" s="92">
        <v>0.24</v>
      </c>
      <c r="F1647" t="s">
        <v>446</v>
      </c>
      <c r="G1647" t="s">
        <v>446</v>
      </c>
      <c r="H1647" t="s">
        <v>4932</v>
      </c>
      <c r="I1647">
        <v>0</v>
      </c>
      <c r="J1647" t="s">
        <v>97</v>
      </c>
      <c r="K1647">
        <v>0</v>
      </c>
      <c r="L1647">
        <v>0</v>
      </c>
      <c r="M1647" t="s">
        <v>11</v>
      </c>
    </row>
    <row r="1648" spans="1:13">
      <c r="A1648" s="93">
        <v>172671</v>
      </c>
      <c r="B1648" t="s">
        <v>2194</v>
      </c>
      <c r="C1648" t="s">
        <v>4919</v>
      </c>
      <c r="D1648" s="92">
        <v>0.43</v>
      </c>
      <c r="E1648" s="92">
        <v>0.3</v>
      </c>
      <c r="F1648" t="s">
        <v>446</v>
      </c>
      <c r="G1648" t="s">
        <v>446</v>
      </c>
      <c r="H1648" t="s">
        <v>4932</v>
      </c>
      <c r="I1648">
        <v>0</v>
      </c>
      <c r="J1648" t="s">
        <v>97</v>
      </c>
      <c r="K1648">
        <v>0</v>
      </c>
      <c r="L1648">
        <v>0</v>
      </c>
      <c r="M1648" t="s">
        <v>11</v>
      </c>
    </row>
    <row r="1649" spans="1:13">
      <c r="A1649" s="93">
        <v>172705</v>
      </c>
      <c r="B1649" t="s">
        <v>2195</v>
      </c>
      <c r="C1649" t="s">
        <v>4924</v>
      </c>
      <c r="D1649" s="92" t="s">
        <v>446</v>
      </c>
      <c r="E1649" s="92" t="s">
        <v>446</v>
      </c>
      <c r="F1649" t="s">
        <v>446</v>
      </c>
      <c r="G1649" t="s">
        <v>446</v>
      </c>
      <c r="H1649" t="s">
        <v>4932</v>
      </c>
      <c r="I1649">
        <v>0</v>
      </c>
      <c r="J1649" t="s">
        <v>97</v>
      </c>
      <c r="K1649">
        <v>0</v>
      </c>
      <c r="L1649">
        <v>0</v>
      </c>
      <c r="M1649" t="s">
        <v>11</v>
      </c>
    </row>
    <row r="1650" spans="1:13">
      <c r="A1650" s="93">
        <v>172866</v>
      </c>
      <c r="B1650" t="s">
        <v>2196</v>
      </c>
      <c r="C1650" t="s">
        <v>4923</v>
      </c>
      <c r="D1650" s="92">
        <v>0.4</v>
      </c>
      <c r="E1650" s="92" t="s">
        <v>446</v>
      </c>
      <c r="F1650" t="s">
        <v>446</v>
      </c>
      <c r="G1650" t="s">
        <v>446</v>
      </c>
      <c r="H1650" t="s">
        <v>4930</v>
      </c>
      <c r="I1650">
        <v>0</v>
      </c>
      <c r="J1650" t="s">
        <v>97</v>
      </c>
      <c r="K1650">
        <v>0</v>
      </c>
      <c r="L1650">
        <v>0</v>
      </c>
      <c r="M1650" t="s">
        <v>11</v>
      </c>
    </row>
    <row r="1651" spans="1:13">
      <c r="A1651" s="93">
        <v>172918</v>
      </c>
      <c r="B1651" t="s">
        <v>2197</v>
      </c>
      <c r="C1651" t="s">
        <v>4919</v>
      </c>
      <c r="D1651" s="92">
        <v>0.66</v>
      </c>
      <c r="E1651" s="92">
        <v>0.55</v>
      </c>
      <c r="F1651" t="s">
        <v>446</v>
      </c>
      <c r="G1651" t="s">
        <v>446</v>
      </c>
      <c r="H1651" t="s">
        <v>4932</v>
      </c>
      <c r="I1651">
        <v>0</v>
      </c>
      <c r="J1651" t="s">
        <v>97</v>
      </c>
      <c r="K1651">
        <v>0</v>
      </c>
      <c r="L1651">
        <v>0</v>
      </c>
      <c r="M1651" t="s">
        <v>11</v>
      </c>
    </row>
    <row r="1652" spans="1:13">
      <c r="A1652" s="93">
        <v>172954</v>
      </c>
      <c r="B1652" t="s">
        <v>2198</v>
      </c>
      <c r="C1652" t="s">
        <v>4919</v>
      </c>
      <c r="D1652" s="92">
        <v>0.52</v>
      </c>
      <c r="E1652" s="92">
        <v>0.4</v>
      </c>
      <c r="F1652" t="s">
        <v>446</v>
      </c>
      <c r="G1652" t="s">
        <v>446</v>
      </c>
      <c r="H1652" t="s">
        <v>4932</v>
      </c>
      <c r="I1652">
        <v>0</v>
      </c>
      <c r="J1652" t="s">
        <v>97</v>
      </c>
      <c r="K1652">
        <v>0</v>
      </c>
      <c r="L1652">
        <v>0</v>
      </c>
      <c r="M1652" t="s">
        <v>11</v>
      </c>
    </row>
    <row r="1653" spans="1:13">
      <c r="A1653" s="93">
        <v>172963</v>
      </c>
      <c r="B1653" t="s">
        <v>2199</v>
      </c>
      <c r="C1653" t="s">
        <v>4919</v>
      </c>
      <c r="D1653" s="92">
        <v>0.4</v>
      </c>
      <c r="E1653" s="92">
        <v>0.33</v>
      </c>
      <c r="F1653" t="s">
        <v>446</v>
      </c>
      <c r="G1653" t="s">
        <v>446</v>
      </c>
      <c r="H1653" t="s">
        <v>4932</v>
      </c>
      <c r="I1653">
        <v>0</v>
      </c>
      <c r="J1653" t="s">
        <v>97</v>
      </c>
      <c r="K1653">
        <v>0</v>
      </c>
      <c r="L1653">
        <v>0</v>
      </c>
      <c r="M1653" t="s">
        <v>11</v>
      </c>
    </row>
    <row r="1654" spans="1:13">
      <c r="A1654" s="93">
        <v>173045</v>
      </c>
      <c r="B1654" t="s">
        <v>2200</v>
      </c>
      <c r="C1654" t="s">
        <v>4920</v>
      </c>
      <c r="D1654" s="92">
        <v>0.58</v>
      </c>
      <c r="E1654" s="92">
        <v>0.47</v>
      </c>
      <c r="F1654">
        <v>930</v>
      </c>
      <c r="G1654">
        <v>1055</v>
      </c>
      <c r="H1654" t="s">
        <v>4930</v>
      </c>
      <c r="I1654">
        <v>0</v>
      </c>
      <c r="J1654" t="s">
        <v>97</v>
      </c>
      <c r="K1654">
        <v>0</v>
      </c>
      <c r="L1654">
        <v>0</v>
      </c>
      <c r="M1654" t="s">
        <v>11</v>
      </c>
    </row>
    <row r="1655" spans="1:13">
      <c r="A1655" s="93">
        <v>173063</v>
      </c>
      <c r="B1655" t="s">
        <v>2201</v>
      </c>
      <c r="C1655" t="s">
        <v>4919</v>
      </c>
      <c r="D1655" s="92">
        <v>0.48</v>
      </c>
      <c r="E1655" s="92">
        <v>0.33</v>
      </c>
      <c r="F1655" t="s">
        <v>446</v>
      </c>
      <c r="G1655" t="s">
        <v>446</v>
      </c>
      <c r="H1655" t="s">
        <v>4932</v>
      </c>
      <c r="I1655">
        <v>0</v>
      </c>
      <c r="J1655" t="s">
        <v>97</v>
      </c>
      <c r="K1655">
        <v>0</v>
      </c>
      <c r="L1655">
        <v>0</v>
      </c>
      <c r="M1655" t="s">
        <v>11</v>
      </c>
    </row>
    <row r="1656" spans="1:13">
      <c r="A1656" s="93">
        <v>173115</v>
      </c>
      <c r="B1656" t="s">
        <v>2202</v>
      </c>
      <c r="C1656" t="s">
        <v>4919</v>
      </c>
      <c r="D1656" s="92">
        <v>0.45</v>
      </c>
      <c r="E1656" s="92">
        <v>0.5</v>
      </c>
      <c r="F1656" t="s">
        <v>446</v>
      </c>
      <c r="G1656" t="s">
        <v>446</v>
      </c>
      <c r="H1656" t="s">
        <v>4932</v>
      </c>
      <c r="I1656">
        <v>0</v>
      </c>
      <c r="J1656" t="s">
        <v>97</v>
      </c>
      <c r="K1656">
        <v>0</v>
      </c>
      <c r="L1656">
        <v>0</v>
      </c>
      <c r="M1656" t="s">
        <v>11</v>
      </c>
    </row>
    <row r="1657" spans="1:13">
      <c r="A1657" s="93">
        <v>173124</v>
      </c>
      <c r="B1657" t="s">
        <v>2203</v>
      </c>
      <c r="C1657" t="s">
        <v>4916</v>
      </c>
      <c r="D1657" s="92">
        <v>0.46</v>
      </c>
      <c r="E1657" s="92">
        <v>0.28</v>
      </c>
      <c r="F1657">
        <v>1010</v>
      </c>
      <c r="G1657">
        <v>1110</v>
      </c>
      <c r="H1657" t="s">
        <v>4932</v>
      </c>
      <c r="I1657">
        <v>0</v>
      </c>
      <c r="J1657" t="s">
        <v>97</v>
      </c>
      <c r="K1657">
        <v>0</v>
      </c>
      <c r="L1657">
        <v>0</v>
      </c>
      <c r="M1657" t="s">
        <v>11</v>
      </c>
    </row>
    <row r="1658" spans="1:13">
      <c r="A1658" s="93">
        <v>173142</v>
      </c>
      <c r="B1658" t="s">
        <v>2204</v>
      </c>
      <c r="C1658" t="s">
        <v>4920</v>
      </c>
      <c r="D1658" s="92">
        <v>0.59</v>
      </c>
      <c r="E1658" s="92">
        <v>0.35</v>
      </c>
      <c r="F1658" t="s">
        <v>446</v>
      </c>
      <c r="G1658" t="s">
        <v>446</v>
      </c>
      <c r="H1658" t="s">
        <v>4931</v>
      </c>
      <c r="I1658">
        <v>0</v>
      </c>
      <c r="J1658" t="s">
        <v>97</v>
      </c>
      <c r="K1658">
        <v>0</v>
      </c>
      <c r="L1658">
        <v>0</v>
      </c>
      <c r="M1658" t="s">
        <v>11</v>
      </c>
    </row>
    <row r="1659" spans="1:13">
      <c r="A1659" s="93">
        <v>173160</v>
      </c>
      <c r="B1659" t="s">
        <v>1791</v>
      </c>
      <c r="C1659" t="s">
        <v>4916</v>
      </c>
      <c r="D1659" s="92">
        <v>0.74</v>
      </c>
      <c r="E1659" s="92">
        <v>0.53</v>
      </c>
      <c r="F1659">
        <v>1040</v>
      </c>
      <c r="G1659">
        <v>1175</v>
      </c>
      <c r="H1659" t="s">
        <v>4930</v>
      </c>
      <c r="I1659">
        <v>0</v>
      </c>
      <c r="J1659" t="s">
        <v>97</v>
      </c>
      <c r="K1659">
        <v>0</v>
      </c>
      <c r="L1659">
        <v>0</v>
      </c>
      <c r="M1659" t="s">
        <v>11</v>
      </c>
    </row>
    <row r="1660" spans="1:13">
      <c r="A1660" s="93">
        <v>173203</v>
      </c>
      <c r="B1660" t="s">
        <v>2205</v>
      </c>
      <c r="C1660" t="s">
        <v>4919</v>
      </c>
      <c r="D1660" s="92">
        <v>0.52</v>
      </c>
      <c r="E1660" s="92">
        <v>0.32</v>
      </c>
      <c r="F1660" t="s">
        <v>446</v>
      </c>
      <c r="G1660" t="s">
        <v>446</v>
      </c>
      <c r="H1660" t="s">
        <v>4932</v>
      </c>
      <c r="I1660">
        <v>0</v>
      </c>
      <c r="J1660" t="s">
        <v>97</v>
      </c>
      <c r="K1660">
        <v>0</v>
      </c>
      <c r="L1660">
        <v>0</v>
      </c>
      <c r="M1660" t="s">
        <v>11</v>
      </c>
    </row>
    <row r="1661" spans="1:13">
      <c r="A1661" s="93">
        <v>173300</v>
      </c>
      <c r="B1661" t="s">
        <v>2206</v>
      </c>
      <c r="C1661" t="s">
        <v>4920</v>
      </c>
      <c r="D1661" s="92">
        <v>0.71</v>
      </c>
      <c r="E1661" s="92">
        <v>0.51</v>
      </c>
      <c r="F1661">
        <v>1040</v>
      </c>
      <c r="G1661">
        <v>1140</v>
      </c>
      <c r="H1661" t="s">
        <v>4930</v>
      </c>
      <c r="I1661">
        <v>0</v>
      </c>
      <c r="J1661" t="s">
        <v>97</v>
      </c>
      <c r="K1661">
        <v>0</v>
      </c>
      <c r="L1661">
        <v>0</v>
      </c>
      <c r="M1661" t="s">
        <v>11</v>
      </c>
    </row>
    <row r="1662" spans="1:13">
      <c r="A1662" s="93">
        <v>173328</v>
      </c>
      <c r="B1662" t="s">
        <v>2207</v>
      </c>
      <c r="C1662" t="s">
        <v>4920</v>
      </c>
      <c r="D1662" s="92">
        <v>0.5</v>
      </c>
      <c r="E1662" s="92">
        <v>0.33</v>
      </c>
      <c r="F1662" t="s">
        <v>446</v>
      </c>
      <c r="G1662" t="s">
        <v>446</v>
      </c>
      <c r="H1662" t="s">
        <v>4931</v>
      </c>
      <c r="I1662">
        <v>0</v>
      </c>
      <c r="J1662" t="s">
        <v>97</v>
      </c>
      <c r="K1662">
        <v>0</v>
      </c>
      <c r="L1662">
        <v>0</v>
      </c>
      <c r="M1662" t="s">
        <v>11</v>
      </c>
    </row>
    <row r="1663" spans="1:13">
      <c r="A1663" s="93">
        <v>173416</v>
      </c>
      <c r="B1663" t="s">
        <v>2208</v>
      </c>
      <c r="C1663" t="s">
        <v>4919</v>
      </c>
      <c r="D1663" s="92">
        <v>0.58</v>
      </c>
      <c r="E1663" s="92">
        <v>0.42</v>
      </c>
      <c r="F1663" t="s">
        <v>446</v>
      </c>
      <c r="G1663" t="s">
        <v>446</v>
      </c>
      <c r="H1663" t="s">
        <v>4932</v>
      </c>
      <c r="I1663">
        <v>0</v>
      </c>
      <c r="J1663" t="s">
        <v>97</v>
      </c>
      <c r="K1663">
        <v>0</v>
      </c>
      <c r="L1663">
        <v>0</v>
      </c>
      <c r="M1663" t="s">
        <v>11</v>
      </c>
    </row>
    <row r="1664" spans="1:13">
      <c r="A1664" s="93">
        <v>173452</v>
      </c>
      <c r="B1664" t="s">
        <v>2209</v>
      </c>
      <c r="C1664" t="s">
        <v>4920</v>
      </c>
      <c r="D1664" s="92">
        <v>0.73</v>
      </c>
      <c r="E1664" s="92">
        <v>0.35</v>
      </c>
      <c r="F1664">
        <v>1080</v>
      </c>
      <c r="G1664">
        <v>1180</v>
      </c>
      <c r="H1664" t="s">
        <v>4930</v>
      </c>
      <c r="I1664">
        <v>0</v>
      </c>
      <c r="J1664" t="s">
        <v>97</v>
      </c>
      <c r="K1664">
        <v>0</v>
      </c>
      <c r="L1664">
        <v>0</v>
      </c>
      <c r="M1664" t="s">
        <v>11</v>
      </c>
    </row>
    <row r="1665" spans="1:13">
      <c r="A1665" s="93">
        <v>173461</v>
      </c>
      <c r="B1665" t="s">
        <v>2210</v>
      </c>
      <c r="C1665" t="s">
        <v>4919</v>
      </c>
      <c r="D1665" s="92">
        <v>0.44</v>
      </c>
      <c r="E1665" s="92">
        <v>0.36</v>
      </c>
      <c r="F1665" t="s">
        <v>446</v>
      </c>
      <c r="G1665" t="s">
        <v>446</v>
      </c>
      <c r="H1665" t="s">
        <v>4932</v>
      </c>
      <c r="I1665">
        <v>0</v>
      </c>
      <c r="J1665" t="s">
        <v>97</v>
      </c>
      <c r="K1665">
        <v>0</v>
      </c>
      <c r="L1665">
        <v>0</v>
      </c>
      <c r="M1665" t="s">
        <v>11</v>
      </c>
    </row>
    <row r="1666" spans="1:13">
      <c r="A1666" s="93">
        <v>173559</v>
      </c>
      <c r="B1666" t="s">
        <v>2211</v>
      </c>
      <c r="C1666" t="s">
        <v>4919</v>
      </c>
      <c r="D1666" s="92">
        <v>0.67</v>
      </c>
      <c r="E1666" s="92">
        <v>0.55</v>
      </c>
      <c r="F1666" t="s">
        <v>446</v>
      </c>
      <c r="G1666" t="s">
        <v>446</v>
      </c>
      <c r="H1666" t="s">
        <v>4932</v>
      </c>
      <c r="I1666">
        <v>0</v>
      </c>
      <c r="J1666" t="s">
        <v>97</v>
      </c>
      <c r="K1666">
        <v>0</v>
      </c>
      <c r="L1666">
        <v>0</v>
      </c>
      <c r="M1666" t="s">
        <v>11</v>
      </c>
    </row>
    <row r="1667" spans="1:13">
      <c r="A1667" s="93">
        <v>173647</v>
      </c>
      <c r="B1667" t="s">
        <v>2212</v>
      </c>
      <c r="C1667" t="s">
        <v>4917</v>
      </c>
      <c r="D1667" s="92">
        <v>0.78</v>
      </c>
      <c r="E1667" s="92">
        <v>0.62</v>
      </c>
      <c r="F1667">
        <v>1240</v>
      </c>
      <c r="G1667">
        <v>1320</v>
      </c>
      <c r="H1667" t="s">
        <v>4930</v>
      </c>
      <c r="I1667">
        <v>0</v>
      </c>
      <c r="J1667" t="s">
        <v>97</v>
      </c>
      <c r="K1667">
        <v>0</v>
      </c>
      <c r="L1667">
        <v>0</v>
      </c>
      <c r="M1667" t="s">
        <v>11</v>
      </c>
    </row>
    <row r="1668" spans="1:13">
      <c r="A1668" s="93">
        <v>173665</v>
      </c>
      <c r="B1668" t="s">
        <v>2213</v>
      </c>
      <c r="C1668" t="s">
        <v>4916</v>
      </c>
      <c r="D1668" s="92">
        <v>0.67</v>
      </c>
      <c r="E1668" s="92">
        <v>0.55</v>
      </c>
      <c r="F1668">
        <v>1010</v>
      </c>
      <c r="G1668">
        <v>1125</v>
      </c>
      <c r="H1668" t="s">
        <v>4930</v>
      </c>
      <c r="I1668">
        <v>0</v>
      </c>
      <c r="J1668" t="s">
        <v>97</v>
      </c>
      <c r="K1668">
        <v>0</v>
      </c>
      <c r="L1668">
        <v>0</v>
      </c>
      <c r="M1668" t="s">
        <v>11</v>
      </c>
    </row>
    <row r="1669" spans="1:13">
      <c r="A1669" s="93">
        <v>173683</v>
      </c>
      <c r="B1669" t="s">
        <v>2214</v>
      </c>
      <c r="C1669" t="s">
        <v>4924</v>
      </c>
      <c r="D1669" s="92" t="s">
        <v>446</v>
      </c>
      <c r="E1669" s="92" t="s">
        <v>446</v>
      </c>
      <c r="F1669" t="s">
        <v>446</v>
      </c>
      <c r="G1669" t="s">
        <v>446</v>
      </c>
      <c r="H1669" t="s">
        <v>4932</v>
      </c>
      <c r="I1669">
        <v>0</v>
      </c>
      <c r="J1669" t="s">
        <v>97</v>
      </c>
      <c r="K1669">
        <v>0</v>
      </c>
      <c r="L1669">
        <v>0</v>
      </c>
      <c r="M1669" t="s">
        <v>11</v>
      </c>
    </row>
    <row r="1670" spans="1:13">
      <c r="A1670" s="93">
        <v>173708</v>
      </c>
      <c r="B1670" t="s">
        <v>2215</v>
      </c>
      <c r="C1670" t="s">
        <v>4919</v>
      </c>
      <c r="D1670" s="92">
        <v>0.37</v>
      </c>
      <c r="E1670" s="92">
        <v>0.28</v>
      </c>
      <c r="F1670" t="s">
        <v>446</v>
      </c>
      <c r="G1670" t="s">
        <v>446</v>
      </c>
      <c r="H1670" t="s">
        <v>4932</v>
      </c>
      <c r="I1670">
        <v>0</v>
      </c>
      <c r="J1670" t="s">
        <v>97</v>
      </c>
      <c r="K1670">
        <v>0</v>
      </c>
      <c r="L1670">
        <v>0</v>
      </c>
      <c r="M1670" t="s">
        <v>11</v>
      </c>
    </row>
    <row r="1671" spans="1:13">
      <c r="A1671" s="93">
        <v>173735</v>
      </c>
      <c r="B1671" t="s">
        <v>2216</v>
      </c>
      <c r="C1671" t="s">
        <v>4919</v>
      </c>
      <c r="D1671" s="92">
        <v>0.52</v>
      </c>
      <c r="E1671" s="92">
        <v>0.43</v>
      </c>
      <c r="F1671" t="s">
        <v>446</v>
      </c>
      <c r="G1671" t="s">
        <v>446</v>
      </c>
      <c r="H1671" t="s">
        <v>4932</v>
      </c>
      <c r="I1671">
        <v>0</v>
      </c>
      <c r="J1671" t="s">
        <v>97</v>
      </c>
      <c r="K1671">
        <v>0</v>
      </c>
      <c r="L1671">
        <v>0</v>
      </c>
      <c r="M1671" t="s">
        <v>11</v>
      </c>
    </row>
    <row r="1672" spans="1:13">
      <c r="A1672" s="93">
        <v>173799</v>
      </c>
      <c r="B1672" t="s">
        <v>2217</v>
      </c>
      <c r="C1672" t="s">
        <v>4919</v>
      </c>
      <c r="D1672" s="92">
        <v>0.41</v>
      </c>
      <c r="E1672" s="92">
        <v>0.33</v>
      </c>
      <c r="F1672" t="s">
        <v>446</v>
      </c>
      <c r="G1672" t="s">
        <v>446</v>
      </c>
      <c r="H1672" t="s">
        <v>4932</v>
      </c>
      <c r="I1672">
        <v>0</v>
      </c>
      <c r="J1672" t="s">
        <v>97</v>
      </c>
      <c r="K1672">
        <v>0</v>
      </c>
      <c r="L1672">
        <v>0</v>
      </c>
      <c r="M1672" t="s">
        <v>11</v>
      </c>
    </row>
    <row r="1673" spans="1:13">
      <c r="A1673" s="93">
        <v>173805</v>
      </c>
      <c r="B1673" t="s">
        <v>2218</v>
      </c>
      <c r="C1673" t="s">
        <v>4919</v>
      </c>
      <c r="D1673" s="92">
        <v>0.48</v>
      </c>
      <c r="E1673" s="92">
        <v>0.39</v>
      </c>
      <c r="F1673" t="s">
        <v>446</v>
      </c>
      <c r="G1673" t="s">
        <v>446</v>
      </c>
      <c r="H1673" t="s">
        <v>4932</v>
      </c>
      <c r="I1673">
        <v>0</v>
      </c>
      <c r="J1673" t="s">
        <v>97</v>
      </c>
      <c r="K1673">
        <v>0</v>
      </c>
      <c r="L1673">
        <v>0</v>
      </c>
      <c r="M1673" t="s">
        <v>11</v>
      </c>
    </row>
    <row r="1674" spans="1:13">
      <c r="A1674" s="93">
        <v>173896</v>
      </c>
      <c r="B1674" t="s">
        <v>2219</v>
      </c>
      <c r="C1674" t="s">
        <v>4924</v>
      </c>
      <c r="D1674" s="92" t="s">
        <v>446</v>
      </c>
      <c r="E1674" s="92" t="s">
        <v>446</v>
      </c>
      <c r="F1674" t="s">
        <v>446</v>
      </c>
      <c r="G1674" t="s">
        <v>446</v>
      </c>
      <c r="H1674" t="s">
        <v>4932</v>
      </c>
      <c r="I1674">
        <v>0</v>
      </c>
      <c r="J1674" t="s">
        <v>97</v>
      </c>
      <c r="K1674">
        <v>0</v>
      </c>
      <c r="L1674">
        <v>0</v>
      </c>
      <c r="M1674" t="s">
        <v>11</v>
      </c>
    </row>
    <row r="1675" spans="1:13">
      <c r="A1675" s="93">
        <v>173911</v>
      </c>
      <c r="B1675" t="s">
        <v>2220</v>
      </c>
      <c r="C1675" t="s">
        <v>4919</v>
      </c>
      <c r="D1675" s="92">
        <v>0.38</v>
      </c>
      <c r="E1675" s="92">
        <v>0.28</v>
      </c>
      <c r="F1675" t="s">
        <v>446</v>
      </c>
      <c r="G1675" t="s">
        <v>446</v>
      </c>
      <c r="H1675" t="s">
        <v>4932</v>
      </c>
      <c r="I1675">
        <v>0</v>
      </c>
      <c r="J1675" t="s">
        <v>97</v>
      </c>
      <c r="K1675">
        <v>0</v>
      </c>
      <c r="L1675">
        <v>0</v>
      </c>
      <c r="M1675" t="s">
        <v>11</v>
      </c>
    </row>
    <row r="1676" spans="1:13">
      <c r="A1676" s="93">
        <v>173920</v>
      </c>
      <c r="B1676" t="s">
        <v>2221</v>
      </c>
      <c r="C1676" t="s">
        <v>4920</v>
      </c>
      <c r="D1676" s="92">
        <v>0.51</v>
      </c>
      <c r="E1676" s="92">
        <v>0.35</v>
      </c>
      <c r="F1676">
        <v>1010</v>
      </c>
      <c r="G1676">
        <v>1110</v>
      </c>
      <c r="H1676" t="s">
        <v>4932</v>
      </c>
      <c r="I1676">
        <v>0</v>
      </c>
      <c r="J1676" t="s">
        <v>97</v>
      </c>
      <c r="K1676">
        <v>0</v>
      </c>
      <c r="L1676">
        <v>0</v>
      </c>
      <c r="M1676" t="s">
        <v>11</v>
      </c>
    </row>
    <row r="1677" spans="1:13">
      <c r="A1677" s="93">
        <v>173957</v>
      </c>
      <c r="B1677" t="s">
        <v>2222</v>
      </c>
      <c r="C1677" t="s">
        <v>4924</v>
      </c>
      <c r="D1677" s="92" t="s">
        <v>446</v>
      </c>
      <c r="E1677" s="92" t="s">
        <v>446</v>
      </c>
      <c r="F1677" t="s">
        <v>446</v>
      </c>
      <c r="G1677" t="s">
        <v>446</v>
      </c>
      <c r="H1677" t="s">
        <v>4932</v>
      </c>
      <c r="I1677">
        <v>0</v>
      </c>
      <c r="J1677" t="s">
        <v>97</v>
      </c>
      <c r="K1677">
        <v>0</v>
      </c>
      <c r="L1677">
        <v>0</v>
      </c>
      <c r="M1677" t="s">
        <v>11</v>
      </c>
    </row>
    <row r="1678" spans="1:13">
      <c r="A1678" s="93">
        <v>173993</v>
      </c>
      <c r="B1678" t="s">
        <v>2223</v>
      </c>
      <c r="C1678" t="s">
        <v>4919</v>
      </c>
      <c r="D1678" s="92">
        <v>0.48</v>
      </c>
      <c r="E1678" s="92">
        <v>0.31</v>
      </c>
      <c r="F1678" t="s">
        <v>446</v>
      </c>
      <c r="G1678" t="s">
        <v>446</v>
      </c>
      <c r="H1678" t="s">
        <v>4932</v>
      </c>
      <c r="I1678">
        <v>0</v>
      </c>
      <c r="J1678" t="s">
        <v>97</v>
      </c>
      <c r="K1678">
        <v>0</v>
      </c>
      <c r="L1678">
        <v>0</v>
      </c>
      <c r="M1678" t="s">
        <v>11</v>
      </c>
    </row>
    <row r="1679" spans="1:13">
      <c r="A1679" s="93">
        <v>174020</v>
      </c>
      <c r="B1679" t="s">
        <v>2224</v>
      </c>
      <c r="C1679" t="s">
        <v>4920</v>
      </c>
      <c r="D1679" s="92">
        <v>0.39</v>
      </c>
      <c r="E1679" s="92">
        <v>0.48</v>
      </c>
      <c r="F1679" t="s">
        <v>446</v>
      </c>
      <c r="G1679" t="s">
        <v>446</v>
      </c>
      <c r="H1679" t="s">
        <v>4932</v>
      </c>
      <c r="I1679">
        <v>0</v>
      </c>
      <c r="J1679" t="s">
        <v>97</v>
      </c>
      <c r="K1679">
        <v>0</v>
      </c>
      <c r="L1679">
        <v>0</v>
      </c>
      <c r="M1679" t="s">
        <v>11</v>
      </c>
    </row>
    <row r="1680" spans="1:13">
      <c r="A1680" s="93">
        <v>174066</v>
      </c>
      <c r="B1680" t="s">
        <v>2225</v>
      </c>
      <c r="C1680" t="s">
        <v>4917</v>
      </c>
      <c r="D1680" s="92">
        <v>0.84</v>
      </c>
      <c r="E1680" s="92">
        <v>0.74</v>
      </c>
      <c r="F1680">
        <v>1280</v>
      </c>
      <c r="G1680">
        <v>1355</v>
      </c>
      <c r="H1680" t="s">
        <v>4930</v>
      </c>
      <c r="I1680">
        <v>0</v>
      </c>
      <c r="J1680" t="s">
        <v>97</v>
      </c>
      <c r="K1680">
        <v>0</v>
      </c>
      <c r="L1680">
        <v>0</v>
      </c>
      <c r="M1680" t="s">
        <v>11</v>
      </c>
    </row>
    <row r="1681" spans="1:13">
      <c r="A1681" s="93">
        <v>174075</v>
      </c>
      <c r="B1681" t="s">
        <v>2226</v>
      </c>
      <c r="C1681" t="s">
        <v>4920</v>
      </c>
      <c r="D1681" s="92">
        <v>0.52</v>
      </c>
      <c r="E1681" s="92">
        <v>0.18</v>
      </c>
      <c r="F1681" t="s">
        <v>446</v>
      </c>
      <c r="G1681" t="s">
        <v>446</v>
      </c>
      <c r="H1681" t="s">
        <v>4932</v>
      </c>
      <c r="I1681">
        <v>0</v>
      </c>
      <c r="J1681" t="s">
        <v>97</v>
      </c>
      <c r="K1681">
        <v>0</v>
      </c>
      <c r="L1681">
        <v>0</v>
      </c>
      <c r="M1681" t="s">
        <v>11</v>
      </c>
    </row>
    <row r="1682" spans="1:13">
      <c r="A1682" s="93">
        <v>174127</v>
      </c>
      <c r="B1682" t="s">
        <v>2227</v>
      </c>
      <c r="C1682" t="s">
        <v>4926</v>
      </c>
      <c r="D1682" s="92">
        <v>0.64</v>
      </c>
      <c r="E1682" s="92">
        <v>0.66</v>
      </c>
      <c r="F1682" t="s">
        <v>446</v>
      </c>
      <c r="G1682" t="s">
        <v>446</v>
      </c>
      <c r="H1682" t="s">
        <v>4930</v>
      </c>
      <c r="I1682">
        <v>0</v>
      </c>
      <c r="J1682" t="s">
        <v>97</v>
      </c>
      <c r="K1682">
        <v>0</v>
      </c>
      <c r="L1682">
        <v>0</v>
      </c>
      <c r="M1682" t="s">
        <v>11</v>
      </c>
    </row>
    <row r="1683" spans="1:13">
      <c r="A1683" s="93">
        <v>174136</v>
      </c>
      <c r="B1683" t="s">
        <v>2228</v>
      </c>
      <c r="C1683" t="s">
        <v>4919</v>
      </c>
      <c r="D1683" s="92">
        <v>0.31</v>
      </c>
      <c r="E1683" s="92">
        <v>0.28</v>
      </c>
      <c r="F1683" t="s">
        <v>446</v>
      </c>
      <c r="G1683" t="s">
        <v>446</v>
      </c>
      <c r="H1683" t="s">
        <v>4932</v>
      </c>
      <c r="I1683">
        <v>0</v>
      </c>
      <c r="J1683" t="s">
        <v>97</v>
      </c>
      <c r="K1683">
        <v>0</v>
      </c>
      <c r="L1683">
        <v>0</v>
      </c>
      <c r="M1683" t="s">
        <v>11</v>
      </c>
    </row>
    <row r="1684" spans="1:13">
      <c r="A1684" s="93">
        <v>174154</v>
      </c>
      <c r="B1684" t="s">
        <v>2229</v>
      </c>
      <c r="C1684" t="s">
        <v>4924</v>
      </c>
      <c r="D1684" s="92">
        <v>0.5600000000000001</v>
      </c>
      <c r="E1684" s="92">
        <v>0.67</v>
      </c>
      <c r="F1684" t="s">
        <v>446</v>
      </c>
      <c r="G1684" t="s">
        <v>446</v>
      </c>
      <c r="H1684" t="s">
        <v>4930</v>
      </c>
      <c r="I1684">
        <v>0</v>
      </c>
      <c r="J1684" t="s">
        <v>97</v>
      </c>
      <c r="K1684">
        <v>0</v>
      </c>
      <c r="L1684">
        <v>0</v>
      </c>
      <c r="M1684" t="s">
        <v>11</v>
      </c>
    </row>
    <row r="1685" spans="1:13">
      <c r="A1685" s="93">
        <v>174233</v>
      </c>
      <c r="B1685" t="s">
        <v>2230</v>
      </c>
      <c r="C1685" t="s">
        <v>4920</v>
      </c>
      <c r="D1685" s="92">
        <v>0.65</v>
      </c>
      <c r="E1685" s="92">
        <v>0.48</v>
      </c>
      <c r="F1685">
        <v>1110</v>
      </c>
      <c r="G1685">
        <v>1210</v>
      </c>
      <c r="H1685" t="s">
        <v>4932</v>
      </c>
      <c r="I1685">
        <v>0</v>
      </c>
      <c r="J1685" t="s">
        <v>97</v>
      </c>
      <c r="K1685">
        <v>0</v>
      </c>
      <c r="L1685">
        <v>0</v>
      </c>
      <c r="M1685" t="s">
        <v>11</v>
      </c>
    </row>
    <row r="1686" spans="1:13">
      <c r="A1686" s="93">
        <v>174251</v>
      </c>
      <c r="B1686" t="s">
        <v>2231</v>
      </c>
      <c r="C1686" t="s">
        <v>4916</v>
      </c>
      <c r="D1686" s="92">
        <v>0.59</v>
      </c>
      <c r="E1686" s="92">
        <v>0.5</v>
      </c>
      <c r="F1686" t="s">
        <v>446</v>
      </c>
      <c r="G1686" t="s">
        <v>446</v>
      </c>
      <c r="H1686" t="s">
        <v>4931</v>
      </c>
      <c r="I1686">
        <v>0</v>
      </c>
      <c r="J1686" t="s">
        <v>97</v>
      </c>
      <c r="K1686">
        <v>0</v>
      </c>
      <c r="L1686">
        <v>0</v>
      </c>
      <c r="M1686" t="s">
        <v>11</v>
      </c>
    </row>
    <row r="1687" spans="1:13">
      <c r="A1687" s="93">
        <v>174358</v>
      </c>
      <c r="B1687" t="s">
        <v>2232</v>
      </c>
      <c r="C1687" t="s">
        <v>4920</v>
      </c>
      <c r="D1687" s="92">
        <v>0.55</v>
      </c>
      <c r="E1687" s="92">
        <v>0.38</v>
      </c>
      <c r="F1687">
        <v>1010</v>
      </c>
      <c r="G1687">
        <v>1110</v>
      </c>
      <c r="H1687" t="s">
        <v>4932</v>
      </c>
      <c r="I1687">
        <v>0</v>
      </c>
      <c r="J1687" t="s">
        <v>97</v>
      </c>
      <c r="K1687">
        <v>0</v>
      </c>
      <c r="L1687">
        <v>0</v>
      </c>
      <c r="M1687" t="s">
        <v>11</v>
      </c>
    </row>
    <row r="1688" spans="1:13">
      <c r="A1688" s="93">
        <v>174376</v>
      </c>
      <c r="B1688" t="s">
        <v>2233</v>
      </c>
      <c r="C1688" t="s">
        <v>4919</v>
      </c>
      <c r="D1688" s="92">
        <v>0.32</v>
      </c>
      <c r="E1688" s="92">
        <v>0.25</v>
      </c>
      <c r="F1688" t="s">
        <v>446</v>
      </c>
      <c r="G1688" t="s">
        <v>446</v>
      </c>
      <c r="H1688" t="s">
        <v>4932</v>
      </c>
      <c r="I1688">
        <v>0</v>
      </c>
      <c r="J1688" t="s">
        <v>97</v>
      </c>
      <c r="K1688">
        <v>0</v>
      </c>
      <c r="L1688">
        <v>0</v>
      </c>
      <c r="M1688" t="s">
        <v>11</v>
      </c>
    </row>
    <row r="1689" spans="1:13">
      <c r="A1689" s="93">
        <v>174428</v>
      </c>
      <c r="B1689" t="s">
        <v>2234</v>
      </c>
      <c r="C1689" t="s">
        <v>4919</v>
      </c>
      <c r="D1689" s="92">
        <v>0.38</v>
      </c>
      <c r="E1689" s="92">
        <v>0.34</v>
      </c>
      <c r="F1689" t="s">
        <v>446</v>
      </c>
      <c r="G1689" t="s">
        <v>446</v>
      </c>
      <c r="H1689" t="s">
        <v>4932</v>
      </c>
      <c r="I1689">
        <v>0</v>
      </c>
      <c r="J1689" t="s">
        <v>97</v>
      </c>
      <c r="K1689">
        <v>0</v>
      </c>
      <c r="L1689">
        <v>0</v>
      </c>
      <c r="M1689" t="s">
        <v>11</v>
      </c>
    </row>
    <row r="1690" spans="1:13">
      <c r="A1690" s="93">
        <v>174473</v>
      </c>
      <c r="B1690" t="s">
        <v>2235</v>
      </c>
      <c r="C1690" t="s">
        <v>4919</v>
      </c>
      <c r="D1690" s="92">
        <v>0.52</v>
      </c>
      <c r="E1690" s="92">
        <v>0.38</v>
      </c>
      <c r="F1690" t="s">
        <v>446</v>
      </c>
      <c r="G1690" t="s">
        <v>446</v>
      </c>
      <c r="H1690" t="s">
        <v>4932</v>
      </c>
      <c r="I1690">
        <v>0</v>
      </c>
      <c r="J1690" t="s">
        <v>97</v>
      </c>
      <c r="K1690">
        <v>0</v>
      </c>
      <c r="L1690">
        <v>0</v>
      </c>
      <c r="M1690" t="s">
        <v>11</v>
      </c>
    </row>
    <row r="1691" spans="1:13">
      <c r="A1691" s="93">
        <v>174491</v>
      </c>
      <c r="B1691" t="s">
        <v>2236</v>
      </c>
      <c r="C1691" t="s">
        <v>4920</v>
      </c>
      <c r="D1691" s="92">
        <v>0.67</v>
      </c>
      <c r="E1691" s="92">
        <v>0.52</v>
      </c>
      <c r="F1691" t="s">
        <v>446</v>
      </c>
      <c r="G1691" t="s">
        <v>446</v>
      </c>
      <c r="H1691" t="s">
        <v>4930</v>
      </c>
      <c r="I1691">
        <v>0</v>
      </c>
      <c r="J1691" t="s">
        <v>97</v>
      </c>
      <c r="K1691">
        <v>0</v>
      </c>
      <c r="L1691">
        <v>0</v>
      </c>
      <c r="M1691" t="s">
        <v>11</v>
      </c>
    </row>
    <row r="1692" spans="1:13">
      <c r="A1692" s="93">
        <v>174507</v>
      </c>
      <c r="B1692" t="s">
        <v>2237</v>
      </c>
      <c r="C1692" t="s">
        <v>4923</v>
      </c>
      <c r="D1692" s="92">
        <v>0.5</v>
      </c>
      <c r="E1692" s="92">
        <v>0</v>
      </c>
      <c r="F1692" t="s">
        <v>446</v>
      </c>
      <c r="G1692" t="s">
        <v>446</v>
      </c>
      <c r="H1692" t="s">
        <v>4930</v>
      </c>
      <c r="I1692">
        <v>0</v>
      </c>
      <c r="J1692" t="s">
        <v>97</v>
      </c>
      <c r="K1692">
        <v>0</v>
      </c>
      <c r="L1692">
        <v>0</v>
      </c>
      <c r="M1692" t="s">
        <v>11</v>
      </c>
    </row>
    <row r="1693" spans="1:13">
      <c r="A1693" s="93">
        <v>174525</v>
      </c>
      <c r="B1693" t="s">
        <v>2238</v>
      </c>
      <c r="C1693" t="s">
        <v>4923</v>
      </c>
      <c r="D1693" s="92">
        <v>0.27</v>
      </c>
      <c r="E1693" s="92">
        <v>0</v>
      </c>
      <c r="F1693" t="s">
        <v>446</v>
      </c>
      <c r="G1693" t="s">
        <v>446</v>
      </c>
      <c r="H1693" t="s">
        <v>4930</v>
      </c>
      <c r="I1693">
        <v>0</v>
      </c>
      <c r="J1693" t="s">
        <v>97</v>
      </c>
      <c r="K1693">
        <v>0</v>
      </c>
      <c r="L1693">
        <v>0</v>
      </c>
      <c r="M1693" t="s">
        <v>11</v>
      </c>
    </row>
    <row r="1694" spans="1:13">
      <c r="A1694" s="93">
        <v>174570</v>
      </c>
      <c r="B1694" t="s">
        <v>2239</v>
      </c>
      <c r="C1694" t="s">
        <v>4919</v>
      </c>
      <c r="D1694" s="92">
        <v>0.37</v>
      </c>
      <c r="E1694" s="92">
        <v>0.17</v>
      </c>
      <c r="F1694" t="s">
        <v>446</v>
      </c>
      <c r="G1694" t="s">
        <v>446</v>
      </c>
      <c r="H1694" t="s">
        <v>4932</v>
      </c>
      <c r="I1694">
        <v>0</v>
      </c>
      <c r="J1694" t="s">
        <v>97</v>
      </c>
      <c r="K1694">
        <v>0</v>
      </c>
      <c r="L1694">
        <v>0</v>
      </c>
      <c r="M1694" t="s">
        <v>11</v>
      </c>
    </row>
    <row r="1695" spans="1:13">
      <c r="A1695" s="93">
        <v>174604</v>
      </c>
      <c r="B1695" t="s">
        <v>2240</v>
      </c>
      <c r="C1695" t="s">
        <v>4919</v>
      </c>
      <c r="D1695" s="92">
        <v>0.51</v>
      </c>
      <c r="E1695" s="92">
        <v>0.4</v>
      </c>
      <c r="F1695" t="s">
        <v>446</v>
      </c>
      <c r="G1695" t="s">
        <v>446</v>
      </c>
      <c r="H1695" t="s">
        <v>4932</v>
      </c>
      <c r="I1695">
        <v>0</v>
      </c>
      <c r="J1695" t="s">
        <v>97</v>
      </c>
      <c r="K1695">
        <v>0</v>
      </c>
      <c r="L1695">
        <v>0</v>
      </c>
      <c r="M1695" t="s">
        <v>11</v>
      </c>
    </row>
    <row r="1696" spans="1:13">
      <c r="A1696" s="93">
        <v>174738</v>
      </c>
      <c r="B1696" t="s">
        <v>2241</v>
      </c>
      <c r="C1696" t="s">
        <v>4919</v>
      </c>
      <c r="D1696" s="92">
        <v>0.38</v>
      </c>
      <c r="E1696" s="92">
        <v>0.3</v>
      </c>
      <c r="F1696" t="s">
        <v>446</v>
      </c>
      <c r="G1696" t="s">
        <v>446</v>
      </c>
      <c r="H1696" t="s">
        <v>4932</v>
      </c>
      <c r="I1696">
        <v>0</v>
      </c>
      <c r="J1696" t="s">
        <v>97</v>
      </c>
      <c r="K1696">
        <v>0</v>
      </c>
      <c r="L1696">
        <v>0</v>
      </c>
      <c r="M1696" t="s">
        <v>11</v>
      </c>
    </row>
    <row r="1697" spans="1:13">
      <c r="A1697" s="93">
        <v>174747</v>
      </c>
      <c r="B1697" t="s">
        <v>2242</v>
      </c>
      <c r="C1697" t="s">
        <v>4920</v>
      </c>
      <c r="D1697" s="92">
        <v>0.8100000000000001</v>
      </c>
      <c r="E1697" s="92">
        <v>0.6899999999999999</v>
      </c>
      <c r="F1697">
        <v>1040</v>
      </c>
      <c r="G1697">
        <v>1160</v>
      </c>
      <c r="H1697" t="s">
        <v>4930</v>
      </c>
      <c r="I1697">
        <v>0</v>
      </c>
      <c r="J1697" t="s">
        <v>97</v>
      </c>
      <c r="K1697">
        <v>0</v>
      </c>
      <c r="L1697">
        <v>0</v>
      </c>
      <c r="M1697" t="s">
        <v>11</v>
      </c>
    </row>
    <row r="1698" spans="1:13">
      <c r="A1698" s="93">
        <v>174756</v>
      </c>
      <c r="B1698" t="s">
        <v>2243</v>
      </c>
      <c r="C1698" t="s">
        <v>4919</v>
      </c>
      <c r="D1698" s="92">
        <v>0.44</v>
      </c>
      <c r="E1698" s="92">
        <v>0.31</v>
      </c>
      <c r="F1698" t="s">
        <v>446</v>
      </c>
      <c r="G1698" t="s">
        <v>446</v>
      </c>
      <c r="H1698" t="s">
        <v>4932</v>
      </c>
      <c r="I1698">
        <v>0</v>
      </c>
      <c r="J1698" t="s">
        <v>97</v>
      </c>
      <c r="K1698">
        <v>0</v>
      </c>
      <c r="L1698">
        <v>0</v>
      </c>
      <c r="M1698" t="s">
        <v>11</v>
      </c>
    </row>
    <row r="1699" spans="1:13">
      <c r="A1699" s="93">
        <v>174792</v>
      </c>
      <c r="B1699" t="s">
        <v>2244</v>
      </c>
      <c r="C1699" t="s">
        <v>4920</v>
      </c>
      <c r="D1699" s="92">
        <v>0.76</v>
      </c>
      <c r="E1699" s="92">
        <v>0.62</v>
      </c>
      <c r="F1699">
        <v>1110</v>
      </c>
      <c r="G1699">
        <v>1210</v>
      </c>
      <c r="H1699" t="s">
        <v>4930</v>
      </c>
      <c r="I1699">
        <v>0</v>
      </c>
      <c r="J1699" t="s">
        <v>97</v>
      </c>
      <c r="K1699">
        <v>0</v>
      </c>
      <c r="L1699">
        <v>0</v>
      </c>
      <c r="M1699" t="s">
        <v>11</v>
      </c>
    </row>
    <row r="1700" spans="1:13">
      <c r="A1700" s="93">
        <v>174862</v>
      </c>
      <c r="B1700" t="s">
        <v>2245</v>
      </c>
      <c r="C1700" t="s">
        <v>4918</v>
      </c>
      <c r="D1700" s="92">
        <v>0.54</v>
      </c>
      <c r="E1700" s="92">
        <v>0.33</v>
      </c>
      <c r="F1700" t="s">
        <v>446</v>
      </c>
      <c r="G1700" t="s">
        <v>446</v>
      </c>
      <c r="H1700" t="s">
        <v>4930</v>
      </c>
      <c r="I1700">
        <v>0</v>
      </c>
      <c r="J1700" t="s">
        <v>97</v>
      </c>
      <c r="K1700">
        <v>0</v>
      </c>
      <c r="L1700">
        <v>0</v>
      </c>
      <c r="M1700" t="s">
        <v>11</v>
      </c>
    </row>
    <row r="1701" spans="1:13">
      <c r="A1701" s="93">
        <v>174899</v>
      </c>
      <c r="B1701" t="s">
        <v>2246</v>
      </c>
      <c r="C1701" t="s">
        <v>4920</v>
      </c>
      <c r="D1701" s="92">
        <v>0.68</v>
      </c>
      <c r="E1701" s="92">
        <v>0.6</v>
      </c>
      <c r="F1701">
        <v>1110</v>
      </c>
      <c r="G1701">
        <v>1195</v>
      </c>
      <c r="H1701" t="s">
        <v>4930</v>
      </c>
      <c r="I1701">
        <v>0</v>
      </c>
      <c r="J1701" t="s">
        <v>97</v>
      </c>
      <c r="K1701">
        <v>0</v>
      </c>
      <c r="L1701">
        <v>0</v>
      </c>
      <c r="M1701" t="s">
        <v>11</v>
      </c>
    </row>
    <row r="1702" spans="1:13">
      <c r="A1702" s="93">
        <v>174914</v>
      </c>
      <c r="B1702" t="s">
        <v>2247</v>
      </c>
      <c r="C1702" t="s">
        <v>4916</v>
      </c>
      <c r="D1702" s="92">
        <v>0.78</v>
      </c>
      <c r="E1702" s="92">
        <v>0.72</v>
      </c>
      <c r="F1702">
        <v>1110</v>
      </c>
      <c r="G1702">
        <v>1210</v>
      </c>
      <c r="H1702" t="s">
        <v>4930</v>
      </c>
      <c r="I1702">
        <v>0</v>
      </c>
      <c r="J1702" t="s">
        <v>97</v>
      </c>
      <c r="K1702">
        <v>0</v>
      </c>
      <c r="L1702">
        <v>0</v>
      </c>
      <c r="M1702" t="s">
        <v>11</v>
      </c>
    </row>
    <row r="1703" spans="1:13">
      <c r="A1703" s="93">
        <v>175005</v>
      </c>
      <c r="B1703" t="s">
        <v>2248</v>
      </c>
      <c r="C1703" t="s">
        <v>4916</v>
      </c>
      <c r="D1703" s="92">
        <v>0.64</v>
      </c>
      <c r="E1703" s="92">
        <v>0.5600000000000001</v>
      </c>
      <c r="F1703">
        <v>1010</v>
      </c>
      <c r="G1703">
        <v>1125</v>
      </c>
      <c r="H1703" t="s">
        <v>4930</v>
      </c>
      <c r="I1703">
        <v>0</v>
      </c>
      <c r="J1703" t="s">
        <v>97</v>
      </c>
      <c r="K1703">
        <v>0</v>
      </c>
      <c r="L1703">
        <v>0</v>
      </c>
      <c r="M1703" t="s">
        <v>11</v>
      </c>
    </row>
    <row r="1704" spans="1:13">
      <c r="A1704" s="93">
        <v>175041</v>
      </c>
      <c r="B1704" t="s">
        <v>2249</v>
      </c>
      <c r="C1704" t="s">
        <v>4919</v>
      </c>
      <c r="D1704" s="92">
        <v>0.4</v>
      </c>
      <c r="E1704" s="92">
        <v>0.34</v>
      </c>
      <c r="F1704" t="s">
        <v>446</v>
      </c>
      <c r="G1704" t="s">
        <v>446</v>
      </c>
      <c r="H1704" t="s">
        <v>4932</v>
      </c>
      <c r="I1704">
        <v>0</v>
      </c>
      <c r="J1704" t="s">
        <v>97</v>
      </c>
      <c r="K1704">
        <v>0</v>
      </c>
      <c r="L1704">
        <v>0</v>
      </c>
      <c r="M1704" t="s">
        <v>11</v>
      </c>
    </row>
    <row r="1705" spans="1:13">
      <c r="A1705" s="93">
        <v>175078</v>
      </c>
      <c r="B1705" t="s">
        <v>2250</v>
      </c>
      <c r="C1705" t="s">
        <v>4920</v>
      </c>
      <c r="D1705" s="92">
        <v>0.48</v>
      </c>
      <c r="E1705" s="92">
        <v>0.24</v>
      </c>
      <c r="F1705" t="s">
        <v>446</v>
      </c>
      <c r="G1705" t="s">
        <v>446</v>
      </c>
      <c r="H1705" t="s">
        <v>4932</v>
      </c>
      <c r="I1705">
        <v>0</v>
      </c>
      <c r="J1705" t="s">
        <v>97</v>
      </c>
      <c r="K1705">
        <v>0</v>
      </c>
      <c r="L1705">
        <v>0</v>
      </c>
      <c r="M1705" t="s">
        <v>11</v>
      </c>
    </row>
    <row r="1706" spans="1:13">
      <c r="A1706" s="93">
        <v>175139</v>
      </c>
      <c r="B1706" t="s">
        <v>2251</v>
      </c>
      <c r="C1706" t="s">
        <v>4924</v>
      </c>
      <c r="D1706" s="92" t="s">
        <v>446</v>
      </c>
      <c r="E1706" s="92" t="s">
        <v>446</v>
      </c>
      <c r="F1706" t="s">
        <v>446</v>
      </c>
      <c r="G1706" t="s">
        <v>446</v>
      </c>
      <c r="H1706" t="s">
        <v>4932</v>
      </c>
      <c r="I1706">
        <v>0</v>
      </c>
      <c r="J1706" t="s">
        <v>97</v>
      </c>
      <c r="K1706">
        <v>0</v>
      </c>
      <c r="L1706">
        <v>0</v>
      </c>
      <c r="M1706" t="s">
        <v>11</v>
      </c>
    </row>
    <row r="1707" spans="1:13">
      <c r="A1707" s="93">
        <v>175157</v>
      </c>
      <c r="B1707" t="s">
        <v>2252</v>
      </c>
      <c r="C1707" t="s">
        <v>4919</v>
      </c>
      <c r="D1707" s="92">
        <v>0.51</v>
      </c>
      <c r="E1707" s="92">
        <v>0.42</v>
      </c>
      <c r="F1707" t="s">
        <v>446</v>
      </c>
      <c r="G1707" t="s">
        <v>446</v>
      </c>
      <c r="H1707" t="s">
        <v>4932</v>
      </c>
      <c r="I1707">
        <v>0</v>
      </c>
      <c r="J1707" t="s">
        <v>97</v>
      </c>
      <c r="K1707">
        <v>0</v>
      </c>
      <c r="L1707">
        <v>0</v>
      </c>
      <c r="M1707" t="s">
        <v>11</v>
      </c>
    </row>
    <row r="1708" spans="1:13">
      <c r="A1708" s="93">
        <v>175227</v>
      </c>
      <c r="B1708" t="s">
        <v>2253</v>
      </c>
      <c r="C1708" t="s">
        <v>4924</v>
      </c>
      <c r="D1708" s="92">
        <v>0.33</v>
      </c>
      <c r="E1708" s="92">
        <v>0</v>
      </c>
      <c r="F1708" t="s">
        <v>446</v>
      </c>
      <c r="G1708" t="s">
        <v>446</v>
      </c>
      <c r="H1708" t="s">
        <v>4930</v>
      </c>
      <c r="I1708">
        <v>0</v>
      </c>
      <c r="J1708" t="s">
        <v>97</v>
      </c>
      <c r="K1708">
        <v>0</v>
      </c>
      <c r="L1708">
        <v>0</v>
      </c>
      <c r="M1708" t="s">
        <v>11</v>
      </c>
    </row>
    <row r="1709" spans="1:13">
      <c r="A1709" s="93">
        <v>175236</v>
      </c>
      <c r="B1709" t="s">
        <v>2254</v>
      </c>
      <c r="C1709" t="s">
        <v>4919</v>
      </c>
      <c r="D1709" s="92">
        <v>0.51</v>
      </c>
      <c r="E1709" s="92">
        <v>0.37</v>
      </c>
      <c r="F1709" t="s">
        <v>446</v>
      </c>
      <c r="G1709" t="s">
        <v>446</v>
      </c>
      <c r="H1709" t="s">
        <v>4932</v>
      </c>
      <c r="I1709">
        <v>0</v>
      </c>
      <c r="J1709" t="s">
        <v>97</v>
      </c>
      <c r="K1709">
        <v>0</v>
      </c>
      <c r="L1709">
        <v>0</v>
      </c>
      <c r="M1709" t="s">
        <v>11</v>
      </c>
    </row>
    <row r="1710" spans="1:13">
      <c r="A1710" s="93">
        <v>175263</v>
      </c>
      <c r="B1710" t="s">
        <v>2255</v>
      </c>
      <c r="C1710" t="s">
        <v>4919</v>
      </c>
      <c r="D1710" s="92">
        <v>0.44</v>
      </c>
      <c r="E1710" s="92">
        <v>0.37</v>
      </c>
      <c r="F1710" t="s">
        <v>446</v>
      </c>
      <c r="G1710" t="s">
        <v>446</v>
      </c>
      <c r="H1710" t="s">
        <v>4932</v>
      </c>
      <c r="I1710">
        <v>0</v>
      </c>
      <c r="J1710" t="s">
        <v>97</v>
      </c>
      <c r="K1710">
        <v>0</v>
      </c>
      <c r="L1710">
        <v>0</v>
      </c>
      <c r="M1710" t="s">
        <v>11</v>
      </c>
    </row>
    <row r="1711" spans="1:13">
      <c r="A1711" s="93">
        <v>175272</v>
      </c>
      <c r="B1711" t="s">
        <v>2256</v>
      </c>
      <c r="C1711" t="s">
        <v>4920</v>
      </c>
      <c r="D1711" s="92">
        <v>0.6</v>
      </c>
      <c r="E1711" s="92">
        <v>0.46</v>
      </c>
      <c r="F1711">
        <v>1010</v>
      </c>
      <c r="G1711">
        <v>1110</v>
      </c>
      <c r="H1711" t="s">
        <v>4932</v>
      </c>
      <c r="I1711">
        <v>0</v>
      </c>
      <c r="J1711" t="s">
        <v>97</v>
      </c>
      <c r="K1711">
        <v>0</v>
      </c>
      <c r="L1711">
        <v>0</v>
      </c>
      <c r="M1711" t="s">
        <v>11</v>
      </c>
    </row>
    <row r="1712" spans="1:13">
      <c r="A1712" s="93">
        <v>175281</v>
      </c>
      <c r="B1712" t="s">
        <v>2257</v>
      </c>
      <c r="C1712" t="s">
        <v>4924</v>
      </c>
      <c r="D1712" s="92" t="s">
        <v>446</v>
      </c>
      <c r="E1712" s="92" t="s">
        <v>446</v>
      </c>
      <c r="F1712" t="s">
        <v>446</v>
      </c>
      <c r="G1712" t="s">
        <v>446</v>
      </c>
      <c r="H1712" t="s">
        <v>4932</v>
      </c>
      <c r="I1712">
        <v>0</v>
      </c>
      <c r="J1712" t="s">
        <v>97</v>
      </c>
      <c r="K1712">
        <v>0</v>
      </c>
      <c r="L1712">
        <v>0</v>
      </c>
      <c r="M1712" t="s">
        <v>11</v>
      </c>
    </row>
    <row r="1713" spans="1:13">
      <c r="A1713" s="93">
        <v>175315</v>
      </c>
      <c r="B1713" t="s">
        <v>2258</v>
      </c>
      <c r="C1713" t="s">
        <v>4919</v>
      </c>
      <c r="D1713" s="92">
        <v>0.32</v>
      </c>
      <c r="E1713" s="92">
        <v>0.27</v>
      </c>
      <c r="F1713" t="s">
        <v>446</v>
      </c>
      <c r="G1713" t="s">
        <v>446</v>
      </c>
      <c r="H1713" t="s">
        <v>4932</v>
      </c>
      <c r="I1713">
        <v>0</v>
      </c>
      <c r="J1713" t="s">
        <v>97</v>
      </c>
      <c r="K1713">
        <v>0</v>
      </c>
      <c r="L1713">
        <v>0</v>
      </c>
      <c r="M1713" t="s">
        <v>11</v>
      </c>
    </row>
    <row r="1714" spans="1:13">
      <c r="A1714" s="93">
        <v>175421</v>
      </c>
      <c r="B1714" t="s">
        <v>2259</v>
      </c>
      <c r="C1714" t="s">
        <v>4920</v>
      </c>
      <c r="D1714" s="92">
        <v>0.5</v>
      </c>
      <c r="E1714" s="92">
        <v>0.37</v>
      </c>
      <c r="F1714">
        <v>1010</v>
      </c>
      <c r="G1714">
        <v>1095</v>
      </c>
      <c r="H1714" t="s">
        <v>4931</v>
      </c>
      <c r="I1714">
        <v>0</v>
      </c>
      <c r="J1714" t="s">
        <v>97</v>
      </c>
      <c r="K1714">
        <v>0</v>
      </c>
      <c r="L1714">
        <v>0</v>
      </c>
      <c r="M1714" t="s">
        <v>11</v>
      </c>
    </row>
    <row r="1715" spans="1:13">
      <c r="A1715" s="93">
        <v>175430</v>
      </c>
      <c r="B1715" t="s">
        <v>2260</v>
      </c>
      <c r="C1715" t="s">
        <v>4916</v>
      </c>
      <c r="D1715" s="92">
        <v>0.52</v>
      </c>
      <c r="E1715" s="92">
        <v>0.48</v>
      </c>
      <c r="F1715">
        <v>970</v>
      </c>
      <c r="G1715">
        <v>1055</v>
      </c>
      <c r="H1715" t="s">
        <v>4931</v>
      </c>
      <c r="I1715">
        <v>0</v>
      </c>
      <c r="J1715" t="s">
        <v>97</v>
      </c>
      <c r="K1715">
        <v>0</v>
      </c>
      <c r="L1715">
        <v>0</v>
      </c>
      <c r="M1715" t="s">
        <v>11</v>
      </c>
    </row>
    <row r="1716" spans="1:13">
      <c r="A1716" s="93">
        <v>175519</v>
      </c>
      <c r="B1716" t="s">
        <v>2261</v>
      </c>
      <c r="C1716" t="s">
        <v>4919</v>
      </c>
      <c r="D1716" s="92">
        <v>0.36</v>
      </c>
      <c r="E1716" s="92">
        <v>0.52</v>
      </c>
      <c r="F1716" t="s">
        <v>446</v>
      </c>
      <c r="G1716" t="s">
        <v>446</v>
      </c>
      <c r="H1716" t="s">
        <v>4932</v>
      </c>
      <c r="I1716">
        <v>0</v>
      </c>
      <c r="J1716" t="s">
        <v>153</v>
      </c>
      <c r="K1716">
        <v>0</v>
      </c>
      <c r="L1716">
        <v>0</v>
      </c>
      <c r="M1716" t="s">
        <v>11</v>
      </c>
    </row>
    <row r="1717" spans="1:13">
      <c r="A1717" s="93">
        <v>175573</v>
      </c>
      <c r="B1717" t="s">
        <v>2262</v>
      </c>
      <c r="C1717" t="s">
        <v>4919</v>
      </c>
      <c r="D1717" s="92">
        <v>0.58</v>
      </c>
      <c r="E1717" s="92">
        <v>0.51</v>
      </c>
      <c r="F1717" t="s">
        <v>446</v>
      </c>
      <c r="G1717" t="s">
        <v>446</v>
      </c>
      <c r="H1717" t="s">
        <v>4932</v>
      </c>
      <c r="I1717">
        <v>0</v>
      </c>
      <c r="J1717" t="s">
        <v>97</v>
      </c>
      <c r="K1717">
        <v>0</v>
      </c>
      <c r="L1717">
        <v>0</v>
      </c>
      <c r="M1717" t="s">
        <v>11</v>
      </c>
    </row>
    <row r="1718" spans="1:13">
      <c r="A1718" s="93">
        <v>175643</v>
      </c>
      <c r="B1718" t="s">
        <v>2263</v>
      </c>
      <c r="C1718" t="s">
        <v>4919</v>
      </c>
      <c r="D1718" s="92">
        <v>0.47</v>
      </c>
      <c r="E1718" s="92">
        <v>0.37</v>
      </c>
      <c r="F1718" t="s">
        <v>446</v>
      </c>
      <c r="G1718" t="s">
        <v>446</v>
      </c>
      <c r="H1718" t="s">
        <v>4932</v>
      </c>
      <c r="I1718">
        <v>0</v>
      </c>
      <c r="J1718" t="s">
        <v>97</v>
      </c>
      <c r="K1718">
        <v>0</v>
      </c>
      <c r="L1718">
        <v>0</v>
      </c>
      <c r="M1718" t="s">
        <v>11</v>
      </c>
    </row>
    <row r="1719" spans="1:13">
      <c r="A1719" s="93">
        <v>175652</v>
      </c>
      <c r="B1719" t="s">
        <v>2264</v>
      </c>
      <c r="C1719" t="s">
        <v>4919</v>
      </c>
      <c r="D1719" s="92">
        <v>0.51</v>
      </c>
      <c r="E1719" s="92">
        <v>0.42</v>
      </c>
      <c r="F1719" t="s">
        <v>446</v>
      </c>
      <c r="G1719" t="s">
        <v>446</v>
      </c>
      <c r="H1719" t="s">
        <v>4932</v>
      </c>
      <c r="I1719">
        <v>0</v>
      </c>
      <c r="J1719" t="s">
        <v>97</v>
      </c>
      <c r="K1719">
        <v>0</v>
      </c>
      <c r="L1719">
        <v>0</v>
      </c>
      <c r="M1719" t="s">
        <v>11</v>
      </c>
    </row>
    <row r="1720" spans="1:13">
      <c r="A1720" s="93">
        <v>175786</v>
      </c>
      <c r="B1720" t="s">
        <v>2265</v>
      </c>
      <c r="C1720" t="s">
        <v>4919</v>
      </c>
      <c r="D1720" s="92">
        <v>0.4</v>
      </c>
      <c r="E1720" s="92">
        <v>0.39</v>
      </c>
      <c r="F1720" t="s">
        <v>446</v>
      </c>
      <c r="G1720" t="s">
        <v>446</v>
      </c>
      <c r="H1720" t="s">
        <v>4932</v>
      </c>
      <c r="I1720">
        <v>0</v>
      </c>
      <c r="J1720" t="s">
        <v>97</v>
      </c>
      <c r="K1720">
        <v>0</v>
      </c>
      <c r="L1720">
        <v>0</v>
      </c>
      <c r="M1720" t="s">
        <v>11</v>
      </c>
    </row>
    <row r="1721" spans="1:13">
      <c r="A1721" s="93">
        <v>175810</v>
      </c>
      <c r="B1721" t="s">
        <v>2266</v>
      </c>
      <c r="C1721" t="s">
        <v>4919</v>
      </c>
      <c r="D1721" s="92">
        <v>0.47</v>
      </c>
      <c r="E1721" s="92">
        <v>0.43</v>
      </c>
      <c r="F1721" t="s">
        <v>446</v>
      </c>
      <c r="G1721" t="s">
        <v>446</v>
      </c>
      <c r="H1721" t="s">
        <v>4932</v>
      </c>
      <c r="I1721">
        <v>0</v>
      </c>
      <c r="J1721" t="s">
        <v>97</v>
      </c>
      <c r="K1721">
        <v>0</v>
      </c>
      <c r="L1721">
        <v>0</v>
      </c>
      <c r="M1721" t="s">
        <v>11</v>
      </c>
    </row>
    <row r="1722" spans="1:13">
      <c r="A1722" s="93">
        <v>175829</v>
      </c>
      <c r="B1722" t="s">
        <v>2267</v>
      </c>
      <c r="C1722" t="s">
        <v>4919</v>
      </c>
      <c r="D1722" s="92">
        <v>0.57</v>
      </c>
      <c r="E1722" s="92">
        <v>0.5</v>
      </c>
      <c r="F1722" t="s">
        <v>446</v>
      </c>
      <c r="G1722" t="s">
        <v>446</v>
      </c>
      <c r="H1722" t="s">
        <v>4932</v>
      </c>
      <c r="I1722">
        <v>0</v>
      </c>
      <c r="J1722" t="s">
        <v>97</v>
      </c>
      <c r="K1722">
        <v>0</v>
      </c>
      <c r="L1722">
        <v>0</v>
      </c>
      <c r="M1722" t="s">
        <v>11</v>
      </c>
    </row>
    <row r="1723" spans="1:13">
      <c r="A1723" s="93">
        <v>175883</v>
      </c>
      <c r="B1723" t="s">
        <v>2268</v>
      </c>
      <c r="C1723" t="s">
        <v>4919</v>
      </c>
      <c r="D1723" s="92">
        <v>0.41</v>
      </c>
      <c r="E1723" s="92">
        <v>0.36</v>
      </c>
      <c r="F1723" t="s">
        <v>446</v>
      </c>
      <c r="G1723" t="s">
        <v>446</v>
      </c>
      <c r="H1723" t="s">
        <v>4932</v>
      </c>
      <c r="I1723">
        <v>0</v>
      </c>
      <c r="J1723" t="s">
        <v>97</v>
      </c>
      <c r="K1723">
        <v>0</v>
      </c>
      <c r="L1723">
        <v>0</v>
      </c>
      <c r="M1723" t="s">
        <v>11</v>
      </c>
    </row>
    <row r="1724" spans="1:13">
      <c r="A1724" s="93">
        <v>175935</v>
      </c>
      <c r="B1724" t="s">
        <v>2269</v>
      </c>
      <c r="C1724" t="s">
        <v>4919</v>
      </c>
      <c r="D1724" s="92">
        <v>0.36</v>
      </c>
      <c r="E1724" s="92">
        <v>0.28</v>
      </c>
      <c r="F1724" t="s">
        <v>446</v>
      </c>
      <c r="G1724" t="s">
        <v>446</v>
      </c>
      <c r="H1724" t="s">
        <v>4932</v>
      </c>
      <c r="I1724">
        <v>0</v>
      </c>
      <c r="J1724" t="s">
        <v>97</v>
      </c>
      <c r="K1724">
        <v>0</v>
      </c>
      <c r="L1724">
        <v>0</v>
      </c>
      <c r="M1724" t="s">
        <v>11</v>
      </c>
    </row>
    <row r="1725" spans="1:13">
      <c r="A1725" s="93">
        <v>175980</v>
      </c>
      <c r="B1725" t="s">
        <v>2270</v>
      </c>
      <c r="C1725" t="s">
        <v>4920</v>
      </c>
      <c r="D1725" s="92">
        <v>0.67</v>
      </c>
      <c r="E1725" s="92">
        <v>0.6</v>
      </c>
      <c r="F1725">
        <v>1080</v>
      </c>
      <c r="G1725">
        <v>1195</v>
      </c>
      <c r="H1725" t="s">
        <v>4930</v>
      </c>
      <c r="I1725">
        <v>0</v>
      </c>
      <c r="J1725" t="s">
        <v>97</v>
      </c>
      <c r="K1725">
        <v>0</v>
      </c>
      <c r="L1725">
        <v>0</v>
      </c>
      <c r="M1725" t="s">
        <v>11</v>
      </c>
    </row>
    <row r="1726" spans="1:13">
      <c r="A1726" s="93">
        <v>176008</v>
      </c>
      <c r="B1726" t="s">
        <v>2271</v>
      </c>
      <c r="C1726" t="s">
        <v>4919</v>
      </c>
      <c r="D1726" s="92">
        <v>0.4</v>
      </c>
      <c r="E1726" s="92">
        <v>0.35</v>
      </c>
      <c r="F1726" t="s">
        <v>446</v>
      </c>
      <c r="G1726" t="s">
        <v>446</v>
      </c>
      <c r="H1726" t="s">
        <v>4932</v>
      </c>
      <c r="I1726">
        <v>0</v>
      </c>
      <c r="J1726" t="s">
        <v>97</v>
      </c>
      <c r="K1726">
        <v>0</v>
      </c>
      <c r="L1726">
        <v>0</v>
      </c>
      <c r="M1726" t="s">
        <v>11</v>
      </c>
    </row>
    <row r="1727" spans="1:13">
      <c r="A1727" s="93">
        <v>176035</v>
      </c>
      <c r="B1727" t="s">
        <v>2272</v>
      </c>
      <c r="C1727" t="s">
        <v>4920</v>
      </c>
      <c r="D1727" s="92">
        <v>0.44</v>
      </c>
      <c r="E1727" s="92">
        <v>0.43</v>
      </c>
      <c r="F1727">
        <v>970</v>
      </c>
      <c r="G1727">
        <v>1075</v>
      </c>
      <c r="H1727" t="s">
        <v>4932</v>
      </c>
      <c r="I1727">
        <v>0</v>
      </c>
      <c r="J1727" t="s">
        <v>97</v>
      </c>
      <c r="K1727">
        <v>0</v>
      </c>
      <c r="L1727">
        <v>0</v>
      </c>
      <c r="M1727" t="s">
        <v>11</v>
      </c>
    </row>
    <row r="1728" spans="1:13">
      <c r="A1728" s="93">
        <v>176053</v>
      </c>
      <c r="B1728" t="s">
        <v>2273</v>
      </c>
      <c r="C1728" t="s">
        <v>4920</v>
      </c>
      <c r="D1728" s="92">
        <v>0.62</v>
      </c>
      <c r="E1728" s="92">
        <v>0.39</v>
      </c>
      <c r="F1728">
        <v>1040</v>
      </c>
      <c r="G1728">
        <v>1175</v>
      </c>
      <c r="H1728" t="s">
        <v>4931</v>
      </c>
      <c r="I1728">
        <v>0</v>
      </c>
      <c r="J1728" t="s">
        <v>97</v>
      </c>
      <c r="K1728">
        <v>0</v>
      </c>
      <c r="L1728">
        <v>0</v>
      </c>
      <c r="M1728" t="s">
        <v>11</v>
      </c>
    </row>
    <row r="1729" spans="1:13">
      <c r="A1729" s="93">
        <v>176169</v>
      </c>
      <c r="B1729" t="s">
        <v>2274</v>
      </c>
      <c r="C1729" t="s">
        <v>4919</v>
      </c>
      <c r="D1729" s="92">
        <v>0.47</v>
      </c>
      <c r="E1729" s="92">
        <v>0.37</v>
      </c>
      <c r="F1729" t="s">
        <v>446</v>
      </c>
      <c r="G1729" t="s">
        <v>446</v>
      </c>
      <c r="H1729" t="s">
        <v>4932</v>
      </c>
      <c r="I1729">
        <v>0</v>
      </c>
      <c r="J1729" t="s">
        <v>97</v>
      </c>
      <c r="K1729">
        <v>0</v>
      </c>
      <c r="L1729">
        <v>0</v>
      </c>
      <c r="M1729" t="s">
        <v>11</v>
      </c>
    </row>
    <row r="1730" spans="1:13">
      <c r="A1730" s="93">
        <v>176178</v>
      </c>
      <c r="B1730" t="s">
        <v>2275</v>
      </c>
      <c r="C1730" t="s">
        <v>4919</v>
      </c>
      <c r="D1730" s="92">
        <v>0.45</v>
      </c>
      <c r="E1730" s="92">
        <v>0.41</v>
      </c>
      <c r="F1730" t="s">
        <v>446</v>
      </c>
      <c r="G1730" t="s">
        <v>446</v>
      </c>
      <c r="H1730" t="s">
        <v>4932</v>
      </c>
      <c r="I1730">
        <v>0</v>
      </c>
      <c r="J1730" t="s">
        <v>97</v>
      </c>
      <c r="K1730">
        <v>0</v>
      </c>
      <c r="L1730">
        <v>0</v>
      </c>
      <c r="M1730" t="s">
        <v>11</v>
      </c>
    </row>
    <row r="1731" spans="1:13">
      <c r="A1731" s="93">
        <v>176336</v>
      </c>
      <c r="B1731" t="s">
        <v>2276</v>
      </c>
      <c r="C1731" t="s">
        <v>4923</v>
      </c>
      <c r="D1731" s="92">
        <v>0.18</v>
      </c>
      <c r="E1731" s="92" t="s">
        <v>446</v>
      </c>
      <c r="F1731" t="s">
        <v>446</v>
      </c>
      <c r="G1731" t="s">
        <v>446</v>
      </c>
      <c r="H1731" t="s">
        <v>4931</v>
      </c>
      <c r="I1731">
        <v>0</v>
      </c>
      <c r="J1731" t="s">
        <v>97</v>
      </c>
      <c r="K1731">
        <v>0</v>
      </c>
      <c r="L1731">
        <v>0</v>
      </c>
      <c r="M1731" t="s">
        <v>11</v>
      </c>
    </row>
    <row r="1732" spans="1:13">
      <c r="A1732" s="93">
        <v>176354</v>
      </c>
      <c r="B1732" t="s">
        <v>2277</v>
      </c>
      <c r="C1732" t="s">
        <v>4919</v>
      </c>
      <c r="D1732" s="92">
        <v>0.53</v>
      </c>
      <c r="E1732" s="92">
        <v>0.49</v>
      </c>
      <c r="F1732" t="s">
        <v>446</v>
      </c>
      <c r="G1732" t="s">
        <v>446</v>
      </c>
      <c r="H1732" t="s">
        <v>4932</v>
      </c>
      <c r="I1732">
        <v>0</v>
      </c>
      <c r="J1732" t="s">
        <v>97</v>
      </c>
      <c r="K1732">
        <v>0</v>
      </c>
      <c r="L1732">
        <v>0</v>
      </c>
      <c r="M1732" t="s">
        <v>11</v>
      </c>
    </row>
    <row r="1733" spans="1:13">
      <c r="A1733" s="93">
        <v>176406</v>
      </c>
      <c r="B1733" t="s">
        <v>2278</v>
      </c>
      <c r="C1733" t="s">
        <v>4923</v>
      </c>
      <c r="D1733" s="92">
        <v>0.34</v>
      </c>
      <c r="E1733" s="92">
        <v>0.49</v>
      </c>
      <c r="F1733">
        <v>890</v>
      </c>
      <c r="G1733">
        <v>985</v>
      </c>
      <c r="H1733" t="s">
        <v>4929</v>
      </c>
      <c r="I1733">
        <v>1</v>
      </c>
      <c r="J1733" t="s">
        <v>153</v>
      </c>
      <c r="K1733">
        <v>0</v>
      </c>
      <c r="L1733">
        <v>0</v>
      </c>
      <c r="M1733" t="s">
        <v>11</v>
      </c>
    </row>
    <row r="1734" spans="1:13">
      <c r="A1734" s="93">
        <v>176451</v>
      </c>
      <c r="B1734" t="s">
        <v>2279</v>
      </c>
      <c r="C1734" t="s">
        <v>4924</v>
      </c>
      <c r="D1734" s="92" t="s">
        <v>446</v>
      </c>
      <c r="E1734" s="92" t="s">
        <v>446</v>
      </c>
      <c r="F1734" t="s">
        <v>446</v>
      </c>
      <c r="G1734" t="s">
        <v>446</v>
      </c>
      <c r="H1734" t="s">
        <v>4932</v>
      </c>
      <c r="I1734">
        <v>0</v>
      </c>
      <c r="J1734" t="s">
        <v>97</v>
      </c>
      <c r="K1734">
        <v>0</v>
      </c>
      <c r="L1734">
        <v>0</v>
      </c>
      <c r="M1734" t="s">
        <v>11</v>
      </c>
    </row>
    <row r="1735" spans="1:13">
      <c r="A1735" s="93">
        <v>176479</v>
      </c>
      <c r="B1735" t="s">
        <v>2280</v>
      </c>
      <c r="C1735" t="s">
        <v>4918</v>
      </c>
      <c r="D1735" s="92">
        <v>0.53</v>
      </c>
      <c r="E1735" s="92">
        <v>0.42</v>
      </c>
      <c r="F1735">
        <v>1080</v>
      </c>
      <c r="G1735">
        <v>1210</v>
      </c>
      <c r="H1735" t="s">
        <v>4930</v>
      </c>
      <c r="I1735">
        <v>0</v>
      </c>
      <c r="J1735" t="s">
        <v>97</v>
      </c>
      <c r="K1735">
        <v>0</v>
      </c>
      <c r="L1735">
        <v>0</v>
      </c>
      <c r="M1735" t="s">
        <v>11</v>
      </c>
    </row>
    <row r="1736" spans="1:13">
      <c r="A1736" s="93">
        <v>176600</v>
      </c>
      <c r="B1736" t="s">
        <v>2281</v>
      </c>
      <c r="C1736" t="s">
        <v>4924</v>
      </c>
      <c r="D1736" s="92" t="s">
        <v>446</v>
      </c>
      <c r="E1736" s="92" t="s">
        <v>446</v>
      </c>
      <c r="F1736" t="s">
        <v>446</v>
      </c>
      <c r="G1736" t="s">
        <v>446</v>
      </c>
      <c r="H1736" t="s">
        <v>4932</v>
      </c>
      <c r="I1736">
        <v>0</v>
      </c>
      <c r="J1736" t="s">
        <v>97</v>
      </c>
      <c r="K1736">
        <v>0</v>
      </c>
      <c r="L1736">
        <v>0</v>
      </c>
      <c r="M1736" t="s">
        <v>11</v>
      </c>
    </row>
    <row r="1737" spans="1:13">
      <c r="A1737" s="93">
        <v>176628</v>
      </c>
      <c r="B1737" t="s">
        <v>2282</v>
      </c>
      <c r="C1737" t="s">
        <v>4920</v>
      </c>
      <c r="D1737" s="92">
        <v>0.48</v>
      </c>
      <c r="E1737" s="92">
        <v>0.37</v>
      </c>
      <c r="F1737">
        <v>930</v>
      </c>
      <c r="G1737">
        <v>1035</v>
      </c>
      <c r="H1737" t="s">
        <v>4930</v>
      </c>
      <c r="I1737">
        <v>0</v>
      </c>
      <c r="J1737" t="s">
        <v>97</v>
      </c>
      <c r="K1737">
        <v>0</v>
      </c>
      <c r="L1737">
        <v>0</v>
      </c>
      <c r="M1737" t="s">
        <v>11</v>
      </c>
    </row>
    <row r="1738" spans="1:13">
      <c r="A1738" s="93">
        <v>176664</v>
      </c>
      <c r="B1738" t="s">
        <v>2283</v>
      </c>
      <c r="C1738" t="s">
        <v>4923</v>
      </c>
      <c r="D1738" s="92">
        <v>0.33</v>
      </c>
      <c r="E1738" s="92">
        <v>0.25</v>
      </c>
      <c r="F1738" t="s">
        <v>446</v>
      </c>
      <c r="G1738" t="s">
        <v>446</v>
      </c>
      <c r="H1738" t="s">
        <v>4930</v>
      </c>
      <c r="I1738">
        <v>0</v>
      </c>
      <c r="J1738" t="s">
        <v>97</v>
      </c>
      <c r="K1738">
        <v>0</v>
      </c>
      <c r="L1738">
        <v>0</v>
      </c>
      <c r="M1738" t="s">
        <v>11</v>
      </c>
    </row>
    <row r="1739" spans="1:13">
      <c r="A1739" s="93">
        <v>176770</v>
      </c>
      <c r="B1739" t="s">
        <v>2284</v>
      </c>
      <c r="C1739" t="s">
        <v>4923</v>
      </c>
      <c r="D1739" s="92" t="s">
        <v>446</v>
      </c>
      <c r="E1739" s="92" t="s">
        <v>446</v>
      </c>
      <c r="F1739" t="s">
        <v>446</v>
      </c>
      <c r="G1739" t="s">
        <v>446</v>
      </c>
      <c r="H1739" t="s">
        <v>4930</v>
      </c>
      <c r="I1739">
        <v>0</v>
      </c>
      <c r="J1739" t="s">
        <v>97</v>
      </c>
      <c r="K1739">
        <v>0</v>
      </c>
      <c r="L1739">
        <v>0</v>
      </c>
      <c r="M1739" t="s">
        <v>11</v>
      </c>
    </row>
    <row r="1740" spans="1:13">
      <c r="A1740" s="93">
        <v>176789</v>
      </c>
      <c r="B1740" t="s">
        <v>2285</v>
      </c>
      <c r="C1740" t="s">
        <v>4920</v>
      </c>
      <c r="D1740" s="92">
        <v>0.35</v>
      </c>
      <c r="E1740" s="92">
        <v>0.3</v>
      </c>
      <c r="F1740">
        <v>970</v>
      </c>
      <c r="G1740">
        <v>1040</v>
      </c>
      <c r="H1740" t="s">
        <v>4931</v>
      </c>
      <c r="I1740">
        <v>0</v>
      </c>
      <c r="J1740" t="s">
        <v>97</v>
      </c>
      <c r="K1740">
        <v>0</v>
      </c>
      <c r="L1740">
        <v>0</v>
      </c>
      <c r="M1740" t="s">
        <v>11</v>
      </c>
    </row>
    <row r="1741" spans="1:13">
      <c r="A1741" s="93">
        <v>176798</v>
      </c>
      <c r="B1741" t="s">
        <v>2286</v>
      </c>
      <c r="C1741" t="s">
        <v>4919</v>
      </c>
      <c r="D1741" s="92" t="s">
        <v>446</v>
      </c>
      <c r="E1741" s="92" t="s">
        <v>446</v>
      </c>
      <c r="F1741" t="s">
        <v>446</v>
      </c>
      <c r="G1741" t="s">
        <v>446</v>
      </c>
      <c r="H1741" t="s">
        <v>4932</v>
      </c>
      <c r="I1741">
        <v>0</v>
      </c>
      <c r="J1741" t="s">
        <v>97</v>
      </c>
      <c r="K1741">
        <v>0</v>
      </c>
      <c r="L1741">
        <v>0</v>
      </c>
      <c r="M1741" t="s">
        <v>11</v>
      </c>
    </row>
    <row r="1742" spans="1:13">
      <c r="A1742" s="93">
        <v>176910</v>
      </c>
      <c r="B1742" t="s">
        <v>2287</v>
      </c>
      <c r="C1742" t="s">
        <v>4923</v>
      </c>
      <c r="D1742" s="92">
        <v>0.37</v>
      </c>
      <c r="E1742" s="92">
        <v>0.29</v>
      </c>
      <c r="F1742" t="s">
        <v>446</v>
      </c>
      <c r="G1742" t="s">
        <v>446</v>
      </c>
      <c r="H1742" t="s">
        <v>4931</v>
      </c>
      <c r="I1742">
        <v>0</v>
      </c>
      <c r="J1742" t="s">
        <v>97</v>
      </c>
      <c r="K1742">
        <v>0</v>
      </c>
      <c r="L1742">
        <v>0</v>
      </c>
      <c r="M1742" t="s">
        <v>11</v>
      </c>
    </row>
    <row r="1743" spans="1:13">
      <c r="A1743" s="93">
        <v>176947</v>
      </c>
      <c r="B1743" t="s">
        <v>2288</v>
      </c>
      <c r="C1743" t="s">
        <v>4916</v>
      </c>
      <c r="D1743" s="92">
        <v>0.46</v>
      </c>
      <c r="E1743" s="92">
        <v>0.3</v>
      </c>
      <c r="F1743">
        <v>970</v>
      </c>
      <c r="G1743">
        <v>1055</v>
      </c>
      <c r="H1743" t="s">
        <v>4930</v>
      </c>
      <c r="I1743">
        <v>0</v>
      </c>
      <c r="J1743" t="s">
        <v>97</v>
      </c>
      <c r="K1743">
        <v>0</v>
      </c>
      <c r="L1743">
        <v>0</v>
      </c>
      <c r="M1743" t="s">
        <v>11</v>
      </c>
    </row>
    <row r="1744" spans="1:13">
      <c r="A1744" s="93">
        <v>176965</v>
      </c>
      <c r="B1744" t="s">
        <v>2289</v>
      </c>
      <c r="C1744" t="s">
        <v>4920</v>
      </c>
      <c r="D1744" s="92">
        <v>0.53</v>
      </c>
      <c r="E1744" s="92">
        <v>0.35</v>
      </c>
      <c r="F1744" t="s">
        <v>446</v>
      </c>
      <c r="G1744" t="s">
        <v>446</v>
      </c>
      <c r="H1744" t="s">
        <v>4932</v>
      </c>
      <c r="I1744">
        <v>0</v>
      </c>
      <c r="J1744" t="s">
        <v>97</v>
      </c>
      <c r="K1744">
        <v>0</v>
      </c>
      <c r="L1744">
        <v>0</v>
      </c>
      <c r="M1744" t="s">
        <v>11</v>
      </c>
    </row>
    <row r="1745" spans="1:13">
      <c r="A1745" s="93">
        <v>177038</v>
      </c>
      <c r="B1745" t="s">
        <v>2290</v>
      </c>
      <c r="C1745" t="s">
        <v>4924</v>
      </c>
      <c r="D1745" s="92">
        <v>0.67</v>
      </c>
      <c r="E1745" s="92" t="s">
        <v>446</v>
      </c>
      <c r="F1745" t="s">
        <v>446</v>
      </c>
      <c r="G1745" t="s">
        <v>446</v>
      </c>
      <c r="H1745" t="s">
        <v>4932</v>
      </c>
      <c r="I1745">
        <v>0</v>
      </c>
      <c r="J1745" t="s">
        <v>97</v>
      </c>
      <c r="K1745">
        <v>0</v>
      </c>
      <c r="L1745">
        <v>0</v>
      </c>
      <c r="M1745" t="s">
        <v>11</v>
      </c>
    </row>
    <row r="1746" spans="1:13">
      <c r="A1746" s="93">
        <v>177065</v>
      </c>
      <c r="B1746" t="s">
        <v>1060</v>
      </c>
      <c r="C1746" t="s">
        <v>4920</v>
      </c>
      <c r="D1746" s="92">
        <v>0.25</v>
      </c>
      <c r="E1746" s="92">
        <v>0.11</v>
      </c>
      <c r="F1746" t="s">
        <v>446</v>
      </c>
      <c r="G1746" t="s">
        <v>446</v>
      </c>
      <c r="H1746" t="s">
        <v>4930</v>
      </c>
      <c r="I1746">
        <v>0</v>
      </c>
      <c r="J1746" t="s">
        <v>97</v>
      </c>
      <c r="K1746">
        <v>0</v>
      </c>
      <c r="L1746">
        <v>0</v>
      </c>
      <c r="M1746" t="s">
        <v>11</v>
      </c>
    </row>
    <row r="1747" spans="1:13">
      <c r="A1747" s="93">
        <v>177083</v>
      </c>
      <c r="B1747" t="s">
        <v>2291</v>
      </c>
      <c r="C1747" t="s">
        <v>4923</v>
      </c>
      <c r="D1747" s="92">
        <v>0.19</v>
      </c>
      <c r="E1747" s="92">
        <v>0</v>
      </c>
      <c r="F1747">
        <v>930</v>
      </c>
      <c r="G1747">
        <v>1070</v>
      </c>
      <c r="H1747" t="s">
        <v>4930</v>
      </c>
      <c r="I1747">
        <v>0</v>
      </c>
      <c r="J1747" t="s">
        <v>97</v>
      </c>
      <c r="K1747">
        <v>0</v>
      </c>
      <c r="L1747">
        <v>0</v>
      </c>
      <c r="M1747" t="s">
        <v>11</v>
      </c>
    </row>
    <row r="1748" spans="1:13">
      <c r="A1748" s="93">
        <v>177092</v>
      </c>
      <c r="B1748" t="s">
        <v>2292</v>
      </c>
      <c r="C1748" t="s">
        <v>4924</v>
      </c>
      <c r="D1748" s="92" t="s">
        <v>446</v>
      </c>
      <c r="E1748" s="92" t="s">
        <v>446</v>
      </c>
      <c r="F1748" t="s">
        <v>446</v>
      </c>
      <c r="G1748" t="s">
        <v>446</v>
      </c>
      <c r="H1748" t="s">
        <v>4932</v>
      </c>
      <c r="I1748">
        <v>0</v>
      </c>
      <c r="J1748" t="s">
        <v>97</v>
      </c>
      <c r="K1748">
        <v>0</v>
      </c>
      <c r="L1748">
        <v>0</v>
      </c>
      <c r="M1748" t="s">
        <v>11</v>
      </c>
    </row>
    <row r="1749" spans="1:13">
      <c r="A1749" s="93">
        <v>177117</v>
      </c>
      <c r="B1749" t="s">
        <v>2293</v>
      </c>
      <c r="C1749" t="s">
        <v>4920</v>
      </c>
      <c r="D1749" s="92">
        <v>0.6899999999999999</v>
      </c>
      <c r="E1749" s="92">
        <v>0.77</v>
      </c>
      <c r="F1749">
        <v>970</v>
      </c>
      <c r="G1749">
        <v>1090</v>
      </c>
      <c r="H1749" t="s">
        <v>4930</v>
      </c>
      <c r="I1749">
        <v>0</v>
      </c>
      <c r="J1749" t="s">
        <v>97</v>
      </c>
      <c r="K1749">
        <v>0</v>
      </c>
      <c r="L1749">
        <v>0</v>
      </c>
      <c r="M1749" t="s">
        <v>11</v>
      </c>
    </row>
    <row r="1750" spans="1:13">
      <c r="A1750" s="93">
        <v>177126</v>
      </c>
      <c r="B1750" t="s">
        <v>2294</v>
      </c>
      <c r="C1750" t="s">
        <v>4924</v>
      </c>
      <c r="D1750" s="92" t="s">
        <v>446</v>
      </c>
      <c r="E1750" s="92" t="s">
        <v>446</v>
      </c>
      <c r="F1750" t="s">
        <v>446</v>
      </c>
      <c r="G1750" t="s">
        <v>446</v>
      </c>
      <c r="H1750" t="s">
        <v>4932</v>
      </c>
      <c r="I1750">
        <v>0</v>
      </c>
      <c r="J1750" t="s">
        <v>97</v>
      </c>
      <c r="K1750">
        <v>0</v>
      </c>
      <c r="L1750">
        <v>0</v>
      </c>
      <c r="M1750" t="s">
        <v>11</v>
      </c>
    </row>
    <row r="1751" spans="1:13">
      <c r="A1751" s="93">
        <v>177135</v>
      </c>
      <c r="B1751" t="s">
        <v>2295</v>
      </c>
      <c r="C1751" t="s">
        <v>4919</v>
      </c>
      <c r="D1751" s="92">
        <v>0.43</v>
      </c>
      <c r="E1751" s="92">
        <v>0.44</v>
      </c>
      <c r="F1751" t="s">
        <v>446</v>
      </c>
      <c r="G1751" t="s">
        <v>446</v>
      </c>
      <c r="H1751" t="s">
        <v>4932</v>
      </c>
      <c r="I1751">
        <v>0</v>
      </c>
      <c r="J1751" t="s">
        <v>97</v>
      </c>
      <c r="K1751">
        <v>0</v>
      </c>
      <c r="L1751">
        <v>0</v>
      </c>
      <c r="M1751" t="s">
        <v>11</v>
      </c>
    </row>
    <row r="1752" spans="1:13">
      <c r="A1752" s="93">
        <v>177144</v>
      </c>
      <c r="B1752" t="s">
        <v>2296</v>
      </c>
      <c r="C1752" t="s">
        <v>4920</v>
      </c>
      <c r="D1752" s="92">
        <v>0.48</v>
      </c>
      <c r="E1752" s="92">
        <v>0.3</v>
      </c>
      <c r="F1752">
        <v>970</v>
      </c>
      <c r="G1752">
        <v>1025</v>
      </c>
      <c r="H1752" t="s">
        <v>4930</v>
      </c>
      <c r="I1752">
        <v>0</v>
      </c>
      <c r="J1752" t="s">
        <v>97</v>
      </c>
      <c r="K1752">
        <v>0</v>
      </c>
      <c r="L1752">
        <v>0</v>
      </c>
      <c r="M1752" t="s">
        <v>11</v>
      </c>
    </row>
    <row r="1753" spans="1:13">
      <c r="A1753" s="93">
        <v>177214</v>
      </c>
      <c r="B1753" t="s">
        <v>2297</v>
      </c>
      <c r="C1753" t="s">
        <v>4916</v>
      </c>
      <c r="D1753" s="92">
        <v>0.59</v>
      </c>
      <c r="E1753" s="92">
        <v>0.55</v>
      </c>
      <c r="F1753">
        <v>1140</v>
      </c>
      <c r="G1753">
        <v>1255</v>
      </c>
      <c r="H1753" t="s">
        <v>4931</v>
      </c>
      <c r="I1753">
        <v>0</v>
      </c>
      <c r="J1753" t="s">
        <v>97</v>
      </c>
      <c r="K1753">
        <v>0</v>
      </c>
      <c r="L1753">
        <v>0</v>
      </c>
      <c r="M1753" t="s">
        <v>11</v>
      </c>
    </row>
    <row r="1754" spans="1:13">
      <c r="A1754" s="93">
        <v>177250</v>
      </c>
      <c r="B1754" t="s">
        <v>2298</v>
      </c>
      <c r="C1754" t="s">
        <v>4919</v>
      </c>
      <c r="D1754" s="92">
        <v>0.46</v>
      </c>
      <c r="E1754" s="92">
        <v>0.35</v>
      </c>
      <c r="F1754" t="s">
        <v>446</v>
      </c>
      <c r="G1754" t="s">
        <v>446</v>
      </c>
      <c r="H1754" t="s">
        <v>4932</v>
      </c>
      <c r="I1754">
        <v>0</v>
      </c>
      <c r="J1754" t="s">
        <v>97</v>
      </c>
      <c r="K1754">
        <v>0</v>
      </c>
      <c r="L1754">
        <v>0</v>
      </c>
      <c r="M1754" t="s">
        <v>11</v>
      </c>
    </row>
    <row r="1755" spans="1:13">
      <c r="A1755" s="93">
        <v>177278</v>
      </c>
      <c r="B1755" t="s">
        <v>2299</v>
      </c>
      <c r="C1755" t="s">
        <v>4924</v>
      </c>
      <c r="D1755" s="92" t="s">
        <v>446</v>
      </c>
      <c r="E1755" s="92" t="s">
        <v>446</v>
      </c>
      <c r="F1755" t="s">
        <v>446</v>
      </c>
      <c r="G1755" t="s">
        <v>446</v>
      </c>
      <c r="H1755" t="s">
        <v>4932</v>
      </c>
      <c r="I1755">
        <v>0</v>
      </c>
      <c r="J1755" t="s">
        <v>97</v>
      </c>
      <c r="K1755">
        <v>0</v>
      </c>
      <c r="L1755">
        <v>0</v>
      </c>
      <c r="M1755" t="s">
        <v>11</v>
      </c>
    </row>
    <row r="1756" spans="1:13">
      <c r="A1756" s="93">
        <v>177302</v>
      </c>
      <c r="B1756" t="s">
        <v>2300</v>
      </c>
      <c r="C1756" t="s">
        <v>4919</v>
      </c>
      <c r="D1756" s="92" t="s">
        <v>446</v>
      </c>
      <c r="E1756" s="92" t="s">
        <v>446</v>
      </c>
      <c r="F1756" t="s">
        <v>446</v>
      </c>
      <c r="G1756" t="s">
        <v>446</v>
      </c>
      <c r="H1756" t="s">
        <v>4930</v>
      </c>
      <c r="I1756">
        <v>0</v>
      </c>
      <c r="J1756" t="s">
        <v>97</v>
      </c>
      <c r="K1756">
        <v>0</v>
      </c>
      <c r="L1756">
        <v>0</v>
      </c>
      <c r="M1756" t="s">
        <v>11</v>
      </c>
    </row>
    <row r="1757" spans="1:13">
      <c r="A1757" s="93">
        <v>177339</v>
      </c>
      <c r="B1757" t="s">
        <v>2301</v>
      </c>
      <c r="C1757" t="s">
        <v>4920</v>
      </c>
      <c r="D1757" s="92">
        <v>0.53</v>
      </c>
      <c r="E1757" s="92">
        <v>0.23</v>
      </c>
      <c r="F1757" t="s">
        <v>446</v>
      </c>
      <c r="G1757" t="s">
        <v>446</v>
      </c>
      <c r="H1757" t="s">
        <v>4930</v>
      </c>
      <c r="I1757">
        <v>0</v>
      </c>
      <c r="J1757" t="s">
        <v>97</v>
      </c>
      <c r="K1757">
        <v>0</v>
      </c>
      <c r="L1757">
        <v>0</v>
      </c>
      <c r="M1757" t="s">
        <v>11</v>
      </c>
    </row>
    <row r="1758" spans="1:13">
      <c r="A1758" s="93">
        <v>177418</v>
      </c>
      <c r="B1758" t="s">
        <v>2302</v>
      </c>
      <c r="C1758" t="s">
        <v>4920</v>
      </c>
      <c r="D1758" s="92">
        <v>0.6</v>
      </c>
      <c r="E1758" s="92">
        <v>0.57</v>
      </c>
      <c r="F1758">
        <v>970</v>
      </c>
      <c r="G1758">
        <v>1090</v>
      </c>
      <c r="H1758" t="s">
        <v>4931</v>
      </c>
      <c r="I1758">
        <v>0</v>
      </c>
      <c r="J1758" t="s">
        <v>97</v>
      </c>
      <c r="K1758">
        <v>0</v>
      </c>
      <c r="L1758">
        <v>0</v>
      </c>
      <c r="M1758" t="s">
        <v>11</v>
      </c>
    </row>
    <row r="1759" spans="1:13">
      <c r="A1759" s="93">
        <v>177472</v>
      </c>
      <c r="B1759" t="s">
        <v>2303</v>
      </c>
      <c r="C1759" t="s">
        <v>4919</v>
      </c>
      <c r="D1759" s="92">
        <v>0.39</v>
      </c>
      <c r="E1759" s="92">
        <v>0.29</v>
      </c>
      <c r="F1759" t="s">
        <v>446</v>
      </c>
      <c r="G1759" t="s">
        <v>446</v>
      </c>
      <c r="H1759" t="s">
        <v>4932</v>
      </c>
      <c r="I1759">
        <v>0</v>
      </c>
      <c r="J1759" t="s">
        <v>97</v>
      </c>
      <c r="K1759">
        <v>0</v>
      </c>
      <c r="L1759">
        <v>0</v>
      </c>
      <c r="M1759" t="s">
        <v>11</v>
      </c>
    </row>
    <row r="1760" spans="1:13">
      <c r="A1760" s="93">
        <v>177542</v>
      </c>
      <c r="B1760" t="s">
        <v>2304</v>
      </c>
      <c r="C1760" t="s">
        <v>4920</v>
      </c>
      <c r="D1760" s="92">
        <v>0.39</v>
      </c>
      <c r="E1760" s="92">
        <v>0.11</v>
      </c>
      <c r="F1760">
        <v>1010</v>
      </c>
      <c r="G1760">
        <v>1095</v>
      </c>
      <c r="H1760" t="s">
        <v>4930</v>
      </c>
      <c r="I1760">
        <v>0</v>
      </c>
      <c r="J1760" t="s">
        <v>97</v>
      </c>
      <c r="K1760">
        <v>0</v>
      </c>
      <c r="L1760">
        <v>0</v>
      </c>
      <c r="M1760" t="s">
        <v>11</v>
      </c>
    </row>
    <row r="1761" spans="1:13">
      <c r="A1761" s="93">
        <v>177676</v>
      </c>
      <c r="B1761" t="s">
        <v>2305</v>
      </c>
      <c r="C1761" t="s">
        <v>4919</v>
      </c>
      <c r="D1761" s="92">
        <v>0.4</v>
      </c>
      <c r="E1761" s="92">
        <v>0.37</v>
      </c>
      <c r="F1761" t="s">
        <v>446</v>
      </c>
      <c r="G1761" t="s">
        <v>446</v>
      </c>
      <c r="H1761" t="s">
        <v>4932</v>
      </c>
      <c r="I1761">
        <v>0</v>
      </c>
      <c r="J1761" t="s">
        <v>97</v>
      </c>
      <c r="K1761">
        <v>0</v>
      </c>
      <c r="L1761">
        <v>0</v>
      </c>
      <c r="M1761" t="s">
        <v>11</v>
      </c>
    </row>
    <row r="1762" spans="1:13">
      <c r="A1762" s="93">
        <v>177719</v>
      </c>
      <c r="B1762" t="s">
        <v>2306</v>
      </c>
      <c r="C1762" t="s">
        <v>4924</v>
      </c>
      <c r="D1762" s="92" t="s">
        <v>446</v>
      </c>
      <c r="E1762" s="92" t="s">
        <v>446</v>
      </c>
      <c r="F1762" t="s">
        <v>446</v>
      </c>
      <c r="G1762" t="s">
        <v>446</v>
      </c>
      <c r="H1762" t="s">
        <v>4932</v>
      </c>
      <c r="I1762">
        <v>0</v>
      </c>
      <c r="J1762" t="s">
        <v>97</v>
      </c>
      <c r="K1762">
        <v>0</v>
      </c>
      <c r="L1762">
        <v>0</v>
      </c>
      <c r="M1762" t="s">
        <v>11</v>
      </c>
    </row>
    <row r="1763" spans="1:13">
      <c r="A1763" s="93">
        <v>177746</v>
      </c>
      <c r="B1763" t="s">
        <v>2307</v>
      </c>
      <c r="C1763" t="s">
        <v>4920</v>
      </c>
      <c r="D1763" s="92">
        <v>0.6</v>
      </c>
      <c r="E1763" s="92">
        <v>0.62</v>
      </c>
      <c r="F1763" t="s">
        <v>446</v>
      </c>
      <c r="G1763" t="s">
        <v>446</v>
      </c>
      <c r="H1763" t="s">
        <v>4930</v>
      </c>
      <c r="I1763">
        <v>0</v>
      </c>
      <c r="J1763" t="s">
        <v>97</v>
      </c>
      <c r="K1763">
        <v>0</v>
      </c>
      <c r="L1763">
        <v>0</v>
      </c>
      <c r="M1763" t="s">
        <v>11</v>
      </c>
    </row>
    <row r="1764" spans="1:13">
      <c r="A1764" s="93">
        <v>177816</v>
      </c>
      <c r="B1764" t="s">
        <v>2308</v>
      </c>
      <c r="C1764" t="s">
        <v>4924</v>
      </c>
      <c r="D1764" s="92">
        <v>0.72</v>
      </c>
      <c r="E1764" s="92" t="s">
        <v>446</v>
      </c>
      <c r="F1764" t="s">
        <v>446</v>
      </c>
      <c r="G1764" t="s">
        <v>446</v>
      </c>
      <c r="H1764" t="s">
        <v>4932</v>
      </c>
      <c r="I1764">
        <v>0</v>
      </c>
      <c r="J1764" t="s">
        <v>97</v>
      </c>
      <c r="K1764">
        <v>0</v>
      </c>
      <c r="L1764">
        <v>0</v>
      </c>
      <c r="M1764" t="s">
        <v>11</v>
      </c>
    </row>
    <row r="1765" spans="1:13">
      <c r="A1765" s="93">
        <v>177834</v>
      </c>
      <c r="B1765" t="s">
        <v>2309</v>
      </c>
      <c r="C1765" t="s">
        <v>4924</v>
      </c>
      <c r="D1765" s="92" t="s">
        <v>446</v>
      </c>
      <c r="E1765" s="92" t="s">
        <v>446</v>
      </c>
      <c r="F1765" t="s">
        <v>446</v>
      </c>
      <c r="G1765" t="s">
        <v>446</v>
      </c>
      <c r="H1765" t="s">
        <v>4932</v>
      </c>
      <c r="I1765">
        <v>0</v>
      </c>
      <c r="J1765" t="s">
        <v>97</v>
      </c>
      <c r="K1765">
        <v>0</v>
      </c>
      <c r="L1765">
        <v>0</v>
      </c>
      <c r="M1765" t="s">
        <v>11</v>
      </c>
    </row>
    <row r="1766" spans="1:13">
      <c r="A1766" s="93">
        <v>177977</v>
      </c>
      <c r="B1766" t="s">
        <v>2310</v>
      </c>
      <c r="C1766" t="s">
        <v>4919</v>
      </c>
      <c r="D1766" s="92">
        <v>0.74</v>
      </c>
      <c r="E1766" s="92">
        <v>0.64</v>
      </c>
      <c r="F1766" t="s">
        <v>446</v>
      </c>
      <c r="G1766" t="s">
        <v>446</v>
      </c>
      <c r="H1766" t="s">
        <v>4932</v>
      </c>
      <c r="I1766">
        <v>0</v>
      </c>
      <c r="J1766" t="s">
        <v>97</v>
      </c>
      <c r="K1766">
        <v>0</v>
      </c>
      <c r="L1766">
        <v>0</v>
      </c>
      <c r="M1766" t="s">
        <v>11</v>
      </c>
    </row>
    <row r="1767" spans="1:13">
      <c r="A1767" s="93">
        <v>177986</v>
      </c>
      <c r="B1767" t="s">
        <v>2311</v>
      </c>
      <c r="C1767" t="s">
        <v>4920</v>
      </c>
      <c r="D1767" s="92" t="s">
        <v>446</v>
      </c>
      <c r="E1767" s="92" t="s">
        <v>446</v>
      </c>
      <c r="F1767" t="s">
        <v>446</v>
      </c>
      <c r="G1767" t="s">
        <v>446</v>
      </c>
      <c r="H1767" t="s">
        <v>4931</v>
      </c>
      <c r="I1767">
        <v>0</v>
      </c>
      <c r="J1767" t="s">
        <v>97</v>
      </c>
      <c r="K1767">
        <v>0</v>
      </c>
      <c r="L1767">
        <v>0</v>
      </c>
      <c r="M1767" t="s">
        <v>11</v>
      </c>
    </row>
    <row r="1768" spans="1:13">
      <c r="A1768" s="93">
        <v>177995</v>
      </c>
      <c r="B1768" t="s">
        <v>2312</v>
      </c>
      <c r="C1768" t="s">
        <v>4919</v>
      </c>
      <c r="D1768" s="92">
        <v>0.35</v>
      </c>
      <c r="E1768" s="92">
        <v>0.26</v>
      </c>
      <c r="F1768" t="s">
        <v>446</v>
      </c>
      <c r="G1768" t="s">
        <v>446</v>
      </c>
      <c r="H1768" t="s">
        <v>4932</v>
      </c>
      <c r="I1768">
        <v>0</v>
      </c>
      <c r="J1768" t="s">
        <v>97</v>
      </c>
      <c r="K1768">
        <v>0</v>
      </c>
      <c r="L1768">
        <v>0</v>
      </c>
      <c r="M1768" t="s">
        <v>11</v>
      </c>
    </row>
    <row r="1769" spans="1:13">
      <c r="A1769" s="93">
        <v>178004</v>
      </c>
      <c r="B1769" t="s">
        <v>2313</v>
      </c>
      <c r="C1769" t="s">
        <v>4925</v>
      </c>
      <c r="D1769" s="92" t="s">
        <v>446</v>
      </c>
      <c r="E1769" s="92" t="s">
        <v>446</v>
      </c>
      <c r="F1769" t="s">
        <v>446</v>
      </c>
      <c r="G1769" t="s">
        <v>446</v>
      </c>
      <c r="H1769" t="s">
        <v>4932</v>
      </c>
      <c r="I1769">
        <v>0</v>
      </c>
      <c r="J1769" t="s">
        <v>97</v>
      </c>
      <c r="K1769">
        <v>0</v>
      </c>
      <c r="L1769">
        <v>0</v>
      </c>
      <c r="M1769" t="s">
        <v>11</v>
      </c>
    </row>
    <row r="1770" spans="1:13">
      <c r="A1770" s="93">
        <v>178183</v>
      </c>
      <c r="B1770" t="s">
        <v>2314</v>
      </c>
      <c r="C1770" t="s">
        <v>4925</v>
      </c>
      <c r="D1770" s="92" t="s">
        <v>446</v>
      </c>
      <c r="E1770" s="92" t="s">
        <v>446</v>
      </c>
      <c r="F1770" t="s">
        <v>446</v>
      </c>
      <c r="G1770" t="s">
        <v>446</v>
      </c>
      <c r="H1770" t="s">
        <v>4930</v>
      </c>
      <c r="I1770">
        <v>0</v>
      </c>
      <c r="J1770" t="s">
        <v>97</v>
      </c>
      <c r="K1770">
        <v>0</v>
      </c>
      <c r="L1770">
        <v>0</v>
      </c>
      <c r="M1770" t="s">
        <v>11</v>
      </c>
    </row>
    <row r="1771" spans="1:13">
      <c r="A1771" s="93">
        <v>178208</v>
      </c>
      <c r="B1771" t="s">
        <v>2315</v>
      </c>
      <c r="C1771" t="s">
        <v>4923</v>
      </c>
      <c r="D1771" s="92">
        <v>0.39</v>
      </c>
      <c r="E1771" s="92">
        <v>0.25</v>
      </c>
      <c r="F1771" t="s">
        <v>446</v>
      </c>
      <c r="G1771" t="s">
        <v>446</v>
      </c>
      <c r="H1771" t="s">
        <v>4930</v>
      </c>
      <c r="I1771">
        <v>0</v>
      </c>
      <c r="J1771" t="s">
        <v>97</v>
      </c>
      <c r="K1771">
        <v>0</v>
      </c>
      <c r="L1771">
        <v>0</v>
      </c>
      <c r="M1771" t="s">
        <v>11</v>
      </c>
    </row>
    <row r="1772" spans="1:13">
      <c r="A1772" s="93">
        <v>178217</v>
      </c>
      <c r="B1772" t="s">
        <v>2316</v>
      </c>
      <c r="C1772" t="s">
        <v>4919</v>
      </c>
      <c r="D1772" s="92">
        <v>0.46</v>
      </c>
      <c r="E1772" s="92">
        <v>0.41</v>
      </c>
      <c r="F1772" t="s">
        <v>446</v>
      </c>
      <c r="G1772" t="s">
        <v>446</v>
      </c>
      <c r="H1772" t="s">
        <v>4932</v>
      </c>
      <c r="I1772">
        <v>0</v>
      </c>
      <c r="J1772" t="s">
        <v>97</v>
      </c>
      <c r="K1772">
        <v>0</v>
      </c>
      <c r="L1772">
        <v>0</v>
      </c>
      <c r="M1772" t="s">
        <v>11</v>
      </c>
    </row>
    <row r="1773" spans="1:13">
      <c r="A1773" s="93">
        <v>178244</v>
      </c>
      <c r="B1773" t="s">
        <v>2317</v>
      </c>
      <c r="C1773" t="s">
        <v>4920</v>
      </c>
      <c r="D1773" s="92">
        <v>0.4</v>
      </c>
      <c r="E1773" s="92">
        <v>0.21</v>
      </c>
      <c r="F1773">
        <v>930</v>
      </c>
      <c r="G1773">
        <v>1135</v>
      </c>
      <c r="H1773" t="s">
        <v>4930</v>
      </c>
      <c r="I1773">
        <v>0</v>
      </c>
      <c r="J1773" t="s">
        <v>97</v>
      </c>
      <c r="K1773">
        <v>0</v>
      </c>
      <c r="L1773">
        <v>0</v>
      </c>
      <c r="M1773" t="s">
        <v>11</v>
      </c>
    </row>
    <row r="1774" spans="1:13">
      <c r="A1774" s="93">
        <v>178341</v>
      </c>
      <c r="B1774" t="s">
        <v>2318</v>
      </c>
      <c r="C1774" t="s">
        <v>4920</v>
      </c>
      <c r="D1774" s="92">
        <v>0.34</v>
      </c>
      <c r="E1774" s="92">
        <v>0.23</v>
      </c>
      <c r="F1774">
        <v>970</v>
      </c>
      <c r="G1774">
        <v>1075</v>
      </c>
      <c r="H1774" t="s">
        <v>4932</v>
      </c>
      <c r="I1774">
        <v>0</v>
      </c>
      <c r="J1774" t="s">
        <v>97</v>
      </c>
      <c r="K1774">
        <v>0</v>
      </c>
      <c r="L1774">
        <v>0</v>
      </c>
      <c r="M1774" t="s">
        <v>11</v>
      </c>
    </row>
    <row r="1775" spans="1:13">
      <c r="A1775" s="93">
        <v>178369</v>
      </c>
      <c r="B1775" t="s">
        <v>2319</v>
      </c>
      <c r="C1775" t="s">
        <v>4920</v>
      </c>
      <c r="D1775" s="92">
        <v>0.23</v>
      </c>
      <c r="E1775" s="92">
        <v>0.17</v>
      </c>
      <c r="F1775">
        <v>890</v>
      </c>
      <c r="G1775">
        <v>985</v>
      </c>
      <c r="H1775" t="s">
        <v>4930</v>
      </c>
      <c r="I1775">
        <v>0</v>
      </c>
      <c r="J1775" t="s">
        <v>97</v>
      </c>
      <c r="K1775">
        <v>0</v>
      </c>
      <c r="L1775">
        <v>0</v>
      </c>
      <c r="M1775" t="s">
        <v>11</v>
      </c>
    </row>
    <row r="1776" spans="1:13">
      <c r="A1776" s="93">
        <v>178387</v>
      </c>
      <c r="B1776" t="s">
        <v>2320</v>
      </c>
      <c r="C1776" t="s">
        <v>4926</v>
      </c>
      <c r="D1776" s="92">
        <v>0.36</v>
      </c>
      <c r="E1776" s="92">
        <v>0.22</v>
      </c>
      <c r="F1776" t="s">
        <v>446</v>
      </c>
      <c r="G1776" t="s">
        <v>446</v>
      </c>
      <c r="H1776" t="s">
        <v>4932</v>
      </c>
      <c r="I1776">
        <v>0</v>
      </c>
      <c r="J1776" t="s">
        <v>97</v>
      </c>
      <c r="K1776">
        <v>0</v>
      </c>
      <c r="L1776">
        <v>0</v>
      </c>
      <c r="M1776" t="s">
        <v>11</v>
      </c>
    </row>
    <row r="1777" spans="1:13">
      <c r="A1777" s="93">
        <v>178411</v>
      </c>
      <c r="B1777" t="s">
        <v>2321</v>
      </c>
      <c r="C1777" t="s">
        <v>4917</v>
      </c>
      <c r="D1777" s="92">
        <v>0.63</v>
      </c>
      <c r="E1777" s="92">
        <v>0.38</v>
      </c>
      <c r="F1777">
        <v>1240</v>
      </c>
      <c r="G1777">
        <v>1335</v>
      </c>
      <c r="H1777" t="s">
        <v>4930</v>
      </c>
      <c r="I1777">
        <v>0</v>
      </c>
      <c r="J1777" t="s">
        <v>97</v>
      </c>
      <c r="K1777">
        <v>0</v>
      </c>
      <c r="L1777">
        <v>0</v>
      </c>
      <c r="M1777" t="s">
        <v>11</v>
      </c>
    </row>
    <row r="1778" spans="1:13">
      <c r="A1778" s="93">
        <v>178448</v>
      </c>
      <c r="B1778" t="s">
        <v>2322</v>
      </c>
      <c r="C1778" t="s">
        <v>4919</v>
      </c>
      <c r="D1778" s="92">
        <v>0.44</v>
      </c>
      <c r="E1778" s="92">
        <v>0.36</v>
      </c>
      <c r="F1778" t="s">
        <v>446</v>
      </c>
      <c r="G1778" t="s">
        <v>446</v>
      </c>
      <c r="H1778" t="s">
        <v>4932</v>
      </c>
      <c r="I1778">
        <v>0</v>
      </c>
      <c r="J1778" t="s">
        <v>97</v>
      </c>
      <c r="K1778">
        <v>0</v>
      </c>
      <c r="L1778">
        <v>0</v>
      </c>
      <c r="M1778" t="s">
        <v>11</v>
      </c>
    </row>
    <row r="1779" spans="1:13">
      <c r="A1779" s="93">
        <v>178518</v>
      </c>
      <c r="B1779" t="s">
        <v>2323</v>
      </c>
      <c r="C1779" t="s">
        <v>4924</v>
      </c>
      <c r="D1779" s="92" t="s">
        <v>446</v>
      </c>
      <c r="E1779" s="92" t="s">
        <v>446</v>
      </c>
      <c r="F1779" t="s">
        <v>446</v>
      </c>
      <c r="G1779" t="s">
        <v>446</v>
      </c>
      <c r="H1779" t="s">
        <v>4932</v>
      </c>
      <c r="I1779">
        <v>0</v>
      </c>
      <c r="J1779" t="s">
        <v>97</v>
      </c>
      <c r="K1779">
        <v>0</v>
      </c>
      <c r="L1779">
        <v>0</v>
      </c>
      <c r="M1779" t="s">
        <v>11</v>
      </c>
    </row>
    <row r="1780" spans="1:13">
      <c r="A1780" s="93">
        <v>178624</v>
      </c>
      <c r="B1780" t="s">
        <v>2324</v>
      </c>
      <c r="C1780" t="s">
        <v>4920</v>
      </c>
      <c r="D1780" s="92">
        <v>0.51</v>
      </c>
      <c r="E1780" s="92">
        <v>0.31</v>
      </c>
      <c r="F1780">
        <v>1010</v>
      </c>
      <c r="G1780">
        <v>1095</v>
      </c>
      <c r="H1780" t="s">
        <v>4932</v>
      </c>
      <c r="I1780">
        <v>0</v>
      </c>
      <c r="J1780" t="s">
        <v>97</v>
      </c>
      <c r="K1780">
        <v>0</v>
      </c>
      <c r="L1780">
        <v>0</v>
      </c>
      <c r="M1780" t="s">
        <v>11</v>
      </c>
    </row>
    <row r="1781" spans="1:13">
      <c r="A1781" s="93">
        <v>178679</v>
      </c>
      <c r="B1781" t="s">
        <v>2325</v>
      </c>
      <c r="C1781" t="s">
        <v>4920</v>
      </c>
      <c r="D1781" s="92">
        <v>0.54</v>
      </c>
      <c r="E1781" s="92">
        <v>0.5600000000000001</v>
      </c>
      <c r="F1781" t="s">
        <v>446</v>
      </c>
      <c r="G1781" t="s">
        <v>446</v>
      </c>
      <c r="H1781" t="s">
        <v>4931</v>
      </c>
      <c r="I1781">
        <v>0</v>
      </c>
      <c r="J1781" t="s">
        <v>97</v>
      </c>
      <c r="K1781">
        <v>0</v>
      </c>
      <c r="L1781">
        <v>0</v>
      </c>
      <c r="M1781" t="s">
        <v>11</v>
      </c>
    </row>
    <row r="1782" spans="1:13">
      <c r="A1782" s="93">
        <v>178697</v>
      </c>
      <c r="B1782" t="s">
        <v>2326</v>
      </c>
      <c r="C1782" t="s">
        <v>4920</v>
      </c>
      <c r="D1782" s="92">
        <v>0.65</v>
      </c>
      <c r="E1782" s="92">
        <v>0.46</v>
      </c>
      <c r="F1782">
        <v>1040</v>
      </c>
      <c r="G1782">
        <v>1125</v>
      </c>
      <c r="H1782" t="s">
        <v>4931</v>
      </c>
      <c r="I1782">
        <v>0</v>
      </c>
      <c r="J1782" t="s">
        <v>97</v>
      </c>
      <c r="K1782">
        <v>0</v>
      </c>
      <c r="L1782">
        <v>0</v>
      </c>
      <c r="M1782" t="s">
        <v>11</v>
      </c>
    </row>
    <row r="1783" spans="1:13">
      <c r="A1783" s="93">
        <v>178721</v>
      </c>
      <c r="B1783" t="s">
        <v>2327</v>
      </c>
      <c r="C1783" t="s">
        <v>4920</v>
      </c>
      <c r="D1783" s="92">
        <v>0.27</v>
      </c>
      <c r="E1783" s="92">
        <v>0.24</v>
      </c>
      <c r="F1783" t="s">
        <v>446</v>
      </c>
      <c r="G1783" t="s">
        <v>446</v>
      </c>
      <c r="H1783" t="s">
        <v>4929</v>
      </c>
      <c r="I1783">
        <v>1</v>
      </c>
      <c r="J1783" t="s">
        <v>97</v>
      </c>
      <c r="K1783">
        <v>0</v>
      </c>
      <c r="L1783">
        <v>0</v>
      </c>
      <c r="M1783" t="s">
        <v>11</v>
      </c>
    </row>
    <row r="1784" spans="1:13">
      <c r="A1784" s="93">
        <v>178767</v>
      </c>
      <c r="B1784" t="s">
        <v>2328</v>
      </c>
      <c r="C1784" t="s">
        <v>4924</v>
      </c>
      <c r="D1784" s="92">
        <v>1</v>
      </c>
      <c r="E1784" s="92">
        <v>1</v>
      </c>
      <c r="F1784" t="s">
        <v>446</v>
      </c>
      <c r="G1784" t="s">
        <v>446</v>
      </c>
      <c r="H1784" t="s">
        <v>4930</v>
      </c>
      <c r="I1784">
        <v>0</v>
      </c>
      <c r="J1784" t="s">
        <v>97</v>
      </c>
      <c r="K1784">
        <v>0</v>
      </c>
      <c r="L1784">
        <v>0</v>
      </c>
      <c r="M1784" t="s">
        <v>11</v>
      </c>
    </row>
    <row r="1785" spans="1:13">
      <c r="A1785" s="93">
        <v>178891</v>
      </c>
      <c r="B1785" t="s">
        <v>2329</v>
      </c>
      <c r="C1785" t="s">
        <v>4923</v>
      </c>
      <c r="D1785" s="92">
        <v>0.46</v>
      </c>
      <c r="E1785" s="92">
        <v>0.44</v>
      </c>
      <c r="F1785" t="s">
        <v>446</v>
      </c>
      <c r="G1785" t="s">
        <v>446</v>
      </c>
      <c r="H1785" t="s">
        <v>4931</v>
      </c>
      <c r="I1785">
        <v>0</v>
      </c>
      <c r="J1785" t="s">
        <v>97</v>
      </c>
      <c r="K1785">
        <v>0</v>
      </c>
      <c r="L1785">
        <v>0</v>
      </c>
      <c r="M1785" t="s">
        <v>11</v>
      </c>
    </row>
    <row r="1786" spans="1:13">
      <c r="A1786" s="93">
        <v>178989</v>
      </c>
      <c r="B1786" t="s">
        <v>2330</v>
      </c>
      <c r="C1786" t="s">
        <v>4926</v>
      </c>
      <c r="D1786" s="92" t="s">
        <v>446</v>
      </c>
      <c r="E1786" s="92" t="s">
        <v>446</v>
      </c>
      <c r="F1786" t="s">
        <v>446</v>
      </c>
      <c r="G1786" t="s">
        <v>446</v>
      </c>
      <c r="H1786" t="s">
        <v>4932</v>
      </c>
      <c r="I1786">
        <v>0</v>
      </c>
      <c r="J1786" t="s">
        <v>97</v>
      </c>
      <c r="K1786">
        <v>0</v>
      </c>
      <c r="L1786">
        <v>0</v>
      </c>
      <c r="M1786" t="s">
        <v>11</v>
      </c>
    </row>
    <row r="1787" spans="1:13">
      <c r="A1787" s="93">
        <v>179043</v>
      </c>
      <c r="B1787" t="s">
        <v>2331</v>
      </c>
      <c r="C1787" t="s">
        <v>4920</v>
      </c>
      <c r="D1787" s="92">
        <v>0.74</v>
      </c>
      <c r="E1787" s="92">
        <v>0.63</v>
      </c>
      <c r="F1787">
        <v>1010</v>
      </c>
      <c r="G1787">
        <v>1125</v>
      </c>
      <c r="H1787" t="s">
        <v>4931</v>
      </c>
      <c r="I1787">
        <v>0</v>
      </c>
      <c r="J1787" t="s">
        <v>97</v>
      </c>
      <c r="K1787">
        <v>0</v>
      </c>
      <c r="L1787">
        <v>0</v>
      </c>
      <c r="M1787" t="s">
        <v>11</v>
      </c>
    </row>
    <row r="1788" spans="1:13">
      <c r="A1788" s="93">
        <v>179052</v>
      </c>
      <c r="B1788" t="s">
        <v>2332</v>
      </c>
      <c r="C1788" t="s">
        <v>4925</v>
      </c>
      <c r="D1788" s="92" t="s">
        <v>446</v>
      </c>
      <c r="E1788" s="92" t="s">
        <v>446</v>
      </c>
      <c r="F1788" t="s">
        <v>446</v>
      </c>
      <c r="G1788" t="s">
        <v>446</v>
      </c>
      <c r="H1788" t="s">
        <v>4932</v>
      </c>
      <c r="I1788">
        <v>0</v>
      </c>
      <c r="J1788" t="s">
        <v>97</v>
      </c>
      <c r="K1788">
        <v>0</v>
      </c>
      <c r="L1788">
        <v>0</v>
      </c>
      <c r="M1788" t="s">
        <v>11</v>
      </c>
    </row>
    <row r="1789" spans="1:13">
      <c r="A1789" s="93">
        <v>179256</v>
      </c>
      <c r="B1789" t="s">
        <v>2333</v>
      </c>
      <c r="C1789" t="s">
        <v>4918</v>
      </c>
      <c r="D1789" s="92">
        <v>0.47</v>
      </c>
      <c r="E1789" s="92">
        <v>0.5</v>
      </c>
      <c r="F1789" t="s">
        <v>446</v>
      </c>
      <c r="G1789" t="s">
        <v>446</v>
      </c>
      <c r="H1789" t="s">
        <v>4931</v>
      </c>
      <c r="I1789">
        <v>0</v>
      </c>
      <c r="J1789" t="s">
        <v>97</v>
      </c>
      <c r="K1789">
        <v>0</v>
      </c>
      <c r="L1789">
        <v>0</v>
      </c>
      <c r="M1789" t="s">
        <v>11</v>
      </c>
    </row>
    <row r="1790" spans="1:13">
      <c r="A1790" s="93">
        <v>179265</v>
      </c>
      <c r="B1790" t="s">
        <v>2334</v>
      </c>
      <c r="C1790" t="s">
        <v>4923</v>
      </c>
      <c r="D1790" s="92">
        <v>0.79</v>
      </c>
      <c r="E1790" s="92">
        <v>0.73</v>
      </c>
      <c r="F1790">
        <v>1110</v>
      </c>
      <c r="G1790">
        <v>1175</v>
      </c>
      <c r="H1790" t="s">
        <v>4930</v>
      </c>
      <c r="I1790">
        <v>0</v>
      </c>
      <c r="J1790" t="s">
        <v>97</v>
      </c>
      <c r="K1790">
        <v>0</v>
      </c>
      <c r="L1790">
        <v>0</v>
      </c>
      <c r="M1790" t="s">
        <v>11</v>
      </c>
    </row>
    <row r="1791" spans="1:13">
      <c r="A1791" s="93">
        <v>179308</v>
      </c>
      <c r="B1791" t="s">
        <v>2335</v>
      </c>
      <c r="C1791" t="s">
        <v>4919</v>
      </c>
      <c r="D1791" s="92">
        <v>0.31</v>
      </c>
      <c r="E1791" s="92">
        <v>0.17</v>
      </c>
      <c r="F1791" t="s">
        <v>446</v>
      </c>
      <c r="G1791" t="s">
        <v>446</v>
      </c>
      <c r="H1791" t="s">
        <v>4932</v>
      </c>
      <c r="I1791">
        <v>0</v>
      </c>
      <c r="J1791" t="s">
        <v>97</v>
      </c>
      <c r="K1791">
        <v>0</v>
      </c>
      <c r="L1791">
        <v>0</v>
      </c>
      <c r="M1791" t="s">
        <v>11</v>
      </c>
    </row>
    <row r="1792" spans="1:13">
      <c r="A1792" s="93">
        <v>179317</v>
      </c>
      <c r="B1792" t="s">
        <v>2336</v>
      </c>
      <c r="C1792" t="s">
        <v>4924</v>
      </c>
      <c r="D1792" s="92" t="s">
        <v>446</v>
      </c>
      <c r="E1792" s="92" t="s">
        <v>446</v>
      </c>
      <c r="F1792" t="s">
        <v>446</v>
      </c>
      <c r="G1792" t="s">
        <v>446</v>
      </c>
      <c r="H1792" t="s">
        <v>4932</v>
      </c>
      <c r="I1792">
        <v>0</v>
      </c>
      <c r="J1792" t="s">
        <v>97</v>
      </c>
      <c r="K1792">
        <v>0</v>
      </c>
      <c r="L1792">
        <v>0</v>
      </c>
      <c r="M1792" t="s">
        <v>11</v>
      </c>
    </row>
    <row r="1793" spans="1:13">
      <c r="A1793" s="93">
        <v>179326</v>
      </c>
      <c r="B1793" t="s">
        <v>2337</v>
      </c>
      <c r="C1793" t="s">
        <v>4918</v>
      </c>
      <c r="D1793" s="92">
        <v>0.47</v>
      </c>
      <c r="E1793" s="92">
        <v>0.19</v>
      </c>
      <c r="F1793">
        <v>970</v>
      </c>
      <c r="G1793">
        <v>1090</v>
      </c>
      <c r="H1793" t="s">
        <v>4930</v>
      </c>
      <c r="I1793">
        <v>0</v>
      </c>
      <c r="J1793" t="s">
        <v>97</v>
      </c>
      <c r="K1793">
        <v>0</v>
      </c>
      <c r="L1793">
        <v>0</v>
      </c>
      <c r="M1793" t="s">
        <v>11</v>
      </c>
    </row>
    <row r="1794" spans="1:13">
      <c r="A1794" s="93">
        <v>179344</v>
      </c>
      <c r="B1794" t="s">
        <v>2338</v>
      </c>
      <c r="C1794" t="s">
        <v>4919</v>
      </c>
      <c r="D1794" s="92">
        <v>0.4</v>
      </c>
      <c r="E1794" s="92">
        <v>0.39</v>
      </c>
      <c r="F1794" t="s">
        <v>446</v>
      </c>
      <c r="G1794" t="s">
        <v>446</v>
      </c>
      <c r="H1794" t="s">
        <v>4932</v>
      </c>
      <c r="I1794">
        <v>0</v>
      </c>
      <c r="J1794" t="s">
        <v>97</v>
      </c>
      <c r="K1794">
        <v>0</v>
      </c>
      <c r="L1794">
        <v>0</v>
      </c>
      <c r="M1794" t="s">
        <v>11</v>
      </c>
    </row>
    <row r="1795" spans="1:13">
      <c r="A1795" s="93">
        <v>179511</v>
      </c>
      <c r="B1795" t="s">
        <v>2339</v>
      </c>
      <c r="C1795" t="s">
        <v>4919</v>
      </c>
      <c r="D1795" s="92" t="s">
        <v>446</v>
      </c>
      <c r="E1795" s="92" t="s">
        <v>446</v>
      </c>
      <c r="F1795" t="s">
        <v>446</v>
      </c>
      <c r="G1795" t="s">
        <v>446</v>
      </c>
      <c r="H1795" t="s">
        <v>4930</v>
      </c>
      <c r="I1795">
        <v>0</v>
      </c>
      <c r="J1795" t="s">
        <v>97</v>
      </c>
      <c r="K1795">
        <v>0</v>
      </c>
      <c r="L1795">
        <v>0</v>
      </c>
      <c r="M1795" t="s">
        <v>11</v>
      </c>
    </row>
    <row r="1796" spans="1:13">
      <c r="A1796" s="93">
        <v>179548</v>
      </c>
      <c r="B1796" t="s">
        <v>2340</v>
      </c>
      <c r="C1796" t="s">
        <v>4920</v>
      </c>
      <c r="D1796" s="92">
        <v>0.53</v>
      </c>
      <c r="E1796" s="92">
        <v>0.47</v>
      </c>
      <c r="F1796">
        <v>1010</v>
      </c>
      <c r="G1796">
        <v>1075</v>
      </c>
      <c r="H1796" t="s">
        <v>4930</v>
      </c>
      <c r="I1796">
        <v>0</v>
      </c>
      <c r="J1796" t="s">
        <v>97</v>
      </c>
      <c r="K1796">
        <v>0</v>
      </c>
      <c r="L1796">
        <v>0</v>
      </c>
      <c r="M1796" t="s">
        <v>11</v>
      </c>
    </row>
    <row r="1797" spans="1:13">
      <c r="A1797" s="93">
        <v>179566</v>
      </c>
      <c r="B1797" t="s">
        <v>2341</v>
      </c>
      <c r="C1797" t="s">
        <v>4920</v>
      </c>
      <c r="D1797" s="92">
        <v>0.59</v>
      </c>
      <c r="E1797" s="92">
        <v>0.52</v>
      </c>
      <c r="F1797">
        <v>1040</v>
      </c>
      <c r="G1797">
        <v>1140</v>
      </c>
      <c r="H1797" t="s">
        <v>4930</v>
      </c>
      <c r="I1797">
        <v>0</v>
      </c>
      <c r="J1797" t="s">
        <v>97</v>
      </c>
      <c r="K1797">
        <v>0</v>
      </c>
      <c r="L1797">
        <v>0</v>
      </c>
      <c r="M1797" t="s">
        <v>11</v>
      </c>
    </row>
    <row r="1798" spans="1:13">
      <c r="A1798" s="93">
        <v>179645</v>
      </c>
      <c r="B1798" t="s">
        <v>2342</v>
      </c>
      <c r="C1798" t="s">
        <v>4919</v>
      </c>
      <c r="D1798" s="92">
        <v>0.35</v>
      </c>
      <c r="E1798" s="92">
        <v>0.23</v>
      </c>
      <c r="F1798" t="s">
        <v>446</v>
      </c>
      <c r="G1798" t="s">
        <v>446</v>
      </c>
      <c r="H1798" t="s">
        <v>4932</v>
      </c>
      <c r="I1798">
        <v>0</v>
      </c>
      <c r="J1798" t="s">
        <v>97</v>
      </c>
      <c r="K1798">
        <v>0</v>
      </c>
      <c r="L1798">
        <v>0</v>
      </c>
      <c r="M1798" t="s">
        <v>11</v>
      </c>
    </row>
    <row r="1799" spans="1:13">
      <c r="A1799" s="93">
        <v>179715</v>
      </c>
      <c r="B1799" t="s">
        <v>2343</v>
      </c>
      <c r="C1799" t="s">
        <v>4919</v>
      </c>
      <c r="D1799" s="92">
        <v>0.53</v>
      </c>
      <c r="E1799" s="92">
        <v>0.47</v>
      </c>
      <c r="F1799" t="s">
        <v>446</v>
      </c>
      <c r="G1799" t="s">
        <v>446</v>
      </c>
      <c r="H1799" t="s">
        <v>4932</v>
      </c>
      <c r="I1799">
        <v>0</v>
      </c>
      <c r="J1799" t="s">
        <v>97</v>
      </c>
      <c r="K1799">
        <v>0</v>
      </c>
      <c r="L1799">
        <v>0</v>
      </c>
      <c r="M1799" t="s">
        <v>11</v>
      </c>
    </row>
    <row r="1800" spans="1:13">
      <c r="A1800" s="93">
        <v>179812</v>
      </c>
      <c r="B1800" t="s">
        <v>2344</v>
      </c>
      <c r="C1800" t="s">
        <v>4924</v>
      </c>
      <c r="D1800" s="92" t="s">
        <v>446</v>
      </c>
      <c r="E1800" s="92" t="s">
        <v>446</v>
      </c>
      <c r="F1800" t="s">
        <v>446</v>
      </c>
      <c r="G1800" t="s">
        <v>446</v>
      </c>
      <c r="H1800" t="s">
        <v>4932</v>
      </c>
      <c r="I1800">
        <v>0</v>
      </c>
      <c r="J1800" t="s">
        <v>97</v>
      </c>
      <c r="K1800">
        <v>0</v>
      </c>
      <c r="L1800">
        <v>0</v>
      </c>
      <c r="M1800" t="s">
        <v>11</v>
      </c>
    </row>
    <row r="1801" spans="1:13">
      <c r="A1801" s="93">
        <v>179894</v>
      </c>
      <c r="B1801" t="s">
        <v>2345</v>
      </c>
      <c r="C1801" t="s">
        <v>4920</v>
      </c>
      <c r="D1801" s="92">
        <v>0.57</v>
      </c>
      <c r="E1801" s="92">
        <v>0.43</v>
      </c>
      <c r="F1801">
        <v>1040</v>
      </c>
      <c r="G1801">
        <v>1160</v>
      </c>
      <c r="H1801" t="s">
        <v>4930</v>
      </c>
      <c r="I1801">
        <v>0</v>
      </c>
      <c r="J1801" t="s">
        <v>97</v>
      </c>
      <c r="K1801">
        <v>0</v>
      </c>
      <c r="L1801">
        <v>0</v>
      </c>
      <c r="M1801" t="s">
        <v>11</v>
      </c>
    </row>
    <row r="1802" spans="1:13">
      <c r="A1802" s="93">
        <v>179946</v>
      </c>
      <c r="B1802" t="s">
        <v>2346</v>
      </c>
      <c r="C1802" t="s">
        <v>4920</v>
      </c>
      <c r="D1802" s="92">
        <v>0.57</v>
      </c>
      <c r="E1802" s="92">
        <v>0.46</v>
      </c>
      <c r="F1802">
        <v>970</v>
      </c>
      <c r="G1802">
        <v>1075</v>
      </c>
      <c r="H1802" t="s">
        <v>4930</v>
      </c>
      <c r="I1802">
        <v>0</v>
      </c>
      <c r="J1802" t="s">
        <v>97</v>
      </c>
      <c r="K1802">
        <v>0</v>
      </c>
      <c r="L1802">
        <v>0</v>
      </c>
      <c r="M1802" t="s">
        <v>11</v>
      </c>
    </row>
    <row r="1803" spans="1:13">
      <c r="A1803" s="93">
        <v>179955</v>
      </c>
      <c r="B1803" t="s">
        <v>2347</v>
      </c>
      <c r="C1803" t="s">
        <v>4920</v>
      </c>
      <c r="D1803" s="92">
        <v>0.64</v>
      </c>
      <c r="E1803" s="92">
        <v>0.53</v>
      </c>
      <c r="F1803">
        <v>1080</v>
      </c>
      <c r="G1803">
        <v>1180</v>
      </c>
      <c r="H1803" t="s">
        <v>4930</v>
      </c>
      <c r="I1803">
        <v>0</v>
      </c>
      <c r="J1803" t="s">
        <v>97</v>
      </c>
      <c r="K1803">
        <v>0</v>
      </c>
      <c r="L1803">
        <v>0</v>
      </c>
      <c r="M1803" t="s">
        <v>11</v>
      </c>
    </row>
    <row r="1804" spans="1:13">
      <c r="A1804" s="93">
        <v>179964</v>
      </c>
      <c r="B1804" t="s">
        <v>2348</v>
      </c>
      <c r="C1804" t="s">
        <v>4920</v>
      </c>
      <c r="D1804" s="92">
        <v>0.55</v>
      </c>
      <c r="E1804" s="92">
        <v>0.6899999999999999</v>
      </c>
      <c r="F1804" t="s">
        <v>446</v>
      </c>
      <c r="G1804" t="s">
        <v>446</v>
      </c>
      <c r="H1804" t="s">
        <v>4930</v>
      </c>
      <c r="I1804">
        <v>0</v>
      </c>
      <c r="J1804" t="s">
        <v>97</v>
      </c>
      <c r="K1804">
        <v>0</v>
      </c>
      <c r="L1804">
        <v>0</v>
      </c>
      <c r="M1804" t="s">
        <v>11</v>
      </c>
    </row>
    <row r="1805" spans="1:13">
      <c r="A1805" s="93">
        <v>180054</v>
      </c>
      <c r="B1805" t="s">
        <v>2349</v>
      </c>
      <c r="C1805" t="s">
        <v>4919</v>
      </c>
      <c r="D1805" s="92" t="s">
        <v>446</v>
      </c>
      <c r="E1805" s="92" t="s">
        <v>446</v>
      </c>
      <c r="F1805" t="s">
        <v>446</v>
      </c>
      <c r="G1805" t="s">
        <v>446</v>
      </c>
      <c r="H1805" t="s">
        <v>4929</v>
      </c>
      <c r="I1805">
        <v>1</v>
      </c>
      <c r="J1805" t="s">
        <v>97</v>
      </c>
      <c r="K1805">
        <v>0</v>
      </c>
      <c r="L1805">
        <v>0</v>
      </c>
      <c r="M1805" t="s">
        <v>11</v>
      </c>
    </row>
    <row r="1806" spans="1:13">
      <c r="A1806" s="93">
        <v>180081</v>
      </c>
      <c r="B1806" t="s">
        <v>2350</v>
      </c>
      <c r="C1806" t="s">
        <v>4919</v>
      </c>
      <c r="D1806" s="92">
        <v>0.34</v>
      </c>
      <c r="E1806" s="92">
        <v>0.11</v>
      </c>
      <c r="F1806" t="s">
        <v>446</v>
      </c>
      <c r="G1806" t="s">
        <v>446</v>
      </c>
      <c r="H1806" t="s">
        <v>4932</v>
      </c>
      <c r="I1806">
        <v>0</v>
      </c>
      <c r="J1806" t="s">
        <v>97</v>
      </c>
      <c r="K1806">
        <v>0</v>
      </c>
      <c r="L1806">
        <v>0</v>
      </c>
      <c r="M1806" t="s">
        <v>11</v>
      </c>
    </row>
    <row r="1807" spans="1:13">
      <c r="A1807" s="93">
        <v>180106</v>
      </c>
      <c r="B1807" t="s">
        <v>2351</v>
      </c>
      <c r="C1807" t="s">
        <v>4920</v>
      </c>
      <c r="D1807" s="92">
        <v>0.66</v>
      </c>
      <c r="E1807" s="92">
        <v>0.67</v>
      </c>
      <c r="F1807">
        <v>1100</v>
      </c>
      <c r="G1807">
        <v>1190</v>
      </c>
      <c r="H1807" t="s">
        <v>4930</v>
      </c>
      <c r="I1807">
        <v>0</v>
      </c>
      <c r="J1807" t="s">
        <v>97</v>
      </c>
      <c r="K1807">
        <v>0</v>
      </c>
      <c r="L1807">
        <v>0</v>
      </c>
      <c r="M1807" t="s">
        <v>11</v>
      </c>
    </row>
    <row r="1808" spans="1:13">
      <c r="A1808" s="93">
        <v>180160</v>
      </c>
      <c r="B1808" t="s">
        <v>2352</v>
      </c>
      <c r="C1808" t="s">
        <v>4919</v>
      </c>
      <c r="D1808" s="92" t="s">
        <v>446</v>
      </c>
      <c r="E1808" s="92" t="s">
        <v>446</v>
      </c>
      <c r="F1808" t="s">
        <v>446</v>
      </c>
      <c r="G1808" t="s">
        <v>446</v>
      </c>
      <c r="H1808" t="s">
        <v>4932</v>
      </c>
      <c r="I1808">
        <v>0</v>
      </c>
      <c r="J1808" t="s">
        <v>97</v>
      </c>
      <c r="K1808">
        <v>0</v>
      </c>
      <c r="L1808">
        <v>0</v>
      </c>
      <c r="M1808" t="s">
        <v>11</v>
      </c>
    </row>
    <row r="1809" spans="1:13">
      <c r="A1809" s="93">
        <v>180179</v>
      </c>
      <c r="B1809" t="s">
        <v>2353</v>
      </c>
      <c r="C1809" t="s">
        <v>4920</v>
      </c>
      <c r="D1809" s="92">
        <v>0.25</v>
      </c>
      <c r="E1809" s="92">
        <v>0.14</v>
      </c>
      <c r="F1809" t="s">
        <v>446</v>
      </c>
      <c r="G1809" t="s">
        <v>446</v>
      </c>
      <c r="H1809" t="s">
        <v>4932</v>
      </c>
      <c r="I1809">
        <v>0</v>
      </c>
      <c r="J1809" t="s">
        <v>97</v>
      </c>
      <c r="K1809">
        <v>0</v>
      </c>
      <c r="L1809">
        <v>0</v>
      </c>
      <c r="M1809" t="s">
        <v>11</v>
      </c>
    </row>
    <row r="1810" spans="1:13">
      <c r="A1810" s="93">
        <v>180197</v>
      </c>
      <c r="B1810" t="s">
        <v>2354</v>
      </c>
      <c r="C1810" t="s">
        <v>4919</v>
      </c>
      <c r="D1810" s="92">
        <v>0.39</v>
      </c>
      <c r="E1810" s="92">
        <v>0.11</v>
      </c>
      <c r="F1810" t="s">
        <v>446</v>
      </c>
      <c r="G1810" t="s">
        <v>446</v>
      </c>
      <c r="H1810" t="s">
        <v>4932</v>
      </c>
      <c r="I1810">
        <v>0</v>
      </c>
      <c r="J1810" t="s">
        <v>97</v>
      </c>
      <c r="K1810">
        <v>0</v>
      </c>
      <c r="L1810">
        <v>0</v>
      </c>
      <c r="M1810" t="s">
        <v>11</v>
      </c>
    </row>
    <row r="1811" spans="1:13">
      <c r="A1811" s="93">
        <v>180203</v>
      </c>
      <c r="B1811" t="s">
        <v>2355</v>
      </c>
      <c r="C1811" t="s">
        <v>4919</v>
      </c>
      <c r="D1811" s="92">
        <v>0.29</v>
      </c>
      <c r="E1811" s="92" t="s">
        <v>446</v>
      </c>
      <c r="F1811" t="s">
        <v>446</v>
      </c>
      <c r="G1811" t="s">
        <v>446</v>
      </c>
      <c r="H1811" t="s">
        <v>4932</v>
      </c>
      <c r="I1811">
        <v>0</v>
      </c>
      <c r="J1811" t="s">
        <v>97</v>
      </c>
      <c r="K1811">
        <v>0</v>
      </c>
      <c r="L1811">
        <v>0</v>
      </c>
      <c r="M1811" t="s">
        <v>11</v>
      </c>
    </row>
    <row r="1812" spans="1:13">
      <c r="A1812" s="93">
        <v>180212</v>
      </c>
      <c r="B1812" t="s">
        <v>2356</v>
      </c>
      <c r="C1812" t="s">
        <v>4919</v>
      </c>
      <c r="D1812" s="92" t="s">
        <v>446</v>
      </c>
      <c r="E1812" s="92" t="s">
        <v>446</v>
      </c>
      <c r="F1812" t="s">
        <v>446</v>
      </c>
      <c r="G1812" t="s">
        <v>446</v>
      </c>
      <c r="H1812" t="s">
        <v>4932</v>
      </c>
      <c r="I1812">
        <v>0</v>
      </c>
      <c r="J1812" t="s">
        <v>97</v>
      </c>
      <c r="K1812">
        <v>0</v>
      </c>
      <c r="L1812">
        <v>0</v>
      </c>
      <c r="M1812" t="s">
        <v>11</v>
      </c>
    </row>
    <row r="1813" spans="1:13">
      <c r="A1813" s="93">
        <v>180249</v>
      </c>
      <c r="B1813" t="s">
        <v>2357</v>
      </c>
      <c r="C1813" t="s">
        <v>4919</v>
      </c>
      <c r="D1813" s="92">
        <v>0.36</v>
      </c>
      <c r="E1813" s="92">
        <v>0.2</v>
      </c>
      <c r="F1813" t="s">
        <v>446</v>
      </c>
      <c r="G1813" t="s">
        <v>446</v>
      </c>
      <c r="H1813" t="s">
        <v>4932</v>
      </c>
      <c r="I1813">
        <v>0</v>
      </c>
      <c r="J1813" t="s">
        <v>97</v>
      </c>
      <c r="K1813">
        <v>0</v>
      </c>
      <c r="L1813">
        <v>0</v>
      </c>
      <c r="M1813" t="s">
        <v>11</v>
      </c>
    </row>
    <row r="1814" spans="1:13">
      <c r="A1814" s="93">
        <v>180258</v>
      </c>
      <c r="B1814" t="s">
        <v>2358</v>
      </c>
      <c r="C1814" t="s">
        <v>4920</v>
      </c>
      <c r="D1814" s="92">
        <v>0.38</v>
      </c>
      <c r="E1814" s="92">
        <v>0.37</v>
      </c>
      <c r="F1814">
        <v>930</v>
      </c>
      <c r="G1814">
        <v>1035</v>
      </c>
      <c r="H1814" t="s">
        <v>4930</v>
      </c>
      <c r="I1814">
        <v>0</v>
      </c>
      <c r="J1814" t="s">
        <v>97</v>
      </c>
      <c r="K1814">
        <v>0</v>
      </c>
      <c r="L1814">
        <v>0</v>
      </c>
      <c r="M1814" t="s">
        <v>11</v>
      </c>
    </row>
    <row r="1815" spans="1:13">
      <c r="A1815" s="93">
        <v>180276</v>
      </c>
      <c r="B1815" t="s">
        <v>2359</v>
      </c>
      <c r="C1815" t="s">
        <v>4919</v>
      </c>
      <c r="D1815" s="92">
        <v>0.44</v>
      </c>
      <c r="E1815" s="92">
        <v>0.2</v>
      </c>
      <c r="F1815" t="s">
        <v>446</v>
      </c>
      <c r="G1815" t="s">
        <v>446</v>
      </c>
      <c r="H1815" t="s">
        <v>4932</v>
      </c>
      <c r="I1815">
        <v>0</v>
      </c>
      <c r="J1815" t="s">
        <v>97</v>
      </c>
      <c r="K1815">
        <v>0</v>
      </c>
      <c r="L1815">
        <v>0</v>
      </c>
      <c r="M1815" t="s">
        <v>11</v>
      </c>
    </row>
    <row r="1816" spans="1:13">
      <c r="A1816" s="93">
        <v>180328</v>
      </c>
      <c r="B1816" t="s">
        <v>2360</v>
      </c>
      <c r="C1816" t="s">
        <v>4919</v>
      </c>
      <c r="D1816" s="92" t="s">
        <v>446</v>
      </c>
      <c r="E1816" s="92" t="s">
        <v>446</v>
      </c>
      <c r="F1816" t="s">
        <v>446</v>
      </c>
      <c r="G1816" t="s">
        <v>446</v>
      </c>
      <c r="H1816" t="s">
        <v>4932</v>
      </c>
      <c r="I1816">
        <v>0</v>
      </c>
      <c r="J1816" t="s">
        <v>97</v>
      </c>
      <c r="K1816">
        <v>0</v>
      </c>
      <c r="L1816">
        <v>0</v>
      </c>
      <c r="M1816" t="s">
        <v>11</v>
      </c>
    </row>
    <row r="1817" spans="1:13">
      <c r="A1817" s="93">
        <v>180373</v>
      </c>
      <c r="B1817" t="s">
        <v>2361</v>
      </c>
      <c r="C1817" t="s">
        <v>4919</v>
      </c>
      <c r="D1817" s="92">
        <v>0.51</v>
      </c>
      <c r="E1817" s="92">
        <v>0.53</v>
      </c>
      <c r="F1817" t="s">
        <v>446</v>
      </c>
      <c r="G1817" t="s">
        <v>446</v>
      </c>
      <c r="H1817" t="s">
        <v>4932</v>
      </c>
      <c r="I1817">
        <v>0</v>
      </c>
      <c r="J1817" t="s">
        <v>97</v>
      </c>
      <c r="K1817">
        <v>0</v>
      </c>
      <c r="L1817">
        <v>0</v>
      </c>
      <c r="M1817" t="s">
        <v>11</v>
      </c>
    </row>
    <row r="1818" spans="1:13">
      <c r="A1818" s="93">
        <v>180416</v>
      </c>
      <c r="B1818" t="s">
        <v>2362</v>
      </c>
      <c r="C1818" t="s">
        <v>4920</v>
      </c>
      <c r="D1818" s="92">
        <v>0.55</v>
      </c>
      <c r="E1818" s="92">
        <v>0.45</v>
      </c>
      <c r="F1818">
        <v>1040</v>
      </c>
      <c r="G1818">
        <v>1160</v>
      </c>
      <c r="H1818" t="s">
        <v>4932</v>
      </c>
      <c r="I1818">
        <v>0</v>
      </c>
      <c r="J1818" t="s">
        <v>97</v>
      </c>
      <c r="K1818">
        <v>0</v>
      </c>
      <c r="L1818">
        <v>0</v>
      </c>
      <c r="M1818" t="s">
        <v>11</v>
      </c>
    </row>
    <row r="1819" spans="1:13">
      <c r="A1819" s="93">
        <v>180461</v>
      </c>
      <c r="B1819" t="s">
        <v>2363</v>
      </c>
      <c r="C1819" t="s">
        <v>4920</v>
      </c>
      <c r="D1819" s="92">
        <v>0.54</v>
      </c>
      <c r="E1819" s="92">
        <v>0.44</v>
      </c>
      <c r="F1819">
        <v>1070</v>
      </c>
      <c r="G1819">
        <v>1185</v>
      </c>
      <c r="H1819" t="s">
        <v>4932</v>
      </c>
      <c r="I1819">
        <v>0</v>
      </c>
      <c r="J1819" t="s">
        <v>97</v>
      </c>
      <c r="K1819">
        <v>0</v>
      </c>
      <c r="L1819">
        <v>0</v>
      </c>
      <c r="M1819" t="s">
        <v>11</v>
      </c>
    </row>
    <row r="1820" spans="1:13">
      <c r="A1820" s="93">
        <v>180489</v>
      </c>
      <c r="B1820" t="s">
        <v>2364</v>
      </c>
      <c r="C1820" t="s">
        <v>4920</v>
      </c>
      <c r="D1820" s="92">
        <v>0.48</v>
      </c>
      <c r="E1820" s="92">
        <v>0.31</v>
      </c>
      <c r="F1820">
        <v>970</v>
      </c>
      <c r="G1820">
        <v>1105</v>
      </c>
      <c r="H1820" t="s">
        <v>4932</v>
      </c>
      <c r="I1820">
        <v>0</v>
      </c>
      <c r="J1820" t="s">
        <v>97</v>
      </c>
      <c r="K1820">
        <v>0</v>
      </c>
      <c r="L1820">
        <v>0</v>
      </c>
      <c r="M1820" t="s">
        <v>11</v>
      </c>
    </row>
    <row r="1821" spans="1:13">
      <c r="A1821" s="93">
        <v>180522</v>
      </c>
      <c r="B1821" t="s">
        <v>2365</v>
      </c>
      <c r="C1821" t="s">
        <v>4923</v>
      </c>
      <c r="D1821" s="92">
        <v>0.32</v>
      </c>
      <c r="E1821" s="92">
        <v>0.2</v>
      </c>
      <c r="F1821" t="s">
        <v>446</v>
      </c>
      <c r="G1821" t="s">
        <v>446</v>
      </c>
      <c r="H1821" t="s">
        <v>4932</v>
      </c>
      <c r="I1821">
        <v>0</v>
      </c>
      <c r="J1821" t="s">
        <v>97</v>
      </c>
      <c r="K1821">
        <v>0</v>
      </c>
      <c r="L1821">
        <v>0</v>
      </c>
      <c r="M1821" t="s">
        <v>11</v>
      </c>
    </row>
    <row r="1822" spans="1:13">
      <c r="A1822" s="93">
        <v>180595</v>
      </c>
      <c r="B1822" t="s">
        <v>2366</v>
      </c>
      <c r="C1822" t="s">
        <v>4920</v>
      </c>
      <c r="D1822" s="92">
        <v>0.51</v>
      </c>
      <c r="E1822" s="92">
        <v>0.39</v>
      </c>
      <c r="F1822">
        <v>970</v>
      </c>
      <c r="G1822">
        <v>1090</v>
      </c>
      <c r="H1822" t="s">
        <v>4930</v>
      </c>
      <c r="I1822">
        <v>0</v>
      </c>
      <c r="J1822" t="s">
        <v>97</v>
      </c>
      <c r="K1822">
        <v>0</v>
      </c>
      <c r="L1822">
        <v>0</v>
      </c>
      <c r="M1822" t="s">
        <v>11</v>
      </c>
    </row>
    <row r="1823" spans="1:13">
      <c r="A1823" s="93">
        <v>180647</v>
      </c>
      <c r="B1823" t="s">
        <v>2367</v>
      </c>
      <c r="C1823" t="s">
        <v>4923</v>
      </c>
      <c r="D1823" s="92">
        <v>0.33</v>
      </c>
      <c r="E1823" s="92">
        <v>0.5</v>
      </c>
      <c r="F1823" t="s">
        <v>446</v>
      </c>
      <c r="G1823" t="s">
        <v>446</v>
      </c>
      <c r="H1823" t="s">
        <v>4932</v>
      </c>
      <c r="I1823">
        <v>0</v>
      </c>
      <c r="J1823" t="s">
        <v>97</v>
      </c>
      <c r="K1823">
        <v>0</v>
      </c>
      <c r="L1823">
        <v>0</v>
      </c>
      <c r="M1823" t="s">
        <v>11</v>
      </c>
    </row>
    <row r="1824" spans="1:13">
      <c r="A1824" s="93">
        <v>180692</v>
      </c>
      <c r="B1824" t="s">
        <v>2368</v>
      </c>
      <c r="C1824" t="s">
        <v>4918</v>
      </c>
      <c r="D1824" s="92">
        <v>0.44</v>
      </c>
      <c r="E1824" s="92">
        <v>0.53</v>
      </c>
      <c r="F1824" t="s">
        <v>446</v>
      </c>
      <c r="G1824" t="s">
        <v>446</v>
      </c>
      <c r="H1824" t="s">
        <v>4932</v>
      </c>
      <c r="I1824">
        <v>0</v>
      </c>
      <c r="J1824" t="s">
        <v>97</v>
      </c>
      <c r="K1824">
        <v>0</v>
      </c>
      <c r="L1824">
        <v>0</v>
      </c>
      <c r="M1824" t="s">
        <v>11</v>
      </c>
    </row>
    <row r="1825" spans="1:13">
      <c r="A1825" s="93">
        <v>180717</v>
      </c>
      <c r="B1825" t="s">
        <v>2369</v>
      </c>
      <c r="C1825" t="s">
        <v>4926</v>
      </c>
      <c r="D1825" s="92" t="s">
        <v>446</v>
      </c>
      <c r="E1825" s="92" t="s">
        <v>446</v>
      </c>
      <c r="F1825">
        <v>890</v>
      </c>
      <c r="G1825">
        <v>965</v>
      </c>
      <c r="H1825" t="s">
        <v>4931</v>
      </c>
      <c r="I1825">
        <v>0</v>
      </c>
      <c r="J1825" t="s">
        <v>97</v>
      </c>
      <c r="K1825">
        <v>0</v>
      </c>
      <c r="L1825">
        <v>0</v>
      </c>
      <c r="M1825" t="s">
        <v>11</v>
      </c>
    </row>
    <row r="1826" spans="1:13">
      <c r="A1826" s="93">
        <v>180832</v>
      </c>
      <c r="B1826" t="s">
        <v>2370</v>
      </c>
      <c r="C1826" t="s">
        <v>4920</v>
      </c>
      <c r="D1826" s="92">
        <v>0.48</v>
      </c>
      <c r="E1826" s="92">
        <v>0.17</v>
      </c>
      <c r="F1826" t="s">
        <v>446</v>
      </c>
      <c r="G1826" t="s">
        <v>446</v>
      </c>
      <c r="H1826" t="s">
        <v>4931</v>
      </c>
      <c r="I1826">
        <v>0</v>
      </c>
      <c r="J1826" t="s">
        <v>97</v>
      </c>
      <c r="K1826">
        <v>0</v>
      </c>
      <c r="L1826">
        <v>0</v>
      </c>
      <c r="M1826" t="s">
        <v>11</v>
      </c>
    </row>
    <row r="1827" spans="1:13">
      <c r="A1827" s="93">
        <v>180878</v>
      </c>
      <c r="B1827" t="s">
        <v>2371</v>
      </c>
      <c r="C1827" t="s">
        <v>4920</v>
      </c>
      <c r="D1827" s="92">
        <v>0.68</v>
      </c>
      <c r="E1827" s="92">
        <v>1</v>
      </c>
      <c r="F1827" t="s">
        <v>446</v>
      </c>
      <c r="G1827" t="s">
        <v>446</v>
      </c>
      <c r="H1827" t="s">
        <v>4930</v>
      </c>
      <c r="I1827">
        <v>0</v>
      </c>
      <c r="J1827" t="s">
        <v>97</v>
      </c>
      <c r="K1827">
        <v>0</v>
      </c>
      <c r="L1827">
        <v>0</v>
      </c>
      <c r="M1827" t="s">
        <v>11</v>
      </c>
    </row>
    <row r="1828" spans="1:13">
      <c r="A1828" s="93">
        <v>180902</v>
      </c>
      <c r="B1828" t="s">
        <v>2372</v>
      </c>
      <c r="C1828" t="s">
        <v>4919</v>
      </c>
      <c r="D1828" s="92">
        <v>0.46</v>
      </c>
      <c r="E1828" s="92">
        <v>0.36</v>
      </c>
      <c r="F1828" t="s">
        <v>446</v>
      </c>
      <c r="G1828" t="s">
        <v>446</v>
      </c>
      <c r="H1828" t="s">
        <v>4932</v>
      </c>
      <c r="I1828">
        <v>0</v>
      </c>
      <c r="J1828" t="s">
        <v>97</v>
      </c>
      <c r="K1828">
        <v>0</v>
      </c>
      <c r="L1828">
        <v>0</v>
      </c>
      <c r="M1828" t="s">
        <v>11</v>
      </c>
    </row>
    <row r="1829" spans="1:13">
      <c r="A1829" s="93">
        <v>180948</v>
      </c>
      <c r="B1829" t="s">
        <v>2373</v>
      </c>
      <c r="C1829" t="s">
        <v>4923</v>
      </c>
      <c r="D1829" s="92">
        <v>0.42</v>
      </c>
      <c r="E1829" s="92">
        <v>0.33</v>
      </c>
      <c r="F1829" t="s">
        <v>446</v>
      </c>
      <c r="G1829" t="s">
        <v>446</v>
      </c>
      <c r="H1829" t="s">
        <v>4932</v>
      </c>
      <c r="I1829">
        <v>0</v>
      </c>
      <c r="J1829" t="s">
        <v>97</v>
      </c>
      <c r="K1829">
        <v>0</v>
      </c>
      <c r="L1829">
        <v>0</v>
      </c>
      <c r="M1829" t="s">
        <v>11</v>
      </c>
    </row>
    <row r="1830" spans="1:13">
      <c r="A1830" s="93">
        <v>180957</v>
      </c>
      <c r="B1830" t="s">
        <v>2374</v>
      </c>
      <c r="C1830" t="s">
        <v>4919</v>
      </c>
      <c r="D1830" s="92" t="s">
        <v>446</v>
      </c>
      <c r="E1830" s="92" t="s">
        <v>446</v>
      </c>
      <c r="F1830" t="s">
        <v>446</v>
      </c>
      <c r="G1830" t="s">
        <v>446</v>
      </c>
      <c r="H1830" t="s">
        <v>4931</v>
      </c>
      <c r="I1830">
        <v>0</v>
      </c>
      <c r="J1830" t="s">
        <v>97</v>
      </c>
      <c r="K1830">
        <v>0</v>
      </c>
      <c r="L1830">
        <v>0</v>
      </c>
      <c r="M1830" t="s">
        <v>11</v>
      </c>
    </row>
    <row r="1831" spans="1:13">
      <c r="A1831" s="93">
        <v>180984</v>
      </c>
      <c r="B1831" t="s">
        <v>2375</v>
      </c>
      <c r="C1831" t="s">
        <v>4916</v>
      </c>
      <c r="D1831" s="92">
        <v>0.62</v>
      </c>
      <c r="E1831" s="92">
        <v>0.32</v>
      </c>
      <c r="F1831">
        <v>1010</v>
      </c>
      <c r="G1831">
        <v>1145</v>
      </c>
      <c r="H1831" t="s">
        <v>4930</v>
      </c>
      <c r="I1831">
        <v>0</v>
      </c>
      <c r="J1831" t="s">
        <v>97</v>
      </c>
      <c r="K1831">
        <v>0</v>
      </c>
      <c r="L1831">
        <v>0</v>
      </c>
      <c r="M1831" t="s">
        <v>11</v>
      </c>
    </row>
    <row r="1832" spans="1:13">
      <c r="A1832" s="93">
        <v>181002</v>
      </c>
      <c r="B1832" t="s">
        <v>2376</v>
      </c>
      <c r="C1832" t="s">
        <v>4916</v>
      </c>
      <c r="D1832" s="92">
        <v>0.78</v>
      </c>
      <c r="E1832" s="92">
        <v>0.76</v>
      </c>
      <c r="F1832">
        <v>1180</v>
      </c>
      <c r="G1832">
        <v>1305</v>
      </c>
      <c r="H1832" t="s">
        <v>4930</v>
      </c>
      <c r="I1832">
        <v>0</v>
      </c>
      <c r="J1832" t="s">
        <v>97</v>
      </c>
      <c r="K1832">
        <v>0</v>
      </c>
      <c r="L1832">
        <v>0</v>
      </c>
      <c r="M1832" t="s">
        <v>11</v>
      </c>
    </row>
    <row r="1833" spans="1:13">
      <c r="A1833" s="93">
        <v>181020</v>
      </c>
      <c r="B1833" t="s">
        <v>2377</v>
      </c>
      <c r="C1833" t="s">
        <v>4916</v>
      </c>
      <c r="D1833" s="92">
        <v>0.57</v>
      </c>
      <c r="E1833" s="92">
        <v>0.4</v>
      </c>
      <c r="F1833" t="s">
        <v>446</v>
      </c>
      <c r="G1833" t="s">
        <v>446</v>
      </c>
      <c r="H1833" t="s">
        <v>4930</v>
      </c>
      <c r="I1833">
        <v>0</v>
      </c>
      <c r="J1833" t="s">
        <v>97</v>
      </c>
      <c r="K1833">
        <v>0</v>
      </c>
      <c r="L1833">
        <v>0</v>
      </c>
      <c r="M1833" t="s">
        <v>11</v>
      </c>
    </row>
    <row r="1834" spans="1:13">
      <c r="A1834" s="93">
        <v>181127</v>
      </c>
      <c r="B1834" t="s">
        <v>2378</v>
      </c>
      <c r="C1834" t="s">
        <v>4920</v>
      </c>
      <c r="D1834" s="92">
        <v>0.57</v>
      </c>
      <c r="E1834" s="92">
        <v>0.48</v>
      </c>
      <c r="F1834" t="s">
        <v>446</v>
      </c>
      <c r="G1834" t="s">
        <v>446</v>
      </c>
      <c r="H1834" t="s">
        <v>4930</v>
      </c>
      <c r="I1834">
        <v>0</v>
      </c>
      <c r="J1834" t="s">
        <v>97</v>
      </c>
      <c r="K1834">
        <v>0</v>
      </c>
      <c r="L1834">
        <v>0</v>
      </c>
      <c r="M1834" t="s">
        <v>11</v>
      </c>
    </row>
    <row r="1835" spans="1:13">
      <c r="A1835" s="93">
        <v>181145</v>
      </c>
      <c r="B1835" t="s">
        <v>2379</v>
      </c>
      <c r="C1835" t="s">
        <v>4919</v>
      </c>
      <c r="D1835" s="92" t="s">
        <v>446</v>
      </c>
      <c r="E1835" s="92" t="s">
        <v>446</v>
      </c>
      <c r="F1835" t="s">
        <v>446</v>
      </c>
      <c r="G1835" t="s">
        <v>446</v>
      </c>
      <c r="H1835" t="s">
        <v>4932</v>
      </c>
      <c r="I1835">
        <v>0</v>
      </c>
      <c r="J1835" t="s">
        <v>97</v>
      </c>
      <c r="K1835">
        <v>0</v>
      </c>
      <c r="L1835">
        <v>0</v>
      </c>
      <c r="M1835" t="s">
        <v>11</v>
      </c>
    </row>
    <row r="1836" spans="1:13">
      <c r="A1836" s="93">
        <v>181190</v>
      </c>
      <c r="B1836" t="s">
        <v>2380</v>
      </c>
      <c r="C1836" t="s">
        <v>4919</v>
      </c>
      <c r="D1836" s="92" t="s">
        <v>446</v>
      </c>
      <c r="E1836" s="92" t="s">
        <v>446</v>
      </c>
      <c r="F1836" t="s">
        <v>446</v>
      </c>
      <c r="G1836" t="s">
        <v>446</v>
      </c>
      <c r="H1836" t="s">
        <v>4931</v>
      </c>
      <c r="I1836">
        <v>0</v>
      </c>
      <c r="J1836" t="s">
        <v>97</v>
      </c>
      <c r="K1836">
        <v>0</v>
      </c>
      <c r="L1836">
        <v>0</v>
      </c>
      <c r="M1836" t="s">
        <v>11</v>
      </c>
    </row>
    <row r="1837" spans="1:13">
      <c r="A1837" s="93">
        <v>181215</v>
      </c>
      <c r="B1837" t="s">
        <v>2381</v>
      </c>
      <c r="C1837" t="s">
        <v>4918</v>
      </c>
      <c r="D1837" s="92">
        <v>0.5600000000000001</v>
      </c>
      <c r="E1837" s="92">
        <v>0.44</v>
      </c>
      <c r="F1837">
        <v>970</v>
      </c>
      <c r="G1837">
        <v>1090</v>
      </c>
      <c r="H1837" t="s">
        <v>4932</v>
      </c>
      <c r="I1837">
        <v>0</v>
      </c>
      <c r="J1837" t="s">
        <v>97</v>
      </c>
      <c r="K1837">
        <v>0</v>
      </c>
      <c r="L1837">
        <v>0</v>
      </c>
      <c r="M1837" t="s">
        <v>11</v>
      </c>
    </row>
    <row r="1838" spans="1:13">
      <c r="A1838" s="93">
        <v>181297</v>
      </c>
      <c r="B1838" t="s">
        <v>2382</v>
      </c>
      <c r="C1838" t="s">
        <v>4926</v>
      </c>
      <c r="D1838" s="92">
        <v>0.65</v>
      </c>
      <c r="E1838" s="92">
        <v>1</v>
      </c>
      <c r="F1838" t="s">
        <v>446</v>
      </c>
      <c r="G1838" t="s">
        <v>446</v>
      </c>
      <c r="H1838" t="s">
        <v>4930</v>
      </c>
      <c r="I1838">
        <v>0</v>
      </c>
      <c r="J1838" t="s">
        <v>97</v>
      </c>
      <c r="K1838">
        <v>0</v>
      </c>
      <c r="L1838">
        <v>0</v>
      </c>
      <c r="M1838" t="s">
        <v>11</v>
      </c>
    </row>
    <row r="1839" spans="1:13">
      <c r="A1839" s="93">
        <v>181312</v>
      </c>
      <c r="B1839" t="s">
        <v>2383</v>
      </c>
      <c r="C1839" t="s">
        <v>4919</v>
      </c>
      <c r="D1839" s="92">
        <v>0.52</v>
      </c>
      <c r="E1839" s="92">
        <v>0.48</v>
      </c>
      <c r="F1839" t="s">
        <v>446</v>
      </c>
      <c r="G1839" t="s">
        <v>446</v>
      </c>
      <c r="H1839" t="s">
        <v>4932</v>
      </c>
      <c r="I1839">
        <v>0</v>
      </c>
      <c r="J1839" t="s">
        <v>97</v>
      </c>
      <c r="K1839">
        <v>0</v>
      </c>
      <c r="L1839">
        <v>0</v>
      </c>
      <c r="M1839" t="s">
        <v>11</v>
      </c>
    </row>
    <row r="1840" spans="1:13">
      <c r="A1840" s="93">
        <v>181330</v>
      </c>
      <c r="B1840" t="s">
        <v>2384</v>
      </c>
      <c r="C1840" t="s">
        <v>4926</v>
      </c>
      <c r="D1840" s="92">
        <v>0.43</v>
      </c>
      <c r="E1840" s="92">
        <v>0.28</v>
      </c>
      <c r="F1840">
        <v>1010</v>
      </c>
      <c r="G1840">
        <v>1075</v>
      </c>
      <c r="H1840" t="s">
        <v>4930</v>
      </c>
      <c r="I1840">
        <v>0</v>
      </c>
      <c r="J1840" t="s">
        <v>97</v>
      </c>
      <c r="K1840">
        <v>0</v>
      </c>
      <c r="L1840">
        <v>0</v>
      </c>
      <c r="M1840" t="s">
        <v>11</v>
      </c>
    </row>
    <row r="1841" spans="1:13">
      <c r="A1841" s="93">
        <v>181419</v>
      </c>
      <c r="B1841" t="s">
        <v>2385</v>
      </c>
      <c r="C1841" t="s">
        <v>4919</v>
      </c>
      <c r="D1841" s="92" t="s">
        <v>446</v>
      </c>
      <c r="E1841" s="92" t="s">
        <v>446</v>
      </c>
      <c r="F1841" t="s">
        <v>446</v>
      </c>
      <c r="G1841" t="s">
        <v>446</v>
      </c>
      <c r="H1841" t="s">
        <v>4932</v>
      </c>
      <c r="I1841">
        <v>0</v>
      </c>
      <c r="J1841" t="s">
        <v>97</v>
      </c>
      <c r="K1841">
        <v>0</v>
      </c>
      <c r="L1841">
        <v>0</v>
      </c>
      <c r="M1841" t="s">
        <v>11</v>
      </c>
    </row>
    <row r="1842" spans="1:13">
      <c r="A1842" s="93">
        <v>181428</v>
      </c>
      <c r="B1842" t="s">
        <v>2386</v>
      </c>
      <c r="C1842" t="s">
        <v>4924</v>
      </c>
      <c r="D1842" s="92" t="s">
        <v>446</v>
      </c>
      <c r="E1842" s="92" t="s">
        <v>446</v>
      </c>
      <c r="F1842" t="s">
        <v>446</v>
      </c>
      <c r="G1842" t="s">
        <v>446</v>
      </c>
      <c r="H1842" t="s">
        <v>4932</v>
      </c>
      <c r="I1842">
        <v>0</v>
      </c>
      <c r="J1842" t="s">
        <v>97</v>
      </c>
      <c r="K1842">
        <v>0</v>
      </c>
      <c r="L1842">
        <v>0</v>
      </c>
      <c r="M1842" t="s">
        <v>11</v>
      </c>
    </row>
    <row r="1843" spans="1:13">
      <c r="A1843" s="93">
        <v>181446</v>
      </c>
      <c r="B1843" t="s">
        <v>2387</v>
      </c>
      <c r="C1843" t="s">
        <v>4920</v>
      </c>
      <c r="D1843" s="92">
        <v>0.64</v>
      </c>
      <c r="E1843" s="92">
        <v>0.47</v>
      </c>
      <c r="F1843">
        <v>1140</v>
      </c>
      <c r="G1843">
        <v>1240</v>
      </c>
      <c r="H1843" t="s">
        <v>4930</v>
      </c>
      <c r="I1843">
        <v>0</v>
      </c>
      <c r="J1843" t="s">
        <v>97</v>
      </c>
      <c r="K1843">
        <v>0</v>
      </c>
      <c r="L1843">
        <v>0</v>
      </c>
      <c r="M1843" t="s">
        <v>11</v>
      </c>
    </row>
    <row r="1844" spans="1:13">
      <c r="A1844" s="93">
        <v>181464</v>
      </c>
      <c r="B1844" t="s">
        <v>2388</v>
      </c>
      <c r="C1844" t="s">
        <v>4916</v>
      </c>
      <c r="D1844" s="92">
        <v>0.66</v>
      </c>
      <c r="E1844" s="92">
        <v>0.52</v>
      </c>
      <c r="F1844">
        <v>1110</v>
      </c>
      <c r="G1844">
        <v>1210</v>
      </c>
      <c r="H1844" t="s">
        <v>4930</v>
      </c>
      <c r="I1844">
        <v>0</v>
      </c>
      <c r="J1844" t="s">
        <v>97</v>
      </c>
      <c r="K1844">
        <v>0</v>
      </c>
      <c r="L1844">
        <v>0</v>
      </c>
      <c r="M1844" t="s">
        <v>11</v>
      </c>
    </row>
    <row r="1845" spans="1:13">
      <c r="A1845" s="93">
        <v>181534</v>
      </c>
      <c r="B1845" t="s">
        <v>2389</v>
      </c>
      <c r="C1845" t="s">
        <v>4923</v>
      </c>
      <c r="D1845" s="92">
        <v>0.37</v>
      </c>
      <c r="E1845" s="92">
        <v>0.17</v>
      </c>
      <c r="F1845" t="s">
        <v>446</v>
      </c>
      <c r="G1845" t="s">
        <v>446</v>
      </c>
      <c r="H1845" t="s">
        <v>4932</v>
      </c>
      <c r="I1845">
        <v>0</v>
      </c>
      <c r="J1845" t="s">
        <v>97</v>
      </c>
      <c r="K1845">
        <v>0</v>
      </c>
      <c r="L1845">
        <v>0</v>
      </c>
      <c r="M1845" t="s">
        <v>11</v>
      </c>
    </row>
    <row r="1846" spans="1:13">
      <c r="A1846" s="93">
        <v>181543</v>
      </c>
      <c r="B1846" t="s">
        <v>2390</v>
      </c>
      <c r="C1846" t="s">
        <v>4924</v>
      </c>
      <c r="D1846" s="92">
        <v>1</v>
      </c>
      <c r="E1846" s="92" t="s">
        <v>446</v>
      </c>
      <c r="F1846">
        <v>890</v>
      </c>
      <c r="G1846">
        <v>1015</v>
      </c>
      <c r="H1846" t="s">
        <v>4931</v>
      </c>
      <c r="I1846">
        <v>0</v>
      </c>
      <c r="J1846" t="s">
        <v>97</v>
      </c>
      <c r="K1846">
        <v>0</v>
      </c>
      <c r="L1846">
        <v>0</v>
      </c>
      <c r="M1846" t="s">
        <v>11</v>
      </c>
    </row>
    <row r="1847" spans="1:13">
      <c r="A1847" s="93">
        <v>181604</v>
      </c>
      <c r="B1847" t="s">
        <v>2391</v>
      </c>
      <c r="C1847" t="s">
        <v>4920</v>
      </c>
      <c r="D1847" s="92">
        <v>0.58</v>
      </c>
      <c r="E1847" s="92">
        <v>0.44</v>
      </c>
      <c r="F1847" t="s">
        <v>446</v>
      </c>
      <c r="G1847" t="s">
        <v>446</v>
      </c>
      <c r="H1847" t="s">
        <v>4931</v>
      </c>
      <c r="I1847">
        <v>0</v>
      </c>
      <c r="J1847" t="s">
        <v>97</v>
      </c>
      <c r="K1847">
        <v>0</v>
      </c>
      <c r="L1847">
        <v>0</v>
      </c>
      <c r="M1847" t="s">
        <v>11</v>
      </c>
    </row>
    <row r="1848" spans="1:13">
      <c r="A1848" s="93">
        <v>181640</v>
      </c>
      <c r="B1848" t="s">
        <v>2392</v>
      </c>
      <c r="C1848" t="s">
        <v>4919</v>
      </c>
      <c r="D1848" s="92">
        <v>0.44</v>
      </c>
      <c r="E1848" s="92">
        <v>0.27</v>
      </c>
      <c r="F1848" t="s">
        <v>446</v>
      </c>
      <c r="G1848" t="s">
        <v>446</v>
      </c>
      <c r="H1848" t="s">
        <v>4932</v>
      </c>
      <c r="I1848">
        <v>0</v>
      </c>
      <c r="J1848" t="s">
        <v>97</v>
      </c>
      <c r="K1848">
        <v>0</v>
      </c>
      <c r="L1848">
        <v>0</v>
      </c>
      <c r="M1848" t="s">
        <v>11</v>
      </c>
    </row>
    <row r="1849" spans="1:13">
      <c r="A1849" s="93">
        <v>181738</v>
      </c>
      <c r="B1849" t="s">
        <v>1021</v>
      </c>
      <c r="C1849" t="s">
        <v>4920</v>
      </c>
      <c r="D1849" s="92">
        <v>0.53</v>
      </c>
      <c r="E1849" s="92">
        <v>0.51</v>
      </c>
      <c r="F1849">
        <v>970</v>
      </c>
      <c r="G1849">
        <v>1075</v>
      </c>
      <c r="H1849" t="s">
        <v>4930</v>
      </c>
      <c r="I1849">
        <v>0</v>
      </c>
      <c r="J1849" t="s">
        <v>97</v>
      </c>
      <c r="K1849">
        <v>0</v>
      </c>
      <c r="L1849">
        <v>0</v>
      </c>
      <c r="M1849" t="s">
        <v>11</v>
      </c>
    </row>
    <row r="1850" spans="1:13">
      <c r="A1850" s="93">
        <v>181765</v>
      </c>
      <c r="B1850" t="s">
        <v>2393</v>
      </c>
      <c r="C1850" t="s">
        <v>4919</v>
      </c>
      <c r="D1850" s="92">
        <v>0.52</v>
      </c>
      <c r="E1850" s="92">
        <v>0.55</v>
      </c>
      <c r="F1850" t="s">
        <v>446</v>
      </c>
      <c r="G1850" t="s">
        <v>446</v>
      </c>
      <c r="H1850" t="s">
        <v>4932</v>
      </c>
      <c r="I1850">
        <v>0</v>
      </c>
      <c r="J1850" t="s">
        <v>97</v>
      </c>
      <c r="K1850">
        <v>0</v>
      </c>
      <c r="L1850">
        <v>0</v>
      </c>
      <c r="M1850" t="s">
        <v>11</v>
      </c>
    </row>
    <row r="1851" spans="1:13">
      <c r="A1851" s="93">
        <v>181817</v>
      </c>
      <c r="B1851" t="s">
        <v>2394</v>
      </c>
      <c r="C1851" t="s">
        <v>4919</v>
      </c>
      <c r="D1851" s="92" t="s">
        <v>446</v>
      </c>
      <c r="E1851" s="92" t="s">
        <v>446</v>
      </c>
      <c r="F1851" t="s">
        <v>446</v>
      </c>
      <c r="G1851" t="s">
        <v>446</v>
      </c>
      <c r="H1851" t="s">
        <v>4932</v>
      </c>
      <c r="I1851">
        <v>0</v>
      </c>
      <c r="J1851" t="s">
        <v>97</v>
      </c>
      <c r="K1851">
        <v>0</v>
      </c>
      <c r="L1851">
        <v>0</v>
      </c>
      <c r="M1851" t="s">
        <v>11</v>
      </c>
    </row>
    <row r="1852" spans="1:13">
      <c r="A1852" s="93">
        <v>181853</v>
      </c>
      <c r="B1852" t="s">
        <v>2395</v>
      </c>
      <c r="C1852" t="s">
        <v>4920</v>
      </c>
      <c r="D1852" s="92">
        <v>0.41</v>
      </c>
      <c r="E1852" s="92">
        <v>0.28</v>
      </c>
      <c r="F1852">
        <v>790</v>
      </c>
      <c r="G1852">
        <v>975</v>
      </c>
      <c r="H1852" t="s">
        <v>4930</v>
      </c>
      <c r="I1852">
        <v>0</v>
      </c>
      <c r="J1852" t="s">
        <v>97</v>
      </c>
      <c r="K1852">
        <v>0</v>
      </c>
      <c r="L1852">
        <v>0</v>
      </c>
      <c r="M1852" t="s">
        <v>11</v>
      </c>
    </row>
    <row r="1853" spans="1:13">
      <c r="A1853" s="93">
        <v>181941</v>
      </c>
      <c r="B1853" t="s">
        <v>2396</v>
      </c>
      <c r="C1853" t="s">
        <v>4919</v>
      </c>
      <c r="D1853" s="92" t="s">
        <v>446</v>
      </c>
      <c r="E1853" s="92" t="s">
        <v>446</v>
      </c>
      <c r="F1853" t="s">
        <v>446</v>
      </c>
      <c r="G1853" t="s">
        <v>446</v>
      </c>
      <c r="H1853" t="s">
        <v>4930</v>
      </c>
      <c r="I1853">
        <v>0</v>
      </c>
      <c r="J1853" t="s">
        <v>97</v>
      </c>
      <c r="K1853">
        <v>0</v>
      </c>
      <c r="L1853">
        <v>0</v>
      </c>
      <c r="M1853" t="s">
        <v>11</v>
      </c>
    </row>
    <row r="1854" spans="1:13">
      <c r="A1854" s="93">
        <v>182148</v>
      </c>
      <c r="B1854" t="s">
        <v>2397</v>
      </c>
      <c r="C1854" t="s">
        <v>4919</v>
      </c>
      <c r="D1854" s="92">
        <v>0.58</v>
      </c>
      <c r="E1854" s="92">
        <v>0.67</v>
      </c>
      <c r="F1854" t="s">
        <v>446</v>
      </c>
      <c r="G1854" t="s">
        <v>446</v>
      </c>
      <c r="H1854" t="s">
        <v>4930</v>
      </c>
      <c r="I1854">
        <v>0</v>
      </c>
      <c r="J1854" t="s">
        <v>97</v>
      </c>
      <c r="K1854">
        <v>0</v>
      </c>
      <c r="L1854">
        <v>0</v>
      </c>
      <c r="M1854" t="s">
        <v>11</v>
      </c>
    </row>
    <row r="1855" spans="1:13">
      <c r="A1855" s="93">
        <v>182290</v>
      </c>
      <c r="B1855" t="s">
        <v>2398</v>
      </c>
      <c r="C1855" t="s">
        <v>4920</v>
      </c>
      <c r="D1855" s="92">
        <v>0.63</v>
      </c>
      <c r="E1855" s="92">
        <v>0.5600000000000001</v>
      </c>
      <c r="F1855">
        <v>1040</v>
      </c>
      <c r="G1855">
        <v>1140</v>
      </c>
      <c r="H1855" t="s">
        <v>4932</v>
      </c>
      <c r="I1855">
        <v>0</v>
      </c>
      <c r="J1855" t="s">
        <v>97</v>
      </c>
      <c r="K1855">
        <v>0</v>
      </c>
      <c r="L1855">
        <v>0</v>
      </c>
      <c r="M1855" t="s">
        <v>11</v>
      </c>
    </row>
    <row r="1856" spans="1:13">
      <c r="A1856" s="93">
        <v>182306</v>
      </c>
      <c r="B1856" t="s">
        <v>2399</v>
      </c>
      <c r="C1856" t="s">
        <v>4923</v>
      </c>
      <c r="D1856" s="92">
        <v>0.08</v>
      </c>
      <c r="E1856" s="92">
        <v>0.17</v>
      </c>
      <c r="F1856" t="s">
        <v>446</v>
      </c>
      <c r="G1856" t="s">
        <v>446</v>
      </c>
      <c r="H1856" t="s">
        <v>4932</v>
      </c>
      <c r="I1856">
        <v>0</v>
      </c>
      <c r="J1856" t="s">
        <v>97</v>
      </c>
      <c r="K1856">
        <v>0</v>
      </c>
      <c r="L1856">
        <v>0</v>
      </c>
      <c r="M1856" t="s">
        <v>11</v>
      </c>
    </row>
    <row r="1857" spans="1:13">
      <c r="A1857" s="93">
        <v>182458</v>
      </c>
      <c r="B1857" t="s">
        <v>2400</v>
      </c>
      <c r="C1857" t="s">
        <v>4920</v>
      </c>
      <c r="D1857" s="92">
        <v>0.41</v>
      </c>
      <c r="E1857" s="92">
        <v>0.28</v>
      </c>
      <c r="F1857">
        <v>920</v>
      </c>
      <c r="G1857">
        <v>1060</v>
      </c>
      <c r="H1857" t="s">
        <v>4930</v>
      </c>
      <c r="I1857">
        <v>0</v>
      </c>
      <c r="J1857" t="s">
        <v>97</v>
      </c>
      <c r="K1857">
        <v>0</v>
      </c>
      <c r="L1857">
        <v>0</v>
      </c>
      <c r="M1857" t="s">
        <v>11</v>
      </c>
    </row>
    <row r="1858" spans="1:13">
      <c r="A1858" s="93">
        <v>182500</v>
      </c>
      <c r="B1858" t="s">
        <v>2401</v>
      </c>
      <c r="C1858" t="s">
        <v>4923</v>
      </c>
      <c r="D1858" s="92" t="s">
        <v>446</v>
      </c>
      <c r="E1858" s="92" t="s">
        <v>446</v>
      </c>
      <c r="F1858" t="s">
        <v>446</v>
      </c>
      <c r="G1858" t="s">
        <v>446</v>
      </c>
      <c r="H1858" t="s">
        <v>4932</v>
      </c>
      <c r="I1858">
        <v>0</v>
      </c>
      <c r="J1858" t="s">
        <v>97</v>
      </c>
      <c r="K1858">
        <v>0</v>
      </c>
      <c r="L1858">
        <v>0</v>
      </c>
      <c r="M1858" t="s">
        <v>11</v>
      </c>
    </row>
    <row r="1859" spans="1:13">
      <c r="A1859" s="93">
        <v>182564</v>
      </c>
      <c r="B1859" t="s">
        <v>2402</v>
      </c>
      <c r="C1859" t="s">
        <v>4923</v>
      </c>
      <c r="D1859" s="92" t="s">
        <v>446</v>
      </c>
      <c r="E1859" s="92" t="s">
        <v>446</v>
      </c>
      <c r="F1859" t="s">
        <v>446</v>
      </c>
      <c r="G1859" t="s">
        <v>446</v>
      </c>
      <c r="H1859" t="s">
        <v>4932</v>
      </c>
      <c r="I1859">
        <v>0</v>
      </c>
      <c r="J1859" t="s">
        <v>97</v>
      </c>
      <c r="K1859">
        <v>0</v>
      </c>
      <c r="L1859">
        <v>0</v>
      </c>
      <c r="M1859" t="s">
        <v>11</v>
      </c>
    </row>
    <row r="1860" spans="1:13">
      <c r="A1860" s="93">
        <v>182634</v>
      </c>
      <c r="B1860" t="s">
        <v>2403</v>
      </c>
      <c r="C1860" t="s">
        <v>4920</v>
      </c>
      <c r="D1860" s="92">
        <v>0.61</v>
      </c>
      <c r="E1860" s="92">
        <v>0.53</v>
      </c>
      <c r="F1860" t="s">
        <v>446</v>
      </c>
      <c r="G1860" t="s">
        <v>446</v>
      </c>
      <c r="H1860" t="s">
        <v>4930</v>
      </c>
      <c r="I1860">
        <v>0</v>
      </c>
      <c r="J1860" t="s">
        <v>97</v>
      </c>
      <c r="K1860">
        <v>0</v>
      </c>
      <c r="L1860">
        <v>0</v>
      </c>
      <c r="M1860" t="s">
        <v>11</v>
      </c>
    </row>
    <row r="1861" spans="1:13">
      <c r="A1861" s="93">
        <v>182795</v>
      </c>
      <c r="B1861" t="s">
        <v>2404</v>
      </c>
      <c r="C1861" t="s">
        <v>4920</v>
      </c>
      <c r="D1861" s="92">
        <v>0.47</v>
      </c>
      <c r="E1861" s="92">
        <v>0.47</v>
      </c>
      <c r="F1861" t="s">
        <v>446</v>
      </c>
      <c r="G1861" t="s">
        <v>446</v>
      </c>
      <c r="H1861" t="s">
        <v>4930</v>
      </c>
      <c r="I1861">
        <v>0</v>
      </c>
      <c r="J1861" t="s">
        <v>97</v>
      </c>
      <c r="K1861">
        <v>0</v>
      </c>
      <c r="L1861">
        <v>0</v>
      </c>
      <c r="M1861" t="s">
        <v>11</v>
      </c>
    </row>
    <row r="1862" spans="1:13">
      <c r="A1862" s="93">
        <v>182829</v>
      </c>
      <c r="B1862" t="s">
        <v>2405</v>
      </c>
      <c r="C1862" t="s">
        <v>4924</v>
      </c>
      <c r="D1862" s="92" t="s">
        <v>446</v>
      </c>
      <c r="E1862" s="92" t="s">
        <v>446</v>
      </c>
      <c r="F1862" t="s">
        <v>446</v>
      </c>
      <c r="G1862" t="s">
        <v>446</v>
      </c>
      <c r="H1862" t="s">
        <v>4932</v>
      </c>
      <c r="I1862">
        <v>0</v>
      </c>
      <c r="J1862" t="s">
        <v>97</v>
      </c>
      <c r="K1862">
        <v>0</v>
      </c>
      <c r="L1862">
        <v>0</v>
      </c>
      <c r="M1862" t="s">
        <v>11</v>
      </c>
    </row>
    <row r="1863" spans="1:13">
      <c r="A1863" s="93">
        <v>182917</v>
      </c>
      <c r="B1863" t="s">
        <v>2406</v>
      </c>
      <c r="C1863" t="s">
        <v>4924</v>
      </c>
      <c r="D1863" s="92">
        <v>0.7</v>
      </c>
      <c r="E1863" s="92">
        <v>0.75</v>
      </c>
      <c r="F1863" t="s">
        <v>446</v>
      </c>
      <c r="G1863" t="s">
        <v>446</v>
      </c>
      <c r="H1863" t="s">
        <v>4931</v>
      </c>
      <c r="I1863">
        <v>0</v>
      </c>
      <c r="J1863" t="s">
        <v>97</v>
      </c>
      <c r="K1863">
        <v>0</v>
      </c>
      <c r="L1863">
        <v>0</v>
      </c>
      <c r="M1863" t="s">
        <v>11</v>
      </c>
    </row>
    <row r="1864" spans="1:13">
      <c r="A1864" s="93">
        <v>183044</v>
      </c>
      <c r="B1864" t="s">
        <v>2407</v>
      </c>
      <c r="C1864" t="s">
        <v>4916</v>
      </c>
      <c r="D1864" s="92">
        <v>0.78</v>
      </c>
      <c r="E1864" s="92">
        <v>0.67</v>
      </c>
      <c r="F1864">
        <v>1110</v>
      </c>
      <c r="G1864">
        <v>1205</v>
      </c>
      <c r="H1864" t="s">
        <v>4932</v>
      </c>
      <c r="I1864">
        <v>0</v>
      </c>
      <c r="J1864" t="s">
        <v>97</v>
      </c>
      <c r="K1864">
        <v>0</v>
      </c>
      <c r="L1864">
        <v>0</v>
      </c>
      <c r="M1864" t="s">
        <v>11</v>
      </c>
    </row>
    <row r="1865" spans="1:13">
      <c r="A1865" s="93">
        <v>183062</v>
      </c>
      <c r="B1865" t="s">
        <v>2408</v>
      </c>
      <c r="C1865" t="s">
        <v>4918</v>
      </c>
      <c r="D1865" s="92">
        <v>0.61</v>
      </c>
      <c r="E1865" s="92">
        <v>0.53</v>
      </c>
      <c r="F1865">
        <v>970</v>
      </c>
      <c r="G1865">
        <v>1070</v>
      </c>
      <c r="H1865" t="s">
        <v>4932</v>
      </c>
      <c r="I1865">
        <v>0</v>
      </c>
      <c r="J1865" t="s">
        <v>97</v>
      </c>
      <c r="K1865">
        <v>0</v>
      </c>
      <c r="L1865">
        <v>0</v>
      </c>
      <c r="M1865" t="s">
        <v>11</v>
      </c>
    </row>
    <row r="1866" spans="1:13">
      <c r="A1866" s="93">
        <v>183071</v>
      </c>
      <c r="B1866" t="s">
        <v>2409</v>
      </c>
      <c r="C1866" t="s">
        <v>4923</v>
      </c>
      <c r="D1866" s="92">
        <v>0.66</v>
      </c>
      <c r="E1866" s="92">
        <v>0.57</v>
      </c>
      <c r="F1866">
        <v>1110</v>
      </c>
      <c r="G1866">
        <v>1190</v>
      </c>
      <c r="H1866" t="s">
        <v>4932</v>
      </c>
      <c r="I1866">
        <v>0</v>
      </c>
      <c r="J1866" t="s">
        <v>97</v>
      </c>
      <c r="K1866">
        <v>0</v>
      </c>
      <c r="L1866">
        <v>0</v>
      </c>
      <c r="M1866" t="s">
        <v>11</v>
      </c>
    </row>
    <row r="1867" spans="1:13">
      <c r="A1867" s="93">
        <v>183080</v>
      </c>
      <c r="B1867" t="s">
        <v>2410</v>
      </c>
      <c r="C1867" t="s">
        <v>4918</v>
      </c>
      <c r="D1867" s="92">
        <v>0.55</v>
      </c>
      <c r="E1867" s="92">
        <v>0.48</v>
      </c>
      <c r="F1867" t="s">
        <v>446</v>
      </c>
      <c r="G1867" t="s">
        <v>446</v>
      </c>
      <c r="H1867" t="s">
        <v>4932</v>
      </c>
      <c r="I1867">
        <v>0</v>
      </c>
      <c r="J1867" t="s">
        <v>97</v>
      </c>
      <c r="K1867">
        <v>0</v>
      </c>
      <c r="L1867">
        <v>0</v>
      </c>
      <c r="M1867" t="s">
        <v>11</v>
      </c>
    </row>
    <row r="1868" spans="1:13">
      <c r="A1868" s="93">
        <v>183099</v>
      </c>
      <c r="B1868" t="s">
        <v>2411</v>
      </c>
      <c r="C1868" t="s">
        <v>4919</v>
      </c>
      <c r="D1868" s="92">
        <v>0.37</v>
      </c>
      <c r="E1868" s="92">
        <v>0.27</v>
      </c>
      <c r="F1868" t="s">
        <v>446</v>
      </c>
      <c r="G1868" t="s">
        <v>446</v>
      </c>
      <c r="H1868" t="s">
        <v>4932</v>
      </c>
      <c r="I1868">
        <v>0</v>
      </c>
      <c r="J1868" t="s">
        <v>97</v>
      </c>
      <c r="K1868">
        <v>0</v>
      </c>
      <c r="L1868">
        <v>0</v>
      </c>
      <c r="M1868" t="s">
        <v>11</v>
      </c>
    </row>
    <row r="1869" spans="1:13">
      <c r="A1869" s="93">
        <v>183105</v>
      </c>
      <c r="B1869" t="s">
        <v>2412</v>
      </c>
      <c r="C1869" t="s">
        <v>4919</v>
      </c>
      <c r="D1869" s="92">
        <v>0.55</v>
      </c>
      <c r="E1869" s="92">
        <v>0.6899999999999999</v>
      </c>
      <c r="F1869" t="s">
        <v>446</v>
      </c>
      <c r="G1869" t="s">
        <v>446</v>
      </c>
      <c r="H1869" t="s">
        <v>4932</v>
      </c>
      <c r="I1869">
        <v>0</v>
      </c>
      <c r="J1869" t="s">
        <v>97</v>
      </c>
      <c r="K1869">
        <v>0</v>
      </c>
      <c r="L1869">
        <v>0</v>
      </c>
      <c r="M1869" t="s">
        <v>11</v>
      </c>
    </row>
    <row r="1870" spans="1:13">
      <c r="A1870" s="93">
        <v>183114</v>
      </c>
      <c r="B1870" t="s">
        <v>2413</v>
      </c>
      <c r="C1870" t="s">
        <v>4919</v>
      </c>
      <c r="D1870" s="92">
        <v>0.42</v>
      </c>
      <c r="E1870" s="92" t="s">
        <v>446</v>
      </c>
      <c r="F1870" t="s">
        <v>446</v>
      </c>
      <c r="G1870" t="s">
        <v>446</v>
      </c>
      <c r="H1870" t="s">
        <v>4932</v>
      </c>
      <c r="I1870">
        <v>0</v>
      </c>
      <c r="J1870" t="s">
        <v>97</v>
      </c>
      <c r="K1870">
        <v>0</v>
      </c>
      <c r="L1870">
        <v>0</v>
      </c>
      <c r="M1870" t="s">
        <v>11</v>
      </c>
    </row>
    <row r="1871" spans="1:13">
      <c r="A1871" s="93">
        <v>183123</v>
      </c>
      <c r="B1871" t="s">
        <v>2414</v>
      </c>
      <c r="C1871" t="s">
        <v>4919</v>
      </c>
      <c r="D1871" s="92">
        <v>0.46</v>
      </c>
      <c r="E1871" s="92">
        <v>0.2</v>
      </c>
      <c r="F1871" t="s">
        <v>446</v>
      </c>
      <c r="G1871" t="s">
        <v>446</v>
      </c>
      <c r="H1871" t="s">
        <v>4932</v>
      </c>
      <c r="I1871">
        <v>0</v>
      </c>
      <c r="J1871" t="s">
        <v>97</v>
      </c>
      <c r="K1871">
        <v>0</v>
      </c>
      <c r="L1871">
        <v>0</v>
      </c>
      <c r="M1871" t="s">
        <v>11</v>
      </c>
    </row>
    <row r="1872" spans="1:13">
      <c r="A1872" s="93">
        <v>183132</v>
      </c>
      <c r="B1872" t="s">
        <v>1544</v>
      </c>
      <c r="C1872" t="s">
        <v>4919</v>
      </c>
      <c r="D1872" s="92">
        <v>0.48</v>
      </c>
      <c r="E1872" s="92">
        <v>0.46</v>
      </c>
      <c r="F1872" t="s">
        <v>446</v>
      </c>
      <c r="G1872" t="s">
        <v>446</v>
      </c>
      <c r="H1872" t="s">
        <v>4932</v>
      </c>
      <c r="I1872">
        <v>0</v>
      </c>
      <c r="J1872" t="s">
        <v>97</v>
      </c>
      <c r="K1872">
        <v>0</v>
      </c>
      <c r="L1872">
        <v>0</v>
      </c>
      <c r="M1872" t="s">
        <v>11</v>
      </c>
    </row>
    <row r="1873" spans="1:13">
      <c r="A1873" s="93">
        <v>183141</v>
      </c>
      <c r="B1873" t="s">
        <v>2415</v>
      </c>
      <c r="C1873" t="s">
        <v>4919</v>
      </c>
      <c r="D1873" s="92">
        <v>0.43</v>
      </c>
      <c r="E1873" s="92">
        <v>0.3</v>
      </c>
      <c r="F1873" t="s">
        <v>446</v>
      </c>
      <c r="G1873" t="s">
        <v>446</v>
      </c>
      <c r="H1873" t="s">
        <v>4932</v>
      </c>
      <c r="I1873">
        <v>0</v>
      </c>
      <c r="J1873" t="s">
        <v>97</v>
      </c>
      <c r="K1873">
        <v>0</v>
      </c>
      <c r="L1873">
        <v>0</v>
      </c>
      <c r="M1873" t="s">
        <v>11</v>
      </c>
    </row>
    <row r="1874" spans="1:13">
      <c r="A1874" s="93">
        <v>183150</v>
      </c>
      <c r="B1874" t="s">
        <v>2416</v>
      </c>
      <c r="C1874" t="s">
        <v>4919</v>
      </c>
      <c r="D1874" s="92">
        <v>0.37</v>
      </c>
      <c r="E1874" s="92">
        <v>0.27</v>
      </c>
      <c r="F1874" t="s">
        <v>446</v>
      </c>
      <c r="G1874" t="s">
        <v>446</v>
      </c>
      <c r="H1874" t="s">
        <v>4932</v>
      </c>
      <c r="I1874">
        <v>0</v>
      </c>
      <c r="J1874" t="s">
        <v>97</v>
      </c>
      <c r="K1874">
        <v>0</v>
      </c>
      <c r="L1874">
        <v>0</v>
      </c>
      <c r="M1874" t="s">
        <v>11</v>
      </c>
    </row>
    <row r="1875" spans="1:13">
      <c r="A1875" s="93">
        <v>183211</v>
      </c>
      <c r="B1875" t="s">
        <v>2417</v>
      </c>
      <c r="C1875" t="s">
        <v>4916</v>
      </c>
      <c r="D1875" s="92">
        <v>0.53</v>
      </c>
      <c r="E1875" s="92">
        <v>0.34</v>
      </c>
      <c r="F1875" t="s">
        <v>446</v>
      </c>
      <c r="G1875" t="s">
        <v>446</v>
      </c>
      <c r="H1875" t="s">
        <v>4930</v>
      </c>
      <c r="I1875">
        <v>0</v>
      </c>
      <c r="J1875" t="s">
        <v>97</v>
      </c>
      <c r="K1875">
        <v>0</v>
      </c>
      <c r="L1875">
        <v>0</v>
      </c>
      <c r="M1875" t="s">
        <v>11</v>
      </c>
    </row>
    <row r="1876" spans="1:13">
      <c r="A1876" s="93">
        <v>183239</v>
      </c>
      <c r="B1876" t="s">
        <v>2418</v>
      </c>
      <c r="C1876" t="s">
        <v>4920</v>
      </c>
      <c r="D1876" s="92">
        <v>0.8</v>
      </c>
      <c r="E1876" s="92">
        <v>0.68</v>
      </c>
      <c r="F1876">
        <v>1140</v>
      </c>
      <c r="G1876">
        <v>1230</v>
      </c>
      <c r="H1876" t="s">
        <v>4930</v>
      </c>
      <c r="I1876">
        <v>0</v>
      </c>
      <c r="J1876" t="s">
        <v>97</v>
      </c>
      <c r="K1876">
        <v>0</v>
      </c>
      <c r="L1876">
        <v>0</v>
      </c>
      <c r="M1876" t="s">
        <v>11</v>
      </c>
    </row>
    <row r="1877" spans="1:13">
      <c r="A1877" s="93">
        <v>183248</v>
      </c>
      <c r="B1877" t="s">
        <v>2419</v>
      </c>
      <c r="C1877" t="s">
        <v>4919</v>
      </c>
      <c r="D1877" s="92" t="s">
        <v>446</v>
      </c>
      <c r="E1877" s="92" t="s">
        <v>446</v>
      </c>
      <c r="F1877" t="s">
        <v>446</v>
      </c>
      <c r="G1877" t="s">
        <v>446</v>
      </c>
      <c r="H1877" t="s">
        <v>4932</v>
      </c>
      <c r="I1877">
        <v>0</v>
      </c>
      <c r="J1877" t="s">
        <v>97</v>
      </c>
      <c r="K1877">
        <v>0</v>
      </c>
      <c r="L1877">
        <v>0</v>
      </c>
      <c r="M1877" t="s">
        <v>11</v>
      </c>
    </row>
    <row r="1878" spans="1:13">
      <c r="A1878" s="93">
        <v>183257</v>
      </c>
      <c r="B1878" t="s">
        <v>2420</v>
      </c>
      <c r="C1878" t="s">
        <v>4926</v>
      </c>
      <c r="D1878" s="92">
        <v>0.16</v>
      </c>
      <c r="E1878" s="92">
        <v>0</v>
      </c>
      <c r="F1878" t="s">
        <v>446</v>
      </c>
      <c r="G1878" t="s">
        <v>446</v>
      </c>
      <c r="H1878" t="s">
        <v>4932</v>
      </c>
      <c r="I1878">
        <v>0</v>
      </c>
      <c r="J1878" t="s">
        <v>97</v>
      </c>
      <c r="K1878">
        <v>0</v>
      </c>
      <c r="L1878">
        <v>0</v>
      </c>
      <c r="M1878" t="s">
        <v>11</v>
      </c>
    </row>
    <row r="1879" spans="1:13">
      <c r="A1879" s="93">
        <v>183275</v>
      </c>
      <c r="B1879" t="s">
        <v>2421</v>
      </c>
      <c r="C1879" t="s">
        <v>4920</v>
      </c>
      <c r="D1879" s="92">
        <v>0.76</v>
      </c>
      <c r="E1879" s="92">
        <v>0.5</v>
      </c>
      <c r="F1879" t="s">
        <v>446</v>
      </c>
      <c r="G1879" t="s">
        <v>446</v>
      </c>
      <c r="H1879" t="s">
        <v>4932</v>
      </c>
      <c r="I1879">
        <v>0</v>
      </c>
      <c r="J1879" t="s">
        <v>97</v>
      </c>
      <c r="K1879">
        <v>0</v>
      </c>
      <c r="L1879">
        <v>0</v>
      </c>
      <c r="M1879" t="s">
        <v>11</v>
      </c>
    </row>
    <row r="1880" spans="1:13">
      <c r="A1880" s="93">
        <v>183488</v>
      </c>
      <c r="B1880" t="s">
        <v>2422</v>
      </c>
      <c r="C1880" t="s">
        <v>4919</v>
      </c>
      <c r="D1880" s="92" t="s">
        <v>446</v>
      </c>
      <c r="E1880" s="92" t="s">
        <v>446</v>
      </c>
      <c r="F1880" t="s">
        <v>446</v>
      </c>
      <c r="G1880" t="s">
        <v>446</v>
      </c>
      <c r="H1880" t="s">
        <v>4930</v>
      </c>
      <c r="I1880">
        <v>0</v>
      </c>
      <c r="J1880" t="s">
        <v>97</v>
      </c>
      <c r="K1880">
        <v>0</v>
      </c>
      <c r="L1880">
        <v>0</v>
      </c>
      <c r="M1880" t="s">
        <v>11</v>
      </c>
    </row>
    <row r="1881" spans="1:13">
      <c r="A1881" s="93">
        <v>183600</v>
      </c>
      <c r="B1881" t="s">
        <v>2423</v>
      </c>
      <c r="C1881" t="s">
        <v>4919</v>
      </c>
      <c r="D1881" s="92" t="s">
        <v>446</v>
      </c>
      <c r="E1881" s="92" t="s">
        <v>446</v>
      </c>
      <c r="F1881" t="s">
        <v>446</v>
      </c>
      <c r="G1881" t="s">
        <v>446</v>
      </c>
      <c r="H1881" t="s">
        <v>4932</v>
      </c>
      <c r="I1881">
        <v>0</v>
      </c>
      <c r="J1881" t="s">
        <v>97</v>
      </c>
      <c r="K1881">
        <v>0</v>
      </c>
      <c r="L1881">
        <v>0</v>
      </c>
      <c r="M1881" t="s">
        <v>11</v>
      </c>
    </row>
    <row r="1882" spans="1:13">
      <c r="A1882" s="93">
        <v>183655</v>
      </c>
      <c r="B1882" t="s">
        <v>2424</v>
      </c>
      <c r="C1882" t="s">
        <v>4919</v>
      </c>
      <c r="D1882" s="92">
        <v>0.28</v>
      </c>
      <c r="E1882" s="92">
        <v>0.25</v>
      </c>
      <c r="F1882" t="s">
        <v>446</v>
      </c>
      <c r="G1882" t="s">
        <v>446</v>
      </c>
      <c r="H1882" t="s">
        <v>4932</v>
      </c>
      <c r="I1882">
        <v>0</v>
      </c>
      <c r="J1882" t="s">
        <v>97</v>
      </c>
      <c r="K1882">
        <v>0</v>
      </c>
      <c r="L1882">
        <v>0</v>
      </c>
      <c r="M1882" t="s">
        <v>11</v>
      </c>
    </row>
    <row r="1883" spans="1:13">
      <c r="A1883" s="93">
        <v>183743</v>
      </c>
      <c r="B1883" t="s">
        <v>2425</v>
      </c>
      <c r="C1883" t="s">
        <v>4919</v>
      </c>
      <c r="D1883" s="92">
        <v>0.32</v>
      </c>
      <c r="E1883" s="92">
        <v>0.27</v>
      </c>
      <c r="F1883" t="s">
        <v>446</v>
      </c>
      <c r="G1883" t="s">
        <v>446</v>
      </c>
      <c r="H1883" t="s">
        <v>4932</v>
      </c>
      <c r="I1883">
        <v>0</v>
      </c>
      <c r="J1883" t="s">
        <v>97</v>
      </c>
      <c r="K1883">
        <v>0</v>
      </c>
      <c r="L1883">
        <v>0</v>
      </c>
      <c r="M1883" t="s">
        <v>11</v>
      </c>
    </row>
    <row r="1884" spans="1:13">
      <c r="A1884" s="93">
        <v>183789</v>
      </c>
      <c r="B1884" t="s">
        <v>2426</v>
      </c>
      <c r="C1884" t="s">
        <v>4923</v>
      </c>
      <c r="D1884" s="92">
        <v>0.35</v>
      </c>
      <c r="E1884" s="92">
        <v>0.31</v>
      </c>
      <c r="F1884" t="s">
        <v>446</v>
      </c>
      <c r="G1884" t="s">
        <v>446</v>
      </c>
      <c r="H1884" t="s">
        <v>4930</v>
      </c>
      <c r="I1884">
        <v>0</v>
      </c>
      <c r="J1884" t="s">
        <v>97</v>
      </c>
      <c r="K1884">
        <v>0</v>
      </c>
      <c r="L1884">
        <v>0</v>
      </c>
      <c r="M1884" t="s">
        <v>11</v>
      </c>
    </row>
    <row r="1885" spans="1:13">
      <c r="A1885" s="93">
        <v>183804</v>
      </c>
      <c r="B1885" t="s">
        <v>2427</v>
      </c>
      <c r="C1885" t="s">
        <v>4924</v>
      </c>
      <c r="D1885" s="92" t="s">
        <v>446</v>
      </c>
      <c r="E1885" s="92" t="s">
        <v>446</v>
      </c>
      <c r="F1885" t="s">
        <v>446</v>
      </c>
      <c r="G1885" t="s">
        <v>446</v>
      </c>
      <c r="H1885" t="s">
        <v>4932</v>
      </c>
      <c r="I1885">
        <v>0</v>
      </c>
      <c r="J1885" t="s">
        <v>97</v>
      </c>
      <c r="K1885">
        <v>0</v>
      </c>
      <c r="L1885">
        <v>0</v>
      </c>
      <c r="M1885" t="s">
        <v>11</v>
      </c>
    </row>
    <row r="1886" spans="1:13">
      <c r="A1886" s="93">
        <v>183822</v>
      </c>
      <c r="B1886" t="s">
        <v>2428</v>
      </c>
      <c r="C1886" t="s">
        <v>4918</v>
      </c>
      <c r="D1886" s="92">
        <v>0.35</v>
      </c>
      <c r="E1886" s="92">
        <v>0.34</v>
      </c>
      <c r="F1886">
        <v>820</v>
      </c>
      <c r="G1886">
        <v>940</v>
      </c>
      <c r="H1886" t="s">
        <v>4930</v>
      </c>
      <c r="I1886">
        <v>0</v>
      </c>
      <c r="J1886" t="s">
        <v>97</v>
      </c>
      <c r="K1886">
        <v>0</v>
      </c>
      <c r="L1886">
        <v>0</v>
      </c>
      <c r="M1886" t="s">
        <v>11</v>
      </c>
    </row>
    <row r="1887" spans="1:13">
      <c r="A1887" s="93">
        <v>183859</v>
      </c>
      <c r="B1887" t="s">
        <v>2429</v>
      </c>
      <c r="C1887" t="s">
        <v>4919</v>
      </c>
      <c r="D1887" s="92">
        <v>0.33</v>
      </c>
      <c r="E1887" s="92">
        <v>0.22</v>
      </c>
      <c r="F1887" t="s">
        <v>446</v>
      </c>
      <c r="G1887" t="s">
        <v>446</v>
      </c>
      <c r="H1887" t="s">
        <v>4932</v>
      </c>
      <c r="I1887">
        <v>0</v>
      </c>
      <c r="J1887" t="s">
        <v>97</v>
      </c>
      <c r="K1887">
        <v>0</v>
      </c>
      <c r="L1887">
        <v>0</v>
      </c>
      <c r="M1887" t="s">
        <v>11</v>
      </c>
    </row>
    <row r="1888" spans="1:13">
      <c r="A1888" s="93">
        <v>183877</v>
      </c>
      <c r="B1888" t="s">
        <v>2430</v>
      </c>
      <c r="C1888" t="s">
        <v>4919</v>
      </c>
      <c r="D1888" s="92">
        <v>0.38</v>
      </c>
      <c r="E1888" s="92">
        <v>0.29</v>
      </c>
      <c r="F1888" t="s">
        <v>446</v>
      </c>
      <c r="G1888" t="s">
        <v>446</v>
      </c>
      <c r="H1888" t="s">
        <v>4932</v>
      </c>
      <c r="I1888">
        <v>0</v>
      </c>
      <c r="J1888" t="s">
        <v>97</v>
      </c>
      <c r="K1888">
        <v>0</v>
      </c>
      <c r="L1888">
        <v>0</v>
      </c>
      <c r="M1888" t="s">
        <v>11</v>
      </c>
    </row>
    <row r="1889" spans="1:13">
      <c r="A1889" s="93">
        <v>183910</v>
      </c>
      <c r="B1889" t="s">
        <v>2431</v>
      </c>
      <c r="C1889" t="s">
        <v>4923</v>
      </c>
      <c r="D1889" s="92">
        <v>0.64</v>
      </c>
      <c r="E1889" s="92">
        <v>0.57</v>
      </c>
      <c r="F1889">
        <v>1000</v>
      </c>
      <c r="G1889">
        <v>1155</v>
      </c>
      <c r="H1889" t="s">
        <v>4930</v>
      </c>
      <c r="I1889">
        <v>0</v>
      </c>
      <c r="J1889" t="s">
        <v>97</v>
      </c>
      <c r="K1889">
        <v>0</v>
      </c>
      <c r="L1889">
        <v>0</v>
      </c>
      <c r="M1889" t="s">
        <v>11</v>
      </c>
    </row>
    <row r="1890" spans="1:13">
      <c r="A1890" s="93">
        <v>183938</v>
      </c>
      <c r="B1890" t="s">
        <v>2432</v>
      </c>
      <c r="C1890" t="s">
        <v>4919</v>
      </c>
      <c r="D1890" s="92">
        <v>0.28</v>
      </c>
      <c r="E1890" s="92">
        <v>0.21</v>
      </c>
      <c r="F1890" t="s">
        <v>446</v>
      </c>
      <c r="G1890" t="s">
        <v>446</v>
      </c>
      <c r="H1890" t="s">
        <v>4932</v>
      </c>
      <c r="I1890">
        <v>0</v>
      </c>
      <c r="J1890" t="s">
        <v>97</v>
      </c>
      <c r="K1890">
        <v>0</v>
      </c>
      <c r="L1890">
        <v>0</v>
      </c>
      <c r="M1890" t="s">
        <v>11</v>
      </c>
    </row>
    <row r="1891" spans="1:13">
      <c r="A1891" s="93">
        <v>183974</v>
      </c>
      <c r="B1891" t="s">
        <v>2433</v>
      </c>
      <c r="C1891" t="s">
        <v>4920</v>
      </c>
      <c r="D1891" s="92">
        <v>0.62</v>
      </c>
      <c r="E1891" s="92">
        <v>0.5600000000000001</v>
      </c>
      <c r="F1891">
        <v>990</v>
      </c>
      <c r="G1891">
        <v>1080</v>
      </c>
      <c r="H1891" t="s">
        <v>4930</v>
      </c>
      <c r="I1891">
        <v>0</v>
      </c>
      <c r="J1891" t="s">
        <v>97</v>
      </c>
      <c r="K1891">
        <v>0</v>
      </c>
      <c r="L1891">
        <v>0</v>
      </c>
      <c r="M1891" t="s">
        <v>11</v>
      </c>
    </row>
    <row r="1892" spans="1:13">
      <c r="A1892" s="93">
        <v>184092</v>
      </c>
      <c r="B1892" t="s">
        <v>2434</v>
      </c>
      <c r="C1892" t="s">
        <v>4919</v>
      </c>
      <c r="D1892" s="92" t="s">
        <v>446</v>
      </c>
      <c r="E1892" s="92" t="s">
        <v>446</v>
      </c>
      <c r="F1892" t="s">
        <v>446</v>
      </c>
      <c r="G1892" t="s">
        <v>446</v>
      </c>
      <c r="H1892" t="s">
        <v>4930</v>
      </c>
      <c r="I1892">
        <v>0</v>
      </c>
      <c r="J1892" t="s">
        <v>97</v>
      </c>
      <c r="K1892">
        <v>0</v>
      </c>
      <c r="L1892">
        <v>0</v>
      </c>
      <c r="M1892" t="s">
        <v>11</v>
      </c>
    </row>
    <row r="1893" spans="1:13">
      <c r="A1893" s="93">
        <v>184180</v>
      </c>
      <c r="B1893" t="s">
        <v>2435</v>
      </c>
      <c r="C1893" t="s">
        <v>4919</v>
      </c>
      <c r="D1893" s="92">
        <v>0.43</v>
      </c>
      <c r="E1893" s="92">
        <v>0.36</v>
      </c>
      <c r="F1893" t="s">
        <v>446</v>
      </c>
      <c r="G1893" t="s">
        <v>446</v>
      </c>
      <c r="H1893" t="s">
        <v>4932</v>
      </c>
      <c r="I1893">
        <v>0</v>
      </c>
      <c r="J1893" t="s">
        <v>97</v>
      </c>
      <c r="K1893">
        <v>0</v>
      </c>
      <c r="L1893">
        <v>0</v>
      </c>
      <c r="M1893" t="s">
        <v>11</v>
      </c>
    </row>
    <row r="1894" spans="1:13">
      <c r="A1894" s="93">
        <v>184205</v>
      </c>
      <c r="B1894" t="s">
        <v>2436</v>
      </c>
      <c r="C1894" t="s">
        <v>4919</v>
      </c>
      <c r="D1894" s="92">
        <v>0.46</v>
      </c>
      <c r="E1894" s="92">
        <v>0.4</v>
      </c>
      <c r="F1894" t="s">
        <v>446</v>
      </c>
      <c r="G1894" t="s">
        <v>446</v>
      </c>
      <c r="H1894" t="s">
        <v>4932</v>
      </c>
      <c r="I1894">
        <v>0</v>
      </c>
      <c r="J1894" t="s">
        <v>97</v>
      </c>
      <c r="K1894">
        <v>0</v>
      </c>
      <c r="L1894">
        <v>0</v>
      </c>
      <c r="M1894" t="s">
        <v>11</v>
      </c>
    </row>
    <row r="1895" spans="1:13">
      <c r="A1895" s="93">
        <v>184348</v>
      </c>
      <c r="B1895" t="s">
        <v>2437</v>
      </c>
      <c r="C1895" t="s">
        <v>4916</v>
      </c>
      <c r="D1895" s="92">
        <v>0.71</v>
      </c>
      <c r="E1895" s="92">
        <v>0.66</v>
      </c>
      <c r="F1895" t="s">
        <v>446</v>
      </c>
      <c r="G1895" t="s">
        <v>446</v>
      </c>
      <c r="H1895" t="s">
        <v>4930</v>
      </c>
      <c r="I1895">
        <v>0</v>
      </c>
      <c r="J1895" t="s">
        <v>97</v>
      </c>
      <c r="K1895">
        <v>0</v>
      </c>
      <c r="L1895">
        <v>0</v>
      </c>
      <c r="M1895" t="s">
        <v>11</v>
      </c>
    </row>
    <row r="1896" spans="1:13">
      <c r="A1896" s="93">
        <v>184427</v>
      </c>
      <c r="B1896" t="s">
        <v>2438</v>
      </c>
      <c r="C1896" t="s">
        <v>4919</v>
      </c>
      <c r="D1896" s="92" t="s">
        <v>446</v>
      </c>
      <c r="E1896" s="92" t="s">
        <v>446</v>
      </c>
      <c r="F1896" t="s">
        <v>446</v>
      </c>
      <c r="G1896" t="s">
        <v>446</v>
      </c>
      <c r="H1896" t="s">
        <v>4930</v>
      </c>
      <c r="I1896">
        <v>0</v>
      </c>
      <c r="J1896" t="s">
        <v>97</v>
      </c>
      <c r="K1896">
        <v>0</v>
      </c>
      <c r="L1896">
        <v>0</v>
      </c>
      <c r="M1896" t="s">
        <v>11</v>
      </c>
    </row>
    <row r="1897" spans="1:13">
      <c r="A1897" s="93">
        <v>184481</v>
      </c>
      <c r="B1897" t="s">
        <v>2439</v>
      </c>
      <c r="C1897" t="s">
        <v>4919</v>
      </c>
      <c r="D1897" s="92">
        <v>0.2</v>
      </c>
      <c r="E1897" s="92">
        <v>0.16</v>
      </c>
      <c r="F1897" t="s">
        <v>446</v>
      </c>
      <c r="G1897" t="s">
        <v>446</v>
      </c>
      <c r="H1897" t="s">
        <v>4932</v>
      </c>
      <c r="I1897">
        <v>0</v>
      </c>
      <c r="J1897" t="s">
        <v>97</v>
      </c>
      <c r="K1897">
        <v>0</v>
      </c>
      <c r="L1897">
        <v>0</v>
      </c>
      <c r="M1897" t="s">
        <v>11</v>
      </c>
    </row>
    <row r="1898" spans="1:13">
      <c r="A1898" s="93">
        <v>184603</v>
      </c>
      <c r="B1898" t="s">
        <v>2440</v>
      </c>
      <c r="C1898" t="s">
        <v>4920</v>
      </c>
      <c r="D1898" s="92">
        <v>0.52</v>
      </c>
      <c r="E1898" s="92">
        <v>0.46</v>
      </c>
      <c r="F1898" t="s">
        <v>446</v>
      </c>
      <c r="G1898" t="s">
        <v>446</v>
      </c>
      <c r="H1898" t="s">
        <v>4931</v>
      </c>
      <c r="I1898">
        <v>0</v>
      </c>
      <c r="J1898" t="s">
        <v>97</v>
      </c>
      <c r="K1898">
        <v>0</v>
      </c>
      <c r="L1898">
        <v>0</v>
      </c>
      <c r="M1898" t="s">
        <v>11</v>
      </c>
    </row>
    <row r="1899" spans="1:13">
      <c r="A1899" s="93">
        <v>184612</v>
      </c>
      <c r="B1899" t="s">
        <v>2441</v>
      </c>
      <c r="C1899" t="s">
        <v>4918</v>
      </c>
      <c r="D1899" s="92">
        <v>0.51</v>
      </c>
      <c r="E1899" s="92">
        <v>0.48</v>
      </c>
      <c r="F1899">
        <v>890</v>
      </c>
      <c r="G1899">
        <v>1015</v>
      </c>
      <c r="H1899" t="s">
        <v>4931</v>
      </c>
      <c r="I1899">
        <v>0</v>
      </c>
      <c r="J1899" t="s">
        <v>97</v>
      </c>
      <c r="K1899">
        <v>0</v>
      </c>
      <c r="L1899">
        <v>0</v>
      </c>
      <c r="M1899" t="s">
        <v>11</v>
      </c>
    </row>
    <row r="1900" spans="1:13">
      <c r="A1900" s="93">
        <v>184694</v>
      </c>
      <c r="B1900" t="s">
        <v>2442</v>
      </c>
      <c r="C1900" t="s">
        <v>4920</v>
      </c>
      <c r="D1900" s="92">
        <v>0.63</v>
      </c>
      <c r="E1900" s="92">
        <v>0.55</v>
      </c>
      <c r="F1900" t="s">
        <v>446</v>
      </c>
      <c r="G1900" t="s">
        <v>446</v>
      </c>
      <c r="H1900" t="s">
        <v>4931</v>
      </c>
      <c r="I1900">
        <v>0</v>
      </c>
      <c r="J1900" t="s">
        <v>97</v>
      </c>
      <c r="K1900">
        <v>0</v>
      </c>
      <c r="L1900">
        <v>0</v>
      </c>
      <c r="M1900" t="s">
        <v>11</v>
      </c>
    </row>
    <row r="1901" spans="1:13">
      <c r="A1901" s="93">
        <v>184773</v>
      </c>
      <c r="B1901" t="s">
        <v>2443</v>
      </c>
      <c r="C1901" t="s">
        <v>4918</v>
      </c>
      <c r="D1901" s="92">
        <v>0.5600000000000001</v>
      </c>
      <c r="E1901" s="92">
        <v>0.38</v>
      </c>
      <c r="F1901">
        <v>980</v>
      </c>
      <c r="G1901">
        <v>1080</v>
      </c>
      <c r="H1901" t="s">
        <v>4930</v>
      </c>
      <c r="I1901">
        <v>0</v>
      </c>
      <c r="J1901" t="s">
        <v>97</v>
      </c>
      <c r="K1901">
        <v>0</v>
      </c>
      <c r="L1901">
        <v>0</v>
      </c>
      <c r="M1901" t="s">
        <v>11</v>
      </c>
    </row>
    <row r="1902" spans="1:13">
      <c r="A1902" s="93">
        <v>184782</v>
      </c>
      <c r="B1902" t="s">
        <v>2444</v>
      </c>
      <c r="C1902" t="s">
        <v>4916</v>
      </c>
      <c r="D1902" s="92">
        <v>0.6899999999999999</v>
      </c>
      <c r="E1902" s="92">
        <v>0.61</v>
      </c>
      <c r="F1902">
        <v>1070</v>
      </c>
      <c r="G1902">
        <v>1175</v>
      </c>
      <c r="H1902" t="s">
        <v>4932</v>
      </c>
      <c r="I1902">
        <v>0</v>
      </c>
      <c r="J1902" t="s">
        <v>97</v>
      </c>
      <c r="K1902">
        <v>0</v>
      </c>
      <c r="L1902">
        <v>0</v>
      </c>
      <c r="M1902" t="s">
        <v>11</v>
      </c>
    </row>
    <row r="1903" spans="1:13">
      <c r="A1903" s="93">
        <v>184791</v>
      </c>
      <c r="B1903" t="s">
        <v>2445</v>
      </c>
      <c r="C1903" t="s">
        <v>4919</v>
      </c>
      <c r="D1903" s="92">
        <v>0.43</v>
      </c>
      <c r="E1903" s="92">
        <v>0.31</v>
      </c>
      <c r="F1903" t="s">
        <v>446</v>
      </c>
      <c r="G1903" t="s">
        <v>446</v>
      </c>
      <c r="H1903" t="s">
        <v>4932</v>
      </c>
      <c r="I1903">
        <v>0</v>
      </c>
      <c r="J1903" t="s">
        <v>97</v>
      </c>
      <c r="K1903">
        <v>0</v>
      </c>
      <c r="L1903">
        <v>0</v>
      </c>
      <c r="M1903" t="s">
        <v>11</v>
      </c>
    </row>
    <row r="1904" spans="1:13">
      <c r="A1904" s="93">
        <v>184959</v>
      </c>
      <c r="B1904" t="s">
        <v>2446</v>
      </c>
      <c r="C1904" t="s">
        <v>4923</v>
      </c>
      <c r="D1904" s="92">
        <v>1</v>
      </c>
      <c r="E1904" s="92" t="s">
        <v>446</v>
      </c>
      <c r="F1904" t="s">
        <v>446</v>
      </c>
      <c r="G1904" t="s">
        <v>446</v>
      </c>
      <c r="H1904" t="s">
        <v>4930</v>
      </c>
      <c r="I1904">
        <v>0</v>
      </c>
      <c r="J1904" t="s">
        <v>97</v>
      </c>
      <c r="K1904">
        <v>0</v>
      </c>
      <c r="L1904">
        <v>0</v>
      </c>
      <c r="M1904" t="s">
        <v>11</v>
      </c>
    </row>
    <row r="1905" spans="1:13">
      <c r="A1905" s="93">
        <v>184968</v>
      </c>
      <c r="B1905" t="s">
        <v>2447</v>
      </c>
      <c r="C1905" t="s">
        <v>4925</v>
      </c>
      <c r="D1905" s="92" t="s">
        <v>446</v>
      </c>
      <c r="E1905" s="92" t="s">
        <v>446</v>
      </c>
      <c r="F1905" t="s">
        <v>446</v>
      </c>
      <c r="G1905" t="s">
        <v>446</v>
      </c>
      <c r="H1905" t="s">
        <v>4932</v>
      </c>
      <c r="I1905">
        <v>0</v>
      </c>
      <c r="J1905" t="s">
        <v>97</v>
      </c>
      <c r="K1905">
        <v>0</v>
      </c>
      <c r="L1905">
        <v>0</v>
      </c>
      <c r="M1905" t="s">
        <v>11</v>
      </c>
    </row>
    <row r="1906" spans="1:13">
      <c r="A1906" s="93">
        <v>184995</v>
      </c>
      <c r="B1906" t="s">
        <v>2448</v>
      </c>
      <c r="C1906" t="s">
        <v>4919</v>
      </c>
      <c r="D1906" s="92">
        <v>0.2</v>
      </c>
      <c r="E1906" s="92">
        <v>0.19</v>
      </c>
      <c r="F1906" t="s">
        <v>446</v>
      </c>
      <c r="G1906" t="s">
        <v>446</v>
      </c>
      <c r="H1906" t="s">
        <v>4932</v>
      </c>
      <c r="I1906">
        <v>0</v>
      </c>
      <c r="J1906" t="s">
        <v>97</v>
      </c>
      <c r="K1906">
        <v>0</v>
      </c>
      <c r="L1906">
        <v>0</v>
      </c>
      <c r="M1906" t="s">
        <v>11</v>
      </c>
    </row>
    <row r="1907" spans="1:13">
      <c r="A1907" s="93">
        <v>185129</v>
      </c>
      <c r="B1907" t="s">
        <v>2449</v>
      </c>
      <c r="C1907" t="s">
        <v>4918</v>
      </c>
      <c r="D1907" s="92">
        <v>0.38</v>
      </c>
      <c r="E1907" s="92">
        <v>0.36</v>
      </c>
      <c r="F1907">
        <v>890</v>
      </c>
      <c r="G1907">
        <v>1015</v>
      </c>
      <c r="H1907" t="s">
        <v>4932</v>
      </c>
      <c r="I1907">
        <v>0</v>
      </c>
      <c r="J1907" t="s">
        <v>97</v>
      </c>
      <c r="K1907">
        <v>0</v>
      </c>
      <c r="L1907">
        <v>0</v>
      </c>
      <c r="M1907" t="s">
        <v>11</v>
      </c>
    </row>
    <row r="1908" spans="1:13">
      <c r="A1908" s="93">
        <v>185262</v>
      </c>
      <c r="B1908" t="s">
        <v>2450</v>
      </c>
      <c r="C1908" t="s">
        <v>4920</v>
      </c>
      <c r="D1908" s="92">
        <v>0.48</v>
      </c>
      <c r="E1908" s="92">
        <v>0.43</v>
      </c>
      <c r="F1908">
        <v>920</v>
      </c>
      <c r="G1908">
        <v>1020</v>
      </c>
      <c r="H1908" t="s">
        <v>4932</v>
      </c>
      <c r="I1908">
        <v>0</v>
      </c>
      <c r="J1908" t="s">
        <v>97</v>
      </c>
      <c r="K1908">
        <v>0</v>
      </c>
      <c r="L1908">
        <v>0</v>
      </c>
      <c r="M1908" t="s">
        <v>11</v>
      </c>
    </row>
    <row r="1909" spans="1:13">
      <c r="A1909" s="93">
        <v>185509</v>
      </c>
      <c r="B1909" t="s">
        <v>2451</v>
      </c>
      <c r="C1909" t="s">
        <v>4919</v>
      </c>
      <c r="D1909" s="92">
        <v>0.3</v>
      </c>
      <c r="E1909" s="92">
        <v>0.19</v>
      </c>
      <c r="F1909" t="s">
        <v>446</v>
      </c>
      <c r="G1909" t="s">
        <v>446</v>
      </c>
      <c r="H1909" t="s">
        <v>4932</v>
      </c>
      <c r="I1909">
        <v>0</v>
      </c>
      <c r="J1909" t="s">
        <v>97</v>
      </c>
      <c r="K1909">
        <v>0</v>
      </c>
      <c r="L1909">
        <v>0</v>
      </c>
      <c r="M1909" t="s">
        <v>11</v>
      </c>
    </row>
    <row r="1910" spans="1:13">
      <c r="A1910" s="93">
        <v>185536</v>
      </c>
      <c r="B1910" t="s">
        <v>2452</v>
      </c>
      <c r="C1910" t="s">
        <v>4919</v>
      </c>
      <c r="D1910" s="92">
        <v>0.36</v>
      </c>
      <c r="E1910" s="92">
        <v>0.27</v>
      </c>
      <c r="F1910" t="s">
        <v>446</v>
      </c>
      <c r="G1910" t="s">
        <v>446</v>
      </c>
      <c r="H1910" t="s">
        <v>4932</v>
      </c>
      <c r="I1910">
        <v>0</v>
      </c>
      <c r="J1910" t="s">
        <v>97</v>
      </c>
      <c r="K1910">
        <v>0</v>
      </c>
      <c r="L1910">
        <v>0</v>
      </c>
      <c r="M1910" t="s">
        <v>11</v>
      </c>
    </row>
    <row r="1911" spans="1:13">
      <c r="A1911" s="93">
        <v>185572</v>
      </c>
      <c r="B1911" t="s">
        <v>2453</v>
      </c>
      <c r="C1911" t="s">
        <v>4920</v>
      </c>
      <c r="D1911" s="92">
        <v>0.6899999999999999</v>
      </c>
      <c r="E1911" s="92">
        <v>0.63</v>
      </c>
      <c r="F1911">
        <v>1070</v>
      </c>
      <c r="G1911">
        <v>1160</v>
      </c>
      <c r="H1911" t="s">
        <v>4930</v>
      </c>
      <c r="I1911">
        <v>0</v>
      </c>
      <c r="J1911" t="s">
        <v>97</v>
      </c>
      <c r="K1911">
        <v>0</v>
      </c>
      <c r="L1911">
        <v>0</v>
      </c>
      <c r="M1911" t="s">
        <v>11</v>
      </c>
    </row>
    <row r="1912" spans="1:13">
      <c r="A1912" s="93">
        <v>185679</v>
      </c>
      <c r="B1912" t="s">
        <v>2454</v>
      </c>
      <c r="C1912" t="s">
        <v>4925</v>
      </c>
      <c r="D1912" s="92" t="s">
        <v>446</v>
      </c>
      <c r="E1912" s="92" t="s">
        <v>446</v>
      </c>
      <c r="F1912" t="s">
        <v>446</v>
      </c>
      <c r="G1912" t="s">
        <v>446</v>
      </c>
      <c r="H1912" t="s">
        <v>4930</v>
      </c>
      <c r="I1912">
        <v>0</v>
      </c>
      <c r="J1912" t="s">
        <v>97</v>
      </c>
      <c r="K1912">
        <v>0</v>
      </c>
      <c r="L1912">
        <v>0</v>
      </c>
      <c r="M1912" t="s">
        <v>11</v>
      </c>
    </row>
    <row r="1913" spans="1:13">
      <c r="A1913" s="93">
        <v>185721</v>
      </c>
      <c r="B1913" t="s">
        <v>2455</v>
      </c>
      <c r="C1913" t="s">
        <v>4919</v>
      </c>
      <c r="D1913" s="92" t="s">
        <v>446</v>
      </c>
      <c r="E1913" s="92" t="s">
        <v>446</v>
      </c>
      <c r="F1913" t="s">
        <v>446</v>
      </c>
      <c r="G1913" t="s">
        <v>446</v>
      </c>
      <c r="H1913" t="s">
        <v>4930</v>
      </c>
      <c r="I1913">
        <v>0</v>
      </c>
      <c r="J1913" t="s">
        <v>97</v>
      </c>
      <c r="K1913">
        <v>0</v>
      </c>
      <c r="L1913">
        <v>0</v>
      </c>
      <c r="M1913" t="s">
        <v>11</v>
      </c>
    </row>
    <row r="1914" spans="1:13">
      <c r="A1914" s="93">
        <v>185758</v>
      </c>
      <c r="B1914" t="s">
        <v>2456</v>
      </c>
      <c r="C1914" t="s">
        <v>4924</v>
      </c>
      <c r="D1914" s="92" t="s">
        <v>446</v>
      </c>
      <c r="E1914" s="92" t="s">
        <v>446</v>
      </c>
      <c r="F1914" t="s">
        <v>446</v>
      </c>
      <c r="G1914" t="s">
        <v>446</v>
      </c>
      <c r="H1914" t="s">
        <v>4932</v>
      </c>
      <c r="I1914">
        <v>0</v>
      </c>
      <c r="J1914" t="s">
        <v>97</v>
      </c>
      <c r="K1914">
        <v>0</v>
      </c>
      <c r="L1914">
        <v>0</v>
      </c>
      <c r="M1914" t="s">
        <v>11</v>
      </c>
    </row>
    <row r="1915" spans="1:13">
      <c r="A1915" s="93">
        <v>185828</v>
      </c>
      <c r="B1915" t="s">
        <v>2457</v>
      </c>
      <c r="C1915" t="s">
        <v>4916</v>
      </c>
      <c r="D1915" s="92">
        <v>0.74</v>
      </c>
      <c r="E1915" s="92">
        <v>0.64</v>
      </c>
      <c r="F1915">
        <v>1180</v>
      </c>
      <c r="G1915">
        <v>1305</v>
      </c>
      <c r="H1915" t="s">
        <v>4932</v>
      </c>
      <c r="I1915">
        <v>0</v>
      </c>
      <c r="J1915" t="s">
        <v>97</v>
      </c>
      <c r="K1915">
        <v>0</v>
      </c>
      <c r="L1915">
        <v>0</v>
      </c>
      <c r="M1915" t="s">
        <v>11</v>
      </c>
    </row>
    <row r="1916" spans="1:13">
      <c r="A1916" s="93">
        <v>185873</v>
      </c>
      <c r="B1916" t="s">
        <v>2458</v>
      </c>
      <c r="C1916" t="s">
        <v>4919</v>
      </c>
      <c r="D1916" s="92">
        <v>0.45</v>
      </c>
      <c r="E1916" s="92">
        <v>0.39</v>
      </c>
      <c r="F1916" t="s">
        <v>446</v>
      </c>
      <c r="G1916" t="s">
        <v>446</v>
      </c>
      <c r="H1916" t="s">
        <v>4932</v>
      </c>
      <c r="I1916">
        <v>0</v>
      </c>
      <c r="J1916" t="s">
        <v>97</v>
      </c>
      <c r="K1916">
        <v>0</v>
      </c>
      <c r="L1916">
        <v>0</v>
      </c>
      <c r="M1916" t="s">
        <v>11</v>
      </c>
    </row>
    <row r="1917" spans="1:13">
      <c r="A1917" s="93">
        <v>186034</v>
      </c>
      <c r="B1917" t="s">
        <v>2459</v>
      </c>
      <c r="C1917" t="s">
        <v>4919</v>
      </c>
      <c r="D1917" s="92">
        <v>0.19</v>
      </c>
      <c r="E1917" s="92">
        <v>0.16</v>
      </c>
      <c r="F1917" t="s">
        <v>446</v>
      </c>
      <c r="G1917" t="s">
        <v>446</v>
      </c>
      <c r="H1917" t="s">
        <v>4932</v>
      </c>
      <c r="I1917">
        <v>0</v>
      </c>
      <c r="J1917" t="s">
        <v>97</v>
      </c>
      <c r="K1917">
        <v>0</v>
      </c>
      <c r="L1917">
        <v>0</v>
      </c>
      <c r="M1917" t="s">
        <v>11</v>
      </c>
    </row>
    <row r="1918" spans="1:13">
      <c r="A1918" s="93">
        <v>186052</v>
      </c>
      <c r="B1918" t="s">
        <v>2460</v>
      </c>
      <c r="C1918" t="s">
        <v>4919</v>
      </c>
      <c r="D1918" s="92" t="s">
        <v>446</v>
      </c>
      <c r="E1918" s="92" t="s">
        <v>446</v>
      </c>
      <c r="F1918" t="s">
        <v>446</v>
      </c>
      <c r="G1918" t="s">
        <v>446</v>
      </c>
      <c r="H1918" t="s">
        <v>4930</v>
      </c>
      <c r="I1918">
        <v>0</v>
      </c>
      <c r="J1918" t="s">
        <v>97</v>
      </c>
      <c r="K1918">
        <v>0</v>
      </c>
      <c r="L1918">
        <v>0</v>
      </c>
      <c r="M1918" t="s">
        <v>11</v>
      </c>
    </row>
    <row r="1919" spans="1:13">
      <c r="A1919" s="93">
        <v>186122</v>
      </c>
      <c r="B1919" t="s">
        <v>2461</v>
      </c>
      <c r="C1919" t="s">
        <v>4924</v>
      </c>
      <c r="D1919" s="92" t="s">
        <v>446</v>
      </c>
      <c r="E1919" s="92" t="s">
        <v>446</v>
      </c>
      <c r="F1919" t="s">
        <v>446</v>
      </c>
      <c r="G1919" t="s">
        <v>446</v>
      </c>
      <c r="H1919" t="s">
        <v>4932</v>
      </c>
      <c r="I1919">
        <v>0</v>
      </c>
      <c r="J1919" t="s">
        <v>97</v>
      </c>
      <c r="K1919">
        <v>0</v>
      </c>
      <c r="L1919">
        <v>0</v>
      </c>
      <c r="M1919" t="s">
        <v>11</v>
      </c>
    </row>
    <row r="1920" spans="1:13">
      <c r="A1920" s="93">
        <v>186186</v>
      </c>
      <c r="B1920" t="s">
        <v>2462</v>
      </c>
      <c r="C1920" t="s">
        <v>4924</v>
      </c>
      <c r="D1920" s="92">
        <v>0.16</v>
      </c>
      <c r="E1920" s="92" t="s">
        <v>446</v>
      </c>
      <c r="F1920" t="s">
        <v>446</v>
      </c>
      <c r="G1920" t="s">
        <v>446</v>
      </c>
      <c r="H1920" t="s">
        <v>4930</v>
      </c>
      <c r="I1920">
        <v>0</v>
      </c>
      <c r="J1920" t="s">
        <v>97</v>
      </c>
      <c r="K1920">
        <v>0</v>
      </c>
      <c r="L1920">
        <v>0</v>
      </c>
      <c r="M1920" t="s">
        <v>11</v>
      </c>
    </row>
    <row r="1921" spans="1:13">
      <c r="A1921" s="93">
        <v>186201</v>
      </c>
      <c r="B1921" t="s">
        <v>2463</v>
      </c>
      <c r="C1921" t="s">
        <v>4920</v>
      </c>
      <c r="D1921" s="92">
        <v>0.72</v>
      </c>
      <c r="E1921" s="92">
        <v>0.66</v>
      </c>
      <c r="F1921">
        <v>1100</v>
      </c>
      <c r="G1921">
        <v>1190</v>
      </c>
      <c r="H1921" t="s">
        <v>4932</v>
      </c>
      <c r="I1921">
        <v>0</v>
      </c>
      <c r="J1921" t="s">
        <v>97</v>
      </c>
      <c r="K1921">
        <v>0</v>
      </c>
      <c r="L1921">
        <v>0</v>
      </c>
      <c r="M1921" t="s">
        <v>11</v>
      </c>
    </row>
    <row r="1922" spans="1:13">
      <c r="A1922" s="93">
        <v>186283</v>
      </c>
      <c r="B1922" t="s">
        <v>2464</v>
      </c>
      <c r="C1922" t="s">
        <v>4920</v>
      </c>
      <c r="D1922" s="92">
        <v>0.64</v>
      </c>
      <c r="E1922" s="92">
        <v>0.52</v>
      </c>
      <c r="F1922">
        <v>1050</v>
      </c>
      <c r="G1922">
        <v>1160</v>
      </c>
      <c r="H1922" t="s">
        <v>4930</v>
      </c>
      <c r="I1922">
        <v>0</v>
      </c>
      <c r="J1922" t="s">
        <v>97</v>
      </c>
      <c r="K1922">
        <v>0</v>
      </c>
      <c r="L1922">
        <v>0</v>
      </c>
      <c r="M1922" t="s">
        <v>11</v>
      </c>
    </row>
    <row r="1923" spans="1:13">
      <c r="A1923" s="93">
        <v>186371</v>
      </c>
      <c r="B1923" t="s">
        <v>2465</v>
      </c>
      <c r="C1923" t="s">
        <v>4920</v>
      </c>
      <c r="D1923" s="92">
        <v>0.67</v>
      </c>
      <c r="E1923" s="92">
        <v>0.57</v>
      </c>
      <c r="F1923">
        <v>1040</v>
      </c>
      <c r="G1923">
        <v>1135</v>
      </c>
      <c r="H1923" t="s">
        <v>4932</v>
      </c>
      <c r="I1923">
        <v>0</v>
      </c>
      <c r="J1923" t="s">
        <v>97</v>
      </c>
      <c r="K1923">
        <v>0</v>
      </c>
      <c r="L1923">
        <v>0</v>
      </c>
      <c r="M1923" t="s">
        <v>11</v>
      </c>
    </row>
    <row r="1924" spans="1:13">
      <c r="A1924" s="93">
        <v>186380</v>
      </c>
      <c r="B1924" t="s">
        <v>2466</v>
      </c>
      <c r="C1924" t="s">
        <v>4917</v>
      </c>
      <c r="D1924" s="92">
        <v>0.84</v>
      </c>
      <c r="E1924" s="92">
        <v>0.76</v>
      </c>
      <c r="F1924">
        <v>1240</v>
      </c>
      <c r="G1924">
        <v>1355</v>
      </c>
      <c r="H1924" t="s">
        <v>4932</v>
      </c>
      <c r="I1924">
        <v>0</v>
      </c>
      <c r="J1924" t="s">
        <v>97</v>
      </c>
      <c r="K1924">
        <v>0</v>
      </c>
      <c r="L1924">
        <v>0</v>
      </c>
      <c r="M1924" t="s">
        <v>11</v>
      </c>
    </row>
    <row r="1925" spans="1:13">
      <c r="A1925" s="93">
        <v>186405</v>
      </c>
      <c r="B1925" t="s">
        <v>2467</v>
      </c>
      <c r="C1925" t="s">
        <v>4919</v>
      </c>
      <c r="D1925" s="92" t="s">
        <v>446</v>
      </c>
      <c r="E1925" s="92" t="s">
        <v>446</v>
      </c>
      <c r="F1925" t="s">
        <v>446</v>
      </c>
      <c r="G1925" t="s">
        <v>446</v>
      </c>
      <c r="H1925" t="s">
        <v>4932</v>
      </c>
      <c r="I1925">
        <v>0</v>
      </c>
      <c r="J1925" t="s">
        <v>97</v>
      </c>
      <c r="K1925">
        <v>0</v>
      </c>
      <c r="L1925">
        <v>0</v>
      </c>
      <c r="M1925" t="s">
        <v>11</v>
      </c>
    </row>
    <row r="1926" spans="1:13">
      <c r="A1926" s="93">
        <v>186423</v>
      </c>
      <c r="B1926" t="s">
        <v>2468</v>
      </c>
      <c r="C1926" t="s">
        <v>4919</v>
      </c>
      <c r="D1926" s="92" t="s">
        <v>446</v>
      </c>
      <c r="E1926" s="92" t="s">
        <v>446</v>
      </c>
      <c r="F1926" t="s">
        <v>446</v>
      </c>
      <c r="G1926" t="s">
        <v>446</v>
      </c>
      <c r="H1926" t="s">
        <v>4932</v>
      </c>
      <c r="I1926">
        <v>0</v>
      </c>
      <c r="J1926" t="s">
        <v>97</v>
      </c>
      <c r="K1926">
        <v>0</v>
      </c>
      <c r="L1926">
        <v>0</v>
      </c>
      <c r="M1926" t="s">
        <v>11</v>
      </c>
    </row>
    <row r="1927" spans="1:13">
      <c r="A1927" s="93">
        <v>186432</v>
      </c>
      <c r="B1927" t="s">
        <v>2469</v>
      </c>
      <c r="C1927" t="s">
        <v>4920</v>
      </c>
      <c r="D1927" s="92">
        <v>0.58</v>
      </c>
      <c r="E1927" s="92">
        <v>0.54</v>
      </c>
      <c r="F1927">
        <v>970</v>
      </c>
      <c r="G1927">
        <v>1060</v>
      </c>
      <c r="H1927" t="s">
        <v>4931</v>
      </c>
      <c r="I1927">
        <v>0</v>
      </c>
      <c r="J1927" t="s">
        <v>97</v>
      </c>
      <c r="K1927">
        <v>0</v>
      </c>
      <c r="L1927">
        <v>0</v>
      </c>
      <c r="M1927" t="s">
        <v>11</v>
      </c>
    </row>
    <row r="1928" spans="1:13">
      <c r="A1928" s="93">
        <v>186469</v>
      </c>
      <c r="B1928" t="s">
        <v>2470</v>
      </c>
      <c r="C1928" t="s">
        <v>4919</v>
      </c>
      <c r="D1928" s="92">
        <v>0.52</v>
      </c>
      <c r="E1928" s="92">
        <v>0.37</v>
      </c>
      <c r="F1928" t="s">
        <v>446</v>
      </c>
      <c r="G1928" t="s">
        <v>446</v>
      </c>
      <c r="H1928" t="s">
        <v>4932</v>
      </c>
      <c r="I1928">
        <v>0</v>
      </c>
      <c r="J1928" t="s">
        <v>97</v>
      </c>
      <c r="K1928">
        <v>0</v>
      </c>
      <c r="L1928">
        <v>0</v>
      </c>
      <c r="M1928" t="s">
        <v>11</v>
      </c>
    </row>
    <row r="1929" spans="1:13">
      <c r="A1929" s="93">
        <v>186584</v>
      </c>
      <c r="B1929" t="s">
        <v>2471</v>
      </c>
      <c r="C1929" t="s">
        <v>4920</v>
      </c>
      <c r="D1929" s="92">
        <v>0.72</v>
      </c>
      <c r="E1929" s="92">
        <v>0.64</v>
      </c>
      <c r="F1929">
        <v>1200</v>
      </c>
      <c r="G1929">
        <v>1285</v>
      </c>
      <c r="H1929" t="s">
        <v>4930</v>
      </c>
      <c r="I1929">
        <v>0</v>
      </c>
      <c r="J1929" t="s">
        <v>97</v>
      </c>
      <c r="K1929">
        <v>0</v>
      </c>
      <c r="L1929">
        <v>0</v>
      </c>
      <c r="M1929" t="s">
        <v>11</v>
      </c>
    </row>
    <row r="1930" spans="1:13">
      <c r="A1930" s="93">
        <v>186618</v>
      </c>
      <c r="B1930" t="s">
        <v>2472</v>
      </c>
      <c r="C1930" t="s">
        <v>4918</v>
      </c>
      <c r="D1930" s="92">
        <v>0.48</v>
      </c>
      <c r="E1930" s="92">
        <v>0.48</v>
      </c>
      <c r="F1930" t="s">
        <v>446</v>
      </c>
      <c r="G1930" t="s">
        <v>446</v>
      </c>
      <c r="H1930" t="s">
        <v>4930</v>
      </c>
      <c r="I1930">
        <v>0</v>
      </c>
      <c r="J1930" t="s">
        <v>97</v>
      </c>
      <c r="K1930">
        <v>0</v>
      </c>
      <c r="L1930">
        <v>0</v>
      </c>
      <c r="M1930" t="s">
        <v>11</v>
      </c>
    </row>
    <row r="1931" spans="1:13">
      <c r="A1931" s="93">
        <v>186645</v>
      </c>
      <c r="B1931" t="s">
        <v>2473</v>
      </c>
      <c r="C1931" t="s">
        <v>4919</v>
      </c>
      <c r="D1931" s="92">
        <v>0.37</v>
      </c>
      <c r="E1931" s="92">
        <v>0.25</v>
      </c>
      <c r="F1931" t="s">
        <v>446</v>
      </c>
      <c r="G1931" t="s">
        <v>446</v>
      </c>
      <c r="H1931" t="s">
        <v>4932</v>
      </c>
      <c r="I1931">
        <v>0</v>
      </c>
      <c r="J1931" t="s">
        <v>97</v>
      </c>
      <c r="K1931">
        <v>0</v>
      </c>
      <c r="L1931">
        <v>0</v>
      </c>
      <c r="M1931" t="s">
        <v>11</v>
      </c>
    </row>
    <row r="1932" spans="1:13">
      <c r="A1932" s="93">
        <v>186867</v>
      </c>
      <c r="B1932" t="s">
        <v>2474</v>
      </c>
      <c r="C1932" t="s">
        <v>4922</v>
      </c>
      <c r="D1932" s="92">
        <v>0.87</v>
      </c>
      <c r="E1932" s="92">
        <v>0.82</v>
      </c>
      <c r="F1932">
        <v>1370</v>
      </c>
      <c r="G1932">
        <v>1440</v>
      </c>
      <c r="H1932" t="s">
        <v>4930</v>
      </c>
      <c r="I1932">
        <v>0</v>
      </c>
      <c r="J1932" t="s">
        <v>97</v>
      </c>
      <c r="K1932">
        <v>0</v>
      </c>
      <c r="L1932">
        <v>0</v>
      </c>
      <c r="M1932" t="s">
        <v>11</v>
      </c>
    </row>
    <row r="1933" spans="1:13">
      <c r="A1933" s="93">
        <v>186876</v>
      </c>
      <c r="B1933" t="s">
        <v>2475</v>
      </c>
      <c r="C1933" t="s">
        <v>4926</v>
      </c>
      <c r="D1933" s="92">
        <v>0.76</v>
      </c>
      <c r="E1933" s="92">
        <v>0.71</v>
      </c>
      <c r="F1933">
        <v>1050</v>
      </c>
      <c r="G1933">
        <v>1150</v>
      </c>
      <c r="H1933" t="s">
        <v>4932</v>
      </c>
      <c r="I1933">
        <v>0</v>
      </c>
      <c r="J1933" t="s">
        <v>97</v>
      </c>
      <c r="K1933">
        <v>0</v>
      </c>
      <c r="L1933">
        <v>0</v>
      </c>
      <c r="M1933" t="s">
        <v>11</v>
      </c>
    </row>
    <row r="1934" spans="1:13">
      <c r="A1934" s="93">
        <v>186900</v>
      </c>
      <c r="B1934" t="s">
        <v>2476</v>
      </c>
      <c r="C1934" t="s">
        <v>4924</v>
      </c>
      <c r="D1934" s="92">
        <v>0.06</v>
      </c>
      <c r="E1934" s="92" t="s">
        <v>446</v>
      </c>
      <c r="F1934" t="s">
        <v>446</v>
      </c>
      <c r="G1934" t="s">
        <v>446</v>
      </c>
      <c r="H1934" t="s">
        <v>4928</v>
      </c>
      <c r="I1934">
        <v>1</v>
      </c>
      <c r="J1934" t="s">
        <v>97</v>
      </c>
      <c r="K1934">
        <v>0</v>
      </c>
      <c r="L1934">
        <v>0</v>
      </c>
      <c r="M1934" t="s">
        <v>11</v>
      </c>
    </row>
    <row r="1935" spans="1:13">
      <c r="A1935" s="93">
        <v>187000</v>
      </c>
      <c r="B1935" t="s">
        <v>2477</v>
      </c>
      <c r="C1935" t="s">
        <v>4919</v>
      </c>
      <c r="D1935" s="92" t="s">
        <v>446</v>
      </c>
      <c r="E1935" s="92" t="s">
        <v>446</v>
      </c>
      <c r="F1935" t="s">
        <v>446</v>
      </c>
      <c r="G1935" t="s">
        <v>446</v>
      </c>
      <c r="H1935" t="s">
        <v>4931</v>
      </c>
      <c r="I1935">
        <v>0</v>
      </c>
      <c r="J1935" t="s">
        <v>97</v>
      </c>
      <c r="K1935">
        <v>0</v>
      </c>
      <c r="L1935">
        <v>0</v>
      </c>
      <c r="M1935" t="s">
        <v>11</v>
      </c>
    </row>
    <row r="1936" spans="1:13">
      <c r="A1936" s="93">
        <v>187046</v>
      </c>
      <c r="B1936" t="s">
        <v>2478</v>
      </c>
      <c r="C1936" t="s">
        <v>4923</v>
      </c>
      <c r="D1936" s="92" t="s">
        <v>446</v>
      </c>
      <c r="E1936" s="92" t="s">
        <v>446</v>
      </c>
      <c r="F1936" t="s">
        <v>446</v>
      </c>
      <c r="G1936" t="s">
        <v>446</v>
      </c>
      <c r="H1936" t="s">
        <v>4932</v>
      </c>
      <c r="I1936">
        <v>0</v>
      </c>
      <c r="J1936" t="s">
        <v>97</v>
      </c>
      <c r="K1936">
        <v>0</v>
      </c>
      <c r="L1936">
        <v>0</v>
      </c>
      <c r="M1936" t="s">
        <v>11</v>
      </c>
    </row>
    <row r="1937" spans="1:13">
      <c r="A1937" s="93">
        <v>187134</v>
      </c>
      <c r="B1937" t="s">
        <v>2479</v>
      </c>
      <c r="C1937" t="s">
        <v>4917</v>
      </c>
      <c r="D1937" s="92">
        <v>0.87</v>
      </c>
      <c r="E1937" s="92">
        <v>0.8100000000000001</v>
      </c>
      <c r="F1937">
        <v>1170</v>
      </c>
      <c r="G1937">
        <v>1260</v>
      </c>
      <c r="H1937" t="s">
        <v>4932</v>
      </c>
      <c r="I1937">
        <v>0</v>
      </c>
      <c r="J1937" t="s">
        <v>97</v>
      </c>
      <c r="K1937">
        <v>0</v>
      </c>
      <c r="L1937">
        <v>0</v>
      </c>
      <c r="M1937" t="s">
        <v>11</v>
      </c>
    </row>
    <row r="1938" spans="1:13">
      <c r="A1938" s="93">
        <v>187198</v>
      </c>
      <c r="B1938" t="s">
        <v>2480</v>
      </c>
      <c r="C1938" t="s">
        <v>4919</v>
      </c>
      <c r="D1938" s="92">
        <v>0.38</v>
      </c>
      <c r="E1938" s="92">
        <v>0.36</v>
      </c>
      <c r="F1938" t="s">
        <v>446</v>
      </c>
      <c r="G1938" t="s">
        <v>446</v>
      </c>
      <c r="H1938" t="s">
        <v>4932</v>
      </c>
      <c r="I1938">
        <v>0</v>
      </c>
      <c r="J1938" t="s">
        <v>97</v>
      </c>
      <c r="K1938">
        <v>0</v>
      </c>
      <c r="L1938">
        <v>0</v>
      </c>
      <c r="M1938" t="s">
        <v>11</v>
      </c>
    </row>
    <row r="1939" spans="1:13">
      <c r="A1939" s="93">
        <v>187444</v>
      </c>
      <c r="B1939" t="s">
        <v>2481</v>
      </c>
      <c r="C1939" t="s">
        <v>4920</v>
      </c>
      <c r="D1939" s="92">
        <v>0.55</v>
      </c>
      <c r="E1939" s="92">
        <v>0.5</v>
      </c>
      <c r="F1939" t="s">
        <v>446</v>
      </c>
      <c r="G1939" t="s">
        <v>446</v>
      </c>
      <c r="H1939" t="s">
        <v>4932</v>
      </c>
      <c r="I1939">
        <v>0</v>
      </c>
      <c r="J1939" t="s">
        <v>97</v>
      </c>
      <c r="K1939">
        <v>0</v>
      </c>
      <c r="L1939">
        <v>0</v>
      </c>
      <c r="M1939" t="s">
        <v>11</v>
      </c>
    </row>
    <row r="1940" spans="1:13">
      <c r="A1940" s="93">
        <v>187532</v>
      </c>
      <c r="B1940" t="s">
        <v>2482</v>
      </c>
      <c r="C1940" t="s">
        <v>4919</v>
      </c>
      <c r="D1940" s="92">
        <v>0.27</v>
      </c>
      <c r="E1940" s="92">
        <v>0.25</v>
      </c>
      <c r="F1940" t="s">
        <v>446</v>
      </c>
      <c r="G1940" t="s">
        <v>446</v>
      </c>
      <c r="H1940" t="s">
        <v>4932</v>
      </c>
      <c r="I1940">
        <v>0</v>
      </c>
      <c r="J1940" t="s">
        <v>97</v>
      </c>
      <c r="K1940">
        <v>0</v>
      </c>
      <c r="L1940">
        <v>0</v>
      </c>
      <c r="M1940" t="s">
        <v>11</v>
      </c>
    </row>
    <row r="1941" spans="1:13">
      <c r="A1941" s="93">
        <v>187596</v>
      </c>
      <c r="B1941" t="s">
        <v>2483</v>
      </c>
      <c r="C1941" t="s">
        <v>4923</v>
      </c>
      <c r="D1941" s="92">
        <v>0.2</v>
      </c>
      <c r="E1941" s="92">
        <v>0</v>
      </c>
      <c r="F1941" t="s">
        <v>446</v>
      </c>
      <c r="G1941" t="s">
        <v>446</v>
      </c>
      <c r="H1941" t="s">
        <v>4932</v>
      </c>
      <c r="I1941">
        <v>0</v>
      </c>
      <c r="J1941" t="s">
        <v>97</v>
      </c>
      <c r="K1941">
        <v>0</v>
      </c>
      <c r="L1941">
        <v>0</v>
      </c>
      <c r="M1941" t="s">
        <v>11</v>
      </c>
    </row>
    <row r="1942" spans="1:13">
      <c r="A1942" s="93">
        <v>187620</v>
      </c>
      <c r="B1942" t="s">
        <v>2484</v>
      </c>
      <c r="C1942" t="s">
        <v>4919</v>
      </c>
      <c r="D1942" s="92">
        <v>0.2</v>
      </c>
      <c r="E1942" s="92">
        <v>0.2</v>
      </c>
      <c r="F1942" t="s">
        <v>446</v>
      </c>
      <c r="G1942" t="s">
        <v>446</v>
      </c>
      <c r="H1942" t="s">
        <v>4932</v>
      </c>
      <c r="I1942">
        <v>0</v>
      </c>
      <c r="J1942" t="s">
        <v>97</v>
      </c>
      <c r="K1942">
        <v>0</v>
      </c>
      <c r="L1942">
        <v>0</v>
      </c>
      <c r="M1942" t="s">
        <v>11</v>
      </c>
    </row>
    <row r="1943" spans="1:13">
      <c r="A1943" s="93">
        <v>187648</v>
      </c>
      <c r="B1943" t="s">
        <v>2485</v>
      </c>
      <c r="C1943" t="s">
        <v>4920</v>
      </c>
      <c r="D1943" s="92">
        <v>0.32</v>
      </c>
      <c r="E1943" s="92">
        <v>0.28</v>
      </c>
      <c r="F1943">
        <v>860</v>
      </c>
      <c r="G1943">
        <v>980</v>
      </c>
      <c r="H1943" t="s">
        <v>4932</v>
      </c>
      <c r="I1943">
        <v>0</v>
      </c>
      <c r="J1943" t="s">
        <v>97</v>
      </c>
      <c r="K1943">
        <v>0</v>
      </c>
      <c r="L1943">
        <v>0</v>
      </c>
      <c r="M1943" t="s">
        <v>11</v>
      </c>
    </row>
    <row r="1944" spans="1:13">
      <c r="A1944" s="93">
        <v>187666</v>
      </c>
      <c r="B1944" t="s">
        <v>2486</v>
      </c>
      <c r="C1944" t="s">
        <v>4919</v>
      </c>
      <c r="D1944" s="92">
        <v>0.36</v>
      </c>
      <c r="E1944" s="92">
        <v>0.32</v>
      </c>
      <c r="F1944" t="s">
        <v>446</v>
      </c>
      <c r="G1944" t="s">
        <v>446</v>
      </c>
      <c r="H1944" t="s">
        <v>4932</v>
      </c>
      <c r="I1944">
        <v>0</v>
      </c>
      <c r="J1944" t="s">
        <v>97</v>
      </c>
      <c r="K1944">
        <v>0</v>
      </c>
      <c r="L1944">
        <v>0</v>
      </c>
      <c r="M1944" t="s">
        <v>11</v>
      </c>
    </row>
    <row r="1945" spans="1:13">
      <c r="A1945" s="93">
        <v>187745</v>
      </c>
      <c r="B1945" t="s">
        <v>2487</v>
      </c>
      <c r="C1945" t="s">
        <v>4924</v>
      </c>
      <c r="D1945" s="92">
        <v>0.35</v>
      </c>
      <c r="E1945" s="92">
        <v>0.5</v>
      </c>
      <c r="F1945" t="s">
        <v>446</v>
      </c>
      <c r="G1945" t="s">
        <v>446</v>
      </c>
      <c r="H1945" t="s">
        <v>4932</v>
      </c>
      <c r="I1945">
        <v>0</v>
      </c>
      <c r="J1945" t="s">
        <v>97</v>
      </c>
      <c r="K1945">
        <v>0</v>
      </c>
      <c r="L1945">
        <v>0</v>
      </c>
      <c r="M1945" t="s">
        <v>11</v>
      </c>
    </row>
    <row r="1946" spans="1:13">
      <c r="A1946" s="93">
        <v>187897</v>
      </c>
      <c r="B1946" t="s">
        <v>2488</v>
      </c>
      <c r="C1946" t="s">
        <v>4923</v>
      </c>
      <c r="D1946" s="92">
        <v>0.26</v>
      </c>
      <c r="E1946" s="92">
        <v>0.28</v>
      </c>
      <c r="F1946" t="s">
        <v>446</v>
      </c>
      <c r="G1946" t="s">
        <v>446</v>
      </c>
      <c r="H1946" t="s">
        <v>4932</v>
      </c>
      <c r="I1946">
        <v>0</v>
      </c>
      <c r="J1946" t="s">
        <v>97</v>
      </c>
      <c r="K1946">
        <v>0</v>
      </c>
      <c r="L1946">
        <v>0</v>
      </c>
      <c r="M1946" t="s">
        <v>11</v>
      </c>
    </row>
    <row r="1947" spans="1:13">
      <c r="A1947" s="93">
        <v>187903</v>
      </c>
      <c r="B1947" t="s">
        <v>2489</v>
      </c>
      <c r="C1947" t="s">
        <v>4919</v>
      </c>
      <c r="D1947" s="92" t="s">
        <v>446</v>
      </c>
      <c r="E1947" s="92" t="s">
        <v>446</v>
      </c>
      <c r="F1947" t="s">
        <v>446</v>
      </c>
      <c r="G1947" t="s">
        <v>446</v>
      </c>
      <c r="H1947" t="s">
        <v>4932</v>
      </c>
      <c r="I1947">
        <v>0</v>
      </c>
      <c r="J1947" t="s">
        <v>97</v>
      </c>
      <c r="K1947">
        <v>0</v>
      </c>
      <c r="L1947">
        <v>0</v>
      </c>
      <c r="M1947" t="s">
        <v>11</v>
      </c>
    </row>
    <row r="1948" spans="1:13">
      <c r="A1948" s="93">
        <v>187912</v>
      </c>
      <c r="B1948" t="s">
        <v>2490</v>
      </c>
      <c r="C1948" t="s">
        <v>4925</v>
      </c>
      <c r="D1948" s="92">
        <v>0.59</v>
      </c>
      <c r="E1948" s="92">
        <v>0.61</v>
      </c>
      <c r="F1948" t="s">
        <v>446</v>
      </c>
      <c r="G1948" t="s">
        <v>446</v>
      </c>
      <c r="H1948" t="s">
        <v>4932</v>
      </c>
      <c r="I1948">
        <v>0</v>
      </c>
      <c r="J1948" t="s">
        <v>97</v>
      </c>
      <c r="K1948">
        <v>0</v>
      </c>
      <c r="L1948">
        <v>0</v>
      </c>
      <c r="M1948" t="s">
        <v>11</v>
      </c>
    </row>
    <row r="1949" spans="1:13">
      <c r="A1949" s="93">
        <v>187958</v>
      </c>
      <c r="B1949" t="s">
        <v>2491</v>
      </c>
      <c r="C1949" t="s">
        <v>4919</v>
      </c>
      <c r="D1949" s="92" t="s">
        <v>446</v>
      </c>
      <c r="E1949" s="92" t="s">
        <v>446</v>
      </c>
      <c r="F1949" t="s">
        <v>446</v>
      </c>
      <c r="G1949" t="s">
        <v>446</v>
      </c>
      <c r="H1949" t="s">
        <v>4932</v>
      </c>
      <c r="I1949">
        <v>0</v>
      </c>
      <c r="J1949" t="s">
        <v>97</v>
      </c>
      <c r="K1949">
        <v>0</v>
      </c>
      <c r="L1949">
        <v>0</v>
      </c>
      <c r="M1949" t="s">
        <v>11</v>
      </c>
    </row>
    <row r="1950" spans="1:13">
      <c r="A1950" s="93">
        <v>187967</v>
      </c>
      <c r="B1950" t="s">
        <v>2492</v>
      </c>
      <c r="C1950" t="s">
        <v>4917</v>
      </c>
      <c r="D1950" s="92">
        <v>0.53</v>
      </c>
      <c r="E1950" s="92">
        <v>0.52</v>
      </c>
      <c r="F1950">
        <v>1110</v>
      </c>
      <c r="G1950">
        <v>1215</v>
      </c>
      <c r="H1950" t="s">
        <v>4932</v>
      </c>
      <c r="I1950">
        <v>0</v>
      </c>
      <c r="J1950" t="s">
        <v>97</v>
      </c>
      <c r="K1950">
        <v>0</v>
      </c>
      <c r="L1950">
        <v>0</v>
      </c>
      <c r="M1950" t="s">
        <v>11</v>
      </c>
    </row>
    <row r="1951" spans="1:13">
      <c r="A1951" s="93">
        <v>187976</v>
      </c>
      <c r="B1951" t="s">
        <v>2493</v>
      </c>
      <c r="C1951" t="s">
        <v>4919</v>
      </c>
      <c r="D1951" s="92" t="s">
        <v>446</v>
      </c>
      <c r="E1951" s="92" t="s">
        <v>446</v>
      </c>
      <c r="F1951" t="s">
        <v>446</v>
      </c>
      <c r="G1951" t="s">
        <v>446</v>
      </c>
      <c r="H1951" t="s">
        <v>4932</v>
      </c>
      <c r="I1951">
        <v>0</v>
      </c>
      <c r="J1951" t="s">
        <v>97</v>
      </c>
      <c r="K1951">
        <v>0</v>
      </c>
      <c r="L1951">
        <v>0</v>
      </c>
      <c r="M1951" t="s">
        <v>11</v>
      </c>
    </row>
    <row r="1952" spans="1:13">
      <c r="A1952" s="93">
        <v>187985</v>
      </c>
      <c r="B1952" t="s">
        <v>2494</v>
      </c>
      <c r="C1952" t="s">
        <v>4920</v>
      </c>
      <c r="D1952" s="92">
        <v>0.53</v>
      </c>
      <c r="E1952" s="92">
        <v>0.51</v>
      </c>
      <c r="F1952">
        <v>1010</v>
      </c>
      <c r="G1952">
        <v>1125</v>
      </c>
      <c r="H1952" t="s">
        <v>4932</v>
      </c>
      <c r="I1952">
        <v>0</v>
      </c>
      <c r="J1952" t="s">
        <v>97</v>
      </c>
      <c r="K1952">
        <v>0</v>
      </c>
      <c r="L1952">
        <v>0</v>
      </c>
      <c r="M1952" t="s">
        <v>11</v>
      </c>
    </row>
    <row r="1953" spans="1:13">
      <c r="A1953" s="93">
        <v>187994</v>
      </c>
      <c r="B1953" t="s">
        <v>2495</v>
      </c>
      <c r="C1953" t="s">
        <v>4919</v>
      </c>
      <c r="D1953" s="92">
        <v>0.18</v>
      </c>
      <c r="E1953" s="92">
        <v>0.19</v>
      </c>
      <c r="F1953" t="s">
        <v>446</v>
      </c>
      <c r="G1953" t="s">
        <v>446</v>
      </c>
      <c r="H1953" t="s">
        <v>4932</v>
      </c>
      <c r="I1953">
        <v>0</v>
      </c>
      <c r="J1953" t="s">
        <v>97</v>
      </c>
      <c r="K1953">
        <v>0</v>
      </c>
      <c r="L1953">
        <v>0</v>
      </c>
      <c r="M1953" t="s">
        <v>11</v>
      </c>
    </row>
    <row r="1954" spans="1:13">
      <c r="A1954" s="93">
        <v>188003</v>
      </c>
      <c r="B1954" t="s">
        <v>2496</v>
      </c>
      <c r="C1954" t="s">
        <v>4919</v>
      </c>
      <c r="D1954" s="92">
        <v>0.21</v>
      </c>
      <c r="E1954" s="92">
        <v>0.23</v>
      </c>
      <c r="F1954" t="s">
        <v>446</v>
      </c>
      <c r="G1954" t="s">
        <v>446</v>
      </c>
      <c r="H1954" t="s">
        <v>4932</v>
      </c>
      <c r="I1954">
        <v>0</v>
      </c>
      <c r="J1954" t="s">
        <v>97</v>
      </c>
      <c r="K1954">
        <v>0</v>
      </c>
      <c r="L1954">
        <v>0</v>
      </c>
      <c r="M1954" t="s">
        <v>11</v>
      </c>
    </row>
    <row r="1955" spans="1:13">
      <c r="A1955" s="93">
        <v>188021</v>
      </c>
      <c r="B1955" t="s">
        <v>2497</v>
      </c>
      <c r="C1955" t="s">
        <v>4919</v>
      </c>
      <c r="D1955" s="92">
        <v>0.33</v>
      </c>
      <c r="E1955" s="92">
        <v>0.31</v>
      </c>
      <c r="F1955" t="s">
        <v>446</v>
      </c>
      <c r="G1955" t="s">
        <v>446</v>
      </c>
      <c r="H1955" t="s">
        <v>4932</v>
      </c>
      <c r="I1955">
        <v>0</v>
      </c>
      <c r="J1955" t="s">
        <v>97</v>
      </c>
      <c r="K1955">
        <v>0</v>
      </c>
      <c r="L1955">
        <v>0</v>
      </c>
      <c r="M1955" t="s">
        <v>11</v>
      </c>
    </row>
    <row r="1956" spans="1:13">
      <c r="A1956" s="93">
        <v>188030</v>
      </c>
      <c r="B1956" t="s">
        <v>2498</v>
      </c>
      <c r="C1956" t="s">
        <v>4920</v>
      </c>
      <c r="D1956" s="92">
        <v>0.5</v>
      </c>
      <c r="E1956" s="92">
        <v>0.46</v>
      </c>
      <c r="F1956">
        <v>920</v>
      </c>
      <c r="G1956">
        <v>1030</v>
      </c>
      <c r="H1956" t="s">
        <v>4930</v>
      </c>
      <c r="I1956">
        <v>0</v>
      </c>
      <c r="J1956" t="s">
        <v>97</v>
      </c>
      <c r="K1956">
        <v>0</v>
      </c>
      <c r="L1956">
        <v>0</v>
      </c>
      <c r="M1956" t="s">
        <v>11</v>
      </c>
    </row>
    <row r="1957" spans="1:13">
      <c r="A1957" s="93">
        <v>188049</v>
      </c>
      <c r="B1957" t="s">
        <v>2499</v>
      </c>
      <c r="C1957" t="s">
        <v>4919</v>
      </c>
      <c r="D1957" s="92" t="s">
        <v>446</v>
      </c>
      <c r="E1957" s="92" t="s">
        <v>446</v>
      </c>
      <c r="F1957" t="s">
        <v>446</v>
      </c>
      <c r="G1957" t="s">
        <v>446</v>
      </c>
      <c r="H1957" t="s">
        <v>4932</v>
      </c>
      <c r="I1957">
        <v>0</v>
      </c>
      <c r="J1957" t="s">
        <v>97</v>
      </c>
      <c r="K1957">
        <v>0</v>
      </c>
      <c r="L1957">
        <v>0</v>
      </c>
      <c r="M1957" t="s">
        <v>11</v>
      </c>
    </row>
    <row r="1958" spans="1:13">
      <c r="A1958" s="93">
        <v>188058</v>
      </c>
      <c r="B1958" t="s">
        <v>2500</v>
      </c>
      <c r="C1958" t="s">
        <v>4923</v>
      </c>
      <c r="D1958" s="92">
        <v>0.19</v>
      </c>
      <c r="E1958" s="92">
        <v>0.22</v>
      </c>
      <c r="F1958" t="s">
        <v>446</v>
      </c>
      <c r="G1958" t="s">
        <v>446</v>
      </c>
      <c r="H1958" t="s">
        <v>4932</v>
      </c>
      <c r="I1958">
        <v>0</v>
      </c>
      <c r="J1958" t="s">
        <v>97</v>
      </c>
      <c r="K1958">
        <v>0</v>
      </c>
      <c r="L1958">
        <v>0</v>
      </c>
      <c r="M1958" t="s">
        <v>11</v>
      </c>
    </row>
    <row r="1959" spans="1:13">
      <c r="A1959" s="93">
        <v>188137</v>
      </c>
      <c r="B1959" t="s">
        <v>2501</v>
      </c>
      <c r="C1959" t="s">
        <v>4919</v>
      </c>
      <c r="D1959" s="92">
        <v>0.32</v>
      </c>
      <c r="E1959" s="92">
        <v>0.31</v>
      </c>
      <c r="F1959" t="s">
        <v>446</v>
      </c>
      <c r="G1959" t="s">
        <v>446</v>
      </c>
      <c r="H1959" t="s">
        <v>4932</v>
      </c>
      <c r="I1959">
        <v>0</v>
      </c>
      <c r="J1959" t="s">
        <v>97</v>
      </c>
      <c r="K1959">
        <v>0</v>
      </c>
      <c r="L1959">
        <v>0</v>
      </c>
      <c r="M1959" t="s">
        <v>11</v>
      </c>
    </row>
    <row r="1960" spans="1:13">
      <c r="A1960" s="93">
        <v>188182</v>
      </c>
      <c r="B1960" t="s">
        <v>2502</v>
      </c>
      <c r="C1960" t="s">
        <v>4920</v>
      </c>
      <c r="D1960" s="92">
        <v>0.19</v>
      </c>
      <c r="E1960" s="92">
        <v>0.18</v>
      </c>
      <c r="F1960" t="s">
        <v>446</v>
      </c>
      <c r="G1960" t="s">
        <v>446</v>
      </c>
      <c r="H1960" t="s">
        <v>4930</v>
      </c>
      <c r="I1960">
        <v>0</v>
      </c>
      <c r="J1960" t="s">
        <v>97</v>
      </c>
      <c r="K1960">
        <v>0</v>
      </c>
      <c r="L1960">
        <v>0</v>
      </c>
      <c r="M1960" t="s">
        <v>11</v>
      </c>
    </row>
    <row r="1961" spans="1:13">
      <c r="A1961" s="93">
        <v>188207</v>
      </c>
      <c r="B1961" t="s">
        <v>1909</v>
      </c>
      <c r="C1961" t="s">
        <v>4924</v>
      </c>
      <c r="D1961" s="92" t="s">
        <v>446</v>
      </c>
      <c r="E1961" s="92" t="s">
        <v>446</v>
      </c>
      <c r="F1961" t="s">
        <v>446</v>
      </c>
      <c r="G1961" t="s">
        <v>446</v>
      </c>
      <c r="H1961" t="s">
        <v>4932</v>
      </c>
      <c r="I1961">
        <v>0</v>
      </c>
      <c r="J1961" t="s">
        <v>97</v>
      </c>
      <c r="K1961">
        <v>0</v>
      </c>
      <c r="L1961">
        <v>0</v>
      </c>
      <c r="M1961" t="s">
        <v>11</v>
      </c>
    </row>
    <row r="1962" spans="1:13">
      <c r="A1962" s="93">
        <v>188216</v>
      </c>
      <c r="B1962" t="s">
        <v>2503</v>
      </c>
      <c r="C1962" t="s">
        <v>4919</v>
      </c>
      <c r="D1962" s="92">
        <v>0.25</v>
      </c>
      <c r="E1962" s="92" t="s">
        <v>446</v>
      </c>
      <c r="F1962" t="s">
        <v>446</v>
      </c>
      <c r="G1962" t="s">
        <v>446</v>
      </c>
      <c r="H1962" t="s">
        <v>4932</v>
      </c>
      <c r="I1962">
        <v>0</v>
      </c>
      <c r="J1962" t="s">
        <v>97</v>
      </c>
      <c r="K1962">
        <v>0</v>
      </c>
      <c r="L1962">
        <v>0</v>
      </c>
      <c r="M1962" t="s">
        <v>11</v>
      </c>
    </row>
    <row r="1963" spans="1:13">
      <c r="A1963" s="93">
        <v>188225</v>
      </c>
      <c r="B1963" t="s">
        <v>2504</v>
      </c>
      <c r="C1963" t="s">
        <v>4919</v>
      </c>
      <c r="D1963" s="92" t="s">
        <v>446</v>
      </c>
      <c r="E1963" s="92" t="s">
        <v>446</v>
      </c>
      <c r="F1963" t="s">
        <v>446</v>
      </c>
      <c r="G1963" t="s">
        <v>446</v>
      </c>
      <c r="H1963" t="s">
        <v>4932</v>
      </c>
      <c r="I1963">
        <v>0</v>
      </c>
      <c r="J1963" t="s">
        <v>97</v>
      </c>
      <c r="K1963">
        <v>0</v>
      </c>
      <c r="L1963">
        <v>0</v>
      </c>
      <c r="M1963" t="s">
        <v>11</v>
      </c>
    </row>
    <row r="1964" spans="1:13">
      <c r="A1964" s="93">
        <v>188261</v>
      </c>
      <c r="B1964" t="s">
        <v>2505</v>
      </c>
      <c r="C1964" t="s">
        <v>4919</v>
      </c>
      <c r="D1964" s="92">
        <v>0.5</v>
      </c>
      <c r="E1964" s="92">
        <v>0.53</v>
      </c>
      <c r="F1964" t="s">
        <v>446</v>
      </c>
      <c r="G1964" t="s">
        <v>446</v>
      </c>
      <c r="H1964" t="s">
        <v>4932</v>
      </c>
      <c r="I1964">
        <v>0</v>
      </c>
      <c r="J1964" t="s">
        <v>97</v>
      </c>
      <c r="K1964">
        <v>0</v>
      </c>
      <c r="L1964">
        <v>0</v>
      </c>
      <c r="M1964" t="s">
        <v>11</v>
      </c>
    </row>
    <row r="1965" spans="1:13">
      <c r="A1965" s="93">
        <v>188304</v>
      </c>
      <c r="B1965" t="s">
        <v>2506</v>
      </c>
      <c r="C1965" t="s">
        <v>4918</v>
      </c>
      <c r="D1965" s="92">
        <v>0.26</v>
      </c>
      <c r="E1965" s="92">
        <v>0.24</v>
      </c>
      <c r="F1965" t="s">
        <v>446</v>
      </c>
      <c r="G1965" t="s">
        <v>446</v>
      </c>
      <c r="H1965" t="s">
        <v>4932</v>
      </c>
      <c r="I1965">
        <v>0</v>
      </c>
      <c r="J1965" t="s">
        <v>97</v>
      </c>
      <c r="K1965">
        <v>0</v>
      </c>
      <c r="L1965">
        <v>0</v>
      </c>
      <c r="M1965" t="s">
        <v>11</v>
      </c>
    </row>
    <row r="1966" spans="1:13">
      <c r="A1966" s="93">
        <v>188340</v>
      </c>
      <c r="B1966" t="s">
        <v>2507</v>
      </c>
      <c r="C1966" t="s">
        <v>4920</v>
      </c>
      <c r="D1966" s="92">
        <v>0.4</v>
      </c>
      <c r="E1966" s="92">
        <v>0.3</v>
      </c>
      <c r="F1966" t="s">
        <v>446</v>
      </c>
      <c r="G1966" t="s">
        <v>446</v>
      </c>
      <c r="H1966" t="s">
        <v>4930</v>
      </c>
      <c r="I1966">
        <v>0</v>
      </c>
      <c r="J1966" t="s">
        <v>97</v>
      </c>
      <c r="K1966">
        <v>0</v>
      </c>
      <c r="L1966">
        <v>0</v>
      </c>
      <c r="M1966" t="s">
        <v>11</v>
      </c>
    </row>
    <row r="1967" spans="1:13">
      <c r="A1967" s="93">
        <v>188429</v>
      </c>
      <c r="B1967" t="s">
        <v>2508</v>
      </c>
      <c r="C1967" t="s">
        <v>4920</v>
      </c>
      <c r="D1967" s="92">
        <v>0.72</v>
      </c>
      <c r="E1967" s="92">
        <v>0.66</v>
      </c>
      <c r="F1967">
        <v>1080</v>
      </c>
      <c r="G1967">
        <v>1195</v>
      </c>
      <c r="H1967" t="s">
        <v>4930</v>
      </c>
      <c r="I1967">
        <v>0</v>
      </c>
      <c r="J1967" t="s">
        <v>97</v>
      </c>
      <c r="K1967">
        <v>0</v>
      </c>
      <c r="L1967">
        <v>0</v>
      </c>
      <c r="M1967" t="s">
        <v>11</v>
      </c>
    </row>
    <row r="1968" spans="1:13">
      <c r="A1968" s="93">
        <v>188438</v>
      </c>
      <c r="B1968" t="s">
        <v>2509</v>
      </c>
      <c r="C1968" t="s">
        <v>4919</v>
      </c>
      <c r="D1968" s="92">
        <v>0.39</v>
      </c>
      <c r="E1968" s="92">
        <v>0.26</v>
      </c>
      <c r="F1968" t="s">
        <v>446</v>
      </c>
      <c r="G1968" t="s">
        <v>446</v>
      </c>
      <c r="H1968" t="s">
        <v>4932</v>
      </c>
      <c r="I1968">
        <v>0</v>
      </c>
      <c r="J1968" t="s">
        <v>97</v>
      </c>
      <c r="K1968">
        <v>0</v>
      </c>
      <c r="L1968">
        <v>0</v>
      </c>
      <c r="M1968" t="s">
        <v>11</v>
      </c>
    </row>
    <row r="1969" spans="1:13">
      <c r="A1969" s="93">
        <v>188517</v>
      </c>
      <c r="B1969" t="s">
        <v>2510</v>
      </c>
      <c r="C1969" t="s">
        <v>4923</v>
      </c>
      <c r="D1969" s="92">
        <v>1</v>
      </c>
      <c r="E1969" s="92" t="s">
        <v>446</v>
      </c>
      <c r="F1969" t="s">
        <v>446</v>
      </c>
      <c r="G1969" t="s">
        <v>446</v>
      </c>
      <c r="H1969" t="s">
        <v>4931</v>
      </c>
      <c r="I1969">
        <v>0</v>
      </c>
      <c r="J1969" t="s">
        <v>97</v>
      </c>
      <c r="K1969">
        <v>0</v>
      </c>
      <c r="L1969">
        <v>0</v>
      </c>
      <c r="M1969" t="s">
        <v>11</v>
      </c>
    </row>
    <row r="1970" spans="1:13">
      <c r="A1970" s="93">
        <v>188526</v>
      </c>
      <c r="B1970" t="s">
        <v>2511</v>
      </c>
      <c r="C1970" t="s">
        <v>4926</v>
      </c>
      <c r="D1970" s="92">
        <v>0.53</v>
      </c>
      <c r="E1970" s="92">
        <v>0.38</v>
      </c>
      <c r="F1970">
        <v>1170</v>
      </c>
      <c r="G1970">
        <v>1280</v>
      </c>
      <c r="H1970" t="s">
        <v>4930</v>
      </c>
      <c r="I1970">
        <v>0</v>
      </c>
      <c r="J1970" t="s">
        <v>97</v>
      </c>
      <c r="K1970">
        <v>0</v>
      </c>
      <c r="L1970">
        <v>0</v>
      </c>
      <c r="M1970" t="s">
        <v>11</v>
      </c>
    </row>
    <row r="1971" spans="1:13">
      <c r="A1971" s="93">
        <v>188535</v>
      </c>
      <c r="B1971" t="s">
        <v>2512</v>
      </c>
      <c r="C1971" t="s">
        <v>4924</v>
      </c>
      <c r="D1971" s="92" t="s">
        <v>446</v>
      </c>
      <c r="E1971" s="92" t="s">
        <v>446</v>
      </c>
      <c r="F1971" t="s">
        <v>446</v>
      </c>
      <c r="G1971" t="s">
        <v>446</v>
      </c>
      <c r="H1971" t="s">
        <v>4932</v>
      </c>
      <c r="I1971">
        <v>0</v>
      </c>
      <c r="J1971" t="s">
        <v>97</v>
      </c>
      <c r="K1971">
        <v>0</v>
      </c>
      <c r="L1971">
        <v>0</v>
      </c>
      <c r="M1971" t="s">
        <v>11</v>
      </c>
    </row>
    <row r="1972" spans="1:13">
      <c r="A1972" s="93">
        <v>188580</v>
      </c>
      <c r="B1972" t="s">
        <v>2513</v>
      </c>
      <c r="C1972" t="s">
        <v>4924</v>
      </c>
      <c r="D1972" s="92" t="s">
        <v>446</v>
      </c>
      <c r="E1972" s="92" t="s">
        <v>446</v>
      </c>
      <c r="F1972" t="s">
        <v>446</v>
      </c>
      <c r="G1972" t="s">
        <v>446</v>
      </c>
      <c r="H1972" t="s">
        <v>4932</v>
      </c>
      <c r="I1972">
        <v>0</v>
      </c>
      <c r="J1972" t="s">
        <v>97</v>
      </c>
      <c r="K1972">
        <v>0</v>
      </c>
      <c r="L1972">
        <v>0</v>
      </c>
      <c r="M1972" t="s">
        <v>11</v>
      </c>
    </row>
    <row r="1973" spans="1:13">
      <c r="A1973" s="93">
        <v>188641</v>
      </c>
      <c r="B1973" t="s">
        <v>2514</v>
      </c>
      <c r="C1973" t="s">
        <v>4920</v>
      </c>
      <c r="D1973" s="92">
        <v>0.59</v>
      </c>
      <c r="E1973" s="92">
        <v>0.51</v>
      </c>
      <c r="F1973">
        <v>1070</v>
      </c>
      <c r="G1973">
        <v>1185</v>
      </c>
      <c r="H1973" t="s">
        <v>4930</v>
      </c>
      <c r="I1973">
        <v>0</v>
      </c>
      <c r="J1973" t="s">
        <v>97</v>
      </c>
      <c r="K1973">
        <v>0</v>
      </c>
      <c r="L1973">
        <v>0</v>
      </c>
      <c r="M1973" t="s">
        <v>11</v>
      </c>
    </row>
    <row r="1974" spans="1:13">
      <c r="A1974" s="93">
        <v>188669</v>
      </c>
      <c r="B1974" t="s">
        <v>2515</v>
      </c>
      <c r="C1974" t="s">
        <v>4925</v>
      </c>
      <c r="D1974" s="92" t="s">
        <v>446</v>
      </c>
      <c r="E1974" s="92" t="s">
        <v>446</v>
      </c>
      <c r="F1974" t="s">
        <v>446</v>
      </c>
      <c r="G1974" t="s">
        <v>446</v>
      </c>
      <c r="H1974" t="s">
        <v>4932</v>
      </c>
      <c r="I1974">
        <v>0</v>
      </c>
      <c r="J1974" t="s">
        <v>97</v>
      </c>
      <c r="K1974">
        <v>0</v>
      </c>
      <c r="L1974">
        <v>0</v>
      </c>
      <c r="M1974" t="s">
        <v>11</v>
      </c>
    </row>
    <row r="1975" spans="1:13">
      <c r="A1975" s="93">
        <v>188678</v>
      </c>
      <c r="B1975" t="s">
        <v>2516</v>
      </c>
      <c r="C1975" t="s">
        <v>4925</v>
      </c>
      <c r="D1975" s="92" t="s">
        <v>446</v>
      </c>
      <c r="E1975" s="92" t="s">
        <v>446</v>
      </c>
      <c r="F1975" t="s">
        <v>446</v>
      </c>
      <c r="G1975" t="s">
        <v>446</v>
      </c>
      <c r="H1975" t="s">
        <v>4930</v>
      </c>
      <c r="I1975">
        <v>0</v>
      </c>
      <c r="J1975" t="s">
        <v>97</v>
      </c>
      <c r="K1975">
        <v>0</v>
      </c>
      <c r="L1975">
        <v>0</v>
      </c>
      <c r="M1975" t="s">
        <v>11</v>
      </c>
    </row>
    <row r="1976" spans="1:13">
      <c r="A1976" s="93">
        <v>188687</v>
      </c>
      <c r="B1976" t="s">
        <v>2517</v>
      </c>
      <c r="C1976" t="s">
        <v>4919</v>
      </c>
      <c r="D1976" s="92">
        <v>0.61</v>
      </c>
      <c r="E1976" s="92">
        <v>0.58</v>
      </c>
      <c r="F1976" t="s">
        <v>446</v>
      </c>
      <c r="G1976" t="s">
        <v>446</v>
      </c>
      <c r="H1976" t="s">
        <v>4930</v>
      </c>
      <c r="I1976">
        <v>0</v>
      </c>
      <c r="J1976" t="s">
        <v>97</v>
      </c>
      <c r="K1976">
        <v>0</v>
      </c>
      <c r="L1976">
        <v>0</v>
      </c>
      <c r="M1976" t="s">
        <v>11</v>
      </c>
    </row>
    <row r="1977" spans="1:13">
      <c r="A1977" s="93">
        <v>188696</v>
      </c>
      <c r="B1977" t="s">
        <v>2518</v>
      </c>
      <c r="C1977" t="s">
        <v>4925</v>
      </c>
      <c r="D1977" s="92">
        <v>0.32</v>
      </c>
      <c r="E1977" s="92">
        <v>0.17</v>
      </c>
      <c r="F1977" t="s">
        <v>446</v>
      </c>
      <c r="G1977" t="s">
        <v>446</v>
      </c>
      <c r="H1977" t="s">
        <v>4930</v>
      </c>
      <c r="I1977">
        <v>0</v>
      </c>
      <c r="J1977" t="s">
        <v>97</v>
      </c>
      <c r="K1977">
        <v>0</v>
      </c>
      <c r="L1977">
        <v>0</v>
      </c>
      <c r="M1977" t="s">
        <v>11</v>
      </c>
    </row>
    <row r="1978" spans="1:13">
      <c r="A1978" s="93">
        <v>188915</v>
      </c>
      <c r="B1978" t="s">
        <v>2519</v>
      </c>
      <c r="C1978" t="s">
        <v>4925</v>
      </c>
      <c r="D1978" s="92">
        <v>0.92</v>
      </c>
      <c r="E1978" s="92">
        <v>0.5</v>
      </c>
      <c r="F1978" t="s">
        <v>446</v>
      </c>
      <c r="G1978" t="s">
        <v>446</v>
      </c>
      <c r="H1978" t="s">
        <v>4932</v>
      </c>
      <c r="I1978">
        <v>0</v>
      </c>
      <c r="J1978" t="s">
        <v>97</v>
      </c>
      <c r="K1978">
        <v>0</v>
      </c>
      <c r="L1978">
        <v>0</v>
      </c>
      <c r="M1978" t="s">
        <v>11</v>
      </c>
    </row>
    <row r="1979" spans="1:13">
      <c r="A1979" s="93">
        <v>188942</v>
      </c>
      <c r="B1979" t="s">
        <v>2520</v>
      </c>
      <c r="C1979" t="s">
        <v>4924</v>
      </c>
      <c r="D1979" s="92" t="s">
        <v>446</v>
      </c>
      <c r="E1979" s="92" t="s">
        <v>446</v>
      </c>
      <c r="F1979" t="s">
        <v>446</v>
      </c>
      <c r="G1979" t="s">
        <v>446</v>
      </c>
      <c r="H1979" t="s">
        <v>4931</v>
      </c>
      <c r="I1979">
        <v>0</v>
      </c>
      <c r="J1979" t="s">
        <v>97</v>
      </c>
      <c r="K1979">
        <v>0</v>
      </c>
      <c r="L1979">
        <v>0</v>
      </c>
      <c r="M1979" t="s">
        <v>11</v>
      </c>
    </row>
    <row r="1980" spans="1:13">
      <c r="A1980" s="93">
        <v>189015</v>
      </c>
      <c r="B1980" t="s">
        <v>2521</v>
      </c>
      <c r="C1980" t="s">
        <v>4924</v>
      </c>
      <c r="D1980" s="92" t="s">
        <v>446</v>
      </c>
      <c r="E1980" s="92" t="s">
        <v>446</v>
      </c>
      <c r="F1980" t="s">
        <v>446</v>
      </c>
      <c r="G1980" t="s">
        <v>446</v>
      </c>
      <c r="H1980" t="s">
        <v>4932</v>
      </c>
      <c r="I1980">
        <v>0</v>
      </c>
      <c r="J1980" t="s">
        <v>97</v>
      </c>
      <c r="K1980">
        <v>0</v>
      </c>
      <c r="L1980">
        <v>0</v>
      </c>
      <c r="M1980" t="s">
        <v>11</v>
      </c>
    </row>
    <row r="1981" spans="1:13">
      <c r="A1981" s="93">
        <v>189097</v>
      </c>
      <c r="B1981" t="s">
        <v>2522</v>
      </c>
      <c r="C1981" t="s">
        <v>4921</v>
      </c>
      <c r="D1981" s="92">
        <v>0.93</v>
      </c>
      <c r="E1981" s="92">
        <v>0.92</v>
      </c>
      <c r="F1981">
        <v>1420</v>
      </c>
      <c r="G1981">
        <v>1485</v>
      </c>
      <c r="H1981" t="s">
        <v>4928</v>
      </c>
      <c r="I1981">
        <v>1</v>
      </c>
      <c r="J1981" t="s">
        <v>97</v>
      </c>
      <c r="K1981">
        <v>0</v>
      </c>
      <c r="L1981">
        <v>0</v>
      </c>
      <c r="M1981" t="s">
        <v>11</v>
      </c>
    </row>
    <row r="1982" spans="1:13">
      <c r="A1982" s="93">
        <v>189228</v>
      </c>
      <c r="B1982" t="s">
        <v>2523</v>
      </c>
      <c r="C1982" t="s">
        <v>4918</v>
      </c>
      <c r="D1982" s="92">
        <v>0.31</v>
      </c>
      <c r="E1982" s="92">
        <v>0.31</v>
      </c>
      <c r="F1982" t="s">
        <v>446</v>
      </c>
      <c r="G1982" t="s">
        <v>446</v>
      </c>
      <c r="H1982" t="s">
        <v>4930</v>
      </c>
      <c r="I1982">
        <v>0</v>
      </c>
      <c r="J1982" t="s">
        <v>97</v>
      </c>
      <c r="K1982">
        <v>0</v>
      </c>
      <c r="L1982">
        <v>0</v>
      </c>
      <c r="M1982" t="s">
        <v>11</v>
      </c>
    </row>
    <row r="1983" spans="1:13">
      <c r="A1983" s="93">
        <v>189273</v>
      </c>
      <c r="B1983" t="s">
        <v>2524</v>
      </c>
      <c r="C1983" t="s">
        <v>4924</v>
      </c>
      <c r="D1983" s="92" t="s">
        <v>446</v>
      </c>
      <c r="E1983" s="92" t="s">
        <v>446</v>
      </c>
      <c r="F1983" t="s">
        <v>446</v>
      </c>
      <c r="G1983" t="s">
        <v>446</v>
      </c>
      <c r="H1983" t="s">
        <v>4927</v>
      </c>
      <c r="I1983">
        <v>1</v>
      </c>
      <c r="J1983" t="s">
        <v>97</v>
      </c>
      <c r="K1983">
        <v>0</v>
      </c>
      <c r="L1983">
        <v>0</v>
      </c>
      <c r="M1983" t="s">
        <v>11</v>
      </c>
    </row>
    <row r="1984" spans="1:13">
      <c r="A1984" s="93">
        <v>189282</v>
      </c>
      <c r="B1984" t="s">
        <v>2525</v>
      </c>
      <c r="C1984" t="s">
        <v>4924</v>
      </c>
      <c r="D1984" s="92">
        <v>1</v>
      </c>
      <c r="E1984" s="92" t="s">
        <v>446</v>
      </c>
      <c r="F1984" t="s">
        <v>446</v>
      </c>
      <c r="G1984" t="s">
        <v>446</v>
      </c>
      <c r="H1984" t="s">
        <v>4932</v>
      </c>
      <c r="I1984">
        <v>0</v>
      </c>
      <c r="J1984" t="s">
        <v>97</v>
      </c>
      <c r="K1984">
        <v>0</v>
      </c>
      <c r="L1984">
        <v>0</v>
      </c>
      <c r="M1984" t="s">
        <v>11</v>
      </c>
    </row>
    <row r="1985" spans="1:13">
      <c r="A1985" s="93">
        <v>189413</v>
      </c>
      <c r="B1985" t="s">
        <v>2526</v>
      </c>
      <c r="C1985" t="s">
        <v>4920</v>
      </c>
      <c r="D1985" s="92">
        <v>0.44</v>
      </c>
      <c r="E1985" s="92">
        <v>0.44</v>
      </c>
      <c r="F1985" t="s">
        <v>446</v>
      </c>
      <c r="G1985" t="s">
        <v>446</v>
      </c>
      <c r="H1985" t="s">
        <v>4931</v>
      </c>
      <c r="I1985">
        <v>0</v>
      </c>
      <c r="J1985" t="s">
        <v>97</v>
      </c>
      <c r="K1985">
        <v>0</v>
      </c>
      <c r="L1985">
        <v>0</v>
      </c>
      <c r="M1985" t="s">
        <v>11</v>
      </c>
    </row>
    <row r="1986" spans="1:13">
      <c r="A1986" s="93">
        <v>189501</v>
      </c>
      <c r="B1986" t="s">
        <v>2527</v>
      </c>
      <c r="C1986" t="s">
        <v>4924</v>
      </c>
      <c r="D1986" s="92" t="s">
        <v>446</v>
      </c>
      <c r="E1986" s="92" t="s">
        <v>446</v>
      </c>
      <c r="F1986" t="s">
        <v>446</v>
      </c>
      <c r="G1986" t="s">
        <v>446</v>
      </c>
      <c r="H1986" t="s">
        <v>4932</v>
      </c>
      <c r="I1986">
        <v>0</v>
      </c>
      <c r="J1986" t="s">
        <v>97</v>
      </c>
      <c r="K1986">
        <v>0</v>
      </c>
      <c r="L1986">
        <v>0</v>
      </c>
      <c r="M1986" t="s">
        <v>11</v>
      </c>
    </row>
    <row r="1987" spans="1:13">
      <c r="A1987" s="93">
        <v>189547</v>
      </c>
      <c r="B1987" t="s">
        <v>2528</v>
      </c>
      <c r="C1987" t="s">
        <v>4919</v>
      </c>
      <c r="D1987" s="92">
        <v>0.4</v>
      </c>
      <c r="E1987" s="92">
        <v>0.29</v>
      </c>
      <c r="F1987" t="s">
        <v>446</v>
      </c>
      <c r="G1987" t="s">
        <v>446</v>
      </c>
      <c r="H1987" t="s">
        <v>4932</v>
      </c>
      <c r="I1987">
        <v>0</v>
      </c>
      <c r="J1987" t="s">
        <v>97</v>
      </c>
      <c r="K1987">
        <v>0</v>
      </c>
      <c r="L1987">
        <v>0</v>
      </c>
      <c r="M1987" t="s">
        <v>11</v>
      </c>
    </row>
    <row r="1988" spans="1:13">
      <c r="A1988" s="93">
        <v>189565</v>
      </c>
      <c r="B1988" t="s">
        <v>2529</v>
      </c>
      <c r="C1988" t="s">
        <v>4923</v>
      </c>
      <c r="D1988" s="92" t="s">
        <v>446</v>
      </c>
      <c r="E1988" s="92" t="s">
        <v>446</v>
      </c>
      <c r="F1988" t="s">
        <v>446</v>
      </c>
      <c r="G1988" t="s">
        <v>446</v>
      </c>
      <c r="H1988" t="s">
        <v>4930</v>
      </c>
      <c r="I1988">
        <v>0</v>
      </c>
      <c r="J1988" t="s">
        <v>97</v>
      </c>
      <c r="K1988">
        <v>0</v>
      </c>
      <c r="L1988">
        <v>0</v>
      </c>
      <c r="M1988" t="s">
        <v>11</v>
      </c>
    </row>
    <row r="1989" spans="1:13">
      <c r="A1989" s="93">
        <v>189583</v>
      </c>
      <c r="B1989" t="s">
        <v>2530</v>
      </c>
      <c r="C1989" t="s">
        <v>4923</v>
      </c>
      <c r="D1989" s="92" t="s">
        <v>446</v>
      </c>
      <c r="E1989" s="92" t="s">
        <v>446</v>
      </c>
      <c r="F1989" t="s">
        <v>446</v>
      </c>
      <c r="G1989" t="s">
        <v>446</v>
      </c>
      <c r="H1989" t="s">
        <v>4931</v>
      </c>
      <c r="I1989">
        <v>0</v>
      </c>
      <c r="J1989" t="s">
        <v>97</v>
      </c>
      <c r="K1989">
        <v>0</v>
      </c>
      <c r="L1989">
        <v>0</v>
      </c>
      <c r="M1989" t="s">
        <v>11</v>
      </c>
    </row>
    <row r="1990" spans="1:13">
      <c r="A1990" s="93">
        <v>189592</v>
      </c>
      <c r="B1990" t="s">
        <v>2531</v>
      </c>
      <c r="C1990" t="s">
        <v>4923</v>
      </c>
      <c r="D1990" s="92" t="s">
        <v>446</v>
      </c>
      <c r="E1990" s="92" t="s">
        <v>446</v>
      </c>
      <c r="F1990" t="s">
        <v>446</v>
      </c>
      <c r="G1990" t="s">
        <v>446</v>
      </c>
      <c r="H1990" t="s">
        <v>4930</v>
      </c>
      <c r="I1990">
        <v>0</v>
      </c>
      <c r="J1990" t="s">
        <v>97</v>
      </c>
      <c r="K1990">
        <v>0</v>
      </c>
      <c r="L1990">
        <v>0</v>
      </c>
      <c r="M1990" t="s">
        <v>11</v>
      </c>
    </row>
    <row r="1991" spans="1:13">
      <c r="A1991" s="93">
        <v>189811</v>
      </c>
      <c r="B1991" t="s">
        <v>2532</v>
      </c>
      <c r="C1991" t="s">
        <v>4919</v>
      </c>
      <c r="D1991" s="92" t="s">
        <v>446</v>
      </c>
      <c r="E1991" s="92" t="s">
        <v>446</v>
      </c>
      <c r="F1991" t="s">
        <v>446</v>
      </c>
      <c r="G1991" t="s">
        <v>446</v>
      </c>
      <c r="H1991" t="s">
        <v>4930</v>
      </c>
      <c r="I1991">
        <v>0</v>
      </c>
      <c r="J1991" t="s">
        <v>97</v>
      </c>
      <c r="K1991">
        <v>0</v>
      </c>
      <c r="L1991">
        <v>0</v>
      </c>
      <c r="M1991" t="s">
        <v>11</v>
      </c>
    </row>
    <row r="1992" spans="1:13">
      <c r="A1992" s="93">
        <v>189839</v>
      </c>
      <c r="B1992" t="s">
        <v>2533</v>
      </c>
      <c r="C1992" t="s">
        <v>4919</v>
      </c>
      <c r="D1992" s="92">
        <v>0.37</v>
      </c>
      <c r="E1992" s="92">
        <v>0.27</v>
      </c>
      <c r="F1992" t="s">
        <v>446</v>
      </c>
      <c r="G1992" t="s">
        <v>446</v>
      </c>
      <c r="H1992" t="s">
        <v>4932</v>
      </c>
      <c r="I1992">
        <v>0</v>
      </c>
      <c r="J1992" t="s">
        <v>97</v>
      </c>
      <c r="K1992">
        <v>0</v>
      </c>
      <c r="L1992">
        <v>0</v>
      </c>
      <c r="M1992" t="s">
        <v>11</v>
      </c>
    </row>
    <row r="1993" spans="1:13">
      <c r="A1993" s="93">
        <v>189848</v>
      </c>
      <c r="B1993" t="s">
        <v>2534</v>
      </c>
      <c r="C1993" t="s">
        <v>4920</v>
      </c>
      <c r="D1993" s="92">
        <v>0.53</v>
      </c>
      <c r="E1993" s="92">
        <v>0.43</v>
      </c>
      <c r="F1993">
        <v>960</v>
      </c>
      <c r="G1993">
        <v>1070</v>
      </c>
      <c r="H1993" t="s">
        <v>4931</v>
      </c>
      <c r="I1993">
        <v>0</v>
      </c>
      <c r="J1993" t="s">
        <v>97</v>
      </c>
      <c r="K1993">
        <v>0</v>
      </c>
      <c r="L1993">
        <v>0</v>
      </c>
      <c r="M1993" t="s">
        <v>11</v>
      </c>
    </row>
    <row r="1994" spans="1:13">
      <c r="A1994" s="93">
        <v>189857</v>
      </c>
      <c r="B1994" t="s">
        <v>2535</v>
      </c>
      <c r="C1994" t="s">
        <v>4924</v>
      </c>
      <c r="D1994" s="92">
        <v>0.13</v>
      </c>
      <c r="E1994" s="92" t="s">
        <v>446</v>
      </c>
      <c r="F1994" t="s">
        <v>446</v>
      </c>
      <c r="G1994" t="s">
        <v>446</v>
      </c>
      <c r="H1994" t="s">
        <v>4930</v>
      </c>
      <c r="I1994">
        <v>0</v>
      </c>
      <c r="J1994" t="s">
        <v>97</v>
      </c>
      <c r="K1994">
        <v>0</v>
      </c>
      <c r="L1994">
        <v>0</v>
      </c>
      <c r="M1994" t="s">
        <v>11</v>
      </c>
    </row>
    <row r="1995" spans="1:13">
      <c r="A1995" s="93">
        <v>189981</v>
      </c>
      <c r="B1995" t="s">
        <v>2536</v>
      </c>
      <c r="C1995" t="s">
        <v>4924</v>
      </c>
      <c r="D1995" s="92" t="s">
        <v>446</v>
      </c>
      <c r="E1995" s="92" t="s">
        <v>446</v>
      </c>
      <c r="F1995" t="s">
        <v>446</v>
      </c>
      <c r="G1995" t="s">
        <v>446</v>
      </c>
      <c r="H1995" t="s">
        <v>4932</v>
      </c>
      <c r="I1995">
        <v>0</v>
      </c>
      <c r="J1995" t="s">
        <v>97</v>
      </c>
      <c r="K1995">
        <v>0</v>
      </c>
      <c r="L1995">
        <v>0</v>
      </c>
      <c r="M1995" t="s">
        <v>11</v>
      </c>
    </row>
    <row r="1996" spans="1:13">
      <c r="A1996" s="93">
        <v>190008</v>
      </c>
      <c r="B1996" t="s">
        <v>2537</v>
      </c>
      <c r="C1996" t="s">
        <v>4925</v>
      </c>
      <c r="D1996" s="92" t="s">
        <v>446</v>
      </c>
      <c r="E1996" s="92" t="s">
        <v>446</v>
      </c>
      <c r="F1996" t="s">
        <v>446</v>
      </c>
      <c r="G1996" t="s">
        <v>446</v>
      </c>
      <c r="H1996" t="s">
        <v>4932</v>
      </c>
      <c r="I1996">
        <v>0</v>
      </c>
      <c r="J1996" t="s">
        <v>97</v>
      </c>
      <c r="K1996">
        <v>0</v>
      </c>
      <c r="L1996">
        <v>0</v>
      </c>
      <c r="M1996" t="s">
        <v>11</v>
      </c>
    </row>
    <row r="1997" spans="1:13">
      <c r="A1997" s="93">
        <v>190044</v>
      </c>
      <c r="B1997" t="s">
        <v>2538</v>
      </c>
      <c r="C1997" t="s">
        <v>4917</v>
      </c>
      <c r="D1997" s="92">
        <v>0.76</v>
      </c>
      <c r="E1997" s="92">
        <v>0.63</v>
      </c>
      <c r="F1997">
        <v>1180</v>
      </c>
      <c r="G1997">
        <v>1280</v>
      </c>
      <c r="H1997" t="s">
        <v>4930</v>
      </c>
      <c r="I1997">
        <v>0</v>
      </c>
      <c r="J1997" t="s">
        <v>97</v>
      </c>
      <c r="K1997">
        <v>0</v>
      </c>
      <c r="L1997">
        <v>0</v>
      </c>
      <c r="M1997" t="s">
        <v>11</v>
      </c>
    </row>
    <row r="1998" spans="1:13">
      <c r="A1998" s="93">
        <v>190053</v>
      </c>
      <c r="B1998" t="s">
        <v>2539</v>
      </c>
      <c r="C1998" t="s">
        <v>4919</v>
      </c>
      <c r="D1998" s="92">
        <v>0.36</v>
      </c>
      <c r="E1998" s="92">
        <v>0.28</v>
      </c>
      <c r="F1998" t="s">
        <v>446</v>
      </c>
      <c r="G1998" t="s">
        <v>446</v>
      </c>
      <c r="H1998" t="s">
        <v>4932</v>
      </c>
      <c r="I1998">
        <v>0</v>
      </c>
      <c r="J1998" t="s">
        <v>97</v>
      </c>
      <c r="K1998">
        <v>0</v>
      </c>
      <c r="L1998">
        <v>0</v>
      </c>
      <c r="M1998" t="s">
        <v>11</v>
      </c>
    </row>
    <row r="1999" spans="1:13">
      <c r="A1999" s="93">
        <v>190071</v>
      </c>
      <c r="B1999" t="s">
        <v>2540</v>
      </c>
      <c r="C1999" t="s">
        <v>4919</v>
      </c>
      <c r="D1999" s="92" t="s">
        <v>446</v>
      </c>
      <c r="E1999" s="92" t="s">
        <v>446</v>
      </c>
      <c r="F1999" t="s">
        <v>446</v>
      </c>
      <c r="G1999" t="s">
        <v>446</v>
      </c>
      <c r="H1999" t="s">
        <v>4932</v>
      </c>
      <c r="I1999">
        <v>0</v>
      </c>
      <c r="J1999" t="s">
        <v>97</v>
      </c>
      <c r="K1999">
        <v>0</v>
      </c>
      <c r="L1999">
        <v>0</v>
      </c>
      <c r="M1999" t="s">
        <v>11</v>
      </c>
    </row>
    <row r="2000" spans="1:13">
      <c r="A2000" s="93">
        <v>190080</v>
      </c>
      <c r="B2000" t="s">
        <v>2541</v>
      </c>
      <c r="C2000" t="s">
        <v>4924</v>
      </c>
      <c r="D2000" s="92" t="s">
        <v>446</v>
      </c>
      <c r="E2000" s="92" t="s">
        <v>446</v>
      </c>
      <c r="F2000" t="s">
        <v>446</v>
      </c>
      <c r="G2000" t="s">
        <v>446</v>
      </c>
      <c r="H2000" t="s">
        <v>4932</v>
      </c>
      <c r="I2000">
        <v>0</v>
      </c>
      <c r="J2000" t="s">
        <v>97</v>
      </c>
      <c r="K2000">
        <v>0</v>
      </c>
      <c r="L2000">
        <v>0</v>
      </c>
      <c r="M2000" t="s">
        <v>11</v>
      </c>
    </row>
    <row r="2001" spans="1:13">
      <c r="A2001" s="93">
        <v>190114</v>
      </c>
      <c r="B2001" t="s">
        <v>2542</v>
      </c>
      <c r="C2001" t="s">
        <v>4916</v>
      </c>
      <c r="D2001" s="92">
        <v>0.21</v>
      </c>
      <c r="E2001" s="92">
        <v>0.25</v>
      </c>
      <c r="F2001" t="s">
        <v>446</v>
      </c>
      <c r="G2001" t="s">
        <v>446</v>
      </c>
      <c r="H2001" t="s">
        <v>4930</v>
      </c>
      <c r="I2001">
        <v>0</v>
      </c>
      <c r="J2001" t="s">
        <v>97</v>
      </c>
      <c r="K2001">
        <v>0</v>
      </c>
      <c r="L2001">
        <v>0</v>
      </c>
      <c r="M2001" t="s">
        <v>11</v>
      </c>
    </row>
    <row r="2002" spans="1:13">
      <c r="A2002" s="93">
        <v>190169</v>
      </c>
      <c r="B2002" t="s">
        <v>2543</v>
      </c>
      <c r="C2002" t="s">
        <v>4919</v>
      </c>
      <c r="D2002" s="92">
        <v>0.44</v>
      </c>
      <c r="E2002" s="92">
        <v>0.32</v>
      </c>
      <c r="F2002" t="s">
        <v>446</v>
      </c>
      <c r="G2002" t="s">
        <v>446</v>
      </c>
      <c r="H2002" t="s">
        <v>4932</v>
      </c>
      <c r="I2002">
        <v>0</v>
      </c>
      <c r="J2002" t="s">
        <v>97</v>
      </c>
      <c r="K2002">
        <v>0</v>
      </c>
      <c r="L2002">
        <v>0</v>
      </c>
      <c r="M2002" t="s">
        <v>11</v>
      </c>
    </row>
    <row r="2003" spans="1:13">
      <c r="A2003" s="93">
        <v>190248</v>
      </c>
      <c r="B2003" t="s">
        <v>2544</v>
      </c>
      <c r="C2003" t="s">
        <v>4918</v>
      </c>
      <c r="D2003" s="92">
        <v>0.47</v>
      </c>
      <c r="E2003" s="92">
        <v>0.44</v>
      </c>
      <c r="F2003" t="s">
        <v>446</v>
      </c>
      <c r="G2003" t="s">
        <v>446</v>
      </c>
      <c r="H2003" t="s">
        <v>4932</v>
      </c>
      <c r="I2003">
        <v>0</v>
      </c>
      <c r="J2003" t="s">
        <v>97</v>
      </c>
      <c r="K2003">
        <v>0</v>
      </c>
      <c r="L2003">
        <v>0</v>
      </c>
      <c r="M2003" t="s">
        <v>11</v>
      </c>
    </row>
    <row r="2004" spans="1:13">
      <c r="A2004" s="93">
        <v>190372</v>
      </c>
      <c r="B2004" t="s">
        <v>2545</v>
      </c>
      <c r="C2004" t="s">
        <v>4921</v>
      </c>
      <c r="D2004" s="92">
        <v>0.84</v>
      </c>
      <c r="E2004" s="92">
        <v>0.87</v>
      </c>
      <c r="F2004" t="s">
        <v>446</v>
      </c>
      <c r="G2004" t="s">
        <v>446</v>
      </c>
      <c r="H2004" t="s">
        <v>4927</v>
      </c>
      <c r="I2004">
        <v>1</v>
      </c>
      <c r="J2004" t="s">
        <v>97</v>
      </c>
      <c r="K2004">
        <v>0</v>
      </c>
      <c r="L2004">
        <v>0</v>
      </c>
      <c r="M2004" t="s">
        <v>11</v>
      </c>
    </row>
    <row r="2005" spans="1:13">
      <c r="A2005" s="93">
        <v>190424</v>
      </c>
      <c r="B2005" t="s">
        <v>2546</v>
      </c>
      <c r="C2005" t="s">
        <v>4924</v>
      </c>
      <c r="D2005" s="92" t="s">
        <v>446</v>
      </c>
      <c r="E2005" s="92" t="s">
        <v>446</v>
      </c>
      <c r="F2005" t="s">
        <v>446</v>
      </c>
      <c r="G2005" t="s">
        <v>446</v>
      </c>
      <c r="H2005" t="s">
        <v>4932</v>
      </c>
      <c r="I2005">
        <v>0</v>
      </c>
      <c r="J2005" t="s">
        <v>97</v>
      </c>
      <c r="K2005">
        <v>0</v>
      </c>
      <c r="L2005">
        <v>0</v>
      </c>
      <c r="M2005" t="s">
        <v>11</v>
      </c>
    </row>
    <row r="2006" spans="1:13">
      <c r="A2006" s="93">
        <v>190442</v>
      </c>
      <c r="B2006" t="s">
        <v>2547</v>
      </c>
      <c r="C2006" t="s">
        <v>4919</v>
      </c>
      <c r="D2006" s="92">
        <v>0.41</v>
      </c>
      <c r="E2006" s="92">
        <v>0.28</v>
      </c>
      <c r="F2006" t="s">
        <v>446</v>
      </c>
      <c r="G2006" t="s">
        <v>446</v>
      </c>
      <c r="H2006" t="s">
        <v>4932</v>
      </c>
      <c r="I2006">
        <v>0</v>
      </c>
      <c r="J2006" t="s">
        <v>97</v>
      </c>
      <c r="K2006">
        <v>0</v>
      </c>
      <c r="L2006">
        <v>0</v>
      </c>
      <c r="M2006" t="s">
        <v>11</v>
      </c>
    </row>
    <row r="2007" spans="1:13">
      <c r="A2007" s="93">
        <v>190451</v>
      </c>
      <c r="B2007" t="s">
        <v>2548</v>
      </c>
      <c r="C2007" t="s">
        <v>4925</v>
      </c>
      <c r="D2007" s="92" t="s">
        <v>446</v>
      </c>
      <c r="E2007" s="92" t="s">
        <v>446</v>
      </c>
      <c r="F2007" t="s">
        <v>446</v>
      </c>
      <c r="G2007" t="s">
        <v>446</v>
      </c>
      <c r="H2007" t="s">
        <v>4930</v>
      </c>
      <c r="I2007">
        <v>0</v>
      </c>
      <c r="J2007" t="s">
        <v>97</v>
      </c>
      <c r="K2007">
        <v>0</v>
      </c>
      <c r="L2007">
        <v>0</v>
      </c>
      <c r="M2007" t="s">
        <v>11</v>
      </c>
    </row>
    <row r="2008" spans="1:13">
      <c r="A2008" s="93">
        <v>190503</v>
      </c>
      <c r="B2008" t="s">
        <v>2549</v>
      </c>
      <c r="C2008" t="s">
        <v>4924</v>
      </c>
      <c r="D2008" s="92" t="s">
        <v>446</v>
      </c>
      <c r="E2008" s="92" t="s">
        <v>446</v>
      </c>
      <c r="F2008" t="s">
        <v>446</v>
      </c>
      <c r="G2008" t="s">
        <v>446</v>
      </c>
      <c r="H2008" t="s">
        <v>4930</v>
      </c>
      <c r="I2008">
        <v>0</v>
      </c>
      <c r="J2008" t="s">
        <v>97</v>
      </c>
      <c r="K2008">
        <v>0</v>
      </c>
      <c r="L2008">
        <v>0</v>
      </c>
      <c r="M2008" t="s">
        <v>11</v>
      </c>
    </row>
    <row r="2009" spans="1:13">
      <c r="A2009" s="93">
        <v>190512</v>
      </c>
      <c r="B2009" t="s">
        <v>2550</v>
      </c>
      <c r="C2009" t="s">
        <v>4917</v>
      </c>
      <c r="D2009" s="92">
        <v>0.74</v>
      </c>
      <c r="E2009" s="92">
        <v>0.65</v>
      </c>
      <c r="F2009" t="s">
        <v>446</v>
      </c>
      <c r="G2009" t="s">
        <v>446</v>
      </c>
      <c r="H2009" t="s">
        <v>4932</v>
      </c>
      <c r="I2009">
        <v>0</v>
      </c>
      <c r="J2009" t="s">
        <v>97</v>
      </c>
      <c r="K2009">
        <v>0</v>
      </c>
      <c r="L2009">
        <v>0</v>
      </c>
      <c r="M2009" t="s">
        <v>11</v>
      </c>
    </row>
    <row r="2010" spans="1:13">
      <c r="A2010" s="93">
        <v>190521</v>
      </c>
      <c r="B2010" t="s">
        <v>2551</v>
      </c>
      <c r="C2010" t="s">
        <v>4919</v>
      </c>
      <c r="D2010" s="92">
        <v>0.34</v>
      </c>
      <c r="E2010" s="92">
        <v>0.31</v>
      </c>
      <c r="F2010" t="s">
        <v>446</v>
      </c>
      <c r="G2010" t="s">
        <v>446</v>
      </c>
      <c r="H2010" t="s">
        <v>4932</v>
      </c>
      <c r="I2010">
        <v>0</v>
      </c>
      <c r="J2010" t="s">
        <v>97</v>
      </c>
      <c r="K2010">
        <v>0</v>
      </c>
      <c r="L2010">
        <v>0</v>
      </c>
      <c r="M2010" t="s">
        <v>11</v>
      </c>
    </row>
    <row r="2011" spans="1:13">
      <c r="A2011" s="93">
        <v>190530</v>
      </c>
      <c r="B2011" t="s">
        <v>2552</v>
      </c>
      <c r="C2011" t="s">
        <v>4919</v>
      </c>
      <c r="D2011" s="92">
        <v>0.28</v>
      </c>
      <c r="E2011" s="92">
        <v>0.27</v>
      </c>
      <c r="F2011" t="s">
        <v>446</v>
      </c>
      <c r="G2011" t="s">
        <v>446</v>
      </c>
      <c r="H2011" t="s">
        <v>4932</v>
      </c>
      <c r="I2011">
        <v>0</v>
      </c>
      <c r="J2011" t="s">
        <v>97</v>
      </c>
      <c r="K2011">
        <v>0</v>
      </c>
      <c r="L2011">
        <v>0</v>
      </c>
      <c r="M2011" t="s">
        <v>11</v>
      </c>
    </row>
    <row r="2012" spans="1:13">
      <c r="A2012" s="93">
        <v>190549</v>
      </c>
      <c r="B2012" t="s">
        <v>2553</v>
      </c>
      <c r="C2012" t="s">
        <v>4920</v>
      </c>
      <c r="D2012" s="92">
        <v>0.5600000000000001</v>
      </c>
      <c r="E2012" s="92">
        <v>0.47</v>
      </c>
      <c r="F2012" t="s">
        <v>446</v>
      </c>
      <c r="G2012" t="s">
        <v>446</v>
      </c>
      <c r="H2012" t="s">
        <v>4932</v>
      </c>
      <c r="I2012">
        <v>0</v>
      </c>
      <c r="J2012" t="s">
        <v>97</v>
      </c>
      <c r="K2012">
        <v>0</v>
      </c>
      <c r="L2012">
        <v>0</v>
      </c>
      <c r="M2012" t="s">
        <v>11</v>
      </c>
    </row>
    <row r="2013" spans="1:13">
      <c r="A2013" s="93">
        <v>190558</v>
      </c>
      <c r="B2013" t="s">
        <v>2554</v>
      </c>
      <c r="C2013" t="s">
        <v>4923</v>
      </c>
      <c r="D2013" s="92">
        <v>0.49</v>
      </c>
      <c r="E2013" s="92">
        <v>0.38</v>
      </c>
      <c r="F2013" t="s">
        <v>446</v>
      </c>
      <c r="G2013" t="s">
        <v>446</v>
      </c>
      <c r="H2013" t="s">
        <v>4932</v>
      </c>
      <c r="I2013">
        <v>0</v>
      </c>
      <c r="J2013" t="s">
        <v>97</v>
      </c>
      <c r="K2013">
        <v>0</v>
      </c>
      <c r="L2013">
        <v>0</v>
      </c>
      <c r="M2013" t="s">
        <v>11</v>
      </c>
    </row>
    <row r="2014" spans="1:13">
      <c r="A2014" s="93">
        <v>190567</v>
      </c>
      <c r="B2014" t="s">
        <v>2555</v>
      </c>
      <c r="C2014" t="s">
        <v>4916</v>
      </c>
      <c r="D2014" s="92">
        <v>0.57</v>
      </c>
      <c r="E2014" s="92">
        <v>0.55</v>
      </c>
      <c r="F2014" t="s">
        <v>446</v>
      </c>
      <c r="G2014" t="s">
        <v>446</v>
      </c>
      <c r="H2014" t="s">
        <v>4932</v>
      </c>
      <c r="I2014">
        <v>0</v>
      </c>
      <c r="J2014" t="s">
        <v>97</v>
      </c>
      <c r="K2014">
        <v>0</v>
      </c>
      <c r="L2014">
        <v>0</v>
      </c>
      <c r="M2014" t="s">
        <v>11</v>
      </c>
    </row>
    <row r="2015" spans="1:13">
      <c r="A2015" s="93">
        <v>190576</v>
      </c>
      <c r="B2015" t="s">
        <v>2556</v>
      </c>
      <c r="C2015" t="s">
        <v>4924</v>
      </c>
      <c r="D2015" s="92" t="s">
        <v>446</v>
      </c>
      <c r="E2015" s="92" t="s">
        <v>446</v>
      </c>
      <c r="F2015" t="s">
        <v>446</v>
      </c>
      <c r="G2015" t="s">
        <v>446</v>
      </c>
      <c r="H2015" t="s">
        <v>4932</v>
      </c>
      <c r="I2015">
        <v>0</v>
      </c>
      <c r="J2015" t="s">
        <v>97</v>
      </c>
      <c r="K2015">
        <v>0</v>
      </c>
      <c r="L2015">
        <v>0</v>
      </c>
      <c r="M2015" t="s">
        <v>11</v>
      </c>
    </row>
    <row r="2016" spans="1:13">
      <c r="A2016" s="93">
        <v>190585</v>
      </c>
      <c r="B2016" t="s">
        <v>2557</v>
      </c>
      <c r="C2016" t="s">
        <v>4919</v>
      </c>
      <c r="D2016" s="92">
        <v>0.28</v>
      </c>
      <c r="E2016" s="92">
        <v>0.27</v>
      </c>
      <c r="F2016" t="s">
        <v>446</v>
      </c>
      <c r="G2016" t="s">
        <v>446</v>
      </c>
      <c r="H2016" t="s">
        <v>4932</v>
      </c>
      <c r="I2016">
        <v>0</v>
      </c>
      <c r="J2016" t="s">
        <v>97</v>
      </c>
      <c r="K2016">
        <v>0</v>
      </c>
      <c r="L2016">
        <v>0</v>
      </c>
      <c r="M2016" t="s">
        <v>11</v>
      </c>
    </row>
    <row r="2017" spans="1:13">
      <c r="A2017" s="93">
        <v>190594</v>
      </c>
      <c r="B2017" t="s">
        <v>2558</v>
      </c>
      <c r="C2017" t="s">
        <v>4916</v>
      </c>
      <c r="D2017" s="92">
        <v>0.58</v>
      </c>
      <c r="E2017" s="92">
        <v>0.52</v>
      </c>
      <c r="F2017" t="s">
        <v>446</v>
      </c>
      <c r="G2017" t="s">
        <v>446</v>
      </c>
      <c r="H2017" t="s">
        <v>4932</v>
      </c>
      <c r="I2017">
        <v>0</v>
      </c>
      <c r="J2017" t="s">
        <v>97</v>
      </c>
      <c r="K2017">
        <v>0</v>
      </c>
      <c r="L2017">
        <v>0</v>
      </c>
      <c r="M2017" t="s">
        <v>11</v>
      </c>
    </row>
    <row r="2018" spans="1:13">
      <c r="A2018" s="93">
        <v>190600</v>
      </c>
      <c r="B2018" t="s">
        <v>2559</v>
      </c>
      <c r="C2018" t="s">
        <v>4923</v>
      </c>
      <c r="D2018" s="92">
        <v>0.54</v>
      </c>
      <c r="E2018" s="92">
        <v>0.53</v>
      </c>
      <c r="F2018" t="s">
        <v>446</v>
      </c>
      <c r="G2018" t="s">
        <v>446</v>
      </c>
      <c r="H2018" t="s">
        <v>4932</v>
      </c>
      <c r="I2018">
        <v>0</v>
      </c>
      <c r="J2018" t="s">
        <v>97</v>
      </c>
      <c r="K2018">
        <v>0</v>
      </c>
      <c r="L2018">
        <v>0</v>
      </c>
      <c r="M2018" t="s">
        <v>11</v>
      </c>
    </row>
    <row r="2019" spans="1:13">
      <c r="A2019" s="93">
        <v>190619</v>
      </c>
      <c r="B2019" t="s">
        <v>2560</v>
      </c>
      <c r="C2019" t="s">
        <v>4919</v>
      </c>
      <c r="D2019" s="92">
        <v>0.38</v>
      </c>
      <c r="E2019" s="92">
        <v>0.33</v>
      </c>
      <c r="F2019" t="s">
        <v>446</v>
      </c>
      <c r="G2019" t="s">
        <v>446</v>
      </c>
      <c r="H2019" t="s">
        <v>4932</v>
      </c>
      <c r="I2019">
        <v>0</v>
      </c>
      <c r="J2019" t="s">
        <v>97</v>
      </c>
      <c r="K2019">
        <v>0</v>
      </c>
      <c r="L2019">
        <v>0</v>
      </c>
      <c r="M2019" t="s">
        <v>11</v>
      </c>
    </row>
    <row r="2020" spans="1:13">
      <c r="A2020" s="93">
        <v>190628</v>
      </c>
      <c r="B2020" t="s">
        <v>2561</v>
      </c>
      <c r="C2020" t="s">
        <v>4919</v>
      </c>
      <c r="D2020" s="92">
        <v>0.34</v>
      </c>
      <c r="E2020" s="92">
        <v>0.31</v>
      </c>
      <c r="F2020" t="s">
        <v>446</v>
      </c>
      <c r="G2020" t="s">
        <v>446</v>
      </c>
      <c r="H2020" t="s">
        <v>4932</v>
      </c>
      <c r="I2020">
        <v>0</v>
      </c>
      <c r="J2020" t="s">
        <v>97</v>
      </c>
      <c r="K2020">
        <v>0</v>
      </c>
      <c r="L2020">
        <v>0</v>
      </c>
      <c r="M2020" t="s">
        <v>11</v>
      </c>
    </row>
    <row r="2021" spans="1:13">
      <c r="A2021" s="93">
        <v>190637</v>
      </c>
      <c r="B2021" t="s">
        <v>2562</v>
      </c>
      <c r="C2021" t="s">
        <v>4918</v>
      </c>
      <c r="D2021" s="92">
        <v>0.53</v>
      </c>
      <c r="E2021" s="92">
        <v>0.53</v>
      </c>
      <c r="F2021" t="s">
        <v>446</v>
      </c>
      <c r="G2021" t="s">
        <v>446</v>
      </c>
      <c r="H2021" t="s">
        <v>4932</v>
      </c>
      <c r="I2021">
        <v>0</v>
      </c>
      <c r="J2021" t="s">
        <v>97</v>
      </c>
      <c r="K2021">
        <v>0</v>
      </c>
      <c r="L2021">
        <v>0</v>
      </c>
      <c r="M2021" t="s">
        <v>11</v>
      </c>
    </row>
    <row r="2022" spans="1:13">
      <c r="A2022" s="93">
        <v>190646</v>
      </c>
      <c r="B2022" t="s">
        <v>2563</v>
      </c>
      <c r="C2022" t="s">
        <v>4923</v>
      </c>
      <c r="D2022" s="92">
        <v>0.26</v>
      </c>
      <c r="E2022" s="92">
        <v>0.27</v>
      </c>
      <c r="F2022" t="s">
        <v>446</v>
      </c>
      <c r="G2022" t="s">
        <v>446</v>
      </c>
      <c r="H2022" t="s">
        <v>4932</v>
      </c>
      <c r="I2022">
        <v>0</v>
      </c>
      <c r="J2022" t="s">
        <v>97</v>
      </c>
      <c r="K2022">
        <v>0</v>
      </c>
      <c r="L2022">
        <v>0</v>
      </c>
      <c r="M2022" t="s">
        <v>11</v>
      </c>
    </row>
    <row r="2023" spans="1:13">
      <c r="A2023" s="93">
        <v>190655</v>
      </c>
      <c r="B2023" t="s">
        <v>2564</v>
      </c>
      <c r="C2023" t="s">
        <v>4923</v>
      </c>
      <c r="D2023" s="92">
        <v>0.29</v>
      </c>
      <c r="E2023" s="92">
        <v>0.23</v>
      </c>
      <c r="F2023" t="s">
        <v>446</v>
      </c>
      <c r="G2023" t="s">
        <v>446</v>
      </c>
      <c r="H2023" t="s">
        <v>4932</v>
      </c>
      <c r="I2023">
        <v>0</v>
      </c>
      <c r="J2023" t="s">
        <v>97</v>
      </c>
      <c r="K2023">
        <v>0</v>
      </c>
      <c r="L2023">
        <v>0</v>
      </c>
      <c r="M2023" t="s">
        <v>11</v>
      </c>
    </row>
    <row r="2024" spans="1:13">
      <c r="A2024" s="93">
        <v>190664</v>
      </c>
      <c r="B2024" t="s">
        <v>2565</v>
      </c>
      <c r="C2024" t="s">
        <v>4920</v>
      </c>
      <c r="D2024" s="92">
        <v>0.55</v>
      </c>
      <c r="E2024" s="92">
        <v>0.49</v>
      </c>
      <c r="F2024" t="s">
        <v>446</v>
      </c>
      <c r="G2024" t="s">
        <v>446</v>
      </c>
      <c r="H2024" t="s">
        <v>4932</v>
      </c>
      <c r="I2024">
        <v>0</v>
      </c>
      <c r="J2024" t="s">
        <v>97</v>
      </c>
      <c r="K2024">
        <v>0</v>
      </c>
      <c r="L2024">
        <v>0</v>
      </c>
      <c r="M2024" t="s">
        <v>11</v>
      </c>
    </row>
    <row r="2025" spans="1:13">
      <c r="A2025" s="93">
        <v>190673</v>
      </c>
      <c r="B2025" t="s">
        <v>2566</v>
      </c>
      <c r="C2025" t="s">
        <v>4919</v>
      </c>
      <c r="D2025" s="92">
        <v>0.36</v>
      </c>
      <c r="E2025" s="92">
        <v>0.32</v>
      </c>
      <c r="F2025" t="s">
        <v>446</v>
      </c>
      <c r="G2025" t="s">
        <v>446</v>
      </c>
      <c r="H2025" t="s">
        <v>4932</v>
      </c>
      <c r="I2025">
        <v>0</v>
      </c>
      <c r="J2025" t="s">
        <v>97</v>
      </c>
      <c r="K2025">
        <v>0</v>
      </c>
      <c r="L2025">
        <v>0</v>
      </c>
      <c r="M2025" t="s">
        <v>11</v>
      </c>
    </row>
    <row r="2026" spans="1:13">
      <c r="A2026" s="93">
        <v>190682</v>
      </c>
      <c r="B2026" t="s">
        <v>2567</v>
      </c>
      <c r="C2026" t="s">
        <v>4924</v>
      </c>
      <c r="D2026" s="92" t="s">
        <v>446</v>
      </c>
      <c r="E2026" s="92" t="s">
        <v>446</v>
      </c>
      <c r="F2026" t="s">
        <v>446</v>
      </c>
      <c r="G2026" t="s">
        <v>446</v>
      </c>
      <c r="H2026" t="s">
        <v>4932</v>
      </c>
      <c r="I2026">
        <v>0</v>
      </c>
      <c r="J2026" t="s">
        <v>97</v>
      </c>
      <c r="K2026">
        <v>0</v>
      </c>
      <c r="L2026">
        <v>0</v>
      </c>
      <c r="M2026" t="s">
        <v>11</v>
      </c>
    </row>
    <row r="2027" spans="1:13">
      <c r="A2027" s="93">
        <v>190691</v>
      </c>
      <c r="B2027" t="s">
        <v>2568</v>
      </c>
      <c r="C2027" t="s">
        <v>4918</v>
      </c>
      <c r="D2027" s="92">
        <v>0.33</v>
      </c>
      <c r="E2027" s="92">
        <v>0.29</v>
      </c>
      <c r="F2027" t="s">
        <v>446</v>
      </c>
      <c r="G2027" t="s">
        <v>446</v>
      </c>
      <c r="H2027" t="s">
        <v>4932</v>
      </c>
      <c r="I2027">
        <v>0</v>
      </c>
      <c r="J2027" t="s">
        <v>97</v>
      </c>
      <c r="K2027">
        <v>0</v>
      </c>
      <c r="L2027">
        <v>0</v>
      </c>
      <c r="M2027" t="s">
        <v>11</v>
      </c>
    </row>
    <row r="2028" spans="1:13">
      <c r="A2028" s="93">
        <v>190707</v>
      </c>
      <c r="B2028" t="s">
        <v>2569</v>
      </c>
      <c r="C2028" t="s">
        <v>4925</v>
      </c>
      <c r="D2028" s="92" t="s">
        <v>446</v>
      </c>
      <c r="E2028" s="92" t="s">
        <v>446</v>
      </c>
      <c r="F2028" t="s">
        <v>446</v>
      </c>
      <c r="G2028" t="s">
        <v>446</v>
      </c>
      <c r="H2028" t="s">
        <v>4932</v>
      </c>
      <c r="I2028">
        <v>0</v>
      </c>
      <c r="J2028" t="s">
        <v>97</v>
      </c>
      <c r="K2028">
        <v>0</v>
      </c>
      <c r="L2028">
        <v>0</v>
      </c>
      <c r="M2028" t="s">
        <v>11</v>
      </c>
    </row>
    <row r="2029" spans="1:13">
      <c r="A2029" s="93">
        <v>190716</v>
      </c>
      <c r="B2029" t="s">
        <v>2570</v>
      </c>
      <c r="C2029" t="s">
        <v>4920</v>
      </c>
      <c r="D2029" s="92">
        <v>0.54</v>
      </c>
      <c r="E2029" s="92">
        <v>0.49</v>
      </c>
      <c r="F2029">
        <v>1030</v>
      </c>
      <c r="G2029">
        <v>1125</v>
      </c>
      <c r="H2029" t="s">
        <v>4931</v>
      </c>
      <c r="I2029">
        <v>0</v>
      </c>
      <c r="J2029" t="s">
        <v>97</v>
      </c>
      <c r="K2029">
        <v>0</v>
      </c>
      <c r="L2029">
        <v>0</v>
      </c>
      <c r="M2029" t="s">
        <v>11</v>
      </c>
    </row>
    <row r="2030" spans="1:13">
      <c r="A2030" s="93">
        <v>190725</v>
      </c>
      <c r="B2030" t="s">
        <v>2571</v>
      </c>
      <c r="C2030" t="s">
        <v>4920</v>
      </c>
      <c r="D2030" s="92">
        <v>0.59</v>
      </c>
      <c r="E2030" s="92">
        <v>0.46</v>
      </c>
      <c r="F2030" t="s">
        <v>446</v>
      </c>
      <c r="G2030" t="s">
        <v>446</v>
      </c>
      <c r="H2030" t="s">
        <v>4931</v>
      </c>
      <c r="I2030">
        <v>0</v>
      </c>
      <c r="J2030" t="s">
        <v>97</v>
      </c>
      <c r="K2030">
        <v>0</v>
      </c>
      <c r="L2030">
        <v>0</v>
      </c>
      <c r="M2030" t="s">
        <v>11</v>
      </c>
    </row>
    <row r="2031" spans="1:13">
      <c r="A2031" s="93">
        <v>190752</v>
      </c>
      <c r="B2031" t="s">
        <v>2572</v>
      </c>
      <c r="C2031" t="s">
        <v>4924</v>
      </c>
      <c r="D2031" s="92">
        <v>0.14</v>
      </c>
      <c r="E2031" s="92" t="s">
        <v>446</v>
      </c>
      <c r="F2031" t="s">
        <v>446</v>
      </c>
      <c r="G2031" t="s">
        <v>446</v>
      </c>
      <c r="H2031" t="s">
        <v>4931</v>
      </c>
      <c r="I2031">
        <v>0</v>
      </c>
      <c r="J2031" t="s">
        <v>97</v>
      </c>
      <c r="K2031">
        <v>0</v>
      </c>
      <c r="L2031">
        <v>0</v>
      </c>
      <c r="M2031" t="s">
        <v>11</v>
      </c>
    </row>
    <row r="2032" spans="1:13">
      <c r="A2032" s="93">
        <v>190761</v>
      </c>
      <c r="B2032" t="s">
        <v>2573</v>
      </c>
      <c r="C2032" t="s">
        <v>4918</v>
      </c>
      <c r="D2032" s="92">
        <v>0.46</v>
      </c>
      <c r="E2032" s="92">
        <v>0.44</v>
      </c>
      <c r="F2032">
        <v>990</v>
      </c>
      <c r="G2032">
        <v>1055</v>
      </c>
      <c r="H2032" t="s">
        <v>4930</v>
      </c>
      <c r="I2032">
        <v>0</v>
      </c>
      <c r="J2032" t="s">
        <v>97</v>
      </c>
      <c r="K2032">
        <v>0</v>
      </c>
      <c r="L2032">
        <v>0</v>
      </c>
      <c r="M2032" t="s">
        <v>11</v>
      </c>
    </row>
    <row r="2033" spans="1:13">
      <c r="A2033" s="93">
        <v>190840</v>
      </c>
      <c r="B2033" t="s">
        <v>2574</v>
      </c>
      <c r="C2033" t="s">
        <v>4919</v>
      </c>
      <c r="D2033" s="92">
        <v>0.39</v>
      </c>
      <c r="E2033" s="92">
        <v>0.33</v>
      </c>
      <c r="F2033" t="s">
        <v>446</v>
      </c>
      <c r="G2033" t="s">
        <v>446</v>
      </c>
      <c r="H2033" t="s">
        <v>4932</v>
      </c>
      <c r="I2033">
        <v>0</v>
      </c>
      <c r="J2033" t="s">
        <v>97</v>
      </c>
      <c r="K2033">
        <v>0</v>
      </c>
      <c r="L2033">
        <v>0</v>
      </c>
      <c r="M2033" t="s">
        <v>11</v>
      </c>
    </row>
    <row r="2034" spans="1:13">
      <c r="A2034" s="93">
        <v>190956</v>
      </c>
      <c r="B2034" t="s">
        <v>2575</v>
      </c>
      <c r="C2034" t="s">
        <v>4925</v>
      </c>
      <c r="D2034" s="92" t="s">
        <v>446</v>
      </c>
      <c r="E2034" s="92" t="s">
        <v>446</v>
      </c>
      <c r="F2034" t="s">
        <v>446</v>
      </c>
      <c r="G2034" t="s">
        <v>446</v>
      </c>
      <c r="H2034" t="s">
        <v>4932</v>
      </c>
      <c r="I2034">
        <v>0</v>
      </c>
      <c r="J2034" t="s">
        <v>97</v>
      </c>
      <c r="K2034">
        <v>0</v>
      </c>
      <c r="L2034">
        <v>0</v>
      </c>
      <c r="M2034" t="s">
        <v>11</v>
      </c>
    </row>
    <row r="2035" spans="1:13">
      <c r="A2035" s="93">
        <v>190974</v>
      </c>
      <c r="B2035" t="s">
        <v>2576</v>
      </c>
      <c r="C2035" t="s">
        <v>4919</v>
      </c>
      <c r="D2035" s="92" t="s">
        <v>446</v>
      </c>
      <c r="E2035" s="92" t="s">
        <v>446</v>
      </c>
      <c r="F2035" t="s">
        <v>446</v>
      </c>
      <c r="G2035" t="s">
        <v>446</v>
      </c>
      <c r="H2035" t="s">
        <v>4932</v>
      </c>
      <c r="I2035">
        <v>0</v>
      </c>
      <c r="J2035" t="s">
        <v>97</v>
      </c>
      <c r="K2035">
        <v>0</v>
      </c>
      <c r="L2035">
        <v>0</v>
      </c>
      <c r="M2035" t="s">
        <v>11</v>
      </c>
    </row>
    <row r="2036" spans="1:13">
      <c r="A2036" s="93">
        <v>190983</v>
      </c>
      <c r="B2036" t="s">
        <v>2577</v>
      </c>
      <c r="C2036" t="s">
        <v>4920</v>
      </c>
      <c r="D2036" s="92">
        <v>0.66</v>
      </c>
      <c r="E2036" s="92">
        <v>0.49</v>
      </c>
      <c r="F2036" t="s">
        <v>446</v>
      </c>
      <c r="G2036" t="s">
        <v>446</v>
      </c>
      <c r="H2036" t="s">
        <v>4930</v>
      </c>
      <c r="I2036">
        <v>0</v>
      </c>
      <c r="J2036" t="s">
        <v>97</v>
      </c>
      <c r="K2036">
        <v>0</v>
      </c>
      <c r="L2036">
        <v>0</v>
      </c>
      <c r="M2036" t="s">
        <v>11</v>
      </c>
    </row>
    <row r="2037" spans="1:13">
      <c r="A2037" s="93">
        <v>191083</v>
      </c>
      <c r="B2037" t="s">
        <v>2578</v>
      </c>
      <c r="C2037" t="s">
        <v>4919</v>
      </c>
      <c r="D2037" s="92">
        <v>0.34</v>
      </c>
      <c r="E2037" s="92">
        <v>0.23</v>
      </c>
      <c r="F2037" t="s">
        <v>446</v>
      </c>
      <c r="G2037" t="s">
        <v>446</v>
      </c>
      <c r="H2037" t="s">
        <v>4932</v>
      </c>
      <c r="I2037">
        <v>0</v>
      </c>
      <c r="J2037" t="s">
        <v>97</v>
      </c>
      <c r="K2037">
        <v>0</v>
      </c>
      <c r="L2037">
        <v>0</v>
      </c>
      <c r="M2037" t="s">
        <v>11</v>
      </c>
    </row>
    <row r="2038" spans="1:13">
      <c r="A2038" s="93">
        <v>191126</v>
      </c>
      <c r="B2038" t="s">
        <v>2579</v>
      </c>
      <c r="C2038" t="s">
        <v>4926</v>
      </c>
      <c r="D2038" s="92" t="s">
        <v>446</v>
      </c>
      <c r="E2038" s="92" t="s">
        <v>446</v>
      </c>
      <c r="F2038" t="s">
        <v>446</v>
      </c>
      <c r="G2038" t="s">
        <v>446</v>
      </c>
      <c r="H2038" t="s">
        <v>4932</v>
      </c>
      <c r="I2038">
        <v>0</v>
      </c>
      <c r="J2038" t="s">
        <v>97</v>
      </c>
      <c r="K2038">
        <v>0</v>
      </c>
      <c r="L2038">
        <v>0</v>
      </c>
      <c r="M2038" t="s">
        <v>11</v>
      </c>
    </row>
    <row r="2039" spans="1:13">
      <c r="A2039" s="93">
        <v>191199</v>
      </c>
      <c r="B2039" t="s">
        <v>2580</v>
      </c>
      <c r="C2039" t="s">
        <v>4919</v>
      </c>
      <c r="D2039" s="92">
        <v>0.41</v>
      </c>
      <c r="E2039" s="92">
        <v>0.27</v>
      </c>
      <c r="F2039" t="s">
        <v>446</v>
      </c>
      <c r="G2039" t="s">
        <v>446</v>
      </c>
      <c r="H2039" t="s">
        <v>4932</v>
      </c>
      <c r="I2039">
        <v>0</v>
      </c>
      <c r="J2039" t="s">
        <v>97</v>
      </c>
      <c r="K2039">
        <v>0</v>
      </c>
      <c r="L2039">
        <v>0</v>
      </c>
      <c r="M2039" t="s">
        <v>11</v>
      </c>
    </row>
    <row r="2040" spans="1:13">
      <c r="A2040" s="93">
        <v>191205</v>
      </c>
      <c r="B2040" t="s">
        <v>2581</v>
      </c>
      <c r="C2040" t="s">
        <v>4920</v>
      </c>
      <c r="D2040" s="92">
        <v>0.46</v>
      </c>
      <c r="E2040" s="92">
        <v>0.39</v>
      </c>
      <c r="F2040" t="s">
        <v>446</v>
      </c>
      <c r="G2040" t="s">
        <v>446</v>
      </c>
      <c r="H2040" t="s">
        <v>4931</v>
      </c>
      <c r="I2040">
        <v>0</v>
      </c>
      <c r="J2040" t="s">
        <v>97</v>
      </c>
      <c r="K2040">
        <v>0</v>
      </c>
      <c r="L2040">
        <v>0</v>
      </c>
      <c r="M2040" t="s">
        <v>11</v>
      </c>
    </row>
    <row r="2041" spans="1:13">
      <c r="A2041" s="93">
        <v>191241</v>
      </c>
      <c r="B2041" t="s">
        <v>2582</v>
      </c>
      <c r="C2041" t="s">
        <v>4922</v>
      </c>
      <c r="D2041" s="92">
        <v>0.83</v>
      </c>
      <c r="E2041" s="92">
        <v>0.79</v>
      </c>
      <c r="F2041">
        <v>1300</v>
      </c>
      <c r="G2041">
        <v>1390</v>
      </c>
      <c r="H2041" t="s">
        <v>4930</v>
      </c>
      <c r="I2041">
        <v>0</v>
      </c>
      <c r="J2041" t="s">
        <v>97</v>
      </c>
      <c r="K2041">
        <v>0</v>
      </c>
      <c r="L2041">
        <v>0</v>
      </c>
      <c r="M2041" t="s">
        <v>11</v>
      </c>
    </row>
    <row r="2042" spans="1:13">
      <c r="A2042" s="93">
        <v>191302</v>
      </c>
      <c r="B2042" t="s">
        <v>2583</v>
      </c>
      <c r="C2042" t="s">
        <v>4919</v>
      </c>
      <c r="D2042" s="92">
        <v>0.41</v>
      </c>
      <c r="E2042" s="92">
        <v>0.32</v>
      </c>
      <c r="F2042" t="s">
        <v>446</v>
      </c>
      <c r="G2042" t="s">
        <v>446</v>
      </c>
      <c r="H2042" t="s">
        <v>4932</v>
      </c>
      <c r="I2042">
        <v>0</v>
      </c>
      <c r="J2042" t="s">
        <v>97</v>
      </c>
      <c r="K2042">
        <v>0</v>
      </c>
      <c r="L2042">
        <v>0</v>
      </c>
      <c r="M2042" t="s">
        <v>11</v>
      </c>
    </row>
    <row r="2043" spans="1:13">
      <c r="A2043" s="93">
        <v>191320</v>
      </c>
      <c r="B2043" t="s">
        <v>2584</v>
      </c>
      <c r="C2043" t="s">
        <v>4924</v>
      </c>
      <c r="D2043" s="92" t="s">
        <v>446</v>
      </c>
      <c r="E2043" s="92" t="s">
        <v>446</v>
      </c>
      <c r="F2043" t="s">
        <v>446</v>
      </c>
      <c r="G2043" t="s">
        <v>446</v>
      </c>
      <c r="H2043" t="s">
        <v>4932</v>
      </c>
      <c r="I2043">
        <v>0</v>
      </c>
      <c r="J2043" t="s">
        <v>97</v>
      </c>
      <c r="K2043">
        <v>0</v>
      </c>
      <c r="L2043">
        <v>0</v>
      </c>
      <c r="M2043" t="s">
        <v>11</v>
      </c>
    </row>
    <row r="2044" spans="1:13">
      <c r="A2044" s="93">
        <v>191339</v>
      </c>
      <c r="B2044" t="s">
        <v>2585</v>
      </c>
      <c r="C2044" t="s">
        <v>4919</v>
      </c>
      <c r="D2044" s="92">
        <v>0.41</v>
      </c>
      <c r="E2044" s="92">
        <v>0.26</v>
      </c>
      <c r="F2044" t="s">
        <v>446</v>
      </c>
      <c r="G2044" t="s">
        <v>446</v>
      </c>
      <c r="H2044" t="s">
        <v>4932</v>
      </c>
      <c r="I2044">
        <v>0</v>
      </c>
      <c r="J2044" t="s">
        <v>97</v>
      </c>
      <c r="K2044">
        <v>0</v>
      </c>
      <c r="L2044">
        <v>0</v>
      </c>
      <c r="M2044" t="s">
        <v>11</v>
      </c>
    </row>
    <row r="2045" spans="1:13">
      <c r="A2045" s="93">
        <v>191533</v>
      </c>
      <c r="B2045" t="s">
        <v>2586</v>
      </c>
      <c r="C2045" t="s">
        <v>4920</v>
      </c>
      <c r="D2045" s="92">
        <v>0.61</v>
      </c>
      <c r="E2045" s="92">
        <v>0.49</v>
      </c>
      <c r="F2045">
        <v>1000</v>
      </c>
      <c r="G2045">
        <v>1110</v>
      </c>
      <c r="H2045" t="s">
        <v>4930</v>
      </c>
      <c r="I2045">
        <v>0</v>
      </c>
      <c r="J2045" t="s">
        <v>97</v>
      </c>
      <c r="K2045">
        <v>0</v>
      </c>
      <c r="L2045">
        <v>0</v>
      </c>
      <c r="M2045" t="s">
        <v>11</v>
      </c>
    </row>
    <row r="2046" spans="1:13">
      <c r="A2046" s="93">
        <v>191597</v>
      </c>
      <c r="B2046" t="s">
        <v>2587</v>
      </c>
      <c r="C2046" t="s">
        <v>4924</v>
      </c>
      <c r="D2046" s="92" t="s">
        <v>446</v>
      </c>
      <c r="E2046" s="92" t="s">
        <v>446</v>
      </c>
      <c r="F2046" t="s">
        <v>446</v>
      </c>
      <c r="G2046" t="s">
        <v>446</v>
      </c>
      <c r="H2046" t="s">
        <v>4932</v>
      </c>
      <c r="I2046">
        <v>0</v>
      </c>
      <c r="J2046" t="s">
        <v>97</v>
      </c>
      <c r="K2046">
        <v>0</v>
      </c>
      <c r="L2046">
        <v>0</v>
      </c>
      <c r="M2046" t="s">
        <v>11</v>
      </c>
    </row>
    <row r="2047" spans="1:13">
      <c r="A2047" s="93">
        <v>191612</v>
      </c>
      <c r="B2047" t="s">
        <v>2588</v>
      </c>
      <c r="C2047" t="s">
        <v>4919</v>
      </c>
      <c r="D2047" s="92">
        <v>0.46</v>
      </c>
      <c r="E2047" s="92">
        <v>0.39</v>
      </c>
      <c r="F2047" t="s">
        <v>446</v>
      </c>
      <c r="G2047" t="s">
        <v>446</v>
      </c>
      <c r="H2047" t="s">
        <v>4932</v>
      </c>
      <c r="I2047">
        <v>0</v>
      </c>
      <c r="J2047" t="s">
        <v>97</v>
      </c>
      <c r="K2047">
        <v>0</v>
      </c>
      <c r="L2047">
        <v>0</v>
      </c>
      <c r="M2047" t="s">
        <v>11</v>
      </c>
    </row>
    <row r="2048" spans="1:13">
      <c r="A2048" s="93">
        <v>191621</v>
      </c>
      <c r="B2048" t="s">
        <v>2589</v>
      </c>
      <c r="C2048" t="s">
        <v>4920</v>
      </c>
      <c r="D2048" s="92">
        <v>0.53</v>
      </c>
      <c r="E2048" s="92">
        <v>0.36</v>
      </c>
      <c r="F2048">
        <v>900</v>
      </c>
      <c r="G2048">
        <v>1005</v>
      </c>
      <c r="H2048" t="s">
        <v>4931</v>
      </c>
      <c r="I2048">
        <v>0</v>
      </c>
      <c r="J2048" t="s">
        <v>97</v>
      </c>
      <c r="K2048">
        <v>0</v>
      </c>
      <c r="L2048">
        <v>0</v>
      </c>
      <c r="M2048" t="s">
        <v>11</v>
      </c>
    </row>
    <row r="2049" spans="1:13">
      <c r="A2049" s="93">
        <v>191649</v>
      </c>
      <c r="B2049" t="s">
        <v>2590</v>
      </c>
      <c r="C2049" t="s">
        <v>4920</v>
      </c>
      <c r="D2049" s="92">
        <v>0.7</v>
      </c>
      <c r="E2049" s="92">
        <v>0.59</v>
      </c>
      <c r="F2049">
        <v>1180</v>
      </c>
      <c r="G2049">
        <v>1275</v>
      </c>
      <c r="H2049" t="s">
        <v>4930</v>
      </c>
      <c r="I2049">
        <v>0</v>
      </c>
      <c r="J2049" t="s">
        <v>97</v>
      </c>
      <c r="K2049">
        <v>0</v>
      </c>
      <c r="L2049">
        <v>0</v>
      </c>
      <c r="M2049" t="s">
        <v>11</v>
      </c>
    </row>
    <row r="2050" spans="1:13">
      <c r="A2050" s="93">
        <v>191676</v>
      </c>
      <c r="B2050" t="s">
        <v>2591</v>
      </c>
      <c r="C2050" t="s">
        <v>4920</v>
      </c>
      <c r="D2050" s="92">
        <v>0.68</v>
      </c>
      <c r="E2050" s="92">
        <v>0.5</v>
      </c>
      <c r="F2050">
        <v>1080</v>
      </c>
      <c r="G2050">
        <v>1185</v>
      </c>
      <c r="H2050" t="s">
        <v>4930</v>
      </c>
      <c r="I2050">
        <v>0</v>
      </c>
      <c r="J2050" t="s">
        <v>97</v>
      </c>
      <c r="K2050">
        <v>0</v>
      </c>
      <c r="L2050">
        <v>0</v>
      </c>
      <c r="M2050" t="s">
        <v>11</v>
      </c>
    </row>
    <row r="2051" spans="1:13">
      <c r="A2051" s="93">
        <v>191719</v>
      </c>
      <c r="B2051" t="s">
        <v>2592</v>
      </c>
      <c r="C2051" t="s">
        <v>4919</v>
      </c>
      <c r="D2051" s="92">
        <v>0.39</v>
      </c>
      <c r="E2051" s="92">
        <v>0.28</v>
      </c>
      <c r="F2051" t="s">
        <v>446</v>
      </c>
      <c r="G2051" t="s">
        <v>446</v>
      </c>
      <c r="H2051" t="s">
        <v>4932</v>
      </c>
      <c r="I2051">
        <v>0</v>
      </c>
      <c r="J2051" t="s">
        <v>97</v>
      </c>
      <c r="K2051">
        <v>0</v>
      </c>
      <c r="L2051">
        <v>0</v>
      </c>
      <c r="M2051" t="s">
        <v>11</v>
      </c>
    </row>
    <row r="2052" spans="1:13">
      <c r="A2052" s="93">
        <v>191728</v>
      </c>
      <c r="B2052" t="s">
        <v>2593</v>
      </c>
      <c r="C2052" t="s">
        <v>4919</v>
      </c>
      <c r="D2052" s="92" t="s">
        <v>446</v>
      </c>
      <c r="E2052" s="92" t="s">
        <v>446</v>
      </c>
      <c r="F2052" t="s">
        <v>446</v>
      </c>
      <c r="G2052" t="s">
        <v>446</v>
      </c>
      <c r="H2052" t="s">
        <v>4930</v>
      </c>
      <c r="I2052">
        <v>0</v>
      </c>
      <c r="J2052" t="s">
        <v>97</v>
      </c>
      <c r="K2052">
        <v>0</v>
      </c>
      <c r="L2052">
        <v>0</v>
      </c>
      <c r="M2052" t="s">
        <v>11</v>
      </c>
    </row>
    <row r="2053" spans="1:13">
      <c r="A2053" s="93">
        <v>191931</v>
      </c>
      <c r="B2053" t="s">
        <v>2594</v>
      </c>
      <c r="C2053" t="s">
        <v>4920</v>
      </c>
      <c r="D2053" s="92">
        <v>0.62</v>
      </c>
      <c r="E2053" s="92">
        <v>0.51</v>
      </c>
      <c r="F2053">
        <v>1060</v>
      </c>
      <c r="G2053">
        <v>1160</v>
      </c>
      <c r="H2053" t="s">
        <v>4930</v>
      </c>
      <c r="I2053">
        <v>0</v>
      </c>
      <c r="J2053" t="s">
        <v>97</v>
      </c>
      <c r="K2053">
        <v>0</v>
      </c>
      <c r="L2053">
        <v>0</v>
      </c>
      <c r="M2053" t="s">
        <v>11</v>
      </c>
    </row>
    <row r="2054" spans="1:13">
      <c r="A2054" s="93">
        <v>191959</v>
      </c>
      <c r="B2054" t="s">
        <v>2595</v>
      </c>
      <c r="C2054" t="s">
        <v>4919</v>
      </c>
      <c r="D2054" s="92" t="s">
        <v>446</v>
      </c>
      <c r="E2054" s="92" t="s">
        <v>446</v>
      </c>
      <c r="F2054" t="s">
        <v>446</v>
      </c>
      <c r="G2054" t="s">
        <v>446</v>
      </c>
      <c r="H2054" t="s">
        <v>4930</v>
      </c>
      <c r="I2054">
        <v>0</v>
      </c>
      <c r="J2054" t="s">
        <v>97</v>
      </c>
      <c r="K2054">
        <v>0</v>
      </c>
      <c r="L2054">
        <v>0</v>
      </c>
      <c r="M2054" t="s">
        <v>11</v>
      </c>
    </row>
    <row r="2055" spans="1:13">
      <c r="A2055" s="93">
        <v>191968</v>
      </c>
      <c r="B2055" t="s">
        <v>2596</v>
      </c>
      <c r="C2055" t="s">
        <v>4916</v>
      </c>
      <c r="D2055" s="92">
        <v>0.77</v>
      </c>
      <c r="E2055" s="92">
        <v>0.73</v>
      </c>
      <c r="F2055" t="s">
        <v>446</v>
      </c>
      <c r="G2055" t="s">
        <v>446</v>
      </c>
      <c r="H2055" t="s">
        <v>4930</v>
      </c>
      <c r="I2055">
        <v>0</v>
      </c>
      <c r="J2055" t="s">
        <v>97</v>
      </c>
      <c r="K2055">
        <v>0</v>
      </c>
      <c r="L2055">
        <v>0</v>
      </c>
      <c r="M2055" t="s">
        <v>11</v>
      </c>
    </row>
    <row r="2056" spans="1:13">
      <c r="A2056" s="93">
        <v>191986</v>
      </c>
      <c r="B2056" t="s">
        <v>2597</v>
      </c>
      <c r="C2056" t="s">
        <v>4919</v>
      </c>
      <c r="D2056" s="92">
        <v>0.42</v>
      </c>
      <c r="E2056" s="92">
        <v>0.31</v>
      </c>
      <c r="F2056" t="s">
        <v>446</v>
      </c>
      <c r="G2056" t="s">
        <v>446</v>
      </c>
      <c r="H2056" t="s">
        <v>4932</v>
      </c>
      <c r="I2056">
        <v>0</v>
      </c>
      <c r="J2056" t="s">
        <v>97</v>
      </c>
      <c r="K2056">
        <v>0</v>
      </c>
      <c r="L2056">
        <v>0</v>
      </c>
      <c r="M2056" t="s">
        <v>11</v>
      </c>
    </row>
    <row r="2057" spans="1:13">
      <c r="A2057" s="93">
        <v>192004</v>
      </c>
      <c r="B2057" t="s">
        <v>2598</v>
      </c>
      <c r="C2057" t="s">
        <v>4924</v>
      </c>
      <c r="D2057" s="92" t="s">
        <v>446</v>
      </c>
      <c r="E2057" s="92" t="s">
        <v>446</v>
      </c>
      <c r="F2057" t="s">
        <v>446</v>
      </c>
      <c r="G2057" t="s">
        <v>446</v>
      </c>
      <c r="H2057" t="s">
        <v>4928</v>
      </c>
      <c r="I2057">
        <v>1</v>
      </c>
      <c r="J2057" t="s">
        <v>97</v>
      </c>
      <c r="K2057">
        <v>0</v>
      </c>
      <c r="L2057">
        <v>0</v>
      </c>
      <c r="M2057" t="s">
        <v>11</v>
      </c>
    </row>
    <row r="2058" spans="1:13">
      <c r="A2058" s="93">
        <v>192022</v>
      </c>
      <c r="B2058" t="s">
        <v>2599</v>
      </c>
      <c r="C2058" t="s">
        <v>4919</v>
      </c>
      <c r="D2058" s="92">
        <v>0.38</v>
      </c>
      <c r="E2058" s="92">
        <v>0.29</v>
      </c>
      <c r="F2058" t="s">
        <v>446</v>
      </c>
      <c r="G2058" t="s">
        <v>446</v>
      </c>
      <c r="H2058" t="s">
        <v>4932</v>
      </c>
      <c r="I2058">
        <v>0</v>
      </c>
      <c r="J2058" t="s">
        <v>97</v>
      </c>
      <c r="K2058">
        <v>0</v>
      </c>
      <c r="L2058">
        <v>0</v>
      </c>
      <c r="M2058" t="s">
        <v>11</v>
      </c>
    </row>
    <row r="2059" spans="1:13">
      <c r="A2059" s="93">
        <v>192040</v>
      </c>
      <c r="B2059" t="s">
        <v>2600</v>
      </c>
      <c r="C2059" t="s">
        <v>4917</v>
      </c>
      <c r="D2059" s="92">
        <v>0.89</v>
      </c>
      <c r="E2059" s="92">
        <v>1</v>
      </c>
      <c r="F2059">
        <v>1350</v>
      </c>
      <c r="G2059">
        <v>1420</v>
      </c>
      <c r="H2059" t="s">
        <v>4930</v>
      </c>
      <c r="I2059">
        <v>0</v>
      </c>
      <c r="J2059" t="s">
        <v>97</v>
      </c>
      <c r="K2059">
        <v>0</v>
      </c>
      <c r="L2059">
        <v>0</v>
      </c>
      <c r="M2059" t="s">
        <v>11</v>
      </c>
    </row>
    <row r="2060" spans="1:13">
      <c r="A2060" s="93">
        <v>192110</v>
      </c>
      <c r="B2060" t="s">
        <v>2601</v>
      </c>
      <c r="C2060" t="s">
        <v>4926</v>
      </c>
      <c r="D2060" s="92">
        <v>0.92</v>
      </c>
      <c r="E2060" s="92">
        <v>0.88</v>
      </c>
      <c r="F2060" t="s">
        <v>446</v>
      </c>
      <c r="G2060" t="s">
        <v>446</v>
      </c>
      <c r="H2060" t="s">
        <v>4930</v>
      </c>
      <c r="I2060">
        <v>0</v>
      </c>
      <c r="J2060" t="s">
        <v>97</v>
      </c>
      <c r="K2060">
        <v>0</v>
      </c>
      <c r="L2060">
        <v>0</v>
      </c>
      <c r="M2060" t="s">
        <v>11</v>
      </c>
    </row>
    <row r="2061" spans="1:13">
      <c r="A2061" s="93">
        <v>192165</v>
      </c>
      <c r="B2061" t="s">
        <v>2602</v>
      </c>
      <c r="C2061" t="s">
        <v>4923</v>
      </c>
      <c r="D2061" s="92">
        <v>0.53</v>
      </c>
      <c r="E2061" s="92" t="s">
        <v>446</v>
      </c>
      <c r="F2061" t="s">
        <v>446</v>
      </c>
      <c r="G2061" t="s">
        <v>446</v>
      </c>
      <c r="H2061" t="s">
        <v>4931</v>
      </c>
      <c r="I2061">
        <v>0</v>
      </c>
      <c r="J2061" t="s">
        <v>97</v>
      </c>
      <c r="K2061">
        <v>0</v>
      </c>
      <c r="L2061">
        <v>0</v>
      </c>
      <c r="M2061" t="s">
        <v>11</v>
      </c>
    </row>
    <row r="2062" spans="1:13">
      <c r="A2062" s="93">
        <v>192192</v>
      </c>
      <c r="B2062" t="s">
        <v>2603</v>
      </c>
      <c r="C2062" t="s">
        <v>4920</v>
      </c>
      <c r="D2062" s="92">
        <v>0.53</v>
      </c>
      <c r="E2062" s="92">
        <v>0.26</v>
      </c>
      <c r="F2062">
        <v>1010</v>
      </c>
      <c r="G2062">
        <v>1130</v>
      </c>
      <c r="H2062" t="s">
        <v>4930</v>
      </c>
      <c r="I2062">
        <v>0</v>
      </c>
      <c r="J2062" t="s">
        <v>97</v>
      </c>
      <c r="K2062">
        <v>0</v>
      </c>
      <c r="L2062">
        <v>0</v>
      </c>
      <c r="M2062" t="s">
        <v>11</v>
      </c>
    </row>
    <row r="2063" spans="1:13">
      <c r="A2063" s="93">
        <v>192271</v>
      </c>
      <c r="B2063" t="s">
        <v>2604</v>
      </c>
      <c r="C2063" t="s">
        <v>4918</v>
      </c>
      <c r="D2063" s="92">
        <v>0.53</v>
      </c>
      <c r="E2063" s="92">
        <v>0.46</v>
      </c>
      <c r="F2063" t="s">
        <v>446</v>
      </c>
      <c r="G2063" t="s">
        <v>446</v>
      </c>
      <c r="H2063" t="s">
        <v>4930</v>
      </c>
      <c r="I2063">
        <v>0</v>
      </c>
      <c r="J2063" t="s">
        <v>97</v>
      </c>
      <c r="K2063">
        <v>0</v>
      </c>
      <c r="L2063">
        <v>0</v>
      </c>
      <c r="M2063" t="s">
        <v>11</v>
      </c>
    </row>
    <row r="2064" spans="1:13">
      <c r="A2064" s="93">
        <v>192323</v>
      </c>
      <c r="B2064" t="s">
        <v>2605</v>
      </c>
      <c r="C2064" t="s">
        <v>4920</v>
      </c>
      <c r="D2064" s="92">
        <v>0.76</v>
      </c>
      <c r="E2064" s="92">
        <v>0.67</v>
      </c>
      <c r="F2064">
        <v>1140</v>
      </c>
      <c r="G2064">
        <v>1215</v>
      </c>
      <c r="H2064" t="s">
        <v>4930</v>
      </c>
      <c r="I2064">
        <v>0</v>
      </c>
      <c r="J2064" t="s">
        <v>97</v>
      </c>
      <c r="K2064">
        <v>0</v>
      </c>
      <c r="L2064">
        <v>0</v>
      </c>
      <c r="M2064" t="s">
        <v>11</v>
      </c>
    </row>
    <row r="2065" spans="1:13">
      <c r="A2065" s="93">
        <v>192448</v>
      </c>
      <c r="B2065" t="s">
        <v>2606</v>
      </c>
      <c r="C2065" t="s">
        <v>4920</v>
      </c>
      <c r="D2065" s="92">
        <v>0.44</v>
      </c>
      <c r="E2065" s="92">
        <v>0.36</v>
      </c>
      <c r="F2065">
        <v>1100</v>
      </c>
      <c r="G2065">
        <v>1210</v>
      </c>
      <c r="H2065" t="s">
        <v>4930</v>
      </c>
      <c r="I2065">
        <v>0</v>
      </c>
      <c r="J2065" t="s">
        <v>97</v>
      </c>
      <c r="K2065">
        <v>0</v>
      </c>
      <c r="L2065">
        <v>0</v>
      </c>
      <c r="M2065" t="s">
        <v>11</v>
      </c>
    </row>
    <row r="2066" spans="1:13">
      <c r="A2066" s="93">
        <v>192509</v>
      </c>
      <c r="B2066" t="s">
        <v>2607</v>
      </c>
      <c r="C2066" t="s">
        <v>4925</v>
      </c>
      <c r="D2066" s="92" t="s">
        <v>446</v>
      </c>
      <c r="E2066" s="92" t="s">
        <v>446</v>
      </c>
      <c r="F2066" t="s">
        <v>446</v>
      </c>
      <c r="G2066" t="s">
        <v>446</v>
      </c>
      <c r="H2066" t="s">
        <v>4931</v>
      </c>
      <c r="I2066">
        <v>0</v>
      </c>
      <c r="J2066" t="s">
        <v>97</v>
      </c>
      <c r="K2066">
        <v>0</v>
      </c>
      <c r="L2066">
        <v>0</v>
      </c>
      <c r="M2066" t="s">
        <v>11</v>
      </c>
    </row>
    <row r="2067" spans="1:13">
      <c r="A2067" s="93">
        <v>192624</v>
      </c>
      <c r="B2067" t="s">
        <v>2608</v>
      </c>
      <c r="C2067" t="s">
        <v>4924</v>
      </c>
      <c r="D2067" s="92">
        <v>0.33</v>
      </c>
      <c r="E2067" s="92" t="s">
        <v>446</v>
      </c>
      <c r="F2067" t="s">
        <v>446</v>
      </c>
      <c r="G2067" t="s">
        <v>446</v>
      </c>
      <c r="H2067" t="s">
        <v>4931</v>
      </c>
      <c r="I2067">
        <v>0</v>
      </c>
      <c r="J2067" t="s">
        <v>97</v>
      </c>
      <c r="K2067">
        <v>0</v>
      </c>
      <c r="L2067">
        <v>0</v>
      </c>
      <c r="M2067" t="s">
        <v>11</v>
      </c>
    </row>
    <row r="2068" spans="1:13">
      <c r="A2068" s="93">
        <v>192688</v>
      </c>
      <c r="B2068" t="s">
        <v>2609</v>
      </c>
      <c r="C2068" t="s">
        <v>4919</v>
      </c>
      <c r="D2068" s="92" t="s">
        <v>446</v>
      </c>
      <c r="E2068" s="92" t="s">
        <v>446</v>
      </c>
      <c r="F2068" t="s">
        <v>446</v>
      </c>
      <c r="G2068" t="s">
        <v>446</v>
      </c>
      <c r="H2068" t="s">
        <v>4930</v>
      </c>
      <c r="I2068">
        <v>0</v>
      </c>
      <c r="J2068" t="s">
        <v>97</v>
      </c>
      <c r="K2068">
        <v>0</v>
      </c>
      <c r="L2068">
        <v>0</v>
      </c>
      <c r="M2068" t="s">
        <v>11</v>
      </c>
    </row>
    <row r="2069" spans="1:13">
      <c r="A2069" s="93">
        <v>192703</v>
      </c>
      <c r="B2069" t="s">
        <v>2610</v>
      </c>
      <c r="C2069" t="s">
        <v>4920</v>
      </c>
      <c r="D2069" s="92">
        <v>0.77</v>
      </c>
      <c r="E2069" s="92">
        <v>0.74</v>
      </c>
      <c r="F2069" t="s">
        <v>446</v>
      </c>
      <c r="G2069" t="s">
        <v>446</v>
      </c>
      <c r="H2069" t="s">
        <v>4930</v>
      </c>
      <c r="I2069">
        <v>0</v>
      </c>
      <c r="J2069" t="s">
        <v>97</v>
      </c>
      <c r="K2069">
        <v>0</v>
      </c>
      <c r="L2069">
        <v>0</v>
      </c>
      <c r="M2069" t="s">
        <v>11</v>
      </c>
    </row>
    <row r="2070" spans="1:13">
      <c r="A2070" s="93">
        <v>192712</v>
      </c>
      <c r="B2070" t="s">
        <v>2611</v>
      </c>
      <c r="C2070" t="s">
        <v>4926</v>
      </c>
      <c r="D2070" s="92">
        <v>0.77</v>
      </c>
      <c r="E2070" s="92">
        <v>0.75</v>
      </c>
      <c r="F2070" t="s">
        <v>446</v>
      </c>
      <c r="G2070" t="s">
        <v>446</v>
      </c>
      <c r="H2070" t="s">
        <v>4930</v>
      </c>
      <c r="I2070">
        <v>0</v>
      </c>
      <c r="J2070" t="s">
        <v>97</v>
      </c>
      <c r="K2070">
        <v>0</v>
      </c>
      <c r="L2070">
        <v>0</v>
      </c>
      <c r="M2070" t="s">
        <v>11</v>
      </c>
    </row>
    <row r="2071" spans="1:13">
      <c r="A2071" s="93">
        <v>192749</v>
      </c>
      <c r="B2071" t="s">
        <v>2612</v>
      </c>
      <c r="C2071" t="s">
        <v>4920</v>
      </c>
      <c r="D2071" s="92">
        <v>0.62</v>
      </c>
      <c r="E2071" s="92">
        <v>0.57</v>
      </c>
      <c r="F2071">
        <v>1020</v>
      </c>
      <c r="G2071">
        <v>1125</v>
      </c>
      <c r="H2071" t="s">
        <v>4931</v>
      </c>
      <c r="I2071">
        <v>0</v>
      </c>
      <c r="J2071" t="s">
        <v>97</v>
      </c>
      <c r="K2071">
        <v>0</v>
      </c>
      <c r="L2071">
        <v>0</v>
      </c>
      <c r="M2071" t="s">
        <v>11</v>
      </c>
    </row>
    <row r="2072" spans="1:13">
      <c r="A2072" s="93">
        <v>192785</v>
      </c>
      <c r="B2072" t="s">
        <v>2613</v>
      </c>
      <c r="C2072" t="s">
        <v>4924</v>
      </c>
      <c r="D2072" s="92">
        <v>0.67</v>
      </c>
      <c r="E2072" s="92" t="s">
        <v>446</v>
      </c>
      <c r="F2072" t="s">
        <v>446</v>
      </c>
      <c r="G2072" t="s">
        <v>446</v>
      </c>
      <c r="H2072" t="s">
        <v>4931</v>
      </c>
      <c r="I2072">
        <v>0</v>
      </c>
      <c r="J2072" t="s">
        <v>97</v>
      </c>
      <c r="K2072">
        <v>0</v>
      </c>
      <c r="L2072">
        <v>0</v>
      </c>
      <c r="M2072" t="s">
        <v>11</v>
      </c>
    </row>
    <row r="2073" spans="1:13">
      <c r="A2073" s="93">
        <v>192819</v>
      </c>
      <c r="B2073" t="s">
        <v>597</v>
      </c>
      <c r="C2073" t="s">
        <v>4916</v>
      </c>
      <c r="D2073" s="92">
        <v>0.82</v>
      </c>
      <c r="E2073" s="92">
        <v>0.75</v>
      </c>
      <c r="F2073">
        <v>1200</v>
      </c>
      <c r="G2073">
        <v>1280</v>
      </c>
      <c r="H2073" t="s">
        <v>4930</v>
      </c>
      <c r="I2073">
        <v>0</v>
      </c>
      <c r="J2073" t="s">
        <v>97</v>
      </c>
      <c r="K2073">
        <v>0</v>
      </c>
      <c r="L2073">
        <v>0</v>
      </c>
      <c r="M2073" t="s">
        <v>11</v>
      </c>
    </row>
    <row r="2074" spans="1:13">
      <c r="A2074" s="93">
        <v>192864</v>
      </c>
      <c r="B2074" t="s">
        <v>2614</v>
      </c>
      <c r="C2074" t="s">
        <v>4916</v>
      </c>
      <c r="D2074" s="92">
        <v>0.57</v>
      </c>
      <c r="E2074" s="92">
        <v>0.53</v>
      </c>
      <c r="F2074">
        <v>1050</v>
      </c>
      <c r="G2074">
        <v>1150</v>
      </c>
      <c r="H2074" t="s">
        <v>4930</v>
      </c>
      <c r="I2074">
        <v>0</v>
      </c>
      <c r="J2074" t="s">
        <v>97</v>
      </c>
      <c r="K2074">
        <v>0</v>
      </c>
      <c r="L2074">
        <v>0</v>
      </c>
      <c r="M2074" t="s">
        <v>11</v>
      </c>
    </row>
    <row r="2075" spans="1:13">
      <c r="A2075" s="93">
        <v>192925</v>
      </c>
      <c r="B2075" t="s">
        <v>2615</v>
      </c>
      <c r="C2075" t="s">
        <v>4920</v>
      </c>
      <c r="D2075" s="92">
        <v>0.36</v>
      </c>
      <c r="E2075" s="92">
        <v>0.26</v>
      </c>
      <c r="F2075" t="s">
        <v>446</v>
      </c>
      <c r="G2075" t="s">
        <v>446</v>
      </c>
      <c r="H2075" t="s">
        <v>4930</v>
      </c>
      <c r="I2075">
        <v>0</v>
      </c>
      <c r="J2075" t="s">
        <v>97</v>
      </c>
      <c r="K2075">
        <v>0</v>
      </c>
      <c r="L2075">
        <v>0</v>
      </c>
      <c r="M2075" t="s">
        <v>11</v>
      </c>
    </row>
    <row r="2076" spans="1:13">
      <c r="A2076" s="93">
        <v>192961</v>
      </c>
      <c r="B2076" t="s">
        <v>2616</v>
      </c>
      <c r="C2076" t="s">
        <v>4919</v>
      </c>
      <c r="D2076" s="92" t="s">
        <v>446</v>
      </c>
      <c r="E2076" s="92" t="s">
        <v>446</v>
      </c>
      <c r="F2076" t="s">
        <v>446</v>
      </c>
      <c r="G2076" t="s">
        <v>446</v>
      </c>
      <c r="H2076" t="s">
        <v>4932</v>
      </c>
      <c r="I2076">
        <v>0</v>
      </c>
      <c r="J2076" t="s">
        <v>97</v>
      </c>
      <c r="K2076">
        <v>0</v>
      </c>
      <c r="L2076">
        <v>0</v>
      </c>
      <c r="M2076" t="s">
        <v>11</v>
      </c>
    </row>
    <row r="2077" spans="1:13">
      <c r="A2077" s="93">
        <v>192970</v>
      </c>
      <c r="B2077" t="s">
        <v>2617</v>
      </c>
      <c r="C2077" t="s">
        <v>4919</v>
      </c>
      <c r="D2077" s="92" t="s">
        <v>446</v>
      </c>
      <c r="E2077" s="92" t="s">
        <v>446</v>
      </c>
      <c r="F2077" t="s">
        <v>446</v>
      </c>
      <c r="G2077" t="s">
        <v>446</v>
      </c>
      <c r="H2077" t="s">
        <v>4932</v>
      </c>
      <c r="I2077">
        <v>0</v>
      </c>
      <c r="J2077" t="s">
        <v>97</v>
      </c>
      <c r="K2077">
        <v>0</v>
      </c>
      <c r="L2077">
        <v>0</v>
      </c>
      <c r="M2077" t="s">
        <v>11</v>
      </c>
    </row>
    <row r="2078" spans="1:13">
      <c r="A2078" s="93">
        <v>193016</v>
      </c>
      <c r="B2078" t="s">
        <v>2618</v>
      </c>
      <c r="C2078" t="s">
        <v>4920</v>
      </c>
      <c r="D2078" s="92">
        <v>0.47</v>
      </c>
      <c r="E2078" s="92">
        <v>0.43</v>
      </c>
      <c r="F2078">
        <v>910</v>
      </c>
      <c r="G2078">
        <v>1050</v>
      </c>
      <c r="H2078" t="s">
        <v>4931</v>
      </c>
      <c r="I2078">
        <v>0</v>
      </c>
      <c r="J2078" t="s">
        <v>97</v>
      </c>
      <c r="K2078">
        <v>0</v>
      </c>
      <c r="L2078">
        <v>0</v>
      </c>
      <c r="M2078" t="s">
        <v>11</v>
      </c>
    </row>
    <row r="2079" spans="1:13">
      <c r="A2079" s="93">
        <v>193052</v>
      </c>
      <c r="B2079" t="s">
        <v>2619</v>
      </c>
      <c r="C2079" t="s">
        <v>4924</v>
      </c>
      <c r="D2079" s="92">
        <v>0.32</v>
      </c>
      <c r="E2079" s="92" t="s">
        <v>446</v>
      </c>
      <c r="F2079" t="s">
        <v>446</v>
      </c>
      <c r="G2079" t="s">
        <v>446</v>
      </c>
      <c r="H2079" t="s">
        <v>4931</v>
      </c>
      <c r="I2079">
        <v>0</v>
      </c>
      <c r="J2079" t="s">
        <v>97</v>
      </c>
      <c r="K2079">
        <v>0</v>
      </c>
      <c r="L2079">
        <v>0</v>
      </c>
      <c r="M2079" t="s">
        <v>11</v>
      </c>
    </row>
    <row r="2080" spans="1:13">
      <c r="A2080" s="93">
        <v>193061</v>
      </c>
      <c r="B2080" t="s">
        <v>2620</v>
      </c>
      <c r="C2080" t="s">
        <v>4924</v>
      </c>
      <c r="D2080" s="92">
        <v>0.25</v>
      </c>
      <c r="E2080" s="92" t="s">
        <v>446</v>
      </c>
      <c r="F2080" t="s">
        <v>446</v>
      </c>
      <c r="G2080" t="s">
        <v>446</v>
      </c>
      <c r="H2080" t="s">
        <v>4932</v>
      </c>
      <c r="I2080">
        <v>0</v>
      </c>
      <c r="J2080" t="s">
        <v>97</v>
      </c>
      <c r="K2080">
        <v>0</v>
      </c>
      <c r="L2080">
        <v>0</v>
      </c>
      <c r="M2080" t="s">
        <v>11</v>
      </c>
    </row>
    <row r="2081" spans="1:13">
      <c r="A2081" s="93">
        <v>193070</v>
      </c>
      <c r="B2081" t="s">
        <v>2621</v>
      </c>
      <c r="C2081" t="s">
        <v>4924</v>
      </c>
      <c r="D2081" s="92">
        <v>0.19</v>
      </c>
      <c r="E2081" s="92" t="s">
        <v>446</v>
      </c>
      <c r="F2081" t="s">
        <v>446</v>
      </c>
      <c r="G2081" t="s">
        <v>446</v>
      </c>
      <c r="H2081" t="s">
        <v>4931</v>
      </c>
      <c r="I2081">
        <v>0</v>
      </c>
      <c r="J2081" t="s">
        <v>97</v>
      </c>
      <c r="K2081">
        <v>0</v>
      </c>
      <c r="L2081">
        <v>0</v>
      </c>
      <c r="M2081" t="s">
        <v>11</v>
      </c>
    </row>
    <row r="2082" spans="1:13">
      <c r="A2082" s="93">
        <v>193201</v>
      </c>
      <c r="B2082" t="s">
        <v>2622</v>
      </c>
      <c r="C2082" t="s">
        <v>4919</v>
      </c>
      <c r="D2082" s="92" t="s">
        <v>446</v>
      </c>
      <c r="E2082" s="92" t="s">
        <v>446</v>
      </c>
      <c r="F2082" t="s">
        <v>446</v>
      </c>
      <c r="G2082" t="s">
        <v>446</v>
      </c>
      <c r="H2082" t="s">
        <v>4930</v>
      </c>
      <c r="I2082">
        <v>0</v>
      </c>
      <c r="J2082" t="s">
        <v>97</v>
      </c>
      <c r="K2082">
        <v>0</v>
      </c>
      <c r="L2082">
        <v>0</v>
      </c>
      <c r="M2082" t="s">
        <v>11</v>
      </c>
    </row>
    <row r="2083" spans="1:13">
      <c r="A2083" s="93">
        <v>193247</v>
      </c>
      <c r="B2083" t="s">
        <v>2623</v>
      </c>
      <c r="C2083" t="s">
        <v>4924</v>
      </c>
      <c r="D2083" s="92">
        <v>0.11</v>
      </c>
      <c r="E2083" s="92" t="s">
        <v>446</v>
      </c>
      <c r="F2083" t="s">
        <v>446</v>
      </c>
      <c r="G2083" t="s">
        <v>446</v>
      </c>
      <c r="H2083" t="s">
        <v>4928</v>
      </c>
      <c r="I2083">
        <v>1</v>
      </c>
      <c r="J2083" t="s">
        <v>97</v>
      </c>
      <c r="K2083">
        <v>0</v>
      </c>
      <c r="L2083">
        <v>0</v>
      </c>
      <c r="M2083" t="s">
        <v>11</v>
      </c>
    </row>
    <row r="2084" spans="1:13">
      <c r="A2084" s="93">
        <v>193283</v>
      </c>
      <c r="B2084" t="s">
        <v>2624</v>
      </c>
      <c r="C2084" t="s">
        <v>4919</v>
      </c>
      <c r="D2084" s="92">
        <v>0.4</v>
      </c>
      <c r="E2084" s="92">
        <v>0.21</v>
      </c>
      <c r="F2084" t="s">
        <v>446</v>
      </c>
      <c r="G2084" t="s">
        <v>446</v>
      </c>
      <c r="H2084" t="s">
        <v>4932</v>
      </c>
      <c r="I2084">
        <v>0</v>
      </c>
      <c r="J2084" t="s">
        <v>97</v>
      </c>
      <c r="K2084">
        <v>0</v>
      </c>
      <c r="L2084">
        <v>0</v>
      </c>
      <c r="M2084" t="s">
        <v>11</v>
      </c>
    </row>
    <row r="2085" spans="1:13">
      <c r="A2085" s="93">
        <v>193292</v>
      </c>
      <c r="B2085" t="s">
        <v>2625</v>
      </c>
      <c r="C2085" t="s">
        <v>4920</v>
      </c>
      <c r="D2085" s="92">
        <v>0.72</v>
      </c>
      <c r="E2085" s="92">
        <v>0.64</v>
      </c>
      <c r="F2085">
        <v>1110</v>
      </c>
      <c r="G2085">
        <v>1215</v>
      </c>
      <c r="H2085" t="s">
        <v>4930</v>
      </c>
      <c r="I2085">
        <v>0</v>
      </c>
      <c r="J2085" t="s">
        <v>97</v>
      </c>
      <c r="K2085">
        <v>0</v>
      </c>
      <c r="L2085">
        <v>0</v>
      </c>
      <c r="M2085" t="s">
        <v>11</v>
      </c>
    </row>
    <row r="2086" spans="1:13">
      <c r="A2086" s="93">
        <v>193308</v>
      </c>
      <c r="B2086" t="s">
        <v>2626</v>
      </c>
      <c r="C2086" t="s">
        <v>4920</v>
      </c>
      <c r="D2086" s="92">
        <v>0.73</v>
      </c>
      <c r="E2086" s="92">
        <v>0.73</v>
      </c>
      <c r="F2086" t="s">
        <v>446</v>
      </c>
      <c r="G2086" t="s">
        <v>446</v>
      </c>
      <c r="H2086" t="s">
        <v>4931</v>
      </c>
      <c r="I2086">
        <v>0</v>
      </c>
      <c r="J2086" t="s">
        <v>97</v>
      </c>
      <c r="K2086">
        <v>0</v>
      </c>
      <c r="L2086">
        <v>0</v>
      </c>
      <c r="M2086" t="s">
        <v>11</v>
      </c>
    </row>
    <row r="2087" spans="1:13">
      <c r="A2087" s="93">
        <v>193353</v>
      </c>
      <c r="B2087" t="s">
        <v>2627</v>
      </c>
      <c r="C2087" t="s">
        <v>4920</v>
      </c>
      <c r="D2087" s="92">
        <v>0.62</v>
      </c>
      <c r="E2087" s="92">
        <v>0.55</v>
      </c>
      <c r="F2087">
        <v>1000</v>
      </c>
      <c r="G2087">
        <v>1085</v>
      </c>
      <c r="H2087" t="s">
        <v>4931</v>
      </c>
      <c r="I2087">
        <v>0</v>
      </c>
      <c r="J2087" t="s">
        <v>97</v>
      </c>
      <c r="K2087">
        <v>0</v>
      </c>
      <c r="L2087">
        <v>0</v>
      </c>
      <c r="M2087" t="s">
        <v>11</v>
      </c>
    </row>
    <row r="2088" spans="1:13">
      <c r="A2088" s="93">
        <v>193380</v>
      </c>
      <c r="B2088" t="s">
        <v>2628</v>
      </c>
      <c r="C2088" t="s">
        <v>4919</v>
      </c>
      <c r="D2088" s="92" t="s">
        <v>446</v>
      </c>
      <c r="E2088" s="92" t="s">
        <v>446</v>
      </c>
      <c r="F2088" t="s">
        <v>446</v>
      </c>
      <c r="G2088" t="s">
        <v>446</v>
      </c>
      <c r="H2088" t="s">
        <v>4930</v>
      </c>
      <c r="I2088">
        <v>0</v>
      </c>
      <c r="J2088" t="s">
        <v>97</v>
      </c>
      <c r="K2088">
        <v>0</v>
      </c>
      <c r="L2088">
        <v>0</v>
      </c>
      <c r="M2088" t="s">
        <v>11</v>
      </c>
    </row>
    <row r="2089" spans="1:13">
      <c r="A2089" s="93">
        <v>193399</v>
      </c>
      <c r="B2089" t="s">
        <v>2629</v>
      </c>
      <c r="C2089" t="s">
        <v>4920</v>
      </c>
      <c r="D2089" s="92">
        <v>0.57</v>
      </c>
      <c r="E2089" s="92">
        <v>0.52</v>
      </c>
      <c r="F2089">
        <v>1000</v>
      </c>
      <c r="G2089">
        <v>1115</v>
      </c>
      <c r="H2089" t="s">
        <v>4930</v>
      </c>
      <c r="I2089">
        <v>0</v>
      </c>
      <c r="J2089" t="s">
        <v>97</v>
      </c>
      <c r="K2089">
        <v>0</v>
      </c>
      <c r="L2089">
        <v>0</v>
      </c>
      <c r="M2089" t="s">
        <v>11</v>
      </c>
    </row>
    <row r="2090" spans="1:13">
      <c r="A2090" s="93">
        <v>193405</v>
      </c>
      <c r="B2090" t="s">
        <v>2630</v>
      </c>
      <c r="C2090" t="s">
        <v>4924</v>
      </c>
      <c r="D2090" s="92" t="s">
        <v>446</v>
      </c>
      <c r="E2090" s="92" t="s">
        <v>446</v>
      </c>
      <c r="F2090" t="s">
        <v>446</v>
      </c>
      <c r="G2090" t="s">
        <v>446</v>
      </c>
      <c r="H2090" t="s">
        <v>4932</v>
      </c>
      <c r="I2090">
        <v>0</v>
      </c>
      <c r="J2090" t="s">
        <v>97</v>
      </c>
      <c r="K2090">
        <v>0</v>
      </c>
      <c r="L2090">
        <v>0</v>
      </c>
      <c r="M2090" t="s">
        <v>11</v>
      </c>
    </row>
    <row r="2091" spans="1:13">
      <c r="A2091" s="93">
        <v>193478</v>
      </c>
      <c r="B2091" t="s">
        <v>2631</v>
      </c>
      <c r="C2091" t="s">
        <v>4919</v>
      </c>
      <c r="D2091" s="92">
        <v>0.31</v>
      </c>
      <c r="E2091" s="92">
        <v>0.27</v>
      </c>
      <c r="F2091" t="s">
        <v>446</v>
      </c>
      <c r="G2091" t="s">
        <v>446</v>
      </c>
      <c r="H2091" t="s">
        <v>4932</v>
      </c>
      <c r="I2091">
        <v>0</v>
      </c>
      <c r="J2091" t="s">
        <v>97</v>
      </c>
      <c r="K2091">
        <v>0</v>
      </c>
      <c r="L2091">
        <v>0</v>
      </c>
      <c r="M2091" t="s">
        <v>11</v>
      </c>
    </row>
    <row r="2092" spans="1:13">
      <c r="A2092" s="93">
        <v>193584</v>
      </c>
      <c r="B2092" t="s">
        <v>2632</v>
      </c>
      <c r="C2092" t="s">
        <v>4920</v>
      </c>
      <c r="D2092" s="92">
        <v>0.72</v>
      </c>
      <c r="E2092" s="92">
        <v>0.61</v>
      </c>
      <c r="F2092" t="s">
        <v>446</v>
      </c>
      <c r="G2092" t="s">
        <v>446</v>
      </c>
      <c r="H2092" t="s">
        <v>4930</v>
      </c>
      <c r="I2092">
        <v>0</v>
      </c>
      <c r="J2092" t="s">
        <v>97</v>
      </c>
      <c r="K2092">
        <v>0</v>
      </c>
      <c r="L2092">
        <v>0</v>
      </c>
      <c r="M2092" t="s">
        <v>11</v>
      </c>
    </row>
    <row r="2093" spans="1:13">
      <c r="A2093" s="93">
        <v>193609</v>
      </c>
      <c r="B2093" t="s">
        <v>2633</v>
      </c>
      <c r="C2093" t="s">
        <v>4925</v>
      </c>
      <c r="D2093" s="92" t="s">
        <v>446</v>
      </c>
      <c r="E2093" s="92" t="s">
        <v>446</v>
      </c>
      <c r="F2093" t="s">
        <v>446</v>
      </c>
      <c r="G2093" t="s">
        <v>446</v>
      </c>
      <c r="H2093" t="s">
        <v>4930</v>
      </c>
      <c r="I2093">
        <v>0</v>
      </c>
      <c r="J2093" t="s">
        <v>97</v>
      </c>
      <c r="K2093">
        <v>0</v>
      </c>
      <c r="L2093">
        <v>0</v>
      </c>
      <c r="M2093" t="s">
        <v>11</v>
      </c>
    </row>
    <row r="2094" spans="1:13">
      <c r="A2094" s="93">
        <v>193654</v>
      </c>
      <c r="B2094" t="s">
        <v>2634</v>
      </c>
      <c r="C2094" t="s">
        <v>4920</v>
      </c>
      <c r="D2094" s="92">
        <v>0.7</v>
      </c>
      <c r="E2094" s="92">
        <v>0.63</v>
      </c>
      <c r="F2094" t="s">
        <v>446</v>
      </c>
      <c r="G2094" t="s">
        <v>446</v>
      </c>
      <c r="H2094" t="s">
        <v>4930</v>
      </c>
      <c r="I2094">
        <v>0</v>
      </c>
      <c r="J2094" t="s">
        <v>97</v>
      </c>
      <c r="K2094">
        <v>0</v>
      </c>
      <c r="L2094">
        <v>0</v>
      </c>
      <c r="M2094" t="s">
        <v>11</v>
      </c>
    </row>
    <row r="2095" spans="1:13">
      <c r="A2095" s="93">
        <v>193751</v>
      </c>
      <c r="B2095" t="s">
        <v>2635</v>
      </c>
      <c r="C2095" t="s">
        <v>4924</v>
      </c>
      <c r="D2095" s="92" t="s">
        <v>446</v>
      </c>
      <c r="E2095" s="92" t="s">
        <v>446</v>
      </c>
      <c r="F2095" t="s">
        <v>446</v>
      </c>
      <c r="G2095" t="s">
        <v>446</v>
      </c>
      <c r="H2095" t="s">
        <v>4932</v>
      </c>
      <c r="I2095">
        <v>0</v>
      </c>
      <c r="J2095" t="s">
        <v>97</v>
      </c>
      <c r="K2095">
        <v>0</v>
      </c>
      <c r="L2095">
        <v>0</v>
      </c>
      <c r="M2095" t="s">
        <v>11</v>
      </c>
    </row>
    <row r="2096" spans="1:13">
      <c r="A2096" s="93">
        <v>193830</v>
      </c>
      <c r="B2096" t="s">
        <v>2636</v>
      </c>
      <c r="C2096" t="s">
        <v>4924</v>
      </c>
      <c r="D2096" s="92" t="s">
        <v>446</v>
      </c>
      <c r="E2096" s="92" t="s">
        <v>446</v>
      </c>
      <c r="F2096" t="s">
        <v>446</v>
      </c>
      <c r="G2096" t="s">
        <v>446</v>
      </c>
      <c r="H2096" t="s">
        <v>4932</v>
      </c>
      <c r="I2096">
        <v>0</v>
      </c>
      <c r="J2096" t="s">
        <v>97</v>
      </c>
      <c r="K2096">
        <v>0</v>
      </c>
      <c r="L2096">
        <v>0</v>
      </c>
      <c r="M2096" t="s">
        <v>11</v>
      </c>
    </row>
    <row r="2097" spans="1:13">
      <c r="A2097" s="93">
        <v>193858</v>
      </c>
      <c r="B2097" t="s">
        <v>2637</v>
      </c>
      <c r="C2097" t="s">
        <v>4919</v>
      </c>
      <c r="D2097" s="92" t="s">
        <v>446</v>
      </c>
      <c r="E2097" s="92" t="s">
        <v>446</v>
      </c>
      <c r="F2097" t="s">
        <v>446</v>
      </c>
      <c r="G2097" t="s">
        <v>446</v>
      </c>
      <c r="H2097" t="s">
        <v>4931</v>
      </c>
      <c r="I2097">
        <v>0</v>
      </c>
      <c r="J2097" t="s">
        <v>97</v>
      </c>
      <c r="K2097">
        <v>0</v>
      </c>
      <c r="L2097">
        <v>0</v>
      </c>
      <c r="M2097" t="s">
        <v>11</v>
      </c>
    </row>
    <row r="2098" spans="1:13">
      <c r="A2098" s="93">
        <v>193894</v>
      </c>
      <c r="B2098" t="s">
        <v>2638</v>
      </c>
      <c r="C2098" t="s">
        <v>4924</v>
      </c>
      <c r="D2098" s="92" t="s">
        <v>446</v>
      </c>
      <c r="E2098" s="92" t="s">
        <v>446</v>
      </c>
      <c r="F2098" t="s">
        <v>446</v>
      </c>
      <c r="G2098" t="s">
        <v>446</v>
      </c>
      <c r="H2098" t="s">
        <v>4932</v>
      </c>
      <c r="I2098">
        <v>0</v>
      </c>
      <c r="J2098" t="s">
        <v>97</v>
      </c>
      <c r="K2098">
        <v>0</v>
      </c>
      <c r="L2098">
        <v>0</v>
      </c>
      <c r="M2098" t="s">
        <v>11</v>
      </c>
    </row>
    <row r="2099" spans="1:13">
      <c r="A2099" s="93">
        <v>193946</v>
      </c>
      <c r="B2099" t="s">
        <v>2639</v>
      </c>
      <c r="C2099" t="s">
        <v>4919</v>
      </c>
      <c r="D2099" s="92">
        <v>0.43</v>
      </c>
      <c r="E2099" s="92">
        <v>0.28</v>
      </c>
      <c r="F2099" t="s">
        <v>446</v>
      </c>
      <c r="G2099" t="s">
        <v>446</v>
      </c>
      <c r="H2099" t="s">
        <v>4932</v>
      </c>
      <c r="I2099">
        <v>0</v>
      </c>
      <c r="J2099" t="s">
        <v>97</v>
      </c>
      <c r="K2099">
        <v>0</v>
      </c>
      <c r="L2099">
        <v>0</v>
      </c>
      <c r="M2099" t="s">
        <v>11</v>
      </c>
    </row>
    <row r="2100" spans="1:13">
      <c r="A2100" s="93">
        <v>193973</v>
      </c>
      <c r="B2100" t="s">
        <v>2640</v>
      </c>
      <c r="C2100" t="s">
        <v>4920</v>
      </c>
      <c r="D2100" s="92">
        <v>0.73</v>
      </c>
      <c r="E2100" s="92">
        <v>0.54</v>
      </c>
      <c r="F2100">
        <v>1050</v>
      </c>
      <c r="G2100">
        <v>1145</v>
      </c>
      <c r="H2100" t="s">
        <v>4931</v>
      </c>
      <c r="I2100">
        <v>0</v>
      </c>
      <c r="J2100" t="s">
        <v>97</v>
      </c>
      <c r="K2100">
        <v>0</v>
      </c>
      <c r="L2100">
        <v>0</v>
      </c>
      <c r="M2100" t="s">
        <v>11</v>
      </c>
    </row>
    <row r="2101" spans="1:13">
      <c r="A2101" s="93">
        <v>194028</v>
      </c>
      <c r="B2101" t="s">
        <v>2641</v>
      </c>
      <c r="C2101" t="s">
        <v>4919</v>
      </c>
      <c r="D2101" s="92">
        <v>0.41</v>
      </c>
      <c r="E2101" s="92">
        <v>0.43</v>
      </c>
      <c r="F2101" t="s">
        <v>446</v>
      </c>
      <c r="G2101" t="s">
        <v>446</v>
      </c>
      <c r="H2101" t="s">
        <v>4932</v>
      </c>
      <c r="I2101">
        <v>0</v>
      </c>
      <c r="J2101" t="s">
        <v>97</v>
      </c>
      <c r="K2101">
        <v>0</v>
      </c>
      <c r="L2101">
        <v>0</v>
      </c>
      <c r="M2101" t="s">
        <v>11</v>
      </c>
    </row>
    <row r="2102" spans="1:13">
      <c r="A2102" s="93">
        <v>194073</v>
      </c>
      <c r="B2102" t="s">
        <v>2642</v>
      </c>
      <c r="C2102" t="s">
        <v>4924</v>
      </c>
      <c r="D2102" s="92" t="s">
        <v>446</v>
      </c>
      <c r="E2102" s="92" t="s">
        <v>446</v>
      </c>
      <c r="F2102" t="s">
        <v>446</v>
      </c>
      <c r="G2102" t="s">
        <v>446</v>
      </c>
      <c r="H2102" t="s">
        <v>4932</v>
      </c>
      <c r="I2102">
        <v>0</v>
      </c>
      <c r="J2102" t="s">
        <v>97</v>
      </c>
      <c r="K2102">
        <v>0</v>
      </c>
      <c r="L2102">
        <v>0</v>
      </c>
      <c r="M2102" t="s">
        <v>11</v>
      </c>
    </row>
    <row r="2103" spans="1:13">
      <c r="A2103" s="93">
        <v>194091</v>
      </c>
      <c r="B2103" t="s">
        <v>2643</v>
      </c>
      <c r="C2103" t="s">
        <v>4920</v>
      </c>
      <c r="D2103" s="92">
        <v>0.53</v>
      </c>
      <c r="E2103" s="92">
        <v>0.44</v>
      </c>
      <c r="F2103">
        <v>1100</v>
      </c>
      <c r="G2103">
        <v>1210</v>
      </c>
      <c r="H2103" t="s">
        <v>4930</v>
      </c>
      <c r="I2103">
        <v>0</v>
      </c>
      <c r="J2103" t="s">
        <v>97</v>
      </c>
      <c r="K2103">
        <v>0</v>
      </c>
      <c r="L2103">
        <v>0</v>
      </c>
      <c r="M2103" t="s">
        <v>11</v>
      </c>
    </row>
    <row r="2104" spans="1:13">
      <c r="A2104" s="93">
        <v>194116</v>
      </c>
      <c r="B2104" t="s">
        <v>2644</v>
      </c>
      <c r="C2104" t="s">
        <v>4924</v>
      </c>
      <c r="D2104" s="92">
        <v>1</v>
      </c>
      <c r="E2104" s="92" t="s">
        <v>446</v>
      </c>
      <c r="F2104" t="s">
        <v>446</v>
      </c>
      <c r="G2104" t="s">
        <v>446</v>
      </c>
      <c r="H2104" t="s">
        <v>4930</v>
      </c>
      <c r="I2104">
        <v>0</v>
      </c>
      <c r="J2104" t="s">
        <v>97</v>
      </c>
      <c r="K2104">
        <v>0</v>
      </c>
      <c r="L2104">
        <v>0</v>
      </c>
      <c r="M2104" t="s">
        <v>11</v>
      </c>
    </row>
    <row r="2105" spans="1:13">
      <c r="A2105" s="93">
        <v>194161</v>
      </c>
      <c r="B2105" t="s">
        <v>2645</v>
      </c>
      <c r="C2105" t="s">
        <v>4923</v>
      </c>
      <c r="D2105" s="92">
        <v>0.4</v>
      </c>
      <c r="E2105" s="92">
        <v>0.36</v>
      </c>
      <c r="F2105">
        <v>850</v>
      </c>
      <c r="G2105">
        <v>970</v>
      </c>
      <c r="H2105" t="s">
        <v>4930</v>
      </c>
      <c r="I2105">
        <v>0</v>
      </c>
      <c r="J2105" t="s">
        <v>97</v>
      </c>
      <c r="K2105">
        <v>0</v>
      </c>
      <c r="L2105">
        <v>0</v>
      </c>
      <c r="M2105" t="s">
        <v>11</v>
      </c>
    </row>
    <row r="2106" spans="1:13">
      <c r="A2106" s="93">
        <v>194189</v>
      </c>
      <c r="B2106" t="s">
        <v>2646</v>
      </c>
      <c r="C2106" t="s">
        <v>4924</v>
      </c>
      <c r="D2106" s="92">
        <v>0.2</v>
      </c>
      <c r="E2106" s="92" t="s">
        <v>446</v>
      </c>
      <c r="F2106" t="s">
        <v>446</v>
      </c>
      <c r="G2106" t="s">
        <v>446</v>
      </c>
      <c r="H2106" t="s">
        <v>4932</v>
      </c>
      <c r="I2106">
        <v>0</v>
      </c>
      <c r="J2106" t="s">
        <v>97</v>
      </c>
      <c r="K2106">
        <v>0</v>
      </c>
      <c r="L2106">
        <v>0</v>
      </c>
      <c r="M2106" t="s">
        <v>11</v>
      </c>
    </row>
    <row r="2107" spans="1:13">
      <c r="A2107" s="93">
        <v>194222</v>
      </c>
      <c r="B2107" t="s">
        <v>2647</v>
      </c>
      <c r="C2107" t="s">
        <v>4919</v>
      </c>
      <c r="D2107" s="92">
        <v>0.33</v>
      </c>
      <c r="E2107" s="92">
        <v>0.23</v>
      </c>
      <c r="F2107" t="s">
        <v>446</v>
      </c>
      <c r="G2107" t="s">
        <v>446</v>
      </c>
      <c r="H2107" t="s">
        <v>4932</v>
      </c>
      <c r="I2107">
        <v>0</v>
      </c>
      <c r="J2107" t="s">
        <v>97</v>
      </c>
      <c r="K2107">
        <v>0</v>
      </c>
      <c r="L2107">
        <v>0</v>
      </c>
      <c r="M2107" t="s">
        <v>11</v>
      </c>
    </row>
    <row r="2108" spans="1:13">
      <c r="A2108" s="93">
        <v>194392</v>
      </c>
      <c r="B2108" t="s">
        <v>2648</v>
      </c>
      <c r="C2108" t="s">
        <v>4924</v>
      </c>
      <c r="D2108" s="92">
        <v>0.49</v>
      </c>
      <c r="E2108" s="92">
        <v>0.34</v>
      </c>
      <c r="F2108" t="s">
        <v>446</v>
      </c>
      <c r="G2108" t="s">
        <v>446</v>
      </c>
      <c r="H2108" t="s">
        <v>4930</v>
      </c>
      <c r="I2108">
        <v>0</v>
      </c>
      <c r="J2108" t="s">
        <v>97</v>
      </c>
      <c r="K2108">
        <v>0</v>
      </c>
      <c r="L2108">
        <v>0</v>
      </c>
      <c r="M2108" t="s">
        <v>11</v>
      </c>
    </row>
    <row r="2109" spans="1:13">
      <c r="A2109" s="93">
        <v>194499</v>
      </c>
      <c r="B2109" t="s">
        <v>2649</v>
      </c>
      <c r="C2109" t="s">
        <v>4924</v>
      </c>
      <c r="D2109" s="92" t="s">
        <v>446</v>
      </c>
      <c r="E2109" s="92" t="s">
        <v>446</v>
      </c>
      <c r="F2109" t="s">
        <v>446</v>
      </c>
      <c r="G2109" t="s">
        <v>446</v>
      </c>
      <c r="H2109" t="s">
        <v>4930</v>
      </c>
      <c r="I2109">
        <v>0</v>
      </c>
      <c r="J2109" t="s">
        <v>97</v>
      </c>
      <c r="K2109">
        <v>0</v>
      </c>
      <c r="L2109">
        <v>0</v>
      </c>
      <c r="M2109" t="s">
        <v>11</v>
      </c>
    </row>
    <row r="2110" spans="1:13">
      <c r="A2110" s="93">
        <v>194569</v>
      </c>
      <c r="B2110" t="s">
        <v>2650</v>
      </c>
      <c r="C2110" t="s">
        <v>4924</v>
      </c>
      <c r="D2110" s="92">
        <v>0.44</v>
      </c>
      <c r="E2110" s="92">
        <v>0.2</v>
      </c>
      <c r="F2110" t="s">
        <v>446</v>
      </c>
      <c r="G2110" t="s">
        <v>446</v>
      </c>
      <c r="H2110" t="s">
        <v>4931</v>
      </c>
      <c r="I2110">
        <v>0</v>
      </c>
      <c r="J2110" t="s">
        <v>97</v>
      </c>
      <c r="K2110">
        <v>0</v>
      </c>
      <c r="L2110">
        <v>0</v>
      </c>
      <c r="M2110" t="s">
        <v>11</v>
      </c>
    </row>
    <row r="2111" spans="1:13">
      <c r="A2111" s="93">
        <v>194578</v>
      </c>
      <c r="B2111" t="s">
        <v>2651</v>
      </c>
      <c r="C2111" t="s">
        <v>4916</v>
      </c>
      <c r="D2111" s="92">
        <v>0.71</v>
      </c>
      <c r="E2111" s="92">
        <v>0.63</v>
      </c>
      <c r="F2111">
        <v>1190</v>
      </c>
      <c r="G2111">
        <v>1300</v>
      </c>
      <c r="H2111" t="s">
        <v>4930</v>
      </c>
      <c r="I2111">
        <v>0</v>
      </c>
      <c r="J2111" t="s">
        <v>97</v>
      </c>
      <c r="K2111">
        <v>0</v>
      </c>
      <c r="L2111">
        <v>0</v>
      </c>
      <c r="M2111" t="s">
        <v>11</v>
      </c>
    </row>
    <row r="2112" spans="1:13">
      <c r="A2112" s="93">
        <v>194657</v>
      </c>
      <c r="B2112" t="s">
        <v>2652</v>
      </c>
      <c r="C2112" t="s">
        <v>4924</v>
      </c>
      <c r="D2112" s="92">
        <v>0.25</v>
      </c>
      <c r="E2112" s="92" t="s">
        <v>446</v>
      </c>
      <c r="F2112" t="s">
        <v>446</v>
      </c>
      <c r="G2112" t="s">
        <v>446</v>
      </c>
      <c r="H2112" t="s">
        <v>4931</v>
      </c>
      <c r="I2112">
        <v>0</v>
      </c>
      <c r="J2112" t="s">
        <v>97</v>
      </c>
      <c r="K2112">
        <v>0</v>
      </c>
      <c r="L2112">
        <v>0</v>
      </c>
      <c r="M2112" t="s">
        <v>11</v>
      </c>
    </row>
    <row r="2113" spans="1:13">
      <c r="A2113" s="93">
        <v>194666</v>
      </c>
      <c r="B2113" t="s">
        <v>2653</v>
      </c>
      <c r="C2113" t="s">
        <v>4923</v>
      </c>
      <c r="D2113" s="92">
        <v>0.87</v>
      </c>
      <c r="E2113" s="92" t="s">
        <v>446</v>
      </c>
      <c r="F2113" t="s">
        <v>446</v>
      </c>
      <c r="G2113" t="s">
        <v>446</v>
      </c>
      <c r="H2113" t="s">
        <v>4931</v>
      </c>
      <c r="I2113">
        <v>0</v>
      </c>
      <c r="J2113" t="s">
        <v>97</v>
      </c>
      <c r="K2113">
        <v>0</v>
      </c>
      <c r="L2113">
        <v>0</v>
      </c>
      <c r="M2113" t="s">
        <v>11</v>
      </c>
    </row>
    <row r="2114" spans="1:13">
      <c r="A2114" s="93">
        <v>194693</v>
      </c>
      <c r="B2114" t="s">
        <v>2654</v>
      </c>
      <c r="C2114" t="s">
        <v>4924</v>
      </c>
      <c r="D2114" s="92">
        <v>0.1</v>
      </c>
      <c r="E2114" s="92" t="s">
        <v>446</v>
      </c>
      <c r="F2114" t="s">
        <v>446</v>
      </c>
      <c r="G2114" t="s">
        <v>446</v>
      </c>
      <c r="H2114" t="s">
        <v>4932</v>
      </c>
      <c r="I2114">
        <v>0</v>
      </c>
      <c r="J2114" t="s">
        <v>97</v>
      </c>
      <c r="K2114">
        <v>0</v>
      </c>
      <c r="L2114">
        <v>0</v>
      </c>
      <c r="M2114" t="s">
        <v>11</v>
      </c>
    </row>
    <row r="2115" spans="1:13">
      <c r="A2115" s="93">
        <v>194718</v>
      </c>
      <c r="B2115" t="s">
        <v>2655</v>
      </c>
      <c r="C2115" t="s">
        <v>4926</v>
      </c>
      <c r="D2115" s="92" t="s">
        <v>446</v>
      </c>
      <c r="E2115" s="92" t="s">
        <v>446</v>
      </c>
      <c r="F2115" t="s">
        <v>446</v>
      </c>
      <c r="G2115" t="s">
        <v>446</v>
      </c>
      <c r="H2115" t="s">
        <v>4931</v>
      </c>
      <c r="I2115">
        <v>0</v>
      </c>
      <c r="J2115" t="s">
        <v>97</v>
      </c>
      <c r="K2115">
        <v>0</v>
      </c>
      <c r="L2115">
        <v>0</v>
      </c>
      <c r="M2115" t="s">
        <v>11</v>
      </c>
    </row>
    <row r="2116" spans="1:13">
      <c r="A2116" s="93">
        <v>194736</v>
      </c>
      <c r="B2116" t="s">
        <v>2656</v>
      </c>
      <c r="C2116" t="s">
        <v>4924</v>
      </c>
      <c r="D2116" s="92">
        <v>0.39</v>
      </c>
      <c r="E2116" s="92" t="s">
        <v>446</v>
      </c>
      <c r="F2116" t="s">
        <v>446</v>
      </c>
      <c r="G2116" t="s">
        <v>446</v>
      </c>
      <c r="H2116" t="s">
        <v>4931</v>
      </c>
      <c r="I2116">
        <v>0</v>
      </c>
      <c r="J2116" t="s">
        <v>97</v>
      </c>
      <c r="K2116">
        <v>0</v>
      </c>
      <c r="L2116">
        <v>0</v>
      </c>
      <c r="M2116" t="s">
        <v>11</v>
      </c>
    </row>
    <row r="2117" spans="1:13">
      <c r="A2117" s="93">
        <v>194763</v>
      </c>
      <c r="B2117" t="s">
        <v>2657</v>
      </c>
      <c r="C2117" t="s">
        <v>4924</v>
      </c>
      <c r="D2117" s="92">
        <v>0.3</v>
      </c>
      <c r="E2117" s="92" t="s">
        <v>446</v>
      </c>
      <c r="F2117" t="s">
        <v>446</v>
      </c>
      <c r="G2117" t="s">
        <v>446</v>
      </c>
      <c r="H2117" t="s">
        <v>4931</v>
      </c>
      <c r="I2117">
        <v>0</v>
      </c>
      <c r="J2117" t="s">
        <v>97</v>
      </c>
      <c r="K2117">
        <v>0</v>
      </c>
      <c r="L2117">
        <v>0</v>
      </c>
      <c r="M2117" t="s">
        <v>11</v>
      </c>
    </row>
    <row r="2118" spans="1:13">
      <c r="A2118" s="93">
        <v>194958</v>
      </c>
      <c r="B2118" t="s">
        <v>2658</v>
      </c>
      <c r="C2118" t="s">
        <v>4920</v>
      </c>
      <c r="D2118" s="92">
        <v>0.61</v>
      </c>
      <c r="E2118" s="92">
        <v>0.42</v>
      </c>
      <c r="F2118">
        <v>1020</v>
      </c>
      <c r="G2118">
        <v>1135</v>
      </c>
      <c r="H2118" t="s">
        <v>4930</v>
      </c>
      <c r="I2118">
        <v>0</v>
      </c>
      <c r="J2118" t="s">
        <v>97</v>
      </c>
      <c r="K2118">
        <v>0</v>
      </c>
      <c r="L2118">
        <v>0</v>
      </c>
      <c r="M2118" t="s">
        <v>11</v>
      </c>
    </row>
    <row r="2119" spans="1:13">
      <c r="A2119" s="93">
        <v>195049</v>
      </c>
      <c r="B2119" t="s">
        <v>2659</v>
      </c>
      <c r="C2119" t="s">
        <v>4924</v>
      </c>
      <c r="D2119" s="92" t="s">
        <v>446</v>
      </c>
      <c r="E2119" s="92" t="s">
        <v>446</v>
      </c>
      <c r="F2119" t="s">
        <v>446</v>
      </c>
      <c r="G2119" t="s">
        <v>446</v>
      </c>
      <c r="H2119" t="s">
        <v>4932</v>
      </c>
      <c r="I2119">
        <v>0</v>
      </c>
      <c r="J2119" t="s">
        <v>97</v>
      </c>
      <c r="K2119">
        <v>0</v>
      </c>
      <c r="L2119">
        <v>0</v>
      </c>
      <c r="M2119" t="s">
        <v>11</v>
      </c>
    </row>
    <row r="2120" spans="1:13">
      <c r="A2120" s="93">
        <v>195058</v>
      </c>
      <c r="B2120" t="s">
        <v>2660</v>
      </c>
      <c r="C2120" t="s">
        <v>4919</v>
      </c>
      <c r="D2120" s="92">
        <v>0.37</v>
      </c>
      <c r="E2120" s="92">
        <v>0.32</v>
      </c>
      <c r="F2120" t="s">
        <v>446</v>
      </c>
      <c r="G2120" t="s">
        <v>446</v>
      </c>
      <c r="H2120" t="s">
        <v>4932</v>
      </c>
      <c r="I2120">
        <v>0</v>
      </c>
      <c r="J2120" t="s">
        <v>97</v>
      </c>
      <c r="K2120">
        <v>0</v>
      </c>
      <c r="L2120">
        <v>0</v>
      </c>
      <c r="M2120" t="s">
        <v>11</v>
      </c>
    </row>
    <row r="2121" spans="1:13">
      <c r="A2121" s="93">
        <v>195155</v>
      </c>
      <c r="B2121" t="s">
        <v>2661</v>
      </c>
      <c r="C2121" t="s">
        <v>4924</v>
      </c>
      <c r="D2121" s="92" t="s">
        <v>446</v>
      </c>
      <c r="E2121" s="92" t="s">
        <v>446</v>
      </c>
      <c r="F2121" t="s">
        <v>446</v>
      </c>
      <c r="G2121" t="s">
        <v>446</v>
      </c>
      <c r="H2121" t="s">
        <v>4932</v>
      </c>
      <c r="I2121">
        <v>0</v>
      </c>
      <c r="J2121" t="s">
        <v>97</v>
      </c>
      <c r="K2121">
        <v>0</v>
      </c>
      <c r="L2121">
        <v>0</v>
      </c>
      <c r="M2121" t="s">
        <v>11</v>
      </c>
    </row>
    <row r="2122" spans="1:13">
      <c r="A2122" s="93">
        <v>195164</v>
      </c>
      <c r="B2122" t="s">
        <v>2662</v>
      </c>
      <c r="C2122" t="s">
        <v>4920</v>
      </c>
      <c r="D2122" s="92">
        <v>0.73</v>
      </c>
      <c r="E2122" s="92">
        <v>0.65</v>
      </c>
      <c r="F2122">
        <v>1070</v>
      </c>
      <c r="G2122">
        <v>1170</v>
      </c>
      <c r="H2122" t="s">
        <v>4930</v>
      </c>
      <c r="I2122">
        <v>0</v>
      </c>
      <c r="J2122" t="s">
        <v>97</v>
      </c>
      <c r="K2122">
        <v>0</v>
      </c>
      <c r="L2122">
        <v>0</v>
      </c>
      <c r="M2122" t="s">
        <v>11</v>
      </c>
    </row>
    <row r="2123" spans="1:13">
      <c r="A2123" s="93">
        <v>195173</v>
      </c>
      <c r="B2123" t="s">
        <v>2663</v>
      </c>
      <c r="C2123" t="s">
        <v>4918</v>
      </c>
      <c r="D2123" s="92">
        <v>0.54</v>
      </c>
      <c r="E2123" s="92">
        <v>0.49</v>
      </c>
      <c r="F2123">
        <v>990</v>
      </c>
      <c r="G2123">
        <v>1115</v>
      </c>
      <c r="H2123" t="s">
        <v>4931</v>
      </c>
      <c r="I2123">
        <v>0</v>
      </c>
      <c r="J2123" t="s">
        <v>97</v>
      </c>
      <c r="K2123">
        <v>0</v>
      </c>
      <c r="L2123">
        <v>0</v>
      </c>
      <c r="M2123" t="s">
        <v>11</v>
      </c>
    </row>
    <row r="2124" spans="1:13">
      <c r="A2124" s="93">
        <v>195191</v>
      </c>
      <c r="B2124" t="s">
        <v>2664</v>
      </c>
      <c r="C2124" t="s">
        <v>4925</v>
      </c>
      <c r="D2124" s="92" t="s">
        <v>446</v>
      </c>
      <c r="E2124" s="92" t="s">
        <v>446</v>
      </c>
      <c r="F2124" t="s">
        <v>446</v>
      </c>
      <c r="G2124" t="s">
        <v>446</v>
      </c>
      <c r="H2124" t="s">
        <v>4932</v>
      </c>
      <c r="I2124">
        <v>0</v>
      </c>
      <c r="J2124" t="s">
        <v>97</v>
      </c>
      <c r="K2124">
        <v>0</v>
      </c>
      <c r="L2124">
        <v>0</v>
      </c>
      <c r="M2124" t="s">
        <v>11</v>
      </c>
    </row>
    <row r="2125" spans="1:13">
      <c r="A2125" s="93">
        <v>195216</v>
      </c>
      <c r="B2125" t="s">
        <v>2665</v>
      </c>
      <c r="C2125" t="s">
        <v>4916</v>
      </c>
      <c r="D2125" s="92">
        <v>0.82</v>
      </c>
      <c r="E2125" s="92">
        <v>0.75</v>
      </c>
      <c r="F2125">
        <v>1220</v>
      </c>
      <c r="G2125">
        <v>1310</v>
      </c>
      <c r="H2125" t="s">
        <v>4931</v>
      </c>
      <c r="I2125">
        <v>0</v>
      </c>
      <c r="J2125" t="s">
        <v>97</v>
      </c>
      <c r="K2125">
        <v>0</v>
      </c>
      <c r="L2125">
        <v>0</v>
      </c>
      <c r="M2125" t="s">
        <v>11</v>
      </c>
    </row>
    <row r="2126" spans="1:13">
      <c r="A2126" s="93">
        <v>195234</v>
      </c>
      <c r="B2126" t="s">
        <v>2666</v>
      </c>
      <c r="C2126" t="s">
        <v>4920</v>
      </c>
      <c r="D2126" s="92">
        <v>0.6</v>
      </c>
      <c r="E2126" s="92">
        <v>0.48</v>
      </c>
      <c r="F2126" t="s">
        <v>446</v>
      </c>
      <c r="G2126" t="s">
        <v>446</v>
      </c>
      <c r="H2126" t="s">
        <v>4930</v>
      </c>
      <c r="I2126">
        <v>0</v>
      </c>
      <c r="J2126" t="s">
        <v>97</v>
      </c>
      <c r="K2126">
        <v>0</v>
      </c>
      <c r="L2126">
        <v>0</v>
      </c>
      <c r="M2126" t="s">
        <v>11</v>
      </c>
    </row>
    <row r="2127" spans="1:13">
      <c r="A2127" s="93">
        <v>195243</v>
      </c>
      <c r="B2127" t="s">
        <v>2667</v>
      </c>
      <c r="C2127" t="s">
        <v>4920</v>
      </c>
      <c r="D2127" s="92">
        <v>0.58</v>
      </c>
      <c r="E2127" s="92">
        <v>0.51</v>
      </c>
      <c r="F2127">
        <v>1040</v>
      </c>
      <c r="G2127">
        <v>1140</v>
      </c>
      <c r="H2127" t="s">
        <v>4931</v>
      </c>
      <c r="I2127">
        <v>0</v>
      </c>
      <c r="J2127" t="s">
        <v>97</v>
      </c>
      <c r="K2127">
        <v>0</v>
      </c>
      <c r="L2127">
        <v>0</v>
      </c>
      <c r="M2127" t="s">
        <v>11</v>
      </c>
    </row>
    <row r="2128" spans="1:13">
      <c r="A2128" s="93">
        <v>195289</v>
      </c>
      <c r="B2128" t="s">
        <v>2668</v>
      </c>
      <c r="C2128" t="s">
        <v>4925</v>
      </c>
      <c r="D2128" s="92" t="s">
        <v>446</v>
      </c>
      <c r="E2128" s="92" t="s">
        <v>446</v>
      </c>
      <c r="F2128" t="s">
        <v>446</v>
      </c>
      <c r="G2128" t="s">
        <v>446</v>
      </c>
      <c r="H2128" t="s">
        <v>4931</v>
      </c>
      <c r="I2128">
        <v>0</v>
      </c>
      <c r="J2128" t="s">
        <v>97</v>
      </c>
      <c r="K2128">
        <v>0</v>
      </c>
      <c r="L2128">
        <v>0</v>
      </c>
      <c r="M2128" t="s">
        <v>11</v>
      </c>
    </row>
    <row r="2129" spans="1:13">
      <c r="A2129" s="93">
        <v>195304</v>
      </c>
      <c r="B2129" t="s">
        <v>2669</v>
      </c>
      <c r="C2129" t="s">
        <v>4917</v>
      </c>
      <c r="D2129" s="92">
        <v>0.76</v>
      </c>
      <c r="E2129" s="92">
        <v>0.71</v>
      </c>
      <c r="F2129">
        <v>1260</v>
      </c>
      <c r="G2129">
        <v>1365</v>
      </c>
      <c r="H2129" t="s">
        <v>4930</v>
      </c>
      <c r="I2129">
        <v>0</v>
      </c>
      <c r="J2129" t="s">
        <v>97</v>
      </c>
      <c r="K2129">
        <v>0</v>
      </c>
      <c r="L2129">
        <v>0</v>
      </c>
      <c r="M2129" t="s">
        <v>11</v>
      </c>
    </row>
    <row r="2130" spans="1:13">
      <c r="A2130" s="93">
        <v>195322</v>
      </c>
      <c r="B2130" t="s">
        <v>2670</v>
      </c>
      <c r="C2130" t="s">
        <v>4919</v>
      </c>
      <c r="D2130" s="92">
        <v>0.32</v>
      </c>
      <c r="E2130" s="92">
        <v>0.22</v>
      </c>
      <c r="F2130" t="s">
        <v>446</v>
      </c>
      <c r="G2130" t="s">
        <v>446</v>
      </c>
      <c r="H2130" t="s">
        <v>4932</v>
      </c>
      <c r="I2130">
        <v>0</v>
      </c>
      <c r="J2130" t="s">
        <v>97</v>
      </c>
      <c r="K2130">
        <v>0</v>
      </c>
      <c r="L2130">
        <v>0</v>
      </c>
      <c r="M2130" t="s">
        <v>11</v>
      </c>
    </row>
    <row r="2131" spans="1:13">
      <c r="A2131" s="93">
        <v>195438</v>
      </c>
      <c r="B2131" t="s">
        <v>2671</v>
      </c>
      <c r="C2131" t="s">
        <v>4924</v>
      </c>
      <c r="D2131" s="92">
        <v>0.17</v>
      </c>
      <c r="E2131" s="92" t="s">
        <v>446</v>
      </c>
      <c r="F2131" t="s">
        <v>446</v>
      </c>
      <c r="G2131" t="s">
        <v>446</v>
      </c>
      <c r="H2131" t="s">
        <v>4932</v>
      </c>
      <c r="I2131">
        <v>0</v>
      </c>
      <c r="J2131" t="s">
        <v>97</v>
      </c>
      <c r="K2131">
        <v>0</v>
      </c>
      <c r="L2131">
        <v>0</v>
      </c>
      <c r="M2131" t="s">
        <v>11</v>
      </c>
    </row>
    <row r="2132" spans="1:13">
      <c r="A2132" s="93">
        <v>195474</v>
      </c>
      <c r="B2132" t="s">
        <v>2672</v>
      </c>
      <c r="C2132" t="s">
        <v>4920</v>
      </c>
      <c r="D2132" s="92">
        <v>0.79</v>
      </c>
      <c r="E2132" s="92">
        <v>0.71</v>
      </c>
      <c r="F2132" t="s">
        <v>446</v>
      </c>
      <c r="G2132" t="s">
        <v>446</v>
      </c>
      <c r="H2132" t="s">
        <v>4930</v>
      </c>
      <c r="I2132">
        <v>0</v>
      </c>
      <c r="J2132" t="s">
        <v>97</v>
      </c>
      <c r="K2132">
        <v>0</v>
      </c>
      <c r="L2132">
        <v>0</v>
      </c>
      <c r="M2132" t="s">
        <v>11</v>
      </c>
    </row>
    <row r="2133" spans="1:13">
      <c r="A2133" s="93">
        <v>195580</v>
      </c>
      <c r="B2133" t="s">
        <v>2673</v>
      </c>
      <c r="C2133" t="s">
        <v>4924</v>
      </c>
      <c r="D2133" s="92" t="s">
        <v>446</v>
      </c>
      <c r="E2133" s="92" t="s">
        <v>446</v>
      </c>
      <c r="F2133" t="s">
        <v>446</v>
      </c>
      <c r="G2133" t="s">
        <v>446</v>
      </c>
      <c r="H2133" t="s">
        <v>4932</v>
      </c>
      <c r="I2133">
        <v>0</v>
      </c>
      <c r="J2133" t="s">
        <v>97</v>
      </c>
      <c r="K2133">
        <v>0</v>
      </c>
      <c r="L2133">
        <v>0</v>
      </c>
      <c r="M2133" t="s">
        <v>11</v>
      </c>
    </row>
    <row r="2134" spans="1:13">
      <c r="A2134" s="93">
        <v>195702</v>
      </c>
      <c r="B2134" t="s">
        <v>2674</v>
      </c>
      <c r="C2134" t="s">
        <v>4925</v>
      </c>
      <c r="D2134" s="92" t="s">
        <v>446</v>
      </c>
      <c r="E2134" s="92" t="s">
        <v>446</v>
      </c>
      <c r="F2134" t="s">
        <v>446</v>
      </c>
      <c r="G2134" t="s">
        <v>446</v>
      </c>
      <c r="H2134" t="s">
        <v>4932</v>
      </c>
      <c r="I2134">
        <v>0</v>
      </c>
      <c r="J2134" t="s">
        <v>97</v>
      </c>
      <c r="K2134">
        <v>0</v>
      </c>
      <c r="L2134">
        <v>0</v>
      </c>
      <c r="M2134" t="s">
        <v>11</v>
      </c>
    </row>
    <row r="2135" spans="1:13">
      <c r="A2135" s="93">
        <v>195720</v>
      </c>
      <c r="B2135" t="s">
        <v>2675</v>
      </c>
      <c r="C2135" t="s">
        <v>4920</v>
      </c>
      <c r="D2135" s="92">
        <v>0.73</v>
      </c>
      <c r="E2135" s="92">
        <v>0.62</v>
      </c>
      <c r="F2135">
        <v>1110</v>
      </c>
      <c r="G2135">
        <v>1190</v>
      </c>
      <c r="H2135" t="s">
        <v>4930</v>
      </c>
      <c r="I2135">
        <v>0</v>
      </c>
      <c r="J2135" t="s">
        <v>97</v>
      </c>
      <c r="K2135">
        <v>0</v>
      </c>
      <c r="L2135">
        <v>0</v>
      </c>
      <c r="M2135" t="s">
        <v>11</v>
      </c>
    </row>
    <row r="2136" spans="1:13">
      <c r="A2136" s="93">
        <v>195784</v>
      </c>
      <c r="B2136" t="s">
        <v>2676</v>
      </c>
      <c r="C2136" t="s">
        <v>4919</v>
      </c>
      <c r="D2136" s="92" t="s">
        <v>446</v>
      </c>
      <c r="E2136" s="92" t="s">
        <v>446</v>
      </c>
      <c r="F2136" t="s">
        <v>446</v>
      </c>
      <c r="G2136" t="s">
        <v>446</v>
      </c>
      <c r="H2136" t="s">
        <v>4930</v>
      </c>
      <c r="I2136">
        <v>0</v>
      </c>
      <c r="J2136" t="s">
        <v>97</v>
      </c>
      <c r="K2136">
        <v>0</v>
      </c>
      <c r="L2136">
        <v>0</v>
      </c>
      <c r="M2136" t="s">
        <v>11</v>
      </c>
    </row>
    <row r="2137" spans="1:13">
      <c r="A2137" s="93">
        <v>195809</v>
      </c>
      <c r="B2137" t="s">
        <v>2677</v>
      </c>
      <c r="C2137" t="s">
        <v>4920</v>
      </c>
      <c r="D2137" s="92">
        <v>0.68</v>
      </c>
      <c r="E2137" s="92">
        <v>0.62</v>
      </c>
      <c r="F2137">
        <v>1100</v>
      </c>
      <c r="G2137">
        <v>1205</v>
      </c>
      <c r="H2137" t="s">
        <v>4930</v>
      </c>
      <c r="I2137">
        <v>0</v>
      </c>
      <c r="J2137" t="s">
        <v>97</v>
      </c>
      <c r="K2137">
        <v>0</v>
      </c>
      <c r="L2137">
        <v>0</v>
      </c>
      <c r="M2137" t="s">
        <v>11</v>
      </c>
    </row>
    <row r="2138" spans="1:13">
      <c r="A2138" s="93">
        <v>195988</v>
      </c>
      <c r="B2138" t="s">
        <v>2678</v>
      </c>
      <c r="C2138" t="s">
        <v>4919</v>
      </c>
      <c r="D2138" s="92">
        <v>0.38</v>
      </c>
      <c r="E2138" s="92">
        <v>0.33</v>
      </c>
      <c r="F2138" t="s">
        <v>446</v>
      </c>
      <c r="G2138" t="s">
        <v>446</v>
      </c>
      <c r="H2138" t="s">
        <v>4932</v>
      </c>
      <c r="I2138">
        <v>0</v>
      </c>
      <c r="J2138" t="s">
        <v>97</v>
      </c>
      <c r="K2138">
        <v>0</v>
      </c>
      <c r="L2138">
        <v>0</v>
      </c>
      <c r="M2138" t="s">
        <v>11</v>
      </c>
    </row>
    <row r="2139" spans="1:13">
      <c r="A2139" s="93">
        <v>196006</v>
      </c>
      <c r="B2139" t="s">
        <v>2679</v>
      </c>
      <c r="C2139" t="s">
        <v>4918</v>
      </c>
      <c r="D2139" s="92">
        <v>0.5600000000000001</v>
      </c>
      <c r="E2139" s="92">
        <v>0.32</v>
      </c>
      <c r="F2139" t="s">
        <v>446</v>
      </c>
      <c r="G2139" t="s">
        <v>446</v>
      </c>
      <c r="H2139" t="s">
        <v>4932</v>
      </c>
      <c r="I2139">
        <v>0</v>
      </c>
      <c r="J2139" t="s">
        <v>97</v>
      </c>
      <c r="K2139">
        <v>0</v>
      </c>
      <c r="L2139">
        <v>0</v>
      </c>
      <c r="M2139" t="s">
        <v>11</v>
      </c>
    </row>
    <row r="2140" spans="1:13">
      <c r="A2140" s="93">
        <v>196015</v>
      </c>
      <c r="B2140" t="s">
        <v>2680</v>
      </c>
      <c r="C2140" t="s">
        <v>4923</v>
      </c>
      <c r="D2140" s="92">
        <v>0.49</v>
      </c>
      <c r="E2140" s="92">
        <v>0.48</v>
      </c>
      <c r="F2140">
        <v>1000</v>
      </c>
      <c r="G2140">
        <v>1080</v>
      </c>
      <c r="H2140" t="s">
        <v>4932</v>
      </c>
      <c r="I2140">
        <v>0</v>
      </c>
      <c r="J2140" t="s">
        <v>97</v>
      </c>
      <c r="K2140">
        <v>0</v>
      </c>
      <c r="L2140">
        <v>0</v>
      </c>
      <c r="M2140" t="s">
        <v>11</v>
      </c>
    </row>
    <row r="2141" spans="1:13">
      <c r="A2141" s="93">
        <v>196024</v>
      </c>
      <c r="B2141" t="s">
        <v>2681</v>
      </c>
      <c r="C2141" t="s">
        <v>4918</v>
      </c>
      <c r="D2141" s="92">
        <v>0.45</v>
      </c>
      <c r="E2141" s="92">
        <v>0.36</v>
      </c>
      <c r="F2141" t="s">
        <v>446</v>
      </c>
      <c r="G2141" t="s">
        <v>446</v>
      </c>
      <c r="H2141" t="s">
        <v>4932</v>
      </c>
      <c r="I2141">
        <v>0</v>
      </c>
      <c r="J2141" t="s">
        <v>97</v>
      </c>
      <c r="K2141">
        <v>0</v>
      </c>
      <c r="L2141">
        <v>0</v>
      </c>
      <c r="M2141" t="s">
        <v>11</v>
      </c>
    </row>
    <row r="2142" spans="1:13">
      <c r="A2142" s="93">
        <v>196033</v>
      </c>
      <c r="B2142" t="s">
        <v>2682</v>
      </c>
      <c r="C2142" t="s">
        <v>4918</v>
      </c>
      <c r="D2142" s="92">
        <v>0.5</v>
      </c>
      <c r="E2142" s="92">
        <v>0.39</v>
      </c>
      <c r="F2142">
        <v>970</v>
      </c>
      <c r="G2142">
        <v>1070</v>
      </c>
      <c r="H2142" t="s">
        <v>4932</v>
      </c>
      <c r="I2142">
        <v>0</v>
      </c>
      <c r="J2142" t="s">
        <v>97</v>
      </c>
      <c r="K2142">
        <v>0</v>
      </c>
      <c r="L2142">
        <v>0</v>
      </c>
      <c r="M2142" t="s">
        <v>11</v>
      </c>
    </row>
    <row r="2143" spans="1:13">
      <c r="A2143" s="93">
        <v>196042</v>
      </c>
      <c r="B2143" t="s">
        <v>2683</v>
      </c>
      <c r="C2143" t="s">
        <v>4920</v>
      </c>
      <c r="D2143" s="92">
        <v>0.53</v>
      </c>
      <c r="E2143" s="92">
        <v>0.54</v>
      </c>
      <c r="F2143">
        <v>1010</v>
      </c>
      <c r="G2143">
        <v>1100</v>
      </c>
      <c r="H2143" t="s">
        <v>4932</v>
      </c>
      <c r="I2143">
        <v>0</v>
      </c>
      <c r="J2143" t="s">
        <v>97</v>
      </c>
      <c r="K2143">
        <v>0</v>
      </c>
      <c r="L2143">
        <v>0</v>
      </c>
      <c r="M2143" t="s">
        <v>11</v>
      </c>
    </row>
    <row r="2144" spans="1:13">
      <c r="A2144" s="93">
        <v>196051</v>
      </c>
      <c r="B2144" t="s">
        <v>2684</v>
      </c>
      <c r="C2144" t="s">
        <v>4923</v>
      </c>
      <c r="D2144" s="92">
        <v>0.38</v>
      </c>
      <c r="E2144" s="92">
        <v>0.27</v>
      </c>
      <c r="F2144" t="s">
        <v>446</v>
      </c>
      <c r="G2144" t="s">
        <v>446</v>
      </c>
      <c r="H2144" t="s">
        <v>4932</v>
      </c>
      <c r="I2144">
        <v>0</v>
      </c>
      <c r="J2144" t="s">
        <v>97</v>
      </c>
      <c r="K2144">
        <v>0</v>
      </c>
      <c r="L2144">
        <v>0</v>
      </c>
      <c r="M2144" t="s">
        <v>11</v>
      </c>
    </row>
    <row r="2145" spans="1:13">
      <c r="A2145" s="93">
        <v>196060</v>
      </c>
      <c r="B2145" t="s">
        <v>2685</v>
      </c>
      <c r="C2145" t="s">
        <v>4920</v>
      </c>
      <c r="D2145" s="92">
        <v>0.66</v>
      </c>
      <c r="E2145" s="92">
        <v>0.68</v>
      </c>
      <c r="F2145">
        <v>1090</v>
      </c>
      <c r="G2145">
        <v>1185</v>
      </c>
      <c r="H2145" t="s">
        <v>4932</v>
      </c>
      <c r="I2145">
        <v>0</v>
      </c>
      <c r="J2145" t="s">
        <v>97</v>
      </c>
      <c r="K2145">
        <v>0</v>
      </c>
      <c r="L2145">
        <v>0</v>
      </c>
      <c r="M2145" t="s">
        <v>11</v>
      </c>
    </row>
    <row r="2146" spans="1:13">
      <c r="A2146" s="93">
        <v>196079</v>
      </c>
      <c r="B2146" t="s">
        <v>2686</v>
      </c>
      <c r="C2146" t="s">
        <v>4922</v>
      </c>
      <c r="D2146" s="92">
        <v>0.84</v>
      </c>
      <c r="E2146" s="92">
        <v>0.78</v>
      </c>
      <c r="F2146">
        <v>1310</v>
      </c>
      <c r="G2146">
        <v>1390</v>
      </c>
      <c r="H2146" t="s">
        <v>4932</v>
      </c>
      <c r="I2146">
        <v>0</v>
      </c>
      <c r="J2146" t="s">
        <v>97</v>
      </c>
      <c r="K2146">
        <v>0</v>
      </c>
      <c r="L2146">
        <v>0</v>
      </c>
      <c r="M2146" t="s">
        <v>11</v>
      </c>
    </row>
    <row r="2147" spans="1:13">
      <c r="A2147" s="93">
        <v>196088</v>
      </c>
      <c r="B2147" t="s">
        <v>2687</v>
      </c>
      <c r="C2147" t="s">
        <v>4920</v>
      </c>
      <c r="D2147" s="92">
        <v>0.74</v>
      </c>
      <c r="E2147" s="92">
        <v>0.65</v>
      </c>
      <c r="F2147">
        <v>1180</v>
      </c>
      <c r="G2147">
        <v>1270</v>
      </c>
      <c r="H2147" t="s">
        <v>4932</v>
      </c>
      <c r="I2147">
        <v>0</v>
      </c>
      <c r="J2147" t="s">
        <v>97</v>
      </c>
      <c r="K2147">
        <v>0</v>
      </c>
      <c r="L2147">
        <v>0</v>
      </c>
      <c r="M2147" t="s">
        <v>11</v>
      </c>
    </row>
    <row r="2148" spans="1:13">
      <c r="A2148" s="93">
        <v>196103</v>
      </c>
      <c r="B2148" t="s">
        <v>2688</v>
      </c>
      <c r="C2148" t="s">
        <v>4916</v>
      </c>
      <c r="D2148" s="92">
        <v>0.76</v>
      </c>
      <c r="E2148" s="92">
        <v>0.62</v>
      </c>
      <c r="F2148" t="s">
        <v>446</v>
      </c>
      <c r="G2148" t="s">
        <v>446</v>
      </c>
      <c r="H2148" t="s">
        <v>4932</v>
      </c>
      <c r="I2148">
        <v>0</v>
      </c>
      <c r="J2148" t="s">
        <v>97</v>
      </c>
      <c r="K2148">
        <v>0</v>
      </c>
      <c r="L2148">
        <v>0</v>
      </c>
      <c r="M2148" t="s">
        <v>11</v>
      </c>
    </row>
    <row r="2149" spans="1:13">
      <c r="A2149" s="93">
        <v>196112</v>
      </c>
      <c r="B2149" t="s">
        <v>2689</v>
      </c>
      <c r="C2149" t="s">
        <v>4916</v>
      </c>
      <c r="D2149" s="92">
        <v>0.59</v>
      </c>
      <c r="E2149" s="92">
        <v>0.51</v>
      </c>
      <c r="F2149">
        <v>1040</v>
      </c>
      <c r="G2149">
        <v>1220</v>
      </c>
      <c r="H2149" t="s">
        <v>4932</v>
      </c>
      <c r="I2149">
        <v>0</v>
      </c>
      <c r="J2149" t="s">
        <v>97</v>
      </c>
      <c r="K2149">
        <v>0</v>
      </c>
      <c r="L2149">
        <v>0</v>
      </c>
      <c r="M2149" t="s">
        <v>11</v>
      </c>
    </row>
    <row r="2150" spans="1:13">
      <c r="A2150" s="93">
        <v>196121</v>
      </c>
      <c r="B2150" t="s">
        <v>2690</v>
      </c>
      <c r="C2150" t="s">
        <v>4920</v>
      </c>
      <c r="D2150" s="92">
        <v>0.63</v>
      </c>
      <c r="E2150" s="92">
        <v>0.53</v>
      </c>
      <c r="F2150">
        <v>1040</v>
      </c>
      <c r="G2150">
        <v>1135</v>
      </c>
      <c r="H2150" t="s">
        <v>4932</v>
      </c>
      <c r="I2150">
        <v>0</v>
      </c>
      <c r="J2150" t="s">
        <v>97</v>
      </c>
      <c r="K2150">
        <v>0</v>
      </c>
      <c r="L2150">
        <v>0</v>
      </c>
      <c r="M2150" t="s">
        <v>11</v>
      </c>
    </row>
    <row r="2151" spans="1:13">
      <c r="A2151" s="93">
        <v>196130</v>
      </c>
      <c r="B2151" t="s">
        <v>2691</v>
      </c>
      <c r="C2151" t="s">
        <v>4920</v>
      </c>
      <c r="D2151" s="92">
        <v>0.41</v>
      </c>
      <c r="E2151" s="92">
        <v>0.4</v>
      </c>
      <c r="F2151">
        <v>930</v>
      </c>
      <c r="G2151">
        <v>1045</v>
      </c>
      <c r="H2151" t="s">
        <v>4932</v>
      </c>
      <c r="I2151">
        <v>0</v>
      </c>
      <c r="J2151" t="s">
        <v>97</v>
      </c>
      <c r="K2151">
        <v>0</v>
      </c>
      <c r="L2151">
        <v>0</v>
      </c>
      <c r="M2151" t="s">
        <v>11</v>
      </c>
    </row>
    <row r="2152" spans="1:13">
      <c r="A2152" s="93">
        <v>196149</v>
      </c>
      <c r="B2152" t="s">
        <v>2692</v>
      </c>
      <c r="C2152" t="s">
        <v>4916</v>
      </c>
      <c r="D2152" s="92">
        <v>0.65</v>
      </c>
      <c r="E2152" s="92">
        <v>0.58</v>
      </c>
      <c r="F2152">
        <v>1090</v>
      </c>
      <c r="G2152">
        <v>1165</v>
      </c>
      <c r="H2152" t="s">
        <v>4932</v>
      </c>
      <c r="I2152">
        <v>0</v>
      </c>
      <c r="J2152" t="s">
        <v>97</v>
      </c>
      <c r="K2152">
        <v>0</v>
      </c>
      <c r="L2152">
        <v>0</v>
      </c>
      <c r="M2152" t="s">
        <v>11</v>
      </c>
    </row>
    <row r="2153" spans="1:13">
      <c r="A2153" s="93">
        <v>196158</v>
      </c>
      <c r="B2153" t="s">
        <v>2693</v>
      </c>
      <c r="C2153" t="s">
        <v>4920</v>
      </c>
      <c r="D2153" s="92">
        <v>0.63</v>
      </c>
      <c r="E2153" s="92">
        <v>0.52</v>
      </c>
      <c r="F2153">
        <v>1090</v>
      </c>
      <c r="G2153">
        <v>1185</v>
      </c>
      <c r="H2153" t="s">
        <v>4930</v>
      </c>
      <c r="I2153">
        <v>0</v>
      </c>
      <c r="J2153" t="s">
        <v>97</v>
      </c>
      <c r="K2153">
        <v>0</v>
      </c>
      <c r="L2153">
        <v>0</v>
      </c>
      <c r="M2153" t="s">
        <v>11</v>
      </c>
    </row>
    <row r="2154" spans="1:13">
      <c r="A2154" s="93">
        <v>196167</v>
      </c>
      <c r="B2154" t="s">
        <v>2694</v>
      </c>
      <c r="C2154" t="s">
        <v>4916</v>
      </c>
      <c r="D2154" s="92">
        <v>0.76</v>
      </c>
      <c r="E2154" s="92">
        <v>0.62</v>
      </c>
      <c r="F2154">
        <v>1160</v>
      </c>
      <c r="G2154">
        <v>1240</v>
      </c>
      <c r="H2154" t="s">
        <v>4932</v>
      </c>
      <c r="I2154">
        <v>0</v>
      </c>
      <c r="J2154" t="s">
        <v>97</v>
      </c>
      <c r="K2154">
        <v>0</v>
      </c>
      <c r="L2154">
        <v>0</v>
      </c>
      <c r="M2154" t="s">
        <v>11</v>
      </c>
    </row>
    <row r="2155" spans="1:13">
      <c r="A2155" s="93">
        <v>196176</v>
      </c>
      <c r="B2155" t="s">
        <v>2695</v>
      </c>
      <c r="C2155" t="s">
        <v>4920</v>
      </c>
      <c r="D2155" s="92">
        <v>0.73</v>
      </c>
      <c r="E2155" s="92">
        <v>0.68</v>
      </c>
      <c r="F2155">
        <v>1150</v>
      </c>
      <c r="G2155">
        <v>1235</v>
      </c>
      <c r="H2155" t="s">
        <v>4932</v>
      </c>
      <c r="I2155">
        <v>0</v>
      </c>
      <c r="J2155" t="s">
        <v>97</v>
      </c>
      <c r="K2155">
        <v>0</v>
      </c>
      <c r="L2155">
        <v>0</v>
      </c>
      <c r="M2155" t="s">
        <v>11</v>
      </c>
    </row>
    <row r="2156" spans="1:13">
      <c r="A2156" s="93">
        <v>196185</v>
      </c>
      <c r="B2156" t="s">
        <v>2696</v>
      </c>
      <c r="C2156" t="s">
        <v>4920</v>
      </c>
      <c r="D2156" s="92">
        <v>0.74</v>
      </c>
      <c r="E2156" s="92">
        <v>0.71</v>
      </c>
      <c r="F2156" t="s">
        <v>446</v>
      </c>
      <c r="G2156" t="s">
        <v>446</v>
      </c>
      <c r="H2156" t="s">
        <v>4932</v>
      </c>
      <c r="I2156">
        <v>0</v>
      </c>
      <c r="J2156" t="s">
        <v>97</v>
      </c>
      <c r="K2156">
        <v>0</v>
      </c>
      <c r="L2156">
        <v>0</v>
      </c>
      <c r="M2156" t="s">
        <v>11</v>
      </c>
    </row>
    <row r="2157" spans="1:13">
      <c r="A2157" s="93">
        <v>196194</v>
      </c>
      <c r="B2157" t="s">
        <v>2697</v>
      </c>
      <c r="C2157" t="s">
        <v>4920</v>
      </c>
      <c r="D2157" s="92">
        <v>0.66</v>
      </c>
      <c r="E2157" s="92">
        <v>0.6</v>
      </c>
      <c r="F2157">
        <v>1060</v>
      </c>
      <c r="G2157">
        <v>1170</v>
      </c>
      <c r="H2157" t="s">
        <v>4932</v>
      </c>
      <c r="I2157">
        <v>0</v>
      </c>
      <c r="J2157" t="s">
        <v>97</v>
      </c>
      <c r="K2157">
        <v>0</v>
      </c>
      <c r="L2157">
        <v>0</v>
      </c>
      <c r="M2157" t="s">
        <v>11</v>
      </c>
    </row>
    <row r="2158" spans="1:13">
      <c r="A2158" s="93">
        <v>196200</v>
      </c>
      <c r="B2158" t="s">
        <v>2698</v>
      </c>
      <c r="C2158" t="s">
        <v>4920</v>
      </c>
      <c r="D2158" s="92">
        <v>0.54</v>
      </c>
      <c r="E2158" s="92">
        <v>0.43</v>
      </c>
      <c r="F2158" t="s">
        <v>446</v>
      </c>
      <c r="G2158" t="s">
        <v>446</v>
      </c>
      <c r="H2158" t="s">
        <v>4932</v>
      </c>
      <c r="I2158">
        <v>0</v>
      </c>
      <c r="J2158" t="s">
        <v>97</v>
      </c>
      <c r="K2158">
        <v>0</v>
      </c>
      <c r="L2158">
        <v>0</v>
      </c>
      <c r="M2158" t="s">
        <v>11</v>
      </c>
    </row>
    <row r="2159" spans="1:13">
      <c r="A2159" s="93">
        <v>196219</v>
      </c>
      <c r="B2159" t="s">
        <v>2699</v>
      </c>
      <c r="C2159" t="s">
        <v>4920</v>
      </c>
      <c r="D2159" s="92">
        <v>0.62</v>
      </c>
      <c r="E2159" s="92">
        <v>0.6</v>
      </c>
      <c r="F2159">
        <v>1120</v>
      </c>
      <c r="G2159">
        <v>1220</v>
      </c>
      <c r="H2159" t="s">
        <v>4932</v>
      </c>
      <c r="I2159">
        <v>0</v>
      </c>
      <c r="J2159" t="s">
        <v>97</v>
      </c>
      <c r="K2159">
        <v>0</v>
      </c>
      <c r="L2159">
        <v>0</v>
      </c>
      <c r="M2159" t="s">
        <v>11</v>
      </c>
    </row>
    <row r="2160" spans="1:13">
      <c r="A2160" s="93">
        <v>196228</v>
      </c>
      <c r="B2160" t="s">
        <v>2700</v>
      </c>
      <c r="C2160" t="s">
        <v>4924</v>
      </c>
      <c r="D2160" s="92" t="s">
        <v>446</v>
      </c>
      <c r="E2160" s="92" t="s">
        <v>446</v>
      </c>
      <c r="F2160" t="s">
        <v>446</v>
      </c>
      <c r="G2160" t="s">
        <v>446</v>
      </c>
      <c r="H2160" t="s">
        <v>4932</v>
      </c>
      <c r="I2160">
        <v>0</v>
      </c>
      <c r="J2160" t="s">
        <v>97</v>
      </c>
      <c r="K2160">
        <v>0</v>
      </c>
      <c r="L2160">
        <v>0</v>
      </c>
      <c r="M2160" t="s">
        <v>11</v>
      </c>
    </row>
    <row r="2161" spans="1:13">
      <c r="A2161" s="93">
        <v>196237</v>
      </c>
      <c r="B2161" t="s">
        <v>2701</v>
      </c>
      <c r="C2161" t="s">
        <v>4920</v>
      </c>
      <c r="D2161" s="92">
        <v>0.48</v>
      </c>
      <c r="E2161" s="92">
        <v>0.48</v>
      </c>
      <c r="F2161">
        <v>1070</v>
      </c>
      <c r="G2161">
        <v>1165</v>
      </c>
      <c r="H2161" t="s">
        <v>4932</v>
      </c>
      <c r="I2161">
        <v>0</v>
      </c>
      <c r="J2161" t="s">
        <v>97</v>
      </c>
      <c r="K2161">
        <v>0</v>
      </c>
      <c r="L2161">
        <v>0</v>
      </c>
      <c r="M2161" t="s">
        <v>11</v>
      </c>
    </row>
    <row r="2162" spans="1:13">
      <c r="A2162" s="93">
        <v>196246</v>
      </c>
      <c r="B2162" t="s">
        <v>2702</v>
      </c>
      <c r="C2162" t="s">
        <v>4920</v>
      </c>
      <c r="D2162" s="92">
        <v>0.67</v>
      </c>
      <c r="E2162" s="92">
        <v>0.64</v>
      </c>
      <c r="F2162">
        <v>1050</v>
      </c>
      <c r="G2162">
        <v>1145</v>
      </c>
      <c r="H2162" t="s">
        <v>4932</v>
      </c>
      <c r="I2162">
        <v>0</v>
      </c>
      <c r="J2162" t="s">
        <v>97</v>
      </c>
      <c r="K2162">
        <v>0</v>
      </c>
      <c r="L2162">
        <v>0</v>
      </c>
      <c r="M2162" t="s">
        <v>11</v>
      </c>
    </row>
    <row r="2163" spans="1:13">
      <c r="A2163" s="93">
        <v>196255</v>
      </c>
      <c r="B2163" t="s">
        <v>2703</v>
      </c>
      <c r="C2163" t="s">
        <v>4924</v>
      </c>
      <c r="D2163" s="92" t="s">
        <v>446</v>
      </c>
      <c r="E2163" s="92" t="s">
        <v>446</v>
      </c>
      <c r="F2163" t="s">
        <v>446</v>
      </c>
      <c r="G2163" t="s">
        <v>446</v>
      </c>
      <c r="H2163" t="s">
        <v>4932</v>
      </c>
      <c r="I2163">
        <v>0</v>
      </c>
      <c r="J2163" t="s">
        <v>97</v>
      </c>
      <c r="K2163">
        <v>0</v>
      </c>
      <c r="L2163">
        <v>0</v>
      </c>
      <c r="M2163" t="s">
        <v>11</v>
      </c>
    </row>
    <row r="2164" spans="1:13">
      <c r="A2164" s="93">
        <v>196264</v>
      </c>
      <c r="B2164" t="s">
        <v>2704</v>
      </c>
      <c r="C2164" t="s">
        <v>4926</v>
      </c>
      <c r="D2164" s="92">
        <v>0.21</v>
      </c>
      <c r="E2164" s="92">
        <v>0.2</v>
      </c>
      <c r="F2164" t="s">
        <v>446</v>
      </c>
      <c r="G2164" t="s">
        <v>446</v>
      </c>
      <c r="H2164" t="s">
        <v>4932</v>
      </c>
      <c r="I2164">
        <v>0</v>
      </c>
      <c r="J2164" t="s">
        <v>97</v>
      </c>
      <c r="K2164">
        <v>0</v>
      </c>
      <c r="L2164">
        <v>0</v>
      </c>
      <c r="M2164" t="s">
        <v>11</v>
      </c>
    </row>
    <row r="2165" spans="1:13">
      <c r="A2165" s="93">
        <v>196291</v>
      </c>
      <c r="B2165" t="s">
        <v>2705</v>
      </c>
      <c r="C2165" t="s">
        <v>4920</v>
      </c>
      <c r="D2165" s="92">
        <v>0.74</v>
      </c>
      <c r="E2165" s="92">
        <v>0.66</v>
      </c>
      <c r="F2165">
        <v>1100</v>
      </c>
      <c r="G2165">
        <v>1195</v>
      </c>
      <c r="H2165" t="s">
        <v>4932</v>
      </c>
      <c r="I2165">
        <v>0</v>
      </c>
      <c r="J2165" t="s">
        <v>97</v>
      </c>
      <c r="K2165">
        <v>0</v>
      </c>
      <c r="L2165">
        <v>0</v>
      </c>
      <c r="M2165" t="s">
        <v>11</v>
      </c>
    </row>
    <row r="2166" spans="1:13">
      <c r="A2166" s="93">
        <v>196307</v>
      </c>
      <c r="B2166" t="s">
        <v>2706</v>
      </c>
      <c r="C2166" t="s">
        <v>4924</v>
      </c>
      <c r="D2166" s="92" t="s">
        <v>446</v>
      </c>
      <c r="E2166" s="92" t="s">
        <v>446</v>
      </c>
      <c r="F2166" t="s">
        <v>446</v>
      </c>
      <c r="G2166" t="s">
        <v>446</v>
      </c>
      <c r="H2166" t="s">
        <v>4932</v>
      </c>
      <c r="I2166">
        <v>0</v>
      </c>
      <c r="J2166" t="s">
        <v>97</v>
      </c>
      <c r="K2166">
        <v>0</v>
      </c>
      <c r="L2166">
        <v>0</v>
      </c>
      <c r="M2166" t="s">
        <v>11</v>
      </c>
    </row>
    <row r="2167" spans="1:13">
      <c r="A2167" s="93">
        <v>196389</v>
      </c>
      <c r="B2167" t="s">
        <v>2707</v>
      </c>
      <c r="C2167" t="s">
        <v>4919</v>
      </c>
      <c r="D2167" s="92">
        <v>0.52</v>
      </c>
      <c r="E2167" s="92">
        <v>0.54</v>
      </c>
      <c r="F2167" t="s">
        <v>446</v>
      </c>
      <c r="G2167" t="s">
        <v>446</v>
      </c>
      <c r="H2167" t="s">
        <v>4930</v>
      </c>
      <c r="I2167">
        <v>0</v>
      </c>
      <c r="J2167" t="s">
        <v>97</v>
      </c>
      <c r="K2167">
        <v>0</v>
      </c>
      <c r="L2167">
        <v>0</v>
      </c>
      <c r="M2167" t="s">
        <v>11</v>
      </c>
    </row>
    <row r="2168" spans="1:13">
      <c r="A2168" s="93">
        <v>196431</v>
      </c>
      <c r="B2168" t="s">
        <v>2708</v>
      </c>
      <c r="C2168" t="s">
        <v>4924</v>
      </c>
      <c r="D2168" s="92">
        <v>0.11</v>
      </c>
      <c r="E2168" s="92" t="s">
        <v>446</v>
      </c>
      <c r="F2168" t="s">
        <v>446</v>
      </c>
      <c r="G2168" t="s">
        <v>446</v>
      </c>
      <c r="H2168" t="s">
        <v>4931</v>
      </c>
      <c r="I2168">
        <v>0</v>
      </c>
      <c r="J2168" t="s">
        <v>97</v>
      </c>
      <c r="K2168">
        <v>0</v>
      </c>
      <c r="L2168">
        <v>0</v>
      </c>
      <c r="M2168" t="s">
        <v>11</v>
      </c>
    </row>
    <row r="2169" spans="1:13">
      <c r="A2169" s="93">
        <v>196440</v>
      </c>
      <c r="B2169" t="s">
        <v>2709</v>
      </c>
      <c r="C2169" t="s">
        <v>4924</v>
      </c>
      <c r="D2169" s="92">
        <v>0.14</v>
      </c>
      <c r="E2169" s="92" t="s">
        <v>446</v>
      </c>
      <c r="F2169" t="s">
        <v>446</v>
      </c>
      <c r="G2169" t="s">
        <v>446</v>
      </c>
      <c r="H2169" t="s">
        <v>4932</v>
      </c>
      <c r="I2169">
        <v>0</v>
      </c>
      <c r="J2169" t="s">
        <v>97</v>
      </c>
      <c r="K2169">
        <v>0</v>
      </c>
      <c r="L2169">
        <v>0</v>
      </c>
      <c r="M2169" t="s">
        <v>11</v>
      </c>
    </row>
    <row r="2170" spans="1:13">
      <c r="A2170" s="93">
        <v>196565</v>
      </c>
      <c r="B2170" t="s">
        <v>2710</v>
      </c>
      <c r="C2170" t="s">
        <v>4919</v>
      </c>
      <c r="D2170" s="92">
        <v>0.35</v>
      </c>
      <c r="E2170" s="92">
        <v>0.3</v>
      </c>
      <c r="F2170" t="s">
        <v>446</v>
      </c>
      <c r="G2170" t="s">
        <v>446</v>
      </c>
      <c r="H2170" t="s">
        <v>4932</v>
      </c>
      <c r="I2170">
        <v>0</v>
      </c>
      <c r="J2170" t="s">
        <v>97</v>
      </c>
      <c r="K2170">
        <v>0</v>
      </c>
      <c r="L2170">
        <v>0</v>
      </c>
      <c r="M2170" t="s">
        <v>11</v>
      </c>
    </row>
    <row r="2171" spans="1:13">
      <c r="A2171" s="93">
        <v>196583</v>
      </c>
      <c r="B2171" t="s">
        <v>2711</v>
      </c>
      <c r="C2171" t="s">
        <v>4924</v>
      </c>
      <c r="D2171" s="92">
        <v>0.2</v>
      </c>
      <c r="E2171" s="92" t="s">
        <v>446</v>
      </c>
      <c r="F2171" t="s">
        <v>446</v>
      </c>
      <c r="G2171" t="s">
        <v>446</v>
      </c>
      <c r="H2171" t="s">
        <v>4930</v>
      </c>
      <c r="I2171">
        <v>0</v>
      </c>
      <c r="J2171" t="s">
        <v>97</v>
      </c>
      <c r="K2171">
        <v>0</v>
      </c>
      <c r="L2171">
        <v>0</v>
      </c>
      <c r="M2171" t="s">
        <v>11</v>
      </c>
    </row>
    <row r="2172" spans="1:13">
      <c r="A2172" s="93">
        <v>196592</v>
      </c>
      <c r="B2172" t="s">
        <v>2712</v>
      </c>
      <c r="C2172" t="s">
        <v>4916</v>
      </c>
      <c r="D2172" s="92">
        <v>0.65</v>
      </c>
      <c r="E2172" s="92">
        <v>0.39</v>
      </c>
      <c r="F2172" t="s">
        <v>446</v>
      </c>
      <c r="G2172" t="s">
        <v>446</v>
      </c>
      <c r="H2172" t="s">
        <v>4930</v>
      </c>
      <c r="I2172">
        <v>0</v>
      </c>
      <c r="J2172" t="s">
        <v>97</v>
      </c>
      <c r="K2172">
        <v>0</v>
      </c>
      <c r="L2172">
        <v>0</v>
      </c>
      <c r="M2172" t="s">
        <v>11</v>
      </c>
    </row>
    <row r="2173" spans="1:13">
      <c r="A2173" s="93">
        <v>196653</v>
      </c>
      <c r="B2173" t="s">
        <v>2713</v>
      </c>
      <c r="C2173" t="s">
        <v>4923</v>
      </c>
      <c r="D2173" s="92" t="s">
        <v>446</v>
      </c>
      <c r="E2173" s="92" t="s">
        <v>446</v>
      </c>
      <c r="F2173" t="s">
        <v>446</v>
      </c>
      <c r="G2173" t="s">
        <v>446</v>
      </c>
      <c r="H2173" t="s">
        <v>4929</v>
      </c>
      <c r="I2173">
        <v>1</v>
      </c>
      <c r="J2173" t="s">
        <v>97</v>
      </c>
      <c r="K2173">
        <v>0</v>
      </c>
      <c r="L2173">
        <v>0</v>
      </c>
      <c r="M2173" t="s">
        <v>11</v>
      </c>
    </row>
    <row r="2174" spans="1:13">
      <c r="A2174" s="93">
        <v>196680</v>
      </c>
      <c r="B2174" t="s">
        <v>2714</v>
      </c>
      <c r="C2174" t="s">
        <v>4926</v>
      </c>
      <c r="D2174" s="92" t="s">
        <v>446</v>
      </c>
      <c r="E2174" s="92" t="s">
        <v>446</v>
      </c>
      <c r="F2174" t="s">
        <v>446</v>
      </c>
      <c r="G2174" t="s">
        <v>446</v>
      </c>
      <c r="H2174" t="s">
        <v>4932</v>
      </c>
      <c r="I2174">
        <v>0</v>
      </c>
      <c r="J2174" t="s">
        <v>97</v>
      </c>
      <c r="K2174">
        <v>0</v>
      </c>
      <c r="L2174">
        <v>0</v>
      </c>
      <c r="M2174" t="s">
        <v>11</v>
      </c>
    </row>
    <row r="2175" spans="1:13">
      <c r="A2175" s="93">
        <v>196699</v>
      </c>
      <c r="B2175" t="s">
        <v>2715</v>
      </c>
      <c r="C2175" t="s">
        <v>4919</v>
      </c>
      <c r="D2175" s="92">
        <v>0.37</v>
      </c>
      <c r="E2175" s="92">
        <v>0.34</v>
      </c>
      <c r="F2175" t="s">
        <v>446</v>
      </c>
      <c r="G2175" t="s">
        <v>446</v>
      </c>
      <c r="H2175" t="s">
        <v>4932</v>
      </c>
      <c r="I2175">
        <v>0</v>
      </c>
      <c r="J2175" t="s">
        <v>97</v>
      </c>
      <c r="K2175">
        <v>0</v>
      </c>
      <c r="L2175">
        <v>0</v>
      </c>
      <c r="M2175" t="s">
        <v>11</v>
      </c>
    </row>
    <row r="2176" spans="1:13">
      <c r="A2176" s="93">
        <v>196884</v>
      </c>
      <c r="B2176" t="s">
        <v>2716</v>
      </c>
      <c r="C2176" t="s">
        <v>4924</v>
      </c>
      <c r="D2176" s="92" t="s">
        <v>446</v>
      </c>
      <c r="E2176" s="92" t="s">
        <v>446</v>
      </c>
      <c r="F2176" t="s">
        <v>446</v>
      </c>
      <c r="G2176" t="s">
        <v>446</v>
      </c>
      <c r="H2176" t="s">
        <v>4932</v>
      </c>
      <c r="I2176">
        <v>0</v>
      </c>
      <c r="J2176" t="s">
        <v>97</v>
      </c>
      <c r="K2176">
        <v>0</v>
      </c>
      <c r="L2176">
        <v>0</v>
      </c>
      <c r="M2176" t="s">
        <v>11</v>
      </c>
    </row>
    <row r="2177" spans="1:13">
      <c r="A2177" s="93">
        <v>197018</v>
      </c>
      <c r="B2177" t="s">
        <v>2717</v>
      </c>
      <c r="C2177" t="s">
        <v>4923</v>
      </c>
      <c r="D2177" s="92">
        <v>0.5</v>
      </c>
      <c r="E2177" s="92">
        <v>0.47</v>
      </c>
      <c r="F2177" t="s">
        <v>446</v>
      </c>
      <c r="G2177" t="s">
        <v>446</v>
      </c>
      <c r="H2177" t="s">
        <v>4931</v>
      </c>
      <c r="I2177">
        <v>0</v>
      </c>
      <c r="J2177" t="s">
        <v>97</v>
      </c>
      <c r="K2177">
        <v>0</v>
      </c>
      <c r="L2177">
        <v>0</v>
      </c>
      <c r="M2177" t="s">
        <v>11</v>
      </c>
    </row>
    <row r="2178" spans="1:13">
      <c r="A2178" s="93">
        <v>197036</v>
      </c>
      <c r="B2178" t="s">
        <v>2718</v>
      </c>
      <c r="C2178" t="s">
        <v>4917</v>
      </c>
      <c r="D2178" s="92">
        <v>0.84</v>
      </c>
      <c r="E2178" s="92">
        <v>0.73</v>
      </c>
      <c r="F2178">
        <v>1200</v>
      </c>
      <c r="G2178">
        <v>1320</v>
      </c>
      <c r="H2178" t="s">
        <v>4932</v>
      </c>
      <c r="I2178">
        <v>0</v>
      </c>
      <c r="J2178" t="s">
        <v>97</v>
      </c>
      <c r="K2178">
        <v>0</v>
      </c>
      <c r="L2178">
        <v>0</v>
      </c>
      <c r="M2178" t="s">
        <v>11</v>
      </c>
    </row>
    <row r="2179" spans="1:13">
      <c r="A2179" s="93">
        <v>197133</v>
      </c>
      <c r="B2179" t="s">
        <v>2719</v>
      </c>
      <c r="C2179" t="s">
        <v>4921</v>
      </c>
      <c r="D2179" s="92">
        <v>0.93</v>
      </c>
      <c r="E2179" s="92">
        <v>0.91</v>
      </c>
      <c r="F2179">
        <v>1420</v>
      </c>
      <c r="G2179">
        <v>1480</v>
      </c>
      <c r="H2179" t="s">
        <v>4931</v>
      </c>
      <c r="I2179">
        <v>0</v>
      </c>
      <c r="J2179" t="s">
        <v>97</v>
      </c>
      <c r="K2179">
        <v>0</v>
      </c>
      <c r="L2179">
        <v>0</v>
      </c>
      <c r="M2179" t="s">
        <v>11</v>
      </c>
    </row>
    <row r="2180" spans="1:13">
      <c r="A2180" s="93">
        <v>197142</v>
      </c>
      <c r="B2180" t="s">
        <v>2720</v>
      </c>
      <c r="C2180" t="s">
        <v>4924</v>
      </c>
      <c r="D2180" s="92">
        <v>0.34</v>
      </c>
      <c r="E2180" s="92">
        <v>0.17</v>
      </c>
      <c r="F2180">
        <v>800</v>
      </c>
      <c r="G2180">
        <v>955</v>
      </c>
      <c r="H2180" t="s">
        <v>4931</v>
      </c>
      <c r="I2180">
        <v>0</v>
      </c>
      <c r="J2180" t="s">
        <v>97</v>
      </c>
      <c r="K2180">
        <v>0</v>
      </c>
      <c r="L2180">
        <v>0</v>
      </c>
      <c r="M2180" t="s">
        <v>11</v>
      </c>
    </row>
    <row r="2181" spans="1:13">
      <c r="A2181" s="93">
        <v>197151</v>
      </c>
      <c r="B2181" t="s">
        <v>2721</v>
      </c>
      <c r="C2181" t="s">
        <v>4926</v>
      </c>
      <c r="D2181" s="92">
        <v>0.72</v>
      </c>
      <c r="E2181" s="92">
        <v>0.63</v>
      </c>
      <c r="F2181">
        <v>1140</v>
      </c>
      <c r="G2181">
        <v>1250</v>
      </c>
      <c r="H2181" t="s">
        <v>4930</v>
      </c>
      <c r="I2181">
        <v>0</v>
      </c>
      <c r="J2181" t="s">
        <v>97</v>
      </c>
      <c r="K2181">
        <v>0</v>
      </c>
      <c r="L2181">
        <v>0</v>
      </c>
      <c r="M2181" t="s">
        <v>11</v>
      </c>
    </row>
    <row r="2182" spans="1:13">
      <c r="A2182" s="93">
        <v>197197</v>
      </c>
      <c r="B2182" t="s">
        <v>2722</v>
      </c>
      <c r="C2182" t="s">
        <v>4920</v>
      </c>
      <c r="D2182" s="92">
        <v>0.71</v>
      </c>
      <c r="E2182" s="92">
        <v>0.62</v>
      </c>
      <c r="F2182" t="s">
        <v>446</v>
      </c>
      <c r="G2182" t="s">
        <v>446</v>
      </c>
      <c r="H2182" t="s">
        <v>4930</v>
      </c>
      <c r="I2182">
        <v>0</v>
      </c>
      <c r="J2182" t="s">
        <v>97</v>
      </c>
      <c r="K2182">
        <v>0</v>
      </c>
      <c r="L2182">
        <v>0</v>
      </c>
      <c r="M2182" t="s">
        <v>11</v>
      </c>
    </row>
    <row r="2183" spans="1:13">
      <c r="A2183" s="93">
        <v>197221</v>
      </c>
      <c r="B2183" t="s">
        <v>2723</v>
      </c>
      <c r="C2183" t="s">
        <v>4921</v>
      </c>
      <c r="D2183" s="92">
        <v>0.8</v>
      </c>
      <c r="E2183" s="92" t="s">
        <v>446</v>
      </c>
      <c r="F2183">
        <v>1390</v>
      </c>
      <c r="G2183">
        <v>1450</v>
      </c>
      <c r="H2183" t="s">
        <v>4932</v>
      </c>
      <c r="I2183">
        <v>0</v>
      </c>
      <c r="J2183" t="s">
        <v>97</v>
      </c>
      <c r="K2183">
        <v>0</v>
      </c>
      <c r="L2183">
        <v>0</v>
      </c>
      <c r="M2183" t="s">
        <v>11</v>
      </c>
    </row>
    <row r="2184" spans="1:13">
      <c r="A2184" s="93">
        <v>197285</v>
      </c>
      <c r="B2184" t="s">
        <v>2724</v>
      </c>
      <c r="C2184" t="s">
        <v>4924</v>
      </c>
      <c r="D2184" s="92">
        <v>0.54</v>
      </c>
      <c r="E2184" s="92">
        <v>0.52</v>
      </c>
      <c r="F2184" t="s">
        <v>446</v>
      </c>
      <c r="G2184" t="s">
        <v>446</v>
      </c>
      <c r="H2184" t="s">
        <v>4931</v>
      </c>
      <c r="I2184">
        <v>0</v>
      </c>
      <c r="J2184" t="s">
        <v>97</v>
      </c>
      <c r="K2184">
        <v>0</v>
      </c>
      <c r="L2184">
        <v>0</v>
      </c>
      <c r="M2184" t="s">
        <v>11</v>
      </c>
    </row>
    <row r="2185" spans="1:13">
      <c r="A2185" s="93">
        <v>197294</v>
      </c>
      <c r="B2185" t="s">
        <v>2725</v>
      </c>
      <c r="C2185" t="s">
        <v>4919</v>
      </c>
      <c r="D2185" s="92">
        <v>0.31</v>
      </c>
      <c r="E2185" s="92">
        <v>0.28</v>
      </c>
      <c r="F2185" t="s">
        <v>446</v>
      </c>
      <c r="G2185" t="s">
        <v>446</v>
      </c>
      <c r="H2185" t="s">
        <v>4932</v>
      </c>
      <c r="I2185">
        <v>0</v>
      </c>
      <c r="J2185" t="s">
        <v>97</v>
      </c>
      <c r="K2185">
        <v>0</v>
      </c>
      <c r="L2185">
        <v>0</v>
      </c>
      <c r="M2185" t="s">
        <v>11</v>
      </c>
    </row>
    <row r="2186" spans="1:13">
      <c r="A2186" s="93">
        <v>197531</v>
      </c>
      <c r="B2186" t="s">
        <v>2726</v>
      </c>
      <c r="C2186" t="s">
        <v>4919</v>
      </c>
      <c r="D2186" s="92">
        <v>0.85</v>
      </c>
      <c r="E2186" s="92">
        <v>0.8</v>
      </c>
      <c r="F2186" t="s">
        <v>446</v>
      </c>
      <c r="G2186" t="s">
        <v>446</v>
      </c>
      <c r="H2186" t="s">
        <v>4929</v>
      </c>
      <c r="I2186">
        <v>1</v>
      </c>
      <c r="J2186" t="s">
        <v>97</v>
      </c>
      <c r="K2186">
        <v>0</v>
      </c>
      <c r="L2186">
        <v>0</v>
      </c>
      <c r="M2186" t="s">
        <v>11</v>
      </c>
    </row>
    <row r="2187" spans="1:13">
      <c r="A2187" s="93">
        <v>197601</v>
      </c>
      <c r="B2187" t="s">
        <v>2727</v>
      </c>
      <c r="C2187" t="s">
        <v>4924</v>
      </c>
      <c r="D2187" s="92">
        <v>0.5</v>
      </c>
      <c r="E2187" s="92" t="s">
        <v>446</v>
      </c>
      <c r="F2187" t="s">
        <v>446</v>
      </c>
      <c r="G2187" t="s">
        <v>446</v>
      </c>
      <c r="H2187" t="s">
        <v>4931</v>
      </c>
      <c r="I2187">
        <v>0</v>
      </c>
      <c r="J2187" t="s">
        <v>97</v>
      </c>
      <c r="K2187">
        <v>0</v>
      </c>
      <c r="L2187">
        <v>0</v>
      </c>
      <c r="M2187" t="s">
        <v>11</v>
      </c>
    </row>
    <row r="2188" spans="1:13">
      <c r="A2188" s="93">
        <v>197647</v>
      </c>
      <c r="B2188" t="s">
        <v>2728</v>
      </c>
      <c r="C2188" t="s">
        <v>4924</v>
      </c>
      <c r="D2188" s="92">
        <v>0.27</v>
      </c>
      <c r="E2188" s="92" t="s">
        <v>446</v>
      </c>
      <c r="F2188" t="s">
        <v>446</v>
      </c>
      <c r="G2188" t="s">
        <v>446</v>
      </c>
      <c r="H2188" t="s">
        <v>4931</v>
      </c>
      <c r="I2188">
        <v>0</v>
      </c>
      <c r="J2188" t="s">
        <v>97</v>
      </c>
      <c r="K2188">
        <v>0</v>
      </c>
      <c r="L2188">
        <v>0</v>
      </c>
      <c r="M2188" t="s">
        <v>11</v>
      </c>
    </row>
    <row r="2189" spans="1:13">
      <c r="A2189" s="93">
        <v>197674</v>
      </c>
      <c r="B2189" t="s">
        <v>2729</v>
      </c>
      <c r="C2189" t="s">
        <v>4923</v>
      </c>
      <c r="D2189" s="92">
        <v>0.15</v>
      </c>
      <c r="E2189" s="92" t="s">
        <v>446</v>
      </c>
      <c r="F2189" t="s">
        <v>446</v>
      </c>
      <c r="G2189" t="s">
        <v>446</v>
      </c>
      <c r="H2189" t="s">
        <v>4931</v>
      </c>
      <c r="I2189">
        <v>0</v>
      </c>
      <c r="J2189" t="s">
        <v>97</v>
      </c>
      <c r="K2189">
        <v>0</v>
      </c>
      <c r="L2189">
        <v>0</v>
      </c>
      <c r="M2189" t="s">
        <v>11</v>
      </c>
    </row>
    <row r="2190" spans="1:13">
      <c r="A2190" s="93">
        <v>197692</v>
      </c>
      <c r="B2190" t="s">
        <v>2730</v>
      </c>
      <c r="C2190" t="s">
        <v>4924</v>
      </c>
      <c r="D2190" s="92">
        <v>0.39</v>
      </c>
      <c r="E2190" s="92" t="s">
        <v>446</v>
      </c>
      <c r="F2190" t="s">
        <v>446</v>
      </c>
      <c r="G2190" t="s">
        <v>446</v>
      </c>
      <c r="H2190" t="s">
        <v>4932</v>
      </c>
      <c r="I2190">
        <v>0</v>
      </c>
      <c r="J2190" t="s">
        <v>97</v>
      </c>
      <c r="K2190">
        <v>0</v>
      </c>
      <c r="L2190">
        <v>0</v>
      </c>
      <c r="M2190" t="s">
        <v>11</v>
      </c>
    </row>
    <row r="2191" spans="1:13">
      <c r="A2191" s="93">
        <v>197708</v>
      </c>
      <c r="B2191" t="s">
        <v>2731</v>
      </c>
      <c r="C2191" t="s">
        <v>4916</v>
      </c>
      <c r="D2191" s="92">
        <v>0.8</v>
      </c>
      <c r="E2191" s="92">
        <v>0.71</v>
      </c>
      <c r="F2191" t="s">
        <v>446</v>
      </c>
      <c r="G2191" t="s">
        <v>446</v>
      </c>
      <c r="H2191" t="s">
        <v>4930</v>
      </c>
      <c r="I2191">
        <v>0</v>
      </c>
      <c r="J2191" t="s">
        <v>97</v>
      </c>
      <c r="K2191">
        <v>0</v>
      </c>
      <c r="L2191">
        <v>0</v>
      </c>
      <c r="M2191" t="s">
        <v>11</v>
      </c>
    </row>
    <row r="2192" spans="1:13">
      <c r="A2192" s="93">
        <v>197735</v>
      </c>
      <c r="B2192" t="s">
        <v>2732</v>
      </c>
      <c r="C2192" t="s">
        <v>4924</v>
      </c>
      <c r="D2192" s="92">
        <v>0.7</v>
      </c>
      <c r="E2192" s="92" t="s">
        <v>446</v>
      </c>
      <c r="F2192" t="s">
        <v>446</v>
      </c>
      <c r="G2192" t="s">
        <v>446</v>
      </c>
      <c r="H2192" t="s">
        <v>4931</v>
      </c>
      <c r="I2192">
        <v>0</v>
      </c>
      <c r="J2192" t="s">
        <v>97</v>
      </c>
      <c r="K2192">
        <v>0</v>
      </c>
      <c r="L2192">
        <v>0</v>
      </c>
      <c r="M2192" t="s">
        <v>11</v>
      </c>
    </row>
    <row r="2193" spans="1:13">
      <c r="A2193" s="93">
        <v>197744</v>
      </c>
      <c r="B2193" t="s">
        <v>2733</v>
      </c>
      <c r="C2193" t="s">
        <v>4924</v>
      </c>
      <c r="D2193" s="92" t="s">
        <v>446</v>
      </c>
      <c r="E2193" s="92" t="s">
        <v>446</v>
      </c>
      <c r="F2193" t="s">
        <v>446</v>
      </c>
      <c r="G2193" t="s">
        <v>446</v>
      </c>
      <c r="H2193" t="s">
        <v>4931</v>
      </c>
      <c r="I2193">
        <v>0</v>
      </c>
      <c r="J2193" t="s">
        <v>97</v>
      </c>
      <c r="K2193">
        <v>0</v>
      </c>
      <c r="L2193">
        <v>0</v>
      </c>
      <c r="M2193" t="s">
        <v>11</v>
      </c>
    </row>
    <row r="2194" spans="1:13">
      <c r="A2194" s="93">
        <v>197814</v>
      </c>
      <c r="B2194" t="s">
        <v>2734</v>
      </c>
      <c r="C2194" t="s">
        <v>4919</v>
      </c>
      <c r="D2194" s="92">
        <v>0.45</v>
      </c>
      <c r="E2194" s="92">
        <v>0.41</v>
      </c>
      <c r="F2194" t="s">
        <v>446</v>
      </c>
      <c r="G2194" t="s">
        <v>446</v>
      </c>
      <c r="H2194" t="s">
        <v>4932</v>
      </c>
      <c r="I2194">
        <v>0</v>
      </c>
      <c r="J2194" t="s">
        <v>97</v>
      </c>
      <c r="K2194">
        <v>0</v>
      </c>
      <c r="L2194">
        <v>0</v>
      </c>
      <c r="M2194" t="s">
        <v>11</v>
      </c>
    </row>
    <row r="2195" spans="1:13">
      <c r="A2195" s="93">
        <v>197850</v>
      </c>
      <c r="B2195" t="s">
        <v>2735</v>
      </c>
      <c r="C2195" t="s">
        <v>4919</v>
      </c>
      <c r="D2195" s="92">
        <v>0.33</v>
      </c>
      <c r="E2195" s="92">
        <v>0.26</v>
      </c>
      <c r="F2195" t="s">
        <v>446</v>
      </c>
      <c r="G2195" t="s">
        <v>446</v>
      </c>
      <c r="H2195" t="s">
        <v>4932</v>
      </c>
      <c r="I2195">
        <v>0</v>
      </c>
      <c r="J2195" t="s">
        <v>97</v>
      </c>
      <c r="K2195">
        <v>0</v>
      </c>
      <c r="L2195">
        <v>0</v>
      </c>
      <c r="M2195" t="s">
        <v>11</v>
      </c>
    </row>
    <row r="2196" spans="1:13">
      <c r="A2196" s="93">
        <v>197869</v>
      </c>
      <c r="B2196" t="s">
        <v>2736</v>
      </c>
      <c r="C2196" t="s">
        <v>4916</v>
      </c>
      <c r="D2196" s="92">
        <v>0.73</v>
      </c>
      <c r="E2196" s="92">
        <v>0.66</v>
      </c>
      <c r="F2196">
        <v>1180</v>
      </c>
      <c r="G2196">
        <v>1260</v>
      </c>
      <c r="H2196" t="s">
        <v>4932</v>
      </c>
      <c r="I2196">
        <v>0</v>
      </c>
      <c r="J2196" t="s">
        <v>97</v>
      </c>
      <c r="K2196">
        <v>0</v>
      </c>
      <c r="L2196">
        <v>0</v>
      </c>
      <c r="M2196" t="s">
        <v>11</v>
      </c>
    </row>
    <row r="2197" spans="1:13">
      <c r="A2197" s="93">
        <v>197887</v>
      </c>
      <c r="B2197" t="s">
        <v>2737</v>
      </c>
      <c r="C2197" t="s">
        <v>4919</v>
      </c>
      <c r="D2197" s="92">
        <v>0.39</v>
      </c>
      <c r="E2197" s="92">
        <v>0.31</v>
      </c>
      <c r="F2197" t="s">
        <v>446</v>
      </c>
      <c r="G2197" t="s">
        <v>446</v>
      </c>
      <c r="H2197" t="s">
        <v>4932</v>
      </c>
      <c r="I2197">
        <v>0</v>
      </c>
      <c r="J2197" t="s">
        <v>97</v>
      </c>
      <c r="K2197">
        <v>0</v>
      </c>
      <c r="L2197">
        <v>0</v>
      </c>
      <c r="M2197" t="s">
        <v>11</v>
      </c>
    </row>
    <row r="2198" spans="1:13">
      <c r="A2198" s="93">
        <v>197911</v>
      </c>
      <c r="B2198" t="s">
        <v>2738</v>
      </c>
      <c r="C2198" t="s">
        <v>4918</v>
      </c>
      <c r="D2198" s="92">
        <v>0.53</v>
      </c>
      <c r="E2198" s="92">
        <v>0.42</v>
      </c>
      <c r="F2198">
        <v>930</v>
      </c>
      <c r="G2198">
        <v>1035</v>
      </c>
      <c r="H2198" t="s">
        <v>4930</v>
      </c>
      <c r="I2198">
        <v>0</v>
      </c>
      <c r="J2198" t="s">
        <v>97</v>
      </c>
      <c r="K2198">
        <v>0</v>
      </c>
      <c r="L2198">
        <v>0</v>
      </c>
      <c r="M2198" t="s">
        <v>11</v>
      </c>
    </row>
    <row r="2199" spans="1:13">
      <c r="A2199" s="93">
        <v>197966</v>
      </c>
      <c r="B2199" t="s">
        <v>2739</v>
      </c>
      <c r="C2199" t="s">
        <v>4919</v>
      </c>
      <c r="D2199" s="92" t="s">
        <v>446</v>
      </c>
      <c r="E2199" s="92" t="s">
        <v>446</v>
      </c>
      <c r="F2199" t="s">
        <v>446</v>
      </c>
      <c r="G2199" t="s">
        <v>446</v>
      </c>
      <c r="H2199" t="s">
        <v>4932</v>
      </c>
      <c r="I2199">
        <v>0</v>
      </c>
      <c r="J2199" t="s">
        <v>97</v>
      </c>
      <c r="K2199">
        <v>0</v>
      </c>
      <c r="L2199">
        <v>0</v>
      </c>
      <c r="M2199" t="s">
        <v>11</v>
      </c>
    </row>
    <row r="2200" spans="1:13">
      <c r="A2200" s="93">
        <v>197984</v>
      </c>
      <c r="B2200" t="s">
        <v>531</v>
      </c>
      <c r="C2200" t="s">
        <v>4920</v>
      </c>
      <c r="D2200" s="92">
        <v>0.45</v>
      </c>
      <c r="E2200" s="92">
        <v>0.32</v>
      </c>
      <c r="F2200">
        <v>1030</v>
      </c>
      <c r="G2200">
        <v>1120</v>
      </c>
      <c r="H2200" t="s">
        <v>4930</v>
      </c>
      <c r="I2200">
        <v>0</v>
      </c>
      <c r="J2200" t="s">
        <v>97</v>
      </c>
      <c r="K2200">
        <v>0</v>
      </c>
      <c r="L2200">
        <v>0</v>
      </c>
      <c r="M2200" t="s">
        <v>11</v>
      </c>
    </row>
    <row r="2201" spans="1:13">
      <c r="A2201" s="93">
        <v>198011</v>
      </c>
      <c r="B2201" t="s">
        <v>2740</v>
      </c>
      <c r="C2201" t="s">
        <v>4919</v>
      </c>
      <c r="D2201" s="92" t="s">
        <v>446</v>
      </c>
      <c r="E2201" s="92" t="s">
        <v>446</v>
      </c>
      <c r="F2201" t="s">
        <v>446</v>
      </c>
      <c r="G2201" t="s">
        <v>446</v>
      </c>
      <c r="H2201" t="s">
        <v>4932</v>
      </c>
      <c r="I2201">
        <v>0</v>
      </c>
      <c r="J2201" t="s">
        <v>97</v>
      </c>
      <c r="K2201">
        <v>0</v>
      </c>
      <c r="L2201">
        <v>0</v>
      </c>
      <c r="M2201" t="s">
        <v>11</v>
      </c>
    </row>
    <row r="2202" spans="1:13">
      <c r="A2202" s="93">
        <v>198039</v>
      </c>
      <c r="B2202" t="s">
        <v>2741</v>
      </c>
      <c r="C2202" t="s">
        <v>4919</v>
      </c>
      <c r="D2202" s="92">
        <v>0.52</v>
      </c>
      <c r="E2202" s="92">
        <v>0.43</v>
      </c>
      <c r="F2202" t="s">
        <v>446</v>
      </c>
      <c r="G2202" t="s">
        <v>446</v>
      </c>
      <c r="H2202" t="s">
        <v>4932</v>
      </c>
      <c r="I2202">
        <v>0</v>
      </c>
      <c r="J2202" t="s">
        <v>97</v>
      </c>
      <c r="K2202">
        <v>0</v>
      </c>
      <c r="L2202">
        <v>0</v>
      </c>
      <c r="M2202" t="s">
        <v>11</v>
      </c>
    </row>
    <row r="2203" spans="1:13">
      <c r="A2203" s="93">
        <v>198066</v>
      </c>
      <c r="B2203" t="s">
        <v>2742</v>
      </c>
      <c r="C2203" t="s">
        <v>4924</v>
      </c>
      <c r="D2203" s="92">
        <v>0.37</v>
      </c>
      <c r="E2203" s="92">
        <v>0.17</v>
      </c>
      <c r="F2203" t="s">
        <v>446</v>
      </c>
      <c r="G2203" t="s">
        <v>446</v>
      </c>
      <c r="H2203" t="s">
        <v>4930</v>
      </c>
      <c r="I2203">
        <v>0</v>
      </c>
      <c r="J2203" t="s">
        <v>97</v>
      </c>
      <c r="K2203">
        <v>0</v>
      </c>
      <c r="L2203">
        <v>0</v>
      </c>
      <c r="M2203" t="s">
        <v>11</v>
      </c>
    </row>
    <row r="2204" spans="1:13">
      <c r="A2204" s="93">
        <v>198084</v>
      </c>
      <c r="B2204" t="s">
        <v>2743</v>
      </c>
      <c r="C2204" t="s">
        <v>4919</v>
      </c>
      <c r="D2204" s="92">
        <v>0.53</v>
      </c>
      <c r="E2204" s="92">
        <v>0.51</v>
      </c>
      <c r="F2204" t="s">
        <v>446</v>
      </c>
      <c r="G2204" t="s">
        <v>446</v>
      </c>
      <c r="H2204" t="s">
        <v>4932</v>
      </c>
      <c r="I2204">
        <v>0</v>
      </c>
      <c r="J2204" t="s">
        <v>97</v>
      </c>
      <c r="K2204">
        <v>0</v>
      </c>
      <c r="L2204">
        <v>0</v>
      </c>
      <c r="M2204" t="s">
        <v>11</v>
      </c>
    </row>
    <row r="2205" spans="1:13">
      <c r="A2205" s="93">
        <v>198109</v>
      </c>
      <c r="B2205" t="s">
        <v>2744</v>
      </c>
      <c r="C2205" t="s">
        <v>4926</v>
      </c>
      <c r="D2205" s="92" t="s">
        <v>446</v>
      </c>
      <c r="E2205" s="92" t="s">
        <v>446</v>
      </c>
      <c r="F2205">
        <v>940</v>
      </c>
      <c r="G2205">
        <v>1040</v>
      </c>
      <c r="H2205" t="s">
        <v>4931</v>
      </c>
      <c r="I2205">
        <v>0</v>
      </c>
      <c r="J2205" t="s">
        <v>97</v>
      </c>
      <c r="K2205">
        <v>0</v>
      </c>
      <c r="L2205">
        <v>0</v>
      </c>
      <c r="M2205" t="s">
        <v>11</v>
      </c>
    </row>
    <row r="2206" spans="1:13">
      <c r="A2206" s="93">
        <v>198118</v>
      </c>
      <c r="B2206" t="s">
        <v>2745</v>
      </c>
      <c r="C2206" t="s">
        <v>4919</v>
      </c>
      <c r="D2206" s="92">
        <v>0.44</v>
      </c>
      <c r="E2206" s="92">
        <v>0.39</v>
      </c>
      <c r="F2206" t="s">
        <v>446</v>
      </c>
      <c r="G2206" t="s">
        <v>446</v>
      </c>
      <c r="H2206" t="s">
        <v>4932</v>
      </c>
      <c r="I2206">
        <v>0</v>
      </c>
      <c r="J2206" t="s">
        <v>97</v>
      </c>
      <c r="K2206">
        <v>0</v>
      </c>
      <c r="L2206">
        <v>0</v>
      </c>
      <c r="M2206" t="s">
        <v>11</v>
      </c>
    </row>
    <row r="2207" spans="1:13">
      <c r="A2207" s="93">
        <v>198136</v>
      </c>
      <c r="B2207" t="s">
        <v>2746</v>
      </c>
      <c r="C2207" t="s">
        <v>4916</v>
      </c>
      <c r="D2207" s="92">
        <v>0.54</v>
      </c>
      <c r="E2207" s="92">
        <v>0.43</v>
      </c>
      <c r="F2207">
        <v>1030</v>
      </c>
      <c r="G2207">
        <v>1130</v>
      </c>
      <c r="H2207" t="s">
        <v>4930</v>
      </c>
      <c r="I2207">
        <v>0</v>
      </c>
      <c r="J2207" t="s">
        <v>97</v>
      </c>
      <c r="K2207">
        <v>0</v>
      </c>
      <c r="L2207">
        <v>0</v>
      </c>
      <c r="M2207" t="s">
        <v>11</v>
      </c>
    </row>
    <row r="2208" spans="1:13">
      <c r="A2208" s="93">
        <v>198154</v>
      </c>
      <c r="B2208" t="s">
        <v>2747</v>
      </c>
      <c r="C2208" t="s">
        <v>4919</v>
      </c>
      <c r="D2208" s="92">
        <v>0.59</v>
      </c>
      <c r="E2208" s="92">
        <v>0.54</v>
      </c>
      <c r="F2208" t="s">
        <v>446</v>
      </c>
      <c r="G2208" t="s">
        <v>446</v>
      </c>
      <c r="H2208" t="s">
        <v>4932</v>
      </c>
      <c r="I2208">
        <v>0</v>
      </c>
      <c r="J2208" t="s">
        <v>97</v>
      </c>
      <c r="K2208">
        <v>0</v>
      </c>
      <c r="L2208">
        <v>0</v>
      </c>
      <c r="M2208" t="s">
        <v>11</v>
      </c>
    </row>
    <row r="2209" spans="1:13">
      <c r="A2209" s="93">
        <v>198206</v>
      </c>
      <c r="B2209" t="s">
        <v>2748</v>
      </c>
      <c r="C2209" t="s">
        <v>4919</v>
      </c>
      <c r="D2209" s="92">
        <v>0.54</v>
      </c>
      <c r="E2209" s="92">
        <v>0.55</v>
      </c>
      <c r="F2209" t="s">
        <v>446</v>
      </c>
      <c r="G2209" t="s">
        <v>446</v>
      </c>
      <c r="H2209" t="s">
        <v>4932</v>
      </c>
      <c r="I2209">
        <v>0</v>
      </c>
      <c r="J2209" t="s">
        <v>97</v>
      </c>
      <c r="K2209">
        <v>0</v>
      </c>
      <c r="L2209">
        <v>0</v>
      </c>
      <c r="M2209" t="s">
        <v>11</v>
      </c>
    </row>
    <row r="2210" spans="1:13">
      <c r="A2210" s="93">
        <v>198215</v>
      </c>
      <c r="B2210" t="s">
        <v>530</v>
      </c>
      <c r="C2210" t="s">
        <v>4920</v>
      </c>
      <c r="D2210" s="92">
        <v>0.55</v>
      </c>
      <c r="E2210" s="92">
        <v>0.46</v>
      </c>
      <c r="F2210">
        <v>990</v>
      </c>
      <c r="G2210">
        <v>1070</v>
      </c>
      <c r="H2210" t="s">
        <v>4930</v>
      </c>
      <c r="I2210">
        <v>0</v>
      </c>
      <c r="J2210" t="s">
        <v>97</v>
      </c>
      <c r="K2210">
        <v>0</v>
      </c>
      <c r="L2210">
        <v>0</v>
      </c>
      <c r="M2210" t="s">
        <v>11</v>
      </c>
    </row>
    <row r="2211" spans="1:13">
      <c r="A2211" s="93">
        <v>198233</v>
      </c>
      <c r="B2211" t="s">
        <v>2749</v>
      </c>
      <c r="C2211" t="s">
        <v>4919</v>
      </c>
      <c r="D2211" s="92">
        <v>0.49</v>
      </c>
      <c r="E2211" s="92">
        <v>0.41</v>
      </c>
      <c r="F2211" t="s">
        <v>446</v>
      </c>
      <c r="G2211" t="s">
        <v>446</v>
      </c>
      <c r="H2211" t="s">
        <v>4932</v>
      </c>
      <c r="I2211">
        <v>0</v>
      </c>
      <c r="J2211" t="s">
        <v>97</v>
      </c>
      <c r="K2211">
        <v>0</v>
      </c>
      <c r="L2211">
        <v>0</v>
      </c>
      <c r="M2211" t="s">
        <v>11</v>
      </c>
    </row>
    <row r="2212" spans="1:13">
      <c r="A2212" s="93">
        <v>198251</v>
      </c>
      <c r="B2212" t="s">
        <v>2750</v>
      </c>
      <c r="C2212" t="s">
        <v>4919</v>
      </c>
      <c r="D2212" s="92">
        <v>0.44</v>
      </c>
      <c r="E2212" s="92">
        <v>0.41</v>
      </c>
      <c r="F2212" t="s">
        <v>446</v>
      </c>
      <c r="G2212" t="s">
        <v>446</v>
      </c>
      <c r="H2212" t="s">
        <v>4932</v>
      </c>
      <c r="I2212">
        <v>0</v>
      </c>
      <c r="J2212" t="s">
        <v>97</v>
      </c>
      <c r="K2212">
        <v>0</v>
      </c>
      <c r="L2212">
        <v>0</v>
      </c>
      <c r="M2212" t="s">
        <v>11</v>
      </c>
    </row>
    <row r="2213" spans="1:13">
      <c r="A2213" s="93">
        <v>198260</v>
      </c>
      <c r="B2213" t="s">
        <v>2751</v>
      </c>
      <c r="C2213" t="s">
        <v>4919</v>
      </c>
      <c r="D2213" s="92">
        <v>0.38</v>
      </c>
      <c r="E2213" s="92">
        <v>0.34</v>
      </c>
      <c r="F2213" t="s">
        <v>446</v>
      </c>
      <c r="G2213" t="s">
        <v>446</v>
      </c>
      <c r="H2213" t="s">
        <v>4932</v>
      </c>
      <c r="I2213">
        <v>0</v>
      </c>
      <c r="J2213" t="s">
        <v>97</v>
      </c>
      <c r="K2213">
        <v>0</v>
      </c>
      <c r="L2213">
        <v>0</v>
      </c>
      <c r="M2213" t="s">
        <v>11</v>
      </c>
    </row>
    <row r="2214" spans="1:13">
      <c r="A2214" s="93">
        <v>198303</v>
      </c>
      <c r="B2214" t="s">
        <v>2752</v>
      </c>
      <c r="C2214" t="s">
        <v>4923</v>
      </c>
      <c r="D2214" s="92">
        <v>0.29</v>
      </c>
      <c r="E2214" s="92">
        <v>0.28</v>
      </c>
      <c r="F2214">
        <v>880</v>
      </c>
      <c r="G2214">
        <v>980</v>
      </c>
      <c r="H2214" t="s">
        <v>4930</v>
      </c>
      <c r="I2214">
        <v>0</v>
      </c>
      <c r="J2214" t="s">
        <v>97</v>
      </c>
      <c r="K2214">
        <v>0</v>
      </c>
      <c r="L2214">
        <v>0</v>
      </c>
      <c r="M2214" t="s">
        <v>11</v>
      </c>
    </row>
    <row r="2215" spans="1:13">
      <c r="A2215" s="93">
        <v>198321</v>
      </c>
      <c r="B2215" t="s">
        <v>2753</v>
      </c>
      <c r="C2215" t="s">
        <v>4919</v>
      </c>
      <c r="D2215" s="92">
        <v>0.47</v>
      </c>
      <c r="E2215" s="92">
        <v>0.28</v>
      </c>
      <c r="F2215" t="s">
        <v>446</v>
      </c>
      <c r="G2215" t="s">
        <v>446</v>
      </c>
      <c r="H2215" t="s">
        <v>4932</v>
      </c>
      <c r="I2215">
        <v>0</v>
      </c>
      <c r="J2215" t="s">
        <v>97</v>
      </c>
      <c r="K2215">
        <v>0</v>
      </c>
      <c r="L2215">
        <v>0</v>
      </c>
      <c r="M2215" t="s">
        <v>11</v>
      </c>
    </row>
    <row r="2216" spans="1:13">
      <c r="A2216" s="93">
        <v>198367</v>
      </c>
      <c r="B2216" t="s">
        <v>2754</v>
      </c>
      <c r="C2216" t="s">
        <v>4919</v>
      </c>
      <c r="D2216" s="92">
        <v>0.41</v>
      </c>
      <c r="E2216" s="92">
        <v>0.35</v>
      </c>
      <c r="F2216" t="s">
        <v>446</v>
      </c>
      <c r="G2216" t="s">
        <v>446</v>
      </c>
      <c r="H2216" t="s">
        <v>4932</v>
      </c>
      <c r="I2216">
        <v>0</v>
      </c>
      <c r="J2216" t="s">
        <v>97</v>
      </c>
      <c r="K2216">
        <v>0</v>
      </c>
      <c r="L2216">
        <v>0</v>
      </c>
      <c r="M2216" t="s">
        <v>11</v>
      </c>
    </row>
    <row r="2217" spans="1:13">
      <c r="A2217" s="93">
        <v>198376</v>
      </c>
      <c r="B2217" t="s">
        <v>2755</v>
      </c>
      <c r="C2217" t="s">
        <v>4919</v>
      </c>
      <c r="D2217" s="92">
        <v>0.46</v>
      </c>
      <c r="E2217" s="92">
        <v>0.41</v>
      </c>
      <c r="F2217" t="s">
        <v>446</v>
      </c>
      <c r="G2217" t="s">
        <v>446</v>
      </c>
      <c r="H2217" t="s">
        <v>4932</v>
      </c>
      <c r="I2217">
        <v>0</v>
      </c>
      <c r="J2217" t="s">
        <v>97</v>
      </c>
      <c r="K2217">
        <v>0</v>
      </c>
      <c r="L2217">
        <v>0</v>
      </c>
      <c r="M2217" t="s">
        <v>11</v>
      </c>
    </row>
    <row r="2218" spans="1:13">
      <c r="A2218" s="93">
        <v>198455</v>
      </c>
      <c r="B2218" t="s">
        <v>2756</v>
      </c>
      <c r="C2218" t="s">
        <v>4919</v>
      </c>
      <c r="D2218" s="92">
        <v>0.35</v>
      </c>
      <c r="E2218" s="92">
        <v>0.29</v>
      </c>
      <c r="F2218" t="s">
        <v>446</v>
      </c>
      <c r="G2218" t="s">
        <v>446</v>
      </c>
      <c r="H2218" t="s">
        <v>4932</v>
      </c>
      <c r="I2218">
        <v>0</v>
      </c>
      <c r="J2218" t="s">
        <v>97</v>
      </c>
      <c r="K2218">
        <v>0</v>
      </c>
      <c r="L2218">
        <v>0</v>
      </c>
      <c r="M2218" t="s">
        <v>11</v>
      </c>
    </row>
    <row r="2219" spans="1:13">
      <c r="A2219" s="93">
        <v>198464</v>
      </c>
      <c r="B2219" t="s">
        <v>2757</v>
      </c>
      <c r="C2219" t="s">
        <v>4920</v>
      </c>
      <c r="D2219" s="92">
        <v>0.66</v>
      </c>
      <c r="E2219" s="92">
        <v>0.62</v>
      </c>
      <c r="F2219" t="s">
        <v>446</v>
      </c>
      <c r="G2219" t="s">
        <v>446</v>
      </c>
      <c r="H2219" t="s">
        <v>4932</v>
      </c>
      <c r="I2219">
        <v>0</v>
      </c>
      <c r="J2219" t="s">
        <v>97</v>
      </c>
      <c r="K2219">
        <v>0</v>
      </c>
      <c r="L2219">
        <v>0</v>
      </c>
      <c r="M2219" t="s">
        <v>11</v>
      </c>
    </row>
    <row r="2220" spans="1:13">
      <c r="A2220" s="93">
        <v>198491</v>
      </c>
      <c r="B2220" t="s">
        <v>2758</v>
      </c>
      <c r="C2220" t="s">
        <v>4919</v>
      </c>
      <c r="D2220" s="92" t="s">
        <v>446</v>
      </c>
      <c r="E2220" s="92" t="s">
        <v>446</v>
      </c>
      <c r="F2220" t="s">
        <v>446</v>
      </c>
      <c r="G2220" t="s">
        <v>446</v>
      </c>
      <c r="H2220" t="s">
        <v>4932</v>
      </c>
      <c r="I2220">
        <v>0</v>
      </c>
      <c r="J2220" t="s">
        <v>97</v>
      </c>
      <c r="K2220">
        <v>0</v>
      </c>
      <c r="L2220">
        <v>0</v>
      </c>
      <c r="M2220" t="s">
        <v>11</v>
      </c>
    </row>
    <row r="2221" spans="1:13">
      <c r="A2221" s="93">
        <v>198507</v>
      </c>
      <c r="B2221" t="s">
        <v>2759</v>
      </c>
      <c r="C2221" t="s">
        <v>4920</v>
      </c>
      <c r="D2221" s="92">
        <v>0.4</v>
      </c>
      <c r="E2221" s="92">
        <v>0.55</v>
      </c>
      <c r="F2221">
        <v>850</v>
      </c>
      <c r="G2221">
        <v>930</v>
      </c>
      <c r="H2221" t="s">
        <v>4932</v>
      </c>
      <c r="I2221">
        <v>0</v>
      </c>
      <c r="J2221" t="s">
        <v>153</v>
      </c>
      <c r="K2221">
        <v>0</v>
      </c>
      <c r="L2221">
        <v>0</v>
      </c>
      <c r="M2221" t="s">
        <v>11</v>
      </c>
    </row>
    <row r="2222" spans="1:13">
      <c r="A2222" s="93">
        <v>198516</v>
      </c>
      <c r="B2222" t="s">
        <v>2760</v>
      </c>
      <c r="C2222" t="s">
        <v>4916</v>
      </c>
      <c r="D2222" s="92">
        <v>0.83</v>
      </c>
      <c r="E2222" s="92">
        <v>0.8</v>
      </c>
      <c r="F2222" t="s">
        <v>446</v>
      </c>
      <c r="G2222" t="s">
        <v>446</v>
      </c>
      <c r="H2222" t="s">
        <v>4930</v>
      </c>
      <c r="I2222">
        <v>0</v>
      </c>
      <c r="J2222" t="s">
        <v>97</v>
      </c>
      <c r="K2222">
        <v>0</v>
      </c>
      <c r="L2222">
        <v>0</v>
      </c>
      <c r="M2222" t="s">
        <v>11</v>
      </c>
    </row>
    <row r="2223" spans="1:13">
      <c r="A2223" s="93">
        <v>198534</v>
      </c>
      <c r="B2223" t="s">
        <v>2761</v>
      </c>
      <c r="C2223" t="s">
        <v>4919</v>
      </c>
      <c r="D2223" s="92">
        <v>0.31</v>
      </c>
      <c r="E2223" s="92">
        <v>0.26</v>
      </c>
      <c r="F2223" t="s">
        <v>446</v>
      </c>
      <c r="G2223" t="s">
        <v>446</v>
      </c>
      <c r="H2223" t="s">
        <v>4932</v>
      </c>
      <c r="I2223">
        <v>0</v>
      </c>
      <c r="J2223" t="s">
        <v>97</v>
      </c>
      <c r="K2223">
        <v>0</v>
      </c>
      <c r="L2223">
        <v>0</v>
      </c>
      <c r="M2223" t="s">
        <v>11</v>
      </c>
    </row>
    <row r="2224" spans="1:13">
      <c r="A2224" s="93">
        <v>198552</v>
      </c>
      <c r="B2224" t="s">
        <v>2762</v>
      </c>
      <c r="C2224" t="s">
        <v>4919</v>
      </c>
      <c r="D2224" s="92">
        <v>0.35</v>
      </c>
      <c r="E2224" s="92">
        <v>0.29</v>
      </c>
      <c r="F2224" t="s">
        <v>446</v>
      </c>
      <c r="G2224" t="s">
        <v>446</v>
      </c>
      <c r="H2224" t="s">
        <v>4932</v>
      </c>
      <c r="I2224">
        <v>0</v>
      </c>
      <c r="J2224" t="s">
        <v>97</v>
      </c>
      <c r="K2224">
        <v>0</v>
      </c>
      <c r="L2224">
        <v>0</v>
      </c>
      <c r="M2224" t="s">
        <v>11</v>
      </c>
    </row>
    <row r="2225" spans="1:13">
      <c r="A2225" s="93">
        <v>198561</v>
      </c>
      <c r="B2225" t="s">
        <v>2763</v>
      </c>
      <c r="C2225" t="s">
        <v>4920</v>
      </c>
      <c r="D2225" s="92">
        <v>0.53</v>
      </c>
      <c r="E2225" s="92">
        <v>0.37</v>
      </c>
      <c r="F2225">
        <v>960</v>
      </c>
      <c r="G2225">
        <v>1090</v>
      </c>
      <c r="H2225" t="s">
        <v>4930</v>
      </c>
      <c r="I2225">
        <v>0</v>
      </c>
      <c r="J2225" t="s">
        <v>97</v>
      </c>
      <c r="K2225">
        <v>0</v>
      </c>
      <c r="L2225">
        <v>0</v>
      </c>
      <c r="M2225" t="s">
        <v>11</v>
      </c>
    </row>
    <row r="2226" spans="1:13">
      <c r="A2226" s="93">
        <v>198570</v>
      </c>
      <c r="B2226" t="s">
        <v>2764</v>
      </c>
      <c r="C2226" t="s">
        <v>4919</v>
      </c>
      <c r="D2226" s="92">
        <v>0.42</v>
      </c>
      <c r="E2226" s="92">
        <v>0.36</v>
      </c>
      <c r="F2226" t="s">
        <v>446</v>
      </c>
      <c r="G2226" t="s">
        <v>446</v>
      </c>
      <c r="H2226" t="s">
        <v>4932</v>
      </c>
      <c r="I2226">
        <v>0</v>
      </c>
      <c r="J2226" t="s">
        <v>97</v>
      </c>
      <c r="K2226">
        <v>0</v>
      </c>
      <c r="L2226">
        <v>0</v>
      </c>
      <c r="M2226" t="s">
        <v>11</v>
      </c>
    </row>
    <row r="2227" spans="1:13">
      <c r="A2227" s="93">
        <v>198598</v>
      </c>
      <c r="B2227" t="s">
        <v>2765</v>
      </c>
      <c r="C2227" t="s">
        <v>4918</v>
      </c>
      <c r="D2227" s="92">
        <v>0.31</v>
      </c>
      <c r="E2227" s="92">
        <v>0.22</v>
      </c>
      <c r="F2227" t="s">
        <v>446</v>
      </c>
      <c r="G2227" t="s">
        <v>446</v>
      </c>
      <c r="H2227" t="s">
        <v>4931</v>
      </c>
      <c r="I2227">
        <v>0</v>
      </c>
      <c r="J2227" t="s">
        <v>97</v>
      </c>
      <c r="K2227">
        <v>0</v>
      </c>
      <c r="L2227">
        <v>0</v>
      </c>
      <c r="M2227" t="s">
        <v>11</v>
      </c>
    </row>
    <row r="2228" spans="1:13">
      <c r="A2228" s="93">
        <v>198613</v>
      </c>
      <c r="B2228" t="s">
        <v>2766</v>
      </c>
      <c r="C2228" t="s">
        <v>4920</v>
      </c>
      <c r="D2228" s="92">
        <v>0.53</v>
      </c>
      <c r="E2228" s="92">
        <v>0.43</v>
      </c>
      <c r="F2228">
        <v>930</v>
      </c>
      <c r="G2228">
        <v>1035</v>
      </c>
      <c r="H2228" t="s">
        <v>4930</v>
      </c>
      <c r="I2228">
        <v>0</v>
      </c>
      <c r="J2228" t="s">
        <v>97</v>
      </c>
      <c r="K2228">
        <v>0</v>
      </c>
      <c r="L2228">
        <v>0</v>
      </c>
      <c r="M2228" t="s">
        <v>11</v>
      </c>
    </row>
    <row r="2229" spans="1:13">
      <c r="A2229" s="93">
        <v>198622</v>
      </c>
      <c r="B2229" t="s">
        <v>2767</v>
      </c>
      <c r="C2229" t="s">
        <v>4919</v>
      </c>
      <c r="D2229" s="92">
        <v>0.36</v>
      </c>
      <c r="E2229" s="92">
        <v>0.29</v>
      </c>
      <c r="F2229" t="s">
        <v>446</v>
      </c>
      <c r="G2229" t="s">
        <v>446</v>
      </c>
      <c r="H2229" t="s">
        <v>4932</v>
      </c>
      <c r="I2229">
        <v>0</v>
      </c>
      <c r="J2229" t="s">
        <v>97</v>
      </c>
      <c r="K2229">
        <v>0</v>
      </c>
      <c r="L2229">
        <v>0</v>
      </c>
      <c r="M2229" t="s">
        <v>11</v>
      </c>
    </row>
    <row r="2230" spans="1:13">
      <c r="A2230" s="93">
        <v>198640</v>
      </c>
      <c r="B2230" t="s">
        <v>2768</v>
      </c>
      <c r="C2230" t="s">
        <v>4919</v>
      </c>
      <c r="D2230" s="92">
        <v>0.49</v>
      </c>
      <c r="E2230" s="92">
        <v>0.45</v>
      </c>
      <c r="F2230" t="s">
        <v>446</v>
      </c>
      <c r="G2230" t="s">
        <v>446</v>
      </c>
      <c r="H2230" t="s">
        <v>4932</v>
      </c>
      <c r="I2230">
        <v>0</v>
      </c>
      <c r="J2230" t="s">
        <v>97</v>
      </c>
      <c r="K2230">
        <v>0</v>
      </c>
      <c r="L2230">
        <v>0</v>
      </c>
      <c r="M2230" t="s">
        <v>11</v>
      </c>
    </row>
    <row r="2231" spans="1:13">
      <c r="A2231" s="93">
        <v>198668</v>
      </c>
      <c r="B2231" t="s">
        <v>2769</v>
      </c>
      <c r="C2231" t="s">
        <v>4919</v>
      </c>
      <c r="D2231" s="92">
        <v>0.45</v>
      </c>
      <c r="E2231" s="92">
        <v>0.39</v>
      </c>
      <c r="F2231" t="s">
        <v>446</v>
      </c>
      <c r="G2231" t="s">
        <v>446</v>
      </c>
      <c r="H2231" t="s">
        <v>4932</v>
      </c>
      <c r="I2231">
        <v>0</v>
      </c>
      <c r="J2231" t="s">
        <v>97</v>
      </c>
      <c r="K2231">
        <v>0</v>
      </c>
      <c r="L2231">
        <v>0</v>
      </c>
      <c r="M2231" t="s">
        <v>11</v>
      </c>
    </row>
    <row r="2232" spans="1:13">
      <c r="A2232" s="93">
        <v>198677</v>
      </c>
      <c r="B2232" t="s">
        <v>2770</v>
      </c>
      <c r="C2232" t="s">
        <v>4923</v>
      </c>
      <c r="D2232" s="92">
        <v>0.25</v>
      </c>
      <c r="E2232" s="92">
        <v>0</v>
      </c>
      <c r="F2232" t="s">
        <v>446</v>
      </c>
      <c r="G2232" t="s">
        <v>446</v>
      </c>
      <c r="H2232" t="s">
        <v>4932</v>
      </c>
      <c r="I2232">
        <v>0</v>
      </c>
      <c r="J2232" t="s">
        <v>97</v>
      </c>
      <c r="K2232">
        <v>0</v>
      </c>
      <c r="L2232">
        <v>0</v>
      </c>
      <c r="M2232" t="s">
        <v>11</v>
      </c>
    </row>
    <row r="2233" spans="1:13">
      <c r="A2233" s="93">
        <v>198695</v>
      </c>
      <c r="B2233" t="s">
        <v>2771</v>
      </c>
      <c r="C2233" t="s">
        <v>4920</v>
      </c>
      <c r="D2233" s="92">
        <v>0.7</v>
      </c>
      <c r="E2233" s="92">
        <v>0.66</v>
      </c>
      <c r="F2233">
        <v>1100</v>
      </c>
      <c r="G2233">
        <v>1200</v>
      </c>
      <c r="H2233" t="s">
        <v>4930</v>
      </c>
      <c r="I2233">
        <v>0</v>
      </c>
      <c r="J2233" t="s">
        <v>97</v>
      </c>
      <c r="K2233">
        <v>0</v>
      </c>
      <c r="L2233">
        <v>0</v>
      </c>
      <c r="M2233" t="s">
        <v>11</v>
      </c>
    </row>
    <row r="2234" spans="1:13">
      <c r="A2234" s="93">
        <v>198710</v>
      </c>
      <c r="B2234" t="s">
        <v>2772</v>
      </c>
      <c r="C2234" t="s">
        <v>4919</v>
      </c>
      <c r="D2234" s="92">
        <v>0.45</v>
      </c>
      <c r="E2234" s="92">
        <v>0.4</v>
      </c>
      <c r="F2234" t="s">
        <v>446</v>
      </c>
      <c r="G2234" t="s">
        <v>446</v>
      </c>
      <c r="H2234" t="s">
        <v>4932</v>
      </c>
      <c r="I2234">
        <v>0</v>
      </c>
      <c r="J2234" t="s">
        <v>97</v>
      </c>
      <c r="K2234">
        <v>0</v>
      </c>
      <c r="L2234">
        <v>0</v>
      </c>
      <c r="M2234" t="s">
        <v>11</v>
      </c>
    </row>
    <row r="2235" spans="1:13">
      <c r="A2235" s="93">
        <v>198729</v>
      </c>
      <c r="B2235" t="s">
        <v>2773</v>
      </c>
      <c r="C2235" t="s">
        <v>4919</v>
      </c>
      <c r="D2235" s="92" t="s">
        <v>446</v>
      </c>
      <c r="E2235" s="92" t="s">
        <v>446</v>
      </c>
      <c r="F2235" t="s">
        <v>446</v>
      </c>
      <c r="G2235" t="s">
        <v>446</v>
      </c>
      <c r="H2235" t="s">
        <v>4932</v>
      </c>
      <c r="I2235">
        <v>0</v>
      </c>
      <c r="J2235" t="s">
        <v>97</v>
      </c>
      <c r="K2235">
        <v>0</v>
      </c>
      <c r="L2235">
        <v>0</v>
      </c>
      <c r="M2235" t="s">
        <v>11</v>
      </c>
    </row>
    <row r="2236" spans="1:13">
      <c r="A2236" s="93">
        <v>198756</v>
      </c>
      <c r="B2236" t="s">
        <v>2774</v>
      </c>
      <c r="C2236" t="s">
        <v>4918</v>
      </c>
      <c r="D2236" s="92">
        <v>0.39</v>
      </c>
      <c r="E2236" s="92">
        <v>0.55</v>
      </c>
      <c r="F2236" t="s">
        <v>446</v>
      </c>
      <c r="G2236" t="s">
        <v>446</v>
      </c>
      <c r="H2236" t="s">
        <v>4931</v>
      </c>
      <c r="I2236">
        <v>0</v>
      </c>
      <c r="J2236" t="s">
        <v>153</v>
      </c>
      <c r="K2236">
        <v>0</v>
      </c>
      <c r="L2236">
        <v>0</v>
      </c>
      <c r="M2236" t="s">
        <v>11</v>
      </c>
    </row>
    <row r="2237" spans="1:13">
      <c r="A2237" s="93">
        <v>198774</v>
      </c>
      <c r="B2237" t="s">
        <v>2775</v>
      </c>
      <c r="C2237" t="s">
        <v>4919</v>
      </c>
      <c r="D2237" s="92">
        <v>0.47</v>
      </c>
      <c r="E2237" s="92">
        <v>0.44</v>
      </c>
      <c r="F2237" t="s">
        <v>446</v>
      </c>
      <c r="G2237" t="s">
        <v>446</v>
      </c>
      <c r="H2237" t="s">
        <v>4932</v>
      </c>
      <c r="I2237">
        <v>0</v>
      </c>
      <c r="J2237" t="s">
        <v>97</v>
      </c>
      <c r="K2237">
        <v>0</v>
      </c>
      <c r="L2237">
        <v>0</v>
      </c>
      <c r="M2237" t="s">
        <v>11</v>
      </c>
    </row>
    <row r="2238" spans="1:13">
      <c r="A2238" s="93">
        <v>198808</v>
      </c>
      <c r="B2238" t="s">
        <v>2776</v>
      </c>
      <c r="C2238" t="s">
        <v>4920</v>
      </c>
      <c r="D2238" s="92">
        <v>0.44</v>
      </c>
      <c r="E2238" s="92">
        <v>0.32</v>
      </c>
      <c r="F2238">
        <v>1040</v>
      </c>
      <c r="G2238">
        <v>1140</v>
      </c>
      <c r="H2238" t="s">
        <v>4930</v>
      </c>
      <c r="I2238">
        <v>0</v>
      </c>
      <c r="J2238" t="s">
        <v>97</v>
      </c>
      <c r="K2238">
        <v>0</v>
      </c>
      <c r="L2238">
        <v>0</v>
      </c>
      <c r="M2238" t="s">
        <v>11</v>
      </c>
    </row>
    <row r="2239" spans="1:13">
      <c r="A2239" s="93">
        <v>198817</v>
      </c>
      <c r="B2239" t="s">
        <v>2777</v>
      </c>
      <c r="C2239" t="s">
        <v>4919</v>
      </c>
      <c r="D2239" s="92">
        <v>0.47</v>
      </c>
      <c r="E2239" s="92">
        <v>0.34</v>
      </c>
      <c r="F2239" t="s">
        <v>446</v>
      </c>
      <c r="G2239" t="s">
        <v>446</v>
      </c>
      <c r="H2239" t="s">
        <v>4932</v>
      </c>
      <c r="I2239">
        <v>0</v>
      </c>
      <c r="J2239" t="s">
        <v>97</v>
      </c>
      <c r="K2239">
        <v>0</v>
      </c>
      <c r="L2239">
        <v>0</v>
      </c>
      <c r="M2239" t="s">
        <v>11</v>
      </c>
    </row>
    <row r="2240" spans="1:13">
      <c r="A2240" s="93">
        <v>198835</v>
      </c>
      <c r="B2240" t="s">
        <v>2778</v>
      </c>
      <c r="C2240" t="s">
        <v>4920</v>
      </c>
      <c r="D2240" s="92">
        <v>0.49</v>
      </c>
      <c r="E2240" s="92">
        <v>0.36</v>
      </c>
      <c r="F2240" t="s">
        <v>446</v>
      </c>
      <c r="G2240" t="s">
        <v>446</v>
      </c>
      <c r="H2240" t="s">
        <v>4930</v>
      </c>
      <c r="I2240">
        <v>0</v>
      </c>
      <c r="J2240" t="s">
        <v>97</v>
      </c>
      <c r="K2240">
        <v>0</v>
      </c>
      <c r="L2240">
        <v>0</v>
      </c>
      <c r="M2240" t="s">
        <v>11</v>
      </c>
    </row>
    <row r="2241" spans="1:13">
      <c r="A2241" s="93">
        <v>198862</v>
      </c>
      <c r="B2241" t="s">
        <v>2779</v>
      </c>
      <c r="C2241" t="s">
        <v>4923</v>
      </c>
      <c r="D2241" s="92">
        <v>0.23</v>
      </c>
      <c r="E2241" s="92">
        <v>0.38</v>
      </c>
      <c r="F2241">
        <v>810</v>
      </c>
      <c r="G2241">
        <v>900</v>
      </c>
      <c r="H2241" t="s">
        <v>4931</v>
      </c>
      <c r="I2241">
        <v>0</v>
      </c>
      <c r="J2241" t="s">
        <v>153</v>
      </c>
      <c r="K2241">
        <v>0</v>
      </c>
      <c r="L2241">
        <v>0</v>
      </c>
      <c r="M2241" t="s">
        <v>11</v>
      </c>
    </row>
    <row r="2242" spans="1:13">
      <c r="A2242" s="93">
        <v>198871</v>
      </c>
      <c r="B2242" t="s">
        <v>2780</v>
      </c>
      <c r="C2242" t="s">
        <v>4925</v>
      </c>
      <c r="D2242" s="92">
        <v>0.5600000000000001</v>
      </c>
      <c r="E2242" s="92">
        <v>0.62</v>
      </c>
      <c r="F2242" t="s">
        <v>446</v>
      </c>
      <c r="G2242" t="s">
        <v>446</v>
      </c>
      <c r="H2242" t="s">
        <v>4930</v>
      </c>
      <c r="I2242">
        <v>0</v>
      </c>
      <c r="J2242" t="s">
        <v>97</v>
      </c>
      <c r="K2242">
        <v>0</v>
      </c>
      <c r="L2242">
        <v>0</v>
      </c>
      <c r="M2242" t="s">
        <v>11</v>
      </c>
    </row>
    <row r="2243" spans="1:13">
      <c r="A2243" s="93">
        <v>198899</v>
      </c>
      <c r="B2243" t="s">
        <v>2781</v>
      </c>
      <c r="C2243" t="s">
        <v>4920</v>
      </c>
      <c r="D2243" s="92">
        <v>0.33</v>
      </c>
      <c r="E2243" s="92">
        <v>0.22</v>
      </c>
      <c r="F2243" t="s">
        <v>446</v>
      </c>
      <c r="G2243" t="s">
        <v>446</v>
      </c>
      <c r="H2243" t="s">
        <v>4930</v>
      </c>
      <c r="I2243">
        <v>0</v>
      </c>
      <c r="J2243" t="s">
        <v>97</v>
      </c>
      <c r="K2243">
        <v>0</v>
      </c>
      <c r="L2243">
        <v>0</v>
      </c>
      <c r="M2243" t="s">
        <v>11</v>
      </c>
    </row>
    <row r="2244" spans="1:13">
      <c r="A2244" s="93">
        <v>198905</v>
      </c>
      <c r="B2244" t="s">
        <v>2782</v>
      </c>
      <c r="C2244" t="s">
        <v>4919</v>
      </c>
      <c r="D2244" s="92">
        <v>0.42</v>
      </c>
      <c r="E2244" s="92">
        <v>0.36</v>
      </c>
      <c r="F2244" t="s">
        <v>446</v>
      </c>
      <c r="G2244" t="s">
        <v>446</v>
      </c>
      <c r="H2244" t="s">
        <v>4932</v>
      </c>
      <c r="I2244">
        <v>0</v>
      </c>
      <c r="J2244" t="s">
        <v>97</v>
      </c>
      <c r="K2244">
        <v>0</v>
      </c>
      <c r="L2244">
        <v>0</v>
      </c>
      <c r="M2244" t="s">
        <v>11</v>
      </c>
    </row>
    <row r="2245" spans="1:13">
      <c r="A2245" s="93">
        <v>198914</v>
      </c>
      <c r="B2245" t="s">
        <v>2783</v>
      </c>
      <c r="C2245" t="s">
        <v>4919</v>
      </c>
      <c r="D2245" s="92" t="s">
        <v>446</v>
      </c>
      <c r="E2245" s="92" t="s">
        <v>446</v>
      </c>
      <c r="F2245" t="s">
        <v>446</v>
      </c>
      <c r="G2245" t="s">
        <v>446</v>
      </c>
      <c r="H2245" t="s">
        <v>4932</v>
      </c>
      <c r="I2245">
        <v>0</v>
      </c>
      <c r="J2245" t="s">
        <v>97</v>
      </c>
      <c r="K2245">
        <v>0</v>
      </c>
      <c r="L2245">
        <v>0</v>
      </c>
      <c r="M2245" t="s">
        <v>11</v>
      </c>
    </row>
    <row r="2246" spans="1:13">
      <c r="A2246" s="93">
        <v>198923</v>
      </c>
      <c r="B2246" t="s">
        <v>2784</v>
      </c>
      <c r="C2246" t="s">
        <v>4919</v>
      </c>
      <c r="D2246" s="92">
        <v>0.45</v>
      </c>
      <c r="E2246" s="92">
        <v>0.5</v>
      </c>
      <c r="F2246" t="s">
        <v>446</v>
      </c>
      <c r="G2246" t="s">
        <v>446</v>
      </c>
      <c r="H2246" t="s">
        <v>4932</v>
      </c>
      <c r="I2246">
        <v>0</v>
      </c>
      <c r="J2246" t="s">
        <v>97</v>
      </c>
      <c r="K2246">
        <v>0</v>
      </c>
      <c r="L2246">
        <v>0</v>
      </c>
      <c r="M2246" t="s">
        <v>11</v>
      </c>
    </row>
    <row r="2247" spans="1:13">
      <c r="A2247" s="93">
        <v>198950</v>
      </c>
      <c r="B2247" t="s">
        <v>2785</v>
      </c>
      <c r="C2247" t="s">
        <v>4920</v>
      </c>
      <c r="D2247" s="92">
        <v>0.66</v>
      </c>
      <c r="E2247" s="92">
        <v>0.59</v>
      </c>
      <c r="F2247">
        <v>1140</v>
      </c>
      <c r="G2247">
        <v>1240</v>
      </c>
      <c r="H2247" t="s">
        <v>4931</v>
      </c>
      <c r="I2247">
        <v>0</v>
      </c>
      <c r="J2247" t="s">
        <v>97</v>
      </c>
      <c r="K2247">
        <v>0</v>
      </c>
      <c r="L2247">
        <v>0</v>
      </c>
      <c r="M2247" t="s">
        <v>11</v>
      </c>
    </row>
    <row r="2248" spans="1:13">
      <c r="A2248" s="93">
        <v>198969</v>
      </c>
      <c r="B2248" t="s">
        <v>2786</v>
      </c>
      <c r="C2248" t="s">
        <v>4920</v>
      </c>
      <c r="D2248" s="92">
        <v>0.42</v>
      </c>
      <c r="E2248" s="92">
        <v>0.29</v>
      </c>
      <c r="F2248">
        <v>1110</v>
      </c>
      <c r="G2248">
        <v>1170</v>
      </c>
      <c r="H2248" t="s">
        <v>4930</v>
      </c>
      <c r="I2248">
        <v>0</v>
      </c>
      <c r="J2248" t="s">
        <v>97</v>
      </c>
      <c r="K2248">
        <v>0</v>
      </c>
      <c r="L2248">
        <v>0</v>
      </c>
      <c r="M2248" t="s">
        <v>11</v>
      </c>
    </row>
    <row r="2249" spans="1:13">
      <c r="A2249" s="93">
        <v>198978</v>
      </c>
      <c r="B2249" t="s">
        <v>2787</v>
      </c>
      <c r="C2249" t="s">
        <v>4923</v>
      </c>
      <c r="D2249" s="92">
        <v>0.2</v>
      </c>
      <c r="E2249" s="92">
        <v>0.14</v>
      </c>
      <c r="F2249" t="s">
        <v>446</v>
      </c>
      <c r="G2249" t="s">
        <v>446</v>
      </c>
      <c r="H2249" t="s">
        <v>4930</v>
      </c>
      <c r="I2249">
        <v>0</v>
      </c>
      <c r="J2249" t="s">
        <v>97</v>
      </c>
      <c r="K2249">
        <v>0</v>
      </c>
      <c r="L2249">
        <v>0</v>
      </c>
      <c r="M2249" t="s">
        <v>11</v>
      </c>
    </row>
    <row r="2250" spans="1:13">
      <c r="A2250" s="93">
        <v>198987</v>
      </c>
      <c r="B2250" t="s">
        <v>2788</v>
      </c>
      <c r="C2250" t="s">
        <v>4919</v>
      </c>
      <c r="D2250" s="92">
        <v>0.37</v>
      </c>
      <c r="E2250" s="92">
        <v>0.35</v>
      </c>
      <c r="F2250" t="s">
        <v>446</v>
      </c>
      <c r="G2250" t="s">
        <v>446</v>
      </c>
      <c r="H2250" t="s">
        <v>4932</v>
      </c>
      <c r="I2250">
        <v>0</v>
      </c>
      <c r="J2250" t="s">
        <v>97</v>
      </c>
      <c r="K2250">
        <v>0</v>
      </c>
      <c r="L2250">
        <v>0</v>
      </c>
      <c r="M2250" t="s">
        <v>11</v>
      </c>
    </row>
    <row r="2251" spans="1:13">
      <c r="A2251" s="93">
        <v>199023</v>
      </c>
      <c r="B2251" t="s">
        <v>2789</v>
      </c>
      <c r="C2251" t="s">
        <v>4919</v>
      </c>
      <c r="D2251" s="92" t="s">
        <v>446</v>
      </c>
      <c r="E2251" s="92" t="s">
        <v>446</v>
      </c>
      <c r="F2251" t="s">
        <v>446</v>
      </c>
      <c r="G2251" t="s">
        <v>446</v>
      </c>
      <c r="H2251" t="s">
        <v>4932</v>
      </c>
      <c r="I2251">
        <v>0</v>
      </c>
      <c r="J2251" t="s">
        <v>97</v>
      </c>
      <c r="K2251">
        <v>0</v>
      </c>
      <c r="L2251">
        <v>0</v>
      </c>
      <c r="M2251" t="s">
        <v>11</v>
      </c>
    </row>
    <row r="2252" spans="1:13">
      <c r="A2252" s="93">
        <v>199032</v>
      </c>
      <c r="B2252" t="s">
        <v>2790</v>
      </c>
      <c r="C2252" t="s">
        <v>4918</v>
      </c>
      <c r="D2252" s="92">
        <v>0.32</v>
      </c>
      <c r="E2252" s="92">
        <v>0.17</v>
      </c>
      <c r="F2252">
        <v>1030</v>
      </c>
      <c r="G2252">
        <v>1125</v>
      </c>
      <c r="H2252" t="s">
        <v>4930</v>
      </c>
      <c r="I2252">
        <v>0</v>
      </c>
      <c r="J2252" t="s">
        <v>97</v>
      </c>
      <c r="K2252">
        <v>0</v>
      </c>
      <c r="L2252">
        <v>0</v>
      </c>
      <c r="M2252" t="s">
        <v>11</v>
      </c>
    </row>
    <row r="2253" spans="1:13">
      <c r="A2253" s="93">
        <v>199069</v>
      </c>
      <c r="B2253" t="s">
        <v>2791</v>
      </c>
      <c r="C2253" t="s">
        <v>4920</v>
      </c>
      <c r="D2253" s="92">
        <v>0.47</v>
      </c>
      <c r="E2253" s="92">
        <v>0.37</v>
      </c>
      <c r="F2253">
        <v>890</v>
      </c>
      <c r="G2253">
        <v>985</v>
      </c>
      <c r="H2253" t="s">
        <v>4930</v>
      </c>
      <c r="I2253">
        <v>0</v>
      </c>
      <c r="J2253" t="s">
        <v>97</v>
      </c>
      <c r="K2253">
        <v>0</v>
      </c>
      <c r="L2253">
        <v>0</v>
      </c>
      <c r="M2253" t="s">
        <v>11</v>
      </c>
    </row>
    <row r="2254" spans="1:13">
      <c r="A2254" s="93">
        <v>199087</v>
      </c>
      <c r="B2254" t="s">
        <v>2792</v>
      </c>
      <c r="C2254" t="s">
        <v>4919</v>
      </c>
      <c r="D2254" s="92" t="s">
        <v>446</v>
      </c>
      <c r="E2254" s="92" t="s">
        <v>446</v>
      </c>
      <c r="F2254" t="s">
        <v>446</v>
      </c>
      <c r="G2254" t="s">
        <v>446</v>
      </c>
      <c r="H2254" t="s">
        <v>4932</v>
      </c>
      <c r="I2254">
        <v>0</v>
      </c>
      <c r="J2254" t="s">
        <v>97</v>
      </c>
      <c r="K2254">
        <v>0</v>
      </c>
      <c r="L2254">
        <v>0</v>
      </c>
      <c r="M2254" t="s">
        <v>11</v>
      </c>
    </row>
    <row r="2255" spans="1:13">
      <c r="A2255" s="93">
        <v>199111</v>
      </c>
      <c r="B2255" t="s">
        <v>2793</v>
      </c>
      <c r="C2255" t="s">
        <v>4916</v>
      </c>
      <c r="D2255" s="92">
        <v>0.62</v>
      </c>
      <c r="E2255" s="92">
        <v>0.6899999999999999</v>
      </c>
      <c r="F2255">
        <v>1110</v>
      </c>
      <c r="G2255">
        <v>1225</v>
      </c>
      <c r="H2255" t="s">
        <v>4932</v>
      </c>
      <c r="I2255">
        <v>0</v>
      </c>
      <c r="J2255" t="s">
        <v>97</v>
      </c>
      <c r="K2255">
        <v>0</v>
      </c>
      <c r="L2255">
        <v>0</v>
      </c>
      <c r="M2255" t="s">
        <v>11</v>
      </c>
    </row>
    <row r="2256" spans="1:13">
      <c r="A2256" s="93">
        <v>199139</v>
      </c>
      <c r="B2256" t="s">
        <v>2794</v>
      </c>
      <c r="C2256" t="s">
        <v>4920</v>
      </c>
      <c r="D2256" s="92">
        <v>0.66</v>
      </c>
      <c r="E2256" s="92">
        <v>0.68</v>
      </c>
      <c r="F2256">
        <v>1120</v>
      </c>
      <c r="G2256">
        <v>1220</v>
      </c>
      <c r="H2256" t="s">
        <v>4932</v>
      </c>
      <c r="I2256">
        <v>0</v>
      </c>
      <c r="J2256" t="s">
        <v>97</v>
      </c>
      <c r="K2256">
        <v>0</v>
      </c>
      <c r="L2256">
        <v>0</v>
      </c>
      <c r="M2256" t="s">
        <v>11</v>
      </c>
    </row>
    <row r="2257" spans="1:13">
      <c r="A2257" s="93">
        <v>199157</v>
      </c>
      <c r="B2257" t="s">
        <v>2795</v>
      </c>
      <c r="C2257" t="s">
        <v>4920</v>
      </c>
      <c r="D2257" s="92">
        <v>0.51</v>
      </c>
      <c r="E2257" s="92">
        <v>0.67</v>
      </c>
      <c r="F2257">
        <v>930</v>
      </c>
      <c r="G2257">
        <v>1040</v>
      </c>
      <c r="H2257" t="s">
        <v>4930</v>
      </c>
      <c r="I2257">
        <v>0</v>
      </c>
      <c r="J2257" t="s">
        <v>153</v>
      </c>
      <c r="K2257">
        <v>0</v>
      </c>
      <c r="L2257">
        <v>0</v>
      </c>
      <c r="M2257" t="s">
        <v>11</v>
      </c>
    </row>
    <row r="2258" spans="1:13">
      <c r="A2258" s="93">
        <v>199184</v>
      </c>
      <c r="B2258" t="s">
        <v>2796</v>
      </c>
      <c r="C2258" t="s">
        <v>4926</v>
      </c>
      <c r="D2258" s="92">
        <v>0.72</v>
      </c>
      <c r="E2258" s="92">
        <v>0.7</v>
      </c>
      <c r="F2258">
        <v>1110</v>
      </c>
      <c r="G2258">
        <v>1210</v>
      </c>
      <c r="H2258" t="s">
        <v>4932</v>
      </c>
      <c r="I2258">
        <v>0</v>
      </c>
      <c r="J2258" t="s">
        <v>97</v>
      </c>
      <c r="K2258">
        <v>0</v>
      </c>
      <c r="L2258">
        <v>0</v>
      </c>
      <c r="M2258" t="s">
        <v>11</v>
      </c>
    </row>
    <row r="2259" spans="1:13">
      <c r="A2259" s="93">
        <v>199209</v>
      </c>
      <c r="B2259" t="s">
        <v>2797</v>
      </c>
      <c r="C2259" t="s">
        <v>4920</v>
      </c>
      <c r="D2259" s="92">
        <v>0.37</v>
      </c>
      <c r="E2259" s="92">
        <v>0.25</v>
      </c>
      <c r="F2259">
        <v>860</v>
      </c>
      <c r="G2259">
        <v>990</v>
      </c>
      <c r="H2259" t="s">
        <v>4930</v>
      </c>
      <c r="I2259">
        <v>0</v>
      </c>
      <c r="J2259" t="s">
        <v>97</v>
      </c>
      <c r="K2259">
        <v>0</v>
      </c>
      <c r="L2259">
        <v>0</v>
      </c>
      <c r="M2259" t="s">
        <v>11</v>
      </c>
    </row>
    <row r="2260" spans="1:13">
      <c r="A2260" s="93">
        <v>199218</v>
      </c>
      <c r="B2260" t="s">
        <v>2798</v>
      </c>
      <c r="C2260" t="s">
        <v>4916</v>
      </c>
      <c r="D2260" s="92">
        <v>0.72</v>
      </c>
      <c r="E2260" s="92">
        <v>0.6899999999999999</v>
      </c>
      <c r="F2260">
        <v>1210</v>
      </c>
      <c r="G2260">
        <v>1270</v>
      </c>
      <c r="H2260" t="s">
        <v>4932</v>
      </c>
      <c r="I2260">
        <v>0</v>
      </c>
      <c r="J2260" t="s">
        <v>97</v>
      </c>
      <c r="K2260">
        <v>0</v>
      </c>
      <c r="L2260">
        <v>0</v>
      </c>
      <c r="M2260" t="s">
        <v>11</v>
      </c>
    </row>
    <row r="2261" spans="1:13">
      <c r="A2261" s="93">
        <v>199263</v>
      </c>
      <c r="B2261" t="s">
        <v>2799</v>
      </c>
      <c r="C2261" t="s">
        <v>4919</v>
      </c>
      <c r="D2261" s="92" t="s">
        <v>446</v>
      </c>
      <c r="E2261" s="92" t="s">
        <v>446</v>
      </c>
      <c r="F2261" t="s">
        <v>446</v>
      </c>
      <c r="G2261" t="s">
        <v>446</v>
      </c>
      <c r="H2261" t="s">
        <v>4932</v>
      </c>
      <c r="I2261">
        <v>0</v>
      </c>
      <c r="J2261" t="s">
        <v>97</v>
      </c>
      <c r="K2261">
        <v>0</v>
      </c>
      <c r="L2261">
        <v>0</v>
      </c>
      <c r="M2261" t="s">
        <v>11</v>
      </c>
    </row>
    <row r="2262" spans="1:13">
      <c r="A2262" s="93">
        <v>199272</v>
      </c>
      <c r="B2262" t="s">
        <v>2800</v>
      </c>
      <c r="C2262" t="s">
        <v>4918</v>
      </c>
      <c r="D2262" s="92">
        <v>0.41</v>
      </c>
      <c r="E2262" s="92">
        <v>0.37</v>
      </c>
      <c r="F2262">
        <v>1080</v>
      </c>
      <c r="G2262">
        <v>1160</v>
      </c>
      <c r="H2262" t="s">
        <v>4930</v>
      </c>
      <c r="I2262">
        <v>0</v>
      </c>
      <c r="J2262" t="s">
        <v>97</v>
      </c>
      <c r="K2262">
        <v>0</v>
      </c>
      <c r="L2262">
        <v>0</v>
      </c>
      <c r="M2262" t="s">
        <v>11</v>
      </c>
    </row>
    <row r="2263" spans="1:13">
      <c r="A2263" s="93">
        <v>199281</v>
      </c>
      <c r="B2263" t="s">
        <v>2801</v>
      </c>
      <c r="C2263" t="s">
        <v>4918</v>
      </c>
      <c r="D2263" s="92">
        <v>0.43</v>
      </c>
      <c r="E2263" s="92">
        <v>0.45</v>
      </c>
      <c r="F2263">
        <v>890</v>
      </c>
      <c r="G2263">
        <v>985</v>
      </c>
      <c r="H2263" t="s">
        <v>4932</v>
      </c>
      <c r="I2263">
        <v>0</v>
      </c>
      <c r="J2263" t="s">
        <v>97</v>
      </c>
      <c r="K2263">
        <v>0</v>
      </c>
      <c r="L2263">
        <v>0</v>
      </c>
      <c r="M2263" t="s">
        <v>11</v>
      </c>
    </row>
    <row r="2264" spans="1:13">
      <c r="A2264" s="93">
        <v>199306</v>
      </c>
      <c r="B2264" t="s">
        <v>2802</v>
      </c>
      <c r="C2264" t="s">
        <v>4918</v>
      </c>
      <c r="D2264" s="92">
        <v>0.41</v>
      </c>
      <c r="E2264" s="92">
        <v>0.3</v>
      </c>
      <c r="F2264">
        <v>890</v>
      </c>
      <c r="G2264">
        <v>1025</v>
      </c>
      <c r="H2264" t="s">
        <v>4930</v>
      </c>
      <c r="I2264">
        <v>0</v>
      </c>
      <c r="J2264" t="s">
        <v>97</v>
      </c>
      <c r="K2264">
        <v>0</v>
      </c>
      <c r="L2264">
        <v>0</v>
      </c>
      <c r="M2264" t="s">
        <v>11</v>
      </c>
    </row>
    <row r="2265" spans="1:13">
      <c r="A2265" s="93">
        <v>199324</v>
      </c>
      <c r="B2265" t="s">
        <v>2803</v>
      </c>
      <c r="C2265" t="s">
        <v>4919</v>
      </c>
      <c r="D2265" s="92">
        <v>0.41</v>
      </c>
      <c r="E2265" s="92">
        <v>0.39</v>
      </c>
      <c r="F2265" t="s">
        <v>446</v>
      </c>
      <c r="G2265" t="s">
        <v>446</v>
      </c>
      <c r="H2265" t="s">
        <v>4932</v>
      </c>
      <c r="I2265">
        <v>0</v>
      </c>
      <c r="J2265" t="s">
        <v>97</v>
      </c>
      <c r="K2265">
        <v>0</v>
      </c>
      <c r="L2265">
        <v>0</v>
      </c>
      <c r="M2265" t="s">
        <v>11</v>
      </c>
    </row>
    <row r="2266" spans="1:13">
      <c r="A2266" s="93">
        <v>199333</v>
      </c>
      <c r="B2266" t="s">
        <v>2804</v>
      </c>
      <c r="C2266" t="s">
        <v>4919</v>
      </c>
      <c r="D2266" s="92">
        <v>0.38</v>
      </c>
      <c r="E2266" s="92">
        <v>0.31</v>
      </c>
      <c r="F2266" t="s">
        <v>446</v>
      </c>
      <c r="G2266" t="s">
        <v>446</v>
      </c>
      <c r="H2266" t="s">
        <v>4932</v>
      </c>
      <c r="I2266">
        <v>0</v>
      </c>
      <c r="J2266" t="s">
        <v>97</v>
      </c>
      <c r="K2266">
        <v>0</v>
      </c>
      <c r="L2266">
        <v>0</v>
      </c>
      <c r="M2266" t="s">
        <v>11</v>
      </c>
    </row>
    <row r="2267" spans="1:13">
      <c r="A2267" s="93">
        <v>199412</v>
      </c>
      <c r="B2267" t="s">
        <v>2805</v>
      </c>
      <c r="C2267" t="s">
        <v>4920</v>
      </c>
      <c r="D2267" s="92">
        <v>0.6</v>
      </c>
      <c r="E2267" s="92">
        <v>0.5600000000000001</v>
      </c>
      <c r="F2267">
        <v>1060</v>
      </c>
      <c r="G2267">
        <v>1150</v>
      </c>
      <c r="H2267" t="s">
        <v>4930</v>
      </c>
      <c r="I2267">
        <v>0</v>
      </c>
      <c r="J2267" t="s">
        <v>97</v>
      </c>
      <c r="K2267">
        <v>0</v>
      </c>
      <c r="L2267">
        <v>0</v>
      </c>
      <c r="M2267" t="s">
        <v>11</v>
      </c>
    </row>
    <row r="2268" spans="1:13">
      <c r="A2268" s="93">
        <v>199421</v>
      </c>
      <c r="B2268" t="s">
        <v>2806</v>
      </c>
      <c r="C2268" t="s">
        <v>4919</v>
      </c>
      <c r="D2268" s="92">
        <v>0.51</v>
      </c>
      <c r="E2268" s="92">
        <v>0.48</v>
      </c>
      <c r="F2268" t="s">
        <v>446</v>
      </c>
      <c r="G2268" t="s">
        <v>446</v>
      </c>
      <c r="H2268" t="s">
        <v>4932</v>
      </c>
      <c r="I2268">
        <v>0</v>
      </c>
      <c r="J2268" t="s">
        <v>97</v>
      </c>
      <c r="K2268">
        <v>0</v>
      </c>
      <c r="L2268">
        <v>0</v>
      </c>
      <c r="M2268" t="s">
        <v>11</v>
      </c>
    </row>
    <row r="2269" spans="1:13">
      <c r="A2269" s="93">
        <v>199449</v>
      </c>
      <c r="B2269" t="s">
        <v>2807</v>
      </c>
      <c r="C2269" t="s">
        <v>4919</v>
      </c>
      <c r="D2269" s="92">
        <v>0.45</v>
      </c>
      <c r="E2269" s="92">
        <v>0.31</v>
      </c>
      <c r="F2269" t="s">
        <v>446</v>
      </c>
      <c r="G2269" t="s">
        <v>446</v>
      </c>
      <c r="H2269" t="s">
        <v>4932</v>
      </c>
      <c r="I2269">
        <v>0</v>
      </c>
      <c r="J2269" t="s">
        <v>97</v>
      </c>
      <c r="K2269">
        <v>0</v>
      </c>
      <c r="L2269">
        <v>0</v>
      </c>
      <c r="M2269" t="s">
        <v>11</v>
      </c>
    </row>
    <row r="2270" spans="1:13">
      <c r="A2270" s="93">
        <v>199458</v>
      </c>
      <c r="B2270" t="s">
        <v>2808</v>
      </c>
      <c r="C2270" t="s">
        <v>4918</v>
      </c>
      <c r="D2270" s="92">
        <v>0.38</v>
      </c>
      <c r="E2270" s="92">
        <v>0.15</v>
      </c>
      <c r="F2270">
        <v>760</v>
      </c>
      <c r="G2270">
        <v>960</v>
      </c>
      <c r="H2270" t="s">
        <v>4930</v>
      </c>
      <c r="I2270">
        <v>0</v>
      </c>
      <c r="J2270" t="s">
        <v>97</v>
      </c>
      <c r="K2270">
        <v>0</v>
      </c>
      <c r="L2270">
        <v>0</v>
      </c>
      <c r="M2270" t="s">
        <v>11</v>
      </c>
    </row>
    <row r="2271" spans="1:13">
      <c r="A2271" s="93">
        <v>199467</v>
      </c>
      <c r="B2271" t="s">
        <v>2809</v>
      </c>
      <c r="C2271" t="s">
        <v>4919</v>
      </c>
      <c r="D2271" s="92" t="s">
        <v>446</v>
      </c>
      <c r="E2271" s="92" t="s">
        <v>446</v>
      </c>
      <c r="F2271" t="s">
        <v>446</v>
      </c>
      <c r="G2271" t="s">
        <v>446</v>
      </c>
      <c r="H2271" t="s">
        <v>4932</v>
      </c>
      <c r="I2271">
        <v>0</v>
      </c>
      <c r="J2271" t="s">
        <v>97</v>
      </c>
      <c r="K2271">
        <v>0</v>
      </c>
      <c r="L2271">
        <v>0</v>
      </c>
      <c r="M2271" t="s">
        <v>11</v>
      </c>
    </row>
    <row r="2272" spans="1:13">
      <c r="A2272" s="93">
        <v>199476</v>
      </c>
      <c r="B2272" t="s">
        <v>2810</v>
      </c>
      <c r="C2272" t="s">
        <v>4919</v>
      </c>
      <c r="D2272" s="92">
        <v>0.35</v>
      </c>
      <c r="E2272" s="92">
        <v>0.27</v>
      </c>
      <c r="F2272" t="s">
        <v>446</v>
      </c>
      <c r="G2272" t="s">
        <v>446</v>
      </c>
      <c r="H2272" t="s">
        <v>4932</v>
      </c>
      <c r="I2272">
        <v>0</v>
      </c>
      <c r="J2272" t="s">
        <v>97</v>
      </c>
      <c r="K2272">
        <v>0</v>
      </c>
      <c r="L2272">
        <v>0</v>
      </c>
      <c r="M2272" t="s">
        <v>11</v>
      </c>
    </row>
    <row r="2273" spans="1:13">
      <c r="A2273" s="93">
        <v>199485</v>
      </c>
      <c r="B2273" t="s">
        <v>2811</v>
      </c>
      <c r="C2273" t="s">
        <v>4919</v>
      </c>
      <c r="D2273" s="92">
        <v>0.36</v>
      </c>
      <c r="E2273" s="92">
        <v>0.28</v>
      </c>
      <c r="F2273" t="s">
        <v>446</v>
      </c>
      <c r="G2273" t="s">
        <v>446</v>
      </c>
      <c r="H2273" t="s">
        <v>4932</v>
      </c>
      <c r="I2273">
        <v>0</v>
      </c>
      <c r="J2273" t="s">
        <v>97</v>
      </c>
      <c r="K2273">
        <v>0</v>
      </c>
      <c r="L2273">
        <v>0</v>
      </c>
      <c r="M2273" t="s">
        <v>11</v>
      </c>
    </row>
    <row r="2274" spans="1:13">
      <c r="A2274" s="93">
        <v>199494</v>
      </c>
      <c r="B2274" t="s">
        <v>2812</v>
      </c>
      <c r="C2274" t="s">
        <v>4919</v>
      </c>
      <c r="D2274" s="92">
        <v>0.39</v>
      </c>
      <c r="E2274" s="92">
        <v>0.31</v>
      </c>
      <c r="F2274" t="s">
        <v>446</v>
      </c>
      <c r="G2274" t="s">
        <v>446</v>
      </c>
      <c r="H2274" t="s">
        <v>4932</v>
      </c>
      <c r="I2274">
        <v>0</v>
      </c>
      <c r="J2274" t="s">
        <v>97</v>
      </c>
      <c r="K2274">
        <v>0</v>
      </c>
      <c r="L2274">
        <v>0</v>
      </c>
      <c r="M2274" t="s">
        <v>11</v>
      </c>
    </row>
    <row r="2275" spans="1:13">
      <c r="A2275" s="93">
        <v>199625</v>
      </c>
      <c r="B2275" t="s">
        <v>2813</v>
      </c>
      <c r="C2275" t="s">
        <v>4919</v>
      </c>
      <c r="D2275" s="92" t="s">
        <v>446</v>
      </c>
      <c r="E2275" s="92" t="s">
        <v>446</v>
      </c>
      <c r="F2275" t="s">
        <v>446</v>
      </c>
      <c r="G2275" t="s">
        <v>446</v>
      </c>
      <c r="H2275" t="s">
        <v>4932</v>
      </c>
      <c r="I2275">
        <v>0</v>
      </c>
      <c r="J2275" t="s">
        <v>97</v>
      </c>
      <c r="K2275">
        <v>0</v>
      </c>
      <c r="L2275">
        <v>0</v>
      </c>
      <c r="M2275" t="s">
        <v>11</v>
      </c>
    </row>
    <row r="2276" spans="1:13">
      <c r="A2276" s="93">
        <v>199634</v>
      </c>
      <c r="B2276" t="s">
        <v>2814</v>
      </c>
      <c r="C2276" t="s">
        <v>4919</v>
      </c>
      <c r="D2276" s="92">
        <v>0.49</v>
      </c>
      <c r="E2276" s="92">
        <v>0.39</v>
      </c>
      <c r="F2276" t="s">
        <v>446</v>
      </c>
      <c r="G2276" t="s">
        <v>446</v>
      </c>
      <c r="H2276" t="s">
        <v>4932</v>
      </c>
      <c r="I2276">
        <v>0</v>
      </c>
      <c r="J2276" t="s">
        <v>97</v>
      </c>
      <c r="K2276">
        <v>0</v>
      </c>
      <c r="L2276">
        <v>0</v>
      </c>
      <c r="M2276" t="s">
        <v>11</v>
      </c>
    </row>
    <row r="2277" spans="1:13">
      <c r="A2277" s="93">
        <v>199643</v>
      </c>
      <c r="B2277" t="s">
        <v>2815</v>
      </c>
      <c r="C2277" t="s">
        <v>4920</v>
      </c>
      <c r="D2277" s="92">
        <v>0.16</v>
      </c>
      <c r="E2277" s="92">
        <v>0.37</v>
      </c>
      <c r="F2277" t="s">
        <v>446</v>
      </c>
      <c r="G2277" t="s">
        <v>446</v>
      </c>
      <c r="H2277" t="s">
        <v>4931</v>
      </c>
      <c r="I2277">
        <v>0</v>
      </c>
      <c r="J2277" t="s">
        <v>153</v>
      </c>
      <c r="K2277">
        <v>0</v>
      </c>
      <c r="L2277">
        <v>0</v>
      </c>
      <c r="M2277" t="s">
        <v>11</v>
      </c>
    </row>
    <row r="2278" spans="1:13">
      <c r="A2278" s="93">
        <v>199698</v>
      </c>
      <c r="B2278" t="s">
        <v>2816</v>
      </c>
      <c r="C2278" t="s">
        <v>4918</v>
      </c>
      <c r="D2278" s="92">
        <v>0.35</v>
      </c>
      <c r="E2278" s="92">
        <v>0.28</v>
      </c>
      <c r="F2278" t="s">
        <v>446</v>
      </c>
      <c r="G2278" t="s">
        <v>446</v>
      </c>
      <c r="H2278" t="s">
        <v>4930</v>
      </c>
      <c r="I2278">
        <v>0</v>
      </c>
      <c r="J2278" t="s">
        <v>97</v>
      </c>
      <c r="K2278">
        <v>0</v>
      </c>
      <c r="L2278">
        <v>0</v>
      </c>
      <c r="M2278" t="s">
        <v>11</v>
      </c>
    </row>
    <row r="2279" spans="1:13">
      <c r="A2279" s="93">
        <v>199722</v>
      </c>
      <c r="B2279" t="s">
        <v>957</v>
      </c>
      <c r="C2279" t="s">
        <v>4919</v>
      </c>
      <c r="D2279" s="92">
        <v>0.5</v>
      </c>
      <c r="E2279" s="92">
        <v>0.36</v>
      </c>
      <c r="F2279" t="s">
        <v>446</v>
      </c>
      <c r="G2279" t="s">
        <v>446</v>
      </c>
      <c r="H2279" t="s">
        <v>4932</v>
      </c>
      <c r="I2279">
        <v>0</v>
      </c>
      <c r="J2279" t="s">
        <v>97</v>
      </c>
      <c r="K2279">
        <v>0</v>
      </c>
      <c r="L2279">
        <v>0</v>
      </c>
      <c r="M2279" t="s">
        <v>11</v>
      </c>
    </row>
    <row r="2280" spans="1:13">
      <c r="A2280" s="93">
        <v>199731</v>
      </c>
      <c r="B2280" t="s">
        <v>1857</v>
      </c>
      <c r="C2280" t="s">
        <v>4919</v>
      </c>
      <c r="D2280" s="92">
        <v>0.52</v>
      </c>
      <c r="E2280" s="92">
        <v>0.4</v>
      </c>
      <c r="F2280" t="s">
        <v>446</v>
      </c>
      <c r="G2280" t="s">
        <v>446</v>
      </c>
      <c r="H2280" t="s">
        <v>4932</v>
      </c>
      <c r="I2280">
        <v>0</v>
      </c>
      <c r="J2280" t="s">
        <v>97</v>
      </c>
      <c r="K2280">
        <v>0</v>
      </c>
      <c r="L2280">
        <v>0</v>
      </c>
      <c r="M2280" t="s">
        <v>11</v>
      </c>
    </row>
    <row r="2281" spans="1:13">
      <c r="A2281" s="93">
        <v>199740</v>
      </c>
      <c r="B2281" t="s">
        <v>2817</v>
      </c>
      <c r="C2281" t="s">
        <v>4919</v>
      </c>
      <c r="D2281" s="92">
        <v>0.52</v>
      </c>
      <c r="E2281" s="92">
        <v>0.57</v>
      </c>
      <c r="F2281" t="s">
        <v>446</v>
      </c>
      <c r="G2281" t="s">
        <v>446</v>
      </c>
      <c r="H2281" t="s">
        <v>4932</v>
      </c>
      <c r="I2281">
        <v>0</v>
      </c>
      <c r="J2281" t="s">
        <v>97</v>
      </c>
      <c r="K2281">
        <v>0</v>
      </c>
      <c r="L2281">
        <v>0</v>
      </c>
      <c r="M2281" t="s">
        <v>11</v>
      </c>
    </row>
    <row r="2282" spans="1:13">
      <c r="A2282" s="93">
        <v>199759</v>
      </c>
      <c r="B2282" t="s">
        <v>2818</v>
      </c>
      <c r="C2282" t="s">
        <v>4924</v>
      </c>
      <c r="D2282" s="92">
        <v>0.53</v>
      </c>
      <c r="E2282" s="92">
        <v>0.47</v>
      </c>
      <c r="F2282" t="s">
        <v>446</v>
      </c>
      <c r="G2282" t="s">
        <v>446</v>
      </c>
      <c r="H2282" t="s">
        <v>4930</v>
      </c>
      <c r="I2282">
        <v>0</v>
      </c>
      <c r="J2282" t="s">
        <v>97</v>
      </c>
      <c r="K2282">
        <v>0</v>
      </c>
      <c r="L2282">
        <v>0</v>
      </c>
      <c r="M2282" t="s">
        <v>11</v>
      </c>
    </row>
    <row r="2283" spans="1:13">
      <c r="A2283" s="93">
        <v>199768</v>
      </c>
      <c r="B2283" t="s">
        <v>2819</v>
      </c>
      <c r="C2283" t="s">
        <v>4919</v>
      </c>
      <c r="D2283" s="92">
        <v>0.44</v>
      </c>
      <c r="E2283" s="92">
        <v>0.41</v>
      </c>
      <c r="F2283" t="s">
        <v>446</v>
      </c>
      <c r="G2283" t="s">
        <v>446</v>
      </c>
      <c r="H2283" t="s">
        <v>4932</v>
      </c>
      <c r="I2283">
        <v>0</v>
      </c>
      <c r="J2283" t="s">
        <v>97</v>
      </c>
      <c r="K2283">
        <v>0</v>
      </c>
      <c r="L2283">
        <v>0</v>
      </c>
      <c r="M2283" t="s">
        <v>11</v>
      </c>
    </row>
    <row r="2284" spans="1:13">
      <c r="A2284" s="93">
        <v>199786</v>
      </c>
      <c r="B2284" t="s">
        <v>2820</v>
      </c>
      <c r="C2284" t="s">
        <v>4919</v>
      </c>
      <c r="D2284" s="92">
        <v>0.38</v>
      </c>
      <c r="E2284" s="92">
        <v>0.32</v>
      </c>
      <c r="F2284" t="s">
        <v>446</v>
      </c>
      <c r="G2284" t="s">
        <v>446</v>
      </c>
      <c r="H2284" t="s">
        <v>4932</v>
      </c>
      <c r="I2284">
        <v>0</v>
      </c>
      <c r="J2284" t="s">
        <v>97</v>
      </c>
      <c r="K2284">
        <v>0</v>
      </c>
      <c r="L2284">
        <v>0</v>
      </c>
      <c r="M2284" t="s">
        <v>11</v>
      </c>
    </row>
    <row r="2285" spans="1:13">
      <c r="A2285" s="93">
        <v>199795</v>
      </c>
      <c r="B2285" t="s">
        <v>2821</v>
      </c>
      <c r="C2285" t="s">
        <v>4919</v>
      </c>
      <c r="D2285" s="92">
        <v>0.39</v>
      </c>
      <c r="E2285" s="92">
        <v>0.41</v>
      </c>
      <c r="F2285" t="s">
        <v>446</v>
      </c>
      <c r="G2285" t="s">
        <v>446</v>
      </c>
      <c r="H2285" t="s">
        <v>4932</v>
      </c>
      <c r="I2285">
        <v>0</v>
      </c>
      <c r="J2285" t="s">
        <v>97</v>
      </c>
      <c r="K2285">
        <v>0</v>
      </c>
      <c r="L2285">
        <v>0</v>
      </c>
      <c r="M2285" t="s">
        <v>11</v>
      </c>
    </row>
    <row r="2286" spans="1:13">
      <c r="A2286" s="93">
        <v>199838</v>
      </c>
      <c r="B2286" t="s">
        <v>2822</v>
      </c>
      <c r="C2286" t="s">
        <v>4919</v>
      </c>
      <c r="D2286" s="92">
        <v>0.42</v>
      </c>
      <c r="E2286" s="92">
        <v>0.37</v>
      </c>
      <c r="F2286" t="s">
        <v>446</v>
      </c>
      <c r="G2286" t="s">
        <v>446</v>
      </c>
      <c r="H2286" t="s">
        <v>4932</v>
      </c>
      <c r="I2286">
        <v>0</v>
      </c>
      <c r="J2286" t="s">
        <v>97</v>
      </c>
      <c r="K2286">
        <v>0</v>
      </c>
      <c r="L2286">
        <v>0</v>
      </c>
      <c r="M2286" t="s">
        <v>11</v>
      </c>
    </row>
    <row r="2287" spans="1:13">
      <c r="A2287" s="93">
        <v>199865</v>
      </c>
      <c r="B2287" t="s">
        <v>2823</v>
      </c>
      <c r="C2287" t="s">
        <v>4916</v>
      </c>
      <c r="D2287" s="92">
        <v>0.41</v>
      </c>
      <c r="E2287" s="92">
        <v>0.39</v>
      </c>
      <c r="F2287">
        <v>1180</v>
      </c>
      <c r="G2287">
        <v>1275</v>
      </c>
      <c r="H2287" t="s">
        <v>4930</v>
      </c>
      <c r="I2287">
        <v>0</v>
      </c>
      <c r="J2287" t="s">
        <v>97</v>
      </c>
      <c r="K2287">
        <v>0</v>
      </c>
      <c r="L2287">
        <v>0</v>
      </c>
      <c r="M2287" t="s">
        <v>11</v>
      </c>
    </row>
    <row r="2288" spans="1:13">
      <c r="A2288" s="93">
        <v>199883</v>
      </c>
      <c r="B2288" t="s">
        <v>2824</v>
      </c>
      <c r="C2288" t="s">
        <v>4919</v>
      </c>
      <c r="D2288" s="92" t="s">
        <v>446</v>
      </c>
      <c r="E2288" s="92" t="s">
        <v>446</v>
      </c>
      <c r="F2288" t="s">
        <v>446</v>
      </c>
      <c r="G2288" t="s">
        <v>446</v>
      </c>
      <c r="H2288" t="s">
        <v>4932</v>
      </c>
      <c r="I2288">
        <v>0</v>
      </c>
      <c r="J2288" t="s">
        <v>97</v>
      </c>
      <c r="K2288">
        <v>0</v>
      </c>
      <c r="L2288">
        <v>0</v>
      </c>
      <c r="M2288" t="s">
        <v>11</v>
      </c>
    </row>
    <row r="2289" spans="1:13">
      <c r="A2289" s="93">
        <v>199892</v>
      </c>
      <c r="B2289" t="s">
        <v>2825</v>
      </c>
      <c r="C2289" t="s">
        <v>4919</v>
      </c>
      <c r="D2289" s="92">
        <v>0.53</v>
      </c>
      <c r="E2289" s="92">
        <v>0.44</v>
      </c>
      <c r="F2289" t="s">
        <v>446</v>
      </c>
      <c r="G2289" t="s">
        <v>446</v>
      </c>
      <c r="H2289" t="s">
        <v>4932</v>
      </c>
      <c r="I2289">
        <v>0</v>
      </c>
      <c r="J2289" t="s">
        <v>97</v>
      </c>
      <c r="K2289">
        <v>0</v>
      </c>
      <c r="L2289">
        <v>0</v>
      </c>
      <c r="M2289" t="s">
        <v>11</v>
      </c>
    </row>
    <row r="2290" spans="1:13">
      <c r="A2290" s="93">
        <v>199908</v>
      </c>
      <c r="B2290" t="s">
        <v>2826</v>
      </c>
      <c r="C2290" t="s">
        <v>4919</v>
      </c>
      <c r="D2290" s="92">
        <v>0.52</v>
      </c>
      <c r="E2290" s="92">
        <v>0.46</v>
      </c>
      <c r="F2290" t="s">
        <v>446</v>
      </c>
      <c r="G2290" t="s">
        <v>446</v>
      </c>
      <c r="H2290" t="s">
        <v>4932</v>
      </c>
      <c r="I2290">
        <v>0</v>
      </c>
      <c r="J2290" t="s">
        <v>97</v>
      </c>
      <c r="K2290">
        <v>0</v>
      </c>
      <c r="L2290">
        <v>0</v>
      </c>
      <c r="M2290" t="s">
        <v>11</v>
      </c>
    </row>
    <row r="2291" spans="1:13">
      <c r="A2291" s="93">
        <v>199926</v>
      </c>
      <c r="B2291" t="s">
        <v>2827</v>
      </c>
      <c r="C2291" t="s">
        <v>4919</v>
      </c>
      <c r="D2291" s="92">
        <v>0.47</v>
      </c>
      <c r="E2291" s="92">
        <v>0.36</v>
      </c>
      <c r="F2291" t="s">
        <v>446</v>
      </c>
      <c r="G2291" t="s">
        <v>446</v>
      </c>
      <c r="H2291" t="s">
        <v>4932</v>
      </c>
      <c r="I2291">
        <v>0</v>
      </c>
      <c r="J2291" t="s">
        <v>97</v>
      </c>
      <c r="K2291">
        <v>0</v>
      </c>
      <c r="L2291">
        <v>0</v>
      </c>
      <c r="M2291" t="s">
        <v>11</v>
      </c>
    </row>
    <row r="2292" spans="1:13">
      <c r="A2292" s="93">
        <v>199953</v>
      </c>
      <c r="B2292" t="s">
        <v>2828</v>
      </c>
      <c r="C2292" t="s">
        <v>4919</v>
      </c>
      <c r="D2292" s="92">
        <v>0.36</v>
      </c>
      <c r="E2292" s="92">
        <v>0.31</v>
      </c>
      <c r="F2292" t="s">
        <v>446</v>
      </c>
      <c r="G2292" t="s">
        <v>446</v>
      </c>
      <c r="H2292" t="s">
        <v>4932</v>
      </c>
      <c r="I2292">
        <v>0</v>
      </c>
      <c r="J2292" t="s">
        <v>97</v>
      </c>
      <c r="K2292">
        <v>0</v>
      </c>
      <c r="L2292">
        <v>0</v>
      </c>
      <c r="M2292" t="s">
        <v>11</v>
      </c>
    </row>
    <row r="2293" spans="1:13">
      <c r="A2293" s="93">
        <v>199962</v>
      </c>
      <c r="B2293" t="s">
        <v>2829</v>
      </c>
      <c r="C2293" t="s">
        <v>4920</v>
      </c>
      <c r="D2293" s="92">
        <v>0.54</v>
      </c>
      <c r="E2293" s="92">
        <v>0.52</v>
      </c>
      <c r="F2293" t="s">
        <v>446</v>
      </c>
      <c r="G2293" t="s">
        <v>446</v>
      </c>
      <c r="H2293" t="s">
        <v>4930</v>
      </c>
      <c r="I2293">
        <v>0</v>
      </c>
      <c r="J2293" t="s">
        <v>97</v>
      </c>
      <c r="K2293">
        <v>0</v>
      </c>
      <c r="L2293">
        <v>0</v>
      </c>
      <c r="M2293" t="s">
        <v>11</v>
      </c>
    </row>
    <row r="2294" spans="1:13">
      <c r="A2294" s="93">
        <v>199971</v>
      </c>
      <c r="B2294" t="s">
        <v>2830</v>
      </c>
      <c r="C2294" t="s">
        <v>4923</v>
      </c>
      <c r="D2294" s="92">
        <v>1</v>
      </c>
      <c r="E2294" s="92">
        <v>1</v>
      </c>
      <c r="F2294" t="s">
        <v>446</v>
      </c>
      <c r="G2294" t="s">
        <v>446</v>
      </c>
      <c r="H2294" t="s">
        <v>4931</v>
      </c>
      <c r="I2294">
        <v>0</v>
      </c>
      <c r="J2294" t="s">
        <v>97</v>
      </c>
      <c r="K2294">
        <v>0</v>
      </c>
      <c r="L2294">
        <v>0</v>
      </c>
      <c r="M2294" t="s">
        <v>11</v>
      </c>
    </row>
    <row r="2295" spans="1:13">
      <c r="A2295" s="93">
        <v>199999</v>
      </c>
      <c r="B2295" t="s">
        <v>2831</v>
      </c>
      <c r="C2295" t="s">
        <v>4918</v>
      </c>
      <c r="D2295" s="92">
        <v>0.46</v>
      </c>
      <c r="E2295" s="92">
        <v>0.63</v>
      </c>
      <c r="F2295">
        <v>850</v>
      </c>
      <c r="G2295">
        <v>930</v>
      </c>
      <c r="H2295" t="s">
        <v>4932</v>
      </c>
      <c r="I2295">
        <v>0</v>
      </c>
      <c r="J2295" t="s">
        <v>153</v>
      </c>
      <c r="K2295">
        <v>0</v>
      </c>
      <c r="L2295">
        <v>0</v>
      </c>
      <c r="M2295" t="s">
        <v>11</v>
      </c>
    </row>
    <row r="2296" spans="1:13">
      <c r="A2296" s="93">
        <v>200004</v>
      </c>
      <c r="B2296" t="s">
        <v>2832</v>
      </c>
      <c r="C2296" t="s">
        <v>4920</v>
      </c>
      <c r="D2296" s="92">
        <v>0.61</v>
      </c>
      <c r="E2296" s="92">
        <v>0.5600000000000001</v>
      </c>
      <c r="F2296">
        <v>1010</v>
      </c>
      <c r="G2296">
        <v>1110</v>
      </c>
      <c r="H2296" t="s">
        <v>4932</v>
      </c>
      <c r="I2296">
        <v>0</v>
      </c>
      <c r="J2296" t="s">
        <v>97</v>
      </c>
      <c r="K2296">
        <v>0</v>
      </c>
      <c r="L2296">
        <v>0</v>
      </c>
      <c r="M2296" t="s">
        <v>11</v>
      </c>
    </row>
    <row r="2297" spans="1:13">
      <c r="A2297" s="93">
        <v>200013</v>
      </c>
      <c r="B2297" t="s">
        <v>2833</v>
      </c>
      <c r="C2297" t="s">
        <v>4923</v>
      </c>
      <c r="D2297" s="92">
        <v>0.71</v>
      </c>
      <c r="E2297" s="92" t="s">
        <v>446</v>
      </c>
      <c r="F2297" t="s">
        <v>446</v>
      </c>
      <c r="G2297" t="s">
        <v>446</v>
      </c>
      <c r="H2297" t="s">
        <v>4930</v>
      </c>
      <c r="I2297">
        <v>0</v>
      </c>
      <c r="J2297" t="s">
        <v>97</v>
      </c>
      <c r="K2297">
        <v>0</v>
      </c>
      <c r="L2297">
        <v>0</v>
      </c>
      <c r="M2297" t="s">
        <v>11</v>
      </c>
    </row>
    <row r="2298" spans="1:13">
      <c r="A2298" s="93">
        <v>200022</v>
      </c>
      <c r="B2298" t="s">
        <v>2834</v>
      </c>
      <c r="C2298" t="s">
        <v>4923</v>
      </c>
      <c r="D2298" s="92" t="s">
        <v>446</v>
      </c>
      <c r="E2298" s="92" t="s">
        <v>446</v>
      </c>
      <c r="F2298" t="s">
        <v>446</v>
      </c>
      <c r="G2298" t="s">
        <v>446</v>
      </c>
      <c r="H2298" t="s">
        <v>4932</v>
      </c>
      <c r="I2298">
        <v>0</v>
      </c>
      <c r="J2298" t="s">
        <v>97</v>
      </c>
      <c r="K2298">
        <v>0</v>
      </c>
      <c r="L2298">
        <v>0</v>
      </c>
      <c r="M2298" t="s">
        <v>11</v>
      </c>
    </row>
    <row r="2299" spans="1:13">
      <c r="A2299" s="93">
        <v>200059</v>
      </c>
      <c r="B2299" t="s">
        <v>2835</v>
      </c>
      <c r="C2299" t="s">
        <v>4918</v>
      </c>
      <c r="D2299" s="92">
        <v>0.37</v>
      </c>
      <c r="E2299" s="92">
        <v>0.39</v>
      </c>
      <c r="F2299">
        <v>890</v>
      </c>
      <c r="G2299">
        <v>1000</v>
      </c>
      <c r="H2299" t="s">
        <v>4932</v>
      </c>
      <c r="I2299">
        <v>0</v>
      </c>
      <c r="J2299" t="s">
        <v>97</v>
      </c>
      <c r="K2299">
        <v>0</v>
      </c>
      <c r="L2299">
        <v>0</v>
      </c>
      <c r="M2299" t="s">
        <v>11</v>
      </c>
    </row>
    <row r="2300" spans="1:13">
      <c r="A2300" s="93">
        <v>200086</v>
      </c>
      <c r="B2300" t="s">
        <v>2836</v>
      </c>
      <c r="C2300" t="s">
        <v>4923</v>
      </c>
      <c r="D2300" s="92" t="s">
        <v>446</v>
      </c>
      <c r="E2300" s="92" t="s">
        <v>446</v>
      </c>
      <c r="F2300" t="s">
        <v>446</v>
      </c>
      <c r="G2300" t="s">
        <v>446</v>
      </c>
      <c r="H2300" t="s">
        <v>4932</v>
      </c>
      <c r="I2300">
        <v>0</v>
      </c>
      <c r="J2300" t="s">
        <v>97</v>
      </c>
      <c r="K2300">
        <v>0</v>
      </c>
      <c r="L2300">
        <v>0</v>
      </c>
      <c r="M2300" t="s">
        <v>11</v>
      </c>
    </row>
    <row r="2301" spans="1:13">
      <c r="A2301" s="93">
        <v>200110</v>
      </c>
      <c r="B2301" t="s">
        <v>2837</v>
      </c>
      <c r="C2301" t="s">
        <v>4919</v>
      </c>
      <c r="D2301" s="92" t="s">
        <v>446</v>
      </c>
      <c r="E2301" s="92" t="s">
        <v>446</v>
      </c>
      <c r="F2301" t="s">
        <v>446</v>
      </c>
      <c r="G2301" t="s">
        <v>446</v>
      </c>
      <c r="H2301" t="s">
        <v>4931</v>
      </c>
      <c r="I2301">
        <v>0</v>
      </c>
      <c r="J2301" t="s">
        <v>97</v>
      </c>
      <c r="K2301">
        <v>0</v>
      </c>
      <c r="L2301">
        <v>0</v>
      </c>
      <c r="M2301" t="s">
        <v>11</v>
      </c>
    </row>
    <row r="2302" spans="1:13">
      <c r="A2302" s="93">
        <v>200156</v>
      </c>
      <c r="B2302" t="s">
        <v>2838</v>
      </c>
      <c r="C2302" t="s">
        <v>4920</v>
      </c>
      <c r="D2302" s="92">
        <v>0.52</v>
      </c>
      <c r="E2302" s="92">
        <v>0.33</v>
      </c>
      <c r="F2302">
        <v>930</v>
      </c>
      <c r="G2302">
        <v>1055</v>
      </c>
      <c r="H2302" t="s">
        <v>4930</v>
      </c>
      <c r="I2302">
        <v>0</v>
      </c>
      <c r="J2302" t="s">
        <v>97</v>
      </c>
      <c r="K2302">
        <v>0</v>
      </c>
      <c r="L2302">
        <v>0</v>
      </c>
      <c r="M2302" t="s">
        <v>11</v>
      </c>
    </row>
    <row r="2303" spans="1:13">
      <c r="A2303" s="93">
        <v>200192</v>
      </c>
      <c r="B2303" t="s">
        <v>2839</v>
      </c>
      <c r="C2303" t="s">
        <v>4919</v>
      </c>
      <c r="D2303" s="92">
        <v>0.59</v>
      </c>
      <c r="E2303" s="92">
        <v>0.53</v>
      </c>
      <c r="F2303" t="s">
        <v>446</v>
      </c>
      <c r="G2303" t="s">
        <v>446</v>
      </c>
      <c r="H2303" t="s">
        <v>4932</v>
      </c>
      <c r="I2303">
        <v>0</v>
      </c>
      <c r="J2303" t="s">
        <v>97</v>
      </c>
      <c r="K2303">
        <v>0</v>
      </c>
      <c r="L2303">
        <v>0</v>
      </c>
      <c r="M2303" t="s">
        <v>11</v>
      </c>
    </row>
    <row r="2304" spans="1:13">
      <c r="A2304" s="93">
        <v>200208</v>
      </c>
      <c r="B2304" t="s">
        <v>2840</v>
      </c>
      <c r="C2304" t="s">
        <v>4919</v>
      </c>
      <c r="D2304" s="92" t="s">
        <v>446</v>
      </c>
      <c r="E2304" s="92" t="s">
        <v>446</v>
      </c>
      <c r="F2304" t="s">
        <v>446</v>
      </c>
      <c r="G2304" t="s">
        <v>446</v>
      </c>
      <c r="H2304" t="s">
        <v>4932</v>
      </c>
      <c r="I2304">
        <v>0</v>
      </c>
      <c r="J2304" t="s">
        <v>97</v>
      </c>
      <c r="K2304">
        <v>0</v>
      </c>
      <c r="L2304">
        <v>0</v>
      </c>
      <c r="M2304" t="s">
        <v>11</v>
      </c>
    </row>
    <row r="2305" spans="1:13">
      <c r="A2305" s="93">
        <v>200217</v>
      </c>
      <c r="B2305" t="s">
        <v>2841</v>
      </c>
      <c r="C2305" t="s">
        <v>4920</v>
      </c>
      <c r="D2305" s="92">
        <v>0.61</v>
      </c>
      <c r="E2305" s="92">
        <v>0.43</v>
      </c>
      <c r="F2305" t="s">
        <v>446</v>
      </c>
      <c r="G2305" t="s">
        <v>446</v>
      </c>
      <c r="H2305" t="s">
        <v>4930</v>
      </c>
      <c r="I2305">
        <v>0</v>
      </c>
      <c r="J2305" t="s">
        <v>97</v>
      </c>
      <c r="K2305">
        <v>0</v>
      </c>
      <c r="L2305">
        <v>0</v>
      </c>
      <c r="M2305" t="s">
        <v>11</v>
      </c>
    </row>
    <row r="2306" spans="1:13">
      <c r="A2306" s="93">
        <v>200226</v>
      </c>
      <c r="B2306" t="s">
        <v>2842</v>
      </c>
      <c r="C2306" t="s">
        <v>4923</v>
      </c>
      <c r="D2306" s="92">
        <v>0.32</v>
      </c>
      <c r="E2306" s="92">
        <v>0.11</v>
      </c>
      <c r="F2306">
        <v>890</v>
      </c>
      <c r="G2306">
        <v>1035</v>
      </c>
      <c r="H2306" t="s">
        <v>4932</v>
      </c>
      <c r="I2306">
        <v>0</v>
      </c>
      <c r="J2306" t="s">
        <v>97</v>
      </c>
      <c r="K2306">
        <v>0</v>
      </c>
      <c r="L2306">
        <v>0</v>
      </c>
      <c r="M2306" t="s">
        <v>11</v>
      </c>
    </row>
    <row r="2307" spans="1:13">
      <c r="A2307" s="93">
        <v>200253</v>
      </c>
      <c r="B2307" t="s">
        <v>2843</v>
      </c>
      <c r="C2307" t="s">
        <v>4920</v>
      </c>
      <c r="D2307" s="92">
        <v>0.49</v>
      </c>
      <c r="E2307" s="92">
        <v>0.42</v>
      </c>
      <c r="F2307">
        <v>930</v>
      </c>
      <c r="G2307">
        <v>1035</v>
      </c>
      <c r="H2307" t="s">
        <v>4932</v>
      </c>
      <c r="I2307">
        <v>0</v>
      </c>
      <c r="J2307" t="s">
        <v>97</v>
      </c>
      <c r="K2307">
        <v>0</v>
      </c>
      <c r="L2307">
        <v>0</v>
      </c>
      <c r="M2307" t="s">
        <v>11</v>
      </c>
    </row>
    <row r="2308" spans="1:13">
      <c r="A2308" s="93">
        <v>200280</v>
      </c>
      <c r="B2308" t="s">
        <v>2844</v>
      </c>
      <c r="C2308" t="s">
        <v>4920</v>
      </c>
      <c r="D2308" s="92">
        <v>0.61</v>
      </c>
      <c r="E2308" s="92">
        <v>0.47</v>
      </c>
      <c r="F2308">
        <v>1040</v>
      </c>
      <c r="G2308">
        <v>1140</v>
      </c>
      <c r="H2308" t="s">
        <v>4932</v>
      </c>
      <c r="I2308">
        <v>0</v>
      </c>
      <c r="J2308" t="s">
        <v>97</v>
      </c>
      <c r="K2308">
        <v>0</v>
      </c>
      <c r="L2308">
        <v>0</v>
      </c>
      <c r="M2308" t="s">
        <v>11</v>
      </c>
    </row>
    <row r="2309" spans="1:13">
      <c r="A2309" s="93">
        <v>200305</v>
      </c>
      <c r="B2309" t="s">
        <v>2845</v>
      </c>
      <c r="C2309" t="s">
        <v>4919</v>
      </c>
      <c r="D2309" s="92" t="s">
        <v>446</v>
      </c>
      <c r="E2309" s="92" t="s">
        <v>446</v>
      </c>
      <c r="F2309" t="s">
        <v>446</v>
      </c>
      <c r="G2309" t="s">
        <v>446</v>
      </c>
      <c r="H2309" t="s">
        <v>4932</v>
      </c>
      <c r="I2309">
        <v>0</v>
      </c>
      <c r="J2309" t="s">
        <v>97</v>
      </c>
      <c r="K2309">
        <v>0</v>
      </c>
      <c r="L2309">
        <v>0</v>
      </c>
      <c r="M2309" t="s">
        <v>11</v>
      </c>
    </row>
    <row r="2310" spans="1:13">
      <c r="A2310" s="93">
        <v>200314</v>
      </c>
      <c r="B2310" t="s">
        <v>2846</v>
      </c>
      <c r="C2310" t="s">
        <v>4919</v>
      </c>
      <c r="D2310" s="92" t="s">
        <v>446</v>
      </c>
      <c r="E2310" s="92" t="s">
        <v>446</v>
      </c>
      <c r="F2310" t="s">
        <v>446</v>
      </c>
      <c r="G2310" t="s">
        <v>446</v>
      </c>
      <c r="H2310" t="s">
        <v>4932</v>
      </c>
      <c r="I2310">
        <v>0</v>
      </c>
      <c r="J2310" t="s">
        <v>97</v>
      </c>
      <c r="K2310">
        <v>0</v>
      </c>
      <c r="L2310">
        <v>0</v>
      </c>
      <c r="M2310" t="s">
        <v>11</v>
      </c>
    </row>
    <row r="2311" spans="1:13">
      <c r="A2311" s="93">
        <v>200332</v>
      </c>
      <c r="B2311" t="s">
        <v>2847</v>
      </c>
      <c r="C2311" t="s">
        <v>4920</v>
      </c>
      <c r="D2311" s="92">
        <v>0.65</v>
      </c>
      <c r="E2311" s="92">
        <v>0.57</v>
      </c>
      <c r="F2311">
        <v>1040</v>
      </c>
      <c r="G2311">
        <v>1140</v>
      </c>
      <c r="H2311" t="s">
        <v>4932</v>
      </c>
      <c r="I2311">
        <v>0</v>
      </c>
      <c r="J2311" t="s">
        <v>97</v>
      </c>
      <c r="K2311">
        <v>0</v>
      </c>
      <c r="L2311">
        <v>0</v>
      </c>
      <c r="M2311" t="s">
        <v>11</v>
      </c>
    </row>
    <row r="2312" spans="1:13">
      <c r="A2312" s="93">
        <v>200341</v>
      </c>
      <c r="B2312" t="s">
        <v>2848</v>
      </c>
      <c r="C2312" t="s">
        <v>4919</v>
      </c>
      <c r="D2312" s="92">
        <v>0.45</v>
      </c>
      <c r="E2312" s="92">
        <v>0.33</v>
      </c>
      <c r="F2312" t="s">
        <v>446</v>
      </c>
      <c r="G2312" t="s">
        <v>446</v>
      </c>
      <c r="H2312" t="s">
        <v>4932</v>
      </c>
      <c r="I2312">
        <v>0</v>
      </c>
      <c r="J2312" t="s">
        <v>97</v>
      </c>
      <c r="K2312">
        <v>0</v>
      </c>
      <c r="L2312">
        <v>0</v>
      </c>
      <c r="M2312" t="s">
        <v>11</v>
      </c>
    </row>
    <row r="2313" spans="1:13">
      <c r="A2313" s="93">
        <v>200466</v>
      </c>
      <c r="B2313" t="s">
        <v>2849</v>
      </c>
      <c r="C2313" t="s">
        <v>4923</v>
      </c>
      <c r="D2313" s="92" t="s">
        <v>446</v>
      </c>
      <c r="E2313" s="92" t="s">
        <v>446</v>
      </c>
      <c r="F2313" t="s">
        <v>446</v>
      </c>
      <c r="G2313" t="s">
        <v>446</v>
      </c>
      <c r="H2313" t="s">
        <v>4932</v>
      </c>
      <c r="I2313">
        <v>0</v>
      </c>
      <c r="J2313" t="s">
        <v>97</v>
      </c>
      <c r="K2313">
        <v>0</v>
      </c>
      <c r="L2313">
        <v>0</v>
      </c>
      <c r="M2313" t="s">
        <v>11</v>
      </c>
    </row>
    <row r="2314" spans="1:13">
      <c r="A2314" s="93">
        <v>200484</v>
      </c>
      <c r="B2314" t="s">
        <v>2850</v>
      </c>
      <c r="C2314" t="s">
        <v>4923</v>
      </c>
      <c r="D2314" s="92">
        <v>0.45</v>
      </c>
      <c r="E2314" s="92">
        <v>0.33</v>
      </c>
      <c r="F2314" t="s">
        <v>446</v>
      </c>
      <c r="G2314" t="s">
        <v>446</v>
      </c>
      <c r="H2314" t="s">
        <v>4930</v>
      </c>
      <c r="I2314">
        <v>0</v>
      </c>
      <c r="J2314" t="s">
        <v>97</v>
      </c>
      <c r="K2314">
        <v>0</v>
      </c>
      <c r="L2314">
        <v>0</v>
      </c>
      <c r="M2314" t="s">
        <v>11</v>
      </c>
    </row>
    <row r="2315" spans="1:13">
      <c r="A2315" s="93">
        <v>200527</v>
      </c>
      <c r="B2315" t="s">
        <v>2851</v>
      </c>
      <c r="C2315" t="s">
        <v>4923</v>
      </c>
      <c r="D2315" s="92">
        <v>0.22</v>
      </c>
      <c r="E2315" s="92" t="s">
        <v>446</v>
      </c>
      <c r="F2315" t="s">
        <v>446</v>
      </c>
      <c r="G2315" t="s">
        <v>446</v>
      </c>
      <c r="H2315" t="s">
        <v>4928</v>
      </c>
      <c r="I2315">
        <v>1</v>
      </c>
      <c r="J2315" t="s">
        <v>97</v>
      </c>
      <c r="K2315">
        <v>0</v>
      </c>
      <c r="L2315">
        <v>0</v>
      </c>
      <c r="M2315" t="s">
        <v>11</v>
      </c>
    </row>
    <row r="2316" spans="1:13">
      <c r="A2316" s="93">
        <v>200554</v>
      </c>
      <c r="B2316" t="s">
        <v>2852</v>
      </c>
      <c r="C2316" t="s">
        <v>4923</v>
      </c>
      <c r="D2316" s="92" t="s">
        <v>446</v>
      </c>
      <c r="E2316" s="92" t="s">
        <v>446</v>
      </c>
      <c r="F2316" t="s">
        <v>446</v>
      </c>
      <c r="G2316" t="s">
        <v>446</v>
      </c>
      <c r="H2316" t="s">
        <v>4927</v>
      </c>
      <c r="I2316">
        <v>1</v>
      </c>
      <c r="J2316" t="s">
        <v>97</v>
      </c>
      <c r="K2316">
        <v>0</v>
      </c>
      <c r="L2316">
        <v>0</v>
      </c>
      <c r="M2316" t="s">
        <v>11</v>
      </c>
    </row>
    <row r="2317" spans="1:13">
      <c r="A2317" s="93">
        <v>200572</v>
      </c>
      <c r="B2317" t="s">
        <v>2853</v>
      </c>
      <c r="C2317" t="s">
        <v>4920</v>
      </c>
      <c r="D2317" s="92">
        <v>0.49</v>
      </c>
      <c r="E2317" s="92">
        <v>0.24</v>
      </c>
      <c r="F2317">
        <v>930</v>
      </c>
      <c r="G2317">
        <v>1035</v>
      </c>
      <c r="H2317" t="s">
        <v>4932</v>
      </c>
      <c r="I2317">
        <v>0</v>
      </c>
      <c r="J2317" t="s">
        <v>97</v>
      </c>
      <c r="K2317">
        <v>0</v>
      </c>
      <c r="L2317">
        <v>0</v>
      </c>
      <c r="M2317" t="s">
        <v>11</v>
      </c>
    </row>
    <row r="2318" spans="1:13">
      <c r="A2318" s="93">
        <v>200697</v>
      </c>
      <c r="B2318" t="s">
        <v>2854</v>
      </c>
      <c r="C2318" t="s">
        <v>4924</v>
      </c>
      <c r="D2318" s="92" t="s">
        <v>446</v>
      </c>
      <c r="E2318" s="92" t="s">
        <v>446</v>
      </c>
      <c r="F2318" t="s">
        <v>446</v>
      </c>
      <c r="G2318" t="s">
        <v>446</v>
      </c>
      <c r="H2318" t="s">
        <v>4932</v>
      </c>
      <c r="I2318">
        <v>0</v>
      </c>
      <c r="J2318" t="s">
        <v>97</v>
      </c>
      <c r="K2318">
        <v>0</v>
      </c>
      <c r="L2318">
        <v>0</v>
      </c>
      <c r="M2318" t="s">
        <v>11</v>
      </c>
    </row>
    <row r="2319" spans="1:13">
      <c r="A2319" s="93">
        <v>200785</v>
      </c>
      <c r="B2319" t="s">
        <v>2855</v>
      </c>
      <c r="C2319" t="s">
        <v>4924</v>
      </c>
      <c r="D2319" s="92" t="s">
        <v>446</v>
      </c>
      <c r="E2319" s="92" t="s">
        <v>446</v>
      </c>
      <c r="F2319" t="s">
        <v>446</v>
      </c>
      <c r="G2319" t="s">
        <v>446</v>
      </c>
      <c r="H2319" t="s">
        <v>4930</v>
      </c>
      <c r="I2319">
        <v>0</v>
      </c>
      <c r="J2319" t="s">
        <v>97</v>
      </c>
      <c r="K2319">
        <v>0</v>
      </c>
      <c r="L2319">
        <v>0</v>
      </c>
      <c r="M2319" t="s">
        <v>11</v>
      </c>
    </row>
    <row r="2320" spans="1:13">
      <c r="A2320" s="93">
        <v>200800</v>
      </c>
      <c r="B2320" t="s">
        <v>2856</v>
      </c>
      <c r="C2320" t="s">
        <v>4920</v>
      </c>
      <c r="D2320" s="92">
        <v>0.49</v>
      </c>
      <c r="E2320" s="92">
        <v>0.25</v>
      </c>
      <c r="F2320" t="s">
        <v>446</v>
      </c>
      <c r="G2320" t="s">
        <v>446</v>
      </c>
      <c r="H2320" t="s">
        <v>4932</v>
      </c>
      <c r="I2320">
        <v>0</v>
      </c>
      <c r="J2320" t="s">
        <v>97</v>
      </c>
      <c r="K2320">
        <v>0</v>
      </c>
      <c r="L2320">
        <v>0</v>
      </c>
      <c r="M2320" t="s">
        <v>11</v>
      </c>
    </row>
    <row r="2321" spans="1:13">
      <c r="A2321" s="93">
        <v>200846</v>
      </c>
      <c r="B2321" t="s">
        <v>2857</v>
      </c>
      <c r="C2321" t="s">
        <v>4919</v>
      </c>
      <c r="D2321" s="92">
        <v>0.2</v>
      </c>
      <c r="E2321" s="92">
        <v>0.18</v>
      </c>
      <c r="F2321" t="s">
        <v>446</v>
      </c>
      <c r="G2321" t="s">
        <v>446</v>
      </c>
      <c r="H2321" t="s">
        <v>4932</v>
      </c>
      <c r="I2321">
        <v>0</v>
      </c>
      <c r="J2321" t="s">
        <v>97</v>
      </c>
      <c r="K2321">
        <v>0</v>
      </c>
      <c r="L2321">
        <v>0</v>
      </c>
      <c r="M2321" t="s">
        <v>11</v>
      </c>
    </row>
    <row r="2322" spans="1:13">
      <c r="A2322" s="93">
        <v>200873</v>
      </c>
      <c r="B2322" t="s">
        <v>2858</v>
      </c>
      <c r="C2322" t="s">
        <v>4923</v>
      </c>
      <c r="D2322" s="92">
        <v>0.35</v>
      </c>
      <c r="E2322" s="92" t="s">
        <v>446</v>
      </c>
      <c r="F2322" t="s">
        <v>446</v>
      </c>
      <c r="G2322" t="s">
        <v>446</v>
      </c>
      <c r="H2322" t="s">
        <v>4928</v>
      </c>
      <c r="I2322">
        <v>1</v>
      </c>
      <c r="J2322" t="s">
        <v>97</v>
      </c>
      <c r="K2322">
        <v>0</v>
      </c>
      <c r="L2322">
        <v>0</v>
      </c>
      <c r="M2322" t="s">
        <v>11</v>
      </c>
    </row>
    <row r="2323" spans="1:13">
      <c r="A2323" s="93">
        <v>201061</v>
      </c>
      <c r="B2323" t="s">
        <v>2859</v>
      </c>
      <c r="C2323" t="s">
        <v>4926</v>
      </c>
      <c r="D2323" s="92">
        <v>0.44</v>
      </c>
      <c r="E2323" s="92">
        <v>0.38</v>
      </c>
      <c r="F2323" t="s">
        <v>446</v>
      </c>
      <c r="G2323" t="s">
        <v>446</v>
      </c>
      <c r="H2323" t="s">
        <v>4930</v>
      </c>
      <c r="I2323">
        <v>0</v>
      </c>
      <c r="J2323" t="s">
        <v>97</v>
      </c>
      <c r="K2323">
        <v>0</v>
      </c>
      <c r="L2323">
        <v>0</v>
      </c>
      <c r="M2323" t="s">
        <v>11</v>
      </c>
    </row>
    <row r="2324" spans="1:13">
      <c r="A2324" s="93">
        <v>201104</v>
      </c>
      <c r="B2324" t="s">
        <v>2860</v>
      </c>
      <c r="C2324" t="s">
        <v>4920</v>
      </c>
      <c r="D2324" s="92">
        <v>0.65</v>
      </c>
      <c r="E2324" s="92">
        <v>0.35</v>
      </c>
      <c r="F2324">
        <v>1040</v>
      </c>
      <c r="G2324">
        <v>1125</v>
      </c>
      <c r="H2324" t="s">
        <v>4930</v>
      </c>
      <c r="I2324">
        <v>0</v>
      </c>
      <c r="J2324" t="s">
        <v>97</v>
      </c>
      <c r="K2324">
        <v>0</v>
      </c>
      <c r="L2324">
        <v>0</v>
      </c>
      <c r="M2324" t="s">
        <v>11</v>
      </c>
    </row>
    <row r="2325" spans="1:13">
      <c r="A2325" s="93">
        <v>201140</v>
      </c>
      <c r="B2325" t="s">
        <v>2861</v>
      </c>
      <c r="C2325" t="s">
        <v>4923</v>
      </c>
      <c r="D2325" s="92" t="s">
        <v>446</v>
      </c>
      <c r="E2325" s="92" t="s">
        <v>446</v>
      </c>
      <c r="F2325" t="s">
        <v>446</v>
      </c>
      <c r="G2325" t="s">
        <v>446</v>
      </c>
      <c r="H2325" t="s">
        <v>4932</v>
      </c>
      <c r="I2325">
        <v>0</v>
      </c>
      <c r="J2325" t="s">
        <v>97</v>
      </c>
      <c r="K2325">
        <v>0</v>
      </c>
      <c r="L2325">
        <v>0</v>
      </c>
      <c r="M2325" t="s">
        <v>11</v>
      </c>
    </row>
    <row r="2326" spans="1:13">
      <c r="A2326" s="93">
        <v>201177</v>
      </c>
      <c r="B2326" t="s">
        <v>2862</v>
      </c>
      <c r="C2326" t="s">
        <v>4920</v>
      </c>
      <c r="D2326" s="92" t="s">
        <v>446</v>
      </c>
      <c r="E2326" s="92" t="s">
        <v>446</v>
      </c>
      <c r="F2326">
        <v>1010</v>
      </c>
      <c r="G2326">
        <v>1075</v>
      </c>
      <c r="H2326" t="s">
        <v>4930</v>
      </c>
      <c r="I2326">
        <v>0</v>
      </c>
      <c r="J2326" t="s">
        <v>97</v>
      </c>
      <c r="K2326">
        <v>0</v>
      </c>
      <c r="L2326">
        <v>0</v>
      </c>
      <c r="M2326" t="s">
        <v>11</v>
      </c>
    </row>
    <row r="2327" spans="1:13">
      <c r="A2327" s="93">
        <v>201283</v>
      </c>
      <c r="B2327" t="s">
        <v>2863</v>
      </c>
      <c r="C2327" t="s">
        <v>4919</v>
      </c>
      <c r="D2327" s="92" t="s">
        <v>446</v>
      </c>
      <c r="E2327" s="92" t="s">
        <v>446</v>
      </c>
      <c r="F2327" t="s">
        <v>446</v>
      </c>
      <c r="G2327" t="s">
        <v>446</v>
      </c>
      <c r="H2327" t="s">
        <v>4932</v>
      </c>
      <c r="I2327">
        <v>0</v>
      </c>
      <c r="J2327" t="s">
        <v>97</v>
      </c>
      <c r="K2327">
        <v>0</v>
      </c>
      <c r="L2327">
        <v>0</v>
      </c>
      <c r="M2327" t="s">
        <v>11</v>
      </c>
    </row>
    <row r="2328" spans="1:13">
      <c r="A2328" s="93">
        <v>201371</v>
      </c>
      <c r="B2328" t="s">
        <v>2864</v>
      </c>
      <c r="C2328" t="s">
        <v>4920</v>
      </c>
      <c r="D2328" s="92">
        <v>0.54</v>
      </c>
      <c r="E2328" s="92">
        <v>0.32</v>
      </c>
      <c r="F2328" t="s">
        <v>446</v>
      </c>
      <c r="G2328" t="s">
        <v>446</v>
      </c>
      <c r="H2328" t="s">
        <v>4930</v>
      </c>
      <c r="I2328">
        <v>0</v>
      </c>
      <c r="J2328" t="s">
        <v>97</v>
      </c>
      <c r="K2328">
        <v>0</v>
      </c>
      <c r="L2328">
        <v>0</v>
      </c>
      <c r="M2328" t="s">
        <v>11</v>
      </c>
    </row>
    <row r="2329" spans="1:13">
      <c r="A2329" s="93">
        <v>201432</v>
      </c>
      <c r="B2329" t="s">
        <v>2865</v>
      </c>
      <c r="C2329" t="s">
        <v>4923</v>
      </c>
      <c r="D2329" s="92" t="s">
        <v>446</v>
      </c>
      <c r="E2329" s="92" t="s">
        <v>446</v>
      </c>
      <c r="F2329" t="s">
        <v>446</v>
      </c>
      <c r="G2329" t="s">
        <v>446</v>
      </c>
      <c r="H2329" t="s">
        <v>4932</v>
      </c>
      <c r="I2329">
        <v>0</v>
      </c>
      <c r="J2329" t="s">
        <v>97</v>
      </c>
      <c r="K2329">
        <v>0</v>
      </c>
      <c r="L2329">
        <v>0</v>
      </c>
      <c r="M2329" t="s">
        <v>11</v>
      </c>
    </row>
    <row r="2330" spans="1:13">
      <c r="A2330" s="93">
        <v>201469</v>
      </c>
      <c r="B2330" t="s">
        <v>2866</v>
      </c>
      <c r="C2330" t="s">
        <v>4923</v>
      </c>
      <c r="D2330" s="92" t="s">
        <v>446</v>
      </c>
      <c r="E2330" s="92" t="s">
        <v>446</v>
      </c>
      <c r="F2330" t="s">
        <v>446</v>
      </c>
      <c r="G2330" t="s">
        <v>446</v>
      </c>
      <c r="H2330" t="s">
        <v>4930</v>
      </c>
      <c r="I2330">
        <v>0</v>
      </c>
      <c r="J2330" t="s">
        <v>97</v>
      </c>
      <c r="K2330">
        <v>0</v>
      </c>
      <c r="L2330">
        <v>0</v>
      </c>
      <c r="M2330" t="s">
        <v>11</v>
      </c>
    </row>
    <row r="2331" spans="1:13">
      <c r="A2331" s="93">
        <v>201548</v>
      </c>
      <c r="B2331" t="s">
        <v>2867</v>
      </c>
      <c r="C2331" t="s">
        <v>4920</v>
      </c>
      <c r="D2331" s="92">
        <v>0.61</v>
      </c>
      <c r="E2331" s="92">
        <v>0.47</v>
      </c>
      <c r="F2331">
        <v>1040</v>
      </c>
      <c r="G2331">
        <v>1125</v>
      </c>
      <c r="H2331" t="s">
        <v>4930</v>
      </c>
      <c r="I2331">
        <v>0</v>
      </c>
      <c r="J2331" t="s">
        <v>97</v>
      </c>
      <c r="K2331">
        <v>0</v>
      </c>
      <c r="L2331">
        <v>0</v>
      </c>
      <c r="M2331" t="s">
        <v>11</v>
      </c>
    </row>
    <row r="2332" spans="1:13">
      <c r="A2332" s="93">
        <v>201654</v>
      </c>
      <c r="B2332" t="s">
        <v>2868</v>
      </c>
      <c r="C2332" t="s">
        <v>4916</v>
      </c>
      <c r="D2332" s="92">
        <v>0.74</v>
      </c>
      <c r="E2332" s="92">
        <v>0.58</v>
      </c>
      <c r="F2332">
        <v>1120</v>
      </c>
      <c r="G2332">
        <v>1235</v>
      </c>
      <c r="H2332" t="s">
        <v>4930</v>
      </c>
      <c r="I2332">
        <v>0</v>
      </c>
      <c r="J2332" t="s">
        <v>97</v>
      </c>
      <c r="K2332">
        <v>0</v>
      </c>
      <c r="L2332">
        <v>0</v>
      </c>
      <c r="M2332" t="s">
        <v>11</v>
      </c>
    </row>
    <row r="2333" spans="1:13">
      <c r="A2333" s="93">
        <v>201672</v>
      </c>
      <c r="B2333" t="s">
        <v>2869</v>
      </c>
      <c r="C2333" t="s">
        <v>4919</v>
      </c>
      <c r="D2333" s="92">
        <v>0.35</v>
      </c>
      <c r="E2333" s="92">
        <v>0.29</v>
      </c>
      <c r="F2333" t="s">
        <v>446</v>
      </c>
      <c r="G2333" t="s">
        <v>446</v>
      </c>
      <c r="H2333" t="s">
        <v>4932</v>
      </c>
      <c r="I2333">
        <v>0</v>
      </c>
      <c r="J2333" t="s">
        <v>97</v>
      </c>
      <c r="K2333">
        <v>0</v>
      </c>
      <c r="L2333">
        <v>0</v>
      </c>
      <c r="M2333" t="s">
        <v>11</v>
      </c>
    </row>
    <row r="2334" spans="1:13">
      <c r="A2334" s="93">
        <v>201751</v>
      </c>
      <c r="B2334" t="s">
        <v>2870</v>
      </c>
      <c r="C2334" t="s">
        <v>4919</v>
      </c>
      <c r="D2334" s="92" t="s">
        <v>446</v>
      </c>
      <c r="E2334" s="92" t="s">
        <v>446</v>
      </c>
      <c r="F2334" t="s">
        <v>446</v>
      </c>
      <c r="G2334" t="s">
        <v>446</v>
      </c>
      <c r="H2334" t="s">
        <v>4931</v>
      </c>
      <c r="I2334">
        <v>0</v>
      </c>
      <c r="J2334" t="s">
        <v>97</v>
      </c>
      <c r="K2334">
        <v>0</v>
      </c>
      <c r="L2334">
        <v>0</v>
      </c>
      <c r="M2334" t="s">
        <v>11</v>
      </c>
    </row>
    <row r="2335" spans="1:13">
      <c r="A2335" s="93">
        <v>201821</v>
      </c>
      <c r="B2335" t="s">
        <v>2871</v>
      </c>
      <c r="C2335" t="s">
        <v>4920</v>
      </c>
      <c r="D2335" s="92">
        <v>0.47</v>
      </c>
      <c r="E2335" s="92" t="s">
        <v>446</v>
      </c>
      <c r="F2335">
        <v>970</v>
      </c>
      <c r="G2335">
        <v>1040</v>
      </c>
      <c r="H2335" t="s">
        <v>4931</v>
      </c>
      <c r="I2335">
        <v>0</v>
      </c>
      <c r="J2335" t="s">
        <v>97</v>
      </c>
      <c r="K2335">
        <v>0</v>
      </c>
      <c r="L2335">
        <v>0</v>
      </c>
      <c r="M2335" t="s">
        <v>11</v>
      </c>
    </row>
    <row r="2336" spans="1:13">
      <c r="A2336" s="93">
        <v>201867</v>
      </c>
      <c r="B2336" t="s">
        <v>2872</v>
      </c>
      <c r="C2336" t="s">
        <v>4924</v>
      </c>
      <c r="D2336" s="92" t="s">
        <v>446</v>
      </c>
      <c r="E2336" s="92" t="s">
        <v>446</v>
      </c>
      <c r="F2336" t="s">
        <v>446</v>
      </c>
      <c r="G2336" t="s">
        <v>446</v>
      </c>
      <c r="H2336" t="s">
        <v>4932</v>
      </c>
      <c r="I2336">
        <v>0</v>
      </c>
      <c r="J2336" t="s">
        <v>97</v>
      </c>
      <c r="K2336">
        <v>0</v>
      </c>
      <c r="L2336">
        <v>0</v>
      </c>
      <c r="M2336" t="s">
        <v>11</v>
      </c>
    </row>
    <row r="2337" spans="1:13">
      <c r="A2337" s="93">
        <v>201928</v>
      </c>
      <c r="B2337" t="s">
        <v>2873</v>
      </c>
      <c r="C2337" t="s">
        <v>4919</v>
      </c>
      <c r="D2337" s="92">
        <v>0.17</v>
      </c>
      <c r="E2337" s="92">
        <v>0.08</v>
      </c>
      <c r="F2337" t="s">
        <v>446</v>
      </c>
      <c r="G2337" t="s">
        <v>446</v>
      </c>
      <c r="H2337" t="s">
        <v>4932</v>
      </c>
      <c r="I2337">
        <v>0</v>
      </c>
      <c r="J2337" t="s">
        <v>97</v>
      </c>
      <c r="K2337">
        <v>0</v>
      </c>
      <c r="L2337">
        <v>0</v>
      </c>
      <c r="M2337" t="s">
        <v>11</v>
      </c>
    </row>
    <row r="2338" spans="1:13">
      <c r="A2338" s="93">
        <v>201946</v>
      </c>
      <c r="B2338" t="s">
        <v>2874</v>
      </c>
      <c r="C2338" t="s">
        <v>4923</v>
      </c>
      <c r="D2338" s="92" t="s">
        <v>446</v>
      </c>
      <c r="E2338" s="92" t="s">
        <v>446</v>
      </c>
      <c r="F2338" t="s">
        <v>446</v>
      </c>
      <c r="G2338" t="s">
        <v>446</v>
      </c>
      <c r="H2338" t="s">
        <v>4932</v>
      </c>
      <c r="I2338">
        <v>0</v>
      </c>
      <c r="J2338" t="s">
        <v>97</v>
      </c>
      <c r="K2338">
        <v>0</v>
      </c>
      <c r="L2338">
        <v>0</v>
      </c>
      <c r="M2338" t="s">
        <v>11</v>
      </c>
    </row>
    <row r="2339" spans="1:13">
      <c r="A2339" s="93">
        <v>201955</v>
      </c>
      <c r="B2339" t="s">
        <v>2875</v>
      </c>
      <c r="C2339" t="s">
        <v>4923</v>
      </c>
      <c r="D2339" s="92" t="s">
        <v>446</v>
      </c>
      <c r="E2339" s="92" t="s">
        <v>446</v>
      </c>
      <c r="F2339" t="s">
        <v>446</v>
      </c>
      <c r="G2339" t="s">
        <v>446</v>
      </c>
      <c r="H2339" t="s">
        <v>4932</v>
      </c>
      <c r="I2339">
        <v>0</v>
      </c>
      <c r="J2339" t="s">
        <v>97</v>
      </c>
      <c r="K2339">
        <v>0</v>
      </c>
      <c r="L2339">
        <v>0</v>
      </c>
      <c r="M2339" t="s">
        <v>11</v>
      </c>
    </row>
    <row r="2340" spans="1:13">
      <c r="A2340" s="93">
        <v>201964</v>
      </c>
      <c r="B2340" t="s">
        <v>2876</v>
      </c>
      <c r="C2340" t="s">
        <v>4923</v>
      </c>
      <c r="D2340" s="92">
        <v>0.43</v>
      </c>
      <c r="E2340" s="92">
        <v>0.38</v>
      </c>
      <c r="F2340" t="s">
        <v>446</v>
      </c>
      <c r="G2340" t="s">
        <v>446</v>
      </c>
      <c r="H2340" t="s">
        <v>4930</v>
      </c>
      <c r="I2340">
        <v>0</v>
      </c>
      <c r="J2340" t="s">
        <v>97</v>
      </c>
      <c r="K2340">
        <v>0</v>
      </c>
      <c r="L2340">
        <v>0</v>
      </c>
      <c r="M2340" t="s">
        <v>11</v>
      </c>
    </row>
    <row r="2341" spans="1:13">
      <c r="A2341" s="93">
        <v>201973</v>
      </c>
      <c r="B2341" t="s">
        <v>2877</v>
      </c>
      <c r="C2341" t="s">
        <v>4923</v>
      </c>
      <c r="D2341" s="92" t="s">
        <v>446</v>
      </c>
      <c r="E2341" s="92" t="s">
        <v>446</v>
      </c>
      <c r="F2341" t="s">
        <v>446</v>
      </c>
      <c r="G2341" t="s">
        <v>446</v>
      </c>
      <c r="H2341" t="s">
        <v>4932</v>
      </c>
      <c r="I2341">
        <v>0</v>
      </c>
      <c r="J2341" t="s">
        <v>97</v>
      </c>
      <c r="K2341">
        <v>0</v>
      </c>
      <c r="L2341">
        <v>0</v>
      </c>
      <c r="M2341" t="s">
        <v>11</v>
      </c>
    </row>
    <row r="2342" spans="1:13">
      <c r="A2342" s="93">
        <v>202046</v>
      </c>
      <c r="B2342" t="s">
        <v>2878</v>
      </c>
      <c r="C2342" t="s">
        <v>4920</v>
      </c>
      <c r="D2342" s="92">
        <v>0.6</v>
      </c>
      <c r="E2342" s="92">
        <v>0.42</v>
      </c>
      <c r="F2342">
        <v>1040</v>
      </c>
      <c r="G2342">
        <v>1155</v>
      </c>
      <c r="H2342" t="s">
        <v>4930</v>
      </c>
      <c r="I2342">
        <v>0</v>
      </c>
      <c r="J2342" t="s">
        <v>97</v>
      </c>
      <c r="K2342">
        <v>0</v>
      </c>
      <c r="L2342">
        <v>0</v>
      </c>
      <c r="M2342" t="s">
        <v>11</v>
      </c>
    </row>
    <row r="2343" spans="1:13">
      <c r="A2343" s="93">
        <v>202073</v>
      </c>
      <c r="B2343" t="s">
        <v>2879</v>
      </c>
      <c r="C2343" t="s">
        <v>4926</v>
      </c>
      <c r="D2343" s="92">
        <v>0.76</v>
      </c>
      <c r="E2343" s="92">
        <v>0.75</v>
      </c>
      <c r="F2343" t="s">
        <v>446</v>
      </c>
      <c r="G2343" t="s">
        <v>446</v>
      </c>
      <c r="H2343" t="s">
        <v>4930</v>
      </c>
      <c r="I2343">
        <v>0</v>
      </c>
      <c r="J2343" t="s">
        <v>97</v>
      </c>
      <c r="K2343">
        <v>0</v>
      </c>
      <c r="L2343">
        <v>0</v>
      </c>
      <c r="M2343" t="s">
        <v>11</v>
      </c>
    </row>
    <row r="2344" spans="1:13">
      <c r="A2344" s="93">
        <v>202134</v>
      </c>
      <c r="B2344" t="s">
        <v>2880</v>
      </c>
      <c r="C2344" t="s">
        <v>4920</v>
      </c>
      <c r="D2344" s="92">
        <v>0.51</v>
      </c>
      <c r="E2344" s="92">
        <v>0.29</v>
      </c>
      <c r="F2344">
        <v>900</v>
      </c>
      <c r="G2344">
        <v>1035</v>
      </c>
      <c r="H2344" t="s">
        <v>4930</v>
      </c>
      <c r="I2344">
        <v>0</v>
      </c>
      <c r="J2344" t="s">
        <v>97</v>
      </c>
      <c r="K2344">
        <v>0</v>
      </c>
      <c r="L2344">
        <v>0</v>
      </c>
      <c r="M2344" t="s">
        <v>11</v>
      </c>
    </row>
    <row r="2345" spans="1:13">
      <c r="A2345" s="93">
        <v>202170</v>
      </c>
      <c r="B2345" t="s">
        <v>2881</v>
      </c>
      <c r="C2345" t="s">
        <v>4920</v>
      </c>
      <c r="D2345" s="92">
        <v>0.62</v>
      </c>
      <c r="E2345" s="92">
        <v>0.53</v>
      </c>
      <c r="F2345" t="s">
        <v>446</v>
      </c>
      <c r="G2345" t="s">
        <v>446</v>
      </c>
      <c r="H2345" t="s">
        <v>4930</v>
      </c>
      <c r="I2345">
        <v>0</v>
      </c>
      <c r="J2345" t="s">
        <v>97</v>
      </c>
      <c r="K2345">
        <v>0</v>
      </c>
      <c r="L2345">
        <v>0</v>
      </c>
      <c r="M2345" t="s">
        <v>11</v>
      </c>
    </row>
    <row r="2346" spans="1:13">
      <c r="A2346" s="93">
        <v>202435</v>
      </c>
      <c r="B2346" t="s">
        <v>2882</v>
      </c>
      <c r="C2346" t="s">
        <v>4919</v>
      </c>
      <c r="D2346" s="92" t="s">
        <v>446</v>
      </c>
      <c r="E2346" s="92" t="s">
        <v>446</v>
      </c>
      <c r="F2346" t="s">
        <v>446</v>
      </c>
      <c r="G2346" t="s">
        <v>446</v>
      </c>
      <c r="H2346" t="s">
        <v>4930</v>
      </c>
      <c r="I2346">
        <v>0</v>
      </c>
      <c r="J2346" t="s">
        <v>97</v>
      </c>
      <c r="K2346">
        <v>0</v>
      </c>
      <c r="L2346">
        <v>0</v>
      </c>
      <c r="M2346" t="s">
        <v>11</v>
      </c>
    </row>
    <row r="2347" spans="1:13">
      <c r="A2347" s="93">
        <v>202453</v>
      </c>
      <c r="B2347" t="s">
        <v>2883</v>
      </c>
      <c r="C2347" t="s">
        <v>4919</v>
      </c>
      <c r="D2347" s="92" t="s">
        <v>446</v>
      </c>
      <c r="E2347" s="92" t="s">
        <v>446</v>
      </c>
      <c r="F2347" t="s">
        <v>446</v>
      </c>
      <c r="G2347" t="s">
        <v>446</v>
      </c>
      <c r="H2347" t="s">
        <v>4931</v>
      </c>
      <c r="I2347">
        <v>0</v>
      </c>
      <c r="J2347" t="s">
        <v>97</v>
      </c>
      <c r="K2347">
        <v>0</v>
      </c>
      <c r="L2347">
        <v>0</v>
      </c>
      <c r="M2347" t="s">
        <v>11</v>
      </c>
    </row>
    <row r="2348" spans="1:13">
      <c r="A2348" s="93">
        <v>202648</v>
      </c>
      <c r="B2348" t="s">
        <v>2884</v>
      </c>
      <c r="C2348" t="s">
        <v>4919</v>
      </c>
      <c r="D2348" s="92">
        <v>0.43</v>
      </c>
      <c r="E2348" s="92">
        <v>0.26</v>
      </c>
      <c r="F2348" t="s">
        <v>446</v>
      </c>
      <c r="G2348" t="s">
        <v>446</v>
      </c>
      <c r="H2348" t="s">
        <v>4932</v>
      </c>
      <c r="I2348">
        <v>0</v>
      </c>
      <c r="J2348" t="s">
        <v>97</v>
      </c>
      <c r="K2348">
        <v>0</v>
      </c>
      <c r="L2348">
        <v>0</v>
      </c>
      <c r="M2348" t="s">
        <v>11</v>
      </c>
    </row>
    <row r="2349" spans="1:13">
      <c r="A2349" s="93">
        <v>202763</v>
      </c>
      <c r="B2349" t="s">
        <v>2885</v>
      </c>
      <c r="C2349" t="s">
        <v>4920</v>
      </c>
      <c r="D2349" s="92">
        <v>0.63</v>
      </c>
      <c r="E2349" s="92">
        <v>0.38</v>
      </c>
      <c r="F2349">
        <v>1010</v>
      </c>
      <c r="G2349">
        <v>1125</v>
      </c>
      <c r="H2349" t="s">
        <v>4930</v>
      </c>
      <c r="I2349">
        <v>0</v>
      </c>
      <c r="J2349" t="s">
        <v>97</v>
      </c>
      <c r="K2349">
        <v>0</v>
      </c>
      <c r="L2349">
        <v>0</v>
      </c>
      <c r="M2349" t="s">
        <v>11</v>
      </c>
    </row>
    <row r="2350" spans="1:13">
      <c r="A2350" s="93">
        <v>202806</v>
      </c>
      <c r="B2350" t="s">
        <v>2886</v>
      </c>
      <c r="C2350" t="s">
        <v>4926</v>
      </c>
      <c r="D2350" s="92">
        <v>0.33</v>
      </c>
      <c r="E2350" s="92">
        <v>0.14</v>
      </c>
      <c r="F2350" t="s">
        <v>446</v>
      </c>
      <c r="G2350" t="s">
        <v>446</v>
      </c>
      <c r="H2350" t="s">
        <v>4932</v>
      </c>
      <c r="I2350">
        <v>0</v>
      </c>
      <c r="J2350" t="s">
        <v>97</v>
      </c>
      <c r="K2350">
        <v>0</v>
      </c>
      <c r="L2350">
        <v>0</v>
      </c>
      <c r="M2350" t="s">
        <v>11</v>
      </c>
    </row>
    <row r="2351" spans="1:13">
      <c r="A2351" s="93">
        <v>202903</v>
      </c>
      <c r="B2351" t="s">
        <v>2887</v>
      </c>
      <c r="C2351" t="s">
        <v>4924</v>
      </c>
      <c r="D2351" s="92">
        <v>0.49</v>
      </c>
      <c r="E2351" s="92">
        <v>0</v>
      </c>
      <c r="F2351" t="s">
        <v>446</v>
      </c>
      <c r="G2351" t="s">
        <v>446</v>
      </c>
      <c r="H2351" t="s">
        <v>4931</v>
      </c>
      <c r="I2351">
        <v>0</v>
      </c>
      <c r="J2351" t="s">
        <v>97</v>
      </c>
      <c r="K2351">
        <v>0</v>
      </c>
      <c r="L2351">
        <v>0</v>
      </c>
      <c r="M2351" t="s">
        <v>11</v>
      </c>
    </row>
    <row r="2352" spans="1:13">
      <c r="A2352" s="93">
        <v>202912</v>
      </c>
      <c r="B2352" t="s">
        <v>2888</v>
      </c>
      <c r="C2352" t="s">
        <v>4918</v>
      </c>
      <c r="D2352" s="92" t="s">
        <v>446</v>
      </c>
      <c r="E2352" s="92" t="s">
        <v>446</v>
      </c>
      <c r="F2352">
        <v>1010</v>
      </c>
      <c r="G2352">
        <v>1060</v>
      </c>
      <c r="H2352" t="s">
        <v>4930</v>
      </c>
      <c r="I2352">
        <v>0</v>
      </c>
      <c r="J2352" t="s">
        <v>97</v>
      </c>
      <c r="K2352">
        <v>0</v>
      </c>
      <c r="L2352">
        <v>0</v>
      </c>
      <c r="M2352" t="s">
        <v>11</v>
      </c>
    </row>
    <row r="2353" spans="1:13">
      <c r="A2353" s="93">
        <v>203067</v>
      </c>
      <c r="B2353" t="s">
        <v>2889</v>
      </c>
      <c r="C2353" t="s">
        <v>4924</v>
      </c>
      <c r="D2353" s="92" t="s">
        <v>446</v>
      </c>
      <c r="E2353" s="92" t="s">
        <v>446</v>
      </c>
      <c r="F2353" t="s">
        <v>446</v>
      </c>
      <c r="G2353" t="s">
        <v>446</v>
      </c>
      <c r="H2353" t="s">
        <v>4932</v>
      </c>
      <c r="I2353">
        <v>0</v>
      </c>
      <c r="J2353" t="s">
        <v>97</v>
      </c>
      <c r="K2353">
        <v>0</v>
      </c>
      <c r="L2353">
        <v>0</v>
      </c>
      <c r="M2353" t="s">
        <v>11</v>
      </c>
    </row>
    <row r="2354" spans="1:13">
      <c r="A2354" s="93">
        <v>203085</v>
      </c>
      <c r="B2354" t="s">
        <v>2890</v>
      </c>
      <c r="C2354" t="s">
        <v>4920</v>
      </c>
      <c r="D2354" s="92">
        <v>0.53</v>
      </c>
      <c r="E2354" s="92">
        <v>0.31</v>
      </c>
      <c r="F2354">
        <v>1010</v>
      </c>
      <c r="G2354">
        <v>1095</v>
      </c>
      <c r="H2354" t="s">
        <v>4930</v>
      </c>
      <c r="I2354">
        <v>0</v>
      </c>
      <c r="J2354" t="s">
        <v>97</v>
      </c>
      <c r="K2354">
        <v>0</v>
      </c>
      <c r="L2354">
        <v>0</v>
      </c>
      <c r="M2354" t="s">
        <v>11</v>
      </c>
    </row>
    <row r="2355" spans="1:13">
      <c r="A2355" s="93">
        <v>203128</v>
      </c>
      <c r="B2355" t="s">
        <v>2891</v>
      </c>
      <c r="C2355" t="s">
        <v>4920</v>
      </c>
      <c r="D2355" s="92">
        <v>0.52</v>
      </c>
      <c r="E2355" s="92">
        <v>0.37</v>
      </c>
      <c r="F2355" t="s">
        <v>446</v>
      </c>
      <c r="G2355" t="s">
        <v>446</v>
      </c>
      <c r="H2355" t="s">
        <v>4930</v>
      </c>
      <c r="I2355">
        <v>0</v>
      </c>
      <c r="J2355" t="s">
        <v>97</v>
      </c>
      <c r="K2355">
        <v>0</v>
      </c>
      <c r="L2355">
        <v>0</v>
      </c>
      <c r="M2355" t="s">
        <v>11</v>
      </c>
    </row>
    <row r="2356" spans="1:13">
      <c r="A2356" s="93">
        <v>203155</v>
      </c>
      <c r="B2356" t="s">
        <v>2892</v>
      </c>
      <c r="C2356" t="s">
        <v>4919</v>
      </c>
      <c r="D2356" s="92">
        <v>0.36</v>
      </c>
      <c r="E2356" s="92">
        <v>0.23</v>
      </c>
      <c r="F2356" t="s">
        <v>446</v>
      </c>
      <c r="G2356" t="s">
        <v>446</v>
      </c>
      <c r="H2356" t="s">
        <v>4932</v>
      </c>
      <c r="I2356">
        <v>0</v>
      </c>
      <c r="J2356" t="s">
        <v>97</v>
      </c>
      <c r="K2356">
        <v>0</v>
      </c>
      <c r="L2356">
        <v>0</v>
      </c>
      <c r="M2356" t="s">
        <v>11</v>
      </c>
    </row>
    <row r="2357" spans="1:13">
      <c r="A2357" s="93">
        <v>203289</v>
      </c>
      <c r="B2357" t="s">
        <v>2893</v>
      </c>
      <c r="C2357" t="s">
        <v>4919</v>
      </c>
      <c r="D2357" s="92" t="s">
        <v>446</v>
      </c>
      <c r="E2357" s="92" t="s">
        <v>446</v>
      </c>
      <c r="F2357" t="s">
        <v>446</v>
      </c>
      <c r="G2357" t="s">
        <v>446</v>
      </c>
      <c r="H2357" t="s">
        <v>4930</v>
      </c>
      <c r="I2357">
        <v>0</v>
      </c>
      <c r="J2357" t="s">
        <v>97</v>
      </c>
      <c r="K2357">
        <v>0</v>
      </c>
      <c r="L2357">
        <v>0</v>
      </c>
      <c r="M2357" t="s">
        <v>11</v>
      </c>
    </row>
    <row r="2358" spans="1:13">
      <c r="A2358" s="93">
        <v>203331</v>
      </c>
      <c r="B2358" t="s">
        <v>2894</v>
      </c>
      <c r="C2358" t="s">
        <v>4919</v>
      </c>
      <c r="D2358" s="92">
        <v>0.33</v>
      </c>
      <c r="E2358" s="92">
        <v>0.24</v>
      </c>
      <c r="F2358" t="s">
        <v>446</v>
      </c>
      <c r="G2358" t="s">
        <v>446</v>
      </c>
      <c r="H2358" t="s">
        <v>4932</v>
      </c>
      <c r="I2358">
        <v>0</v>
      </c>
      <c r="J2358" t="s">
        <v>97</v>
      </c>
      <c r="K2358">
        <v>0</v>
      </c>
      <c r="L2358">
        <v>0</v>
      </c>
      <c r="M2358" t="s">
        <v>11</v>
      </c>
    </row>
    <row r="2359" spans="1:13">
      <c r="A2359" s="93">
        <v>203368</v>
      </c>
      <c r="B2359" t="s">
        <v>2895</v>
      </c>
      <c r="C2359" t="s">
        <v>4920</v>
      </c>
      <c r="D2359" s="92">
        <v>0.76</v>
      </c>
      <c r="E2359" s="92">
        <v>0.66</v>
      </c>
      <c r="F2359">
        <v>1180</v>
      </c>
      <c r="G2359">
        <v>1275</v>
      </c>
      <c r="H2359" t="s">
        <v>4930</v>
      </c>
      <c r="I2359">
        <v>0</v>
      </c>
      <c r="J2359" t="s">
        <v>97</v>
      </c>
      <c r="K2359">
        <v>0</v>
      </c>
      <c r="L2359">
        <v>0</v>
      </c>
      <c r="M2359" t="s">
        <v>11</v>
      </c>
    </row>
    <row r="2360" spans="1:13">
      <c r="A2360" s="93">
        <v>203386</v>
      </c>
      <c r="B2360" t="s">
        <v>2896</v>
      </c>
      <c r="C2360" t="s">
        <v>4924</v>
      </c>
      <c r="D2360" s="92" t="s">
        <v>446</v>
      </c>
      <c r="E2360" s="92" t="s">
        <v>446</v>
      </c>
      <c r="F2360" t="s">
        <v>446</v>
      </c>
      <c r="G2360" t="s">
        <v>446</v>
      </c>
      <c r="H2360" t="s">
        <v>4930</v>
      </c>
      <c r="I2360">
        <v>0</v>
      </c>
      <c r="J2360" t="s">
        <v>97</v>
      </c>
      <c r="K2360">
        <v>0</v>
      </c>
      <c r="L2360">
        <v>0</v>
      </c>
      <c r="M2360" t="s">
        <v>11</v>
      </c>
    </row>
    <row r="2361" spans="1:13">
      <c r="A2361" s="93">
        <v>203438</v>
      </c>
      <c r="B2361" t="s">
        <v>2897</v>
      </c>
      <c r="C2361" t="s">
        <v>4919</v>
      </c>
      <c r="D2361" s="92" t="s">
        <v>446</v>
      </c>
      <c r="E2361" s="92" t="s">
        <v>446</v>
      </c>
      <c r="F2361" t="s">
        <v>446</v>
      </c>
      <c r="G2361" t="s">
        <v>446</v>
      </c>
      <c r="H2361" t="s">
        <v>4931</v>
      </c>
      <c r="I2361">
        <v>0</v>
      </c>
      <c r="J2361" t="s">
        <v>97</v>
      </c>
      <c r="K2361">
        <v>0</v>
      </c>
      <c r="L2361">
        <v>0</v>
      </c>
      <c r="M2361" t="s">
        <v>11</v>
      </c>
    </row>
    <row r="2362" spans="1:13">
      <c r="A2362" s="93">
        <v>203447</v>
      </c>
      <c r="B2362" t="s">
        <v>2898</v>
      </c>
      <c r="C2362" t="s">
        <v>4923</v>
      </c>
      <c r="D2362" s="92">
        <v>0.07000000000000001</v>
      </c>
      <c r="E2362" s="92">
        <v>0.15</v>
      </c>
      <c r="F2362" t="s">
        <v>446</v>
      </c>
      <c r="G2362" t="s">
        <v>446</v>
      </c>
      <c r="H2362" t="s">
        <v>4932</v>
      </c>
      <c r="I2362">
        <v>0</v>
      </c>
      <c r="J2362" t="s">
        <v>97</v>
      </c>
      <c r="K2362">
        <v>0</v>
      </c>
      <c r="L2362">
        <v>0</v>
      </c>
      <c r="M2362" t="s">
        <v>11</v>
      </c>
    </row>
    <row r="2363" spans="1:13">
      <c r="A2363" s="93">
        <v>203456</v>
      </c>
      <c r="B2363" t="s">
        <v>2899</v>
      </c>
      <c r="C2363" t="s">
        <v>4923</v>
      </c>
      <c r="D2363" s="92">
        <v>0.06</v>
      </c>
      <c r="E2363" s="92">
        <v>0</v>
      </c>
      <c r="F2363" t="s">
        <v>446</v>
      </c>
      <c r="G2363" t="s">
        <v>446</v>
      </c>
      <c r="H2363" t="s">
        <v>4932</v>
      </c>
      <c r="I2363">
        <v>0</v>
      </c>
      <c r="J2363" t="s">
        <v>97</v>
      </c>
      <c r="K2363">
        <v>0</v>
      </c>
      <c r="L2363">
        <v>0</v>
      </c>
      <c r="M2363" t="s">
        <v>11</v>
      </c>
    </row>
    <row r="2364" spans="1:13">
      <c r="A2364" s="93">
        <v>203465</v>
      </c>
      <c r="B2364" t="s">
        <v>2900</v>
      </c>
      <c r="C2364" t="s">
        <v>4923</v>
      </c>
      <c r="D2364" s="92">
        <v>0.2</v>
      </c>
      <c r="E2364" s="92">
        <v>0.09</v>
      </c>
      <c r="F2364" t="s">
        <v>446</v>
      </c>
      <c r="G2364" t="s">
        <v>446</v>
      </c>
      <c r="H2364" t="s">
        <v>4932</v>
      </c>
      <c r="I2364">
        <v>0</v>
      </c>
      <c r="J2364" t="s">
        <v>97</v>
      </c>
      <c r="K2364">
        <v>0</v>
      </c>
      <c r="L2364">
        <v>0</v>
      </c>
      <c r="M2364" t="s">
        <v>11</v>
      </c>
    </row>
    <row r="2365" spans="1:13">
      <c r="A2365" s="93">
        <v>203474</v>
      </c>
      <c r="B2365" t="s">
        <v>2901</v>
      </c>
      <c r="C2365" t="s">
        <v>4923</v>
      </c>
      <c r="D2365" s="92">
        <v>0.12</v>
      </c>
      <c r="E2365" s="92">
        <v>0.05</v>
      </c>
      <c r="F2365" t="s">
        <v>446</v>
      </c>
      <c r="G2365" t="s">
        <v>446</v>
      </c>
      <c r="H2365" t="s">
        <v>4932</v>
      </c>
      <c r="I2365">
        <v>0</v>
      </c>
      <c r="J2365" t="s">
        <v>97</v>
      </c>
      <c r="K2365">
        <v>0</v>
      </c>
      <c r="L2365">
        <v>0</v>
      </c>
      <c r="M2365" t="s">
        <v>11</v>
      </c>
    </row>
    <row r="2366" spans="1:13">
      <c r="A2366" s="93">
        <v>203483</v>
      </c>
      <c r="B2366" t="s">
        <v>2902</v>
      </c>
      <c r="C2366" t="s">
        <v>4923</v>
      </c>
      <c r="D2366" s="92">
        <v>0.14</v>
      </c>
      <c r="E2366" s="92">
        <v>0.11</v>
      </c>
      <c r="F2366" t="s">
        <v>446</v>
      </c>
      <c r="G2366" t="s">
        <v>446</v>
      </c>
      <c r="H2366" t="s">
        <v>4932</v>
      </c>
      <c r="I2366">
        <v>0</v>
      </c>
      <c r="J2366" t="s">
        <v>97</v>
      </c>
      <c r="K2366">
        <v>0</v>
      </c>
      <c r="L2366">
        <v>0</v>
      </c>
      <c r="M2366" t="s">
        <v>11</v>
      </c>
    </row>
    <row r="2367" spans="1:13">
      <c r="A2367" s="93">
        <v>203492</v>
      </c>
      <c r="B2367" t="s">
        <v>2903</v>
      </c>
      <c r="C2367" t="s">
        <v>4923</v>
      </c>
      <c r="D2367" s="92">
        <v>0.15</v>
      </c>
      <c r="E2367" s="92">
        <v>0.08</v>
      </c>
      <c r="F2367" t="s">
        <v>446</v>
      </c>
      <c r="G2367" t="s">
        <v>446</v>
      </c>
      <c r="H2367" t="s">
        <v>4932</v>
      </c>
      <c r="I2367">
        <v>0</v>
      </c>
      <c r="J2367" t="s">
        <v>97</v>
      </c>
      <c r="K2367">
        <v>0</v>
      </c>
      <c r="L2367">
        <v>0</v>
      </c>
      <c r="M2367" t="s">
        <v>11</v>
      </c>
    </row>
    <row r="2368" spans="1:13">
      <c r="A2368" s="93">
        <v>203517</v>
      </c>
      <c r="B2368" t="s">
        <v>2904</v>
      </c>
      <c r="C2368" t="s">
        <v>4920</v>
      </c>
      <c r="D2368" s="92">
        <v>0.67</v>
      </c>
      <c r="E2368" s="92">
        <v>0.6</v>
      </c>
      <c r="F2368">
        <v>1010</v>
      </c>
      <c r="G2368">
        <v>1110</v>
      </c>
      <c r="H2368" t="s">
        <v>4932</v>
      </c>
      <c r="I2368">
        <v>0</v>
      </c>
      <c r="J2368" t="s">
        <v>97</v>
      </c>
      <c r="K2368">
        <v>0</v>
      </c>
      <c r="L2368">
        <v>0</v>
      </c>
      <c r="M2368" t="s">
        <v>11</v>
      </c>
    </row>
    <row r="2369" spans="1:13">
      <c r="A2369" s="93">
        <v>203526</v>
      </c>
      <c r="B2369" t="s">
        <v>2905</v>
      </c>
      <c r="C2369" t="s">
        <v>4923</v>
      </c>
      <c r="D2369" s="92">
        <v>0.06</v>
      </c>
      <c r="E2369" s="92">
        <v>0.05</v>
      </c>
      <c r="F2369" t="s">
        <v>446</v>
      </c>
      <c r="G2369" t="s">
        <v>446</v>
      </c>
      <c r="H2369" t="s">
        <v>4932</v>
      </c>
      <c r="I2369">
        <v>0</v>
      </c>
      <c r="J2369" t="s">
        <v>97</v>
      </c>
      <c r="K2369">
        <v>0</v>
      </c>
      <c r="L2369">
        <v>0</v>
      </c>
      <c r="M2369" t="s">
        <v>11</v>
      </c>
    </row>
    <row r="2370" spans="1:13">
      <c r="A2370" s="93">
        <v>203544</v>
      </c>
      <c r="B2370" t="s">
        <v>2906</v>
      </c>
      <c r="C2370" t="s">
        <v>4920</v>
      </c>
      <c r="D2370" s="92">
        <v>0.42</v>
      </c>
      <c r="E2370" s="92">
        <v>0.55</v>
      </c>
      <c r="F2370">
        <v>970</v>
      </c>
      <c r="G2370">
        <v>1040</v>
      </c>
      <c r="H2370" t="s">
        <v>4931</v>
      </c>
      <c r="I2370">
        <v>0</v>
      </c>
      <c r="J2370" t="s">
        <v>97</v>
      </c>
      <c r="K2370">
        <v>0</v>
      </c>
      <c r="L2370">
        <v>0</v>
      </c>
      <c r="M2370" t="s">
        <v>11</v>
      </c>
    </row>
    <row r="2371" spans="1:13">
      <c r="A2371" s="93">
        <v>203614</v>
      </c>
      <c r="B2371" t="s">
        <v>2907</v>
      </c>
      <c r="C2371" t="s">
        <v>4919</v>
      </c>
      <c r="D2371" s="92" t="s">
        <v>446</v>
      </c>
      <c r="E2371" s="92" t="s">
        <v>446</v>
      </c>
      <c r="F2371" t="s">
        <v>446</v>
      </c>
      <c r="G2371" t="s">
        <v>446</v>
      </c>
      <c r="H2371" t="s">
        <v>4932</v>
      </c>
      <c r="I2371">
        <v>0</v>
      </c>
      <c r="J2371" t="s">
        <v>97</v>
      </c>
      <c r="K2371">
        <v>0</v>
      </c>
      <c r="L2371">
        <v>0</v>
      </c>
      <c r="M2371" t="s">
        <v>11</v>
      </c>
    </row>
    <row r="2372" spans="1:13">
      <c r="A2372" s="93">
        <v>203678</v>
      </c>
      <c r="B2372" t="s">
        <v>2908</v>
      </c>
      <c r="C2372" t="s">
        <v>4919</v>
      </c>
      <c r="D2372" s="92">
        <v>0.39</v>
      </c>
      <c r="E2372" s="92">
        <v>0.2</v>
      </c>
      <c r="F2372" t="s">
        <v>446</v>
      </c>
      <c r="G2372" t="s">
        <v>446</v>
      </c>
      <c r="H2372" t="s">
        <v>4932</v>
      </c>
      <c r="I2372">
        <v>0</v>
      </c>
      <c r="J2372" t="s">
        <v>97</v>
      </c>
      <c r="K2372">
        <v>0</v>
      </c>
      <c r="L2372">
        <v>0</v>
      </c>
      <c r="M2372" t="s">
        <v>11</v>
      </c>
    </row>
    <row r="2373" spans="1:13">
      <c r="A2373" s="93">
        <v>203720</v>
      </c>
      <c r="B2373" t="s">
        <v>2909</v>
      </c>
      <c r="C2373" t="s">
        <v>4919</v>
      </c>
      <c r="D2373" s="92" t="s">
        <v>446</v>
      </c>
      <c r="E2373" s="92" t="s">
        <v>446</v>
      </c>
      <c r="F2373" t="s">
        <v>446</v>
      </c>
      <c r="G2373" t="s">
        <v>446</v>
      </c>
      <c r="H2373" t="s">
        <v>4930</v>
      </c>
      <c r="I2373">
        <v>0</v>
      </c>
      <c r="J2373" t="s">
        <v>97</v>
      </c>
      <c r="K2373">
        <v>0</v>
      </c>
      <c r="L2373">
        <v>0</v>
      </c>
      <c r="M2373" t="s">
        <v>11</v>
      </c>
    </row>
    <row r="2374" spans="1:13">
      <c r="A2374" s="93">
        <v>203739</v>
      </c>
      <c r="B2374" t="s">
        <v>2910</v>
      </c>
      <c r="C2374" t="s">
        <v>4919</v>
      </c>
      <c r="D2374" s="92" t="s">
        <v>446</v>
      </c>
      <c r="E2374" s="92" t="s">
        <v>446</v>
      </c>
      <c r="F2374" t="s">
        <v>446</v>
      </c>
      <c r="G2374" t="s">
        <v>446</v>
      </c>
      <c r="H2374" t="s">
        <v>4930</v>
      </c>
      <c r="I2374">
        <v>0</v>
      </c>
      <c r="J2374" t="s">
        <v>97</v>
      </c>
      <c r="K2374">
        <v>0</v>
      </c>
      <c r="L2374">
        <v>0</v>
      </c>
      <c r="M2374" t="s">
        <v>11</v>
      </c>
    </row>
    <row r="2375" spans="1:13">
      <c r="A2375" s="93">
        <v>203748</v>
      </c>
      <c r="B2375" t="s">
        <v>2911</v>
      </c>
      <c r="C2375" t="s">
        <v>4923</v>
      </c>
      <c r="D2375" s="92" t="s">
        <v>446</v>
      </c>
      <c r="E2375" s="92" t="s">
        <v>446</v>
      </c>
      <c r="F2375" t="s">
        <v>446</v>
      </c>
      <c r="G2375" t="s">
        <v>446</v>
      </c>
      <c r="H2375" t="s">
        <v>4932</v>
      </c>
      <c r="I2375">
        <v>0</v>
      </c>
      <c r="J2375" t="s">
        <v>97</v>
      </c>
      <c r="K2375">
        <v>0</v>
      </c>
      <c r="L2375">
        <v>0</v>
      </c>
      <c r="M2375" t="s">
        <v>11</v>
      </c>
    </row>
    <row r="2376" spans="1:13">
      <c r="A2376" s="93">
        <v>203757</v>
      </c>
      <c r="B2376" t="s">
        <v>2912</v>
      </c>
      <c r="C2376" t="s">
        <v>4923</v>
      </c>
      <c r="D2376" s="92">
        <v>0.44</v>
      </c>
      <c r="E2376" s="92">
        <v>0.26</v>
      </c>
      <c r="F2376">
        <v>930</v>
      </c>
      <c r="G2376">
        <v>1035</v>
      </c>
      <c r="H2376" t="s">
        <v>4931</v>
      </c>
      <c r="I2376">
        <v>0</v>
      </c>
      <c r="J2376" t="s">
        <v>97</v>
      </c>
      <c r="K2376">
        <v>0</v>
      </c>
      <c r="L2376">
        <v>0</v>
      </c>
      <c r="M2376" t="s">
        <v>11</v>
      </c>
    </row>
    <row r="2377" spans="1:13">
      <c r="A2377" s="93">
        <v>203775</v>
      </c>
      <c r="B2377" t="s">
        <v>2913</v>
      </c>
      <c r="C2377" t="s">
        <v>4920</v>
      </c>
      <c r="D2377" s="92">
        <v>0.5600000000000001</v>
      </c>
      <c r="E2377" s="92">
        <v>0.29</v>
      </c>
      <c r="F2377">
        <v>970</v>
      </c>
      <c r="G2377">
        <v>1075</v>
      </c>
      <c r="H2377" t="s">
        <v>4930</v>
      </c>
      <c r="I2377">
        <v>0</v>
      </c>
      <c r="J2377" t="s">
        <v>97</v>
      </c>
      <c r="K2377">
        <v>0</v>
      </c>
      <c r="L2377">
        <v>0</v>
      </c>
      <c r="M2377" t="s">
        <v>11</v>
      </c>
    </row>
    <row r="2378" spans="1:13">
      <c r="A2378" s="93">
        <v>203845</v>
      </c>
      <c r="B2378" t="s">
        <v>2914</v>
      </c>
      <c r="C2378" t="s">
        <v>4920</v>
      </c>
      <c r="D2378" s="92">
        <v>0.54</v>
      </c>
      <c r="E2378" s="92">
        <v>0.3</v>
      </c>
      <c r="F2378">
        <v>970</v>
      </c>
      <c r="G2378">
        <v>1075</v>
      </c>
      <c r="H2378" t="s">
        <v>4930</v>
      </c>
      <c r="I2378">
        <v>0</v>
      </c>
      <c r="J2378" t="s">
        <v>97</v>
      </c>
      <c r="K2378">
        <v>0</v>
      </c>
      <c r="L2378">
        <v>0</v>
      </c>
      <c r="M2378" t="s">
        <v>11</v>
      </c>
    </row>
    <row r="2379" spans="1:13">
      <c r="A2379" s="93">
        <v>203881</v>
      </c>
      <c r="B2379" t="s">
        <v>2915</v>
      </c>
      <c r="C2379" t="s">
        <v>4919</v>
      </c>
      <c r="D2379" s="92">
        <v>0.34</v>
      </c>
      <c r="E2379" s="92">
        <v>0.18</v>
      </c>
      <c r="F2379" t="s">
        <v>446</v>
      </c>
      <c r="G2379" t="s">
        <v>446</v>
      </c>
      <c r="H2379" t="s">
        <v>4932</v>
      </c>
      <c r="I2379">
        <v>0</v>
      </c>
      <c r="J2379" t="s">
        <v>97</v>
      </c>
      <c r="K2379">
        <v>0</v>
      </c>
      <c r="L2379">
        <v>0</v>
      </c>
      <c r="M2379" t="s">
        <v>11</v>
      </c>
    </row>
    <row r="2380" spans="1:13">
      <c r="A2380" s="93">
        <v>203960</v>
      </c>
      <c r="B2380" t="s">
        <v>2916</v>
      </c>
      <c r="C2380" t="s">
        <v>4924</v>
      </c>
      <c r="D2380" s="92">
        <v>0.48</v>
      </c>
      <c r="E2380" s="92">
        <v>0.33</v>
      </c>
      <c r="F2380">
        <v>890</v>
      </c>
      <c r="G2380">
        <v>985</v>
      </c>
      <c r="H2380" t="s">
        <v>4930</v>
      </c>
      <c r="I2380">
        <v>0</v>
      </c>
      <c r="J2380" t="s">
        <v>97</v>
      </c>
      <c r="K2380">
        <v>0</v>
      </c>
      <c r="L2380">
        <v>0</v>
      </c>
      <c r="M2380" t="s">
        <v>11</v>
      </c>
    </row>
    <row r="2381" spans="1:13">
      <c r="A2381" s="93">
        <v>203997</v>
      </c>
      <c r="B2381" t="s">
        <v>2917</v>
      </c>
      <c r="C2381" t="s">
        <v>4924</v>
      </c>
      <c r="D2381" s="92" t="s">
        <v>446</v>
      </c>
      <c r="E2381" s="92" t="s">
        <v>446</v>
      </c>
      <c r="F2381" t="s">
        <v>446</v>
      </c>
      <c r="G2381" t="s">
        <v>446</v>
      </c>
      <c r="H2381" t="s">
        <v>4932</v>
      </c>
      <c r="I2381">
        <v>0</v>
      </c>
      <c r="J2381" t="s">
        <v>97</v>
      </c>
      <c r="K2381">
        <v>0</v>
      </c>
      <c r="L2381">
        <v>0</v>
      </c>
      <c r="M2381" t="s">
        <v>11</v>
      </c>
    </row>
    <row r="2382" spans="1:13">
      <c r="A2382" s="93">
        <v>204006</v>
      </c>
      <c r="B2382" t="s">
        <v>2918</v>
      </c>
      <c r="C2382" t="s">
        <v>4923</v>
      </c>
      <c r="D2382" s="92">
        <v>0.14</v>
      </c>
      <c r="E2382" s="92">
        <v>0.08</v>
      </c>
      <c r="F2382" t="s">
        <v>446</v>
      </c>
      <c r="G2382" t="s">
        <v>446</v>
      </c>
      <c r="H2382" t="s">
        <v>4932</v>
      </c>
      <c r="I2382">
        <v>0</v>
      </c>
      <c r="J2382" t="s">
        <v>97</v>
      </c>
      <c r="K2382">
        <v>0</v>
      </c>
      <c r="L2382">
        <v>0</v>
      </c>
      <c r="M2382" t="s">
        <v>11</v>
      </c>
    </row>
    <row r="2383" spans="1:13">
      <c r="A2383" s="93">
        <v>204015</v>
      </c>
      <c r="B2383" t="s">
        <v>2919</v>
      </c>
      <c r="C2383" t="s">
        <v>4923</v>
      </c>
      <c r="D2383" s="92">
        <v>0.16</v>
      </c>
      <c r="E2383" s="92">
        <v>0.1</v>
      </c>
      <c r="F2383" t="s">
        <v>446</v>
      </c>
      <c r="G2383" t="s">
        <v>446</v>
      </c>
      <c r="H2383" t="s">
        <v>4932</v>
      </c>
      <c r="I2383">
        <v>0</v>
      </c>
      <c r="J2383" t="s">
        <v>97</v>
      </c>
      <c r="K2383">
        <v>0</v>
      </c>
      <c r="L2383">
        <v>0</v>
      </c>
      <c r="M2383" t="s">
        <v>11</v>
      </c>
    </row>
    <row r="2384" spans="1:13">
      <c r="A2384" s="93">
        <v>204024</v>
      </c>
      <c r="B2384" t="s">
        <v>2920</v>
      </c>
      <c r="C2384" t="s">
        <v>4917</v>
      </c>
      <c r="D2384" s="92">
        <v>0.83</v>
      </c>
      <c r="E2384" s="92">
        <v>0.77</v>
      </c>
      <c r="F2384">
        <v>1180</v>
      </c>
      <c r="G2384">
        <v>1275</v>
      </c>
      <c r="H2384" t="s">
        <v>4930</v>
      </c>
      <c r="I2384">
        <v>0</v>
      </c>
      <c r="J2384" t="s">
        <v>97</v>
      </c>
      <c r="K2384">
        <v>0</v>
      </c>
      <c r="L2384">
        <v>0</v>
      </c>
      <c r="M2384" t="s">
        <v>11</v>
      </c>
    </row>
    <row r="2385" spans="1:13">
      <c r="A2385" s="93">
        <v>204121</v>
      </c>
      <c r="B2385" t="s">
        <v>2921</v>
      </c>
      <c r="C2385" t="s">
        <v>4919</v>
      </c>
      <c r="D2385" s="92" t="s">
        <v>446</v>
      </c>
      <c r="E2385" s="92" t="s">
        <v>446</v>
      </c>
      <c r="F2385" t="s">
        <v>446</v>
      </c>
      <c r="G2385" t="s">
        <v>446</v>
      </c>
      <c r="H2385" t="s">
        <v>4928</v>
      </c>
      <c r="I2385">
        <v>1</v>
      </c>
      <c r="J2385" t="s">
        <v>97</v>
      </c>
      <c r="K2385">
        <v>0</v>
      </c>
      <c r="L2385">
        <v>0</v>
      </c>
      <c r="M2385" t="s">
        <v>11</v>
      </c>
    </row>
    <row r="2386" spans="1:13">
      <c r="A2386" s="93">
        <v>204176</v>
      </c>
      <c r="B2386" t="s">
        <v>2922</v>
      </c>
      <c r="C2386" t="s">
        <v>4918</v>
      </c>
      <c r="D2386" s="92">
        <v>0.78</v>
      </c>
      <c r="E2386" s="92">
        <v>0.76</v>
      </c>
      <c r="F2386">
        <v>930</v>
      </c>
      <c r="G2386">
        <v>1005</v>
      </c>
      <c r="H2386" t="s">
        <v>4930</v>
      </c>
      <c r="I2386">
        <v>0</v>
      </c>
      <c r="J2386" t="s">
        <v>97</v>
      </c>
      <c r="K2386">
        <v>0</v>
      </c>
      <c r="L2386">
        <v>0</v>
      </c>
      <c r="M2386" t="s">
        <v>11</v>
      </c>
    </row>
    <row r="2387" spans="1:13">
      <c r="A2387" s="93">
        <v>204185</v>
      </c>
      <c r="B2387" t="s">
        <v>2923</v>
      </c>
      <c r="C2387" t="s">
        <v>4920</v>
      </c>
      <c r="D2387" s="92">
        <v>0.66</v>
      </c>
      <c r="E2387" s="92">
        <v>0.51</v>
      </c>
      <c r="F2387">
        <v>1010</v>
      </c>
      <c r="G2387">
        <v>1110</v>
      </c>
      <c r="H2387" t="s">
        <v>4930</v>
      </c>
      <c r="I2387">
        <v>0</v>
      </c>
      <c r="J2387" t="s">
        <v>97</v>
      </c>
      <c r="K2387">
        <v>0</v>
      </c>
      <c r="L2387">
        <v>0</v>
      </c>
      <c r="M2387" t="s">
        <v>11</v>
      </c>
    </row>
    <row r="2388" spans="1:13">
      <c r="A2388" s="93">
        <v>204194</v>
      </c>
      <c r="B2388" t="s">
        <v>2924</v>
      </c>
      <c r="C2388" t="s">
        <v>4920</v>
      </c>
      <c r="D2388" s="92">
        <v>0.63</v>
      </c>
      <c r="E2388" s="92">
        <v>0.43</v>
      </c>
      <c r="F2388">
        <v>1010</v>
      </c>
      <c r="G2388">
        <v>1110</v>
      </c>
      <c r="H2388" t="s">
        <v>4930</v>
      </c>
      <c r="I2388">
        <v>0</v>
      </c>
      <c r="J2388" t="s">
        <v>97</v>
      </c>
      <c r="K2388">
        <v>0</v>
      </c>
      <c r="L2388">
        <v>0</v>
      </c>
      <c r="M2388" t="s">
        <v>11</v>
      </c>
    </row>
    <row r="2389" spans="1:13">
      <c r="A2389" s="93">
        <v>204200</v>
      </c>
      <c r="B2389" t="s">
        <v>2925</v>
      </c>
      <c r="C2389" t="s">
        <v>4920</v>
      </c>
      <c r="D2389" s="92">
        <v>0.51</v>
      </c>
      <c r="E2389" s="92">
        <v>0.3</v>
      </c>
      <c r="F2389">
        <v>1040</v>
      </c>
      <c r="G2389">
        <v>1160</v>
      </c>
      <c r="H2389" t="s">
        <v>4931</v>
      </c>
      <c r="I2389">
        <v>0</v>
      </c>
      <c r="J2389" t="s">
        <v>97</v>
      </c>
      <c r="K2389">
        <v>0</v>
      </c>
      <c r="L2389">
        <v>0</v>
      </c>
      <c r="M2389" t="s">
        <v>11</v>
      </c>
    </row>
    <row r="2390" spans="1:13">
      <c r="A2390" s="93">
        <v>204255</v>
      </c>
      <c r="B2390" t="s">
        <v>2926</v>
      </c>
      <c r="C2390" t="s">
        <v>4919</v>
      </c>
      <c r="D2390" s="92">
        <v>0.54</v>
      </c>
      <c r="E2390" s="92">
        <v>0.2</v>
      </c>
      <c r="F2390" t="s">
        <v>446</v>
      </c>
      <c r="G2390" t="s">
        <v>446</v>
      </c>
      <c r="H2390" t="s">
        <v>4932</v>
      </c>
      <c r="I2390">
        <v>0</v>
      </c>
      <c r="J2390" t="s">
        <v>97</v>
      </c>
      <c r="K2390">
        <v>0</v>
      </c>
      <c r="L2390">
        <v>0</v>
      </c>
      <c r="M2390" t="s">
        <v>11</v>
      </c>
    </row>
    <row r="2391" spans="1:13">
      <c r="A2391" s="93">
        <v>204264</v>
      </c>
      <c r="B2391" t="s">
        <v>2927</v>
      </c>
      <c r="C2391" t="s">
        <v>4920</v>
      </c>
      <c r="D2391" s="92">
        <v>0.53</v>
      </c>
      <c r="E2391" s="92">
        <v>0.24</v>
      </c>
      <c r="F2391" t="s">
        <v>446</v>
      </c>
      <c r="G2391" t="s">
        <v>446</v>
      </c>
      <c r="H2391" t="s">
        <v>4930</v>
      </c>
      <c r="I2391">
        <v>0</v>
      </c>
      <c r="J2391" t="s">
        <v>97</v>
      </c>
      <c r="K2391">
        <v>0</v>
      </c>
      <c r="L2391">
        <v>0</v>
      </c>
      <c r="M2391" t="s">
        <v>11</v>
      </c>
    </row>
    <row r="2392" spans="1:13">
      <c r="A2392" s="93">
        <v>204422</v>
      </c>
      <c r="B2392" t="s">
        <v>2928</v>
      </c>
      <c r="C2392" t="s">
        <v>4923</v>
      </c>
      <c r="D2392" s="92" t="s">
        <v>446</v>
      </c>
      <c r="E2392" s="92" t="s">
        <v>446</v>
      </c>
      <c r="F2392" t="s">
        <v>446</v>
      </c>
      <c r="G2392" t="s">
        <v>446</v>
      </c>
      <c r="H2392" t="s">
        <v>4932</v>
      </c>
      <c r="I2392">
        <v>0</v>
      </c>
      <c r="J2392" t="s">
        <v>97</v>
      </c>
      <c r="K2392">
        <v>0</v>
      </c>
      <c r="L2392">
        <v>0</v>
      </c>
      <c r="M2392" t="s">
        <v>11</v>
      </c>
    </row>
    <row r="2393" spans="1:13">
      <c r="A2393" s="93">
        <v>204440</v>
      </c>
      <c r="B2393" t="s">
        <v>2929</v>
      </c>
      <c r="C2393" t="s">
        <v>4919</v>
      </c>
      <c r="D2393" s="92">
        <v>0.44</v>
      </c>
      <c r="E2393" s="92">
        <v>0.33</v>
      </c>
      <c r="F2393" t="s">
        <v>446</v>
      </c>
      <c r="G2393" t="s">
        <v>446</v>
      </c>
      <c r="H2393" t="s">
        <v>4932</v>
      </c>
      <c r="I2393">
        <v>0</v>
      </c>
      <c r="J2393" t="s">
        <v>97</v>
      </c>
      <c r="K2393">
        <v>0</v>
      </c>
      <c r="L2393">
        <v>0</v>
      </c>
      <c r="M2393" t="s">
        <v>11</v>
      </c>
    </row>
    <row r="2394" spans="1:13">
      <c r="A2394" s="93">
        <v>204459</v>
      </c>
      <c r="B2394" t="s">
        <v>2930</v>
      </c>
      <c r="C2394" t="s">
        <v>4926</v>
      </c>
      <c r="D2394" s="92">
        <v>0.75</v>
      </c>
      <c r="E2394" s="92">
        <v>0.79</v>
      </c>
      <c r="F2394" t="s">
        <v>446</v>
      </c>
      <c r="G2394" t="s">
        <v>446</v>
      </c>
      <c r="H2394" t="s">
        <v>4932</v>
      </c>
      <c r="I2394">
        <v>0</v>
      </c>
      <c r="J2394" t="s">
        <v>97</v>
      </c>
      <c r="K2394">
        <v>0</v>
      </c>
      <c r="L2394">
        <v>0</v>
      </c>
      <c r="M2394" t="s">
        <v>11</v>
      </c>
    </row>
    <row r="2395" spans="1:13">
      <c r="A2395" s="93">
        <v>204468</v>
      </c>
      <c r="B2395" t="s">
        <v>2931</v>
      </c>
      <c r="C2395" t="s">
        <v>4923</v>
      </c>
      <c r="D2395" s="92">
        <v>0.4</v>
      </c>
      <c r="E2395" s="92">
        <v>0.28</v>
      </c>
      <c r="F2395">
        <v>890</v>
      </c>
      <c r="G2395">
        <v>1000</v>
      </c>
      <c r="H2395" t="s">
        <v>4931</v>
      </c>
      <c r="I2395">
        <v>0</v>
      </c>
      <c r="J2395" t="s">
        <v>97</v>
      </c>
      <c r="K2395">
        <v>0</v>
      </c>
      <c r="L2395">
        <v>0</v>
      </c>
      <c r="M2395" t="s">
        <v>11</v>
      </c>
    </row>
    <row r="2396" spans="1:13">
      <c r="A2396" s="93">
        <v>204477</v>
      </c>
      <c r="B2396" t="s">
        <v>2932</v>
      </c>
      <c r="C2396" t="s">
        <v>4924</v>
      </c>
      <c r="D2396" s="92" t="s">
        <v>446</v>
      </c>
      <c r="E2396" s="92" t="s">
        <v>446</v>
      </c>
      <c r="F2396" t="s">
        <v>446</v>
      </c>
      <c r="G2396" t="s">
        <v>446</v>
      </c>
      <c r="H2396" t="s">
        <v>4932</v>
      </c>
      <c r="I2396">
        <v>0</v>
      </c>
      <c r="J2396" t="s">
        <v>97</v>
      </c>
      <c r="K2396">
        <v>0</v>
      </c>
      <c r="L2396">
        <v>0</v>
      </c>
      <c r="M2396" t="s">
        <v>11</v>
      </c>
    </row>
    <row r="2397" spans="1:13">
      <c r="A2397" s="93">
        <v>204608</v>
      </c>
      <c r="B2397" t="s">
        <v>2933</v>
      </c>
      <c r="C2397" t="s">
        <v>4919</v>
      </c>
      <c r="D2397" s="92" t="s">
        <v>446</v>
      </c>
      <c r="E2397" s="92" t="s">
        <v>446</v>
      </c>
      <c r="F2397" t="s">
        <v>446</v>
      </c>
      <c r="G2397" t="s">
        <v>446</v>
      </c>
      <c r="H2397" t="s">
        <v>4930</v>
      </c>
      <c r="I2397">
        <v>0</v>
      </c>
      <c r="J2397" t="s">
        <v>97</v>
      </c>
      <c r="K2397">
        <v>0</v>
      </c>
      <c r="L2397">
        <v>0</v>
      </c>
      <c r="M2397" t="s">
        <v>11</v>
      </c>
    </row>
    <row r="2398" spans="1:13">
      <c r="A2398" s="93">
        <v>204617</v>
      </c>
      <c r="B2398" t="s">
        <v>2934</v>
      </c>
      <c r="C2398" t="s">
        <v>4920</v>
      </c>
      <c r="D2398" s="92">
        <v>0.51</v>
      </c>
      <c r="E2398" s="92">
        <v>0.43</v>
      </c>
      <c r="F2398" t="s">
        <v>446</v>
      </c>
      <c r="G2398" t="s">
        <v>446</v>
      </c>
      <c r="H2398" t="s">
        <v>4930</v>
      </c>
      <c r="I2398">
        <v>0</v>
      </c>
      <c r="J2398" t="s">
        <v>97</v>
      </c>
      <c r="K2398">
        <v>0</v>
      </c>
      <c r="L2398">
        <v>0</v>
      </c>
      <c r="M2398" t="s">
        <v>11</v>
      </c>
    </row>
    <row r="2399" spans="1:13">
      <c r="A2399" s="93">
        <v>204635</v>
      </c>
      <c r="B2399" t="s">
        <v>2935</v>
      </c>
      <c r="C2399" t="s">
        <v>4916</v>
      </c>
      <c r="D2399" s="92">
        <v>0.72</v>
      </c>
      <c r="E2399" s="92">
        <v>0.41</v>
      </c>
      <c r="F2399">
        <v>1080</v>
      </c>
      <c r="G2399">
        <v>1195</v>
      </c>
      <c r="H2399" t="s">
        <v>4930</v>
      </c>
      <c r="I2399">
        <v>0</v>
      </c>
      <c r="J2399" t="s">
        <v>97</v>
      </c>
      <c r="K2399">
        <v>0</v>
      </c>
      <c r="L2399">
        <v>0</v>
      </c>
      <c r="M2399" t="s">
        <v>11</v>
      </c>
    </row>
    <row r="2400" spans="1:13">
      <c r="A2400" s="93">
        <v>204662</v>
      </c>
      <c r="B2400" t="s">
        <v>2936</v>
      </c>
      <c r="C2400" t="s">
        <v>4919</v>
      </c>
      <c r="D2400" s="92">
        <v>0.6</v>
      </c>
      <c r="E2400" s="92">
        <v>0.58</v>
      </c>
      <c r="F2400" t="s">
        <v>446</v>
      </c>
      <c r="G2400" t="s">
        <v>446</v>
      </c>
      <c r="H2400" t="s">
        <v>4932</v>
      </c>
      <c r="I2400">
        <v>0</v>
      </c>
      <c r="J2400" t="s">
        <v>97</v>
      </c>
      <c r="K2400">
        <v>0</v>
      </c>
      <c r="L2400">
        <v>0</v>
      </c>
      <c r="M2400" t="s">
        <v>11</v>
      </c>
    </row>
    <row r="2401" spans="1:13">
      <c r="A2401" s="93">
        <v>204671</v>
      </c>
      <c r="B2401" t="s">
        <v>2937</v>
      </c>
      <c r="C2401" t="s">
        <v>4920</v>
      </c>
      <c r="D2401" s="92">
        <v>0.12</v>
      </c>
      <c r="E2401" s="92">
        <v>0.08</v>
      </c>
      <c r="F2401" t="s">
        <v>446</v>
      </c>
      <c r="G2401" t="s">
        <v>446</v>
      </c>
      <c r="H2401" t="s">
        <v>4932</v>
      </c>
      <c r="I2401">
        <v>0</v>
      </c>
      <c r="J2401" t="s">
        <v>97</v>
      </c>
      <c r="K2401">
        <v>0</v>
      </c>
      <c r="L2401">
        <v>0</v>
      </c>
      <c r="M2401" t="s">
        <v>11</v>
      </c>
    </row>
    <row r="2402" spans="1:13">
      <c r="A2402" s="93">
        <v>204680</v>
      </c>
      <c r="B2402" t="s">
        <v>2938</v>
      </c>
      <c r="C2402" t="s">
        <v>4920</v>
      </c>
      <c r="D2402" s="92">
        <v>0.07000000000000001</v>
      </c>
      <c r="E2402" s="92">
        <v>0.02</v>
      </c>
      <c r="F2402" t="s">
        <v>446</v>
      </c>
      <c r="G2402" t="s">
        <v>446</v>
      </c>
      <c r="H2402" t="s">
        <v>4932</v>
      </c>
      <c r="I2402">
        <v>0</v>
      </c>
      <c r="J2402" t="s">
        <v>97</v>
      </c>
      <c r="K2402">
        <v>0</v>
      </c>
      <c r="L2402">
        <v>0</v>
      </c>
      <c r="M2402" t="s">
        <v>11</v>
      </c>
    </row>
    <row r="2403" spans="1:13">
      <c r="A2403" s="93">
        <v>204699</v>
      </c>
      <c r="B2403" t="s">
        <v>2939</v>
      </c>
      <c r="C2403" t="s">
        <v>4920</v>
      </c>
      <c r="D2403" s="92">
        <v>0.08</v>
      </c>
      <c r="E2403" s="92">
        <v>0.04</v>
      </c>
      <c r="F2403" t="s">
        <v>446</v>
      </c>
      <c r="G2403" t="s">
        <v>446</v>
      </c>
      <c r="H2403" t="s">
        <v>4932</v>
      </c>
      <c r="I2403">
        <v>0</v>
      </c>
      <c r="J2403" t="s">
        <v>97</v>
      </c>
      <c r="K2403">
        <v>0</v>
      </c>
      <c r="L2403">
        <v>0</v>
      </c>
      <c r="M2403" t="s">
        <v>11</v>
      </c>
    </row>
    <row r="2404" spans="1:13">
      <c r="A2404" s="93">
        <v>204705</v>
      </c>
      <c r="B2404" t="s">
        <v>2940</v>
      </c>
      <c r="C2404" t="s">
        <v>4920</v>
      </c>
      <c r="D2404" s="92">
        <v>0.06</v>
      </c>
      <c r="E2404" s="92">
        <v>0.01</v>
      </c>
      <c r="F2404" t="s">
        <v>446</v>
      </c>
      <c r="G2404" t="s">
        <v>446</v>
      </c>
      <c r="H2404" t="s">
        <v>4932</v>
      </c>
      <c r="I2404">
        <v>0</v>
      </c>
      <c r="J2404" t="s">
        <v>97</v>
      </c>
      <c r="K2404">
        <v>0</v>
      </c>
      <c r="L2404">
        <v>0</v>
      </c>
      <c r="M2404" t="s">
        <v>11</v>
      </c>
    </row>
    <row r="2405" spans="1:13">
      <c r="A2405" s="93">
        <v>204714</v>
      </c>
      <c r="B2405" t="s">
        <v>2941</v>
      </c>
      <c r="C2405" t="s">
        <v>4919</v>
      </c>
      <c r="D2405" s="92" t="s">
        <v>446</v>
      </c>
      <c r="E2405" s="92" t="s">
        <v>446</v>
      </c>
      <c r="F2405" t="s">
        <v>446</v>
      </c>
      <c r="G2405" t="s">
        <v>446</v>
      </c>
      <c r="H2405" t="s">
        <v>4931</v>
      </c>
      <c r="I2405">
        <v>0</v>
      </c>
      <c r="J2405" t="s">
        <v>97</v>
      </c>
      <c r="K2405">
        <v>0</v>
      </c>
      <c r="L2405">
        <v>0</v>
      </c>
      <c r="M2405" t="s">
        <v>11</v>
      </c>
    </row>
    <row r="2406" spans="1:13">
      <c r="A2406" s="93">
        <v>204723</v>
      </c>
      <c r="B2406" t="s">
        <v>2942</v>
      </c>
      <c r="C2406" t="s">
        <v>4919</v>
      </c>
      <c r="D2406" s="92" t="s">
        <v>446</v>
      </c>
      <c r="E2406" s="92" t="s">
        <v>446</v>
      </c>
      <c r="F2406" t="s">
        <v>446</v>
      </c>
      <c r="G2406" t="s">
        <v>446</v>
      </c>
      <c r="H2406" t="s">
        <v>4931</v>
      </c>
      <c r="I2406">
        <v>0</v>
      </c>
      <c r="J2406" t="s">
        <v>97</v>
      </c>
      <c r="K2406">
        <v>0</v>
      </c>
      <c r="L2406">
        <v>0</v>
      </c>
      <c r="M2406" t="s">
        <v>11</v>
      </c>
    </row>
    <row r="2407" spans="1:13">
      <c r="A2407" s="93">
        <v>204769</v>
      </c>
      <c r="B2407" t="s">
        <v>2943</v>
      </c>
      <c r="C2407" t="s">
        <v>4919</v>
      </c>
      <c r="D2407" s="92" t="s">
        <v>446</v>
      </c>
      <c r="E2407" s="92" t="s">
        <v>446</v>
      </c>
      <c r="F2407" t="s">
        <v>446</v>
      </c>
      <c r="G2407" t="s">
        <v>446</v>
      </c>
      <c r="H2407" t="s">
        <v>4930</v>
      </c>
      <c r="I2407">
        <v>0</v>
      </c>
      <c r="J2407" t="s">
        <v>97</v>
      </c>
      <c r="K2407">
        <v>0</v>
      </c>
      <c r="L2407">
        <v>0</v>
      </c>
      <c r="M2407" t="s">
        <v>11</v>
      </c>
    </row>
    <row r="2408" spans="1:13">
      <c r="A2408" s="93">
        <v>204778</v>
      </c>
      <c r="B2408" t="s">
        <v>2944</v>
      </c>
      <c r="C2408" t="s">
        <v>4919</v>
      </c>
      <c r="D2408" s="92" t="s">
        <v>446</v>
      </c>
      <c r="E2408" s="92" t="s">
        <v>446</v>
      </c>
      <c r="F2408" t="s">
        <v>446</v>
      </c>
      <c r="G2408" t="s">
        <v>446</v>
      </c>
      <c r="H2408" t="s">
        <v>4931</v>
      </c>
      <c r="I2408">
        <v>0</v>
      </c>
      <c r="J2408" t="s">
        <v>97</v>
      </c>
      <c r="K2408">
        <v>0</v>
      </c>
      <c r="L2408">
        <v>0</v>
      </c>
      <c r="M2408" t="s">
        <v>11</v>
      </c>
    </row>
    <row r="2409" spans="1:13">
      <c r="A2409" s="93">
        <v>204802</v>
      </c>
      <c r="B2409" t="s">
        <v>2945</v>
      </c>
      <c r="C2409" t="s">
        <v>4923</v>
      </c>
      <c r="D2409" s="92">
        <v>0.29</v>
      </c>
      <c r="E2409" s="92">
        <v>0.17</v>
      </c>
      <c r="F2409" t="s">
        <v>446</v>
      </c>
      <c r="G2409" t="s">
        <v>446</v>
      </c>
      <c r="H2409" t="s">
        <v>4932</v>
      </c>
      <c r="I2409">
        <v>0</v>
      </c>
      <c r="J2409" t="s">
        <v>97</v>
      </c>
      <c r="K2409">
        <v>0</v>
      </c>
      <c r="L2409">
        <v>0</v>
      </c>
      <c r="M2409" t="s">
        <v>11</v>
      </c>
    </row>
    <row r="2410" spans="1:13">
      <c r="A2410" s="93">
        <v>204820</v>
      </c>
      <c r="B2410" t="s">
        <v>2946</v>
      </c>
      <c r="C2410" t="s">
        <v>4923</v>
      </c>
      <c r="D2410" s="92">
        <v>0.19</v>
      </c>
      <c r="E2410" s="92">
        <v>0.05</v>
      </c>
      <c r="F2410" t="s">
        <v>446</v>
      </c>
      <c r="G2410" t="s">
        <v>446</v>
      </c>
      <c r="H2410" t="s">
        <v>4932</v>
      </c>
      <c r="I2410">
        <v>0</v>
      </c>
      <c r="J2410" t="s">
        <v>97</v>
      </c>
      <c r="K2410">
        <v>0</v>
      </c>
      <c r="L2410">
        <v>0</v>
      </c>
      <c r="M2410" t="s">
        <v>11</v>
      </c>
    </row>
    <row r="2411" spans="1:13">
      <c r="A2411" s="93">
        <v>204839</v>
      </c>
      <c r="B2411" t="s">
        <v>2947</v>
      </c>
      <c r="C2411" t="s">
        <v>4923</v>
      </c>
      <c r="D2411" s="92">
        <v>0.21</v>
      </c>
      <c r="E2411" s="92">
        <v>0.22</v>
      </c>
      <c r="F2411" t="s">
        <v>446</v>
      </c>
      <c r="G2411" t="s">
        <v>446</v>
      </c>
      <c r="H2411" t="s">
        <v>4932</v>
      </c>
      <c r="I2411">
        <v>0</v>
      </c>
      <c r="J2411" t="s">
        <v>97</v>
      </c>
      <c r="K2411">
        <v>0</v>
      </c>
      <c r="L2411">
        <v>0</v>
      </c>
      <c r="M2411" t="s">
        <v>11</v>
      </c>
    </row>
    <row r="2412" spans="1:13">
      <c r="A2412" s="93">
        <v>204848</v>
      </c>
      <c r="B2412" t="s">
        <v>2948</v>
      </c>
      <c r="C2412" t="s">
        <v>4923</v>
      </c>
      <c r="D2412" s="92">
        <v>0.22</v>
      </c>
      <c r="E2412" s="92">
        <v>0.15</v>
      </c>
      <c r="F2412" t="s">
        <v>446</v>
      </c>
      <c r="G2412" t="s">
        <v>446</v>
      </c>
      <c r="H2412" t="s">
        <v>4932</v>
      </c>
      <c r="I2412">
        <v>0</v>
      </c>
      <c r="J2412" t="s">
        <v>97</v>
      </c>
      <c r="K2412">
        <v>0</v>
      </c>
      <c r="L2412">
        <v>0</v>
      </c>
      <c r="M2412" t="s">
        <v>11</v>
      </c>
    </row>
    <row r="2413" spans="1:13">
      <c r="A2413" s="93">
        <v>204857</v>
      </c>
      <c r="B2413" t="s">
        <v>2949</v>
      </c>
      <c r="C2413" t="s">
        <v>4920</v>
      </c>
      <c r="D2413" s="92">
        <v>0.67</v>
      </c>
      <c r="E2413" s="92">
        <v>0.62</v>
      </c>
      <c r="F2413">
        <v>1110</v>
      </c>
      <c r="G2413">
        <v>1195</v>
      </c>
      <c r="H2413" t="s">
        <v>4930</v>
      </c>
      <c r="I2413">
        <v>0</v>
      </c>
      <c r="J2413" t="s">
        <v>97</v>
      </c>
      <c r="K2413">
        <v>0</v>
      </c>
      <c r="L2413">
        <v>0</v>
      </c>
      <c r="M2413" t="s">
        <v>11</v>
      </c>
    </row>
    <row r="2414" spans="1:13">
      <c r="A2414" s="93">
        <v>204866</v>
      </c>
      <c r="B2414" t="s">
        <v>2950</v>
      </c>
      <c r="C2414" t="s">
        <v>4923</v>
      </c>
      <c r="D2414" s="92">
        <v>0.27</v>
      </c>
      <c r="E2414" s="92">
        <v>0.12</v>
      </c>
      <c r="F2414" t="s">
        <v>446</v>
      </c>
      <c r="G2414" t="s">
        <v>446</v>
      </c>
      <c r="H2414" t="s">
        <v>4932</v>
      </c>
      <c r="I2414">
        <v>0</v>
      </c>
      <c r="J2414" t="s">
        <v>97</v>
      </c>
      <c r="K2414">
        <v>0</v>
      </c>
      <c r="L2414">
        <v>0</v>
      </c>
      <c r="M2414" t="s">
        <v>11</v>
      </c>
    </row>
    <row r="2415" spans="1:13">
      <c r="A2415" s="93">
        <v>204884</v>
      </c>
      <c r="B2415" t="s">
        <v>2951</v>
      </c>
      <c r="C2415" t="s">
        <v>4919</v>
      </c>
      <c r="D2415" s="92" t="s">
        <v>446</v>
      </c>
      <c r="E2415" s="92" t="s">
        <v>446</v>
      </c>
      <c r="F2415" t="s">
        <v>446</v>
      </c>
      <c r="G2415" t="s">
        <v>446</v>
      </c>
      <c r="H2415" t="s">
        <v>4931</v>
      </c>
      <c r="I2415">
        <v>0</v>
      </c>
      <c r="J2415" t="s">
        <v>97</v>
      </c>
      <c r="K2415">
        <v>0</v>
      </c>
      <c r="L2415">
        <v>0</v>
      </c>
      <c r="M2415" t="s">
        <v>11</v>
      </c>
    </row>
    <row r="2416" spans="1:13">
      <c r="A2416" s="93">
        <v>204893</v>
      </c>
      <c r="B2416" t="s">
        <v>2952</v>
      </c>
      <c r="C2416" t="s">
        <v>4919</v>
      </c>
      <c r="D2416" s="92" t="s">
        <v>446</v>
      </c>
      <c r="E2416" s="92" t="s">
        <v>446</v>
      </c>
      <c r="F2416" t="s">
        <v>446</v>
      </c>
      <c r="G2416" t="s">
        <v>446</v>
      </c>
      <c r="H2416" t="s">
        <v>4931</v>
      </c>
      <c r="I2416">
        <v>0</v>
      </c>
      <c r="J2416" t="s">
        <v>97</v>
      </c>
      <c r="K2416">
        <v>0</v>
      </c>
      <c r="L2416">
        <v>0</v>
      </c>
      <c r="M2416" t="s">
        <v>11</v>
      </c>
    </row>
    <row r="2417" spans="1:13">
      <c r="A2417" s="93">
        <v>204909</v>
      </c>
      <c r="B2417" t="s">
        <v>2953</v>
      </c>
      <c r="C2417" t="s">
        <v>4916</v>
      </c>
      <c r="D2417" s="92">
        <v>0.65</v>
      </c>
      <c r="E2417" s="92">
        <v>0.59</v>
      </c>
      <c r="F2417">
        <v>1080</v>
      </c>
      <c r="G2417">
        <v>1195</v>
      </c>
      <c r="H2417" t="s">
        <v>4930</v>
      </c>
      <c r="I2417">
        <v>0</v>
      </c>
      <c r="J2417" t="s">
        <v>97</v>
      </c>
      <c r="K2417">
        <v>0</v>
      </c>
      <c r="L2417">
        <v>0</v>
      </c>
      <c r="M2417" t="s">
        <v>11</v>
      </c>
    </row>
    <row r="2418" spans="1:13">
      <c r="A2418" s="93">
        <v>204936</v>
      </c>
      <c r="B2418" t="s">
        <v>2954</v>
      </c>
      <c r="C2418" t="s">
        <v>4920</v>
      </c>
      <c r="D2418" s="92">
        <v>0.67</v>
      </c>
      <c r="E2418" s="92">
        <v>0.55</v>
      </c>
      <c r="F2418">
        <v>1010</v>
      </c>
      <c r="G2418">
        <v>1125</v>
      </c>
      <c r="H2418" t="s">
        <v>4930</v>
      </c>
      <c r="I2418">
        <v>0</v>
      </c>
      <c r="J2418" t="s">
        <v>97</v>
      </c>
      <c r="K2418">
        <v>0</v>
      </c>
      <c r="L2418">
        <v>0</v>
      </c>
      <c r="M2418" t="s">
        <v>11</v>
      </c>
    </row>
    <row r="2419" spans="1:13">
      <c r="A2419" s="93">
        <v>204990</v>
      </c>
      <c r="B2419" t="s">
        <v>2955</v>
      </c>
      <c r="C2419" t="s">
        <v>4924</v>
      </c>
      <c r="D2419" s="92" t="s">
        <v>446</v>
      </c>
      <c r="E2419" s="92" t="s">
        <v>446</v>
      </c>
      <c r="F2419" t="s">
        <v>446</v>
      </c>
      <c r="G2419" t="s">
        <v>446</v>
      </c>
      <c r="H2419" t="s">
        <v>4932</v>
      </c>
      <c r="I2419">
        <v>0</v>
      </c>
      <c r="J2419" t="s">
        <v>97</v>
      </c>
      <c r="K2419">
        <v>0</v>
      </c>
      <c r="L2419">
        <v>0</v>
      </c>
      <c r="M2419" t="s">
        <v>11</v>
      </c>
    </row>
    <row r="2420" spans="1:13">
      <c r="A2420" s="93">
        <v>205027</v>
      </c>
      <c r="B2420" t="s">
        <v>2956</v>
      </c>
      <c r="C2420" t="s">
        <v>4924</v>
      </c>
      <c r="D2420" s="92">
        <v>0.42</v>
      </c>
      <c r="E2420" s="92">
        <v>0.75</v>
      </c>
      <c r="F2420" t="s">
        <v>446</v>
      </c>
      <c r="G2420" t="s">
        <v>446</v>
      </c>
      <c r="H2420" t="s">
        <v>4932</v>
      </c>
      <c r="I2420">
        <v>0</v>
      </c>
      <c r="J2420" t="s">
        <v>97</v>
      </c>
      <c r="K2420">
        <v>0</v>
      </c>
      <c r="L2420">
        <v>0</v>
      </c>
      <c r="M2420" t="s">
        <v>11</v>
      </c>
    </row>
    <row r="2421" spans="1:13">
      <c r="A2421" s="93">
        <v>205054</v>
      </c>
      <c r="B2421" t="s">
        <v>2957</v>
      </c>
      <c r="C2421" t="s">
        <v>4925</v>
      </c>
      <c r="D2421" s="92" t="s">
        <v>446</v>
      </c>
      <c r="E2421" s="92" t="s">
        <v>446</v>
      </c>
      <c r="F2421" t="s">
        <v>446</v>
      </c>
      <c r="G2421" t="s">
        <v>446</v>
      </c>
      <c r="H2421" t="s">
        <v>4930</v>
      </c>
      <c r="I2421">
        <v>0</v>
      </c>
      <c r="J2421" t="s">
        <v>97</v>
      </c>
      <c r="K2421">
        <v>0</v>
      </c>
      <c r="L2421">
        <v>0</v>
      </c>
      <c r="M2421" t="s">
        <v>11</v>
      </c>
    </row>
    <row r="2422" spans="1:13">
      <c r="A2422" s="93">
        <v>205090</v>
      </c>
      <c r="B2422" t="s">
        <v>2958</v>
      </c>
      <c r="C2422" t="s">
        <v>4919</v>
      </c>
      <c r="D2422" s="92" t="s">
        <v>446</v>
      </c>
      <c r="E2422" s="92" t="s">
        <v>446</v>
      </c>
      <c r="F2422" t="s">
        <v>446</v>
      </c>
      <c r="G2422" t="s">
        <v>446</v>
      </c>
      <c r="H2422" t="s">
        <v>4932</v>
      </c>
      <c r="I2422">
        <v>0</v>
      </c>
      <c r="J2422" t="s">
        <v>97</v>
      </c>
      <c r="K2422">
        <v>0</v>
      </c>
      <c r="L2422">
        <v>0</v>
      </c>
      <c r="M2422" t="s">
        <v>11</v>
      </c>
    </row>
    <row r="2423" spans="1:13">
      <c r="A2423" s="93">
        <v>205124</v>
      </c>
      <c r="B2423" t="s">
        <v>2959</v>
      </c>
      <c r="C2423" t="s">
        <v>4924</v>
      </c>
      <c r="D2423" s="92">
        <v>0.28</v>
      </c>
      <c r="E2423" s="92" t="s">
        <v>446</v>
      </c>
      <c r="F2423" t="s">
        <v>446</v>
      </c>
      <c r="G2423" t="s">
        <v>446</v>
      </c>
      <c r="H2423" t="s">
        <v>4931</v>
      </c>
      <c r="I2423">
        <v>0</v>
      </c>
      <c r="J2423" t="s">
        <v>97</v>
      </c>
      <c r="K2423">
        <v>0</v>
      </c>
      <c r="L2423">
        <v>0</v>
      </c>
      <c r="M2423" t="s">
        <v>11</v>
      </c>
    </row>
    <row r="2424" spans="1:13">
      <c r="A2424" s="93">
        <v>205142</v>
      </c>
      <c r="B2424" t="s">
        <v>2960</v>
      </c>
      <c r="C2424" t="s">
        <v>4919</v>
      </c>
      <c r="D2424" s="92" t="s">
        <v>446</v>
      </c>
      <c r="E2424" s="92" t="s">
        <v>446</v>
      </c>
      <c r="F2424" t="s">
        <v>446</v>
      </c>
      <c r="G2424" t="s">
        <v>446</v>
      </c>
      <c r="H2424" t="s">
        <v>4930</v>
      </c>
      <c r="I2424">
        <v>0</v>
      </c>
      <c r="J2424" t="s">
        <v>97</v>
      </c>
      <c r="K2424">
        <v>0</v>
      </c>
      <c r="L2424">
        <v>0</v>
      </c>
      <c r="M2424" t="s">
        <v>11</v>
      </c>
    </row>
    <row r="2425" spans="1:13">
      <c r="A2425" s="93">
        <v>205179</v>
      </c>
      <c r="B2425" t="s">
        <v>2961</v>
      </c>
      <c r="C2425" t="s">
        <v>4919</v>
      </c>
      <c r="D2425" s="92" t="s">
        <v>446</v>
      </c>
      <c r="E2425" s="92" t="s">
        <v>446</v>
      </c>
      <c r="F2425" t="s">
        <v>446</v>
      </c>
      <c r="G2425" t="s">
        <v>446</v>
      </c>
      <c r="H2425" t="s">
        <v>4930</v>
      </c>
      <c r="I2425">
        <v>0</v>
      </c>
      <c r="J2425" t="s">
        <v>97</v>
      </c>
      <c r="K2425">
        <v>0</v>
      </c>
      <c r="L2425">
        <v>0</v>
      </c>
      <c r="M2425" t="s">
        <v>11</v>
      </c>
    </row>
    <row r="2426" spans="1:13">
      <c r="A2426" s="93">
        <v>205203</v>
      </c>
      <c r="B2426" t="s">
        <v>2962</v>
      </c>
      <c r="C2426" t="s">
        <v>4923</v>
      </c>
      <c r="D2426" s="92">
        <v>0.23</v>
      </c>
      <c r="E2426" s="92">
        <v>0.13</v>
      </c>
      <c r="F2426" t="s">
        <v>446</v>
      </c>
      <c r="G2426" t="s">
        <v>446</v>
      </c>
      <c r="H2426" t="s">
        <v>4930</v>
      </c>
      <c r="I2426">
        <v>0</v>
      </c>
      <c r="J2426" t="s">
        <v>97</v>
      </c>
      <c r="K2426">
        <v>0</v>
      </c>
      <c r="L2426">
        <v>0</v>
      </c>
      <c r="M2426" t="s">
        <v>11</v>
      </c>
    </row>
    <row r="2427" spans="1:13">
      <c r="A2427" s="93">
        <v>205391</v>
      </c>
      <c r="B2427" t="s">
        <v>2963</v>
      </c>
      <c r="C2427" t="s">
        <v>4924</v>
      </c>
      <c r="D2427" s="92" t="s">
        <v>446</v>
      </c>
      <c r="E2427" s="92" t="s">
        <v>446</v>
      </c>
      <c r="F2427" t="s">
        <v>446</v>
      </c>
      <c r="G2427" t="s">
        <v>446</v>
      </c>
      <c r="H2427" t="s">
        <v>4930</v>
      </c>
      <c r="I2427">
        <v>0</v>
      </c>
      <c r="J2427" t="s">
        <v>97</v>
      </c>
      <c r="K2427">
        <v>0</v>
      </c>
      <c r="L2427">
        <v>0</v>
      </c>
      <c r="M2427" t="s">
        <v>11</v>
      </c>
    </row>
    <row r="2428" spans="1:13">
      <c r="A2428" s="93">
        <v>205443</v>
      </c>
      <c r="B2428" t="s">
        <v>2964</v>
      </c>
      <c r="C2428" t="s">
        <v>4920</v>
      </c>
      <c r="D2428" s="92">
        <v>0.39</v>
      </c>
      <c r="E2428" s="92">
        <v>0.21</v>
      </c>
      <c r="F2428" t="s">
        <v>446</v>
      </c>
      <c r="G2428" t="s">
        <v>446</v>
      </c>
      <c r="H2428" t="s">
        <v>4932</v>
      </c>
      <c r="I2428">
        <v>0</v>
      </c>
      <c r="J2428" t="s">
        <v>97</v>
      </c>
      <c r="K2428">
        <v>0</v>
      </c>
      <c r="L2428">
        <v>0</v>
      </c>
      <c r="M2428" t="s">
        <v>11</v>
      </c>
    </row>
    <row r="2429" spans="1:13">
      <c r="A2429" s="93">
        <v>205470</v>
      </c>
      <c r="B2429" t="s">
        <v>2965</v>
      </c>
      <c r="C2429" t="s">
        <v>4923</v>
      </c>
      <c r="D2429" s="92" t="s">
        <v>446</v>
      </c>
      <c r="E2429" s="92" t="s">
        <v>446</v>
      </c>
      <c r="F2429" t="s">
        <v>446</v>
      </c>
      <c r="G2429" t="s">
        <v>446</v>
      </c>
      <c r="H2429" t="s">
        <v>4932</v>
      </c>
      <c r="I2429">
        <v>0</v>
      </c>
      <c r="J2429" t="s">
        <v>97</v>
      </c>
      <c r="K2429">
        <v>0</v>
      </c>
      <c r="L2429">
        <v>0</v>
      </c>
      <c r="M2429" t="s">
        <v>11</v>
      </c>
    </row>
    <row r="2430" spans="1:13">
      <c r="A2430" s="93">
        <v>205559</v>
      </c>
      <c r="B2430" t="s">
        <v>2966</v>
      </c>
      <c r="C2430" t="s">
        <v>4919</v>
      </c>
      <c r="D2430" s="92">
        <v>0.36</v>
      </c>
      <c r="E2430" s="92">
        <v>0.34</v>
      </c>
      <c r="F2430" t="s">
        <v>446</v>
      </c>
      <c r="G2430" t="s">
        <v>446</v>
      </c>
      <c r="H2430" t="s">
        <v>4930</v>
      </c>
      <c r="I2430">
        <v>0</v>
      </c>
      <c r="J2430" t="s">
        <v>97</v>
      </c>
      <c r="K2430">
        <v>0</v>
      </c>
      <c r="L2430">
        <v>0</v>
      </c>
      <c r="M2430" t="s">
        <v>11</v>
      </c>
    </row>
    <row r="2431" spans="1:13">
      <c r="A2431" s="93">
        <v>205841</v>
      </c>
      <c r="B2431" t="s">
        <v>2967</v>
      </c>
      <c r="C2431" t="s">
        <v>4919</v>
      </c>
      <c r="D2431" s="92">
        <v>0.24</v>
      </c>
      <c r="E2431" s="92">
        <v>0.13</v>
      </c>
      <c r="F2431" t="s">
        <v>446</v>
      </c>
      <c r="G2431" t="s">
        <v>446</v>
      </c>
      <c r="H2431" t="s">
        <v>4932</v>
      </c>
      <c r="I2431">
        <v>0</v>
      </c>
      <c r="J2431" t="s">
        <v>97</v>
      </c>
      <c r="K2431">
        <v>0</v>
      </c>
      <c r="L2431">
        <v>0</v>
      </c>
      <c r="M2431" t="s">
        <v>11</v>
      </c>
    </row>
    <row r="2432" spans="1:13">
      <c r="A2432" s="93">
        <v>205887</v>
      </c>
      <c r="B2432" t="s">
        <v>2968</v>
      </c>
      <c r="C2432" t="s">
        <v>4919</v>
      </c>
      <c r="D2432" s="92" t="s">
        <v>446</v>
      </c>
      <c r="E2432" s="92" t="s">
        <v>446</v>
      </c>
      <c r="F2432" t="s">
        <v>446</v>
      </c>
      <c r="G2432" t="s">
        <v>446</v>
      </c>
      <c r="H2432" t="s">
        <v>4930</v>
      </c>
      <c r="I2432">
        <v>0</v>
      </c>
      <c r="J2432" t="s">
        <v>97</v>
      </c>
      <c r="K2432">
        <v>0</v>
      </c>
      <c r="L2432">
        <v>0</v>
      </c>
      <c r="M2432" t="s">
        <v>11</v>
      </c>
    </row>
    <row r="2433" spans="1:13">
      <c r="A2433" s="93">
        <v>205957</v>
      </c>
      <c r="B2433" t="s">
        <v>2969</v>
      </c>
      <c r="C2433" t="s">
        <v>4916</v>
      </c>
      <c r="D2433" s="92">
        <v>0.75</v>
      </c>
      <c r="E2433" s="92">
        <v>0.73</v>
      </c>
      <c r="F2433">
        <v>1100</v>
      </c>
      <c r="G2433">
        <v>1205</v>
      </c>
      <c r="H2433" t="s">
        <v>4930</v>
      </c>
      <c r="I2433">
        <v>0</v>
      </c>
      <c r="J2433" t="s">
        <v>97</v>
      </c>
      <c r="K2433">
        <v>0</v>
      </c>
      <c r="L2433">
        <v>0</v>
      </c>
      <c r="M2433" t="s">
        <v>11</v>
      </c>
    </row>
    <row r="2434" spans="1:13">
      <c r="A2434" s="93">
        <v>205966</v>
      </c>
      <c r="B2434" t="s">
        <v>2970</v>
      </c>
      <c r="C2434" t="s">
        <v>4919</v>
      </c>
      <c r="D2434" s="92">
        <v>0.35</v>
      </c>
      <c r="E2434" s="92">
        <v>0.27</v>
      </c>
      <c r="F2434" t="s">
        <v>446</v>
      </c>
      <c r="G2434" t="s">
        <v>446</v>
      </c>
      <c r="H2434" t="s">
        <v>4932</v>
      </c>
      <c r="I2434">
        <v>0</v>
      </c>
      <c r="J2434" t="s">
        <v>97</v>
      </c>
      <c r="K2434">
        <v>0</v>
      </c>
      <c r="L2434">
        <v>0</v>
      </c>
      <c r="M2434" t="s">
        <v>11</v>
      </c>
    </row>
    <row r="2435" spans="1:13">
      <c r="A2435" s="93">
        <v>206011</v>
      </c>
      <c r="B2435" t="s">
        <v>2971</v>
      </c>
      <c r="C2435" t="s">
        <v>4919</v>
      </c>
      <c r="D2435" s="92">
        <v>0.37</v>
      </c>
      <c r="E2435" s="92">
        <v>0.3</v>
      </c>
      <c r="F2435" t="s">
        <v>446</v>
      </c>
      <c r="G2435" t="s">
        <v>446</v>
      </c>
      <c r="H2435" t="s">
        <v>4932</v>
      </c>
      <c r="I2435">
        <v>0</v>
      </c>
      <c r="J2435" t="s">
        <v>97</v>
      </c>
      <c r="K2435">
        <v>0</v>
      </c>
      <c r="L2435">
        <v>0</v>
      </c>
      <c r="M2435" t="s">
        <v>11</v>
      </c>
    </row>
    <row r="2436" spans="1:13">
      <c r="A2436" s="93">
        <v>206048</v>
      </c>
      <c r="B2436" t="s">
        <v>2972</v>
      </c>
      <c r="C2436" t="s">
        <v>4920</v>
      </c>
      <c r="D2436" s="92">
        <v>0.42</v>
      </c>
      <c r="E2436" s="92">
        <v>0.29</v>
      </c>
      <c r="F2436" t="s">
        <v>446</v>
      </c>
      <c r="G2436" t="s">
        <v>446</v>
      </c>
      <c r="H2436" t="s">
        <v>4930</v>
      </c>
      <c r="I2436">
        <v>0</v>
      </c>
      <c r="J2436" t="s">
        <v>97</v>
      </c>
      <c r="K2436">
        <v>0</v>
      </c>
      <c r="L2436">
        <v>0</v>
      </c>
      <c r="M2436" t="s">
        <v>11</v>
      </c>
    </row>
    <row r="2437" spans="1:13">
      <c r="A2437" s="93">
        <v>206084</v>
      </c>
      <c r="B2437" t="s">
        <v>2973</v>
      </c>
      <c r="C2437" t="s">
        <v>4923</v>
      </c>
      <c r="D2437" s="92">
        <v>0.5600000000000001</v>
      </c>
      <c r="E2437" s="92">
        <v>0.37</v>
      </c>
      <c r="F2437">
        <v>1080</v>
      </c>
      <c r="G2437">
        <v>1195</v>
      </c>
      <c r="H2437" t="s">
        <v>4931</v>
      </c>
      <c r="I2437">
        <v>0</v>
      </c>
      <c r="J2437" t="s">
        <v>97</v>
      </c>
      <c r="K2437">
        <v>0</v>
      </c>
      <c r="L2437">
        <v>0</v>
      </c>
      <c r="M2437" t="s">
        <v>11</v>
      </c>
    </row>
    <row r="2438" spans="1:13">
      <c r="A2438" s="93">
        <v>206154</v>
      </c>
      <c r="B2438" t="s">
        <v>2974</v>
      </c>
      <c r="C2438" t="s">
        <v>4923</v>
      </c>
      <c r="D2438" s="92">
        <v>1</v>
      </c>
      <c r="E2438" s="92">
        <v>1</v>
      </c>
      <c r="F2438" t="s">
        <v>446</v>
      </c>
      <c r="G2438" t="s">
        <v>446</v>
      </c>
      <c r="H2438" t="s">
        <v>4932</v>
      </c>
      <c r="I2438">
        <v>0</v>
      </c>
      <c r="J2438" t="s">
        <v>97</v>
      </c>
      <c r="K2438">
        <v>0</v>
      </c>
      <c r="L2438">
        <v>0</v>
      </c>
      <c r="M2438" t="s">
        <v>11</v>
      </c>
    </row>
    <row r="2439" spans="1:13">
      <c r="A2439" s="93">
        <v>206279</v>
      </c>
      <c r="B2439" t="s">
        <v>2975</v>
      </c>
      <c r="C2439" t="s">
        <v>4926</v>
      </c>
      <c r="D2439" s="92">
        <v>0.46</v>
      </c>
      <c r="E2439" s="92">
        <v>0.39</v>
      </c>
      <c r="F2439" t="s">
        <v>446</v>
      </c>
      <c r="G2439" t="s">
        <v>446</v>
      </c>
      <c r="H2439" t="s">
        <v>4930</v>
      </c>
      <c r="I2439">
        <v>0</v>
      </c>
      <c r="J2439" t="s">
        <v>97</v>
      </c>
      <c r="K2439">
        <v>0</v>
      </c>
      <c r="L2439">
        <v>0</v>
      </c>
      <c r="M2439" t="s">
        <v>11</v>
      </c>
    </row>
    <row r="2440" spans="1:13">
      <c r="A2440" s="93">
        <v>206288</v>
      </c>
      <c r="B2440" t="s">
        <v>2976</v>
      </c>
      <c r="C2440" t="s">
        <v>4924</v>
      </c>
      <c r="D2440" s="92" t="s">
        <v>446</v>
      </c>
      <c r="E2440" s="92" t="s">
        <v>446</v>
      </c>
      <c r="F2440" t="s">
        <v>446</v>
      </c>
      <c r="G2440" t="s">
        <v>446</v>
      </c>
      <c r="H2440" t="s">
        <v>4932</v>
      </c>
      <c r="I2440">
        <v>0</v>
      </c>
      <c r="J2440" t="s">
        <v>97</v>
      </c>
      <c r="K2440">
        <v>0</v>
      </c>
      <c r="L2440">
        <v>0</v>
      </c>
      <c r="M2440" t="s">
        <v>11</v>
      </c>
    </row>
    <row r="2441" spans="1:13">
      <c r="A2441" s="93">
        <v>206349</v>
      </c>
      <c r="B2441" t="s">
        <v>2977</v>
      </c>
      <c r="C2441" t="s">
        <v>4918</v>
      </c>
      <c r="D2441" s="92">
        <v>0.46</v>
      </c>
      <c r="E2441" s="92">
        <v>0.33</v>
      </c>
      <c r="F2441">
        <v>1010</v>
      </c>
      <c r="G2441">
        <v>1125</v>
      </c>
      <c r="H2441" t="s">
        <v>4931</v>
      </c>
      <c r="I2441">
        <v>0</v>
      </c>
      <c r="J2441" t="s">
        <v>97</v>
      </c>
      <c r="K2441">
        <v>0</v>
      </c>
      <c r="L2441">
        <v>0</v>
      </c>
      <c r="M2441" t="s">
        <v>11</v>
      </c>
    </row>
    <row r="2442" spans="1:13">
      <c r="A2442" s="93">
        <v>206394</v>
      </c>
      <c r="B2442" t="s">
        <v>2978</v>
      </c>
      <c r="C2442" t="s">
        <v>4924</v>
      </c>
      <c r="D2442" s="92" t="s">
        <v>446</v>
      </c>
      <c r="E2442" s="92" t="s">
        <v>446</v>
      </c>
      <c r="F2442" t="s">
        <v>446</v>
      </c>
      <c r="G2442" t="s">
        <v>446</v>
      </c>
      <c r="H2442" t="s">
        <v>4930</v>
      </c>
      <c r="I2442">
        <v>0</v>
      </c>
      <c r="J2442" t="s">
        <v>97</v>
      </c>
      <c r="K2442">
        <v>0</v>
      </c>
      <c r="L2442">
        <v>0</v>
      </c>
      <c r="M2442" t="s">
        <v>11</v>
      </c>
    </row>
    <row r="2443" spans="1:13">
      <c r="A2443" s="93">
        <v>206437</v>
      </c>
      <c r="B2443" t="s">
        <v>567</v>
      </c>
      <c r="C2443" t="s">
        <v>4920</v>
      </c>
      <c r="D2443" s="92">
        <v>0.63</v>
      </c>
      <c r="E2443" s="92">
        <v>0.43</v>
      </c>
      <c r="F2443">
        <v>1040</v>
      </c>
      <c r="G2443">
        <v>1140</v>
      </c>
      <c r="H2443" t="s">
        <v>4931</v>
      </c>
      <c r="I2443">
        <v>0</v>
      </c>
      <c r="J2443" t="s">
        <v>97</v>
      </c>
      <c r="K2443">
        <v>0</v>
      </c>
      <c r="L2443">
        <v>0</v>
      </c>
      <c r="M2443" t="s">
        <v>11</v>
      </c>
    </row>
    <row r="2444" spans="1:13">
      <c r="A2444" s="93">
        <v>206446</v>
      </c>
      <c r="B2444" t="s">
        <v>2979</v>
      </c>
      <c r="C2444" t="s">
        <v>4919</v>
      </c>
      <c r="D2444" s="92">
        <v>0.37</v>
      </c>
      <c r="E2444" s="92">
        <v>0.25</v>
      </c>
      <c r="F2444" t="s">
        <v>446</v>
      </c>
      <c r="G2444" t="s">
        <v>446</v>
      </c>
      <c r="H2444" t="s">
        <v>4932</v>
      </c>
      <c r="I2444">
        <v>0</v>
      </c>
      <c r="J2444" t="s">
        <v>97</v>
      </c>
      <c r="K2444">
        <v>0</v>
      </c>
      <c r="L2444">
        <v>0</v>
      </c>
      <c r="M2444" t="s">
        <v>11</v>
      </c>
    </row>
    <row r="2445" spans="1:13">
      <c r="A2445" s="93">
        <v>206507</v>
      </c>
      <c r="B2445" t="s">
        <v>2980</v>
      </c>
      <c r="C2445" t="s">
        <v>4920</v>
      </c>
      <c r="D2445" s="92">
        <v>0.53</v>
      </c>
      <c r="E2445" s="92">
        <v>0.35</v>
      </c>
      <c r="F2445">
        <v>930</v>
      </c>
      <c r="G2445">
        <v>1035</v>
      </c>
      <c r="H2445" t="s">
        <v>4930</v>
      </c>
      <c r="I2445">
        <v>0</v>
      </c>
      <c r="J2445" t="s">
        <v>97</v>
      </c>
      <c r="K2445">
        <v>0</v>
      </c>
      <c r="L2445">
        <v>0</v>
      </c>
      <c r="M2445" t="s">
        <v>11</v>
      </c>
    </row>
    <row r="2446" spans="1:13">
      <c r="A2446" s="93">
        <v>206516</v>
      </c>
      <c r="B2446" t="s">
        <v>2981</v>
      </c>
      <c r="C2446" t="s">
        <v>4924</v>
      </c>
      <c r="D2446" s="92" t="s">
        <v>446</v>
      </c>
      <c r="E2446" s="92" t="s">
        <v>446</v>
      </c>
      <c r="F2446" t="s">
        <v>446</v>
      </c>
      <c r="G2446" t="s">
        <v>446</v>
      </c>
      <c r="H2446" t="s">
        <v>4932</v>
      </c>
      <c r="I2446">
        <v>0</v>
      </c>
      <c r="J2446" t="s">
        <v>97</v>
      </c>
      <c r="K2446">
        <v>0</v>
      </c>
      <c r="L2446">
        <v>0</v>
      </c>
      <c r="M2446" t="s">
        <v>11</v>
      </c>
    </row>
    <row r="2447" spans="1:13">
      <c r="A2447" s="93">
        <v>206525</v>
      </c>
      <c r="B2447" t="s">
        <v>2982</v>
      </c>
      <c r="C2447" t="s">
        <v>4920</v>
      </c>
      <c r="D2447" s="92">
        <v>0.63</v>
      </c>
      <c r="E2447" s="92">
        <v>0.44</v>
      </c>
      <c r="F2447">
        <v>1010</v>
      </c>
      <c r="G2447">
        <v>1125</v>
      </c>
      <c r="H2447" t="s">
        <v>4930</v>
      </c>
      <c r="I2447">
        <v>0</v>
      </c>
      <c r="J2447" t="s">
        <v>97</v>
      </c>
      <c r="K2447">
        <v>0</v>
      </c>
      <c r="L2447">
        <v>0</v>
      </c>
      <c r="M2447" t="s">
        <v>11</v>
      </c>
    </row>
    <row r="2448" spans="1:13">
      <c r="A2448" s="93">
        <v>206613</v>
      </c>
      <c r="B2448" t="s">
        <v>2983</v>
      </c>
      <c r="C2448" t="s">
        <v>4923</v>
      </c>
      <c r="D2448" s="92">
        <v>0.3</v>
      </c>
      <c r="E2448" s="92">
        <v>0.09</v>
      </c>
      <c r="F2448">
        <v>970</v>
      </c>
      <c r="G2448">
        <v>1075</v>
      </c>
      <c r="H2448" t="s">
        <v>4932</v>
      </c>
      <c r="I2448">
        <v>0</v>
      </c>
      <c r="J2448" t="s">
        <v>97</v>
      </c>
      <c r="K2448">
        <v>0</v>
      </c>
      <c r="L2448">
        <v>0</v>
      </c>
      <c r="M2448" t="s">
        <v>11</v>
      </c>
    </row>
    <row r="2449" spans="1:13">
      <c r="A2449" s="93">
        <v>206622</v>
      </c>
      <c r="B2449" t="s">
        <v>2984</v>
      </c>
      <c r="C2449" t="s">
        <v>4920</v>
      </c>
      <c r="D2449" s="92">
        <v>0.75</v>
      </c>
      <c r="E2449" s="92">
        <v>0.66</v>
      </c>
      <c r="F2449">
        <v>1110</v>
      </c>
      <c r="G2449">
        <v>1210</v>
      </c>
      <c r="H2449" t="s">
        <v>4930</v>
      </c>
      <c r="I2449">
        <v>0</v>
      </c>
      <c r="J2449" t="s">
        <v>97</v>
      </c>
      <c r="K2449">
        <v>0</v>
      </c>
      <c r="L2449">
        <v>0</v>
      </c>
      <c r="M2449" t="s">
        <v>11</v>
      </c>
    </row>
    <row r="2450" spans="1:13">
      <c r="A2450" s="93">
        <v>206695</v>
      </c>
      <c r="B2450" t="s">
        <v>2985</v>
      </c>
      <c r="C2450" t="s">
        <v>4920</v>
      </c>
      <c r="D2450" s="92">
        <v>0.47</v>
      </c>
      <c r="E2450" s="92">
        <v>0.3</v>
      </c>
      <c r="F2450">
        <v>970</v>
      </c>
      <c r="G2450">
        <v>1075</v>
      </c>
      <c r="H2450" t="s">
        <v>4932</v>
      </c>
      <c r="I2450">
        <v>0</v>
      </c>
      <c r="J2450" t="s">
        <v>97</v>
      </c>
      <c r="K2450">
        <v>0</v>
      </c>
      <c r="L2450">
        <v>0</v>
      </c>
      <c r="M2450" t="s">
        <v>11</v>
      </c>
    </row>
    <row r="2451" spans="1:13">
      <c r="A2451" s="93">
        <v>206817</v>
      </c>
      <c r="B2451" t="s">
        <v>2986</v>
      </c>
      <c r="C2451" t="s">
        <v>4923</v>
      </c>
      <c r="D2451" s="92">
        <v>0.11</v>
      </c>
      <c r="E2451" s="92">
        <v>0.1</v>
      </c>
      <c r="F2451">
        <v>800</v>
      </c>
      <c r="G2451">
        <v>865</v>
      </c>
      <c r="H2451" t="s">
        <v>4930</v>
      </c>
      <c r="I2451">
        <v>0</v>
      </c>
      <c r="J2451" t="s">
        <v>97</v>
      </c>
      <c r="K2451">
        <v>0</v>
      </c>
      <c r="L2451">
        <v>0</v>
      </c>
      <c r="M2451" t="s">
        <v>11</v>
      </c>
    </row>
    <row r="2452" spans="1:13">
      <c r="A2452" s="93">
        <v>206835</v>
      </c>
      <c r="B2452" t="s">
        <v>2987</v>
      </c>
      <c r="C2452" t="s">
        <v>4920</v>
      </c>
      <c r="D2452" s="92">
        <v>0.34</v>
      </c>
      <c r="E2452" s="92">
        <v>0.2</v>
      </c>
      <c r="F2452">
        <v>880</v>
      </c>
      <c r="G2452">
        <v>1005</v>
      </c>
      <c r="H2452" t="s">
        <v>4930</v>
      </c>
      <c r="I2452">
        <v>0</v>
      </c>
      <c r="J2452" t="s">
        <v>97</v>
      </c>
      <c r="K2452">
        <v>0</v>
      </c>
      <c r="L2452">
        <v>0</v>
      </c>
      <c r="M2452" t="s">
        <v>11</v>
      </c>
    </row>
    <row r="2453" spans="1:13">
      <c r="A2453" s="93">
        <v>206862</v>
      </c>
      <c r="B2453" t="s">
        <v>2988</v>
      </c>
      <c r="C2453" t="s">
        <v>4923</v>
      </c>
      <c r="D2453" s="92">
        <v>0.5</v>
      </c>
      <c r="E2453" s="92">
        <v>0.33</v>
      </c>
      <c r="F2453" t="s">
        <v>446</v>
      </c>
      <c r="G2453" t="s">
        <v>446</v>
      </c>
      <c r="H2453" t="s">
        <v>4930</v>
      </c>
      <c r="I2453">
        <v>0</v>
      </c>
      <c r="J2453" t="s">
        <v>97</v>
      </c>
      <c r="K2453">
        <v>0</v>
      </c>
      <c r="L2453">
        <v>0</v>
      </c>
      <c r="M2453" t="s">
        <v>11</v>
      </c>
    </row>
    <row r="2454" spans="1:13">
      <c r="A2454" s="93">
        <v>206914</v>
      </c>
      <c r="B2454" t="s">
        <v>2989</v>
      </c>
      <c r="C2454" t="s">
        <v>4923</v>
      </c>
      <c r="D2454" s="92">
        <v>0.3</v>
      </c>
      <c r="E2454" s="92">
        <v>0.27</v>
      </c>
      <c r="F2454" t="s">
        <v>446</v>
      </c>
      <c r="G2454" t="s">
        <v>446</v>
      </c>
      <c r="H2454" t="s">
        <v>4932</v>
      </c>
      <c r="I2454">
        <v>0</v>
      </c>
      <c r="J2454" t="s">
        <v>97</v>
      </c>
      <c r="K2454">
        <v>0</v>
      </c>
      <c r="L2454">
        <v>0</v>
      </c>
      <c r="M2454" t="s">
        <v>11</v>
      </c>
    </row>
    <row r="2455" spans="1:13">
      <c r="A2455" s="93">
        <v>206932</v>
      </c>
      <c r="B2455" t="s">
        <v>2990</v>
      </c>
      <c r="C2455" t="s">
        <v>4919</v>
      </c>
      <c r="D2455" s="92" t="s">
        <v>446</v>
      </c>
      <c r="E2455" s="92" t="s">
        <v>446</v>
      </c>
      <c r="F2455" t="s">
        <v>446</v>
      </c>
      <c r="G2455" t="s">
        <v>446</v>
      </c>
      <c r="H2455" t="s">
        <v>4930</v>
      </c>
      <c r="I2455">
        <v>0</v>
      </c>
      <c r="J2455" t="s">
        <v>97</v>
      </c>
      <c r="K2455">
        <v>0</v>
      </c>
      <c r="L2455">
        <v>0</v>
      </c>
      <c r="M2455" t="s">
        <v>11</v>
      </c>
    </row>
    <row r="2456" spans="1:13">
      <c r="A2456" s="93">
        <v>206941</v>
      </c>
      <c r="B2456" t="s">
        <v>2991</v>
      </c>
      <c r="C2456" t="s">
        <v>4920</v>
      </c>
      <c r="D2456" s="92">
        <v>0.37</v>
      </c>
      <c r="E2456" s="92">
        <v>0.34</v>
      </c>
      <c r="F2456">
        <v>970</v>
      </c>
      <c r="G2456">
        <v>1075</v>
      </c>
      <c r="H2456" t="s">
        <v>4932</v>
      </c>
      <c r="I2456">
        <v>0</v>
      </c>
      <c r="J2456" t="s">
        <v>97</v>
      </c>
      <c r="K2456">
        <v>0</v>
      </c>
      <c r="L2456">
        <v>0</v>
      </c>
      <c r="M2456" t="s">
        <v>11</v>
      </c>
    </row>
    <row r="2457" spans="1:13">
      <c r="A2457" s="93">
        <v>206996</v>
      </c>
      <c r="B2457" t="s">
        <v>2992</v>
      </c>
      <c r="C2457" t="s">
        <v>4919</v>
      </c>
      <c r="D2457" s="92">
        <v>0.32</v>
      </c>
      <c r="E2457" s="92">
        <v>0.21</v>
      </c>
      <c r="F2457" t="s">
        <v>446</v>
      </c>
      <c r="G2457" t="s">
        <v>446</v>
      </c>
      <c r="H2457" t="s">
        <v>4932</v>
      </c>
      <c r="I2457">
        <v>0</v>
      </c>
      <c r="J2457" t="s">
        <v>97</v>
      </c>
      <c r="K2457">
        <v>0</v>
      </c>
      <c r="L2457">
        <v>0</v>
      </c>
      <c r="M2457" t="s">
        <v>11</v>
      </c>
    </row>
    <row r="2458" spans="1:13">
      <c r="A2458" s="93">
        <v>207041</v>
      </c>
      <c r="B2458" t="s">
        <v>2993</v>
      </c>
      <c r="C2458" t="s">
        <v>4920</v>
      </c>
      <c r="D2458" s="92">
        <v>0.35</v>
      </c>
      <c r="E2458" s="92">
        <v>0.31</v>
      </c>
      <c r="F2458">
        <v>930</v>
      </c>
      <c r="G2458">
        <v>1020</v>
      </c>
      <c r="H2458" t="s">
        <v>4932</v>
      </c>
      <c r="I2458">
        <v>0</v>
      </c>
      <c r="J2458" t="s">
        <v>97</v>
      </c>
      <c r="K2458">
        <v>0</v>
      </c>
      <c r="L2458">
        <v>0</v>
      </c>
      <c r="M2458" t="s">
        <v>11</v>
      </c>
    </row>
    <row r="2459" spans="1:13">
      <c r="A2459" s="93">
        <v>207050</v>
      </c>
      <c r="B2459" t="s">
        <v>2994</v>
      </c>
      <c r="C2459" t="s">
        <v>4919</v>
      </c>
      <c r="D2459" s="92">
        <v>0.35</v>
      </c>
      <c r="E2459" s="92">
        <v>0.27</v>
      </c>
      <c r="F2459" t="s">
        <v>446</v>
      </c>
      <c r="G2459" t="s">
        <v>446</v>
      </c>
      <c r="H2459" t="s">
        <v>4932</v>
      </c>
      <c r="I2459">
        <v>0</v>
      </c>
      <c r="J2459" t="s">
        <v>97</v>
      </c>
      <c r="K2459">
        <v>0</v>
      </c>
      <c r="L2459">
        <v>0</v>
      </c>
      <c r="M2459" t="s">
        <v>11</v>
      </c>
    </row>
    <row r="2460" spans="1:13">
      <c r="A2460" s="93">
        <v>207069</v>
      </c>
      <c r="B2460" t="s">
        <v>2995</v>
      </c>
      <c r="C2460" t="s">
        <v>4919</v>
      </c>
      <c r="D2460" s="92">
        <v>0.38</v>
      </c>
      <c r="E2460" s="92">
        <v>0.26</v>
      </c>
      <c r="F2460" t="s">
        <v>446</v>
      </c>
      <c r="G2460" t="s">
        <v>446</v>
      </c>
      <c r="H2460" t="s">
        <v>4932</v>
      </c>
      <c r="I2460">
        <v>0</v>
      </c>
      <c r="J2460" t="s">
        <v>97</v>
      </c>
      <c r="K2460">
        <v>0</v>
      </c>
      <c r="L2460">
        <v>0</v>
      </c>
      <c r="M2460" t="s">
        <v>11</v>
      </c>
    </row>
    <row r="2461" spans="1:13">
      <c r="A2461" s="93">
        <v>207157</v>
      </c>
      <c r="B2461" t="s">
        <v>2996</v>
      </c>
      <c r="C2461" t="s">
        <v>4920</v>
      </c>
      <c r="D2461" s="92">
        <v>0.27</v>
      </c>
      <c r="E2461" s="92">
        <v>0.33</v>
      </c>
      <c r="F2461">
        <v>880</v>
      </c>
      <c r="G2461">
        <v>970</v>
      </c>
      <c r="H2461" t="s">
        <v>4931</v>
      </c>
      <c r="I2461">
        <v>0</v>
      </c>
      <c r="J2461" t="s">
        <v>97</v>
      </c>
      <c r="K2461">
        <v>0</v>
      </c>
      <c r="L2461">
        <v>0</v>
      </c>
      <c r="M2461" t="s">
        <v>11</v>
      </c>
    </row>
    <row r="2462" spans="1:13">
      <c r="A2462" s="93">
        <v>207209</v>
      </c>
      <c r="B2462" t="s">
        <v>2997</v>
      </c>
      <c r="C2462" t="s">
        <v>4920</v>
      </c>
      <c r="D2462" s="92">
        <v>0.29</v>
      </c>
      <c r="E2462" s="92">
        <v>0.44</v>
      </c>
      <c r="F2462" t="s">
        <v>446</v>
      </c>
      <c r="G2462" t="s">
        <v>446</v>
      </c>
      <c r="H2462" t="s">
        <v>4930</v>
      </c>
      <c r="I2462">
        <v>0</v>
      </c>
      <c r="J2462" t="s">
        <v>153</v>
      </c>
      <c r="K2462">
        <v>0</v>
      </c>
      <c r="L2462">
        <v>0</v>
      </c>
      <c r="M2462" t="s">
        <v>11</v>
      </c>
    </row>
    <row r="2463" spans="1:13">
      <c r="A2463" s="93">
        <v>207236</v>
      </c>
      <c r="B2463" t="s">
        <v>2998</v>
      </c>
      <c r="C2463" t="s">
        <v>4919</v>
      </c>
      <c r="D2463" s="92">
        <v>0.34</v>
      </c>
      <c r="E2463" s="92">
        <v>0.29</v>
      </c>
      <c r="F2463" t="s">
        <v>446</v>
      </c>
      <c r="G2463" t="s">
        <v>446</v>
      </c>
      <c r="H2463" t="s">
        <v>4932</v>
      </c>
      <c r="I2463">
        <v>0</v>
      </c>
      <c r="J2463" t="s">
        <v>97</v>
      </c>
      <c r="K2463">
        <v>0</v>
      </c>
      <c r="L2463">
        <v>0</v>
      </c>
      <c r="M2463" t="s">
        <v>11</v>
      </c>
    </row>
    <row r="2464" spans="1:13">
      <c r="A2464" s="93">
        <v>207254</v>
      </c>
      <c r="B2464" t="s">
        <v>2999</v>
      </c>
      <c r="C2464" t="s">
        <v>4923</v>
      </c>
      <c r="D2464" s="92">
        <v>0.47</v>
      </c>
      <c r="E2464" s="92">
        <v>0.53</v>
      </c>
      <c r="F2464" t="s">
        <v>446</v>
      </c>
      <c r="G2464" t="s">
        <v>446</v>
      </c>
      <c r="H2464" t="s">
        <v>4930</v>
      </c>
      <c r="I2464">
        <v>0</v>
      </c>
      <c r="J2464" t="s">
        <v>97</v>
      </c>
      <c r="K2464">
        <v>0</v>
      </c>
      <c r="L2464">
        <v>0</v>
      </c>
      <c r="M2464" t="s">
        <v>11</v>
      </c>
    </row>
    <row r="2465" spans="1:13">
      <c r="A2465" s="93">
        <v>207263</v>
      </c>
      <c r="B2465" t="s">
        <v>3000</v>
      </c>
      <c r="C2465" t="s">
        <v>4916</v>
      </c>
      <c r="D2465" s="92">
        <v>0.36</v>
      </c>
      <c r="E2465" s="92">
        <v>0.28</v>
      </c>
      <c r="F2465">
        <v>930</v>
      </c>
      <c r="G2465">
        <v>1035</v>
      </c>
      <c r="H2465" t="s">
        <v>4932</v>
      </c>
      <c r="I2465">
        <v>0</v>
      </c>
      <c r="J2465" t="s">
        <v>97</v>
      </c>
      <c r="K2465">
        <v>0</v>
      </c>
      <c r="L2465">
        <v>0</v>
      </c>
      <c r="M2465" t="s">
        <v>11</v>
      </c>
    </row>
    <row r="2466" spans="1:13">
      <c r="A2466" s="93">
        <v>207281</v>
      </c>
      <c r="B2466" t="s">
        <v>3001</v>
      </c>
      <c r="C2466" t="s">
        <v>4919</v>
      </c>
      <c r="D2466" s="92">
        <v>0.45</v>
      </c>
      <c r="E2466" s="92">
        <v>0.4</v>
      </c>
      <c r="F2466" t="s">
        <v>446</v>
      </c>
      <c r="G2466" t="s">
        <v>446</v>
      </c>
      <c r="H2466" t="s">
        <v>4932</v>
      </c>
      <c r="I2466">
        <v>0</v>
      </c>
      <c r="J2466" t="s">
        <v>97</v>
      </c>
      <c r="K2466">
        <v>0</v>
      </c>
      <c r="L2466">
        <v>0</v>
      </c>
      <c r="M2466" t="s">
        <v>11</v>
      </c>
    </row>
    <row r="2467" spans="1:13">
      <c r="A2467" s="93">
        <v>207290</v>
      </c>
      <c r="B2467" t="s">
        <v>3002</v>
      </c>
      <c r="C2467" t="s">
        <v>4919</v>
      </c>
      <c r="D2467" s="92">
        <v>0.31</v>
      </c>
      <c r="E2467" s="92">
        <v>0.25</v>
      </c>
      <c r="F2467" t="s">
        <v>446</v>
      </c>
      <c r="G2467" t="s">
        <v>446</v>
      </c>
      <c r="H2467" t="s">
        <v>4932</v>
      </c>
      <c r="I2467">
        <v>0</v>
      </c>
      <c r="J2467" t="s">
        <v>97</v>
      </c>
      <c r="K2467">
        <v>0</v>
      </c>
      <c r="L2467">
        <v>0</v>
      </c>
      <c r="M2467" t="s">
        <v>11</v>
      </c>
    </row>
    <row r="2468" spans="1:13">
      <c r="A2468" s="93">
        <v>207306</v>
      </c>
      <c r="B2468" t="s">
        <v>3003</v>
      </c>
      <c r="C2468" t="s">
        <v>4923</v>
      </c>
      <c r="D2468" s="92">
        <v>0.29</v>
      </c>
      <c r="E2468" s="92">
        <v>0.24</v>
      </c>
      <c r="F2468">
        <v>930</v>
      </c>
      <c r="G2468">
        <v>1020</v>
      </c>
      <c r="H2468" t="s">
        <v>4932</v>
      </c>
      <c r="I2468">
        <v>0</v>
      </c>
      <c r="J2468" t="s">
        <v>97</v>
      </c>
      <c r="K2468">
        <v>0</v>
      </c>
      <c r="L2468">
        <v>0</v>
      </c>
      <c r="M2468" t="s">
        <v>11</v>
      </c>
    </row>
    <row r="2469" spans="1:13">
      <c r="A2469" s="93">
        <v>207315</v>
      </c>
      <c r="B2469" t="s">
        <v>3004</v>
      </c>
      <c r="C2469" t="s">
        <v>4924</v>
      </c>
      <c r="D2469" s="92" t="s">
        <v>446</v>
      </c>
      <c r="E2469" s="92" t="s">
        <v>446</v>
      </c>
      <c r="F2469" t="s">
        <v>446</v>
      </c>
      <c r="G2469" t="s">
        <v>446</v>
      </c>
      <c r="H2469" t="s">
        <v>4932</v>
      </c>
      <c r="I2469">
        <v>0</v>
      </c>
      <c r="J2469" t="s">
        <v>97</v>
      </c>
      <c r="K2469">
        <v>0</v>
      </c>
      <c r="L2469">
        <v>0</v>
      </c>
      <c r="M2469" t="s">
        <v>11</v>
      </c>
    </row>
    <row r="2470" spans="1:13">
      <c r="A2470" s="93">
        <v>207324</v>
      </c>
      <c r="B2470" t="s">
        <v>3005</v>
      </c>
      <c r="C2470" t="s">
        <v>4916</v>
      </c>
      <c r="D2470" s="92">
        <v>0.57</v>
      </c>
      <c r="E2470" s="92">
        <v>0.46</v>
      </c>
      <c r="F2470">
        <v>1000</v>
      </c>
      <c r="G2470">
        <v>1110</v>
      </c>
      <c r="H2470" t="s">
        <v>4931</v>
      </c>
      <c r="I2470">
        <v>0</v>
      </c>
      <c r="J2470" t="s">
        <v>97</v>
      </c>
      <c r="K2470">
        <v>0</v>
      </c>
      <c r="L2470">
        <v>0</v>
      </c>
      <c r="M2470" t="s">
        <v>11</v>
      </c>
    </row>
    <row r="2471" spans="1:13">
      <c r="A2471" s="93">
        <v>207342</v>
      </c>
      <c r="B2471" t="s">
        <v>3006</v>
      </c>
      <c r="C2471" t="s">
        <v>4924</v>
      </c>
      <c r="D2471" s="92" t="s">
        <v>446</v>
      </c>
      <c r="E2471" s="92" t="s">
        <v>446</v>
      </c>
      <c r="F2471" t="s">
        <v>446</v>
      </c>
      <c r="G2471" t="s">
        <v>446</v>
      </c>
      <c r="H2471" t="s">
        <v>4932</v>
      </c>
      <c r="I2471">
        <v>0</v>
      </c>
      <c r="J2471" t="s">
        <v>97</v>
      </c>
      <c r="K2471">
        <v>0</v>
      </c>
      <c r="L2471">
        <v>0</v>
      </c>
      <c r="M2471" t="s">
        <v>11</v>
      </c>
    </row>
    <row r="2472" spans="1:13">
      <c r="A2472" s="93">
        <v>207351</v>
      </c>
      <c r="B2472" t="s">
        <v>3007</v>
      </c>
      <c r="C2472" t="s">
        <v>4923</v>
      </c>
      <c r="D2472" s="92">
        <v>0.4</v>
      </c>
      <c r="E2472" s="92">
        <v>0.29</v>
      </c>
      <c r="F2472" t="s">
        <v>446</v>
      </c>
      <c r="G2472" t="s">
        <v>446</v>
      </c>
      <c r="H2472" t="s">
        <v>4932</v>
      </c>
      <c r="I2472">
        <v>0</v>
      </c>
      <c r="J2472" t="s">
        <v>97</v>
      </c>
      <c r="K2472">
        <v>0</v>
      </c>
      <c r="L2472">
        <v>0</v>
      </c>
      <c r="M2472" t="s">
        <v>11</v>
      </c>
    </row>
    <row r="2473" spans="1:13">
      <c r="A2473" s="93">
        <v>207388</v>
      </c>
      <c r="B2473" t="s">
        <v>3008</v>
      </c>
      <c r="C2473" t="s">
        <v>4916</v>
      </c>
      <c r="D2473" s="92">
        <v>0.66</v>
      </c>
      <c r="E2473" s="92">
        <v>0.55</v>
      </c>
      <c r="F2473">
        <v>1050</v>
      </c>
      <c r="G2473">
        <v>1150</v>
      </c>
      <c r="H2473" t="s">
        <v>4932</v>
      </c>
      <c r="I2473">
        <v>0</v>
      </c>
      <c r="J2473" t="s">
        <v>97</v>
      </c>
      <c r="K2473">
        <v>0</v>
      </c>
      <c r="L2473">
        <v>0</v>
      </c>
      <c r="M2473" t="s">
        <v>11</v>
      </c>
    </row>
    <row r="2474" spans="1:13">
      <c r="A2474" s="93">
        <v>207397</v>
      </c>
      <c r="B2474" t="s">
        <v>3009</v>
      </c>
      <c r="C2474" t="s">
        <v>4923</v>
      </c>
      <c r="D2474" s="92" t="s">
        <v>446</v>
      </c>
      <c r="E2474" s="92" t="s">
        <v>446</v>
      </c>
      <c r="F2474" t="s">
        <v>446</v>
      </c>
      <c r="G2474" t="s">
        <v>446</v>
      </c>
      <c r="H2474" t="s">
        <v>4932</v>
      </c>
      <c r="I2474">
        <v>0</v>
      </c>
      <c r="J2474" t="s">
        <v>97</v>
      </c>
      <c r="K2474">
        <v>0</v>
      </c>
      <c r="L2474">
        <v>0</v>
      </c>
      <c r="M2474" t="s">
        <v>11</v>
      </c>
    </row>
    <row r="2475" spans="1:13">
      <c r="A2475" s="93">
        <v>207403</v>
      </c>
      <c r="B2475" t="s">
        <v>3010</v>
      </c>
      <c r="C2475" t="s">
        <v>4920</v>
      </c>
      <c r="D2475" s="92">
        <v>0.55</v>
      </c>
      <c r="E2475" s="92">
        <v>0.34</v>
      </c>
      <c r="F2475">
        <v>980</v>
      </c>
      <c r="G2475">
        <v>1095</v>
      </c>
      <c r="H2475" t="s">
        <v>4930</v>
      </c>
      <c r="I2475">
        <v>0</v>
      </c>
      <c r="J2475" t="s">
        <v>97</v>
      </c>
      <c r="K2475">
        <v>0</v>
      </c>
      <c r="L2475">
        <v>0</v>
      </c>
      <c r="M2475" t="s">
        <v>11</v>
      </c>
    </row>
    <row r="2476" spans="1:13">
      <c r="A2476" s="93">
        <v>207449</v>
      </c>
      <c r="B2476" t="s">
        <v>3011</v>
      </c>
      <c r="C2476" t="s">
        <v>4919</v>
      </c>
      <c r="D2476" s="92">
        <v>0.18</v>
      </c>
      <c r="E2476" s="92">
        <v>0.17</v>
      </c>
      <c r="F2476" t="s">
        <v>446</v>
      </c>
      <c r="G2476" t="s">
        <v>446</v>
      </c>
      <c r="H2476" t="s">
        <v>4932</v>
      </c>
      <c r="I2476">
        <v>0</v>
      </c>
      <c r="J2476" t="s">
        <v>97</v>
      </c>
      <c r="K2476">
        <v>0</v>
      </c>
      <c r="L2476">
        <v>0</v>
      </c>
      <c r="M2476" t="s">
        <v>11</v>
      </c>
    </row>
    <row r="2477" spans="1:13">
      <c r="A2477" s="93">
        <v>207564</v>
      </c>
      <c r="B2477" t="s">
        <v>3012</v>
      </c>
      <c r="C2477" t="s">
        <v>4923</v>
      </c>
      <c r="D2477" s="92" t="s">
        <v>446</v>
      </c>
      <c r="E2477" s="92" t="s">
        <v>446</v>
      </c>
      <c r="F2477" t="s">
        <v>446</v>
      </c>
      <c r="G2477" t="s">
        <v>446</v>
      </c>
      <c r="H2477" t="s">
        <v>4932</v>
      </c>
      <c r="I2477">
        <v>0</v>
      </c>
      <c r="J2477" t="s">
        <v>97</v>
      </c>
      <c r="K2477">
        <v>0</v>
      </c>
      <c r="L2477">
        <v>0</v>
      </c>
      <c r="M2477" t="s">
        <v>11</v>
      </c>
    </row>
    <row r="2478" spans="1:13">
      <c r="A2478" s="93">
        <v>207582</v>
      </c>
      <c r="B2478" t="s">
        <v>3013</v>
      </c>
      <c r="C2478" t="s">
        <v>4920</v>
      </c>
      <c r="D2478" s="92">
        <v>0.57</v>
      </c>
      <c r="E2478" s="92">
        <v>0.5</v>
      </c>
      <c r="F2478">
        <v>1010</v>
      </c>
      <c r="G2478">
        <v>1145</v>
      </c>
      <c r="H2478" t="s">
        <v>4930</v>
      </c>
      <c r="I2478">
        <v>0</v>
      </c>
      <c r="J2478" t="s">
        <v>97</v>
      </c>
      <c r="K2478">
        <v>0</v>
      </c>
      <c r="L2478">
        <v>0</v>
      </c>
      <c r="M2478" t="s">
        <v>11</v>
      </c>
    </row>
    <row r="2479" spans="1:13">
      <c r="A2479" s="93">
        <v>207661</v>
      </c>
      <c r="B2479" t="s">
        <v>3014</v>
      </c>
      <c r="C2479" t="s">
        <v>4923</v>
      </c>
      <c r="D2479" s="92">
        <v>0.33</v>
      </c>
      <c r="E2479" s="92">
        <v>0.36</v>
      </c>
      <c r="F2479" t="s">
        <v>446</v>
      </c>
      <c r="G2479" t="s">
        <v>446</v>
      </c>
      <c r="H2479" t="s">
        <v>4932</v>
      </c>
      <c r="I2479">
        <v>0</v>
      </c>
      <c r="J2479" t="s">
        <v>97</v>
      </c>
      <c r="K2479">
        <v>0</v>
      </c>
      <c r="L2479">
        <v>0</v>
      </c>
      <c r="M2479" t="s">
        <v>11</v>
      </c>
    </row>
    <row r="2480" spans="1:13">
      <c r="A2480" s="93">
        <v>207722</v>
      </c>
      <c r="B2480" t="s">
        <v>3015</v>
      </c>
      <c r="C2480" t="s">
        <v>4916</v>
      </c>
      <c r="D2480" s="92">
        <v>0.39</v>
      </c>
      <c r="E2480" s="92">
        <v>0.37</v>
      </c>
      <c r="F2480" t="s">
        <v>446</v>
      </c>
      <c r="G2480" t="s">
        <v>446</v>
      </c>
      <c r="H2480" t="s">
        <v>4932</v>
      </c>
      <c r="I2480">
        <v>0</v>
      </c>
      <c r="J2480" t="s">
        <v>97</v>
      </c>
      <c r="K2480">
        <v>0</v>
      </c>
      <c r="L2480">
        <v>0</v>
      </c>
      <c r="M2480" t="s">
        <v>11</v>
      </c>
    </row>
    <row r="2481" spans="1:13">
      <c r="A2481" s="93">
        <v>207740</v>
      </c>
      <c r="B2481" t="s">
        <v>3016</v>
      </c>
      <c r="C2481" t="s">
        <v>4919</v>
      </c>
      <c r="D2481" s="92">
        <v>0.39</v>
      </c>
      <c r="E2481" s="92">
        <v>0.32</v>
      </c>
      <c r="F2481" t="s">
        <v>446</v>
      </c>
      <c r="G2481" t="s">
        <v>446</v>
      </c>
      <c r="H2481" t="s">
        <v>4932</v>
      </c>
      <c r="I2481">
        <v>0</v>
      </c>
      <c r="J2481" t="s">
        <v>97</v>
      </c>
      <c r="K2481">
        <v>0</v>
      </c>
      <c r="L2481">
        <v>0</v>
      </c>
      <c r="M2481" t="s">
        <v>11</v>
      </c>
    </row>
    <row r="2482" spans="1:13">
      <c r="A2482" s="93">
        <v>207847</v>
      </c>
      <c r="B2482" t="s">
        <v>3017</v>
      </c>
      <c r="C2482" t="s">
        <v>4920</v>
      </c>
      <c r="D2482" s="92">
        <v>0.32</v>
      </c>
      <c r="E2482" s="92">
        <v>0.23</v>
      </c>
      <c r="F2482">
        <v>930</v>
      </c>
      <c r="G2482">
        <v>1035</v>
      </c>
      <c r="H2482" t="s">
        <v>4932</v>
      </c>
      <c r="I2482">
        <v>0</v>
      </c>
      <c r="J2482" t="s">
        <v>97</v>
      </c>
      <c r="K2482">
        <v>0</v>
      </c>
      <c r="L2482">
        <v>0</v>
      </c>
      <c r="M2482" t="s">
        <v>11</v>
      </c>
    </row>
    <row r="2483" spans="1:13">
      <c r="A2483" s="93">
        <v>207856</v>
      </c>
      <c r="B2483" t="s">
        <v>3018</v>
      </c>
      <c r="C2483" t="s">
        <v>4923</v>
      </c>
      <c r="D2483" s="92">
        <v>0.25</v>
      </c>
      <c r="E2483" s="92">
        <v>0.13</v>
      </c>
      <c r="F2483" t="s">
        <v>446</v>
      </c>
      <c r="G2483" t="s">
        <v>446</v>
      </c>
      <c r="H2483" t="s">
        <v>4930</v>
      </c>
      <c r="I2483">
        <v>0</v>
      </c>
      <c r="J2483" t="s">
        <v>97</v>
      </c>
      <c r="K2483">
        <v>0</v>
      </c>
      <c r="L2483">
        <v>0</v>
      </c>
      <c r="M2483" t="s">
        <v>11</v>
      </c>
    </row>
    <row r="2484" spans="1:13">
      <c r="A2484" s="93">
        <v>207865</v>
      </c>
      <c r="B2484" t="s">
        <v>3019</v>
      </c>
      <c r="C2484" t="s">
        <v>4920</v>
      </c>
      <c r="D2484" s="92">
        <v>0.4</v>
      </c>
      <c r="E2484" s="92">
        <v>0.28</v>
      </c>
      <c r="F2484">
        <v>930</v>
      </c>
      <c r="G2484">
        <v>1035</v>
      </c>
      <c r="H2484" t="s">
        <v>4932</v>
      </c>
      <c r="I2484">
        <v>0</v>
      </c>
      <c r="J2484" t="s">
        <v>97</v>
      </c>
      <c r="K2484">
        <v>0</v>
      </c>
      <c r="L2484">
        <v>0</v>
      </c>
      <c r="M2484" t="s">
        <v>11</v>
      </c>
    </row>
    <row r="2485" spans="1:13">
      <c r="A2485" s="93">
        <v>207935</v>
      </c>
      <c r="B2485" t="s">
        <v>3020</v>
      </c>
      <c r="C2485" t="s">
        <v>4919</v>
      </c>
      <c r="D2485" s="92">
        <v>0.35</v>
      </c>
      <c r="E2485" s="92">
        <v>0.33</v>
      </c>
      <c r="F2485" t="s">
        <v>446</v>
      </c>
      <c r="G2485" t="s">
        <v>446</v>
      </c>
      <c r="H2485" t="s">
        <v>4932</v>
      </c>
      <c r="I2485">
        <v>0</v>
      </c>
      <c r="J2485" t="s">
        <v>97</v>
      </c>
      <c r="K2485">
        <v>0</v>
      </c>
      <c r="L2485">
        <v>0</v>
      </c>
      <c r="M2485" t="s">
        <v>11</v>
      </c>
    </row>
    <row r="2486" spans="1:13">
      <c r="A2486" s="93">
        <v>207962</v>
      </c>
      <c r="B2486" t="s">
        <v>3021</v>
      </c>
      <c r="C2486" t="s">
        <v>4919</v>
      </c>
      <c r="D2486" s="92" t="s">
        <v>446</v>
      </c>
      <c r="E2486" s="92" t="s">
        <v>446</v>
      </c>
      <c r="F2486" t="s">
        <v>446</v>
      </c>
      <c r="G2486" t="s">
        <v>446</v>
      </c>
      <c r="H2486" t="s">
        <v>4930</v>
      </c>
      <c r="I2486">
        <v>0</v>
      </c>
      <c r="J2486" t="s">
        <v>97</v>
      </c>
      <c r="K2486">
        <v>0</v>
      </c>
      <c r="L2486">
        <v>0</v>
      </c>
      <c r="M2486" t="s">
        <v>11</v>
      </c>
    </row>
    <row r="2487" spans="1:13">
      <c r="A2487" s="93">
        <v>208035</v>
      </c>
      <c r="B2487" t="s">
        <v>3022</v>
      </c>
      <c r="C2487" t="s">
        <v>4919</v>
      </c>
      <c r="D2487" s="92">
        <v>0.37</v>
      </c>
      <c r="E2487" s="92">
        <v>0.28</v>
      </c>
      <c r="F2487" t="s">
        <v>446</v>
      </c>
      <c r="G2487" t="s">
        <v>446</v>
      </c>
      <c r="H2487" t="s">
        <v>4932</v>
      </c>
      <c r="I2487">
        <v>0</v>
      </c>
      <c r="J2487" t="s">
        <v>97</v>
      </c>
      <c r="K2487">
        <v>0</v>
      </c>
      <c r="L2487">
        <v>0</v>
      </c>
      <c r="M2487" t="s">
        <v>11</v>
      </c>
    </row>
    <row r="2488" spans="1:13">
      <c r="A2488" s="93">
        <v>208275</v>
      </c>
      <c r="B2488" t="s">
        <v>3023</v>
      </c>
      <c r="C2488" t="s">
        <v>4919</v>
      </c>
      <c r="D2488" s="92">
        <v>0.3</v>
      </c>
      <c r="E2488" s="92">
        <v>0.28</v>
      </c>
      <c r="F2488" t="s">
        <v>446</v>
      </c>
      <c r="G2488" t="s">
        <v>446</v>
      </c>
      <c r="H2488" t="s">
        <v>4932</v>
      </c>
      <c r="I2488">
        <v>0</v>
      </c>
      <c r="J2488" t="s">
        <v>97</v>
      </c>
      <c r="K2488">
        <v>0</v>
      </c>
      <c r="L2488">
        <v>0</v>
      </c>
      <c r="M2488" t="s">
        <v>11</v>
      </c>
    </row>
    <row r="2489" spans="1:13">
      <c r="A2489" s="93">
        <v>208318</v>
      </c>
      <c r="B2489" t="s">
        <v>3024</v>
      </c>
      <c r="C2489" t="s">
        <v>4919</v>
      </c>
      <c r="D2489" s="92">
        <v>0.35</v>
      </c>
      <c r="E2489" s="92">
        <v>0.34</v>
      </c>
      <c r="F2489" t="s">
        <v>446</v>
      </c>
      <c r="G2489" t="s">
        <v>446</v>
      </c>
      <c r="H2489" t="s">
        <v>4932</v>
      </c>
      <c r="I2489">
        <v>0</v>
      </c>
      <c r="J2489" t="s">
        <v>97</v>
      </c>
      <c r="K2489">
        <v>0</v>
      </c>
      <c r="L2489">
        <v>0</v>
      </c>
      <c r="M2489" t="s">
        <v>11</v>
      </c>
    </row>
    <row r="2490" spans="1:13">
      <c r="A2490" s="93">
        <v>208390</v>
      </c>
      <c r="B2490" t="s">
        <v>3025</v>
      </c>
      <c r="C2490" t="s">
        <v>4919</v>
      </c>
      <c r="D2490" s="92">
        <v>0.3</v>
      </c>
      <c r="E2490" s="92">
        <v>0.27</v>
      </c>
      <c r="F2490" t="s">
        <v>446</v>
      </c>
      <c r="G2490" t="s">
        <v>446</v>
      </c>
      <c r="H2490" t="s">
        <v>4932</v>
      </c>
      <c r="I2490">
        <v>0</v>
      </c>
      <c r="J2490" t="s">
        <v>97</v>
      </c>
      <c r="K2490">
        <v>0</v>
      </c>
      <c r="L2490">
        <v>0</v>
      </c>
      <c r="M2490" t="s">
        <v>11</v>
      </c>
    </row>
    <row r="2491" spans="1:13">
      <c r="A2491" s="93">
        <v>208406</v>
      </c>
      <c r="B2491" t="s">
        <v>3026</v>
      </c>
      <c r="C2491" t="s">
        <v>4919</v>
      </c>
      <c r="D2491" s="92">
        <v>0.35</v>
      </c>
      <c r="E2491" s="92">
        <v>0.3</v>
      </c>
      <c r="F2491" t="s">
        <v>446</v>
      </c>
      <c r="G2491" t="s">
        <v>446</v>
      </c>
      <c r="H2491" t="s">
        <v>4932</v>
      </c>
      <c r="I2491">
        <v>0</v>
      </c>
      <c r="J2491" t="s">
        <v>97</v>
      </c>
      <c r="K2491">
        <v>0</v>
      </c>
      <c r="L2491">
        <v>0</v>
      </c>
      <c r="M2491" t="s">
        <v>11</v>
      </c>
    </row>
    <row r="2492" spans="1:13">
      <c r="A2492" s="93">
        <v>208415</v>
      </c>
      <c r="B2492" t="s">
        <v>3027</v>
      </c>
      <c r="C2492" t="s">
        <v>4919</v>
      </c>
      <c r="D2492" s="92">
        <v>0.27</v>
      </c>
      <c r="E2492" s="92">
        <v>0.25</v>
      </c>
      <c r="F2492" t="s">
        <v>446</v>
      </c>
      <c r="G2492" t="s">
        <v>446</v>
      </c>
      <c r="H2492" t="s">
        <v>4932</v>
      </c>
      <c r="I2492">
        <v>0</v>
      </c>
      <c r="J2492" t="s">
        <v>97</v>
      </c>
      <c r="K2492">
        <v>0</v>
      </c>
      <c r="L2492">
        <v>0</v>
      </c>
      <c r="M2492" t="s">
        <v>11</v>
      </c>
    </row>
    <row r="2493" spans="1:13">
      <c r="A2493" s="93">
        <v>208433</v>
      </c>
      <c r="B2493" t="s">
        <v>3028</v>
      </c>
      <c r="C2493" t="s">
        <v>4919</v>
      </c>
      <c r="D2493" s="92" t="s">
        <v>446</v>
      </c>
      <c r="E2493" s="92" t="s">
        <v>446</v>
      </c>
      <c r="F2493" t="s">
        <v>446</v>
      </c>
      <c r="G2493" t="s">
        <v>446</v>
      </c>
      <c r="H2493" t="s">
        <v>4931</v>
      </c>
      <c r="I2493">
        <v>0</v>
      </c>
      <c r="J2493" t="s">
        <v>97</v>
      </c>
      <c r="K2493">
        <v>0</v>
      </c>
      <c r="L2493">
        <v>0</v>
      </c>
      <c r="M2493" t="s">
        <v>11</v>
      </c>
    </row>
    <row r="2494" spans="1:13">
      <c r="A2494" s="93">
        <v>208479</v>
      </c>
      <c r="B2494" t="s">
        <v>3029</v>
      </c>
      <c r="C2494" t="s">
        <v>4919</v>
      </c>
      <c r="D2494" s="92" t="s">
        <v>446</v>
      </c>
      <c r="E2494" s="92" t="s">
        <v>446</v>
      </c>
      <c r="F2494" t="s">
        <v>446</v>
      </c>
      <c r="G2494" t="s">
        <v>446</v>
      </c>
      <c r="H2494" t="s">
        <v>4930</v>
      </c>
      <c r="I2494">
        <v>0</v>
      </c>
      <c r="J2494" t="s">
        <v>97</v>
      </c>
      <c r="K2494">
        <v>0</v>
      </c>
      <c r="L2494">
        <v>0</v>
      </c>
      <c r="M2494" t="s">
        <v>11</v>
      </c>
    </row>
    <row r="2495" spans="1:13">
      <c r="A2495" s="93">
        <v>208512</v>
      </c>
      <c r="B2495" t="s">
        <v>3030</v>
      </c>
      <c r="C2495" t="s">
        <v>4919</v>
      </c>
      <c r="D2495" s="92">
        <v>0.85</v>
      </c>
      <c r="E2495" s="92">
        <v>1</v>
      </c>
      <c r="F2495" t="s">
        <v>446</v>
      </c>
      <c r="G2495" t="s">
        <v>446</v>
      </c>
      <c r="H2495" t="s">
        <v>4930</v>
      </c>
      <c r="I2495">
        <v>0</v>
      </c>
      <c r="J2495" t="s">
        <v>97</v>
      </c>
      <c r="K2495">
        <v>0</v>
      </c>
      <c r="L2495">
        <v>0</v>
      </c>
      <c r="M2495" t="s">
        <v>11</v>
      </c>
    </row>
    <row r="2496" spans="1:13">
      <c r="A2496" s="93">
        <v>208646</v>
      </c>
      <c r="B2496" t="s">
        <v>3031</v>
      </c>
      <c r="C2496" t="s">
        <v>4920</v>
      </c>
      <c r="D2496" s="92">
        <v>0.31</v>
      </c>
      <c r="E2496" s="92">
        <v>0.31</v>
      </c>
      <c r="F2496" t="s">
        <v>446</v>
      </c>
      <c r="G2496" t="s">
        <v>446</v>
      </c>
      <c r="H2496" t="s">
        <v>4932</v>
      </c>
      <c r="I2496">
        <v>0</v>
      </c>
      <c r="J2496" t="s">
        <v>97</v>
      </c>
      <c r="K2496">
        <v>0</v>
      </c>
      <c r="L2496">
        <v>0</v>
      </c>
      <c r="M2496" t="s">
        <v>11</v>
      </c>
    </row>
    <row r="2497" spans="1:13">
      <c r="A2497" s="93">
        <v>208725</v>
      </c>
      <c r="B2497" t="s">
        <v>3032</v>
      </c>
      <c r="C2497" t="s">
        <v>4924</v>
      </c>
      <c r="D2497" s="92">
        <v>0.37</v>
      </c>
      <c r="E2497" s="92">
        <v>0.27</v>
      </c>
      <c r="F2497" t="s">
        <v>446</v>
      </c>
      <c r="G2497" t="s">
        <v>446</v>
      </c>
      <c r="H2497" t="s">
        <v>4930</v>
      </c>
      <c r="I2497">
        <v>0</v>
      </c>
      <c r="J2497" t="s">
        <v>97</v>
      </c>
      <c r="K2497">
        <v>0</v>
      </c>
      <c r="L2497">
        <v>0</v>
      </c>
      <c r="M2497" t="s">
        <v>11</v>
      </c>
    </row>
    <row r="2498" spans="1:13">
      <c r="A2498" s="93">
        <v>208822</v>
      </c>
      <c r="B2498" t="s">
        <v>3033</v>
      </c>
      <c r="C2498" t="s">
        <v>4920</v>
      </c>
      <c r="D2498" s="92">
        <v>0.68</v>
      </c>
      <c r="E2498" s="92">
        <v>0.6</v>
      </c>
      <c r="F2498">
        <v>1090</v>
      </c>
      <c r="G2498">
        <v>1220</v>
      </c>
      <c r="H2498" t="s">
        <v>4930</v>
      </c>
      <c r="I2498">
        <v>0</v>
      </c>
      <c r="J2498" t="s">
        <v>97</v>
      </c>
      <c r="K2498">
        <v>0</v>
      </c>
      <c r="L2498">
        <v>0</v>
      </c>
      <c r="M2498" t="s">
        <v>11</v>
      </c>
    </row>
    <row r="2499" spans="1:13">
      <c r="A2499" s="93">
        <v>208859</v>
      </c>
      <c r="B2499" t="s">
        <v>3034</v>
      </c>
      <c r="C2499" t="s">
        <v>4919</v>
      </c>
      <c r="D2499" s="92">
        <v>0.79</v>
      </c>
      <c r="E2499" s="92">
        <v>1</v>
      </c>
      <c r="F2499" t="s">
        <v>446</v>
      </c>
      <c r="G2499" t="s">
        <v>446</v>
      </c>
      <c r="H2499" t="s">
        <v>4931</v>
      </c>
      <c r="I2499">
        <v>0</v>
      </c>
      <c r="J2499" t="s">
        <v>97</v>
      </c>
      <c r="K2499">
        <v>0</v>
      </c>
      <c r="L2499">
        <v>0</v>
      </c>
      <c r="M2499" t="s">
        <v>11</v>
      </c>
    </row>
    <row r="2500" spans="1:13">
      <c r="A2500" s="93">
        <v>209038</v>
      </c>
      <c r="B2500" t="s">
        <v>3035</v>
      </c>
      <c r="C2500" t="s">
        <v>4919</v>
      </c>
      <c r="D2500" s="92">
        <v>0.3</v>
      </c>
      <c r="E2500" s="92">
        <v>0.22</v>
      </c>
      <c r="F2500" t="s">
        <v>446</v>
      </c>
      <c r="G2500" t="s">
        <v>446</v>
      </c>
      <c r="H2500" t="s">
        <v>4932</v>
      </c>
      <c r="I2500">
        <v>0</v>
      </c>
      <c r="J2500" t="s">
        <v>97</v>
      </c>
      <c r="K2500">
        <v>0</v>
      </c>
      <c r="L2500">
        <v>0</v>
      </c>
      <c r="M2500" t="s">
        <v>11</v>
      </c>
    </row>
    <row r="2501" spans="1:13">
      <c r="A2501" s="93">
        <v>209056</v>
      </c>
      <c r="B2501" t="s">
        <v>525</v>
      </c>
      <c r="C2501" t="s">
        <v>4917</v>
      </c>
      <c r="D2501" s="92">
        <v>0.75</v>
      </c>
      <c r="E2501" s="92">
        <v>0.71</v>
      </c>
      <c r="F2501">
        <v>1240</v>
      </c>
      <c r="G2501">
        <v>1330</v>
      </c>
      <c r="H2501" t="s">
        <v>4930</v>
      </c>
      <c r="I2501">
        <v>0</v>
      </c>
      <c r="J2501" t="s">
        <v>97</v>
      </c>
      <c r="K2501">
        <v>0</v>
      </c>
      <c r="L2501">
        <v>0</v>
      </c>
      <c r="M2501" t="s">
        <v>11</v>
      </c>
    </row>
    <row r="2502" spans="1:13">
      <c r="A2502" s="93">
        <v>209074</v>
      </c>
      <c r="B2502" t="s">
        <v>3036</v>
      </c>
      <c r="C2502" t="s">
        <v>4919</v>
      </c>
      <c r="D2502" s="92">
        <v>0.27</v>
      </c>
      <c r="E2502" s="92">
        <v>0.23</v>
      </c>
      <c r="F2502" t="s">
        <v>446</v>
      </c>
      <c r="G2502" t="s">
        <v>446</v>
      </c>
      <c r="H2502" t="s">
        <v>4932</v>
      </c>
      <c r="I2502">
        <v>0</v>
      </c>
      <c r="J2502" t="s">
        <v>97</v>
      </c>
      <c r="K2502">
        <v>0</v>
      </c>
      <c r="L2502">
        <v>0</v>
      </c>
      <c r="M2502" t="s">
        <v>11</v>
      </c>
    </row>
    <row r="2503" spans="1:13">
      <c r="A2503" s="93">
        <v>209083</v>
      </c>
      <c r="B2503" t="s">
        <v>3037</v>
      </c>
      <c r="C2503" t="s">
        <v>4919</v>
      </c>
      <c r="D2503" s="92" t="s">
        <v>446</v>
      </c>
      <c r="E2503" s="92" t="s">
        <v>446</v>
      </c>
      <c r="F2503" t="s">
        <v>446</v>
      </c>
      <c r="G2503" t="s">
        <v>446</v>
      </c>
      <c r="H2503" t="s">
        <v>4930</v>
      </c>
      <c r="I2503">
        <v>0</v>
      </c>
      <c r="J2503" t="s">
        <v>97</v>
      </c>
      <c r="K2503">
        <v>0</v>
      </c>
      <c r="L2503">
        <v>0</v>
      </c>
      <c r="M2503" t="s">
        <v>11</v>
      </c>
    </row>
    <row r="2504" spans="1:13">
      <c r="A2504" s="93">
        <v>209153</v>
      </c>
      <c r="B2504" t="s">
        <v>3038</v>
      </c>
      <c r="C2504" t="s">
        <v>4919</v>
      </c>
      <c r="D2504" s="92" t="s">
        <v>446</v>
      </c>
      <c r="E2504" s="92" t="s">
        <v>446</v>
      </c>
      <c r="F2504" t="s">
        <v>446</v>
      </c>
      <c r="G2504" t="s">
        <v>446</v>
      </c>
      <c r="H2504" t="s">
        <v>4928</v>
      </c>
      <c r="I2504">
        <v>1</v>
      </c>
      <c r="J2504" t="s">
        <v>97</v>
      </c>
      <c r="K2504">
        <v>0</v>
      </c>
      <c r="L2504">
        <v>0</v>
      </c>
      <c r="M2504" t="s">
        <v>11</v>
      </c>
    </row>
    <row r="2505" spans="1:13">
      <c r="A2505" s="93">
        <v>209205</v>
      </c>
      <c r="B2505" t="s">
        <v>3039</v>
      </c>
      <c r="C2505" t="s">
        <v>4919</v>
      </c>
      <c r="D2505" s="92" t="s">
        <v>446</v>
      </c>
      <c r="E2505" s="92" t="s">
        <v>446</v>
      </c>
      <c r="F2505" t="s">
        <v>446</v>
      </c>
      <c r="G2505" t="s">
        <v>446</v>
      </c>
      <c r="H2505" t="s">
        <v>4930</v>
      </c>
      <c r="I2505">
        <v>0</v>
      </c>
      <c r="J2505" t="s">
        <v>97</v>
      </c>
      <c r="K2505">
        <v>0</v>
      </c>
      <c r="L2505">
        <v>0</v>
      </c>
      <c r="M2505" t="s">
        <v>11</v>
      </c>
    </row>
    <row r="2506" spans="1:13">
      <c r="A2506" s="93">
        <v>209241</v>
      </c>
      <c r="B2506" t="s">
        <v>3040</v>
      </c>
      <c r="C2506" t="s">
        <v>4924</v>
      </c>
      <c r="D2506" s="92">
        <v>0.52</v>
      </c>
      <c r="E2506" s="92">
        <v>0.57</v>
      </c>
      <c r="F2506" t="s">
        <v>446</v>
      </c>
      <c r="G2506" t="s">
        <v>446</v>
      </c>
      <c r="H2506" t="s">
        <v>4932</v>
      </c>
      <c r="I2506">
        <v>0</v>
      </c>
      <c r="J2506" t="s">
        <v>97</v>
      </c>
      <c r="K2506">
        <v>0</v>
      </c>
      <c r="L2506">
        <v>0</v>
      </c>
      <c r="M2506" t="s">
        <v>11</v>
      </c>
    </row>
    <row r="2507" spans="1:13">
      <c r="A2507" s="93">
        <v>209250</v>
      </c>
      <c r="B2507" t="s">
        <v>3041</v>
      </c>
      <c r="C2507" t="s">
        <v>4919</v>
      </c>
      <c r="D2507" s="92">
        <v>0.31</v>
      </c>
      <c r="E2507" s="92">
        <v>0.28</v>
      </c>
      <c r="F2507" t="s">
        <v>446</v>
      </c>
      <c r="G2507" t="s">
        <v>446</v>
      </c>
      <c r="H2507" t="s">
        <v>4932</v>
      </c>
      <c r="I2507">
        <v>0</v>
      </c>
      <c r="J2507" t="s">
        <v>97</v>
      </c>
      <c r="K2507">
        <v>0</v>
      </c>
      <c r="L2507">
        <v>0</v>
      </c>
      <c r="M2507" t="s">
        <v>11</v>
      </c>
    </row>
    <row r="2508" spans="1:13">
      <c r="A2508" s="93">
        <v>209287</v>
      </c>
      <c r="B2508" t="s">
        <v>3042</v>
      </c>
      <c r="C2508" t="s">
        <v>4924</v>
      </c>
      <c r="D2508" s="92">
        <v>0.54</v>
      </c>
      <c r="E2508" s="92">
        <v>0.27</v>
      </c>
      <c r="F2508" t="s">
        <v>446</v>
      </c>
      <c r="G2508" t="s">
        <v>446</v>
      </c>
      <c r="H2508" t="s">
        <v>4930</v>
      </c>
      <c r="I2508">
        <v>0</v>
      </c>
      <c r="J2508" t="s">
        <v>97</v>
      </c>
      <c r="K2508">
        <v>0</v>
      </c>
      <c r="L2508">
        <v>0</v>
      </c>
      <c r="M2508" t="s">
        <v>11</v>
      </c>
    </row>
    <row r="2509" spans="1:13">
      <c r="A2509" s="93">
        <v>209296</v>
      </c>
      <c r="B2509" t="s">
        <v>3043</v>
      </c>
      <c r="C2509" t="s">
        <v>4924</v>
      </c>
      <c r="D2509" s="92" t="s">
        <v>446</v>
      </c>
      <c r="E2509" s="92" t="s">
        <v>446</v>
      </c>
      <c r="F2509" t="s">
        <v>446</v>
      </c>
      <c r="G2509" t="s">
        <v>446</v>
      </c>
      <c r="H2509" t="s">
        <v>4932</v>
      </c>
      <c r="I2509">
        <v>0</v>
      </c>
      <c r="J2509" t="s">
        <v>97</v>
      </c>
      <c r="K2509">
        <v>0</v>
      </c>
      <c r="L2509">
        <v>0</v>
      </c>
      <c r="M2509" t="s">
        <v>11</v>
      </c>
    </row>
    <row r="2510" spans="1:13">
      <c r="A2510" s="93">
        <v>209409</v>
      </c>
      <c r="B2510" t="s">
        <v>3044</v>
      </c>
      <c r="C2510" t="s">
        <v>4920</v>
      </c>
      <c r="D2510" s="92">
        <v>0.54</v>
      </c>
      <c r="E2510" s="92">
        <v>0.48</v>
      </c>
      <c r="F2510">
        <v>1140</v>
      </c>
      <c r="G2510">
        <v>1180</v>
      </c>
      <c r="H2510" t="s">
        <v>4930</v>
      </c>
      <c r="I2510">
        <v>0</v>
      </c>
      <c r="J2510" t="s">
        <v>97</v>
      </c>
      <c r="K2510">
        <v>0</v>
      </c>
      <c r="L2510">
        <v>0</v>
      </c>
      <c r="M2510" t="s">
        <v>11</v>
      </c>
    </row>
    <row r="2511" spans="1:13">
      <c r="A2511" s="93">
        <v>209490</v>
      </c>
      <c r="B2511" t="s">
        <v>3045</v>
      </c>
      <c r="C2511" t="s">
        <v>4924</v>
      </c>
      <c r="D2511" s="92" t="s">
        <v>446</v>
      </c>
      <c r="E2511" s="92" t="s">
        <v>446</v>
      </c>
      <c r="F2511" t="s">
        <v>446</v>
      </c>
      <c r="G2511" t="s">
        <v>446</v>
      </c>
      <c r="H2511" t="s">
        <v>4932</v>
      </c>
      <c r="I2511">
        <v>0</v>
      </c>
      <c r="J2511" t="s">
        <v>97</v>
      </c>
      <c r="K2511">
        <v>0</v>
      </c>
      <c r="L2511">
        <v>0</v>
      </c>
      <c r="M2511" t="s">
        <v>11</v>
      </c>
    </row>
    <row r="2512" spans="1:13">
      <c r="A2512" s="93">
        <v>209506</v>
      </c>
      <c r="B2512" t="s">
        <v>3046</v>
      </c>
      <c r="C2512" t="s">
        <v>4920</v>
      </c>
      <c r="D2512" s="92">
        <v>0.51</v>
      </c>
      <c r="E2512" s="92">
        <v>0.39</v>
      </c>
      <c r="F2512">
        <v>1070</v>
      </c>
      <c r="G2512">
        <v>1185</v>
      </c>
      <c r="H2512" t="s">
        <v>4930</v>
      </c>
      <c r="I2512">
        <v>0</v>
      </c>
      <c r="J2512" t="s">
        <v>97</v>
      </c>
      <c r="K2512">
        <v>0</v>
      </c>
      <c r="L2512">
        <v>0</v>
      </c>
      <c r="M2512" t="s">
        <v>11</v>
      </c>
    </row>
    <row r="2513" spans="1:13">
      <c r="A2513" s="93">
        <v>209603</v>
      </c>
      <c r="B2513" t="s">
        <v>3047</v>
      </c>
      <c r="C2513" t="s">
        <v>4926</v>
      </c>
      <c r="D2513" s="92">
        <v>0.39</v>
      </c>
      <c r="E2513" s="92">
        <v>0.29</v>
      </c>
      <c r="F2513" t="s">
        <v>446</v>
      </c>
      <c r="G2513" t="s">
        <v>446</v>
      </c>
      <c r="H2513" t="s">
        <v>4930</v>
      </c>
      <c r="I2513">
        <v>0</v>
      </c>
      <c r="J2513" t="s">
        <v>97</v>
      </c>
      <c r="K2513">
        <v>0</v>
      </c>
      <c r="L2513">
        <v>0</v>
      </c>
      <c r="M2513" t="s">
        <v>11</v>
      </c>
    </row>
    <row r="2514" spans="1:13">
      <c r="A2514" s="93">
        <v>209612</v>
      </c>
      <c r="B2514" t="s">
        <v>3048</v>
      </c>
      <c r="C2514" t="s">
        <v>4920</v>
      </c>
      <c r="D2514" s="92">
        <v>0.68</v>
      </c>
      <c r="E2514" s="92">
        <v>0.58</v>
      </c>
      <c r="F2514">
        <v>1090</v>
      </c>
      <c r="G2514">
        <v>1200</v>
      </c>
      <c r="H2514" t="s">
        <v>4930</v>
      </c>
      <c r="I2514">
        <v>0</v>
      </c>
      <c r="J2514" t="s">
        <v>97</v>
      </c>
      <c r="K2514">
        <v>0</v>
      </c>
      <c r="L2514">
        <v>0</v>
      </c>
      <c r="M2514" t="s">
        <v>11</v>
      </c>
    </row>
    <row r="2515" spans="1:13">
      <c r="A2515" s="93">
        <v>209667</v>
      </c>
      <c r="B2515" t="s">
        <v>3049</v>
      </c>
      <c r="C2515" t="s">
        <v>4919</v>
      </c>
      <c r="D2515" s="92" t="s">
        <v>446</v>
      </c>
      <c r="E2515" s="92" t="s">
        <v>446</v>
      </c>
      <c r="F2515" t="s">
        <v>446</v>
      </c>
      <c r="G2515" t="s">
        <v>446</v>
      </c>
      <c r="H2515" t="s">
        <v>4931</v>
      </c>
      <c r="I2515">
        <v>0</v>
      </c>
      <c r="J2515" t="s">
        <v>97</v>
      </c>
      <c r="K2515">
        <v>0</v>
      </c>
      <c r="L2515">
        <v>0</v>
      </c>
      <c r="M2515" t="s">
        <v>11</v>
      </c>
    </row>
    <row r="2516" spans="1:13">
      <c r="A2516" s="93">
        <v>209676</v>
      </c>
      <c r="B2516" t="s">
        <v>3050</v>
      </c>
      <c r="C2516" t="s">
        <v>4919</v>
      </c>
      <c r="D2516" s="92" t="s">
        <v>446</v>
      </c>
      <c r="E2516" s="92" t="s">
        <v>446</v>
      </c>
      <c r="F2516" t="s">
        <v>446</v>
      </c>
      <c r="G2516" t="s">
        <v>446</v>
      </c>
      <c r="H2516" t="s">
        <v>4929</v>
      </c>
      <c r="I2516">
        <v>1</v>
      </c>
      <c r="J2516" t="s">
        <v>97</v>
      </c>
      <c r="K2516">
        <v>0</v>
      </c>
      <c r="L2516">
        <v>0</v>
      </c>
      <c r="M2516" t="s">
        <v>11</v>
      </c>
    </row>
    <row r="2517" spans="1:13">
      <c r="A2517" s="93">
        <v>209694</v>
      </c>
      <c r="B2517" t="s">
        <v>3051</v>
      </c>
      <c r="C2517" t="s">
        <v>4919</v>
      </c>
      <c r="D2517" s="92" t="s">
        <v>446</v>
      </c>
      <c r="E2517" s="92" t="s">
        <v>446</v>
      </c>
      <c r="F2517" t="s">
        <v>446</v>
      </c>
      <c r="G2517" t="s">
        <v>446</v>
      </c>
      <c r="H2517" t="s">
        <v>4931</v>
      </c>
      <c r="I2517">
        <v>0</v>
      </c>
      <c r="J2517" t="s">
        <v>97</v>
      </c>
      <c r="K2517">
        <v>0</v>
      </c>
      <c r="L2517">
        <v>0</v>
      </c>
      <c r="M2517" t="s">
        <v>11</v>
      </c>
    </row>
    <row r="2518" spans="1:13">
      <c r="A2518" s="93">
        <v>209700</v>
      </c>
      <c r="B2518" t="s">
        <v>3052</v>
      </c>
      <c r="C2518" t="s">
        <v>4919</v>
      </c>
      <c r="D2518" s="92" t="s">
        <v>446</v>
      </c>
      <c r="E2518" s="92" t="s">
        <v>446</v>
      </c>
      <c r="F2518" t="s">
        <v>446</v>
      </c>
      <c r="G2518" t="s">
        <v>446</v>
      </c>
      <c r="H2518" t="s">
        <v>4931</v>
      </c>
      <c r="I2518">
        <v>0</v>
      </c>
      <c r="J2518" t="s">
        <v>97</v>
      </c>
      <c r="K2518">
        <v>0</v>
      </c>
      <c r="L2518">
        <v>0</v>
      </c>
      <c r="M2518" t="s">
        <v>11</v>
      </c>
    </row>
    <row r="2519" spans="1:13">
      <c r="A2519" s="93">
        <v>209719</v>
      </c>
      <c r="B2519" t="s">
        <v>3053</v>
      </c>
      <c r="C2519" t="s">
        <v>4919</v>
      </c>
      <c r="D2519" s="92">
        <v>0.67</v>
      </c>
      <c r="E2519" s="92">
        <v>0.62</v>
      </c>
      <c r="F2519" t="s">
        <v>446</v>
      </c>
      <c r="G2519" t="s">
        <v>446</v>
      </c>
      <c r="H2519" t="s">
        <v>4931</v>
      </c>
      <c r="I2519">
        <v>0</v>
      </c>
      <c r="J2519" t="s">
        <v>97</v>
      </c>
      <c r="K2519">
        <v>0</v>
      </c>
      <c r="L2519">
        <v>0</v>
      </c>
      <c r="M2519" t="s">
        <v>11</v>
      </c>
    </row>
    <row r="2520" spans="1:13">
      <c r="A2520" s="93">
        <v>209746</v>
      </c>
      <c r="B2520" t="s">
        <v>3054</v>
      </c>
      <c r="C2520" t="s">
        <v>4919</v>
      </c>
      <c r="D2520" s="92">
        <v>0.26</v>
      </c>
      <c r="E2520" s="92">
        <v>0.2</v>
      </c>
      <c r="F2520" t="s">
        <v>446</v>
      </c>
      <c r="G2520" t="s">
        <v>446</v>
      </c>
      <c r="H2520" t="s">
        <v>4932</v>
      </c>
      <c r="I2520">
        <v>0</v>
      </c>
      <c r="J2520" t="s">
        <v>97</v>
      </c>
      <c r="K2520">
        <v>0</v>
      </c>
      <c r="L2520">
        <v>0</v>
      </c>
      <c r="M2520" t="s">
        <v>11</v>
      </c>
    </row>
    <row r="2521" spans="1:13">
      <c r="A2521" s="93">
        <v>209825</v>
      </c>
      <c r="B2521" t="s">
        <v>3055</v>
      </c>
      <c r="C2521" t="s">
        <v>4916</v>
      </c>
      <c r="D2521" s="92">
        <v>0.8100000000000001</v>
      </c>
      <c r="E2521" s="92">
        <v>0.8</v>
      </c>
      <c r="F2521">
        <v>1160</v>
      </c>
      <c r="G2521">
        <v>1260</v>
      </c>
      <c r="H2521" t="s">
        <v>4930</v>
      </c>
      <c r="I2521">
        <v>0</v>
      </c>
      <c r="J2521" t="s">
        <v>97</v>
      </c>
      <c r="K2521">
        <v>0</v>
      </c>
      <c r="L2521">
        <v>0</v>
      </c>
      <c r="M2521" t="s">
        <v>11</v>
      </c>
    </row>
    <row r="2522" spans="1:13">
      <c r="A2522" s="93">
        <v>209922</v>
      </c>
      <c r="B2522" t="s">
        <v>3056</v>
      </c>
      <c r="C2522" t="s">
        <v>4922</v>
      </c>
      <c r="D2522" s="92">
        <v>0.75</v>
      </c>
      <c r="E2522" s="92">
        <v>0.79</v>
      </c>
      <c r="F2522" t="s">
        <v>446</v>
      </c>
      <c r="G2522" t="s">
        <v>446</v>
      </c>
      <c r="H2522" t="s">
        <v>4931</v>
      </c>
      <c r="I2522">
        <v>0</v>
      </c>
      <c r="J2522" t="s">
        <v>97</v>
      </c>
      <c r="K2522">
        <v>0</v>
      </c>
      <c r="L2522">
        <v>0</v>
      </c>
      <c r="M2522" t="s">
        <v>11</v>
      </c>
    </row>
    <row r="2523" spans="1:13">
      <c r="A2523" s="93">
        <v>209940</v>
      </c>
      <c r="B2523" t="s">
        <v>3057</v>
      </c>
      <c r="C2523" t="s">
        <v>4919</v>
      </c>
      <c r="D2523" s="92">
        <v>0.2</v>
      </c>
      <c r="E2523" s="92">
        <v>0.17</v>
      </c>
      <c r="F2523" t="s">
        <v>446</v>
      </c>
      <c r="G2523" t="s">
        <v>446</v>
      </c>
      <c r="H2523" t="s">
        <v>4932</v>
      </c>
      <c r="I2523">
        <v>0</v>
      </c>
      <c r="J2523" t="s">
        <v>97</v>
      </c>
      <c r="K2523">
        <v>0</v>
      </c>
      <c r="L2523">
        <v>0</v>
      </c>
      <c r="M2523" t="s">
        <v>11</v>
      </c>
    </row>
    <row r="2524" spans="1:13">
      <c r="A2524" s="93">
        <v>210146</v>
      </c>
      <c r="B2524" t="s">
        <v>3058</v>
      </c>
      <c r="C2524" t="s">
        <v>4920</v>
      </c>
      <c r="D2524" s="92">
        <v>0.44</v>
      </c>
      <c r="E2524" s="92">
        <v>0.43</v>
      </c>
      <c r="F2524">
        <v>980</v>
      </c>
      <c r="G2524">
        <v>1105</v>
      </c>
      <c r="H2524" t="s">
        <v>4932</v>
      </c>
      <c r="I2524">
        <v>0</v>
      </c>
      <c r="J2524" t="s">
        <v>97</v>
      </c>
      <c r="K2524">
        <v>0</v>
      </c>
      <c r="L2524">
        <v>0</v>
      </c>
      <c r="M2524" t="s">
        <v>11</v>
      </c>
    </row>
    <row r="2525" spans="1:13">
      <c r="A2525" s="93">
        <v>210155</v>
      </c>
      <c r="B2525" t="s">
        <v>3059</v>
      </c>
      <c r="C2525" t="s">
        <v>4919</v>
      </c>
      <c r="D2525" s="92">
        <v>0.43</v>
      </c>
      <c r="E2525" s="92">
        <v>0.42</v>
      </c>
      <c r="F2525" t="s">
        <v>446</v>
      </c>
      <c r="G2525" t="s">
        <v>446</v>
      </c>
      <c r="H2525" t="s">
        <v>4932</v>
      </c>
      <c r="I2525">
        <v>0</v>
      </c>
      <c r="J2525" t="s">
        <v>97</v>
      </c>
      <c r="K2525">
        <v>0</v>
      </c>
      <c r="L2525">
        <v>0</v>
      </c>
      <c r="M2525" t="s">
        <v>11</v>
      </c>
    </row>
    <row r="2526" spans="1:13">
      <c r="A2526" s="93">
        <v>210234</v>
      </c>
      <c r="B2526" t="s">
        <v>3060</v>
      </c>
      <c r="C2526" t="s">
        <v>4919</v>
      </c>
      <c r="D2526" s="92">
        <v>0.38</v>
      </c>
      <c r="E2526" s="92">
        <v>0.31</v>
      </c>
      <c r="F2526" t="s">
        <v>446</v>
      </c>
      <c r="G2526" t="s">
        <v>446</v>
      </c>
      <c r="H2526" t="s">
        <v>4932</v>
      </c>
      <c r="I2526">
        <v>0</v>
      </c>
      <c r="J2526" t="s">
        <v>97</v>
      </c>
      <c r="K2526">
        <v>0</v>
      </c>
      <c r="L2526">
        <v>0</v>
      </c>
      <c r="M2526" t="s">
        <v>11</v>
      </c>
    </row>
    <row r="2527" spans="1:13">
      <c r="A2527" s="93">
        <v>210270</v>
      </c>
      <c r="B2527" t="s">
        <v>3061</v>
      </c>
      <c r="C2527" t="s">
        <v>4919</v>
      </c>
      <c r="D2527" s="92">
        <v>0.33</v>
      </c>
      <c r="E2527" s="92">
        <v>0.34</v>
      </c>
      <c r="F2527" t="s">
        <v>446</v>
      </c>
      <c r="G2527" t="s">
        <v>446</v>
      </c>
      <c r="H2527" t="s">
        <v>4932</v>
      </c>
      <c r="I2527">
        <v>0</v>
      </c>
      <c r="J2527" t="s">
        <v>97</v>
      </c>
      <c r="K2527">
        <v>0</v>
      </c>
      <c r="L2527">
        <v>0</v>
      </c>
      <c r="M2527" t="s">
        <v>11</v>
      </c>
    </row>
    <row r="2528" spans="1:13">
      <c r="A2528" s="93">
        <v>210304</v>
      </c>
      <c r="B2528" t="s">
        <v>3062</v>
      </c>
      <c r="C2528" t="s">
        <v>4920</v>
      </c>
      <c r="D2528" s="92">
        <v>0.39</v>
      </c>
      <c r="E2528" s="92">
        <v>0.38</v>
      </c>
      <c r="F2528" t="s">
        <v>446</v>
      </c>
      <c r="G2528" t="s">
        <v>446</v>
      </c>
      <c r="H2528" t="s">
        <v>4930</v>
      </c>
      <c r="I2528">
        <v>0</v>
      </c>
      <c r="J2528" t="s">
        <v>97</v>
      </c>
      <c r="K2528">
        <v>0</v>
      </c>
      <c r="L2528">
        <v>0</v>
      </c>
      <c r="M2528" t="s">
        <v>11</v>
      </c>
    </row>
    <row r="2529" spans="1:13">
      <c r="A2529" s="93">
        <v>210331</v>
      </c>
      <c r="B2529" t="s">
        <v>3063</v>
      </c>
      <c r="C2529" t="s">
        <v>4920</v>
      </c>
      <c r="D2529" s="92">
        <v>0.6</v>
      </c>
      <c r="E2529" s="92">
        <v>0.5</v>
      </c>
      <c r="F2529">
        <v>1000</v>
      </c>
      <c r="G2529">
        <v>1080</v>
      </c>
      <c r="H2529" t="s">
        <v>4930</v>
      </c>
      <c r="I2529">
        <v>0</v>
      </c>
      <c r="J2529" t="s">
        <v>97</v>
      </c>
      <c r="K2529">
        <v>0</v>
      </c>
      <c r="L2529">
        <v>0</v>
      </c>
      <c r="M2529" t="s">
        <v>11</v>
      </c>
    </row>
    <row r="2530" spans="1:13">
      <c r="A2530" s="93">
        <v>210340</v>
      </c>
      <c r="B2530" t="s">
        <v>3064</v>
      </c>
      <c r="C2530" t="s">
        <v>4919</v>
      </c>
      <c r="D2530" s="92" t="s">
        <v>446</v>
      </c>
      <c r="E2530" s="92" t="s">
        <v>446</v>
      </c>
      <c r="F2530" t="s">
        <v>446</v>
      </c>
      <c r="G2530" t="s">
        <v>446</v>
      </c>
      <c r="H2530" t="s">
        <v>4929</v>
      </c>
      <c r="I2530">
        <v>1</v>
      </c>
      <c r="J2530" t="s">
        <v>97</v>
      </c>
      <c r="K2530">
        <v>0</v>
      </c>
      <c r="L2530">
        <v>0</v>
      </c>
      <c r="M2530" t="s">
        <v>11</v>
      </c>
    </row>
    <row r="2531" spans="1:13">
      <c r="A2531" s="93">
        <v>210368</v>
      </c>
      <c r="B2531" t="s">
        <v>3065</v>
      </c>
      <c r="C2531" t="s">
        <v>4924</v>
      </c>
      <c r="D2531" s="92" t="s">
        <v>446</v>
      </c>
      <c r="E2531" s="92" t="s">
        <v>446</v>
      </c>
      <c r="F2531" t="s">
        <v>446</v>
      </c>
      <c r="G2531" t="s">
        <v>446</v>
      </c>
      <c r="H2531" t="s">
        <v>4932</v>
      </c>
      <c r="I2531">
        <v>0</v>
      </c>
      <c r="J2531" t="s">
        <v>97</v>
      </c>
      <c r="K2531">
        <v>0</v>
      </c>
      <c r="L2531">
        <v>0</v>
      </c>
      <c r="M2531" t="s">
        <v>11</v>
      </c>
    </row>
    <row r="2532" spans="1:13">
      <c r="A2532" s="93">
        <v>210401</v>
      </c>
      <c r="B2532" t="s">
        <v>3066</v>
      </c>
      <c r="C2532" t="s">
        <v>4916</v>
      </c>
      <c r="D2532" s="92">
        <v>0.72</v>
      </c>
      <c r="E2532" s="92">
        <v>0.6899999999999999</v>
      </c>
      <c r="F2532" t="s">
        <v>446</v>
      </c>
      <c r="G2532" t="s">
        <v>446</v>
      </c>
      <c r="H2532" t="s">
        <v>4930</v>
      </c>
      <c r="I2532">
        <v>0</v>
      </c>
      <c r="J2532" t="s">
        <v>97</v>
      </c>
      <c r="K2532">
        <v>0</v>
      </c>
      <c r="L2532">
        <v>0</v>
      </c>
      <c r="M2532" t="s">
        <v>11</v>
      </c>
    </row>
    <row r="2533" spans="1:13">
      <c r="A2533" s="93">
        <v>210429</v>
      </c>
      <c r="B2533" t="s">
        <v>3067</v>
      </c>
      <c r="C2533" t="s">
        <v>4918</v>
      </c>
      <c r="D2533" s="92">
        <v>0.45</v>
      </c>
      <c r="E2533" s="92">
        <v>0.41</v>
      </c>
      <c r="F2533" t="s">
        <v>446</v>
      </c>
      <c r="G2533" t="s">
        <v>446</v>
      </c>
      <c r="H2533" t="s">
        <v>4932</v>
      </c>
      <c r="I2533">
        <v>0</v>
      </c>
      <c r="J2533" t="s">
        <v>97</v>
      </c>
      <c r="K2533">
        <v>0</v>
      </c>
      <c r="L2533">
        <v>0</v>
      </c>
      <c r="M2533" t="s">
        <v>11</v>
      </c>
    </row>
    <row r="2534" spans="1:13">
      <c r="A2534" s="93">
        <v>210438</v>
      </c>
      <c r="B2534" t="s">
        <v>3068</v>
      </c>
      <c r="C2534" t="s">
        <v>4924</v>
      </c>
      <c r="D2534" s="92" t="s">
        <v>446</v>
      </c>
      <c r="E2534" s="92" t="s">
        <v>446</v>
      </c>
      <c r="F2534" t="s">
        <v>446</v>
      </c>
      <c r="G2534" t="s">
        <v>446</v>
      </c>
      <c r="H2534" t="s">
        <v>4932</v>
      </c>
      <c r="I2534">
        <v>0</v>
      </c>
      <c r="J2534" t="s">
        <v>97</v>
      </c>
      <c r="K2534">
        <v>0</v>
      </c>
      <c r="L2534">
        <v>0</v>
      </c>
      <c r="M2534" t="s">
        <v>11</v>
      </c>
    </row>
    <row r="2535" spans="1:13">
      <c r="A2535" s="93">
        <v>210492</v>
      </c>
      <c r="B2535" t="s">
        <v>3069</v>
      </c>
      <c r="C2535" t="s">
        <v>4920</v>
      </c>
      <c r="D2535" s="92">
        <v>0.43</v>
      </c>
      <c r="E2535" s="92">
        <v>0.36</v>
      </c>
      <c r="F2535">
        <v>980</v>
      </c>
      <c r="G2535">
        <v>1135</v>
      </c>
      <c r="H2535" t="s">
        <v>4930</v>
      </c>
      <c r="I2535">
        <v>0</v>
      </c>
      <c r="J2535" t="s">
        <v>97</v>
      </c>
      <c r="K2535">
        <v>0</v>
      </c>
      <c r="L2535">
        <v>0</v>
      </c>
      <c r="M2535" t="s">
        <v>11</v>
      </c>
    </row>
    <row r="2536" spans="1:13">
      <c r="A2536" s="93">
        <v>210508</v>
      </c>
      <c r="B2536" t="s">
        <v>3070</v>
      </c>
      <c r="C2536" t="s">
        <v>4924</v>
      </c>
      <c r="D2536" s="92" t="s">
        <v>446</v>
      </c>
      <c r="E2536" s="92" t="s">
        <v>446</v>
      </c>
      <c r="F2536" t="s">
        <v>446</v>
      </c>
      <c r="G2536" t="s">
        <v>446</v>
      </c>
      <c r="H2536" t="s">
        <v>4932</v>
      </c>
      <c r="I2536">
        <v>0</v>
      </c>
      <c r="J2536" t="s">
        <v>97</v>
      </c>
      <c r="K2536">
        <v>0</v>
      </c>
      <c r="L2536">
        <v>0</v>
      </c>
      <c r="M2536" t="s">
        <v>11</v>
      </c>
    </row>
    <row r="2537" spans="1:13">
      <c r="A2537" s="93">
        <v>210571</v>
      </c>
      <c r="B2537" t="s">
        <v>3071</v>
      </c>
      <c r="C2537" t="s">
        <v>4920</v>
      </c>
      <c r="D2537" s="92">
        <v>0.55</v>
      </c>
      <c r="E2537" s="92">
        <v>0.46</v>
      </c>
      <c r="F2537" t="s">
        <v>446</v>
      </c>
      <c r="G2537" t="s">
        <v>446</v>
      </c>
      <c r="H2537" t="s">
        <v>4930</v>
      </c>
      <c r="I2537">
        <v>0</v>
      </c>
      <c r="J2537" t="s">
        <v>97</v>
      </c>
      <c r="K2537">
        <v>0</v>
      </c>
      <c r="L2537">
        <v>0</v>
      </c>
      <c r="M2537" t="s">
        <v>11</v>
      </c>
    </row>
    <row r="2538" spans="1:13">
      <c r="A2538" s="93">
        <v>210599</v>
      </c>
      <c r="B2538" t="s">
        <v>3072</v>
      </c>
      <c r="C2538" t="s">
        <v>4919</v>
      </c>
      <c r="D2538" s="92" t="s">
        <v>446</v>
      </c>
      <c r="E2538" s="92" t="s">
        <v>446</v>
      </c>
      <c r="F2538" t="s">
        <v>446</v>
      </c>
      <c r="G2538" t="s">
        <v>446</v>
      </c>
      <c r="H2538" t="s">
        <v>4930</v>
      </c>
      <c r="I2538">
        <v>0</v>
      </c>
      <c r="J2538" t="s">
        <v>97</v>
      </c>
      <c r="K2538">
        <v>0</v>
      </c>
      <c r="L2538">
        <v>0</v>
      </c>
      <c r="M2538" t="s">
        <v>11</v>
      </c>
    </row>
    <row r="2539" spans="1:13">
      <c r="A2539" s="93">
        <v>210605</v>
      </c>
      <c r="B2539" t="s">
        <v>3073</v>
      </c>
      <c r="C2539" t="s">
        <v>4919</v>
      </c>
      <c r="D2539" s="92">
        <v>0.27</v>
      </c>
      <c r="E2539" s="92">
        <v>0.17</v>
      </c>
      <c r="F2539" t="s">
        <v>446</v>
      </c>
      <c r="G2539" t="s">
        <v>446</v>
      </c>
      <c r="H2539" t="s">
        <v>4932</v>
      </c>
      <c r="I2539">
        <v>0</v>
      </c>
      <c r="J2539" t="s">
        <v>97</v>
      </c>
      <c r="K2539">
        <v>0</v>
      </c>
      <c r="L2539">
        <v>0</v>
      </c>
      <c r="M2539" t="s">
        <v>11</v>
      </c>
    </row>
    <row r="2540" spans="1:13">
      <c r="A2540" s="93">
        <v>210669</v>
      </c>
      <c r="B2540" t="s">
        <v>3074</v>
      </c>
      <c r="C2540" t="s">
        <v>4916</v>
      </c>
      <c r="D2540" s="92">
        <v>0.74</v>
      </c>
      <c r="E2540" s="92">
        <v>0.6899999999999999</v>
      </c>
      <c r="F2540">
        <v>1140</v>
      </c>
      <c r="G2540">
        <v>1245</v>
      </c>
      <c r="H2540" t="s">
        <v>4930</v>
      </c>
      <c r="I2540">
        <v>0</v>
      </c>
      <c r="J2540" t="s">
        <v>97</v>
      </c>
      <c r="K2540">
        <v>0</v>
      </c>
      <c r="L2540">
        <v>0</v>
      </c>
      <c r="M2540" t="s">
        <v>11</v>
      </c>
    </row>
    <row r="2541" spans="1:13">
      <c r="A2541" s="93">
        <v>210739</v>
      </c>
      <c r="B2541" t="s">
        <v>3075</v>
      </c>
      <c r="C2541" t="s">
        <v>4920</v>
      </c>
      <c r="D2541" s="92">
        <v>0.68</v>
      </c>
      <c r="E2541" s="92">
        <v>0.55</v>
      </c>
      <c r="F2541">
        <v>1080</v>
      </c>
      <c r="G2541">
        <v>1170</v>
      </c>
      <c r="H2541" t="s">
        <v>4930</v>
      </c>
      <c r="I2541">
        <v>0</v>
      </c>
      <c r="J2541" t="s">
        <v>97</v>
      </c>
      <c r="K2541">
        <v>0</v>
      </c>
      <c r="L2541">
        <v>0</v>
      </c>
      <c r="M2541" t="s">
        <v>11</v>
      </c>
    </row>
    <row r="2542" spans="1:13">
      <c r="A2542" s="93">
        <v>210775</v>
      </c>
      <c r="B2542" t="s">
        <v>3076</v>
      </c>
      <c r="C2542" t="s">
        <v>4920</v>
      </c>
      <c r="D2542" s="92">
        <v>0.63</v>
      </c>
      <c r="E2542" s="92">
        <v>0.42</v>
      </c>
      <c r="F2542" t="s">
        <v>446</v>
      </c>
      <c r="G2542" t="s">
        <v>446</v>
      </c>
      <c r="H2542" t="s">
        <v>4930</v>
      </c>
      <c r="I2542">
        <v>0</v>
      </c>
      <c r="J2542" t="s">
        <v>97</v>
      </c>
      <c r="K2542">
        <v>0</v>
      </c>
      <c r="L2542">
        <v>0</v>
      </c>
      <c r="M2542" t="s">
        <v>11</v>
      </c>
    </row>
    <row r="2543" spans="1:13">
      <c r="A2543" s="93">
        <v>210809</v>
      </c>
      <c r="B2543" t="s">
        <v>3077</v>
      </c>
      <c r="C2543" t="s">
        <v>4924</v>
      </c>
      <c r="D2543" s="92" t="s">
        <v>446</v>
      </c>
      <c r="E2543" s="92" t="s">
        <v>446</v>
      </c>
      <c r="F2543" t="s">
        <v>446</v>
      </c>
      <c r="G2543" t="s">
        <v>446</v>
      </c>
      <c r="H2543" t="s">
        <v>4932</v>
      </c>
      <c r="I2543">
        <v>0</v>
      </c>
      <c r="J2543" t="s">
        <v>97</v>
      </c>
      <c r="K2543">
        <v>0</v>
      </c>
      <c r="L2543">
        <v>0</v>
      </c>
      <c r="M2543" t="s">
        <v>11</v>
      </c>
    </row>
    <row r="2544" spans="1:13">
      <c r="A2544" s="93">
        <v>211006</v>
      </c>
      <c r="B2544" t="s">
        <v>3078</v>
      </c>
      <c r="C2544" t="s">
        <v>4919</v>
      </c>
      <c r="D2544" s="92" t="s">
        <v>446</v>
      </c>
      <c r="E2544" s="92" t="s">
        <v>446</v>
      </c>
      <c r="F2544" t="s">
        <v>446</v>
      </c>
      <c r="G2544" t="s">
        <v>446</v>
      </c>
      <c r="H2544" t="s">
        <v>4931</v>
      </c>
      <c r="I2544">
        <v>0</v>
      </c>
      <c r="J2544" t="s">
        <v>97</v>
      </c>
      <c r="K2544">
        <v>0</v>
      </c>
      <c r="L2544">
        <v>0</v>
      </c>
      <c r="M2544" t="s">
        <v>11</v>
      </c>
    </row>
    <row r="2545" spans="1:13">
      <c r="A2545" s="93">
        <v>211024</v>
      </c>
      <c r="B2545" t="s">
        <v>3079</v>
      </c>
      <c r="C2545" t="s">
        <v>4924</v>
      </c>
      <c r="D2545" s="92">
        <v>0.63</v>
      </c>
      <c r="E2545" s="92">
        <v>0.36</v>
      </c>
      <c r="F2545" t="s">
        <v>446</v>
      </c>
      <c r="G2545" t="s">
        <v>446</v>
      </c>
      <c r="H2545" t="s">
        <v>4930</v>
      </c>
      <c r="I2545">
        <v>0</v>
      </c>
      <c r="J2545" t="s">
        <v>97</v>
      </c>
      <c r="K2545">
        <v>0</v>
      </c>
      <c r="L2545">
        <v>0</v>
      </c>
      <c r="M2545" t="s">
        <v>11</v>
      </c>
    </row>
    <row r="2546" spans="1:13">
      <c r="A2546" s="93">
        <v>211088</v>
      </c>
      <c r="B2546" t="s">
        <v>3080</v>
      </c>
      <c r="C2546" t="s">
        <v>4920</v>
      </c>
      <c r="D2546" s="92">
        <v>0.64</v>
      </c>
      <c r="E2546" s="92">
        <v>0.55</v>
      </c>
      <c r="F2546">
        <v>1080</v>
      </c>
      <c r="G2546">
        <v>1180</v>
      </c>
      <c r="H2546" t="s">
        <v>4930</v>
      </c>
      <c r="I2546">
        <v>0</v>
      </c>
      <c r="J2546" t="s">
        <v>97</v>
      </c>
      <c r="K2546">
        <v>0</v>
      </c>
      <c r="L2546">
        <v>0</v>
      </c>
      <c r="M2546" t="s">
        <v>11</v>
      </c>
    </row>
    <row r="2547" spans="1:13">
      <c r="A2547" s="93">
        <v>211130</v>
      </c>
      <c r="B2547" t="s">
        <v>3081</v>
      </c>
      <c r="C2547" t="s">
        <v>4924</v>
      </c>
      <c r="D2547" s="92" t="s">
        <v>446</v>
      </c>
      <c r="E2547" s="92" t="s">
        <v>446</v>
      </c>
      <c r="F2547" t="s">
        <v>446</v>
      </c>
      <c r="G2547" t="s">
        <v>446</v>
      </c>
      <c r="H2547" t="s">
        <v>4932</v>
      </c>
      <c r="I2547">
        <v>0</v>
      </c>
      <c r="J2547" t="s">
        <v>97</v>
      </c>
      <c r="K2547">
        <v>0</v>
      </c>
      <c r="L2547">
        <v>0</v>
      </c>
      <c r="M2547" t="s">
        <v>11</v>
      </c>
    </row>
    <row r="2548" spans="1:13">
      <c r="A2548" s="93">
        <v>211158</v>
      </c>
      <c r="B2548" t="s">
        <v>3082</v>
      </c>
      <c r="C2548" t="s">
        <v>4918</v>
      </c>
      <c r="D2548" s="92">
        <v>0.59</v>
      </c>
      <c r="E2548" s="92">
        <v>0.42</v>
      </c>
      <c r="F2548" t="s">
        <v>446</v>
      </c>
      <c r="G2548" t="s">
        <v>446</v>
      </c>
      <c r="H2548" t="s">
        <v>4932</v>
      </c>
      <c r="I2548">
        <v>0</v>
      </c>
      <c r="J2548" t="s">
        <v>97</v>
      </c>
      <c r="K2548">
        <v>0</v>
      </c>
      <c r="L2548">
        <v>0</v>
      </c>
      <c r="M2548" t="s">
        <v>11</v>
      </c>
    </row>
    <row r="2549" spans="1:13">
      <c r="A2549" s="93">
        <v>211273</v>
      </c>
      <c r="B2549" t="s">
        <v>3083</v>
      </c>
      <c r="C2549" t="s">
        <v>4922</v>
      </c>
      <c r="D2549" s="92">
        <v>0.85</v>
      </c>
      <c r="E2549" s="92">
        <v>0.88</v>
      </c>
      <c r="F2549" t="s">
        <v>446</v>
      </c>
      <c r="G2549" t="s">
        <v>446</v>
      </c>
      <c r="H2549" t="s">
        <v>4931</v>
      </c>
      <c r="I2549">
        <v>0</v>
      </c>
      <c r="J2549" t="s">
        <v>97</v>
      </c>
      <c r="K2549">
        <v>0</v>
      </c>
      <c r="L2549">
        <v>0</v>
      </c>
      <c r="M2549" t="s">
        <v>11</v>
      </c>
    </row>
    <row r="2550" spans="1:13">
      <c r="A2550" s="93">
        <v>211291</v>
      </c>
      <c r="B2550" t="s">
        <v>553</v>
      </c>
      <c r="C2550" t="s">
        <v>4922</v>
      </c>
      <c r="D2550" s="92">
        <v>0.88</v>
      </c>
      <c r="E2550" s="92">
        <v>0.9</v>
      </c>
      <c r="F2550">
        <v>1300</v>
      </c>
      <c r="G2550">
        <v>1375</v>
      </c>
      <c r="H2550" t="s">
        <v>4930</v>
      </c>
      <c r="I2550">
        <v>0</v>
      </c>
      <c r="J2550" t="s">
        <v>97</v>
      </c>
      <c r="K2550">
        <v>0</v>
      </c>
      <c r="L2550">
        <v>0</v>
      </c>
      <c r="M2550" t="s">
        <v>11</v>
      </c>
    </row>
    <row r="2551" spans="1:13">
      <c r="A2551" s="93">
        <v>211307</v>
      </c>
      <c r="B2551" t="s">
        <v>3084</v>
      </c>
      <c r="C2551" t="s">
        <v>4919</v>
      </c>
      <c r="D2551" s="92">
        <v>0.39</v>
      </c>
      <c r="E2551" s="92">
        <v>0.27</v>
      </c>
      <c r="F2551" t="s">
        <v>446</v>
      </c>
      <c r="G2551" t="s">
        <v>446</v>
      </c>
      <c r="H2551" t="s">
        <v>4932</v>
      </c>
      <c r="I2551">
        <v>0</v>
      </c>
      <c r="J2551" t="s">
        <v>97</v>
      </c>
      <c r="K2551">
        <v>0</v>
      </c>
      <c r="L2551">
        <v>0</v>
      </c>
      <c r="M2551" t="s">
        <v>11</v>
      </c>
    </row>
    <row r="2552" spans="1:13">
      <c r="A2552" s="93">
        <v>211343</v>
      </c>
      <c r="B2552" t="s">
        <v>3085</v>
      </c>
      <c r="C2552" t="s">
        <v>4919</v>
      </c>
      <c r="D2552" s="92">
        <v>0.41</v>
      </c>
      <c r="E2552" s="92">
        <v>0.23</v>
      </c>
      <c r="F2552" t="s">
        <v>446</v>
      </c>
      <c r="G2552" t="s">
        <v>446</v>
      </c>
      <c r="H2552" t="s">
        <v>4932</v>
      </c>
      <c r="I2552">
        <v>0</v>
      </c>
      <c r="J2552" t="s">
        <v>97</v>
      </c>
      <c r="K2552">
        <v>0</v>
      </c>
      <c r="L2552">
        <v>0</v>
      </c>
      <c r="M2552" t="s">
        <v>11</v>
      </c>
    </row>
    <row r="2553" spans="1:13">
      <c r="A2553" s="93">
        <v>211352</v>
      </c>
      <c r="B2553" t="s">
        <v>3086</v>
      </c>
      <c r="C2553" t="s">
        <v>4918</v>
      </c>
      <c r="D2553" s="92">
        <v>0.54</v>
      </c>
      <c r="E2553" s="92">
        <v>0.42</v>
      </c>
      <c r="F2553">
        <v>1000</v>
      </c>
      <c r="G2553">
        <v>1110</v>
      </c>
      <c r="H2553" t="s">
        <v>4931</v>
      </c>
      <c r="I2553">
        <v>0</v>
      </c>
      <c r="J2553" t="s">
        <v>97</v>
      </c>
      <c r="K2553">
        <v>0</v>
      </c>
      <c r="L2553">
        <v>0</v>
      </c>
      <c r="M2553" t="s">
        <v>11</v>
      </c>
    </row>
    <row r="2554" spans="1:13">
      <c r="A2554" s="93">
        <v>211431</v>
      </c>
      <c r="B2554" t="s">
        <v>3087</v>
      </c>
      <c r="C2554" t="s">
        <v>4918</v>
      </c>
      <c r="D2554" s="92">
        <v>0.5600000000000001</v>
      </c>
      <c r="E2554" s="92">
        <v>0.33</v>
      </c>
      <c r="F2554">
        <v>960</v>
      </c>
      <c r="G2554">
        <v>1050</v>
      </c>
      <c r="H2554" t="s">
        <v>4930</v>
      </c>
      <c r="I2554">
        <v>0</v>
      </c>
      <c r="J2554" t="s">
        <v>97</v>
      </c>
      <c r="K2554">
        <v>0</v>
      </c>
      <c r="L2554">
        <v>0</v>
      </c>
      <c r="M2554" t="s">
        <v>11</v>
      </c>
    </row>
    <row r="2555" spans="1:13">
      <c r="A2555" s="93">
        <v>211468</v>
      </c>
      <c r="B2555" t="s">
        <v>3088</v>
      </c>
      <c r="C2555" t="s">
        <v>4920</v>
      </c>
      <c r="D2555" s="92">
        <v>0.59</v>
      </c>
      <c r="E2555" s="92">
        <v>0.51</v>
      </c>
      <c r="F2555">
        <v>1020</v>
      </c>
      <c r="G2555">
        <v>1115</v>
      </c>
      <c r="H2555" t="s">
        <v>4930</v>
      </c>
      <c r="I2555">
        <v>0</v>
      </c>
      <c r="J2555" t="s">
        <v>97</v>
      </c>
      <c r="K2555">
        <v>0</v>
      </c>
      <c r="L2555">
        <v>0</v>
      </c>
      <c r="M2555" t="s">
        <v>11</v>
      </c>
    </row>
    <row r="2556" spans="1:13">
      <c r="A2556" s="93">
        <v>211477</v>
      </c>
      <c r="B2556" t="s">
        <v>3089</v>
      </c>
      <c r="C2556" t="s">
        <v>4924</v>
      </c>
      <c r="D2556" s="92">
        <v>0.38</v>
      </c>
      <c r="E2556" s="92">
        <v>0.28</v>
      </c>
      <c r="F2556" t="s">
        <v>446</v>
      </c>
      <c r="G2556" t="s">
        <v>446</v>
      </c>
      <c r="H2556" t="s">
        <v>4930</v>
      </c>
      <c r="I2556">
        <v>0</v>
      </c>
      <c r="J2556" t="s">
        <v>97</v>
      </c>
      <c r="K2556">
        <v>0</v>
      </c>
      <c r="L2556">
        <v>0</v>
      </c>
      <c r="M2556" t="s">
        <v>11</v>
      </c>
    </row>
    <row r="2557" spans="1:13">
      <c r="A2557" s="93">
        <v>211556</v>
      </c>
      <c r="B2557" t="s">
        <v>3090</v>
      </c>
      <c r="C2557" t="s">
        <v>4920</v>
      </c>
      <c r="D2557" s="92">
        <v>0.64</v>
      </c>
      <c r="E2557" s="92">
        <v>0.4</v>
      </c>
      <c r="F2557" t="s">
        <v>446</v>
      </c>
      <c r="G2557" t="s">
        <v>446</v>
      </c>
      <c r="H2557" t="s">
        <v>4930</v>
      </c>
      <c r="I2557">
        <v>0</v>
      </c>
      <c r="J2557" t="s">
        <v>97</v>
      </c>
      <c r="K2557">
        <v>0</v>
      </c>
      <c r="L2557">
        <v>0</v>
      </c>
      <c r="M2557" t="s">
        <v>11</v>
      </c>
    </row>
    <row r="2558" spans="1:13">
      <c r="A2558" s="93">
        <v>211583</v>
      </c>
      <c r="B2558" t="s">
        <v>3091</v>
      </c>
      <c r="C2558" t="s">
        <v>4920</v>
      </c>
      <c r="D2558" s="92">
        <v>0.57</v>
      </c>
      <c r="E2558" s="92">
        <v>0.49</v>
      </c>
      <c r="F2558">
        <v>900</v>
      </c>
      <c r="G2558">
        <v>995</v>
      </c>
      <c r="H2558" t="s">
        <v>4930</v>
      </c>
      <c r="I2558">
        <v>0</v>
      </c>
      <c r="J2558" t="s">
        <v>97</v>
      </c>
      <c r="K2558">
        <v>0</v>
      </c>
      <c r="L2558">
        <v>0</v>
      </c>
      <c r="M2558" t="s">
        <v>11</v>
      </c>
    </row>
    <row r="2559" spans="1:13">
      <c r="A2559" s="93">
        <v>211608</v>
      </c>
      <c r="B2559" t="s">
        <v>3092</v>
      </c>
      <c r="C2559" t="s">
        <v>4918</v>
      </c>
      <c r="D2559" s="92">
        <v>0.29</v>
      </c>
      <c r="E2559" s="92">
        <v>0.29</v>
      </c>
      <c r="F2559" t="s">
        <v>446</v>
      </c>
      <c r="G2559" t="s">
        <v>446</v>
      </c>
      <c r="H2559" t="s">
        <v>4930</v>
      </c>
      <c r="I2559">
        <v>0</v>
      </c>
      <c r="J2559" t="s">
        <v>153</v>
      </c>
      <c r="K2559">
        <v>0</v>
      </c>
      <c r="L2559">
        <v>0</v>
      </c>
      <c r="M2559" t="s">
        <v>11</v>
      </c>
    </row>
    <row r="2560" spans="1:13">
      <c r="A2560" s="93">
        <v>211635</v>
      </c>
      <c r="B2560" t="s">
        <v>3093</v>
      </c>
      <c r="C2560" t="s">
        <v>4925</v>
      </c>
      <c r="D2560" s="92" t="s">
        <v>446</v>
      </c>
      <c r="E2560" s="92" t="s">
        <v>446</v>
      </c>
      <c r="F2560" t="s">
        <v>446</v>
      </c>
      <c r="G2560" t="s">
        <v>446</v>
      </c>
      <c r="H2560" t="s">
        <v>4930</v>
      </c>
      <c r="I2560">
        <v>0</v>
      </c>
      <c r="J2560" t="s">
        <v>97</v>
      </c>
      <c r="K2560">
        <v>0</v>
      </c>
      <c r="L2560">
        <v>0</v>
      </c>
      <c r="M2560" t="s">
        <v>11</v>
      </c>
    </row>
    <row r="2561" spans="1:13">
      <c r="A2561" s="93">
        <v>211644</v>
      </c>
      <c r="B2561" t="s">
        <v>3094</v>
      </c>
      <c r="C2561" t="s">
        <v>4918</v>
      </c>
      <c r="D2561" s="92">
        <v>0.5600000000000001</v>
      </c>
      <c r="E2561" s="92">
        <v>0.34</v>
      </c>
      <c r="F2561" t="s">
        <v>446</v>
      </c>
      <c r="G2561" t="s">
        <v>446</v>
      </c>
      <c r="H2561" t="s">
        <v>4932</v>
      </c>
      <c r="I2561">
        <v>0</v>
      </c>
      <c r="J2561" t="s">
        <v>97</v>
      </c>
      <c r="K2561">
        <v>0</v>
      </c>
      <c r="L2561">
        <v>0</v>
      </c>
      <c r="M2561" t="s">
        <v>11</v>
      </c>
    </row>
    <row r="2562" spans="1:13">
      <c r="A2562" s="93">
        <v>211802</v>
      </c>
      <c r="B2562" t="s">
        <v>3095</v>
      </c>
      <c r="C2562" t="s">
        <v>4925</v>
      </c>
      <c r="D2562" s="92" t="s">
        <v>446</v>
      </c>
      <c r="E2562" s="92" t="s">
        <v>446</v>
      </c>
      <c r="F2562" t="s">
        <v>446</v>
      </c>
      <c r="G2562" t="s">
        <v>446</v>
      </c>
      <c r="H2562" t="s">
        <v>4930</v>
      </c>
      <c r="I2562">
        <v>0</v>
      </c>
      <c r="J2562" t="s">
        <v>97</v>
      </c>
      <c r="K2562">
        <v>0</v>
      </c>
      <c r="L2562">
        <v>0</v>
      </c>
      <c r="M2562" t="s">
        <v>11</v>
      </c>
    </row>
    <row r="2563" spans="1:13">
      <c r="A2563" s="93">
        <v>211893</v>
      </c>
      <c r="B2563" t="s">
        <v>3096</v>
      </c>
      <c r="C2563" t="s">
        <v>4926</v>
      </c>
      <c r="D2563" s="92">
        <v>0.91</v>
      </c>
      <c r="E2563" s="92">
        <v>0.75</v>
      </c>
      <c r="F2563" t="s">
        <v>446</v>
      </c>
      <c r="G2563" t="s">
        <v>446</v>
      </c>
      <c r="H2563" t="s">
        <v>4932</v>
      </c>
      <c r="I2563">
        <v>0</v>
      </c>
      <c r="J2563" t="s">
        <v>97</v>
      </c>
      <c r="K2563">
        <v>0</v>
      </c>
      <c r="L2563">
        <v>0</v>
      </c>
      <c r="M2563" t="s">
        <v>11</v>
      </c>
    </row>
    <row r="2564" spans="1:13">
      <c r="A2564" s="93">
        <v>211927</v>
      </c>
      <c r="B2564" t="s">
        <v>3097</v>
      </c>
      <c r="C2564" t="s">
        <v>4919</v>
      </c>
      <c r="D2564" s="92">
        <v>0.34</v>
      </c>
      <c r="E2564" s="92">
        <v>0.29</v>
      </c>
      <c r="F2564" t="s">
        <v>446</v>
      </c>
      <c r="G2564" t="s">
        <v>446</v>
      </c>
      <c r="H2564" t="s">
        <v>4932</v>
      </c>
      <c r="I2564">
        <v>0</v>
      </c>
      <c r="J2564" t="s">
        <v>97</v>
      </c>
      <c r="K2564">
        <v>0</v>
      </c>
      <c r="L2564">
        <v>0</v>
      </c>
      <c r="M2564" t="s">
        <v>11</v>
      </c>
    </row>
    <row r="2565" spans="1:13">
      <c r="A2565" s="93">
        <v>211981</v>
      </c>
      <c r="B2565" t="s">
        <v>3098</v>
      </c>
      <c r="C2565" t="s">
        <v>4920</v>
      </c>
      <c r="D2565" s="92">
        <v>0.5600000000000001</v>
      </c>
      <c r="E2565" s="92">
        <v>0.35</v>
      </c>
      <c r="F2565">
        <v>1050</v>
      </c>
      <c r="G2565">
        <v>1150</v>
      </c>
      <c r="H2565" t="s">
        <v>4930</v>
      </c>
      <c r="I2565">
        <v>0</v>
      </c>
      <c r="J2565" t="s">
        <v>97</v>
      </c>
      <c r="K2565">
        <v>0</v>
      </c>
      <c r="L2565">
        <v>0</v>
      </c>
      <c r="M2565" t="s">
        <v>11</v>
      </c>
    </row>
    <row r="2566" spans="1:13">
      <c r="A2566" s="93">
        <v>212009</v>
      </c>
      <c r="B2566" t="s">
        <v>485</v>
      </c>
      <c r="C2566" t="s">
        <v>4922</v>
      </c>
      <c r="D2566" s="92">
        <v>0.82</v>
      </c>
      <c r="E2566" s="92">
        <v>0.8</v>
      </c>
      <c r="F2566" t="s">
        <v>446</v>
      </c>
      <c r="G2566" t="s">
        <v>446</v>
      </c>
      <c r="H2566" t="s">
        <v>4927</v>
      </c>
      <c r="I2566">
        <v>1</v>
      </c>
      <c r="J2566" t="s">
        <v>97</v>
      </c>
      <c r="K2566">
        <v>0</v>
      </c>
      <c r="L2566">
        <v>0</v>
      </c>
      <c r="M2566" t="s">
        <v>11</v>
      </c>
    </row>
    <row r="2567" spans="1:13">
      <c r="A2567" s="93">
        <v>212045</v>
      </c>
      <c r="B2567" t="s">
        <v>3099</v>
      </c>
      <c r="C2567" t="s">
        <v>4919</v>
      </c>
      <c r="D2567" s="92" t="s">
        <v>446</v>
      </c>
      <c r="E2567" s="92" t="s">
        <v>446</v>
      </c>
      <c r="F2567" t="s">
        <v>446</v>
      </c>
      <c r="G2567" t="s">
        <v>446</v>
      </c>
      <c r="H2567" t="s">
        <v>4930</v>
      </c>
      <c r="I2567">
        <v>0</v>
      </c>
      <c r="J2567" t="s">
        <v>97</v>
      </c>
      <c r="K2567">
        <v>0</v>
      </c>
      <c r="L2567">
        <v>0</v>
      </c>
      <c r="M2567" t="s">
        <v>11</v>
      </c>
    </row>
    <row r="2568" spans="1:13">
      <c r="A2568" s="93">
        <v>212054</v>
      </c>
      <c r="B2568" t="s">
        <v>3100</v>
      </c>
      <c r="C2568" t="s">
        <v>4916</v>
      </c>
      <c r="D2568" s="92">
        <v>0.78</v>
      </c>
      <c r="E2568" s="92">
        <v>0.67</v>
      </c>
      <c r="F2568">
        <v>1210</v>
      </c>
      <c r="G2568">
        <v>1310</v>
      </c>
      <c r="H2568" t="s">
        <v>4931</v>
      </c>
      <c r="I2568">
        <v>0</v>
      </c>
      <c r="J2568" t="s">
        <v>97</v>
      </c>
      <c r="K2568">
        <v>0</v>
      </c>
      <c r="L2568">
        <v>0</v>
      </c>
      <c r="M2568" t="s">
        <v>11</v>
      </c>
    </row>
    <row r="2569" spans="1:13">
      <c r="A2569" s="93">
        <v>212106</v>
      </c>
      <c r="B2569" t="s">
        <v>3101</v>
      </c>
      <c r="C2569" t="s">
        <v>4916</v>
      </c>
      <c r="D2569" s="92">
        <v>0.77</v>
      </c>
      <c r="E2569" s="92">
        <v>0.6899999999999999</v>
      </c>
      <c r="F2569">
        <v>1140</v>
      </c>
      <c r="G2569">
        <v>1225</v>
      </c>
      <c r="H2569" t="s">
        <v>4930</v>
      </c>
      <c r="I2569">
        <v>0</v>
      </c>
      <c r="J2569" t="s">
        <v>97</v>
      </c>
      <c r="K2569">
        <v>0</v>
      </c>
      <c r="L2569">
        <v>0</v>
      </c>
      <c r="M2569" t="s">
        <v>11</v>
      </c>
    </row>
    <row r="2570" spans="1:13">
      <c r="A2570" s="93">
        <v>212115</v>
      </c>
      <c r="B2570" t="s">
        <v>3102</v>
      </c>
      <c r="C2570" t="s">
        <v>4920</v>
      </c>
      <c r="D2570" s="92">
        <v>0.49</v>
      </c>
      <c r="E2570" s="92">
        <v>0.36</v>
      </c>
      <c r="F2570">
        <v>960</v>
      </c>
      <c r="G2570">
        <v>1055</v>
      </c>
      <c r="H2570" t="s">
        <v>4932</v>
      </c>
      <c r="I2570">
        <v>0</v>
      </c>
      <c r="J2570" t="s">
        <v>97</v>
      </c>
      <c r="K2570">
        <v>0</v>
      </c>
      <c r="L2570">
        <v>0</v>
      </c>
      <c r="M2570" t="s">
        <v>11</v>
      </c>
    </row>
    <row r="2571" spans="1:13">
      <c r="A2571" s="93">
        <v>212133</v>
      </c>
      <c r="B2571" t="s">
        <v>3103</v>
      </c>
      <c r="C2571" t="s">
        <v>4920</v>
      </c>
      <c r="D2571" s="92">
        <v>0.61</v>
      </c>
      <c r="E2571" s="92">
        <v>0.46</v>
      </c>
      <c r="F2571" t="s">
        <v>446</v>
      </c>
      <c r="G2571" t="s">
        <v>446</v>
      </c>
      <c r="H2571" t="s">
        <v>4930</v>
      </c>
      <c r="I2571">
        <v>0</v>
      </c>
      <c r="J2571" t="s">
        <v>97</v>
      </c>
      <c r="K2571">
        <v>0</v>
      </c>
      <c r="L2571">
        <v>0</v>
      </c>
      <c r="M2571" t="s">
        <v>11</v>
      </c>
    </row>
    <row r="2572" spans="1:13">
      <c r="A2572" s="93">
        <v>212160</v>
      </c>
      <c r="B2572" t="s">
        <v>3104</v>
      </c>
      <c r="C2572" t="s">
        <v>4918</v>
      </c>
      <c r="D2572" s="92">
        <v>0.5</v>
      </c>
      <c r="E2572" s="92">
        <v>0.33</v>
      </c>
      <c r="F2572">
        <v>970</v>
      </c>
      <c r="G2572">
        <v>1070</v>
      </c>
      <c r="H2572" t="s">
        <v>4932</v>
      </c>
      <c r="I2572">
        <v>0</v>
      </c>
      <c r="J2572" t="s">
        <v>97</v>
      </c>
      <c r="K2572">
        <v>0</v>
      </c>
      <c r="L2572">
        <v>0</v>
      </c>
      <c r="M2572" t="s">
        <v>11</v>
      </c>
    </row>
    <row r="2573" spans="1:13">
      <c r="A2573" s="93">
        <v>212197</v>
      </c>
      <c r="B2573" t="s">
        <v>3105</v>
      </c>
      <c r="C2573" t="s">
        <v>4920</v>
      </c>
      <c r="D2573" s="92">
        <v>0.72</v>
      </c>
      <c r="E2573" s="92">
        <v>0.54</v>
      </c>
      <c r="F2573">
        <v>1070</v>
      </c>
      <c r="G2573">
        <v>1175</v>
      </c>
      <c r="H2573" t="s">
        <v>4930</v>
      </c>
      <c r="I2573">
        <v>0</v>
      </c>
      <c r="J2573" t="s">
        <v>97</v>
      </c>
      <c r="K2573">
        <v>0</v>
      </c>
      <c r="L2573">
        <v>0</v>
      </c>
      <c r="M2573" t="s">
        <v>11</v>
      </c>
    </row>
    <row r="2574" spans="1:13">
      <c r="A2574" s="93">
        <v>212434</v>
      </c>
      <c r="B2574" t="s">
        <v>3106</v>
      </c>
      <c r="C2574" t="s">
        <v>4919</v>
      </c>
      <c r="D2574" s="92" t="s">
        <v>446</v>
      </c>
      <c r="E2574" s="92" t="s">
        <v>446</v>
      </c>
      <c r="F2574" t="s">
        <v>446</v>
      </c>
      <c r="G2574" t="s">
        <v>446</v>
      </c>
      <c r="H2574" t="s">
        <v>4930</v>
      </c>
      <c r="I2574">
        <v>0</v>
      </c>
      <c r="J2574" t="s">
        <v>97</v>
      </c>
      <c r="K2574">
        <v>0</v>
      </c>
      <c r="L2574">
        <v>0</v>
      </c>
      <c r="M2574" t="s">
        <v>11</v>
      </c>
    </row>
    <row r="2575" spans="1:13">
      <c r="A2575" s="93">
        <v>212443</v>
      </c>
      <c r="B2575" t="s">
        <v>3107</v>
      </c>
      <c r="C2575" t="s">
        <v>4924</v>
      </c>
      <c r="D2575" s="92" t="s">
        <v>446</v>
      </c>
      <c r="E2575" s="92" t="s">
        <v>446</v>
      </c>
      <c r="F2575" t="s">
        <v>446</v>
      </c>
      <c r="G2575" t="s">
        <v>446</v>
      </c>
      <c r="H2575" t="s">
        <v>4932</v>
      </c>
      <c r="I2575">
        <v>0</v>
      </c>
      <c r="J2575" t="s">
        <v>97</v>
      </c>
      <c r="K2575">
        <v>0</v>
      </c>
      <c r="L2575">
        <v>0</v>
      </c>
      <c r="M2575" t="s">
        <v>11</v>
      </c>
    </row>
    <row r="2576" spans="1:13">
      <c r="A2576" s="93">
        <v>212577</v>
      </c>
      <c r="B2576" t="s">
        <v>3108</v>
      </c>
      <c r="C2576" t="s">
        <v>4917</v>
      </c>
      <c r="D2576" s="92">
        <v>0.84</v>
      </c>
      <c r="E2576" s="92">
        <v>0.84</v>
      </c>
      <c r="F2576" t="s">
        <v>446</v>
      </c>
      <c r="G2576" t="s">
        <v>446</v>
      </c>
      <c r="H2576" t="s">
        <v>4931</v>
      </c>
      <c r="I2576">
        <v>0</v>
      </c>
      <c r="J2576" t="s">
        <v>97</v>
      </c>
      <c r="K2576">
        <v>0</v>
      </c>
      <c r="L2576">
        <v>0</v>
      </c>
      <c r="M2576" t="s">
        <v>11</v>
      </c>
    </row>
    <row r="2577" spans="1:13">
      <c r="A2577" s="93">
        <v>212601</v>
      </c>
      <c r="B2577" t="s">
        <v>3109</v>
      </c>
      <c r="C2577" t="s">
        <v>4920</v>
      </c>
      <c r="D2577" s="92">
        <v>0.67</v>
      </c>
      <c r="E2577" s="92">
        <v>0.45</v>
      </c>
      <c r="F2577">
        <v>990</v>
      </c>
      <c r="G2577">
        <v>1120</v>
      </c>
      <c r="H2577" t="s">
        <v>4930</v>
      </c>
      <c r="I2577">
        <v>0</v>
      </c>
      <c r="J2577" t="s">
        <v>97</v>
      </c>
      <c r="K2577">
        <v>0</v>
      </c>
      <c r="L2577">
        <v>0</v>
      </c>
      <c r="M2577" t="s">
        <v>11</v>
      </c>
    </row>
    <row r="2578" spans="1:13">
      <c r="A2578" s="93">
        <v>212656</v>
      </c>
      <c r="B2578" t="s">
        <v>3110</v>
      </c>
      <c r="C2578" t="s">
        <v>4920</v>
      </c>
      <c r="D2578" s="92">
        <v>0.71</v>
      </c>
      <c r="E2578" s="92">
        <v>0.38</v>
      </c>
      <c r="F2578" t="s">
        <v>446</v>
      </c>
      <c r="G2578" t="s">
        <v>446</v>
      </c>
      <c r="H2578" t="s">
        <v>4930</v>
      </c>
      <c r="I2578">
        <v>0</v>
      </c>
      <c r="J2578" t="s">
        <v>97</v>
      </c>
      <c r="K2578">
        <v>0</v>
      </c>
      <c r="L2578">
        <v>0</v>
      </c>
      <c r="M2578" t="s">
        <v>11</v>
      </c>
    </row>
    <row r="2579" spans="1:13">
      <c r="A2579" s="93">
        <v>212771</v>
      </c>
      <c r="B2579" t="s">
        <v>3111</v>
      </c>
      <c r="C2579" t="s">
        <v>4924</v>
      </c>
      <c r="D2579" s="92" t="s">
        <v>446</v>
      </c>
      <c r="E2579" s="92" t="s">
        <v>446</v>
      </c>
      <c r="F2579" t="s">
        <v>446</v>
      </c>
      <c r="G2579" t="s">
        <v>446</v>
      </c>
      <c r="H2579" t="s">
        <v>4932</v>
      </c>
      <c r="I2579">
        <v>0</v>
      </c>
      <c r="J2579" t="s">
        <v>97</v>
      </c>
      <c r="K2579">
        <v>0</v>
      </c>
      <c r="L2579">
        <v>0</v>
      </c>
      <c r="M2579" t="s">
        <v>11</v>
      </c>
    </row>
    <row r="2580" spans="1:13">
      <c r="A2580" s="93">
        <v>212805</v>
      </c>
      <c r="B2580" t="s">
        <v>3112</v>
      </c>
      <c r="C2580" t="s">
        <v>4916</v>
      </c>
      <c r="D2580" s="92">
        <v>0.85</v>
      </c>
      <c r="E2580" s="92">
        <v>0.71</v>
      </c>
      <c r="F2580">
        <v>1130</v>
      </c>
      <c r="G2580">
        <v>1255</v>
      </c>
      <c r="H2580" t="s">
        <v>4932</v>
      </c>
      <c r="I2580">
        <v>0</v>
      </c>
      <c r="J2580" t="s">
        <v>97</v>
      </c>
      <c r="K2580">
        <v>0</v>
      </c>
      <c r="L2580">
        <v>0</v>
      </c>
      <c r="M2580" t="s">
        <v>11</v>
      </c>
    </row>
    <row r="2581" spans="1:13">
      <c r="A2581" s="93">
        <v>212832</v>
      </c>
      <c r="B2581" t="s">
        <v>3113</v>
      </c>
      <c r="C2581" t="s">
        <v>4918</v>
      </c>
      <c r="D2581" s="92">
        <v>0.64</v>
      </c>
      <c r="E2581" s="92">
        <v>0.45</v>
      </c>
      <c r="F2581">
        <v>990</v>
      </c>
      <c r="G2581">
        <v>1095</v>
      </c>
      <c r="H2581" t="s">
        <v>4930</v>
      </c>
      <c r="I2581">
        <v>0</v>
      </c>
      <c r="J2581" t="s">
        <v>97</v>
      </c>
      <c r="K2581">
        <v>0</v>
      </c>
      <c r="L2581">
        <v>0</v>
      </c>
      <c r="M2581" t="s">
        <v>11</v>
      </c>
    </row>
    <row r="2582" spans="1:13">
      <c r="A2582" s="93">
        <v>212869</v>
      </c>
      <c r="B2582" t="s">
        <v>3114</v>
      </c>
      <c r="C2582" t="s">
        <v>4919</v>
      </c>
      <c r="D2582" s="92" t="s">
        <v>446</v>
      </c>
      <c r="E2582" s="92" t="s">
        <v>446</v>
      </c>
      <c r="F2582" t="s">
        <v>446</v>
      </c>
      <c r="G2582" t="s">
        <v>446</v>
      </c>
      <c r="H2582" t="s">
        <v>4930</v>
      </c>
      <c r="I2582">
        <v>0</v>
      </c>
      <c r="J2582" t="s">
        <v>97</v>
      </c>
      <c r="K2582">
        <v>0</v>
      </c>
      <c r="L2582">
        <v>0</v>
      </c>
      <c r="M2582" t="s">
        <v>11</v>
      </c>
    </row>
    <row r="2583" spans="1:13">
      <c r="A2583" s="93">
        <v>212878</v>
      </c>
      <c r="B2583" t="s">
        <v>3115</v>
      </c>
      <c r="C2583" t="s">
        <v>4919</v>
      </c>
      <c r="D2583" s="92">
        <v>0.25</v>
      </c>
      <c r="E2583" s="92">
        <v>0.14</v>
      </c>
      <c r="F2583" t="s">
        <v>446</v>
      </c>
      <c r="G2583" t="s">
        <v>446</v>
      </c>
      <c r="H2583" t="s">
        <v>4932</v>
      </c>
      <c r="I2583">
        <v>0</v>
      </c>
      <c r="J2583" t="s">
        <v>97</v>
      </c>
      <c r="K2583">
        <v>0</v>
      </c>
      <c r="L2583">
        <v>0</v>
      </c>
      <c r="M2583" t="s">
        <v>11</v>
      </c>
    </row>
    <row r="2584" spans="1:13">
      <c r="A2584" s="93">
        <v>212975</v>
      </c>
      <c r="B2584" t="s">
        <v>3116</v>
      </c>
      <c r="C2584" t="s">
        <v>4919</v>
      </c>
      <c r="D2584" s="92" t="s">
        <v>446</v>
      </c>
      <c r="E2584" s="92" t="s">
        <v>446</v>
      </c>
      <c r="F2584" t="s">
        <v>446</v>
      </c>
      <c r="G2584" t="s">
        <v>446</v>
      </c>
      <c r="H2584" t="s">
        <v>4931</v>
      </c>
      <c r="I2584">
        <v>0</v>
      </c>
      <c r="J2584" t="s">
        <v>97</v>
      </c>
      <c r="K2584">
        <v>0</v>
      </c>
      <c r="L2584">
        <v>0</v>
      </c>
      <c r="M2584" t="s">
        <v>11</v>
      </c>
    </row>
    <row r="2585" spans="1:13">
      <c r="A2585" s="93">
        <v>212984</v>
      </c>
      <c r="B2585" t="s">
        <v>3117</v>
      </c>
      <c r="C2585" t="s">
        <v>4918</v>
      </c>
      <c r="D2585" s="92">
        <v>0.57</v>
      </c>
      <c r="E2585" s="92">
        <v>0.41</v>
      </c>
      <c r="F2585">
        <v>930</v>
      </c>
      <c r="G2585">
        <v>1075</v>
      </c>
      <c r="H2585" t="s">
        <v>4929</v>
      </c>
      <c r="I2585">
        <v>1</v>
      </c>
      <c r="J2585" t="s">
        <v>97</v>
      </c>
      <c r="K2585">
        <v>0</v>
      </c>
      <c r="L2585">
        <v>0</v>
      </c>
      <c r="M2585" t="s">
        <v>11</v>
      </c>
    </row>
    <row r="2586" spans="1:13">
      <c r="A2586" s="93">
        <v>212993</v>
      </c>
      <c r="B2586" t="s">
        <v>3118</v>
      </c>
      <c r="C2586" t="s">
        <v>4924</v>
      </c>
      <c r="D2586" s="92">
        <v>0.8</v>
      </c>
      <c r="E2586" s="92">
        <v>0.78</v>
      </c>
      <c r="F2586" t="s">
        <v>446</v>
      </c>
      <c r="G2586" t="s">
        <v>446</v>
      </c>
      <c r="H2586" t="s">
        <v>4930</v>
      </c>
      <c r="I2586">
        <v>0</v>
      </c>
      <c r="J2586" t="s">
        <v>97</v>
      </c>
      <c r="K2586">
        <v>0</v>
      </c>
      <c r="L2586">
        <v>0</v>
      </c>
      <c r="M2586" t="s">
        <v>11</v>
      </c>
    </row>
    <row r="2587" spans="1:13">
      <c r="A2587" s="93">
        <v>213011</v>
      </c>
      <c r="B2587" t="s">
        <v>3119</v>
      </c>
      <c r="C2587" t="s">
        <v>4920</v>
      </c>
      <c r="D2587" s="92">
        <v>0.6899999999999999</v>
      </c>
      <c r="E2587" s="92">
        <v>0.5600000000000001</v>
      </c>
      <c r="F2587">
        <v>1080</v>
      </c>
      <c r="G2587">
        <v>1155</v>
      </c>
      <c r="H2587" t="s">
        <v>4930</v>
      </c>
      <c r="I2587">
        <v>0</v>
      </c>
      <c r="J2587" t="s">
        <v>97</v>
      </c>
      <c r="K2587">
        <v>0</v>
      </c>
      <c r="L2587">
        <v>0</v>
      </c>
      <c r="M2587" t="s">
        <v>11</v>
      </c>
    </row>
    <row r="2588" spans="1:13">
      <c r="A2588" s="93">
        <v>213020</v>
      </c>
      <c r="B2588" t="s">
        <v>3120</v>
      </c>
      <c r="C2588" t="s">
        <v>4918</v>
      </c>
      <c r="D2588" s="92">
        <v>0.57</v>
      </c>
      <c r="E2588" s="92">
        <v>0.34</v>
      </c>
      <c r="F2588">
        <v>940</v>
      </c>
      <c r="G2588">
        <v>1040</v>
      </c>
      <c r="H2588" t="s">
        <v>4932</v>
      </c>
      <c r="I2588">
        <v>0</v>
      </c>
      <c r="J2588" t="s">
        <v>97</v>
      </c>
      <c r="K2588">
        <v>0</v>
      </c>
      <c r="L2588">
        <v>0</v>
      </c>
      <c r="M2588" t="s">
        <v>11</v>
      </c>
    </row>
    <row r="2589" spans="1:13">
      <c r="A2589" s="93">
        <v>213163</v>
      </c>
      <c r="B2589" t="s">
        <v>3121</v>
      </c>
      <c r="C2589" t="s">
        <v>4919</v>
      </c>
      <c r="D2589" s="92" t="s">
        <v>446</v>
      </c>
      <c r="E2589" s="92" t="s">
        <v>446</v>
      </c>
      <c r="F2589" t="s">
        <v>446</v>
      </c>
      <c r="G2589" t="s">
        <v>446</v>
      </c>
      <c r="H2589" t="s">
        <v>4930</v>
      </c>
      <c r="I2589">
        <v>0</v>
      </c>
      <c r="J2589" t="s">
        <v>97</v>
      </c>
      <c r="K2589">
        <v>0</v>
      </c>
      <c r="L2589">
        <v>0</v>
      </c>
      <c r="M2589" t="s">
        <v>11</v>
      </c>
    </row>
    <row r="2590" spans="1:13">
      <c r="A2590" s="93">
        <v>213181</v>
      </c>
      <c r="B2590" t="s">
        <v>3122</v>
      </c>
      <c r="C2590" t="s">
        <v>4919</v>
      </c>
      <c r="D2590" s="92" t="s">
        <v>446</v>
      </c>
      <c r="E2590" s="92" t="s">
        <v>446</v>
      </c>
      <c r="F2590" t="s">
        <v>446</v>
      </c>
      <c r="G2590" t="s">
        <v>446</v>
      </c>
      <c r="H2590" t="s">
        <v>4930</v>
      </c>
      <c r="I2590">
        <v>0</v>
      </c>
      <c r="J2590" t="s">
        <v>97</v>
      </c>
      <c r="K2590">
        <v>0</v>
      </c>
      <c r="L2590">
        <v>0</v>
      </c>
      <c r="M2590" t="s">
        <v>11</v>
      </c>
    </row>
    <row r="2591" spans="1:13">
      <c r="A2591" s="93">
        <v>213233</v>
      </c>
      <c r="B2591" t="s">
        <v>3123</v>
      </c>
      <c r="C2591" t="s">
        <v>4919</v>
      </c>
      <c r="D2591" s="92" t="s">
        <v>446</v>
      </c>
      <c r="E2591" s="92" t="s">
        <v>446</v>
      </c>
      <c r="F2591" t="s">
        <v>446</v>
      </c>
      <c r="G2591" t="s">
        <v>446</v>
      </c>
      <c r="H2591" t="s">
        <v>4930</v>
      </c>
      <c r="I2591">
        <v>0</v>
      </c>
      <c r="J2591" t="s">
        <v>97</v>
      </c>
      <c r="K2591">
        <v>0</v>
      </c>
      <c r="L2591">
        <v>0</v>
      </c>
      <c r="M2591" t="s">
        <v>11</v>
      </c>
    </row>
    <row r="2592" spans="1:13">
      <c r="A2592" s="93">
        <v>213251</v>
      </c>
      <c r="B2592" t="s">
        <v>3124</v>
      </c>
      <c r="C2592" t="s">
        <v>4916</v>
      </c>
      <c r="D2592" s="92">
        <v>0.76</v>
      </c>
      <c r="E2592" s="92">
        <v>0.7</v>
      </c>
      <c r="F2592" t="s">
        <v>446</v>
      </c>
      <c r="G2592" t="s">
        <v>446</v>
      </c>
      <c r="H2592" t="s">
        <v>4930</v>
      </c>
      <c r="I2592">
        <v>0</v>
      </c>
      <c r="J2592" t="s">
        <v>97</v>
      </c>
      <c r="K2592">
        <v>0</v>
      </c>
      <c r="L2592">
        <v>0</v>
      </c>
      <c r="M2592" t="s">
        <v>11</v>
      </c>
    </row>
    <row r="2593" spans="1:13">
      <c r="A2593" s="93">
        <v>213303</v>
      </c>
      <c r="B2593" t="s">
        <v>3125</v>
      </c>
      <c r="C2593" t="s">
        <v>4918</v>
      </c>
      <c r="D2593" s="92">
        <v>0.44</v>
      </c>
      <c r="E2593" s="92">
        <v>0.37</v>
      </c>
      <c r="F2593">
        <v>920</v>
      </c>
      <c r="G2593">
        <v>1045</v>
      </c>
      <c r="H2593" t="s">
        <v>4930</v>
      </c>
      <c r="I2593">
        <v>0</v>
      </c>
      <c r="J2593" t="s">
        <v>97</v>
      </c>
      <c r="K2593">
        <v>0</v>
      </c>
      <c r="L2593">
        <v>0</v>
      </c>
      <c r="M2593" t="s">
        <v>11</v>
      </c>
    </row>
    <row r="2594" spans="1:13">
      <c r="A2594" s="93">
        <v>213321</v>
      </c>
      <c r="B2594" t="s">
        <v>3126</v>
      </c>
      <c r="C2594" t="s">
        <v>4920</v>
      </c>
      <c r="D2594" s="92">
        <v>0.63</v>
      </c>
      <c r="E2594" s="92">
        <v>0.53</v>
      </c>
      <c r="F2594" t="s">
        <v>446</v>
      </c>
      <c r="G2594" t="s">
        <v>446</v>
      </c>
      <c r="H2594" t="s">
        <v>4930</v>
      </c>
      <c r="I2594">
        <v>0</v>
      </c>
      <c r="J2594" t="s">
        <v>97</v>
      </c>
      <c r="K2594">
        <v>0</v>
      </c>
      <c r="L2594">
        <v>0</v>
      </c>
      <c r="M2594" t="s">
        <v>11</v>
      </c>
    </row>
    <row r="2595" spans="1:13">
      <c r="A2595" s="93">
        <v>213349</v>
      </c>
      <c r="B2595" t="s">
        <v>3127</v>
      </c>
      <c r="C2595" t="s">
        <v>4918</v>
      </c>
      <c r="D2595" s="92">
        <v>0.54</v>
      </c>
      <c r="E2595" s="92">
        <v>0.39</v>
      </c>
      <c r="F2595">
        <v>990</v>
      </c>
      <c r="G2595">
        <v>1095</v>
      </c>
      <c r="H2595" t="s">
        <v>4932</v>
      </c>
      <c r="I2595">
        <v>0</v>
      </c>
      <c r="J2595" t="s">
        <v>97</v>
      </c>
      <c r="K2595">
        <v>0</v>
      </c>
      <c r="L2595">
        <v>0</v>
      </c>
      <c r="M2595" t="s">
        <v>11</v>
      </c>
    </row>
    <row r="2596" spans="1:13">
      <c r="A2596" s="93">
        <v>213358</v>
      </c>
      <c r="B2596" t="s">
        <v>3128</v>
      </c>
      <c r="C2596" t="s">
        <v>4918</v>
      </c>
      <c r="D2596" s="92">
        <v>0.54</v>
      </c>
      <c r="E2596" s="92">
        <v>0.61</v>
      </c>
      <c r="F2596">
        <v>960</v>
      </c>
      <c r="G2596">
        <v>1060</v>
      </c>
      <c r="H2596" t="s">
        <v>4930</v>
      </c>
      <c r="I2596">
        <v>0</v>
      </c>
      <c r="J2596" t="s">
        <v>97</v>
      </c>
      <c r="K2596">
        <v>0</v>
      </c>
      <c r="L2596">
        <v>0</v>
      </c>
      <c r="M2596" t="s">
        <v>11</v>
      </c>
    </row>
    <row r="2597" spans="1:13">
      <c r="A2597" s="93">
        <v>213367</v>
      </c>
      <c r="B2597" t="s">
        <v>3129</v>
      </c>
      <c r="C2597" t="s">
        <v>4920</v>
      </c>
      <c r="D2597" s="92">
        <v>0.64</v>
      </c>
      <c r="E2597" s="92">
        <v>0.53</v>
      </c>
      <c r="F2597" t="s">
        <v>446</v>
      </c>
      <c r="G2597" t="s">
        <v>446</v>
      </c>
      <c r="H2597" t="s">
        <v>4930</v>
      </c>
      <c r="I2597">
        <v>0</v>
      </c>
      <c r="J2597" t="s">
        <v>97</v>
      </c>
      <c r="K2597">
        <v>0</v>
      </c>
      <c r="L2597">
        <v>0</v>
      </c>
      <c r="M2597" t="s">
        <v>11</v>
      </c>
    </row>
    <row r="2598" spans="1:13">
      <c r="A2598" s="93">
        <v>213376</v>
      </c>
      <c r="B2598" t="s">
        <v>3130</v>
      </c>
      <c r="C2598" t="s">
        <v>4923</v>
      </c>
      <c r="D2598" s="92" t="s">
        <v>446</v>
      </c>
      <c r="E2598" s="92" t="s">
        <v>446</v>
      </c>
      <c r="F2598" t="s">
        <v>446</v>
      </c>
      <c r="G2598" t="s">
        <v>446</v>
      </c>
      <c r="H2598" t="s">
        <v>4930</v>
      </c>
      <c r="I2598">
        <v>0</v>
      </c>
      <c r="J2598" t="s">
        <v>97</v>
      </c>
      <c r="K2598">
        <v>0</v>
      </c>
      <c r="L2598">
        <v>0</v>
      </c>
      <c r="M2598" t="s">
        <v>11</v>
      </c>
    </row>
    <row r="2599" spans="1:13">
      <c r="A2599" s="93">
        <v>213400</v>
      </c>
      <c r="B2599" t="s">
        <v>3131</v>
      </c>
      <c r="C2599" t="s">
        <v>4923</v>
      </c>
      <c r="D2599" s="92">
        <v>0.59</v>
      </c>
      <c r="E2599" s="92">
        <v>0.5600000000000001</v>
      </c>
      <c r="F2599">
        <v>1010</v>
      </c>
      <c r="G2599">
        <v>1110</v>
      </c>
      <c r="H2599" t="s">
        <v>4930</v>
      </c>
      <c r="I2599">
        <v>0</v>
      </c>
      <c r="J2599" t="s">
        <v>97</v>
      </c>
      <c r="K2599">
        <v>0</v>
      </c>
      <c r="L2599">
        <v>0</v>
      </c>
      <c r="M2599" t="s">
        <v>11</v>
      </c>
    </row>
    <row r="2600" spans="1:13">
      <c r="A2600" s="93">
        <v>213446</v>
      </c>
      <c r="B2600" t="s">
        <v>3132</v>
      </c>
      <c r="C2600" t="s">
        <v>4924</v>
      </c>
      <c r="D2600" s="92" t="s">
        <v>446</v>
      </c>
      <c r="E2600" s="92" t="s">
        <v>446</v>
      </c>
      <c r="F2600" t="s">
        <v>446</v>
      </c>
      <c r="G2600" t="s">
        <v>446</v>
      </c>
      <c r="H2600" t="s">
        <v>4932</v>
      </c>
      <c r="I2600">
        <v>0</v>
      </c>
      <c r="J2600" t="s">
        <v>97</v>
      </c>
      <c r="K2600">
        <v>0</v>
      </c>
      <c r="L2600">
        <v>0</v>
      </c>
      <c r="M2600" t="s">
        <v>11</v>
      </c>
    </row>
    <row r="2601" spans="1:13">
      <c r="A2601" s="93">
        <v>213473</v>
      </c>
      <c r="B2601" t="s">
        <v>3133</v>
      </c>
      <c r="C2601" t="s">
        <v>4919</v>
      </c>
      <c r="D2601" s="92" t="s">
        <v>446</v>
      </c>
      <c r="E2601" s="92" t="s">
        <v>446</v>
      </c>
      <c r="F2601" t="s">
        <v>446</v>
      </c>
      <c r="G2601" t="s">
        <v>446</v>
      </c>
      <c r="H2601" t="s">
        <v>4930</v>
      </c>
      <c r="I2601">
        <v>0</v>
      </c>
      <c r="J2601" t="s">
        <v>97</v>
      </c>
      <c r="K2601">
        <v>0</v>
      </c>
      <c r="L2601">
        <v>0</v>
      </c>
      <c r="M2601" t="s">
        <v>11</v>
      </c>
    </row>
    <row r="2602" spans="1:13">
      <c r="A2602" s="93">
        <v>213525</v>
      </c>
      <c r="B2602" t="s">
        <v>3134</v>
      </c>
      <c r="C2602" t="s">
        <v>4919</v>
      </c>
      <c r="D2602" s="92">
        <v>0.32</v>
      </c>
      <c r="E2602" s="92">
        <v>0.21</v>
      </c>
      <c r="F2602" t="s">
        <v>446</v>
      </c>
      <c r="G2602" t="s">
        <v>446</v>
      </c>
      <c r="H2602" t="s">
        <v>4932</v>
      </c>
      <c r="I2602">
        <v>0</v>
      </c>
      <c r="J2602" t="s">
        <v>97</v>
      </c>
      <c r="K2602">
        <v>0</v>
      </c>
      <c r="L2602">
        <v>0</v>
      </c>
      <c r="M2602" t="s">
        <v>11</v>
      </c>
    </row>
    <row r="2603" spans="1:13">
      <c r="A2603" s="93">
        <v>213534</v>
      </c>
      <c r="B2603" t="s">
        <v>3135</v>
      </c>
      <c r="C2603" t="s">
        <v>4919</v>
      </c>
      <c r="D2603" s="92" t="s">
        <v>446</v>
      </c>
      <c r="E2603" s="92" t="s">
        <v>446</v>
      </c>
      <c r="F2603" t="s">
        <v>446</v>
      </c>
      <c r="G2603" t="s">
        <v>446</v>
      </c>
      <c r="H2603" t="s">
        <v>4930</v>
      </c>
      <c r="I2603">
        <v>0</v>
      </c>
      <c r="J2603" t="s">
        <v>97</v>
      </c>
      <c r="K2603">
        <v>0</v>
      </c>
      <c r="L2603">
        <v>0</v>
      </c>
      <c r="M2603" t="s">
        <v>11</v>
      </c>
    </row>
    <row r="2604" spans="1:13">
      <c r="A2604" s="93">
        <v>213589</v>
      </c>
      <c r="B2604" t="s">
        <v>3136</v>
      </c>
      <c r="C2604" t="s">
        <v>4919</v>
      </c>
      <c r="D2604" s="92" t="s">
        <v>446</v>
      </c>
      <c r="E2604" s="92" t="s">
        <v>446</v>
      </c>
      <c r="F2604" t="s">
        <v>446</v>
      </c>
      <c r="G2604" t="s">
        <v>446</v>
      </c>
      <c r="H2604" t="s">
        <v>4930</v>
      </c>
      <c r="I2604">
        <v>0</v>
      </c>
      <c r="J2604" t="s">
        <v>97</v>
      </c>
      <c r="K2604">
        <v>0</v>
      </c>
      <c r="L2604">
        <v>0</v>
      </c>
      <c r="M2604" t="s">
        <v>11</v>
      </c>
    </row>
    <row r="2605" spans="1:13">
      <c r="A2605" s="93">
        <v>213598</v>
      </c>
      <c r="B2605" t="s">
        <v>738</v>
      </c>
      <c r="C2605" t="s">
        <v>4923</v>
      </c>
      <c r="D2605" s="92">
        <v>0.49</v>
      </c>
      <c r="E2605" s="92">
        <v>0.64</v>
      </c>
      <c r="F2605">
        <v>890</v>
      </c>
      <c r="G2605">
        <v>980</v>
      </c>
      <c r="H2605" t="s">
        <v>4932</v>
      </c>
      <c r="I2605">
        <v>0</v>
      </c>
      <c r="J2605" t="s">
        <v>153</v>
      </c>
      <c r="K2605">
        <v>0</v>
      </c>
      <c r="L2605">
        <v>0</v>
      </c>
      <c r="M2605" t="s">
        <v>11</v>
      </c>
    </row>
    <row r="2606" spans="1:13">
      <c r="A2606" s="93">
        <v>213613</v>
      </c>
      <c r="B2606" t="s">
        <v>3137</v>
      </c>
      <c r="C2606" t="s">
        <v>4918</v>
      </c>
      <c r="D2606" s="92">
        <v>0.53</v>
      </c>
      <c r="E2606" s="92">
        <v>0.34</v>
      </c>
      <c r="F2606">
        <v>980</v>
      </c>
      <c r="G2606">
        <v>1085</v>
      </c>
      <c r="H2606" t="s">
        <v>4932</v>
      </c>
      <c r="I2606">
        <v>0</v>
      </c>
      <c r="J2606" t="s">
        <v>97</v>
      </c>
      <c r="K2606">
        <v>0</v>
      </c>
      <c r="L2606">
        <v>0</v>
      </c>
      <c r="M2606" t="s">
        <v>11</v>
      </c>
    </row>
    <row r="2607" spans="1:13">
      <c r="A2607" s="93">
        <v>213622</v>
      </c>
      <c r="B2607" t="s">
        <v>3138</v>
      </c>
      <c r="C2607" t="s">
        <v>4925</v>
      </c>
      <c r="D2607" s="92" t="s">
        <v>446</v>
      </c>
      <c r="E2607" s="92" t="s">
        <v>446</v>
      </c>
      <c r="F2607" t="s">
        <v>446</v>
      </c>
      <c r="G2607" t="s">
        <v>446</v>
      </c>
      <c r="H2607" t="s">
        <v>4932</v>
      </c>
      <c r="I2607">
        <v>0</v>
      </c>
      <c r="J2607" t="s">
        <v>97</v>
      </c>
      <c r="K2607">
        <v>0</v>
      </c>
      <c r="L2607">
        <v>0</v>
      </c>
      <c r="M2607" t="s">
        <v>11</v>
      </c>
    </row>
    <row r="2608" spans="1:13">
      <c r="A2608" s="93">
        <v>213631</v>
      </c>
      <c r="B2608" t="s">
        <v>3139</v>
      </c>
      <c r="C2608" t="s">
        <v>4924</v>
      </c>
      <c r="D2608" s="92" t="s">
        <v>446</v>
      </c>
      <c r="E2608" s="92" t="s">
        <v>446</v>
      </c>
      <c r="F2608" t="s">
        <v>446</v>
      </c>
      <c r="G2608" t="s">
        <v>446</v>
      </c>
      <c r="H2608" t="s">
        <v>4932</v>
      </c>
      <c r="I2608">
        <v>0</v>
      </c>
      <c r="J2608" t="s">
        <v>97</v>
      </c>
      <c r="K2608">
        <v>0</v>
      </c>
      <c r="L2608">
        <v>0</v>
      </c>
      <c r="M2608" t="s">
        <v>11</v>
      </c>
    </row>
    <row r="2609" spans="1:13">
      <c r="A2609" s="93">
        <v>213659</v>
      </c>
      <c r="B2609" t="s">
        <v>3140</v>
      </c>
      <c r="C2609" t="s">
        <v>4919</v>
      </c>
      <c r="D2609" s="92">
        <v>0.27</v>
      </c>
      <c r="E2609" s="92">
        <v>0.14</v>
      </c>
      <c r="F2609" t="s">
        <v>446</v>
      </c>
      <c r="G2609" t="s">
        <v>446</v>
      </c>
      <c r="H2609" t="s">
        <v>4932</v>
      </c>
      <c r="I2609">
        <v>0</v>
      </c>
      <c r="J2609" t="s">
        <v>97</v>
      </c>
      <c r="K2609">
        <v>0</v>
      </c>
      <c r="L2609">
        <v>0</v>
      </c>
      <c r="M2609" t="s">
        <v>11</v>
      </c>
    </row>
    <row r="2610" spans="1:13">
      <c r="A2610" s="93">
        <v>213774</v>
      </c>
      <c r="B2610" t="s">
        <v>3141</v>
      </c>
      <c r="C2610" t="s">
        <v>4923</v>
      </c>
      <c r="D2610" s="92" t="s">
        <v>446</v>
      </c>
      <c r="E2610" s="92" t="s">
        <v>446</v>
      </c>
      <c r="F2610" t="s">
        <v>446</v>
      </c>
      <c r="G2610" t="s">
        <v>446</v>
      </c>
      <c r="H2610" t="s">
        <v>4930</v>
      </c>
      <c r="I2610">
        <v>0</v>
      </c>
      <c r="J2610" t="s">
        <v>97</v>
      </c>
      <c r="K2610">
        <v>0</v>
      </c>
      <c r="L2610">
        <v>0</v>
      </c>
      <c r="M2610" t="s">
        <v>11</v>
      </c>
    </row>
    <row r="2611" spans="1:13">
      <c r="A2611" s="93">
        <v>213783</v>
      </c>
      <c r="B2611" t="s">
        <v>3142</v>
      </c>
      <c r="C2611" t="s">
        <v>4918</v>
      </c>
      <c r="D2611" s="92">
        <v>0.55</v>
      </c>
      <c r="E2611" s="92">
        <v>0.33</v>
      </c>
      <c r="F2611">
        <v>970</v>
      </c>
      <c r="G2611">
        <v>1060</v>
      </c>
      <c r="H2611" t="s">
        <v>4932</v>
      </c>
      <c r="I2611">
        <v>0</v>
      </c>
      <c r="J2611" t="s">
        <v>97</v>
      </c>
      <c r="K2611">
        <v>0</v>
      </c>
      <c r="L2611">
        <v>0</v>
      </c>
      <c r="M2611" t="s">
        <v>11</v>
      </c>
    </row>
    <row r="2612" spans="1:13">
      <c r="A2612" s="93">
        <v>213826</v>
      </c>
      <c r="B2612" t="s">
        <v>3143</v>
      </c>
      <c r="C2612" t="s">
        <v>4920</v>
      </c>
      <c r="D2612" s="92">
        <v>0.6899999999999999</v>
      </c>
      <c r="E2612" s="92">
        <v>0.57</v>
      </c>
      <c r="F2612">
        <v>1020</v>
      </c>
      <c r="G2612">
        <v>1120</v>
      </c>
      <c r="H2612" t="s">
        <v>4930</v>
      </c>
      <c r="I2612">
        <v>0</v>
      </c>
      <c r="J2612" t="s">
        <v>97</v>
      </c>
      <c r="K2612">
        <v>0</v>
      </c>
      <c r="L2612">
        <v>0</v>
      </c>
      <c r="M2612" t="s">
        <v>11</v>
      </c>
    </row>
    <row r="2613" spans="1:13">
      <c r="A2613" s="93">
        <v>213932</v>
      </c>
      <c r="B2613" t="s">
        <v>3144</v>
      </c>
      <c r="C2613" t="s">
        <v>4919</v>
      </c>
      <c r="D2613" s="92" t="s">
        <v>446</v>
      </c>
      <c r="E2613" s="92" t="s">
        <v>446</v>
      </c>
      <c r="F2613" t="s">
        <v>446</v>
      </c>
      <c r="G2613" t="s">
        <v>446</v>
      </c>
      <c r="H2613" t="s">
        <v>4932</v>
      </c>
      <c r="I2613">
        <v>0</v>
      </c>
      <c r="J2613" t="s">
        <v>97</v>
      </c>
      <c r="K2613">
        <v>0</v>
      </c>
      <c r="L2613">
        <v>0</v>
      </c>
      <c r="M2613" t="s">
        <v>11</v>
      </c>
    </row>
    <row r="2614" spans="1:13">
      <c r="A2614" s="93">
        <v>213987</v>
      </c>
      <c r="B2614" t="s">
        <v>3145</v>
      </c>
      <c r="C2614" t="s">
        <v>4920</v>
      </c>
      <c r="D2614" s="92">
        <v>0.68</v>
      </c>
      <c r="E2614" s="92">
        <v>0.51</v>
      </c>
      <c r="F2614" t="s">
        <v>446</v>
      </c>
      <c r="G2614" t="s">
        <v>446</v>
      </c>
      <c r="H2614" t="s">
        <v>4930</v>
      </c>
      <c r="I2614">
        <v>0</v>
      </c>
      <c r="J2614" t="s">
        <v>97</v>
      </c>
      <c r="K2614">
        <v>0</v>
      </c>
      <c r="L2614">
        <v>0</v>
      </c>
      <c r="M2614" t="s">
        <v>11</v>
      </c>
    </row>
    <row r="2615" spans="1:13">
      <c r="A2615" s="93">
        <v>213996</v>
      </c>
      <c r="B2615" t="s">
        <v>3146</v>
      </c>
      <c r="C2615" t="s">
        <v>4920</v>
      </c>
      <c r="D2615" s="92">
        <v>0.78</v>
      </c>
      <c r="E2615" s="92">
        <v>0.65</v>
      </c>
      <c r="F2615">
        <v>1100</v>
      </c>
      <c r="G2615">
        <v>1220</v>
      </c>
      <c r="H2615" t="s">
        <v>4931</v>
      </c>
      <c r="I2615">
        <v>0</v>
      </c>
      <c r="J2615" t="s">
        <v>97</v>
      </c>
      <c r="K2615">
        <v>0</v>
      </c>
      <c r="L2615">
        <v>0</v>
      </c>
      <c r="M2615" t="s">
        <v>11</v>
      </c>
    </row>
    <row r="2616" spans="1:13">
      <c r="A2616" s="93">
        <v>214023</v>
      </c>
      <c r="B2616" t="s">
        <v>3147</v>
      </c>
      <c r="C2616" t="s">
        <v>4919</v>
      </c>
      <c r="D2616" s="92" t="s">
        <v>446</v>
      </c>
      <c r="E2616" s="92" t="s">
        <v>446</v>
      </c>
      <c r="F2616" t="s">
        <v>446</v>
      </c>
      <c r="G2616" t="s">
        <v>446</v>
      </c>
      <c r="H2616" t="s">
        <v>4932</v>
      </c>
      <c r="I2616">
        <v>0</v>
      </c>
      <c r="J2616" t="s">
        <v>97</v>
      </c>
      <c r="K2616">
        <v>0</v>
      </c>
      <c r="L2616">
        <v>0</v>
      </c>
      <c r="M2616" t="s">
        <v>11</v>
      </c>
    </row>
    <row r="2617" spans="1:13">
      <c r="A2617" s="93">
        <v>214041</v>
      </c>
      <c r="B2617" t="s">
        <v>3148</v>
      </c>
      <c r="C2617" t="s">
        <v>4920</v>
      </c>
      <c r="D2617" s="92">
        <v>0.57</v>
      </c>
      <c r="E2617" s="92">
        <v>0.42</v>
      </c>
      <c r="F2617">
        <v>1000</v>
      </c>
      <c r="G2617">
        <v>1110</v>
      </c>
      <c r="H2617" t="s">
        <v>4932</v>
      </c>
      <c r="I2617">
        <v>0</v>
      </c>
      <c r="J2617" t="s">
        <v>97</v>
      </c>
      <c r="K2617">
        <v>0</v>
      </c>
      <c r="L2617">
        <v>0</v>
      </c>
      <c r="M2617" t="s">
        <v>11</v>
      </c>
    </row>
    <row r="2618" spans="1:13">
      <c r="A2618" s="93">
        <v>214069</v>
      </c>
      <c r="B2618" t="s">
        <v>3149</v>
      </c>
      <c r="C2618" t="s">
        <v>4920</v>
      </c>
      <c r="D2618" s="92">
        <v>0.71</v>
      </c>
      <c r="E2618" s="92">
        <v>0.5600000000000001</v>
      </c>
      <c r="F2618" t="s">
        <v>446</v>
      </c>
      <c r="G2618" t="s">
        <v>446</v>
      </c>
      <c r="H2618" t="s">
        <v>4930</v>
      </c>
      <c r="I2618">
        <v>0</v>
      </c>
      <c r="J2618" t="s">
        <v>97</v>
      </c>
      <c r="K2618">
        <v>0</v>
      </c>
      <c r="L2618">
        <v>0</v>
      </c>
      <c r="M2618" t="s">
        <v>11</v>
      </c>
    </row>
    <row r="2619" spans="1:13">
      <c r="A2619" s="93">
        <v>214111</v>
      </c>
      <c r="B2619" t="s">
        <v>3150</v>
      </c>
      <c r="C2619" t="s">
        <v>4919</v>
      </c>
      <c r="D2619" s="92">
        <v>0.31</v>
      </c>
      <c r="E2619" s="92">
        <v>0.19</v>
      </c>
      <c r="F2619" t="s">
        <v>446</v>
      </c>
      <c r="G2619" t="s">
        <v>446</v>
      </c>
      <c r="H2619" t="s">
        <v>4932</v>
      </c>
      <c r="I2619">
        <v>0</v>
      </c>
      <c r="J2619" t="s">
        <v>97</v>
      </c>
      <c r="K2619">
        <v>0</v>
      </c>
      <c r="L2619">
        <v>0</v>
      </c>
      <c r="M2619" t="s">
        <v>11</v>
      </c>
    </row>
    <row r="2620" spans="1:13">
      <c r="A2620" s="93">
        <v>214148</v>
      </c>
      <c r="B2620" t="s">
        <v>3151</v>
      </c>
      <c r="C2620" t="s">
        <v>4926</v>
      </c>
      <c r="D2620" s="92">
        <v>0.61</v>
      </c>
      <c r="E2620" s="92">
        <v>0.61</v>
      </c>
      <c r="F2620" t="s">
        <v>446</v>
      </c>
      <c r="G2620" t="s">
        <v>446</v>
      </c>
      <c r="H2620" t="s">
        <v>4930</v>
      </c>
      <c r="I2620">
        <v>0</v>
      </c>
      <c r="J2620" t="s">
        <v>97</v>
      </c>
      <c r="K2620">
        <v>0</v>
      </c>
      <c r="L2620">
        <v>0</v>
      </c>
      <c r="M2620" t="s">
        <v>11</v>
      </c>
    </row>
    <row r="2621" spans="1:13">
      <c r="A2621" s="93">
        <v>214157</v>
      </c>
      <c r="B2621" t="s">
        <v>3152</v>
      </c>
      <c r="C2621" t="s">
        <v>4926</v>
      </c>
      <c r="D2621" s="92">
        <v>0.6899999999999999</v>
      </c>
      <c r="E2621" s="92">
        <v>0.58</v>
      </c>
      <c r="F2621" t="s">
        <v>446</v>
      </c>
      <c r="G2621" t="s">
        <v>446</v>
      </c>
      <c r="H2621" t="s">
        <v>4930</v>
      </c>
      <c r="I2621">
        <v>0</v>
      </c>
      <c r="J2621" t="s">
        <v>97</v>
      </c>
      <c r="K2621">
        <v>0</v>
      </c>
      <c r="L2621">
        <v>0</v>
      </c>
      <c r="M2621" t="s">
        <v>11</v>
      </c>
    </row>
    <row r="2622" spans="1:13">
      <c r="A2622" s="93">
        <v>214166</v>
      </c>
      <c r="B2622" t="s">
        <v>3153</v>
      </c>
      <c r="C2622" t="s">
        <v>4920</v>
      </c>
      <c r="D2622" s="92">
        <v>0.46</v>
      </c>
      <c r="E2622" s="92">
        <v>0.18</v>
      </c>
      <c r="F2622" t="s">
        <v>446</v>
      </c>
      <c r="G2622" t="s">
        <v>446</v>
      </c>
      <c r="H2622" t="s">
        <v>4930</v>
      </c>
      <c r="I2622">
        <v>0</v>
      </c>
      <c r="J2622" t="s">
        <v>97</v>
      </c>
      <c r="K2622">
        <v>0</v>
      </c>
      <c r="L2622">
        <v>0</v>
      </c>
      <c r="M2622" t="s">
        <v>11</v>
      </c>
    </row>
    <row r="2623" spans="1:13">
      <c r="A2623" s="93">
        <v>214175</v>
      </c>
      <c r="B2623" t="s">
        <v>3154</v>
      </c>
      <c r="C2623" t="s">
        <v>4916</v>
      </c>
      <c r="D2623" s="92">
        <v>0.82</v>
      </c>
      <c r="E2623" s="92">
        <v>0.77</v>
      </c>
      <c r="F2623">
        <v>1200</v>
      </c>
      <c r="G2623">
        <v>1285</v>
      </c>
      <c r="H2623" t="s">
        <v>4931</v>
      </c>
      <c r="I2623">
        <v>0</v>
      </c>
      <c r="J2623" t="s">
        <v>97</v>
      </c>
      <c r="K2623">
        <v>0</v>
      </c>
      <c r="L2623">
        <v>0</v>
      </c>
      <c r="M2623" t="s">
        <v>11</v>
      </c>
    </row>
    <row r="2624" spans="1:13">
      <c r="A2624" s="93">
        <v>214272</v>
      </c>
      <c r="B2624" t="s">
        <v>3155</v>
      </c>
      <c r="C2624" t="s">
        <v>4918</v>
      </c>
      <c r="D2624" s="92">
        <v>0.51</v>
      </c>
      <c r="E2624" s="92">
        <v>0.44</v>
      </c>
      <c r="F2624">
        <v>900</v>
      </c>
      <c r="G2624">
        <v>990</v>
      </c>
      <c r="H2624" t="s">
        <v>4930</v>
      </c>
      <c r="I2624">
        <v>0</v>
      </c>
      <c r="J2624" t="s">
        <v>97</v>
      </c>
      <c r="K2624">
        <v>0</v>
      </c>
      <c r="L2624">
        <v>0</v>
      </c>
      <c r="M2624" t="s">
        <v>11</v>
      </c>
    </row>
    <row r="2625" spans="1:13">
      <c r="A2625" s="93">
        <v>214290</v>
      </c>
      <c r="B2625" t="s">
        <v>3156</v>
      </c>
      <c r="C2625" t="s">
        <v>4919</v>
      </c>
      <c r="D2625" s="92" t="s">
        <v>446</v>
      </c>
      <c r="E2625" s="92" t="s">
        <v>446</v>
      </c>
      <c r="F2625" t="s">
        <v>446</v>
      </c>
      <c r="G2625" t="s">
        <v>446</v>
      </c>
      <c r="H2625" t="s">
        <v>4928</v>
      </c>
      <c r="I2625">
        <v>1</v>
      </c>
      <c r="J2625" t="s">
        <v>97</v>
      </c>
      <c r="K2625">
        <v>0</v>
      </c>
      <c r="L2625">
        <v>0</v>
      </c>
      <c r="M2625" t="s">
        <v>11</v>
      </c>
    </row>
    <row r="2626" spans="1:13">
      <c r="A2626" s="93">
        <v>214379</v>
      </c>
      <c r="B2626" t="s">
        <v>3157</v>
      </c>
      <c r="C2626" t="s">
        <v>4919</v>
      </c>
      <c r="D2626" s="92">
        <v>0.29</v>
      </c>
      <c r="E2626" s="92">
        <v>0.22</v>
      </c>
      <c r="F2626" t="s">
        <v>446</v>
      </c>
      <c r="G2626" t="s">
        <v>446</v>
      </c>
      <c r="H2626" t="s">
        <v>4932</v>
      </c>
      <c r="I2626">
        <v>0</v>
      </c>
      <c r="J2626" t="s">
        <v>97</v>
      </c>
      <c r="K2626">
        <v>0</v>
      </c>
      <c r="L2626">
        <v>0</v>
      </c>
      <c r="M2626" t="s">
        <v>11</v>
      </c>
    </row>
    <row r="2627" spans="1:13">
      <c r="A2627" s="93">
        <v>214564</v>
      </c>
      <c r="B2627" t="s">
        <v>3158</v>
      </c>
      <c r="C2627" t="s">
        <v>4924</v>
      </c>
      <c r="D2627" s="92" t="s">
        <v>446</v>
      </c>
      <c r="E2627" s="92" t="s">
        <v>446</v>
      </c>
      <c r="F2627" t="s">
        <v>446</v>
      </c>
      <c r="G2627" t="s">
        <v>446</v>
      </c>
      <c r="H2627" t="s">
        <v>4932</v>
      </c>
      <c r="I2627">
        <v>0</v>
      </c>
      <c r="J2627" t="s">
        <v>97</v>
      </c>
      <c r="K2627">
        <v>0</v>
      </c>
      <c r="L2627">
        <v>0</v>
      </c>
      <c r="M2627" t="s">
        <v>11</v>
      </c>
    </row>
    <row r="2628" spans="1:13">
      <c r="A2628" s="93">
        <v>214582</v>
      </c>
      <c r="B2628" t="s">
        <v>3159</v>
      </c>
      <c r="C2628" t="s">
        <v>4919</v>
      </c>
      <c r="D2628" s="92">
        <v>0.33</v>
      </c>
      <c r="E2628" s="92">
        <v>0.29</v>
      </c>
      <c r="F2628" t="s">
        <v>446</v>
      </c>
      <c r="G2628" t="s">
        <v>446</v>
      </c>
      <c r="H2628" t="s">
        <v>4930</v>
      </c>
      <c r="I2628">
        <v>0</v>
      </c>
      <c r="J2628" t="s">
        <v>97</v>
      </c>
      <c r="K2628">
        <v>0</v>
      </c>
      <c r="L2628">
        <v>0</v>
      </c>
      <c r="M2628" t="s">
        <v>11</v>
      </c>
    </row>
    <row r="2629" spans="1:13">
      <c r="A2629" s="93">
        <v>214883</v>
      </c>
      <c r="B2629" t="s">
        <v>3160</v>
      </c>
      <c r="C2629" t="s">
        <v>4923</v>
      </c>
      <c r="D2629" s="92">
        <v>0.67</v>
      </c>
      <c r="E2629" s="92">
        <v>1</v>
      </c>
      <c r="F2629" t="s">
        <v>446</v>
      </c>
      <c r="G2629" t="s">
        <v>446</v>
      </c>
      <c r="H2629" t="s">
        <v>4931</v>
      </c>
      <c r="I2629">
        <v>0</v>
      </c>
      <c r="J2629" t="s">
        <v>97</v>
      </c>
      <c r="K2629">
        <v>0</v>
      </c>
      <c r="L2629">
        <v>0</v>
      </c>
      <c r="M2629" t="s">
        <v>11</v>
      </c>
    </row>
    <row r="2630" spans="1:13">
      <c r="A2630" s="93">
        <v>214892</v>
      </c>
      <c r="B2630" t="s">
        <v>3161</v>
      </c>
      <c r="C2630" t="s">
        <v>4925</v>
      </c>
      <c r="D2630" s="92" t="s">
        <v>446</v>
      </c>
      <c r="E2630" s="92" t="s">
        <v>446</v>
      </c>
      <c r="F2630" t="s">
        <v>446</v>
      </c>
      <c r="G2630" t="s">
        <v>446</v>
      </c>
      <c r="H2630" t="s">
        <v>4931</v>
      </c>
      <c r="I2630">
        <v>0</v>
      </c>
      <c r="J2630" t="s">
        <v>97</v>
      </c>
      <c r="K2630">
        <v>0</v>
      </c>
      <c r="L2630">
        <v>0</v>
      </c>
      <c r="M2630" t="s">
        <v>11</v>
      </c>
    </row>
    <row r="2631" spans="1:13">
      <c r="A2631" s="93">
        <v>214944</v>
      </c>
      <c r="B2631" t="s">
        <v>3162</v>
      </c>
      <c r="C2631" t="s">
        <v>4919</v>
      </c>
      <c r="D2631" s="92" t="s">
        <v>446</v>
      </c>
      <c r="E2631" s="92" t="s">
        <v>446</v>
      </c>
      <c r="F2631" t="s">
        <v>446</v>
      </c>
      <c r="G2631" t="s">
        <v>446</v>
      </c>
      <c r="H2631" t="s">
        <v>4930</v>
      </c>
      <c r="I2631">
        <v>0</v>
      </c>
      <c r="J2631" t="s">
        <v>97</v>
      </c>
      <c r="K2631">
        <v>0</v>
      </c>
      <c r="L2631">
        <v>0</v>
      </c>
      <c r="M2631" t="s">
        <v>11</v>
      </c>
    </row>
    <row r="2632" spans="1:13">
      <c r="A2632" s="93">
        <v>214971</v>
      </c>
      <c r="B2632" t="s">
        <v>3163</v>
      </c>
      <c r="C2632" t="s">
        <v>4924</v>
      </c>
      <c r="D2632" s="92">
        <v>0.5600000000000001</v>
      </c>
      <c r="E2632" s="92">
        <v>0.61</v>
      </c>
      <c r="F2632" t="s">
        <v>446</v>
      </c>
      <c r="G2632" t="s">
        <v>446</v>
      </c>
      <c r="H2632" t="s">
        <v>4930</v>
      </c>
      <c r="I2632">
        <v>0</v>
      </c>
      <c r="J2632" t="s">
        <v>97</v>
      </c>
      <c r="K2632">
        <v>0</v>
      </c>
      <c r="L2632">
        <v>0</v>
      </c>
      <c r="M2632" t="s">
        <v>11</v>
      </c>
    </row>
    <row r="2633" spans="1:13">
      <c r="A2633" s="93">
        <v>215008</v>
      </c>
      <c r="B2633" t="s">
        <v>3164</v>
      </c>
      <c r="C2633" t="s">
        <v>4919</v>
      </c>
      <c r="D2633" s="92" t="s">
        <v>446</v>
      </c>
      <c r="E2633" s="92" t="s">
        <v>446</v>
      </c>
      <c r="F2633" t="s">
        <v>446</v>
      </c>
      <c r="G2633" t="s">
        <v>446</v>
      </c>
      <c r="H2633" t="s">
        <v>4930</v>
      </c>
      <c r="I2633">
        <v>0</v>
      </c>
      <c r="J2633" t="s">
        <v>97</v>
      </c>
      <c r="K2633">
        <v>0</v>
      </c>
      <c r="L2633">
        <v>0</v>
      </c>
      <c r="M2633" t="s">
        <v>11</v>
      </c>
    </row>
    <row r="2634" spans="1:13">
      <c r="A2634" s="93">
        <v>215053</v>
      </c>
      <c r="B2634" t="s">
        <v>3165</v>
      </c>
      <c r="C2634" t="s">
        <v>4924</v>
      </c>
      <c r="D2634" s="92">
        <v>0.52</v>
      </c>
      <c r="E2634" s="92">
        <v>0.48</v>
      </c>
      <c r="F2634" t="s">
        <v>446</v>
      </c>
      <c r="G2634" t="s">
        <v>446</v>
      </c>
      <c r="H2634" t="s">
        <v>4930</v>
      </c>
      <c r="I2634">
        <v>0</v>
      </c>
      <c r="J2634" t="s">
        <v>97</v>
      </c>
      <c r="K2634">
        <v>0</v>
      </c>
      <c r="L2634">
        <v>0</v>
      </c>
      <c r="M2634" t="s">
        <v>11</v>
      </c>
    </row>
    <row r="2635" spans="1:13">
      <c r="A2635" s="93">
        <v>215105</v>
      </c>
      <c r="B2635" t="s">
        <v>3166</v>
      </c>
      <c r="C2635" t="s">
        <v>4926</v>
      </c>
      <c r="D2635" s="92">
        <v>0.62</v>
      </c>
      <c r="E2635" s="92">
        <v>0.57</v>
      </c>
      <c r="F2635" t="s">
        <v>446</v>
      </c>
      <c r="G2635" t="s">
        <v>446</v>
      </c>
      <c r="H2635" t="s">
        <v>4930</v>
      </c>
      <c r="I2635">
        <v>0</v>
      </c>
      <c r="J2635" t="s">
        <v>97</v>
      </c>
      <c r="K2635">
        <v>0</v>
      </c>
      <c r="L2635">
        <v>0</v>
      </c>
      <c r="M2635" t="s">
        <v>11</v>
      </c>
    </row>
    <row r="2636" spans="1:13">
      <c r="A2636" s="93">
        <v>215114</v>
      </c>
      <c r="B2636" t="s">
        <v>3167</v>
      </c>
      <c r="C2636" t="s">
        <v>4920</v>
      </c>
      <c r="D2636" s="92">
        <v>0.58</v>
      </c>
      <c r="E2636" s="92">
        <v>0.38</v>
      </c>
      <c r="F2636" t="s">
        <v>446</v>
      </c>
      <c r="G2636" t="s">
        <v>446</v>
      </c>
      <c r="H2636" t="s">
        <v>4930</v>
      </c>
      <c r="I2636">
        <v>0</v>
      </c>
      <c r="J2636" t="s">
        <v>97</v>
      </c>
      <c r="K2636">
        <v>0</v>
      </c>
      <c r="L2636">
        <v>0</v>
      </c>
      <c r="M2636" t="s">
        <v>11</v>
      </c>
    </row>
    <row r="2637" spans="1:13">
      <c r="A2637" s="93">
        <v>215123</v>
      </c>
      <c r="B2637" t="s">
        <v>3168</v>
      </c>
      <c r="C2637" t="s">
        <v>4924</v>
      </c>
      <c r="D2637" s="92" t="s">
        <v>446</v>
      </c>
      <c r="E2637" s="92" t="s">
        <v>446</v>
      </c>
      <c r="F2637" t="s">
        <v>446</v>
      </c>
      <c r="G2637" t="s">
        <v>446</v>
      </c>
      <c r="H2637" t="s">
        <v>4932</v>
      </c>
      <c r="I2637">
        <v>0</v>
      </c>
      <c r="J2637" t="s">
        <v>97</v>
      </c>
      <c r="K2637">
        <v>0</v>
      </c>
      <c r="L2637">
        <v>0</v>
      </c>
      <c r="M2637" t="s">
        <v>11</v>
      </c>
    </row>
    <row r="2638" spans="1:13">
      <c r="A2638" s="93">
        <v>215132</v>
      </c>
      <c r="B2638" t="s">
        <v>3169</v>
      </c>
      <c r="C2638" t="s">
        <v>4916</v>
      </c>
      <c r="D2638" s="92">
        <v>0.79</v>
      </c>
      <c r="E2638" s="92">
        <v>0.64</v>
      </c>
      <c r="F2638">
        <v>1090</v>
      </c>
      <c r="G2638">
        <v>1215</v>
      </c>
      <c r="H2638" t="s">
        <v>4930</v>
      </c>
      <c r="I2638">
        <v>0</v>
      </c>
      <c r="J2638" t="s">
        <v>97</v>
      </c>
      <c r="K2638">
        <v>0</v>
      </c>
      <c r="L2638">
        <v>0</v>
      </c>
      <c r="M2638" t="s">
        <v>11</v>
      </c>
    </row>
    <row r="2639" spans="1:13">
      <c r="A2639" s="93">
        <v>215239</v>
      </c>
      <c r="B2639" t="s">
        <v>3170</v>
      </c>
      <c r="C2639" t="s">
        <v>4919</v>
      </c>
      <c r="D2639" s="92">
        <v>0.25</v>
      </c>
      <c r="E2639" s="92">
        <v>0.19</v>
      </c>
      <c r="F2639" t="s">
        <v>446</v>
      </c>
      <c r="G2639" t="s">
        <v>446</v>
      </c>
      <c r="H2639" t="s">
        <v>4932</v>
      </c>
      <c r="I2639">
        <v>0</v>
      </c>
      <c r="J2639" t="s">
        <v>97</v>
      </c>
      <c r="K2639">
        <v>0</v>
      </c>
      <c r="L2639">
        <v>0</v>
      </c>
      <c r="M2639" t="s">
        <v>11</v>
      </c>
    </row>
    <row r="2640" spans="1:13">
      <c r="A2640" s="93">
        <v>215266</v>
      </c>
      <c r="B2640" t="s">
        <v>3171</v>
      </c>
      <c r="C2640" t="s">
        <v>4920</v>
      </c>
      <c r="D2640" s="92">
        <v>0.42</v>
      </c>
      <c r="E2640" s="92">
        <v>0.31</v>
      </c>
      <c r="F2640">
        <v>990</v>
      </c>
      <c r="G2640">
        <v>1085</v>
      </c>
      <c r="H2640" t="s">
        <v>4932</v>
      </c>
      <c r="I2640">
        <v>0</v>
      </c>
      <c r="J2640" t="s">
        <v>97</v>
      </c>
      <c r="K2640">
        <v>0</v>
      </c>
      <c r="L2640">
        <v>0</v>
      </c>
      <c r="M2640" t="s">
        <v>11</v>
      </c>
    </row>
    <row r="2641" spans="1:13">
      <c r="A2641" s="93">
        <v>215275</v>
      </c>
      <c r="B2641" t="s">
        <v>3172</v>
      </c>
      <c r="C2641" t="s">
        <v>4920</v>
      </c>
      <c r="D2641" s="92">
        <v>0.35</v>
      </c>
      <c r="E2641" s="92">
        <v>0.31</v>
      </c>
      <c r="F2641">
        <v>1030</v>
      </c>
      <c r="G2641">
        <v>1120</v>
      </c>
      <c r="H2641" t="s">
        <v>4932</v>
      </c>
      <c r="I2641">
        <v>0</v>
      </c>
      <c r="J2641" t="s">
        <v>97</v>
      </c>
      <c r="K2641">
        <v>0</v>
      </c>
      <c r="L2641">
        <v>0</v>
      </c>
      <c r="M2641" t="s">
        <v>11</v>
      </c>
    </row>
    <row r="2642" spans="1:13">
      <c r="A2642" s="93">
        <v>215284</v>
      </c>
      <c r="B2642" t="s">
        <v>3173</v>
      </c>
      <c r="C2642" t="s">
        <v>4920</v>
      </c>
      <c r="D2642" s="92">
        <v>0.53</v>
      </c>
      <c r="E2642" s="92">
        <v>0.4</v>
      </c>
      <c r="F2642">
        <v>1020</v>
      </c>
      <c r="G2642">
        <v>1125</v>
      </c>
      <c r="H2642" t="s">
        <v>4932</v>
      </c>
      <c r="I2642">
        <v>0</v>
      </c>
      <c r="J2642" t="s">
        <v>97</v>
      </c>
      <c r="K2642">
        <v>0</v>
      </c>
      <c r="L2642">
        <v>0</v>
      </c>
      <c r="M2642" t="s">
        <v>11</v>
      </c>
    </row>
    <row r="2643" spans="1:13">
      <c r="A2643" s="93">
        <v>215293</v>
      </c>
      <c r="B2643" t="s">
        <v>3174</v>
      </c>
      <c r="C2643" t="s">
        <v>4917</v>
      </c>
      <c r="D2643" s="92">
        <v>0.84</v>
      </c>
      <c r="E2643" s="92">
        <v>0.76</v>
      </c>
      <c r="F2643">
        <v>1250</v>
      </c>
      <c r="G2643">
        <v>1360</v>
      </c>
      <c r="H2643" t="s">
        <v>4930</v>
      </c>
      <c r="I2643">
        <v>0</v>
      </c>
      <c r="J2643" t="s">
        <v>97</v>
      </c>
      <c r="K2643">
        <v>0</v>
      </c>
      <c r="L2643">
        <v>0</v>
      </c>
      <c r="M2643" t="s">
        <v>11</v>
      </c>
    </row>
    <row r="2644" spans="1:13">
      <c r="A2644" s="93">
        <v>215309</v>
      </c>
      <c r="B2644" t="s">
        <v>3175</v>
      </c>
      <c r="C2644" t="s">
        <v>4925</v>
      </c>
      <c r="D2644" s="92">
        <v>0.48</v>
      </c>
      <c r="E2644" s="92">
        <v>0.43</v>
      </c>
      <c r="F2644">
        <v>1020</v>
      </c>
      <c r="G2644">
        <v>1095</v>
      </c>
      <c r="H2644" t="s">
        <v>4932</v>
      </c>
      <c r="I2644">
        <v>0</v>
      </c>
      <c r="J2644" t="s">
        <v>97</v>
      </c>
      <c r="K2644">
        <v>0</v>
      </c>
      <c r="L2644">
        <v>0</v>
      </c>
      <c r="M2644" t="s">
        <v>11</v>
      </c>
    </row>
    <row r="2645" spans="1:13">
      <c r="A2645" s="93">
        <v>215381</v>
      </c>
      <c r="B2645" t="s">
        <v>3176</v>
      </c>
      <c r="C2645" t="s">
        <v>4919</v>
      </c>
      <c r="D2645" s="92" t="s">
        <v>446</v>
      </c>
      <c r="E2645" s="92" t="s">
        <v>446</v>
      </c>
      <c r="F2645" t="s">
        <v>446</v>
      </c>
      <c r="G2645" t="s">
        <v>446</v>
      </c>
      <c r="H2645" t="s">
        <v>4930</v>
      </c>
      <c r="I2645">
        <v>0</v>
      </c>
      <c r="J2645" t="s">
        <v>97</v>
      </c>
      <c r="K2645">
        <v>0</v>
      </c>
      <c r="L2645">
        <v>0</v>
      </c>
      <c r="M2645" t="s">
        <v>11</v>
      </c>
    </row>
    <row r="2646" spans="1:13">
      <c r="A2646" s="93">
        <v>215390</v>
      </c>
      <c r="B2646" t="s">
        <v>3177</v>
      </c>
      <c r="C2646" t="s">
        <v>4919</v>
      </c>
      <c r="D2646" s="92" t="s">
        <v>446</v>
      </c>
      <c r="E2646" s="92" t="s">
        <v>446</v>
      </c>
      <c r="F2646" t="s">
        <v>446</v>
      </c>
      <c r="G2646" t="s">
        <v>446</v>
      </c>
      <c r="H2646" t="s">
        <v>4932</v>
      </c>
      <c r="I2646">
        <v>0</v>
      </c>
      <c r="J2646" t="s">
        <v>97</v>
      </c>
      <c r="K2646">
        <v>0</v>
      </c>
      <c r="L2646">
        <v>0</v>
      </c>
      <c r="M2646" t="s">
        <v>11</v>
      </c>
    </row>
    <row r="2647" spans="1:13">
      <c r="A2647" s="93">
        <v>215415</v>
      </c>
      <c r="B2647" t="s">
        <v>3178</v>
      </c>
      <c r="C2647" t="s">
        <v>4923</v>
      </c>
      <c r="D2647" s="92" t="s">
        <v>446</v>
      </c>
      <c r="E2647" s="92" t="s">
        <v>446</v>
      </c>
      <c r="F2647" t="s">
        <v>446</v>
      </c>
      <c r="G2647" t="s">
        <v>446</v>
      </c>
      <c r="H2647" t="s">
        <v>4930</v>
      </c>
      <c r="I2647">
        <v>0</v>
      </c>
      <c r="J2647" t="s">
        <v>97</v>
      </c>
      <c r="K2647">
        <v>0</v>
      </c>
      <c r="L2647">
        <v>0</v>
      </c>
      <c r="M2647" t="s">
        <v>11</v>
      </c>
    </row>
    <row r="2648" spans="1:13">
      <c r="A2648" s="93">
        <v>215424</v>
      </c>
      <c r="B2648" t="s">
        <v>3179</v>
      </c>
      <c r="C2648" t="s">
        <v>4924</v>
      </c>
      <c r="D2648" s="92" t="s">
        <v>446</v>
      </c>
      <c r="E2648" s="92" t="s">
        <v>446</v>
      </c>
      <c r="F2648" t="s">
        <v>446</v>
      </c>
      <c r="G2648" t="s">
        <v>446</v>
      </c>
      <c r="H2648" t="s">
        <v>4932</v>
      </c>
      <c r="I2648">
        <v>0</v>
      </c>
      <c r="J2648" t="s">
        <v>97</v>
      </c>
      <c r="K2648">
        <v>0</v>
      </c>
      <c r="L2648">
        <v>0</v>
      </c>
      <c r="M2648" t="s">
        <v>11</v>
      </c>
    </row>
    <row r="2649" spans="1:13">
      <c r="A2649" s="93">
        <v>215479</v>
      </c>
      <c r="B2649" t="s">
        <v>3180</v>
      </c>
      <c r="C2649" t="s">
        <v>4919</v>
      </c>
      <c r="D2649" s="92" t="s">
        <v>446</v>
      </c>
      <c r="E2649" s="92" t="s">
        <v>446</v>
      </c>
      <c r="F2649" t="s">
        <v>446</v>
      </c>
      <c r="G2649" t="s">
        <v>446</v>
      </c>
      <c r="H2649" t="s">
        <v>4932</v>
      </c>
      <c r="I2649">
        <v>0</v>
      </c>
      <c r="J2649" t="s">
        <v>97</v>
      </c>
      <c r="K2649">
        <v>0</v>
      </c>
      <c r="L2649">
        <v>0</v>
      </c>
      <c r="M2649" t="s">
        <v>11</v>
      </c>
    </row>
    <row r="2650" spans="1:13">
      <c r="A2650" s="93">
        <v>215585</v>
      </c>
      <c r="B2650" t="s">
        <v>3181</v>
      </c>
      <c r="C2650" t="s">
        <v>4919</v>
      </c>
      <c r="D2650" s="92">
        <v>0.31</v>
      </c>
      <c r="E2650" s="92">
        <v>0.23</v>
      </c>
      <c r="F2650" t="s">
        <v>446</v>
      </c>
      <c r="G2650" t="s">
        <v>446</v>
      </c>
      <c r="H2650" t="s">
        <v>4932</v>
      </c>
      <c r="I2650">
        <v>0</v>
      </c>
      <c r="J2650" t="s">
        <v>97</v>
      </c>
      <c r="K2650">
        <v>0</v>
      </c>
      <c r="L2650">
        <v>0</v>
      </c>
      <c r="M2650" t="s">
        <v>11</v>
      </c>
    </row>
    <row r="2651" spans="1:13">
      <c r="A2651" s="93">
        <v>215594</v>
      </c>
      <c r="B2651" t="s">
        <v>3182</v>
      </c>
      <c r="C2651" t="s">
        <v>4925</v>
      </c>
      <c r="D2651" s="92" t="s">
        <v>446</v>
      </c>
      <c r="E2651" s="92" t="s">
        <v>446</v>
      </c>
      <c r="F2651">
        <v>960</v>
      </c>
      <c r="G2651">
        <v>1050</v>
      </c>
      <c r="H2651" t="s">
        <v>4931</v>
      </c>
      <c r="I2651">
        <v>0</v>
      </c>
      <c r="J2651" t="s">
        <v>97</v>
      </c>
      <c r="K2651">
        <v>0</v>
      </c>
      <c r="L2651">
        <v>0</v>
      </c>
      <c r="M2651" t="s">
        <v>11</v>
      </c>
    </row>
    <row r="2652" spans="1:13">
      <c r="A2652" s="93">
        <v>215619</v>
      </c>
      <c r="B2652" t="s">
        <v>3183</v>
      </c>
      <c r="C2652" t="s">
        <v>4924</v>
      </c>
      <c r="D2652" s="92" t="s">
        <v>446</v>
      </c>
      <c r="E2652" s="92" t="s">
        <v>446</v>
      </c>
      <c r="F2652" t="s">
        <v>446</v>
      </c>
      <c r="G2652" t="s">
        <v>446</v>
      </c>
      <c r="H2652" t="s">
        <v>4932</v>
      </c>
      <c r="I2652">
        <v>0</v>
      </c>
      <c r="J2652" t="s">
        <v>97</v>
      </c>
      <c r="K2652">
        <v>0</v>
      </c>
      <c r="L2652">
        <v>0</v>
      </c>
      <c r="M2652" t="s">
        <v>11</v>
      </c>
    </row>
    <row r="2653" spans="1:13">
      <c r="A2653" s="93">
        <v>215637</v>
      </c>
      <c r="B2653" t="s">
        <v>3184</v>
      </c>
      <c r="C2653" t="s">
        <v>4924</v>
      </c>
      <c r="D2653" s="92">
        <v>0.11</v>
      </c>
      <c r="E2653" s="92">
        <v>0.05</v>
      </c>
      <c r="F2653" t="s">
        <v>446</v>
      </c>
      <c r="G2653" t="s">
        <v>446</v>
      </c>
      <c r="H2653" t="s">
        <v>4930</v>
      </c>
      <c r="I2653">
        <v>0</v>
      </c>
      <c r="J2653" t="s">
        <v>97</v>
      </c>
      <c r="K2653">
        <v>0</v>
      </c>
      <c r="L2653">
        <v>0</v>
      </c>
      <c r="M2653" t="s">
        <v>11</v>
      </c>
    </row>
    <row r="2654" spans="1:13">
      <c r="A2654" s="93">
        <v>215655</v>
      </c>
      <c r="B2654" t="s">
        <v>3185</v>
      </c>
      <c r="C2654" t="s">
        <v>4920</v>
      </c>
      <c r="D2654" s="92">
        <v>0.66</v>
      </c>
      <c r="E2654" s="92">
        <v>0.39</v>
      </c>
      <c r="F2654" t="s">
        <v>446</v>
      </c>
      <c r="G2654" t="s">
        <v>446</v>
      </c>
      <c r="H2654" t="s">
        <v>4930</v>
      </c>
      <c r="I2654">
        <v>0</v>
      </c>
      <c r="J2654" t="s">
        <v>97</v>
      </c>
      <c r="K2654">
        <v>0</v>
      </c>
      <c r="L2654">
        <v>0</v>
      </c>
      <c r="M2654" t="s">
        <v>11</v>
      </c>
    </row>
    <row r="2655" spans="1:13">
      <c r="A2655" s="93">
        <v>215682</v>
      </c>
      <c r="B2655" t="s">
        <v>3186</v>
      </c>
      <c r="C2655" t="s">
        <v>4925</v>
      </c>
      <c r="D2655" s="92" t="s">
        <v>446</v>
      </c>
      <c r="E2655" s="92" t="s">
        <v>446</v>
      </c>
      <c r="F2655" t="s">
        <v>446</v>
      </c>
      <c r="G2655" t="s">
        <v>446</v>
      </c>
      <c r="H2655" t="s">
        <v>4931</v>
      </c>
      <c r="I2655">
        <v>0</v>
      </c>
      <c r="J2655" t="s">
        <v>97</v>
      </c>
      <c r="K2655">
        <v>0</v>
      </c>
      <c r="L2655">
        <v>0</v>
      </c>
      <c r="M2655" t="s">
        <v>11</v>
      </c>
    </row>
    <row r="2656" spans="1:13">
      <c r="A2656" s="93">
        <v>215691</v>
      </c>
      <c r="B2656" t="s">
        <v>3187</v>
      </c>
      <c r="C2656" t="s">
        <v>4920</v>
      </c>
      <c r="D2656" s="92">
        <v>0.48</v>
      </c>
      <c r="E2656" s="92">
        <v>0.43</v>
      </c>
      <c r="F2656">
        <v>980</v>
      </c>
      <c r="G2656">
        <v>1090</v>
      </c>
      <c r="H2656" t="s">
        <v>4930</v>
      </c>
      <c r="I2656">
        <v>0</v>
      </c>
      <c r="J2656" t="s">
        <v>97</v>
      </c>
      <c r="K2656">
        <v>0</v>
      </c>
      <c r="L2656">
        <v>0</v>
      </c>
      <c r="M2656" t="s">
        <v>11</v>
      </c>
    </row>
    <row r="2657" spans="1:13">
      <c r="A2657" s="93">
        <v>215743</v>
      </c>
      <c r="B2657" t="s">
        <v>3188</v>
      </c>
      <c r="C2657" t="s">
        <v>4923</v>
      </c>
      <c r="D2657" s="92">
        <v>0.7</v>
      </c>
      <c r="E2657" s="92">
        <v>0.42</v>
      </c>
      <c r="F2657" t="s">
        <v>446</v>
      </c>
      <c r="G2657" t="s">
        <v>446</v>
      </c>
      <c r="H2657" t="s">
        <v>4930</v>
      </c>
      <c r="I2657">
        <v>0</v>
      </c>
      <c r="J2657" t="s">
        <v>97</v>
      </c>
      <c r="K2657">
        <v>0</v>
      </c>
      <c r="L2657">
        <v>0</v>
      </c>
      <c r="M2657" t="s">
        <v>11</v>
      </c>
    </row>
    <row r="2658" spans="1:13">
      <c r="A2658" s="93">
        <v>215770</v>
      </c>
      <c r="B2658" t="s">
        <v>3189</v>
      </c>
      <c r="C2658" t="s">
        <v>4916</v>
      </c>
      <c r="D2658" s="92">
        <v>0.83</v>
      </c>
      <c r="E2658" s="92">
        <v>0.73</v>
      </c>
      <c r="F2658">
        <v>1120</v>
      </c>
      <c r="G2658">
        <v>1215</v>
      </c>
      <c r="H2658" t="s">
        <v>4930</v>
      </c>
      <c r="I2658">
        <v>0</v>
      </c>
      <c r="J2658" t="s">
        <v>97</v>
      </c>
      <c r="K2658">
        <v>0</v>
      </c>
      <c r="L2658">
        <v>0</v>
      </c>
      <c r="M2658" t="s">
        <v>11</v>
      </c>
    </row>
    <row r="2659" spans="1:13">
      <c r="A2659" s="93">
        <v>215798</v>
      </c>
      <c r="B2659" t="s">
        <v>3190</v>
      </c>
      <c r="C2659" t="s">
        <v>4920</v>
      </c>
      <c r="D2659" s="92">
        <v>0.72</v>
      </c>
      <c r="E2659" s="92">
        <v>0.47</v>
      </c>
      <c r="F2659">
        <v>950</v>
      </c>
      <c r="G2659">
        <v>1080</v>
      </c>
      <c r="H2659" t="s">
        <v>4930</v>
      </c>
      <c r="I2659">
        <v>0</v>
      </c>
      <c r="J2659" t="s">
        <v>97</v>
      </c>
      <c r="K2659">
        <v>0</v>
      </c>
      <c r="L2659">
        <v>0</v>
      </c>
      <c r="M2659" t="s">
        <v>11</v>
      </c>
    </row>
    <row r="2660" spans="1:13">
      <c r="A2660" s="93">
        <v>215813</v>
      </c>
      <c r="B2660" t="s">
        <v>3191</v>
      </c>
      <c r="C2660" t="s">
        <v>4924</v>
      </c>
      <c r="D2660" s="92" t="s">
        <v>446</v>
      </c>
      <c r="E2660" s="92" t="s">
        <v>446</v>
      </c>
      <c r="F2660" t="s">
        <v>446</v>
      </c>
      <c r="G2660" t="s">
        <v>446</v>
      </c>
      <c r="H2660" t="s">
        <v>4932</v>
      </c>
      <c r="I2660">
        <v>0</v>
      </c>
      <c r="J2660" t="s">
        <v>97</v>
      </c>
      <c r="K2660">
        <v>0</v>
      </c>
      <c r="L2660">
        <v>0</v>
      </c>
      <c r="M2660" t="s">
        <v>11</v>
      </c>
    </row>
    <row r="2661" spans="1:13">
      <c r="A2661" s="93">
        <v>215929</v>
      </c>
      <c r="B2661" t="s">
        <v>3192</v>
      </c>
      <c r="C2661" t="s">
        <v>4916</v>
      </c>
      <c r="D2661" s="92">
        <v>0.79</v>
      </c>
      <c r="E2661" s="92">
        <v>0.6899999999999999</v>
      </c>
      <c r="F2661">
        <v>1100</v>
      </c>
      <c r="G2661">
        <v>1190</v>
      </c>
      <c r="H2661" t="s">
        <v>4930</v>
      </c>
      <c r="I2661">
        <v>0</v>
      </c>
      <c r="J2661" t="s">
        <v>97</v>
      </c>
      <c r="K2661">
        <v>0</v>
      </c>
      <c r="L2661">
        <v>0</v>
      </c>
      <c r="M2661" t="s">
        <v>11</v>
      </c>
    </row>
    <row r="2662" spans="1:13">
      <c r="A2662" s="93">
        <v>215947</v>
      </c>
      <c r="B2662" t="s">
        <v>3193</v>
      </c>
      <c r="C2662" t="s">
        <v>4920</v>
      </c>
      <c r="D2662" s="92">
        <v>0.66</v>
      </c>
      <c r="E2662" s="92">
        <v>0.46</v>
      </c>
      <c r="F2662" t="s">
        <v>446</v>
      </c>
      <c r="G2662" t="s">
        <v>446</v>
      </c>
      <c r="H2662" t="s">
        <v>4930</v>
      </c>
      <c r="I2662">
        <v>0</v>
      </c>
      <c r="J2662" t="s">
        <v>97</v>
      </c>
      <c r="K2662">
        <v>0</v>
      </c>
      <c r="L2662">
        <v>0</v>
      </c>
      <c r="M2662" t="s">
        <v>11</v>
      </c>
    </row>
    <row r="2663" spans="1:13">
      <c r="A2663" s="93">
        <v>215974</v>
      </c>
      <c r="B2663" t="s">
        <v>3194</v>
      </c>
      <c r="C2663" t="s">
        <v>4925</v>
      </c>
      <c r="D2663" s="92" t="s">
        <v>446</v>
      </c>
      <c r="E2663" s="92" t="s">
        <v>446</v>
      </c>
      <c r="F2663" t="s">
        <v>446</v>
      </c>
      <c r="G2663" t="s">
        <v>446</v>
      </c>
      <c r="H2663" t="s">
        <v>4932</v>
      </c>
      <c r="I2663">
        <v>0</v>
      </c>
      <c r="J2663" t="s">
        <v>97</v>
      </c>
      <c r="K2663">
        <v>0</v>
      </c>
      <c r="L2663">
        <v>0</v>
      </c>
      <c r="M2663" t="s">
        <v>11</v>
      </c>
    </row>
    <row r="2664" spans="1:13">
      <c r="A2664" s="93">
        <v>215992</v>
      </c>
      <c r="B2664" t="s">
        <v>3195</v>
      </c>
      <c r="C2664" t="s">
        <v>4919</v>
      </c>
      <c r="D2664" s="92" t="s">
        <v>446</v>
      </c>
      <c r="E2664" s="92" t="s">
        <v>446</v>
      </c>
      <c r="F2664" t="s">
        <v>446</v>
      </c>
      <c r="G2664" t="s">
        <v>446</v>
      </c>
      <c r="H2664" t="s">
        <v>4931</v>
      </c>
      <c r="I2664">
        <v>0</v>
      </c>
      <c r="J2664" t="s">
        <v>97</v>
      </c>
      <c r="K2664">
        <v>0</v>
      </c>
      <c r="L2664">
        <v>0</v>
      </c>
      <c r="M2664" t="s">
        <v>11</v>
      </c>
    </row>
    <row r="2665" spans="1:13">
      <c r="A2665" s="93">
        <v>216010</v>
      </c>
      <c r="B2665" t="s">
        <v>3196</v>
      </c>
      <c r="C2665" t="s">
        <v>4920</v>
      </c>
      <c r="D2665" s="92">
        <v>0.58</v>
      </c>
      <c r="E2665" s="92">
        <v>0.36</v>
      </c>
      <c r="F2665">
        <v>970</v>
      </c>
      <c r="G2665">
        <v>1075</v>
      </c>
      <c r="H2665" t="s">
        <v>4932</v>
      </c>
      <c r="I2665">
        <v>0</v>
      </c>
      <c r="J2665" t="s">
        <v>97</v>
      </c>
      <c r="K2665">
        <v>0</v>
      </c>
      <c r="L2665">
        <v>0</v>
      </c>
      <c r="M2665" t="s">
        <v>11</v>
      </c>
    </row>
    <row r="2666" spans="1:13">
      <c r="A2666" s="93">
        <v>216038</v>
      </c>
      <c r="B2666" t="s">
        <v>3197</v>
      </c>
      <c r="C2666" t="s">
        <v>4920</v>
      </c>
      <c r="D2666" s="92">
        <v>0.68</v>
      </c>
      <c r="E2666" s="92">
        <v>0.53</v>
      </c>
      <c r="F2666">
        <v>970</v>
      </c>
      <c r="G2666">
        <v>1070</v>
      </c>
      <c r="H2666" t="s">
        <v>4932</v>
      </c>
      <c r="I2666">
        <v>0</v>
      </c>
      <c r="J2666" t="s">
        <v>97</v>
      </c>
      <c r="K2666">
        <v>0</v>
      </c>
      <c r="L2666">
        <v>0</v>
      </c>
      <c r="M2666" t="s">
        <v>11</v>
      </c>
    </row>
    <row r="2667" spans="1:13">
      <c r="A2667" s="93">
        <v>216047</v>
      </c>
      <c r="B2667" t="s">
        <v>3198</v>
      </c>
      <c r="C2667" t="s">
        <v>4924</v>
      </c>
      <c r="D2667" s="92">
        <v>0.52</v>
      </c>
      <c r="E2667" s="92">
        <v>0.33</v>
      </c>
      <c r="F2667" t="s">
        <v>446</v>
      </c>
      <c r="G2667" t="s">
        <v>446</v>
      </c>
      <c r="H2667" t="s">
        <v>4932</v>
      </c>
      <c r="I2667">
        <v>0</v>
      </c>
      <c r="J2667" t="s">
        <v>97</v>
      </c>
      <c r="K2667">
        <v>0</v>
      </c>
      <c r="L2667">
        <v>0</v>
      </c>
      <c r="M2667" t="s">
        <v>11</v>
      </c>
    </row>
    <row r="2668" spans="1:13">
      <c r="A2668" s="93">
        <v>216083</v>
      </c>
      <c r="B2668" t="s">
        <v>3199</v>
      </c>
      <c r="C2668" t="s">
        <v>4919</v>
      </c>
      <c r="D2668" s="92" t="s">
        <v>446</v>
      </c>
      <c r="E2668" s="92" t="s">
        <v>446</v>
      </c>
      <c r="F2668" t="s">
        <v>446</v>
      </c>
      <c r="G2668" t="s">
        <v>446</v>
      </c>
      <c r="H2668" t="s">
        <v>4930</v>
      </c>
      <c r="I2668">
        <v>0</v>
      </c>
      <c r="J2668" t="s">
        <v>97</v>
      </c>
      <c r="K2668">
        <v>0</v>
      </c>
      <c r="L2668">
        <v>0</v>
      </c>
      <c r="M2668" t="s">
        <v>11</v>
      </c>
    </row>
    <row r="2669" spans="1:13">
      <c r="A2669" s="93">
        <v>216278</v>
      </c>
      <c r="B2669" t="s">
        <v>3200</v>
      </c>
      <c r="C2669" t="s">
        <v>4916</v>
      </c>
      <c r="D2669" s="92">
        <v>0.74</v>
      </c>
      <c r="E2669" s="92">
        <v>0.63</v>
      </c>
      <c r="F2669" t="s">
        <v>446</v>
      </c>
      <c r="G2669" t="s">
        <v>446</v>
      </c>
      <c r="H2669" t="s">
        <v>4930</v>
      </c>
      <c r="I2669">
        <v>0</v>
      </c>
      <c r="J2669" t="s">
        <v>97</v>
      </c>
      <c r="K2669">
        <v>0</v>
      </c>
      <c r="L2669">
        <v>0</v>
      </c>
      <c r="M2669" t="s">
        <v>11</v>
      </c>
    </row>
    <row r="2670" spans="1:13">
      <c r="A2670" s="93">
        <v>216296</v>
      </c>
      <c r="B2670" t="s">
        <v>3201</v>
      </c>
      <c r="C2670" t="s">
        <v>4925</v>
      </c>
      <c r="D2670" s="92" t="s">
        <v>446</v>
      </c>
      <c r="E2670" s="92" t="s">
        <v>446</v>
      </c>
      <c r="F2670" t="s">
        <v>446</v>
      </c>
      <c r="G2670" t="s">
        <v>446</v>
      </c>
      <c r="H2670" t="s">
        <v>4932</v>
      </c>
      <c r="I2670">
        <v>0</v>
      </c>
      <c r="J2670" t="s">
        <v>97</v>
      </c>
      <c r="K2670">
        <v>0</v>
      </c>
      <c r="L2670">
        <v>0</v>
      </c>
      <c r="M2670" t="s">
        <v>11</v>
      </c>
    </row>
    <row r="2671" spans="1:13">
      <c r="A2671" s="93">
        <v>216311</v>
      </c>
      <c r="B2671" t="s">
        <v>3202</v>
      </c>
      <c r="C2671" t="s">
        <v>4924</v>
      </c>
      <c r="D2671" s="92">
        <v>0.5</v>
      </c>
      <c r="E2671" s="92" t="s">
        <v>446</v>
      </c>
      <c r="F2671" t="s">
        <v>446</v>
      </c>
      <c r="G2671" t="s">
        <v>446</v>
      </c>
      <c r="H2671" t="s">
        <v>4931</v>
      </c>
      <c r="I2671">
        <v>0</v>
      </c>
      <c r="J2671" t="s">
        <v>97</v>
      </c>
      <c r="K2671">
        <v>0</v>
      </c>
      <c r="L2671">
        <v>0</v>
      </c>
      <c r="M2671" t="s">
        <v>11</v>
      </c>
    </row>
    <row r="2672" spans="1:13">
      <c r="A2672" s="93">
        <v>216348</v>
      </c>
      <c r="B2672" t="s">
        <v>3203</v>
      </c>
      <c r="C2672" t="s">
        <v>4924</v>
      </c>
      <c r="D2672" s="92" t="s">
        <v>446</v>
      </c>
      <c r="E2672" s="92" t="s">
        <v>446</v>
      </c>
      <c r="F2672" t="s">
        <v>446</v>
      </c>
      <c r="G2672" t="s">
        <v>446</v>
      </c>
      <c r="H2672" t="s">
        <v>4932</v>
      </c>
      <c r="I2672">
        <v>0</v>
      </c>
      <c r="J2672" t="s">
        <v>97</v>
      </c>
      <c r="K2672">
        <v>0</v>
      </c>
      <c r="L2672">
        <v>0</v>
      </c>
      <c r="M2672" t="s">
        <v>11</v>
      </c>
    </row>
    <row r="2673" spans="1:13">
      <c r="A2673" s="93">
        <v>216357</v>
      </c>
      <c r="B2673" t="s">
        <v>3204</v>
      </c>
      <c r="C2673" t="s">
        <v>4920</v>
      </c>
      <c r="D2673" s="92">
        <v>0.49</v>
      </c>
      <c r="E2673" s="92">
        <v>0.28</v>
      </c>
      <c r="F2673">
        <v>960</v>
      </c>
      <c r="G2673">
        <v>1060</v>
      </c>
      <c r="H2673" t="s">
        <v>4930</v>
      </c>
      <c r="I2673">
        <v>0</v>
      </c>
      <c r="J2673" t="s">
        <v>97</v>
      </c>
      <c r="K2673">
        <v>0</v>
      </c>
      <c r="L2673">
        <v>0</v>
      </c>
      <c r="M2673" t="s">
        <v>11</v>
      </c>
    </row>
    <row r="2674" spans="1:13">
      <c r="A2674" s="93">
        <v>216366</v>
      </c>
      <c r="B2674" t="s">
        <v>3205</v>
      </c>
      <c r="C2674" t="s">
        <v>4916</v>
      </c>
      <c r="D2674" s="92">
        <v>0.7</v>
      </c>
      <c r="E2674" s="92">
        <v>0.58</v>
      </c>
      <c r="F2674">
        <v>1130</v>
      </c>
      <c r="G2674">
        <v>1225</v>
      </c>
      <c r="H2674" t="s">
        <v>4930</v>
      </c>
      <c r="I2674">
        <v>0</v>
      </c>
      <c r="J2674" t="s">
        <v>97</v>
      </c>
      <c r="K2674">
        <v>0</v>
      </c>
      <c r="L2674">
        <v>0</v>
      </c>
      <c r="M2674" t="s">
        <v>11</v>
      </c>
    </row>
    <row r="2675" spans="1:13">
      <c r="A2675" s="93">
        <v>216436</v>
      </c>
      <c r="B2675" t="s">
        <v>3206</v>
      </c>
      <c r="C2675" t="s">
        <v>4919</v>
      </c>
      <c r="D2675" s="92" t="s">
        <v>446</v>
      </c>
      <c r="E2675" s="92" t="s">
        <v>446</v>
      </c>
      <c r="F2675" t="s">
        <v>446</v>
      </c>
      <c r="G2675" t="s">
        <v>446</v>
      </c>
      <c r="H2675" t="s">
        <v>4930</v>
      </c>
      <c r="I2675">
        <v>0</v>
      </c>
      <c r="J2675" t="s">
        <v>97</v>
      </c>
      <c r="K2675">
        <v>0</v>
      </c>
      <c r="L2675">
        <v>0</v>
      </c>
      <c r="M2675" t="s">
        <v>11</v>
      </c>
    </row>
    <row r="2676" spans="1:13">
      <c r="A2676" s="93">
        <v>216445</v>
      </c>
      <c r="B2676" t="s">
        <v>3207</v>
      </c>
      <c r="C2676" t="s">
        <v>4919</v>
      </c>
      <c r="D2676" s="92" t="s">
        <v>446</v>
      </c>
      <c r="E2676" s="92" t="s">
        <v>446</v>
      </c>
      <c r="F2676" t="s">
        <v>446</v>
      </c>
      <c r="G2676" t="s">
        <v>446</v>
      </c>
      <c r="H2676" t="s">
        <v>4930</v>
      </c>
      <c r="I2676">
        <v>0</v>
      </c>
      <c r="J2676" t="s">
        <v>97</v>
      </c>
      <c r="K2676">
        <v>0</v>
      </c>
      <c r="L2676">
        <v>0</v>
      </c>
      <c r="M2676" t="s">
        <v>11</v>
      </c>
    </row>
    <row r="2677" spans="1:13">
      <c r="A2677" s="93">
        <v>216454</v>
      </c>
      <c r="B2677" t="s">
        <v>3208</v>
      </c>
      <c r="C2677" t="s">
        <v>4919</v>
      </c>
      <c r="D2677" s="92" t="s">
        <v>446</v>
      </c>
      <c r="E2677" s="92" t="s">
        <v>446</v>
      </c>
      <c r="F2677" t="s">
        <v>446</v>
      </c>
      <c r="G2677" t="s">
        <v>446</v>
      </c>
      <c r="H2677" t="s">
        <v>4930</v>
      </c>
      <c r="I2677">
        <v>0</v>
      </c>
      <c r="J2677" t="s">
        <v>97</v>
      </c>
      <c r="K2677">
        <v>0</v>
      </c>
      <c r="L2677">
        <v>0</v>
      </c>
      <c r="M2677" t="s">
        <v>11</v>
      </c>
    </row>
    <row r="2678" spans="1:13">
      <c r="A2678" s="93">
        <v>216463</v>
      </c>
      <c r="B2678" t="s">
        <v>3209</v>
      </c>
      <c r="C2678" t="s">
        <v>4924</v>
      </c>
      <c r="D2678" s="92" t="s">
        <v>446</v>
      </c>
      <c r="E2678" s="92" t="s">
        <v>446</v>
      </c>
      <c r="F2678" t="s">
        <v>446</v>
      </c>
      <c r="G2678" t="s">
        <v>446</v>
      </c>
      <c r="H2678" t="s">
        <v>4932</v>
      </c>
      <c r="I2678">
        <v>0</v>
      </c>
      <c r="J2678" t="s">
        <v>97</v>
      </c>
      <c r="K2678">
        <v>0</v>
      </c>
      <c r="L2678">
        <v>0</v>
      </c>
      <c r="M2678" t="s">
        <v>11</v>
      </c>
    </row>
    <row r="2679" spans="1:13">
      <c r="A2679" s="93">
        <v>216524</v>
      </c>
      <c r="B2679" t="s">
        <v>3210</v>
      </c>
      <c r="C2679" t="s">
        <v>4916</v>
      </c>
      <c r="D2679" s="92">
        <v>0.76</v>
      </c>
      <c r="E2679" s="92">
        <v>0.64</v>
      </c>
      <c r="F2679">
        <v>1200</v>
      </c>
      <c r="G2679">
        <v>1280</v>
      </c>
      <c r="H2679" t="s">
        <v>4930</v>
      </c>
      <c r="I2679">
        <v>0</v>
      </c>
      <c r="J2679" t="s">
        <v>97</v>
      </c>
      <c r="K2679">
        <v>0</v>
      </c>
      <c r="L2679">
        <v>0</v>
      </c>
      <c r="M2679" t="s">
        <v>11</v>
      </c>
    </row>
    <row r="2680" spans="1:13">
      <c r="A2680" s="93">
        <v>216542</v>
      </c>
      <c r="B2680" t="s">
        <v>3211</v>
      </c>
      <c r="C2680" t="s">
        <v>4924</v>
      </c>
      <c r="D2680" s="92">
        <v>0.48</v>
      </c>
      <c r="E2680" s="92">
        <v>0.43</v>
      </c>
      <c r="F2680" t="s">
        <v>446</v>
      </c>
      <c r="G2680" t="s">
        <v>446</v>
      </c>
      <c r="H2680" t="s">
        <v>4930</v>
      </c>
      <c r="I2680">
        <v>0</v>
      </c>
      <c r="J2680" t="s">
        <v>97</v>
      </c>
      <c r="K2680">
        <v>0</v>
      </c>
      <c r="L2680">
        <v>0</v>
      </c>
      <c r="M2680" t="s">
        <v>11</v>
      </c>
    </row>
    <row r="2681" spans="1:13">
      <c r="A2681" s="93">
        <v>216551</v>
      </c>
      <c r="B2681" t="s">
        <v>3212</v>
      </c>
      <c r="C2681" t="s">
        <v>4919</v>
      </c>
      <c r="D2681" s="92" t="s">
        <v>446</v>
      </c>
      <c r="E2681" s="92" t="s">
        <v>446</v>
      </c>
      <c r="F2681" t="s">
        <v>446</v>
      </c>
      <c r="G2681" t="s">
        <v>446</v>
      </c>
      <c r="H2681" t="s">
        <v>4932</v>
      </c>
      <c r="I2681">
        <v>0</v>
      </c>
      <c r="J2681" t="s">
        <v>97</v>
      </c>
      <c r="K2681">
        <v>0</v>
      </c>
      <c r="L2681">
        <v>0</v>
      </c>
      <c r="M2681" t="s">
        <v>11</v>
      </c>
    </row>
    <row r="2682" spans="1:13">
      <c r="A2682" s="93">
        <v>216630</v>
      </c>
      <c r="B2682" t="s">
        <v>3213</v>
      </c>
      <c r="C2682" t="s">
        <v>4919</v>
      </c>
      <c r="D2682" s="92" t="s">
        <v>446</v>
      </c>
      <c r="E2682" s="92" t="s">
        <v>446</v>
      </c>
      <c r="F2682" t="s">
        <v>446</v>
      </c>
      <c r="G2682" t="s">
        <v>446</v>
      </c>
      <c r="H2682" t="s">
        <v>4932</v>
      </c>
      <c r="I2682">
        <v>0</v>
      </c>
      <c r="J2682" t="s">
        <v>97</v>
      </c>
      <c r="K2682">
        <v>0</v>
      </c>
      <c r="L2682">
        <v>0</v>
      </c>
      <c r="M2682" t="s">
        <v>11</v>
      </c>
    </row>
    <row r="2683" spans="1:13">
      <c r="A2683" s="93">
        <v>216667</v>
      </c>
      <c r="B2683" t="s">
        <v>3214</v>
      </c>
      <c r="C2683" t="s">
        <v>4916</v>
      </c>
      <c r="D2683" s="92">
        <v>0.72</v>
      </c>
      <c r="E2683" s="92">
        <v>0.65</v>
      </c>
      <c r="F2683">
        <v>1050</v>
      </c>
      <c r="G2683">
        <v>1175</v>
      </c>
      <c r="H2683" t="s">
        <v>4930</v>
      </c>
      <c r="I2683">
        <v>0</v>
      </c>
      <c r="J2683" t="s">
        <v>97</v>
      </c>
      <c r="K2683">
        <v>0</v>
      </c>
      <c r="L2683">
        <v>0</v>
      </c>
      <c r="M2683" t="s">
        <v>11</v>
      </c>
    </row>
    <row r="2684" spans="1:13">
      <c r="A2684" s="93">
        <v>216694</v>
      </c>
      <c r="B2684" t="s">
        <v>3215</v>
      </c>
      <c r="C2684" t="s">
        <v>4920</v>
      </c>
      <c r="D2684" s="92">
        <v>0.66</v>
      </c>
      <c r="E2684" s="92">
        <v>0.46</v>
      </c>
      <c r="F2684" t="s">
        <v>446</v>
      </c>
      <c r="G2684" t="s">
        <v>446</v>
      </c>
      <c r="H2684" t="s">
        <v>4930</v>
      </c>
      <c r="I2684">
        <v>0</v>
      </c>
      <c r="J2684" t="s">
        <v>97</v>
      </c>
      <c r="K2684">
        <v>0</v>
      </c>
      <c r="L2684">
        <v>0</v>
      </c>
      <c r="M2684" t="s">
        <v>11</v>
      </c>
    </row>
    <row r="2685" spans="1:13">
      <c r="A2685" s="93">
        <v>216764</v>
      </c>
      <c r="B2685" t="s">
        <v>3216</v>
      </c>
      <c r="C2685" t="s">
        <v>4920</v>
      </c>
      <c r="D2685" s="92">
        <v>0.73</v>
      </c>
      <c r="E2685" s="92">
        <v>0.58</v>
      </c>
      <c r="F2685">
        <v>1070</v>
      </c>
      <c r="G2685">
        <v>1160</v>
      </c>
      <c r="H2685" t="s">
        <v>4932</v>
      </c>
      <c r="I2685">
        <v>0</v>
      </c>
      <c r="J2685" t="s">
        <v>97</v>
      </c>
      <c r="K2685">
        <v>0</v>
      </c>
      <c r="L2685">
        <v>0</v>
      </c>
      <c r="M2685" t="s">
        <v>11</v>
      </c>
    </row>
    <row r="2686" spans="1:13">
      <c r="A2686" s="93">
        <v>216773</v>
      </c>
      <c r="B2686" t="s">
        <v>3217</v>
      </c>
      <c r="C2686" t="s">
        <v>4925</v>
      </c>
      <c r="D2686" s="92" t="s">
        <v>446</v>
      </c>
      <c r="E2686" s="92" t="s">
        <v>446</v>
      </c>
      <c r="F2686" t="s">
        <v>446</v>
      </c>
      <c r="G2686" t="s">
        <v>446</v>
      </c>
      <c r="H2686" t="s">
        <v>4931</v>
      </c>
      <c r="I2686">
        <v>0</v>
      </c>
      <c r="J2686" t="s">
        <v>97</v>
      </c>
      <c r="K2686">
        <v>0</v>
      </c>
      <c r="L2686">
        <v>0</v>
      </c>
      <c r="M2686" t="s">
        <v>11</v>
      </c>
    </row>
    <row r="2687" spans="1:13">
      <c r="A2687" s="93">
        <v>216782</v>
      </c>
      <c r="B2687" t="s">
        <v>3218</v>
      </c>
      <c r="C2687" t="s">
        <v>4919</v>
      </c>
      <c r="D2687" s="92" t="s">
        <v>446</v>
      </c>
      <c r="E2687" s="92" t="s">
        <v>446</v>
      </c>
      <c r="F2687" t="s">
        <v>446</v>
      </c>
      <c r="G2687" t="s">
        <v>446</v>
      </c>
      <c r="H2687" t="s">
        <v>4930</v>
      </c>
      <c r="I2687">
        <v>0</v>
      </c>
      <c r="J2687" t="s">
        <v>97</v>
      </c>
      <c r="K2687">
        <v>0</v>
      </c>
      <c r="L2687">
        <v>0</v>
      </c>
      <c r="M2687" t="s">
        <v>11</v>
      </c>
    </row>
    <row r="2688" spans="1:13">
      <c r="A2688" s="93">
        <v>216807</v>
      </c>
      <c r="B2688" t="s">
        <v>2346</v>
      </c>
      <c r="C2688" t="s">
        <v>4920</v>
      </c>
      <c r="D2688" s="92">
        <v>0.71</v>
      </c>
      <c r="E2688" s="92">
        <v>0.4</v>
      </c>
      <c r="F2688">
        <v>1040</v>
      </c>
      <c r="G2688">
        <v>1150</v>
      </c>
      <c r="H2688" t="s">
        <v>4931</v>
      </c>
      <c r="I2688">
        <v>0</v>
      </c>
      <c r="J2688" t="s">
        <v>97</v>
      </c>
      <c r="K2688">
        <v>0</v>
      </c>
      <c r="L2688">
        <v>0</v>
      </c>
      <c r="M2688" t="s">
        <v>11</v>
      </c>
    </row>
    <row r="2689" spans="1:13">
      <c r="A2689" s="93">
        <v>216816</v>
      </c>
      <c r="B2689" t="s">
        <v>3219</v>
      </c>
      <c r="C2689" t="s">
        <v>4924</v>
      </c>
      <c r="D2689" s="92" t="s">
        <v>446</v>
      </c>
      <c r="E2689" s="92" t="s">
        <v>446</v>
      </c>
      <c r="F2689" t="s">
        <v>446</v>
      </c>
      <c r="G2689" t="s">
        <v>446</v>
      </c>
      <c r="H2689" t="s">
        <v>4932</v>
      </c>
      <c r="I2689">
        <v>0</v>
      </c>
      <c r="J2689" t="s">
        <v>97</v>
      </c>
      <c r="K2689">
        <v>0</v>
      </c>
      <c r="L2689">
        <v>0</v>
      </c>
      <c r="M2689" t="s">
        <v>11</v>
      </c>
    </row>
    <row r="2690" spans="1:13">
      <c r="A2690" s="93">
        <v>216825</v>
      </c>
      <c r="B2690" t="s">
        <v>3220</v>
      </c>
      <c r="C2690" t="s">
        <v>4919</v>
      </c>
      <c r="D2690" s="92">
        <v>0.31</v>
      </c>
      <c r="E2690" s="92">
        <v>0.25</v>
      </c>
      <c r="F2690" t="s">
        <v>446</v>
      </c>
      <c r="G2690" t="s">
        <v>446</v>
      </c>
      <c r="H2690" t="s">
        <v>4932</v>
      </c>
      <c r="I2690">
        <v>0</v>
      </c>
      <c r="J2690" t="s">
        <v>97</v>
      </c>
      <c r="K2690">
        <v>0</v>
      </c>
      <c r="L2690">
        <v>0</v>
      </c>
      <c r="M2690" t="s">
        <v>11</v>
      </c>
    </row>
    <row r="2691" spans="1:13">
      <c r="A2691" s="93">
        <v>216852</v>
      </c>
      <c r="B2691" t="s">
        <v>3221</v>
      </c>
      <c r="C2691" t="s">
        <v>4920</v>
      </c>
      <c r="D2691" s="92">
        <v>0.66</v>
      </c>
      <c r="E2691" s="92">
        <v>0.51</v>
      </c>
      <c r="F2691">
        <v>1080</v>
      </c>
      <c r="G2691">
        <v>1180</v>
      </c>
      <c r="H2691" t="s">
        <v>4930</v>
      </c>
      <c r="I2691">
        <v>0</v>
      </c>
      <c r="J2691" t="s">
        <v>97</v>
      </c>
      <c r="K2691">
        <v>0</v>
      </c>
      <c r="L2691">
        <v>0</v>
      </c>
      <c r="M2691" t="s">
        <v>11</v>
      </c>
    </row>
    <row r="2692" spans="1:13">
      <c r="A2692" s="93">
        <v>216931</v>
      </c>
      <c r="B2692" t="s">
        <v>3222</v>
      </c>
      <c r="C2692" t="s">
        <v>4920</v>
      </c>
      <c r="D2692" s="92">
        <v>0.63</v>
      </c>
      <c r="E2692" s="92">
        <v>0.47</v>
      </c>
      <c r="F2692">
        <v>1040</v>
      </c>
      <c r="G2692">
        <v>1145</v>
      </c>
      <c r="H2692" t="s">
        <v>4930</v>
      </c>
      <c r="I2692">
        <v>0</v>
      </c>
      <c r="J2692" t="s">
        <v>97</v>
      </c>
      <c r="K2692">
        <v>0</v>
      </c>
      <c r="L2692">
        <v>0</v>
      </c>
      <c r="M2692" t="s">
        <v>11</v>
      </c>
    </row>
    <row r="2693" spans="1:13">
      <c r="A2693" s="93">
        <v>216940</v>
      </c>
      <c r="B2693" t="s">
        <v>3223</v>
      </c>
      <c r="C2693" t="s">
        <v>4925</v>
      </c>
      <c r="D2693" s="92" t="s">
        <v>446</v>
      </c>
      <c r="E2693" s="92" t="s">
        <v>446</v>
      </c>
      <c r="F2693" t="s">
        <v>446</v>
      </c>
      <c r="G2693" t="s">
        <v>446</v>
      </c>
      <c r="H2693" t="s">
        <v>4930</v>
      </c>
      <c r="I2693">
        <v>0</v>
      </c>
      <c r="J2693" t="s">
        <v>97</v>
      </c>
      <c r="K2693">
        <v>0</v>
      </c>
      <c r="L2693">
        <v>0</v>
      </c>
      <c r="M2693" t="s">
        <v>11</v>
      </c>
    </row>
    <row r="2694" spans="1:13">
      <c r="A2694" s="93">
        <v>217013</v>
      </c>
      <c r="B2694" t="s">
        <v>3224</v>
      </c>
      <c r="C2694" t="s">
        <v>4920</v>
      </c>
      <c r="D2694" s="92">
        <v>0.55</v>
      </c>
      <c r="E2694" s="92">
        <v>0.5600000000000001</v>
      </c>
      <c r="F2694">
        <v>960</v>
      </c>
      <c r="G2694">
        <v>1080</v>
      </c>
      <c r="H2694" t="s">
        <v>4930</v>
      </c>
      <c r="I2694">
        <v>0</v>
      </c>
      <c r="J2694" t="s">
        <v>97</v>
      </c>
      <c r="K2694">
        <v>0</v>
      </c>
      <c r="L2694">
        <v>0</v>
      </c>
      <c r="M2694" t="s">
        <v>11</v>
      </c>
    </row>
    <row r="2695" spans="1:13">
      <c r="A2695" s="93">
        <v>217040</v>
      </c>
      <c r="B2695" t="s">
        <v>3225</v>
      </c>
      <c r="C2695" t="s">
        <v>4924</v>
      </c>
      <c r="D2695" s="92">
        <v>0.08</v>
      </c>
      <c r="E2695" s="92" t="s">
        <v>446</v>
      </c>
      <c r="F2695" t="s">
        <v>446</v>
      </c>
      <c r="G2695" t="s">
        <v>446</v>
      </c>
      <c r="H2695" t="s">
        <v>4931</v>
      </c>
      <c r="I2695">
        <v>0</v>
      </c>
      <c r="J2695" t="s">
        <v>97</v>
      </c>
      <c r="K2695">
        <v>0</v>
      </c>
      <c r="L2695">
        <v>0</v>
      </c>
      <c r="M2695" t="s">
        <v>11</v>
      </c>
    </row>
    <row r="2696" spans="1:13">
      <c r="A2696" s="93">
        <v>217059</v>
      </c>
      <c r="B2696" t="s">
        <v>3226</v>
      </c>
      <c r="C2696" t="s">
        <v>4920</v>
      </c>
      <c r="D2696" s="92">
        <v>0.64</v>
      </c>
      <c r="E2696" s="92">
        <v>0.46</v>
      </c>
      <c r="F2696">
        <v>1030</v>
      </c>
      <c r="G2696">
        <v>1125</v>
      </c>
      <c r="H2696" t="s">
        <v>4930</v>
      </c>
      <c r="I2696">
        <v>0</v>
      </c>
      <c r="J2696" t="s">
        <v>97</v>
      </c>
      <c r="K2696">
        <v>0</v>
      </c>
      <c r="L2696">
        <v>0</v>
      </c>
      <c r="M2696" t="s">
        <v>11</v>
      </c>
    </row>
    <row r="2697" spans="1:13">
      <c r="A2697" s="93">
        <v>217077</v>
      </c>
      <c r="B2697" t="s">
        <v>3227</v>
      </c>
      <c r="C2697" t="s">
        <v>4919</v>
      </c>
      <c r="D2697" s="92" t="s">
        <v>446</v>
      </c>
      <c r="E2697" s="92" t="s">
        <v>446</v>
      </c>
      <c r="F2697" t="s">
        <v>446</v>
      </c>
      <c r="G2697" t="s">
        <v>446</v>
      </c>
      <c r="H2697" t="s">
        <v>4931</v>
      </c>
      <c r="I2697">
        <v>0</v>
      </c>
      <c r="J2697" t="s">
        <v>97</v>
      </c>
      <c r="K2697">
        <v>0</v>
      </c>
      <c r="L2697">
        <v>0</v>
      </c>
      <c r="M2697" t="s">
        <v>11</v>
      </c>
    </row>
    <row r="2698" spans="1:13">
      <c r="A2698" s="93">
        <v>217165</v>
      </c>
      <c r="B2698" t="s">
        <v>3228</v>
      </c>
      <c r="C2698" t="s">
        <v>4916</v>
      </c>
      <c r="D2698" s="92">
        <v>0.84</v>
      </c>
      <c r="E2698" s="92">
        <v>0.8</v>
      </c>
      <c r="F2698">
        <v>1120</v>
      </c>
      <c r="G2698">
        <v>1210</v>
      </c>
      <c r="H2698" t="s">
        <v>4930</v>
      </c>
      <c r="I2698">
        <v>0</v>
      </c>
      <c r="J2698" t="s">
        <v>97</v>
      </c>
      <c r="K2698">
        <v>0</v>
      </c>
      <c r="L2698">
        <v>0</v>
      </c>
      <c r="M2698" t="s">
        <v>11</v>
      </c>
    </row>
    <row r="2699" spans="1:13">
      <c r="A2699" s="93">
        <v>217305</v>
      </c>
      <c r="B2699" t="s">
        <v>3229</v>
      </c>
      <c r="C2699" t="s">
        <v>4920</v>
      </c>
      <c r="D2699" s="92" t="s">
        <v>446</v>
      </c>
      <c r="E2699" s="92" t="s">
        <v>446</v>
      </c>
      <c r="F2699">
        <v>870</v>
      </c>
      <c r="G2699">
        <v>1050</v>
      </c>
      <c r="H2699" t="s">
        <v>4930</v>
      </c>
      <c r="I2699">
        <v>0</v>
      </c>
      <c r="J2699" t="s">
        <v>97</v>
      </c>
      <c r="K2699">
        <v>0</v>
      </c>
      <c r="L2699">
        <v>0</v>
      </c>
      <c r="M2699" t="s">
        <v>11</v>
      </c>
    </row>
    <row r="2700" spans="1:13">
      <c r="A2700" s="93">
        <v>217402</v>
      </c>
      <c r="B2700" t="s">
        <v>3230</v>
      </c>
      <c r="C2700" t="s">
        <v>4916</v>
      </c>
      <c r="D2700" s="92">
        <v>0.89</v>
      </c>
      <c r="E2700" s="92">
        <v>0.83</v>
      </c>
      <c r="F2700">
        <v>1120</v>
      </c>
      <c r="G2700">
        <v>1225</v>
      </c>
      <c r="H2700" t="s">
        <v>4930</v>
      </c>
      <c r="I2700">
        <v>0</v>
      </c>
      <c r="J2700" t="s">
        <v>97</v>
      </c>
      <c r="K2700">
        <v>0</v>
      </c>
      <c r="L2700">
        <v>0</v>
      </c>
      <c r="M2700" t="s">
        <v>11</v>
      </c>
    </row>
    <row r="2701" spans="1:13">
      <c r="A2701" s="93">
        <v>217420</v>
      </c>
      <c r="B2701" t="s">
        <v>3231</v>
      </c>
      <c r="C2701" t="s">
        <v>4918</v>
      </c>
      <c r="D2701" s="92">
        <v>0.47</v>
      </c>
      <c r="E2701" s="92">
        <v>0.36</v>
      </c>
      <c r="F2701" t="s">
        <v>446</v>
      </c>
      <c r="G2701" t="s">
        <v>446</v>
      </c>
      <c r="H2701" t="s">
        <v>4932</v>
      </c>
      <c r="I2701">
        <v>0</v>
      </c>
      <c r="J2701" t="s">
        <v>97</v>
      </c>
      <c r="K2701">
        <v>0</v>
      </c>
      <c r="L2701">
        <v>0</v>
      </c>
      <c r="M2701" t="s">
        <v>11</v>
      </c>
    </row>
    <row r="2702" spans="1:13">
      <c r="A2702" s="93">
        <v>217475</v>
      </c>
      <c r="B2702" t="s">
        <v>3232</v>
      </c>
      <c r="C2702" t="s">
        <v>4919</v>
      </c>
      <c r="D2702" s="92">
        <v>0.31</v>
      </c>
      <c r="E2702" s="92">
        <v>0.21</v>
      </c>
      <c r="F2702" t="s">
        <v>446</v>
      </c>
      <c r="G2702" t="s">
        <v>446</v>
      </c>
      <c r="H2702" t="s">
        <v>4932</v>
      </c>
      <c r="I2702">
        <v>0</v>
      </c>
      <c r="J2702" t="s">
        <v>97</v>
      </c>
      <c r="K2702">
        <v>0</v>
      </c>
      <c r="L2702">
        <v>0</v>
      </c>
      <c r="M2702" t="s">
        <v>11</v>
      </c>
    </row>
    <row r="2703" spans="1:13">
      <c r="A2703" s="93">
        <v>217484</v>
      </c>
      <c r="B2703" t="s">
        <v>3233</v>
      </c>
      <c r="C2703" t="s">
        <v>4920</v>
      </c>
      <c r="D2703" s="92">
        <v>0.6899999999999999</v>
      </c>
      <c r="E2703" s="92">
        <v>0.59</v>
      </c>
      <c r="F2703">
        <v>1090</v>
      </c>
      <c r="G2703">
        <v>1190</v>
      </c>
      <c r="H2703" t="s">
        <v>4932</v>
      </c>
      <c r="I2703">
        <v>0</v>
      </c>
      <c r="J2703" t="s">
        <v>97</v>
      </c>
      <c r="K2703">
        <v>0</v>
      </c>
      <c r="L2703">
        <v>0</v>
      </c>
      <c r="M2703" t="s">
        <v>11</v>
      </c>
    </row>
    <row r="2704" spans="1:13">
      <c r="A2704" s="93">
        <v>217518</v>
      </c>
      <c r="B2704" t="s">
        <v>3234</v>
      </c>
      <c r="C2704" t="s">
        <v>4920</v>
      </c>
      <c r="D2704" s="92">
        <v>0.6899999999999999</v>
      </c>
      <c r="E2704" s="92">
        <v>0.63</v>
      </c>
      <c r="F2704" t="s">
        <v>446</v>
      </c>
      <c r="G2704" t="s">
        <v>446</v>
      </c>
      <c r="H2704" t="s">
        <v>4930</v>
      </c>
      <c r="I2704">
        <v>0</v>
      </c>
      <c r="J2704" t="s">
        <v>97</v>
      </c>
      <c r="K2704">
        <v>0</v>
      </c>
      <c r="L2704">
        <v>0</v>
      </c>
      <c r="M2704" t="s">
        <v>11</v>
      </c>
    </row>
    <row r="2705" spans="1:13">
      <c r="A2705" s="93">
        <v>217536</v>
      </c>
      <c r="B2705" t="s">
        <v>3235</v>
      </c>
      <c r="C2705" t="s">
        <v>4920</v>
      </c>
      <c r="D2705" s="92">
        <v>0.76</v>
      </c>
      <c r="E2705" s="92">
        <v>0.75</v>
      </c>
      <c r="F2705" t="s">
        <v>446</v>
      </c>
      <c r="G2705" t="s">
        <v>446</v>
      </c>
      <c r="H2705" t="s">
        <v>4930</v>
      </c>
      <c r="I2705">
        <v>0</v>
      </c>
      <c r="J2705" t="s">
        <v>97</v>
      </c>
      <c r="K2705">
        <v>0</v>
      </c>
      <c r="L2705">
        <v>0</v>
      </c>
      <c r="M2705" t="s">
        <v>11</v>
      </c>
    </row>
    <row r="2706" spans="1:13">
      <c r="A2706" s="93">
        <v>217606</v>
      </c>
      <c r="B2706" t="s">
        <v>3236</v>
      </c>
      <c r="C2706" t="s">
        <v>4923</v>
      </c>
      <c r="D2706" s="92">
        <v>0.47</v>
      </c>
      <c r="E2706" s="92">
        <v>0.46</v>
      </c>
      <c r="F2706" t="s">
        <v>446</v>
      </c>
      <c r="G2706" t="s">
        <v>446</v>
      </c>
      <c r="H2706" t="s">
        <v>4930</v>
      </c>
      <c r="I2706">
        <v>0</v>
      </c>
      <c r="J2706" t="s">
        <v>97</v>
      </c>
      <c r="K2706">
        <v>0</v>
      </c>
      <c r="L2706">
        <v>0</v>
      </c>
      <c r="M2706" t="s">
        <v>11</v>
      </c>
    </row>
    <row r="2707" spans="1:13">
      <c r="A2707" s="93">
        <v>217624</v>
      </c>
      <c r="B2707" t="s">
        <v>3237</v>
      </c>
      <c r="C2707" t="s">
        <v>4923</v>
      </c>
      <c r="D2707" s="92">
        <v>0.23</v>
      </c>
      <c r="E2707" s="92">
        <v>0.38</v>
      </c>
      <c r="F2707" t="s">
        <v>446</v>
      </c>
      <c r="G2707" t="s">
        <v>446</v>
      </c>
      <c r="H2707" t="s">
        <v>4931</v>
      </c>
      <c r="I2707">
        <v>0</v>
      </c>
      <c r="J2707" t="s">
        <v>153</v>
      </c>
      <c r="K2707">
        <v>0</v>
      </c>
      <c r="L2707">
        <v>0</v>
      </c>
      <c r="M2707" t="s">
        <v>11</v>
      </c>
    </row>
    <row r="2708" spans="1:13">
      <c r="A2708" s="93">
        <v>217633</v>
      </c>
      <c r="B2708" t="s">
        <v>1790</v>
      </c>
      <c r="C2708" t="s">
        <v>4920</v>
      </c>
      <c r="D2708" s="92">
        <v>0.62</v>
      </c>
      <c r="E2708" s="92">
        <v>0.41</v>
      </c>
      <c r="F2708" t="s">
        <v>446</v>
      </c>
      <c r="G2708" t="s">
        <v>446</v>
      </c>
      <c r="H2708" t="s">
        <v>4930</v>
      </c>
      <c r="I2708">
        <v>0</v>
      </c>
      <c r="J2708" t="s">
        <v>97</v>
      </c>
      <c r="K2708">
        <v>0</v>
      </c>
      <c r="L2708">
        <v>0</v>
      </c>
      <c r="M2708" t="s">
        <v>11</v>
      </c>
    </row>
    <row r="2709" spans="1:13">
      <c r="A2709" s="93">
        <v>217688</v>
      </c>
      <c r="B2709" t="s">
        <v>3238</v>
      </c>
      <c r="C2709" t="s">
        <v>4920</v>
      </c>
      <c r="D2709" s="92">
        <v>0.45</v>
      </c>
      <c r="E2709" s="92">
        <v>0.35</v>
      </c>
      <c r="F2709">
        <v>990</v>
      </c>
      <c r="G2709">
        <v>1095</v>
      </c>
      <c r="H2709" t="s">
        <v>4930</v>
      </c>
      <c r="I2709">
        <v>0</v>
      </c>
      <c r="J2709" t="s">
        <v>97</v>
      </c>
      <c r="K2709">
        <v>0</v>
      </c>
      <c r="L2709">
        <v>0</v>
      </c>
      <c r="M2709" t="s">
        <v>11</v>
      </c>
    </row>
    <row r="2710" spans="1:13">
      <c r="A2710" s="93">
        <v>217712</v>
      </c>
      <c r="B2710" t="s">
        <v>3239</v>
      </c>
      <c r="C2710" t="s">
        <v>4919</v>
      </c>
      <c r="D2710" s="92">
        <v>0.25</v>
      </c>
      <c r="E2710" s="92">
        <v>0.27</v>
      </c>
      <c r="F2710" t="s">
        <v>446</v>
      </c>
      <c r="G2710" t="s">
        <v>446</v>
      </c>
      <c r="H2710" t="s">
        <v>4932</v>
      </c>
      <c r="I2710">
        <v>0</v>
      </c>
      <c r="J2710" t="s">
        <v>97</v>
      </c>
      <c r="K2710">
        <v>0</v>
      </c>
      <c r="L2710">
        <v>0</v>
      </c>
      <c r="M2710" t="s">
        <v>11</v>
      </c>
    </row>
    <row r="2711" spans="1:13">
      <c r="A2711" s="93">
        <v>217749</v>
      </c>
      <c r="B2711" t="s">
        <v>3240</v>
      </c>
      <c r="C2711" t="s">
        <v>4923</v>
      </c>
      <c r="D2711" s="92">
        <v>0.65</v>
      </c>
      <c r="E2711" s="92">
        <v>0.49</v>
      </c>
      <c r="F2711" t="s">
        <v>446</v>
      </c>
      <c r="G2711" t="s">
        <v>446</v>
      </c>
      <c r="H2711" t="s">
        <v>4931</v>
      </c>
      <c r="I2711">
        <v>0</v>
      </c>
      <c r="J2711" t="s">
        <v>97</v>
      </c>
      <c r="K2711">
        <v>0</v>
      </c>
      <c r="L2711">
        <v>0</v>
      </c>
      <c r="M2711" t="s">
        <v>11</v>
      </c>
    </row>
    <row r="2712" spans="1:13">
      <c r="A2712" s="93">
        <v>217776</v>
      </c>
      <c r="B2712" t="s">
        <v>3241</v>
      </c>
      <c r="C2712" t="s">
        <v>4918</v>
      </c>
      <c r="D2712" s="92">
        <v>0.53</v>
      </c>
      <c r="E2712" s="92">
        <v>0.37</v>
      </c>
      <c r="F2712">
        <v>980</v>
      </c>
      <c r="G2712">
        <v>1075</v>
      </c>
      <c r="H2712" t="s">
        <v>4930</v>
      </c>
      <c r="I2712">
        <v>0</v>
      </c>
      <c r="J2712" t="s">
        <v>97</v>
      </c>
      <c r="K2712">
        <v>0</v>
      </c>
      <c r="L2712">
        <v>0</v>
      </c>
      <c r="M2712" t="s">
        <v>11</v>
      </c>
    </row>
    <row r="2713" spans="1:13">
      <c r="A2713" s="93">
        <v>217819</v>
      </c>
      <c r="B2713" t="s">
        <v>3242</v>
      </c>
      <c r="C2713" t="s">
        <v>4920</v>
      </c>
      <c r="D2713" s="92">
        <v>0.67</v>
      </c>
      <c r="E2713" s="92">
        <v>0.64</v>
      </c>
      <c r="F2713">
        <v>1090</v>
      </c>
      <c r="G2713">
        <v>1185</v>
      </c>
      <c r="H2713" t="s">
        <v>4932</v>
      </c>
      <c r="I2713">
        <v>0</v>
      </c>
      <c r="J2713" t="s">
        <v>97</v>
      </c>
      <c r="K2713">
        <v>0</v>
      </c>
      <c r="L2713">
        <v>0</v>
      </c>
      <c r="M2713" t="s">
        <v>11</v>
      </c>
    </row>
    <row r="2714" spans="1:13">
      <c r="A2714" s="93">
        <v>217837</v>
      </c>
      <c r="B2714" t="s">
        <v>3243</v>
      </c>
      <c r="C2714" t="s">
        <v>4919</v>
      </c>
      <c r="D2714" s="92">
        <v>0.34</v>
      </c>
      <c r="E2714" s="92">
        <v>0.26</v>
      </c>
      <c r="F2714" t="s">
        <v>446</v>
      </c>
      <c r="G2714" t="s">
        <v>446</v>
      </c>
      <c r="H2714" t="s">
        <v>4932</v>
      </c>
      <c r="I2714">
        <v>0</v>
      </c>
      <c r="J2714" t="s">
        <v>97</v>
      </c>
      <c r="K2714">
        <v>0</v>
      </c>
      <c r="L2714">
        <v>0</v>
      </c>
      <c r="M2714" t="s">
        <v>11</v>
      </c>
    </row>
    <row r="2715" spans="1:13">
      <c r="A2715" s="93">
        <v>217864</v>
      </c>
      <c r="B2715" t="s">
        <v>3244</v>
      </c>
      <c r="C2715" t="s">
        <v>4920</v>
      </c>
      <c r="D2715" s="92">
        <v>0.73</v>
      </c>
      <c r="E2715" s="92">
        <v>0.72</v>
      </c>
      <c r="F2715" t="s">
        <v>446</v>
      </c>
      <c r="G2715" t="s">
        <v>446</v>
      </c>
      <c r="H2715" t="s">
        <v>4932</v>
      </c>
      <c r="I2715">
        <v>0</v>
      </c>
      <c r="J2715" t="s">
        <v>97</v>
      </c>
      <c r="K2715">
        <v>0</v>
      </c>
      <c r="L2715">
        <v>0</v>
      </c>
      <c r="M2715" t="s">
        <v>11</v>
      </c>
    </row>
    <row r="2716" spans="1:13">
      <c r="A2716" s="93">
        <v>217873</v>
      </c>
      <c r="B2716" t="s">
        <v>3245</v>
      </c>
      <c r="C2716" t="s">
        <v>4918</v>
      </c>
      <c r="D2716" s="92">
        <v>0.51</v>
      </c>
      <c r="E2716" s="92">
        <v>0.66</v>
      </c>
      <c r="F2716" t="s">
        <v>446</v>
      </c>
      <c r="G2716" t="s">
        <v>446</v>
      </c>
      <c r="H2716" t="s">
        <v>4930</v>
      </c>
      <c r="I2716">
        <v>0</v>
      </c>
      <c r="J2716" t="s">
        <v>153</v>
      </c>
      <c r="K2716">
        <v>0</v>
      </c>
      <c r="L2716">
        <v>0</v>
      </c>
      <c r="M2716" t="s">
        <v>11</v>
      </c>
    </row>
    <row r="2717" spans="1:13">
      <c r="A2717" s="93">
        <v>217891</v>
      </c>
      <c r="B2717" t="s">
        <v>3246</v>
      </c>
      <c r="C2717" t="s">
        <v>4923</v>
      </c>
      <c r="D2717" s="92">
        <v>0.14</v>
      </c>
      <c r="E2717" s="92">
        <v>0.16</v>
      </c>
      <c r="F2717" t="s">
        <v>446</v>
      </c>
      <c r="G2717" t="s">
        <v>446</v>
      </c>
      <c r="H2717" t="s">
        <v>4930</v>
      </c>
      <c r="I2717">
        <v>0</v>
      </c>
      <c r="J2717" t="s">
        <v>153</v>
      </c>
      <c r="K2717">
        <v>0</v>
      </c>
      <c r="L2717">
        <v>0</v>
      </c>
      <c r="M2717" t="s">
        <v>11</v>
      </c>
    </row>
    <row r="2718" spans="1:13">
      <c r="A2718" s="93">
        <v>217907</v>
      </c>
      <c r="B2718" t="s">
        <v>3247</v>
      </c>
      <c r="C2718" t="s">
        <v>4918</v>
      </c>
      <c r="D2718" s="92">
        <v>0.43</v>
      </c>
      <c r="E2718" s="92">
        <v>0.4</v>
      </c>
      <c r="F2718">
        <v>940</v>
      </c>
      <c r="G2718">
        <v>1050</v>
      </c>
      <c r="H2718" t="s">
        <v>4931</v>
      </c>
      <c r="I2718">
        <v>0</v>
      </c>
      <c r="J2718" t="s">
        <v>97</v>
      </c>
      <c r="K2718">
        <v>0</v>
      </c>
      <c r="L2718">
        <v>0</v>
      </c>
      <c r="M2718" t="s">
        <v>11</v>
      </c>
    </row>
    <row r="2719" spans="1:13">
      <c r="A2719" s="93">
        <v>217925</v>
      </c>
      <c r="B2719" t="s">
        <v>3248</v>
      </c>
      <c r="C2719" t="s">
        <v>4920</v>
      </c>
      <c r="D2719" s="92">
        <v>0.58</v>
      </c>
      <c r="E2719" s="92">
        <v>0.41</v>
      </c>
      <c r="F2719">
        <v>940</v>
      </c>
      <c r="G2719">
        <v>1040</v>
      </c>
      <c r="H2719" t="s">
        <v>4930</v>
      </c>
      <c r="I2719">
        <v>0</v>
      </c>
      <c r="J2719" t="s">
        <v>97</v>
      </c>
      <c r="K2719">
        <v>0</v>
      </c>
      <c r="L2719">
        <v>0</v>
      </c>
      <c r="M2719" t="s">
        <v>11</v>
      </c>
    </row>
    <row r="2720" spans="1:13">
      <c r="A2720" s="93">
        <v>217989</v>
      </c>
      <c r="B2720" t="s">
        <v>3249</v>
      </c>
      <c r="C2720" t="s">
        <v>4919</v>
      </c>
      <c r="D2720" s="92">
        <v>0.3</v>
      </c>
      <c r="E2720" s="92">
        <v>0.3</v>
      </c>
      <c r="F2720" t="s">
        <v>446</v>
      </c>
      <c r="G2720" t="s">
        <v>446</v>
      </c>
      <c r="H2720" t="s">
        <v>4932</v>
      </c>
      <c r="I2720">
        <v>0</v>
      </c>
      <c r="J2720" t="s">
        <v>153</v>
      </c>
      <c r="K2720">
        <v>0</v>
      </c>
      <c r="L2720">
        <v>0</v>
      </c>
      <c r="M2720" t="s">
        <v>11</v>
      </c>
    </row>
    <row r="2721" spans="1:13">
      <c r="A2721" s="93">
        <v>217998</v>
      </c>
      <c r="B2721" t="s">
        <v>3250</v>
      </c>
      <c r="C2721" t="s">
        <v>4920</v>
      </c>
      <c r="D2721" s="92">
        <v>0.45</v>
      </c>
      <c r="E2721" s="92">
        <v>0.33</v>
      </c>
      <c r="F2721">
        <v>920</v>
      </c>
      <c r="G2721">
        <v>1035</v>
      </c>
      <c r="H2721" t="s">
        <v>4930</v>
      </c>
      <c r="I2721">
        <v>0</v>
      </c>
      <c r="J2721" t="s">
        <v>97</v>
      </c>
      <c r="K2721">
        <v>0</v>
      </c>
      <c r="L2721">
        <v>0</v>
      </c>
      <c r="M2721" t="s">
        <v>11</v>
      </c>
    </row>
    <row r="2722" spans="1:13">
      <c r="A2722" s="93">
        <v>218025</v>
      </c>
      <c r="B2722" t="s">
        <v>3251</v>
      </c>
      <c r="C2722" t="s">
        <v>4919</v>
      </c>
      <c r="D2722" s="92">
        <v>0.25</v>
      </c>
      <c r="E2722" s="92">
        <v>0.2</v>
      </c>
      <c r="F2722" t="s">
        <v>446</v>
      </c>
      <c r="G2722" t="s">
        <v>446</v>
      </c>
      <c r="H2722" t="s">
        <v>4932</v>
      </c>
      <c r="I2722">
        <v>0</v>
      </c>
      <c r="J2722" t="s">
        <v>97</v>
      </c>
      <c r="K2722">
        <v>0</v>
      </c>
      <c r="L2722">
        <v>0</v>
      </c>
      <c r="M2722" t="s">
        <v>11</v>
      </c>
    </row>
    <row r="2723" spans="1:13">
      <c r="A2723" s="93">
        <v>218061</v>
      </c>
      <c r="B2723" t="s">
        <v>3252</v>
      </c>
      <c r="C2723" t="s">
        <v>4918</v>
      </c>
      <c r="D2723" s="92">
        <v>0.44</v>
      </c>
      <c r="E2723" s="92">
        <v>0.39</v>
      </c>
      <c r="F2723">
        <v>930</v>
      </c>
      <c r="G2723">
        <v>1025</v>
      </c>
      <c r="H2723" t="s">
        <v>4932</v>
      </c>
      <c r="I2723">
        <v>0</v>
      </c>
      <c r="J2723" t="s">
        <v>97</v>
      </c>
      <c r="K2723">
        <v>0</v>
      </c>
      <c r="L2723">
        <v>0</v>
      </c>
      <c r="M2723" t="s">
        <v>11</v>
      </c>
    </row>
    <row r="2724" spans="1:13">
      <c r="A2724" s="93">
        <v>218070</v>
      </c>
      <c r="B2724" t="s">
        <v>3253</v>
      </c>
      <c r="C2724" t="s">
        <v>4916</v>
      </c>
      <c r="D2724" s="92">
        <v>0.82</v>
      </c>
      <c r="E2724" s="92">
        <v>0.87</v>
      </c>
      <c r="F2724">
        <v>1240</v>
      </c>
      <c r="G2724">
        <v>1330</v>
      </c>
      <c r="H2724" t="s">
        <v>4931</v>
      </c>
      <c r="I2724">
        <v>0</v>
      </c>
      <c r="J2724" t="s">
        <v>97</v>
      </c>
      <c r="K2724">
        <v>0</v>
      </c>
      <c r="L2724">
        <v>0</v>
      </c>
      <c r="M2724" t="s">
        <v>11</v>
      </c>
    </row>
    <row r="2725" spans="1:13">
      <c r="A2725" s="93">
        <v>218113</v>
      </c>
      <c r="B2725" t="s">
        <v>3254</v>
      </c>
      <c r="C2725" t="s">
        <v>4923</v>
      </c>
      <c r="D2725" s="92" t="s">
        <v>446</v>
      </c>
      <c r="E2725" s="92" t="s">
        <v>446</v>
      </c>
      <c r="F2725" t="s">
        <v>446</v>
      </c>
      <c r="G2725" t="s">
        <v>446</v>
      </c>
      <c r="H2725" t="s">
        <v>4932</v>
      </c>
      <c r="I2725">
        <v>0</v>
      </c>
      <c r="J2725" t="s">
        <v>97</v>
      </c>
      <c r="K2725">
        <v>0</v>
      </c>
      <c r="L2725">
        <v>0</v>
      </c>
      <c r="M2725" t="s">
        <v>11</v>
      </c>
    </row>
    <row r="2726" spans="1:13">
      <c r="A2726" s="93">
        <v>218140</v>
      </c>
      <c r="B2726" t="s">
        <v>3255</v>
      </c>
      <c r="C2726" t="s">
        <v>4919</v>
      </c>
      <c r="D2726" s="92">
        <v>0.33</v>
      </c>
      <c r="E2726" s="92">
        <v>0.25</v>
      </c>
      <c r="F2726" t="s">
        <v>446</v>
      </c>
      <c r="G2726" t="s">
        <v>446</v>
      </c>
      <c r="H2726" t="s">
        <v>4932</v>
      </c>
      <c r="I2726">
        <v>0</v>
      </c>
      <c r="J2726" t="s">
        <v>97</v>
      </c>
      <c r="K2726">
        <v>0</v>
      </c>
      <c r="L2726">
        <v>0</v>
      </c>
      <c r="M2726" t="s">
        <v>11</v>
      </c>
    </row>
    <row r="2727" spans="1:13">
      <c r="A2727" s="93">
        <v>218229</v>
      </c>
      <c r="B2727" t="s">
        <v>3256</v>
      </c>
      <c r="C2727" t="s">
        <v>4920</v>
      </c>
      <c r="D2727" s="92">
        <v>0.49</v>
      </c>
      <c r="E2727" s="92">
        <v>0.38</v>
      </c>
      <c r="F2727">
        <v>950</v>
      </c>
      <c r="G2727">
        <v>1050</v>
      </c>
      <c r="H2727" t="s">
        <v>4932</v>
      </c>
      <c r="I2727">
        <v>0</v>
      </c>
      <c r="J2727" t="s">
        <v>97</v>
      </c>
      <c r="K2727">
        <v>0</v>
      </c>
      <c r="L2727">
        <v>0</v>
      </c>
      <c r="M2727" t="s">
        <v>11</v>
      </c>
    </row>
    <row r="2728" spans="1:13">
      <c r="A2728" s="93">
        <v>218238</v>
      </c>
      <c r="B2728" t="s">
        <v>3257</v>
      </c>
      <c r="C2728" t="s">
        <v>4920</v>
      </c>
      <c r="D2728" s="92">
        <v>0.23</v>
      </c>
      <c r="E2728" s="92">
        <v>0.15</v>
      </c>
      <c r="F2728" t="s">
        <v>446</v>
      </c>
      <c r="G2728" t="s">
        <v>446</v>
      </c>
      <c r="H2728" t="s">
        <v>4930</v>
      </c>
      <c r="I2728">
        <v>0</v>
      </c>
      <c r="J2728" t="s">
        <v>97</v>
      </c>
      <c r="K2728">
        <v>0</v>
      </c>
      <c r="L2728">
        <v>0</v>
      </c>
      <c r="M2728" t="s">
        <v>11</v>
      </c>
    </row>
    <row r="2729" spans="1:13">
      <c r="A2729" s="93">
        <v>218335</v>
      </c>
      <c r="B2729" t="s">
        <v>3258</v>
      </c>
      <c r="C2729" t="s">
        <v>4924</v>
      </c>
      <c r="D2729" s="92" t="s">
        <v>446</v>
      </c>
      <c r="E2729" s="92" t="s">
        <v>446</v>
      </c>
      <c r="F2729" t="s">
        <v>446</v>
      </c>
      <c r="G2729" t="s">
        <v>446</v>
      </c>
      <c r="H2729" t="s">
        <v>4932</v>
      </c>
      <c r="I2729">
        <v>0</v>
      </c>
      <c r="J2729" t="s">
        <v>97</v>
      </c>
      <c r="K2729">
        <v>0</v>
      </c>
      <c r="L2729">
        <v>0</v>
      </c>
      <c r="M2729" t="s">
        <v>11</v>
      </c>
    </row>
    <row r="2730" spans="1:13">
      <c r="A2730" s="93">
        <v>218353</v>
      </c>
      <c r="B2730" t="s">
        <v>3259</v>
      </c>
      <c r="C2730" t="s">
        <v>4919</v>
      </c>
      <c r="D2730" s="92">
        <v>0.33</v>
      </c>
      <c r="E2730" s="92">
        <v>0.27</v>
      </c>
      <c r="F2730" t="s">
        <v>446</v>
      </c>
      <c r="G2730" t="s">
        <v>446</v>
      </c>
      <c r="H2730" t="s">
        <v>4932</v>
      </c>
      <c r="I2730">
        <v>0</v>
      </c>
      <c r="J2730" t="s">
        <v>97</v>
      </c>
      <c r="K2730">
        <v>0</v>
      </c>
      <c r="L2730">
        <v>0</v>
      </c>
      <c r="M2730" t="s">
        <v>11</v>
      </c>
    </row>
    <row r="2731" spans="1:13">
      <c r="A2731" s="93">
        <v>218399</v>
      </c>
      <c r="B2731" t="s">
        <v>3260</v>
      </c>
      <c r="C2731" t="s">
        <v>4918</v>
      </c>
      <c r="D2731" s="92">
        <v>0.25</v>
      </c>
      <c r="E2731" s="92">
        <v>0.4</v>
      </c>
      <c r="F2731" t="s">
        <v>446</v>
      </c>
      <c r="G2731" t="s">
        <v>446</v>
      </c>
      <c r="H2731" t="s">
        <v>4931</v>
      </c>
      <c r="I2731">
        <v>0</v>
      </c>
      <c r="J2731" t="s">
        <v>153</v>
      </c>
      <c r="K2731">
        <v>0</v>
      </c>
      <c r="L2731">
        <v>0</v>
      </c>
      <c r="M2731" t="s">
        <v>11</v>
      </c>
    </row>
    <row r="2732" spans="1:13">
      <c r="A2732" s="93">
        <v>218414</v>
      </c>
      <c r="B2732" t="s">
        <v>3261</v>
      </c>
      <c r="C2732" t="s">
        <v>4920</v>
      </c>
      <c r="D2732" s="92">
        <v>0.53</v>
      </c>
      <c r="E2732" s="92">
        <v>0.43</v>
      </c>
      <c r="F2732">
        <v>940</v>
      </c>
      <c r="G2732">
        <v>1050</v>
      </c>
      <c r="H2732" t="s">
        <v>4930</v>
      </c>
      <c r="I2732">
        <v>0</v>
      </c>
      <c r="J2732" t="s">
        <v>97</v>
      </c>
      <c r="K2732">
        <v>0</v>
      </c>
      <c r="L2732">
        <v>0</v>
      </c>
      <c r="M2732" t="s">
        <v>11</v>
      </c>
    </row>
    <row r="2733" spans="1:13">
      <c r="A2733" s="93">
        <v>218441</v>
      </c>
      <c r="B2733" t="s">
        <v>3262</v>
      </c>
      <c r="C2733" t="s">
        <v>4920</v>
      </c>
      <c r="D2733" s="92">
        <v>0.5600000000000001</v>
      </c>
      <c r="E2733" s="92">
        <v>0.39</v>
      </c>
      <c r="F2733">
        <v>980</v>
      </c>
      <c r="G2733">
        <v>1095</v>
      </c>
      <c r="H2733" t="s">
        <v>4930</v>
      </c>
      <c r="I2733">
        <v>0</v>
      </c>
      <c r="J2733" t="s">
        <v>97</v>
      </c>
      <c r="K2733">
        <v>0</v>
      </c>
      <c r="L2733">
        <v>0</v>
      </c>
      <c r="M2733" t="s">
        <v>11</v>
      </c>
    </row>
    <row r="2734" spans="1:13">
      <c r="A2734" s="93">
        <v>218487</v>
      </c>
      <c r="B2734" t="s">
        <v>3263</v>
      </c>
      <c r="C2734" t="s">
        <v>4919</v>
      </c>
      <c r="D2734" s="92">
        <v>0.3</v>
      </c>
      <c r="E2734" s="92">
        <v>0.26</v>
      </c>
      <c r="F2734" t="s">
        <v>446</v>
      </c>
      <c r="G2734" t="s">
        <v>446</v>
      </c>
      <c r="H2734" t="s">
        <v>4932</v>
      </c>
      <c r="I2734">
        <v>0</v>
      </c>
      <c r="J2734" t="s">
        <v>97</v>
      </c>
      <c r="K2734">
        <v>0</v>
      </c>
      <c r="L2734">
        <v>0</v>
      </c>
      <c r="M2734" t="s">
        <v>11</v>
      </c>
    </row>
    <row r="2735" spans="1:13">
      <c r="A2735" s="93">
        <v>218520</v>
      </c>
      <c r="B2735" t="s">
        <v>3264</v>
      </c>
      <c r="C2735" t="s">
        <v>4919</v>
      </c>
      <c r="D2735" s="92">
        <v>0.32</v>
      </c>
      <c r="E2735" s="92">
        <v>0.25</v>
      </c>
      <c r="F2735" t="s">
        <v>446</v>
      </c>
      <c r="G2735" t="s">
        <v>446</v>
      </c>
      <c r="H2735" t="s">
        <v>4932</v>
      </c>
      <c r="I2735">
        <v>0</v>
      </c>
      <c r="J2735" t="s">
        <v>97</v>
      </c>
      <c r="K2735">
        <v>0</v>
      </c>
      <c r="L2735">
        <v>0</v>
      </c>
      <c r="M2735" t="s">
        <v>11</v>
      </c>
    </row>
    <row r="2736" spans="1:13">
      <c r="A2736" s="93">
        <v>218539</v>
      </c>
      <c r="B2736" t="s">
        <v>3265</v>
      </c>
      <c r="C2736" t="s">
        <v>4916</v>
      </c>
      <c r="D2736" s="92">
        <v>0.63</v>
      </c>
      <c r="E2736" s="92">
        <v>0.49</v>
      </c>
      <c r="F2736">
        <v>1010</v>
      </c>
      <c r="G2736">
        <v>1115</v>
      </c>
      <c r="H2736" t="s">
        <v>4930</v>
      </c>
      <c r="I2736">
        <v>0</v>
      </c>
      <c r="J2736" t="s">
        <v>97</v>
      </c>
      <c r="K2736">
        <v>0</v>
      </c>
      <c r="L2736">
        <v>0</v>
      </c>
      <c r="M2736" t="s">
        <v>11</v>
      </c>
    </row>
    <row r="2737" spans="1:13">
      <c r="A2737" s="93">
        <v>218645</v>
      </c>
      <c r="B2737" t="s">
        <v>3266</v>
      </c>
      <c r="C2737" t="s">
        <v>4920</v>
      </c>
      <c r="D2737" s="92">
        <v>0.41</v>
      </c>
      <c r="E2737" s="92">
        <v>0.37</v>
      </c>
      <c r="F2737">
        <v>960</v>
      </c>
      <c r="G2737">
        <v>1065</v>
      </c>
      <c r="H2737" t="s">
        <v>4932</v>
      </c>
      <c r="I2737">
        <v>0</v>
      </c>
      <c r="J2737" t="s">
        <v>97</v>
      </c>
      <c r="K2737">
        <v>0</v>
      </c>
      <c r="L2737">
        <v>0</v>
      </c>
      <c r="M2737" t="s">
        <v>11</v>
      </c>
    </row>
    <row r="2738" spans="1:13">
      <c r="A2738" s="93">
        <v>218654</v>
      </c>
      <c r="B2738" t="s">
        <v>3267</v>
      </c>
      <c r="C2738" t="s">
        <v>4918</v>
      </c>
      <c r="D2738" s="92">
        <v>0.32</v>
      </c>
      <c r="E2738" s="92">
        <v>0.31</v>
      </c>
      <c r="F2738" t="s">
        <v>446</v>
      </c>
      <c r="G2738" t="s">
        <v>446</v>
      </c>
      <c r="H2738" t="s">
        <v>4932</v>
      </c>
      <c r="I2738">
        <v>0</v>
      </c>
      <c r="J2738" t="s">
        <v>97</v>
      </c>
      <c r="K2738">
        <v>0</v>
      </c>
      <c r="L2738">
        <v>0</v>
      </c>
      <c r="M2738" t="s">
        <v>11</v>
      </c>
    </row>
    <row r="2739" spans="1:13">
      <c r="A2739" s="93">
        <v>218663</v>
      </c>
      <c r="B2739" t="s">
        <v>3268</v>
      </c>
      <c r="C2739" t="s">
        <v>4916</v>
      </c>
      <c r="D2739" s="92">
        <v>0.78</v>
      </c>
      <c r="E2739" s="92">
        <v>0.73</v>
      </c>
      <c r="F2739">
        <v>1150</v>
      </c>
      <c r="G2739">
        <v>1255</v>
      </c>
      <c r="H2739" t="s">
        <v>4932</v>
      </c>
      <c r="I2739">
        <v>0</v>
      </c>
      <c r="J2739" t="s">
        <v>97</v>
      </c>
      <c r="K2739">
        <v>0</v>
      </c>
      <c r="L2739">
        <v>0</v>
      </c>
      <c r="M2739" t="s">
        <v>11</v>
      </c>
    </row>
    <row r="2740" spans="1:13">
      <c r="A2740" s="93">
        <v>218672</v>
      </c>
      <c r="B2740" t="s">
        <v>3269</v>
      </c>
      <c r="C2740" t="s">
        <v>4925</v>
      </c>
      <c r="D2740" s="92">
        <v>0.43</v>
      </c>
      <c r="E2740" s="92">
        <v>0.38</v>
      </c>
      <c r="F2740" t="s">
        <v>446</v>
      </c>
      <c r="G2740" t="s">
        <v>446</v>
      </c>
      <c r="H2740" t="s">
        <v>4932</v>
      </c>
      <c r="I2740">
        <v>0</v>
      </c>
      <c r="J2740" t="s">
        <v>97</v>
      </c>
      <c r="K2740">
        <v>0</v>
      </c>
      <c r="L2740">
        <v>0</v>
      </c>
      <c r="M2740" t="s">
        <v>11</v>
      </c>
    </row>
    <row r="2741" spans="1:13">
      <c r="A2741" s="93">
        <v>218681</v>
      </c>
      <c r="B2741" t="s">
        <v>3270</v>
      </c>
      <c r="C2741" t="s">
        <v>4925</v>
      </c>
      <c r="D2741" s="92">
        <v>0.43</v>
      </c>
      <c r="E2741" s="92">
        <v>0.36</v>
      </c>
      <c r="F2741" t="s">
        <v>446</v>
      </c>
      <c r="G2741" t="s">
        <v>446</v>
      </c>
      <c r="H2741" t="s">
        <v>4932</v>
      </c>
      <c r="I2741">
        <v>0</v>
      </c>
      <c r="J2741" t="s">
        <v>97</v>
      </c>
      <c r="K2741">
        <v>0</v>
      </c>
      <c r="L2741">
        <v>0</v>
      </c>
      <c r="M2741" t="s">
        <v>11</v>
      </c>
    </row>
    <row r="2742" spans="1:13">
      <c r="A2742" s="93">
        <v>218690</v>
      </c>
      <c r="B2742" t="s">
        <v>3271</v>
      </c>
      <c r="C2742" t="s">
        <v>4925</v>
      </c>
      <c r="D2742" s="92">
        <v>0.53</v>
      </c>
      <c r="E2742" s="92">
        <v>0.52</v>
      </c>
      <c r="F2742" t="s">
        <v>446</v>
      </c>
      <c r="G2742" t="s">
        <v>446</v>
      </c>
      <c r="H2742" t="s">
        <v>4932</v>
      </c>
      <c r="I2742">
        <v>0</v>
      </c>
      <c r="J2742" t="s">
        <v>97</v>
      </c>
      <c r="K2742">
        <v>0</v>
      </c>
      <c r="L2742">
        <v>0</v>
      </c>
      <c r="M2742" t="s">
        <v>11</v>
      </c>
    </row>
    <row r="2743" spans="1:13">
      <c r="A2743" s="93">
        <v>218706</v>
      </c>
      <c r="B2743" t="s">
        <v>3272</v>
      </c>
      <c r="C2743" t="s">
        <v>4919</v>
      </c>
      <c r="D2743" s="92">
        <v>0.49</v>
      </c>
      <c r="E2743" s="92">
        <v>0.43</v>
      </c>
      <c r="F2743" t="s">
        <v>446</v>
      </c>
      <c r="G2743" t="s">
        <v>446</v>
      </c>
      <c r="H2743" t="s">
        <v>4932</v>
      </c>
      <c r="I2743">
        <v>0</v>
      </c>
      <c r="J2743" t="s">
        <v>97</v>
      </c>
      <c r="K2743">
        <v>0</v>
      </c>
      <c r="L2743">
        <v>0</v>
      </c>
      <c r="M2743" t="s">
        <v>11</v>
      </c>
    </row>
    <row r="2744" spans="1:13">
      <c r="A2744" s="93">
        <v>218724</v>
      </c>
      <c r="B2744" t="s">
        <v>3273</v>
      </c>
      <c r="C2744" t="s">
        <v>4920</v>
      </c>
      <c r="D2744" s="92">
        <v>0.51</v>
      </c>
      <c r="E2744" s="92">
        <v>0.5</v>
      </c>
      <c r="F2744">
        <v>1030</v>
      </c>
      <c r="G2744">
        <v>1110</v>
      </c>
      <c r="H2744" t="s">
        <v>4930</v>
      </c>
      <c r="I2744">
        <v>0</v>
      </c>
      <c r="J2744" t="s">
        <v>97</v>
      </c>
      <c r="K2744">
        <v>0</v>
      </c>
      <c r="L2744">
        <v>0</v>
      </c>
      <c r="M2744" t="s">
        <v>11</v>
      </c>
    </row>
    <row r="2745" spans="1:13">
      <c r="A2745" s="93">
        <v>218733</v>
      </c>
      <c r="B2745" t="s">
        <v>3274</v>
      </c>
      <c r="C2745" t="s">
        <v>4918</v>
      </c>
      <c r="D2745" s="92">
        <v>0.3</v>
      </c>
      <c r="E2745" s="92">
        <v>0.45</v>
      </c>
      <c r="F2745">
        <v>800</v>
      </c>
      <c r="G2745">
        <v>925</v>
      </c>
      <c r="H2745" t="s">
        <v>4930</v>
      </c>
      <c r="I2745">
        <v>0</v>
      </c>
      <c r="J2745" t="s">
        <v>153</v>
      </c>
      <c r="K2745">
        <v>0</v>
      </c>
      <c r="L2745">
        <v>0</v>
      </c>
      <c r="M2745" t="s">
        <v>11</v>
      </c>
    </row>
    <row r="2746" spans="1:13">
      <c r="A2746" s="93">
        <v>218742</v>
      </c>
      <c r="B2746" t="s">
        <v>3275</v>
      </c>
      <c r="C2746" t="s">
        <v>4918</v>
      </c>
      <c r="D2746" s="92">
        <v>0.48</v>
      </c>
      <c r="E2746" s="92">
        <v>0.47</v>
      </c>
      <c r="F2746">
        <v>950</v>
      </c>
      <c r="G2746">
        <v>1050</v>
      </c>
      <c r="H2746" t="s">
        <v>4932</v>
      </c>
      <c r="I2746">
        <v>0</v>
      </c>
      <c r="J2746" t="s">
        <v>97</v>
      </c>
      <c r="K2746">
        <v>0</v>
      </c>
      <c r="L2746">
        <v>0</v>
      </c>
      <c r="M2746" t="s">
        <v>11</v>
      </c>
    </row>
    <row r="2747" spans="1:13">
      <c r="A2747" s="93">
        <v>218751</v>
      </c>
      <c r="B2747" t="s">
        <v>3276</v>
      </c>
      <c r="C2747" t="s">
        <v>4924</v>
      </c>
      <c r="D2747" s="92" t="s">
        <v>446</v>
      </c>
      <c r="E2747" s="92" t="s">
        <v>446</v>
      </c>
      <c r="F2747" t="s">
        <v>446</v>
      </c>
      <c r="G2747" t="s">
        <v>446</v>
      </c>
      <c r="H2747" t="s">
        <v>4932</v>
      </c>
      <c r="I2747">
        <v>0</v>
      </c>
      <c r="J2747" t="s">
        <v>97</v>
      </c>
      <c r="K2747">
        <v>0</v>
      </c>
      <c r="L2747">
        <v>0</v>
      </c>
      <c r="M2747" t="s">
        <v>11</v>
      </c>
    </row>
    <row r="2748" spans="1:13">
      <c r="A2748" s="93">
        <v>218821</v>
      </c>
      <c r="B2748" t="s">
        <v>3277</v>
      </c>
      <c r="C2748" t="s">
        <v>4923</v>
      </c>
      <c r="D2748" s="92" t="s">
        <v>446</v>
      </c>
      <c r="E2748" s="92" t="s">
        <v>446</v>
      </c>
      <c r="F2748" t="s">
        <v>446</v>
      </c>
      <c r="G2748" t="s">
        <v>446</v>
      </c>
      <c r="H2748" t="s">
        <v>4929</v>
      </c>
      <c r="I2748">
        <v>1</v>
      </c>
      <c r="J2748" t="s">
        <v>97</v>
      </c>
      <c r="K2748">
        <v>0</v>
      </c>
      <c r="L2748">
        <v>0</v>
      </c>
      <c r="M2748" t="s">
        <v>11</v>
      </c>
    </row>
    <row r="2749" spans="1:13">
      <c r="A2749" s="93">
        <v>218830</v>
      </c>
      <c r="B2749" t="s">
        <v>3278</v>
      </c>
      <c r="C2749" t="s">
        <v>4919</v>
      </c>
      <c r="D2749" s="92">
        <v>0.31</v>
      </c>
      <c r="E2749" s="92">
        <v>0.24</v>
      </c>
      <c r="F2749" t="s">
        <v>446</v>
      </c>
      <c r="G2749" t="s">
        <v>446</v>
      </c>
      <c r="H2749" t="s">
        <v>4932</v>
      </c>
      <c r="I2749">
        <v>0</v>
      </c>
      <c r="J2749" t="s">
        <v>97</v>
      </c>
      <c r="K2749">
        <v>0</v>
      </c>
      <c r="L2749">
        <v>0</v>
      </c>
      <c r="M2749" t="s">
        <v>11</v>
      </c>
    </row>
    <row r="2750" spans="1:13">
      <c r="A2750" s="93">
        <v>218858</v>
      </c>
      <c r="B2750" t="s">
        <v>3279</v>
      </c>
      <c r="C2750" t="s">
        <v>4919</v>
      </c>
      <c r="D2750" s="92">
        <v>0.26</v>
      </c>
      <c r="E2750" s="92">
        <v>0.19</v>
      </c>
      <c r="F2750" t="s">
        <v>446</v>
      </c>
      <c r="G2750" t="s">
        <v>446</v>
      </c>
      <c r="H2750" t="s">
        <v>4932</v>
      </c>
      <c r="I2750">
        <v>0</v>
      </c>
      <c r="J2750" t="s">
        <v>97</v>
      </c>
      <c r="K2750">
        <v>0</v>
      </c>
      <c r="L2750">
        <v>0</v>
      </c>
      <c r="M2750" t="s">
        <v>11</v>
      </c>
    </row>
    <row r="2751" spans="1:13">
      <c r="A2751" s="93">
        <v>218885</v>
      </c>
      <c r="B2751" t="s">
        <v>3280</v>
      </c>
      <c r="C2751" t="s">
        <v>4919</v>
      </c>
      <c r="D2751" s="92">
        <v>0.52</v>
      </c>
      <c r="E2751" s="92">
        <v>0.42</v>
      </c>
      <c r="F2751" t="s">
        <v>446</v>
      </c>
      <c r="G2751" t="s">
        <v>446</v>
      </c>
      <c r="H2751" t="s">
        <v>4932</v>
      </c>
      <c r="I2751">
        <v>0</v>
      </c>
      <c r="J2751" t="s">
        <v>97</v>
      </c>
      <c r="K2751">
        <v>0</v>
      </c>
      <c r="L2751">
        <v>0</v>
      </c>
      <c r="M2751" t="s">
        <v>11</v>
      </c>
    </row>
    <row r="2752" spans="1:13">
      <c r="A2752" s="93">
        <v>218894</v>
      </c>
      <c r="B2752" t="s">
        <v>3281</v>
      </c>
      <c r="C2752" t="s">
        <v>4919</v>
      </c>
      <c r="D2752" s="92">
        <v>0.32</v>
      </c>
      <c r="E2752" s="92">
        <v>0.27</v>
      </c>
      <c r="F2752" t="s">
        <v>446</v>
      </c>
      <c r="G2752" t="s">
        <v>446</v>
      </c>
      <c r="H2752" t="s">
        <v>4932</v>
      </c>
      <c r="I2752">
        <v>0</v>
      </c>
      <c r="J2752" t="s">
        <v>97</v>
      </c>
      <c r="K2752">
        <v>0</v>
      </c>
      <c r="L2752">
        <v>0</v>
      </c>
      <c r="M2752" t="s">
        <v>11</v>
      </c>
    </row>
    <row r="2753" spans="1:13">
      <c r="A2753" s="93">
        <v>218919</v>
      </c>
      <c r="B2753" t="s">
        <v>3282</v>
      </c>
      <c r="C2753" t="s">
        <v>4920</v>
      </c>
      <c r="D2753" s="92">
        <v>0.39</v>
      </c>
      <c r="E2753" s="92">
        <v>0.39</v>
      </c>
      <c r="F2753" t="s">
        <v>446</v>
      </c>
      <c r="G2753" t="s">
        <v>446</v>
      </c>
      <c r="H2753" t="s">
        <v>4931</v>
      </c>
      <c r="I2753">
        <v>0</v>
      </c>
      <c r="J2753" t="s">
        <v>153</v>
      </c>
      <c r="K2753">
        <v>0</v>
      </c>
      <c r="L2753">
        <v>0</v>
      </c>
      <c r="M2753" t="s">
        <v>11</v>
      </c>
    </row>
    <row r="2754" spans="1:13">
      <c r="A2754" s="93">
        <v>218955</v>
      </c>
      <c r="B2754" t="s">
        <v>3283</v>
      </c>
      <c r="C2754" t="s">
        <v>4919</v>
      </c>
      <c r="D2754" s="92">
        <v>0.25</v>
      </c>
      <c r="E2754" s="92">
        <v>0.23</v>
      </c>
      <c r="F2754" t="s">
        <v>446</v>
      </c>
      <c r="G2754" t="s">
        <v>446</v>
      </c>
      <c r="H2754" t="s">
        <v>4932</v>
      </c>
      <c r="I2754">
        <v>0</v>
      </c>
      <c r="J2754" t="s">
        <v>97</v>
      </c>
      <c r="K2754">
        <v>0</v>
      </c>
      <c r="L2754">
        <v>0</v>
      </c>
      <c r="M2754" t="s">
        <v>11</v>
      </c>
    </row>
    <row r="2755" spans="1:13">
      <c r="A2755" s="93">
        <v>218964</v>
      </c>
      <c r="B2755" t="s">
        <v>3284</v>
      </c>
      <c r="C2755" t="s">
        <v>4920</v>
      </c>
      <c r="D2755" s="92">
        <v>0.58</v>
      </c>
      <c r="E2755" s="92">
        <v>0.54</v>
      </c>
      <c r="F2755">
        <v>1000</v>
      </c>
      <c r="G2755">
        <v>1100</v>
      </c>
      <c r="H2755" t="s">
        <v>4932</v>
      </c>
      <c r="I2755">
        <v>0</v>
      </c>
      <c r="J2755" t="s">
        <v>97</v>
      </c>
      <c r="K2755">
        <v>0</v>
      </c>
      <c r="L2755">
        <v>0</v>
      </c>
      <c r="M2755" t="s">
        <v>11</v>
      </c>
    </row>
    <row r="2756" spans="1:13">
      <c r="A2756" s="93">
        <v>218973</v>
      </c>
      <c r="B2756" t="s">
        <v>3285</v>
      </c>
      <c r="C2756" t="s">
        <v>4916</v>
      </c>
      <c r="D2756" s="92">
        <v>0.82</v>
      </c>
      <c r="E2756" s="92">
        <v>0.8</v>
      </c>
      <c r="F2756">
        <v>1180</v>
      </c>
      <c r="G2756">
        <v>1255</v>
      </c>
      <c r="H2756" t="s">
        <v>4930</v>
      </c>
      <c r="I2756">
        <v>0</v>
      </c>
      <c r="J2756" t="s">
        <v>97</v>
      </c>
      <c r="K2756">
        <v>0</v>
      </c>
      <c r="L2756">
        <v>0</v>
      </c>
      <c r="M2756" t="s">
        <v>11</v>
      </c>
    </row>
    <row r="2757" spans="1:13">
      <c r="A2757" s="93">
        <v>218991</v>
      </c>
      <c r="B2757" t="s">
        <v>3286</v>
      </c>
      <c r="C2757" t="s">
        <v>4919</v>
      </c>
      <c r="D2757" s="92">
        <v>0.35</v>
      </c>
      <c r="E2757" s="92">
        <v>0.28</v>
      </c>
      <c r="F2757" t="s">
        <v>446</v>
      </c>
      <c r="G2757" t="s">
        <v>446</v>
      </c>
      <c r="H2757" t="s">
        <v>4932</v>
      </c>
      <c r="I2757">
        <v>0</v>
      </c>
      <c r="J2757" t="s">
        <v>97</v>
      </c>
      <c r="K2757">
        <v>0</v>
      </c>
      <c r="L2757">
        <v>0</v>
      </c>
      <c r="M2757" t="s">
        <v>11</v>
      </c>
    </row>
    <row r="2758" spans="1:13">
      <c r="A2758" s="93">
        <v>219000</v>
      </c>
      <c r="B2758" t="s">
        <v>3287</v>
      </c>
      <c r="C2758" t="s">
        <v>4916</v>
      </c>
      <c r="D2758" s="92">
        <v>0.71</v>
      </c>
      <c r="E2758" s="92">
        <v>0.63</v>
      </c>
      <c r="F2758">
        <v>1110</v>
      </c>
      <c r="G2758">
        <v>1210</v>
      </c>
      <c r="H2758" t="s">
        <v>4930</v>
      </c>
      <c r="I2758">
        <v>0</v>
      </c>
      <c r="J2758" t="s">
        <v>97</v>
      </c>
      <c r="K2758">
        <v>0</v>
      </c>
      <c r="L2758">
        <v>0</v>
      </c>
      <c r="M2758" t="s">
        <v>11</v>
      </c>
    </row>
    <row r="2759" spans="1:13">
      <c r="A2759" s="93">
        <v>219046</v>
      </c>
      <c r="B2759" t="s">
        <v>3288</v>
      </c>
      <c r="C2759" t="s">
        <v>4920</v>
      </c>
      <c r="D2759" s="92">
        <v>0.4</v>
      </c>
      <c r="E2759" s="92">
        <v>0.3</v>
      </c>
      <c r="F2759">
        <v>970</v>
      </c>
      <c r="G2759">
        <v>1055</v>
      </c>
      <c r="H2759" t="s">
        <v>4932</v>
      </c>
      <c r="I2759">
        <v>0</v>
      </c>
      <c r="J2759" t="s">
        <v>97</v>
      </c>
      <c r="K2759">
        <v>0</v>
      </c>
      <c r="L2759">
        <v>0</v>
      </c>
      <c r="M2759" t="s">
        <v>11</v>
      </c>
    </row>
    <row r="2760" spans="1:13">
      <c r="A2760" s="93">
        <v>219082</v>
      </c>
      <c r="B2760" t="s">
        <v>3289</v>
      </c>
      <c r="C2760" t="s">
        <v>4920</v>
      </c>
      <c r="D2760" s="92">
        <v>0.45</v>
      </c>
      <c r="E2760" s="92">
        <v>0.14</v>
      </c>
      <c r="F2760">
        <v>1010</v>
      </c>
      <c r="G2760">
        <v>1125</v>
      </c>
      <c r="H2760" t="s">
        <v>4932</v>
      </c>
      <c r="I2760">
        <v>0</v>
      </c>
      <c r="J2760" t="s">
        <v>97</v>
      </c>
      <c r="K2760">
        <v>0</v>
      </c>
      <c r="L2760">
        <v>0</v>
      </c>
      <c r="M2760" t="s">
        <v>11</v>
      </c>
    </row>
    <row r="2761" spans="1:13">
      <c r="A2761" s="93">
        <v>219091</v>
      </c>
      <c r="B2761" t="s">
        <v>3290</v>
      </c>
      <c r="C2761" t="s">
        <v>4920</v>
      </c>
      <c r="D2761" s="92">
        <v>0.49</v>
      </c>
      <c r="E2761" s="92">
        <v>0.5</v>
      </c>
      <c r="F2761">
        <v>1010</v>
      </c>
      <c r="G2761">
        <v>1110</v>
      </c>
      <c r="H2761" t="s">
        <v>4930</v>
      </c>
      <c r="I2761">
        <v>0</v>
      </c>
      <c r="J2761" t="s">
        <v>97</v>
      </c>
      <c r="K2761">
        <v>0</v>
      </c>
      <c r="L2761">
        <v>0</v>
      </c>
      <c r="M2761" t="s">
        <v>11</v>
      </c>
    </row>
    <row r="2762" spans="1:13">
      <c r="A2762" s="93">
        <v>219143</v>
      </c>
      <c r="B2762" t="s">
        <v>3291</v>
      </c>
      <c r="C2762" t="s">
        <v>4919</v>
      </c>
      <c r="D2762" s="92">
        <v>0.74</v>
      </c>
      <c r="E2762" s="92">
        <v>0.59</v>
      </c>
      <c r="F2762" t="s">
        <v>446</v>
      </c>
      <c r="G2762" t="s">
        <v>446</v>
      </c>
      <c r="H2762" t="s">
        <v>4932</v>
      </c>
      <c r="I2762">
        <v>0</v>
      </c>
      <c r="J2762" t="s">
        <v>97</v>
      </c>
      <c r="K2762">
        <v>0</v>
      </c>
      <c r="L2762">
        <v>0</v>
      </c>
      <c r="M2762" t="s">
        <v>11</v>
      </c>
    </row>
    <row r="2763" spans="1:13">
      <c r="A2763" s="93">
        <v>219170</v>
      </c>
      <c r="B2763" t="s">
        <v>3292</v>
      </c>
      <c r="C2763" t="s">
        <v>4919</v>
      </c>
      <c r="D2763" s="92" t="s">
        <v>446</v>
      </c>
      <c r="E2763" s="92" t="s">
        <v>446</v>
      </c>
      <c r="F2763" t="s">
        <v>446</v>
      </c>
      <c r="G2763" t="s">
        <v>446</v>
      </c>
      <c r="H2763" t="s">
        <v>4932</v>
      </c>
      <c r="I2763">
        <v>0</v>
      </c>
      <c r="J2763" t="s">
        <v>97</v>
      </c>
      <c r="K2763">
        <v>0</v>
      </c>
      <c r="L2763">
        <v>0</v>
      </c>
      <c r="M2763" t="s">
        <v>11</v>
      </c>
    </row>
    <row r="2764" spans="1:13">
      <c r="A2764" s="93">
        <v>219189</v>
      </c>
      <c r="B2764" t="s">
        <v>3293</v>
      </c>
      <c r="C2764" t="s">
        <v>4919</v>
      </c>
      <c r="D2764" s="92">
        <v>0.75</v>
      </c>
      <c r="E2764" s="92">
        <v>0.64</v>
      </c>
      <c r="F2764" t="s">
        <v>446</v>
      </c>
      <c r="G2764" t="s">
        <v>446</v>
      </c>
      <c r="H2764" t="s">
        <v>4932</v>
      </c>
      <c r="I2764">
        <v>0</v>
      </c>
      <c r="J2764" t="s">
        <v>97</v>
      </c>
      <c r="K2764">
        <v>0</v>
      </c>
      <c r="L2764">
        <v>0</v>
      </c>
      <c r="M2764" t="s">
        <v>11</v>
      </c>
    </row>
    <row r="2765" spans="1:13">
      <c r="A2765" s="93">
        <v>219198</v>
      </c>
      <c r="B2765" t="s">
        <v>3294</v>
      </c>
      <c r="C2765" t="s">
        <v>4920</v>
      </c>
      <c r="D2765" s="92">
        <v>0.5600000000000001</v>
      </c>
      <c r="E2765" s="92">
        <v>0.25</v>
      </c>
      <c r="F2765">
        <v>1010</v>
      </c>
      <c r="G2765">
        <v>1095</v>
      </c>
      <c r="H2765" t="s">
        <v>4930</v>
      </c>
      <c r="I2765">
        <v>0</v>
      </c>
      <c r="J2765" t="s">
        <v>97</v>
      </c>
      <c r="K2765">
        <v>0</v>
      </c>
      <c r="L2765">
        <v>0</v>
      </c>
      <c r="M2765" t="s">
        <v>11</v>
      </c>
    </row>
    <row r="2766" spans="1:13">
      <c r="A2766" s="93">
        <v>219204</v>
      </c>
      <c r="B2766" t="s">
        <v>3295</v>
      </c>
      <c r="C2766" t="s">
        <v>4923</v>
      </c>
      <c r="D2766" s="92">
        <v>0.12</v>
      </c>
      <c r="E2766" s="92">
        <v>0</v>
      </c>
      <c r="F2766" t="s">
        <v>446</v>
      </c>
      <c r="G2766" t="s">
        <v>446</v>
      </c>
      <c r="H2766" t="s">
        <v>4930</v>
      </c>
      <c r="I2766">
        <v>0</v>
      </c>
      <c r="J2766" t="s">
        <v>97</v>
      </c>
      <c r="K2766">
        <v>0</v>
      </c>
      <c r="L2766">
        <v>0</v>
      </c>
      <c r="M2766" t="s">
        <v>11</v>
      </c>
    </row>
    <row r="2767" spans="1:13">
      <c r="A2767" s="93">
        <v>219240</v>
      </c>
      <c r="B2767" t="s">
        <v>3296</v>
      </c>
      <c r="C2767" t="s">
        <v>4924</v>
      </c>
      <c r="D2767" s="92" t="s">
        <v>446</v>
      </c>
      <c r="E2767" s="92" t="s">
        <v>446</v>
      </c>
      <c r="F2767" t="s">
        <v>446</v>
      </c>
      <c r="G2767" t="s">
        <v>446</v>
      </c>
      <c r="H2767" t="s">
        <v>4932</v>
      </c>
      <c r="I2767">
        <v>0</v>
      </c>
      <c r="J2767" t="s">
        <v>97</v>
      </c>
      <c r="K2767">
        <v>0</v>
      </c>
      <c r="L2767">
        <v>0</v>
      </c>
      <c r="M2767" t="s">
        <v>11</v>
      </c>
    </row>
    <row r="2768" spans="1:13">
      <c r="A2768" s="93">
        <v>219259</v>
      </c>
      <c r="B2768" t="s">
        <v>3297</v>
      </c>
      <c r="C2768" t="s">
        <v>4920</v>
      </c>
      <c r="D2768" s="92">
        <v>0.52</v>
      </c>
      <c r="E2768" s="92">
        <v>0.27</v>
      </c>
      <c r="F2768">
        <v>970</v>
      </c>
      <c r="G2768">
        <v>1075</v>
      </c>
      <c r="H2768" t="s">
        <v>4932</v>
      </c>
      <c r="I2768">
        <v>0</v>
      </c>
      <c r="J2768" t="s">
        <v>97</v>
      </c>
      <c r="K2768">
        <v>0</v>
      </c>
      <c r="L2768">
        <v>0</v>
      </c>
      <c r="M2768" t="s">
        <v>11</v>
      </c>
    </row>
    <row r="2769" spans="1:13">
      <c r="A2769" s="93">
        <v>219277</v>
      </c>
      <c r="B2769" t="s">
        <v>3298</v>
      </c>
      <c r="C2769" t="s">
        <v>4923</v>
      </c>
      <c r="D2769" s="92">
        <v>0.05</v>
      </c>
      <c r="E2769" s="92">
        <v>0</v>
      </c>
      <c r="F2769" t="s">
        <v>446</v>
      </c>
      <c r="G2769" t="s">
        <v>446</v>
      </c>
      <c r="H2769" t="s">
        <v>4932</v>
      </c>
      <c r="I2769">
        <v>0</v>
      </c>
      <c r="J2769" t="s">
        <v>97</v>
      </c>
      <c r="K2769">
        <v>0</v>
      </c>
      <c r="L2769">
        <v>0</v>
      </c>
      <c r="M2769" t="s">
        <v>11</v>
      </c>
    </row>
    <row r="2770" spans="1:13">
      <c r="A2770" s="93">
        <v>219295</v>
      </c>
      <c r="B2770" t="s">
        <v>3299</v>
      </c>
      <c r="C2770" t="s">
        <v>4923</v>
      </c>
      <c r="D2770" s="92">
        <v>0.35</v>
      </c>
      <c r="E2770" s="92">
        <v>0.3</v>
      </c>
      <c r="F2770">
        <v>930</v>
      </c>
      <c r="G2770">
        <v>1020</v>
      </c>
      <c r="H2770" t="s">
        <v>4930</v>
      </c>
      <c r="I2770">
        <v>0</v>
      </c>
      <c r="J2770" t="s">
        <v>97</v>
      </c>
      <c r="K2770">
        <v>0</v>
      </c>
      <c r="L2770">
        <v>0</v>
      </c>
      <c r="M2770" t="s">
        <v>11</v>
      </c>
    </row>
    <row r="2771" spans="1:13">
      <c r="A2771" s="93">
        <v>219338</v>
      </c>
      <c r="B2771" t="s">
        <v>3300</v>
      </c>
      <c r="C2771" t="s">
        <v>4919</v>
      </c>
      <c r="D2771" s="92" t="s">
        <v>446</v>
      </c>
      <c r="E2771" s="92" t="s">
        <v>446</v>
      </c>
      <c r="F2771" t="s">
        <v>446</v>
      </c>
      <c r="G2771" t="s">
        <v>446</v>
      </c>
      <c r="H2771" t="s">
        <v>4932</v>
      </c>
      <c r="I2771">
        <v>0</v>
      </c>
      <c r="J2771" t="s">
        <v>97</v>
      </c>
      <c r="K2771">
        <v>0</v>
      </c>
      <c r="L2771">
        <v>0</v>
      </c>
      <c r="M2771" t="s">
        <v>11</v>
      </c>
    </row>
    <row r="2772" spans="1:13">
      <c r="A2772" s="93">
        <v>219347</v>
      </c>
      <c r="B2772" t="s">
        <v>3301</v>
      </c>
      <c r="C2772" t="s">
        <v>4916</v>
      </c>
      <c r="D2772" s="92">
        <v>0.5</v>
      </c>
      <c r="E2772" s="92">
        <v>0.43</v>
      </c>
      <c r="F2772">
        <v>1160</v>
      </c>
      <c r="G2772">
        <v>1260</v>
      </c>
      <c r="H2772" t="s">
        <v>4932</v>
      </c>
      <c r="I2772">
        <v>0</v>
      </c>
      <c r="J2772" t="s">
        <v>97</v>
      </c>
      <c r="K2772">
        <v>0</v>
      </c>
      <c r="L2772">
        <v>0</v>
      </c>
      <c r="M2772" t="s">
        <v>11</v>
      </c>
    </row>
    <row r="2773" spans="1:13">
      <c r="A2773" s="93">
        <v>219356</v>
      </c>
      <c r="B2773" t="s">
        <v>3302</v>
      </c>
      <c r="C2773" t="s">
        <v>4920</v>
      </c>
      <c r="D2773" s="92">
        <v>0.58</v>
      </c>
      <c r="E2773" s="92">
        <v>0.34</v>
      </c>
      <c r="F2773">
        <v>1010</v>
      </c>
      <c r="G2773">
        <v>1110</v>
      </c>
      <c r="H2773" t="s">
        <v>4932</v>
      </c>
      <c r="I2773">
        <v>0</v>
      </c>
      <c r="J2773" t="s">
        <v>97</v>
      </c>
      <c r="K2773">
        <v>0</v>
      </c>
      <c r="L2773">
        <v>0</v>
      </c>
      <c r="M2773" t="s">
        <v>11</v>
      </c>
    </row>
    <row r="2774" spans="1:13">
      <c r="A2774" s="93">
        <v>219374</v>
      </c>
      <c r="B2774" t="s">
        <v>3303</v>
      </c>
      <c r="C2774" t="s">
        <v>4923</v>
      </c>
      <c r="D2774" s="92">
        <v>0.17</v>
      </c>
      <c r="E2774" s="92" t="s">
        <v>446</v>
      </c>
      <c r="F2774" t="s">
        <v>446</v>
      </c>
      <c r="G2774" t="s">
        <v>446</v>
      </c>
      <c r="H2774" t="s">
        <v>4932</v>
      </c>
      <c r="I2774">
        <v>0</v>
      </c>
      <c r="J2774" t="s">
        <v>97</v>
      </c>
      <c r="K2774">
        <v>0</v>
      </c>
      <c r="L2774">
        <v>0</v>
      </c>
      <c r="M2774" t="s">
        <v>11</v>
      </c>
    </row>
    <row r="2775" spans="1:13">
      <c r="A2775" s="93">
        <v>219383</v>
      </c>
      <c r="B2775" t="s">
        <v>3304</v>
      </c>
      <c r="C2775" t="s">
        <v>4920</v>
      </c>
      <c r="D2775" s="92">
        <v>0.58</v>
      </c>
      <c r="E2775" s="92">
        <v>0.5</v>
      </c>
      <c r="F2775" t="s">
        <v>446</v>
      </c>
      <c r="G2775" t="s">
        <v>446</v>
      </c>
      <c r="H2775" t="s">
        <v>4930</v>
      </c>
      <c r="I2775">
        <v>0</v>
      </c>
      <c r="J2775" t="s">
        <v>97</v>
      </c>
      <c r="K2775">
        <v>0</v>
      </c>
      <c r="L2775">
        <v>0</v>
      </c>
      <c r="M2775" t="s">
        <v>11</v>
      </c>
    </row>
    <row r="2776" spans="1:13">
      <c r="A2776" s="93">
        <v>219392</v>
      </c>
      <c r="B2776" t="s">
        <v>3305</v>
      </c>
      <c r="C2776" t="s">
        <v>4919</v>
      </c>
      <c r="D2776" s="92" t="s">
        <v>446</v>
      </c>
      <c r="E2776" s="92" t="s">
        <v>446</v>
      </c>
      <c r="F2776" t="s">
        <v>446</v>
      </c>
      <c r="G2776" t="s">
        <v>446</v>
      </c>
      <c r="H2776" t="s">
        <v>4932</v>
      </c>
      <c r="I2776">
        <v>0</v>
      </c>
      <c r="J2776" t="s">
        <v>97</v>
      </c>
      <c r="K2776">
        <v>0</v>
      </c>
      <c r="L2776">
        <v>0</v>
      </c>
      <c r="M2776" t="s">
        <v>11</v>
      </c>
    </row>
    <row r="2777" spans="1:13">
      <c r="A2777" s="93">
        <v>219408</v>
      </c>
      <c r="B2777" t="s">
        <v>3306</v>
      </c>
      <c r="C2777" t="s">
        <v>4919</v>
      </c>
      <c r="D2777" s="92">
        <v>0.23</v>
      </c>
      <c r="E2777" s="92">
        <v>0.38</v>
      </c>
      <c r="F2777" t="s">
        <v>446</v>
      </c>
      <c r="G2777" t="s">
        <v>446</v>
      </c>
      <c r="H2777" t="s">
        <v>4932</v>
      </c>
      <c r="I2777">
        <v>0</v>
      </c>
      <c r="J2777" t="s">
        <v>97</v>
      </c>
      <c r="K2777">
        <v>0</v>
      </c>
      <c r="L2777">
        <v>0</v>
      </c>
      <c r="M2777" t="s">
        <v>11</v>
      </c>
    </row>
    <row r="2778" spans="1:13">
      <c r="A2778" s="93">
        <v>219426</v>
      </c>
      <c r="B2778" t="s">
        <v>3307</v>
      </c>
      <c r="C2778" t="s">
        <v>4919</v>
      </c>
      <c r="D2778" s="92">
        <v>0.61</v>
      </c>
      <c r="E2778" s="92">
        <v>0.47</v>
      </c>
      <c r="F2778" t="s">
        <v>446</v>
      </c>
      <c r="G2778" t="s">
        <v>446</v>
      </c>
      <c r="H2778" t="s">
        <v>4932</v>
      </c>
      <c r="I2778">
        <v>0</v>
      </c>
      <c r="J2778" t="s">
        <v>97</v>
      </c>
      <c r="K2778">
        <v>0</v>
      </c>
      <c r="L2778">
        <v>0</v>
      </c>
      <c r="M2778" t="s">
        <v>11</v>
      </c>
    </row>
    <row r="2779" spans="1:13">
      <c r="A2779" s="93">
        <v>219471</v>
      </c>
      <c r="B2779" t="s">
        <v>3308</v>
      </c>
      <c r="C2779" t="s">
        <v>4920</v>
      </c>
      <c r="D2779" s="92">
        <v>0.6</v>
      </c>
      <c r="E2779" s="92">
        <v>0.35</v>
      </c>
      <c r="F2779">
        <v>1010</v>
      </c>
      <c r="G2779">
        <v>1110</v>
      </c>
      <c r="H2779" t="s">
        <v>4932</v>
      </c>
      <c r="I2779">
        <v>0</v>
      </c>
      <c r="J2779" t="s">
        <v>97</v>
      </c>
      <c r="K2779">
        <v>0</v>
      </c>
      <c r="L2779">
        <v>0</v>
      </c>
      <c r="M2779" t="s">
        <v>11</v>
      </c>
    </row>
    <row r="2780" spans="1:13">
      <c r="A2780" s="93">
        <v>219480</v>
      </c>
      <c r="B2780" t="s">
        <v>3309</v>
      </c>
      <c r="C2780" t="s">
        <v>4919</v>
      </c>
      <c r="D2780" s="92">
        <v>0.54</v>
      </c>
      <c r="E2780" s="92">
        <v>0.44</v>
      </c>
      <c r="F2780" t="s">
        <v>446</v>
      </c>
      <c r="G2780" t="s">
        <v>446</v>
      </c>
      <c r="H2780" t="s">
        <v>4932</v>
      </c>
      <c r="I2780">
        <v>0</v>
      </c>
      <c r="J2780" t="s">
        <v>97</v>
      </c>
      <c r="K2780">
        <v>0</v>
      </c>
      <c r="L2780">
        <v>0</v>
      </c>
      <c r="M2780" t="s">
        <v>11</v>
      </c>
    </row>
    <row r="2781" spans="1:13">
      <c r="A2781" s="93">
        <v>219505</v>
      </c>
      <c r="B2781" t="s">
        <v>3310</v>
      </c>
      <c r="C2781" t="s">
        <v>4923</v>
      </c>
      <c r="D2781" s="92">
        <v>0.34</v>
      </c>
      <c r="E2781" s="92">
        <v>0.34</v>
      </c>
      <c r="F2781" t="s">
        <v>446</v>
      </c>
      <c r="G2781" t="s">
        <v>446</v>
      </c>
      <c r="H2781" t="s">
        <v>4930</v>
      </c>
      <c r="I2781">
        <v>0</v>
      </c>
      <c r="J2781" t="s">
        <v>153</v>
      </c>
      <c r="K2781">
        <v>0</v>
      </c>
      <c r="L2781">
        <v>0</v>
      </c>
      <c r="M2781" t="s">
        <v>11</v>
      </c>
    </row>
    <row r="2782" spans="1:13">
      <c r="A2782" s="93">
        <v>219596</v>
      </c>
      <c r="B2782" t="s">
        <v>3311</v>
      </c>
      <c r="C2782" t="s">
        <v>4919</v>
      </c>
      <c r="D2782" s="92" t="s">
        <v>446</v>
      </c>
      <c r="E2782" s="92" t="s">
        <v>446</v>
      </c>
      <c r="F2782" t="s">
        <v>446</v>
      </c>
      <c r="G2782" t="s">
        <v>446</v>
      </c>
      <c r="H2782" t="s">
        <v>4932</v>
      </c>
      <c r="I2782">
        <v>0</v>
      </c>
      <c r="J2782" t="s">
        <v>97</v>
      </c>
      <c r="K2782">
        <v>0</v>
      </c>
      <c r="L2782">
        <v>0</v>
      </c>
      <c r="M2782" t="s">
        <v>11</v>
      </c>
    </row>
    <row r="2783" spans="1:13">
      <c r="A2783" s="93">
        <v>219639</v>
      </c>
      <c r="B2783" t="s">
        <v>3312</v>
      </c>
      <c r="C2783" t="s">
        <v>4920</v>
      </c>
      <c r="D2783" s="92">
        <v>0.53</v>
      </c>
      <c r="E2783" s="92">
        <v>0.44</v>
      </c>
      <c r="F2783">
        <v>1010</v>
      </c>
      <c r="G2783">
        <v>1110</v>
      </c>
      <c r="H2783" t="s">
        <v>4931</v>
      </c>
      <c r="I2783">
        <v>0</v>
      </c>
      <c r="J2783" t="s">
        <v>97</v>
      </c>
      <c r="K2783">
        <v>0</v>
      </c>
      <c r="L2783">
        <v>0</v>
      </c>
      <c r="M2783" t="s">
        <v>11</v>
      </c>
    </row>
    <row r="2784" spans="1:13">
      <c r="A2784" s="93">
        <v>219709</v>
      </c>
      <c r="B2784" t="s">
        <v>3313</v>
      </c>
      <c r="C2784" t="s">
        <v>4916</v>
      </c>
      <c r="D2784" s="92">
        <v>0.68</v>
      </c>
      <c r="E2784" s="92">
        <v>0.62</v>
      </c>
      <c r="F2784">
        <v>1150</v>
      </c>
      <c r="G2784">
        <v>1245</v>
      </c>
      <c r="H2784" t="s">
        <v>4930</v>
      </c>
      <c r="I2784">
        <v>0</v>
      </c>
      <c r="J2784" t="s">
        <v>97</v>
      </c>
      <c r="K2784">
        <v>0</v>
      </c>
      <c r="L2784">
        <v>0</v>
      </c>
      <c r="M2784" t="s">
        <v>11</v>
      </c>
    </row>
    <row r="2785" spans="1:13">
      <c r="A2785" s="93">
        <v>219718</v>
      </c>
      <c r="B2785" t="s">
        <v>1791</v>
      </c>
      <c r="C2785" t="s">
        <v>4920</v>
      </c>
      <c r="D2785" s="92">
        <v>0.34</v>
      </c>
      <c r="E2785" s="92">
        <v>0.23</v>
      </c>
      <c r="F2785">
        <v>850</v>
      </c>
      <c r="G2785">
        <v>965</v>
      </c>
      <c r="H2785" t="s">
        <v>4931</v>
      </c>
      <c r="I2785">
        <v>0</v>
      </c>
      <c r="J2785" t="s">
        <v>97</v>
      </c>
      <c r="K2785">
        <v>0</v>
      </c>
      <c r="L2785">
        <v>0</v>
      </c>
      <c r="M2785" t="s">
        <v>11</v>
      </c>
    </row>
    <row r="2786" spans="1:13">
      <c r="A2786" s="93">
        <v>219790</v>
      </c>
      <c r="B2786" t="s">
        <v>3314</v>
      </c>
      <c r="C2786" t="s">
        <v>4920</v>
      </c>
      <c r="D2786" s="92">
        <v>0.5</v>
      </c>
      <c r="E2786" s="92">
        <v>0.44</v>
      </c>
      <c r="F2786" t="s">
        <v>446</v>
      </c>
      <c r="G2786" t="s">
        <v>446</v>
      </c>
      <c r="H2786" t="s">
        <v>4931</v>
      </c>
      <c r="I2786">
        <v>0</v>
      </c>
      <c r="J2786" t="s">
        <v>97</v>
      </c>
      <c r="K2786">
        <v>0</v>
      </c>
      <c r="L2786">
        <v>0</v>
      </c>
      <c r="M2786" t="s">
        <v>11</v>
      </c>
    </row>
    <row r="2787" spans="1:13">
      <c r="A2787" s="93">
        <v>219806</v>
      </c>
      <c r="B2787" t="s">
        <v>3315</v>
      </c>
      <c r="C2787" t="s">
        <v>4920</v>
      </c>
      <c r="D2787" s="92">
        <v>0.55</v>
      </c>
      <c r="E2787" s="92">
        <v>0.33</v>
      </c>
      <c r="F2787">
        <v>1010</v>
      </c>
      <c r="G2787">
        <v>1110</v>
      </c>
      <c r="H2787" t="s">
        <v>4930</v>
      </c>
      <c r="I2787">
        <v>0</v>
      </c>
      <c r="J2787" t="s">
        <v>97</v>
      </c>
      <c r="K2787">
        <v>0</v>
      </c>
      <c r="L2787">
        <v>0</v>
      </c>
      <c r="M2787" t="s">
        <v>11</v>
      </c>
    </row>
    <row r="2788" spans="1:13">
      <c r="A2788" s="93">
        <v>219824</v>
      </c>
      <c r="B2788" t="s">
        <v>3316</v>
      </c>
      <c r="C2788" t="s">
        <v>4919</v>
      </c>
      <c r="D2788" s="92">
        <v>0.34</v>
      </c>
      <c r="E2788" s="92">
        <v>0.22</v>
      </c>
      <c r="F2788" t="s">
        <v>446</v>
      </c>
      <c r="G2788" t="s">
        <v>446</v>
      </c>
      <c r="H2788" t="s">
        <v>4932</v>
      </c>
      <c r="I2788">
        <v>0</v>
      </c>
      <c r="J2788" t="s">
        <v>97</v>
      </c>
      <c r="K2788">
        <v>0</v>
      </c>
      <c r="L2788">
        <v>0</v>
      </c>
      <c r="M2788" t="s">
        <v>11</v>
      </c>
    </row>
    <row r="2789" spans="1:13">
      <c r="A2789" s="93">
        <v>219833</v>
      </c>
      <c r="B2789" t="s">
        <v>3317</v>
      </c>
      <c r="C2789" t="s">
        <v>4916</v>
      </c>
      <c r="D2789" s="92">
        <v>0.59</v>
      </c>
      <c r="E2789" s="92">
        <v>0.49</v>
      </c>
      <c r="F2789">
        <v>970</v>
      </c>
      <c r="G2789">
        <v>1090</v>
      </c>
      <c r="H2789" t="s">
        <v>4931</v>
      </c>
      <c r="I2789">
        <v>0</v>
      </c>
      <c r="J2789" t="s">
        <v>97</v>
      </c>
      <c r="K2789">
        <v>0</v>
      </c>
      <c r="L2789">
        <v>0</v>
      </c>
      <c r="M2789" t="s">
        <v>11</v>
      </c>
    </row>
    <row r="2790" spans="1:13">
      <c r="A2790" s="93">
        <v>219842</v>
      </c>
      <c r="B2790" t="s">
        <v>3318</v>
      </c>
      <c r="C2790" t="s">
        <v>4924</v>
      </c>
      <c r="D2790" s="92" t="s">
        <v>446</v>
      </c>
      <c r="E2790" s="92" t="s">
        <v>446</v>
      </c>
      <c r="F2790" t="s">
        <v>446</v>
      </c>
      <c r="G2790" t="s">
        <v>446</v>
      </c>
      <c r="H2790" t="s">
        <v>4932</v>
      </c>
      <c r="I2790">
        <v>0</v>
      </c>
      <c r="J2790" t="s">
        <v>97</v>
      </c>
      <c r="K2790">
        <v>0</v>
      </c>
      <c r="L2790">
        <v>0</v>
      </c>
      <c r="M2790" t="s">
        <v>11</v>
      </c>
    </row>
    <row r="2791" spans="1:13">
      <c r="A2791" s="93">
        <v>219879</v>
      </c>
      <c r="B2791" t="s">
        <v>3319</v>
      </c>
      <c r="C2791" t="s">
        <v>4919</v>
      </c>
      <c r="D2791" s="92">
        <v>0.34</v>
      </c>
      <c r="E2791" s="92">
        <v>0.27</v>
      </c>
      <c r="F2791" t="s">
        <v>446</v>
      </c>
      <c r="G2791" t="s">
        <v>446</v>
      </c>
      <c r="H2791" t="s">
        <v>4932</v>
      </c>
      <c r="I2791">
        <v>0</v>
      </c>
      <c r="J2791" t="s">
        <v>97</v>
      </c>
      <c r="K2791">
        <v>0</v>
      </c>
      <c r="L2791">
        <v>0</v>
      </c>
      <c r="M2791" t="s">
        <v>11</v>
      </c>
    </row>
    <row r="2792" spans="1:13">
      <c r="A2792" s="93">
        <v>219888</v>
      </c>
      <c r="B2792" t="s">
        <v>3320</v>
      </c>
      <c r="C2792" t="s">
        <v>4919</v>
      </c>
      <c r="D2792" s="92">
        <v>0.32</v>
      </c>
      <c r="E2792" s="92">
        <v>0.22</v>
      </c>
      <c r="F2792" t="s">
        <v>446</v>
      </c>
      <c r="G2792" t="s">
        <v>446</v>
      </c>
      <c r="H2792" t="s">
        <v>4932</v>
      </c>
      <c r="I2792">
        <v>0</v>
      </c>
      <c r="J2792" t="s">
        <v>97</v>
      </c>
      <c r="K2792">
        <v>0</v>
      </c>
      <c r="L2792">
        <v>0</v>
      </c>
      <c r="M2792" t="s">
        <v>11</v>
      </c>
    </row>
    <row r="2793" spans="1:13">
      <c r="A2793" s="93">
        <v>219903</v>
      </c>
      <c r="B2793" t="s">
        <v>3321</v>
      </c>
      <c r="C2793" t="s">
        <v>4919</v>
      </c>
      <c r="D2793" s="92" t="s">
        <v>446</v>
      </c>
      <c r="E2793" s="92" t="s">
        <v>446</v>
      </c>
      <c r="F2793" t="s">
        <v>446</v>
      </c>
      <c r="G2793" t="s">
        <v>446</v>
      </c>
      <c r="H2793" t="s">
        <v>4930</v>
      </c>
      <c r="I2793">
        <v>0</v>
      </c>
      <c r="J2793" t="s">
        <v>97</v>
      </c>
      <c r="K2793">
        <v>0</v>
      </c>
      <c r="L2793">
        <v>0</v>
      </c>
      <c r="M2793" t="s">
        <v>11</v>
      </c>
    </row>
    <row r="2794" spans="1:13">
      <c r="A2794" s="93">
        <v>219921</v>
      </c>
      <c r="B2794" t="s">
        <v>3322</v>
      </c>
      <c r="C2794" t="s">
        <v>4919</v>
      </c>
      <c r="D2794" s="92" t="s">
        <v>446</v>
      </c>
      <c r="E2794" s="92" t="s">
        <v>446</v>
      </c>
      <c r="F2794" t="s">
        <v>446</v>
      </c>
      <c r="G2794" t="s">
        <v>446</v>
      </c>
      <c r="H2794" t="s">
        <v>4932</v>
      </c>
      <c r="I2794">
        <v>0</v>
      </c>
      <c r="J2794" t="s">
        <v>97</v>
      </c>
      <c r="K2794">
        <v>0</v>
      </c>
      <c r="L2794">
        <v>0</v>
      </c>
      <c r="M2794" t="s">
        <v>11</v>
      </c>
    </row>
    <row r="2795" spans="1:13">
      <c r="A2795" s="93">
        <v>219949</v>
      </c>
      <c r="B2795" t="s">
        <v>3323</v>
      </c>
      <c r="C2795" t="s">
        <v>4920</v>
      </c>
      <c r="D2795" s="92">
        <v>0.49</v>
      </c>
      <c r="E2795" s="92">
        <v>0.43</v>
      </c>
      <c r="F2795" t="s">
        <v>446</v>
      </c>
      <c r="G2795" t="s">
        <v>446</v>
      </c>
      <c r="H2795" t="s">
        <v>4930</v>
      </c>
      <c r="I2795">
        <v>0</v>
      </c>
      <c r="J2795" t="s">
        <v>97</v>
      </c>
      <c r="K2795">
        <v>0</v>
      </c>
      <c r="L2795">
        <v>0</v>
      </c>
      <c r="M2795" t="s">
        <v>11</v>
      </c>
    </row>
    <row r="2796" spans="1:13">
      <c r="A2796" s="93">
        <v>219976</v>
      </c>
      <c r="B2796" t="s">
        <v>3324</v>
      </c>
      <c r="C2796" t="s">
        <v>4916</v>
      </c>
      <c r="D2796" s="92">
        <v>0.6899999999999999</v>
      </c>
      <c r="E2796" s="92">
        <v>0.52</v>
      </c>
      <c r="F2796">
        <v>1110</v>
      </c>
      <c r="G2796">
        <v>1225</v>
      </c>
      <c r="H2796" t="s">
        <v>4930</v>
      </c>
      <c r="I2796">
        <v>0</v>
      </c>
      <c r="J2796" t="s">
        <v>97</v>
      </c>
      <c r="K2796">
        <v>0</v>
      </c>
      <c r="L2796">
        <v>0</v>
      </c>
      <c r="M2796" t="s">
        <v>11</v>
      </c>
    </row>
    <row r="2797" spans="1:13">
      <c r="A2797" s="93">
        <v>219994</v>
      </c>
      <c r="B2797" t="s">
        <v>3325</v>
      </c>
      <c r="C2797" t="s">
        <v>4919</v>
      </c>
      <c r="D2797" s="92" t="s">
        <v>446</v>
      </c>
      <c r="E2797" s="92" t="s">
        <v>446</v>
      </c>
      <c r="F2797" t="s">
        <v>446</v>
      </c>
      <c r="G2797" t="s">
        <v>446</v>
      </c>
      <c r="H2797" t="s">
        <v>4932</v>
      </c>
      <c r="I2797">
        <v>0</v>
      </c>
      <c r="J2797" t="s">
        <v>97</v>
      </c>
      <c r="K2797">
        <v>0</v>
      </c>
      <c r="L2797">
        <v>0</v>
      </c>
      <c r="M2797" t="s">
        <v>11</v>
      </c>
    </row>
    <row r="2798" spans="1:13">
      <c r="A2798" s="93">
        <v>220002</v>
      </c>
      <c r="B2798" t="s">
        <v>3326</v>
      </c>
      <c r="C2798" t="s">
        <v>4923</v>
      </c>
      <c r="D2798" s="92">
        <v>0.71</v>
      </c>
      <c r="E2798" s="92">
        <v>0.75</v>
      </c>
      <c r="F2798" t="s">
        <v>446</v>
      </c>
      <c r="G2798" t="s">
        <v>446</v>
      </c>
      <c r="H2798" t="s">
        <v>4930</v>
      </c>
      <c r="I2798">
        <v>0</v>
      </c>
      <c r="J2798" t="s">
        <v>97</v>
      </c>
      <c r="K2798">
        <v>0</v>
      </c>
      <c r="L2798">
        <v>0</v>
      </c>
      <c r="M2798" t="s">
        <v>11</v>
      </c>
    </row>
    <row r="2799" spans="1:13">
      <c r="A2799" s="93">
        <v>220057</v>
      </c>
      <c r="B2799" t="s">
        <v>3327</v>
      </c>
      <c r="C2799" t="s">
        <v>4919</v>
      </c>
      <c r="D2799" s="92">
        <v>0.33</v>
      </c>
      <c r="E2799" s="92">
        <v>0.27</v>
      </c>
      <c r="F2799" t="s">
        <v>446</v>
      </c>
      <c r="G2799" t="s">
        <v>446</v>
      </c>
      <c r="H2799" t="s">
        <v>4932</v>
      </c>
      <c r="I2799">
        <v>0</v>
      </c>
      <c r="J2799" t="s">
        <v>97</v>
      </c>
      <c r="K2799">
        <v>0</v>
      </c>
      <c r="L2799">
        <v>0</v>
      </c>
      <c r="M2799" t="s">
        <v>11</v>
      </c>
    </row>
    <row r="2800" spans="1:13">
      <c r="A2800" s="93">
        <v>220075</v>
      </c>
      <c r="B2800" t="s">
        <v>3328</v>
      </c>
      <c r="C2800" t="s">
        <v>4920</v>
      </c>
      <c r="D2800" s="92">
        <v>0.51</v>
      </c>
      <c r="E2800" s="92">
        <v>0.36</v>
      </c>
      <c r="F2800">
        <v>1010</v>
      </c>
      <c r="G2800">
        <v>1125</v>
      </c>
      <c r="H2800" t="s">
        <v>4932</v>
      </c>
      <c r="I2800">
        <v>0</v>
      </c>
      <c r="J2800" t="s">
        <v>97</v>
      </c>
      <c r="K2800">
        <v>0</v>
      </c>
      <c r="L2800">
        <v>0</v>
      </c>
      <c r="M2800" t="s">
        <v>11</v>
      </c>
    </row>
    <row r="2801" spans="1:13">
      <c r="A2801" s="93">
        <v>220118</v>
      </c>
      <c r="B2801" t="s">
        <v>3329</v>
      </c>
      <c r="C2801" t="s">
        <v>4919</v>
      </c>
      <c r="D2801" s="92" t="s">
        <v>446</v>
      </c>
      <c r="E2801" s="92" t="s">
        <v>446</v>
      </c>
      <c r="F2801" t="s">
        <v>446</v>
      </c>
      <c r="G2801" t="s">
        <v>446</v>
      </c>
      <c r="H2801" t="s">
        <v>4930</v>
      </c>
      <c r="I2801">
        <v>0</v>
      </c>
      <c r="J2801" t="s">
        <v>97</v>
      </c>
      <c r="K2801">
        <v>0</v>
      </c>
      <c r="L2801">
        <v>0</v>
      </c>
      <c r="M2801" t="s">
        <v>11</v>
      </c>
    </row>
    <row r="2802" spans="1:13">
      <c r="A2802" s="93">
        <v>220127</v>
      </c>
      <c r="B2802" t="s">
        <v>3330</v>
      </c>
      <c r="C2802" t="s">
        <v>4919</v>
      </c>
      <c r="D2802" s="92" t="s">
        <v>446</v>
      </c>
      <c r="E2802" s="92" t="s">
        <v>446</v>
      </c>
      <c r="F2802" t="s">
        <v>446</v>
      </c>
      <c r="G2802" t="s">
        <v>446</v>
      </c>
      <c r="H2802" t="s">
        <v>4932</v>
      </c>
      <c r="I2802">
        <v>0</v>
      </c>
      <c r="J2802" t="s">
        <v>97</v>
      </c>
      <c r="K2802">
        <v>0</v>
      </c>
      <c r="L2802">
        <v>0</v>
      </c>
      <c r="M2802" t="s">
        <v>11</v>
      </c>
    </row>
    <row r="2803" spans="1:13">
      <c r="A2803" s="93">
        <v>220206</v>
      </c>
      <c r="B2803" t="s">
        <v>3331</v>
      </c>
      <c r="C2803" t="s">
        <v>4923</v>
      </c>
      <c r="D2803" s="92">
        <v>0.5600000000000001</v>
      </c>
      <c r="E2803" s="92">
        <v>0.67</v>
      </c>
      <c r="F2803" t="s">
        <v>446</v>
      </c>
      <c r="G2803" t="s">
        <v>446</v>
      </c>
      <c r="H2803" t="s">
        <v>4930</v>
      </c>
      <c r="I2803">
        <v>0</v>
      </c>
      <c r="J2803" t="s">
        <v>97</v>
      </c>
      <c r="K2803">
        <v>0</v>
      </c>
      <c r="L2803">
        <v>0</v>
      </c>
      <c r="M2803" t="s">
        <v>11</v>
      </c>
    </row>
    <row r="2804" spans="1:13">
      <c r="A2804" s="93">
        <v>220215</v>
      </c>
      <c r="B2804" t="s">
        <v>3332</v>
      </c>
      <c r="C2804" t="s">
        <v>4920</v>
      </c>
      <c r="D2804" s="92">
        <v>0.63</v>
      </c>
      <c r="E2804" s="92">
        <v>0.34</v>
      </c>
      <c r="F2804">
        <v>1080</v>
      </c>
      <c r="G2804">
        <v>1180</v>
      </c>
      <c r="H2804" t="s">
        <v>4931</v>
      </c>
      <c r="I2804">
        <v>0</v>
      </c>
      <c r="J2804" t="s">
        <v>97</v>
      </c>
      <c r="K2804">
        <v>0</v>
      </c>
      <c r="L2804">
        <v>0</v>
      </c>
      <c r="M2804" t="s">
        <v>11</v>
      </c>
    </row>
    <row r="2805" spans="1:13">
      <c r="A2805" s="93">
        <v>220251</v>
      </c>
      <c r="B2805" t="s">
        <v>3333</v>
      </c>
      <c r="C2805" t="s">
        <v>4919</v>
      </c>
      <c r="D2805" s="92" t="s">
        <v>446</v>
      </c>
      <c r="E2805" s="92" t="s">
        <v>446</v>
      </c>
      <c r="F2805" t="s">
        <v>446</v>
      </c>
      <c r="G2805" t="s">
        <v>446</v>
      </c>
      <c r="H2805" t="s">
        <v>4932</v>
      </c>
      <c r="I2805">
        <v>0</v>
      </c>
      <c r="J2805" t="s">
        <v>97</v>
      </c>
      <c r="K2805">
        <v>0</v>
      </c>
      <c r="L2805">
        <v>0</v>
      </c>
      <c r="M2805" t="s">
        <v>11</v>
      </c>
    </row>
    <row r="2806" spans="1:13">
      <c r="A2806" s="93">
        <v>220279</v>
      </c>
      <c r="B2806" t="s">
        <v>3334</v>
      </c>
      <c r="C2806" t="s">
        <v>4919</v>
      </c>
      <c r="D2806" s="92" t="s">
        <v>446</v>
      </c>
      <c r="E2806" s="92" t="s">
        <v>446</v>
      </c>
      <c r="F2806" t="s">
        <v>446</v>
      </c>
      <c r="G2806" t="s">
        <v>446</v>
      </c>
      <c r="H2806" t="s">
        <v>4932</v>
      </c>
      <c r="I2806">
        <v>0</v>
      </c>
      <c r="J2806" t="s">
        <v>97</v>
      </c>
      <c r="K2806">
        <v>0</v>
      </c>
      <c r="L2806">
        <v>0</v>
      </c>
      <c r="M2806" t="s">
        <v>11</v>
      </c>
    </row>
    <row r="2807" spans="1:13">
      <c r="A2807" s="93">
        <v>220321</v>
      </c>
      <c r="B2807" t="s">
        <v>3335</v>
      </c>
      <c r="C2807" t="s">
        <v>4919</v>
      </c>
      <c r="D2807" s="92" t="s">
        <v>446</v>
      </c>
      <c r="E2807" s="92" t="s">
        <v>446</v>
      </c>
      <c r="F2807" t="s">
        <v>446</v>
      </c>
      <c r="G2807" t="s">
        <v>446</v>
      </c>
      <c r="H2807" t="s">
        <v>4932</v>
      </c>
      <c r="I2807">
        <v>0</v>
      </c>
      <c r="J2807" t="s">
        <v>97</v>
      </c>
      <c r="K2807">
        <v>0</v>
      </c>
      <c r="L2807">
        <v>0</v>
      </c>
      <c r="M2807" t="s">
        <v>11</v>
      </c>
    </row>
    <row r="2808" spans="1:13">
      <c r="A2808" s="93">
        <v>220394</v>
      </c>
      <c r="B2808" t="s">
        <v>3336</v>
      </c>
      <c r="C2808" t="s">
        <v>4919</v>
      </c>
      <c r="D2808" s="92" t="s">
        <v>446</v>
      </c>
      <c r="E2808" s="92" t="s">
        <v>446</v>
      </c>
      <c r="F2808" t="s">
        <v>446</v>
      </c>
      <c r="G2808" t="s">
        <v>446</v>
      </c>
      <c r="H2808" t="s">
        <v>4932</v>
      </c>
      <c r="I2808">
        <v>0</v>
      </c>
      <c r="J2808" t="s">
        <v>97</v>
      </c>
      <c r="K2808">
        <v>0</v>
      </c>
      <c r="L2808">
        <v>0</v>
      </c>
      <c r="M2808" t="s">
        <v>11</v>
      </c>
    </row>
    <row r="2809" spans="1:13">
      <c r="A2809" s="93">
        <v>220400</v>
      </c>
      <c r="B2809" t="s">
        <v>3337</v>
      </c>
      <c r="C2809" t="s">
        <v>4919</v>
      </c>
      <c r="D2809" s="92">
        <v>0.25</v>
      </c>
      <c r="E2809" s="92">
        <v>0.19</v>
      </c>
      <c r="F2809" t="s">
        <v>446</v>
      </c>
      <c r="G2809" t="s">
        <v>446</v>
      </c>
      <c r="H2809" t="s">
        <v>4932</v>
      </c>
      <c r="I2809">
        <v>0</v>
      </c>
      <c r="J2809" t="s">
        <v>97</v>
      </c>
      <c r="K2809">
        <v>0</v>
      </c>
      <c r="L2809">
        <v>0</v>
      </c>
      <c r="M2809" t="s">
        <v>11</v>
      </c>
    </row>
    <row r="2810" spans="1:13">
      <c r="A2810" s="93">
        <v>220464</v>
      </c>
      <c r="B2810" t="s">
        <v>3338</v>
      </c>
      <c r="C2810" t="s">
        <v>4925</v>
      </c>
      <c r="D2810" s="92" t="s">
        <v>446</v>
      </c>
      <c r="E2810" s="92" t="s">
        <v>446</v>
      </c>
      <c r="F2810">
        <v>1010</v>
      </c>
      <c r="G2810">
        <v>1060</v>
      </c>
      <c r="H2810" t="s">
        <v>4929</v>
      </c>
      <c r="I2810">
        <v>1</v>
      </c>
      <c r="J2810" t="s">
        <v>97</v>
      </c>
      <c r="K2810">
        <v>0</v>
      </c>
      <c r="L2810">
        <v>0</v>
      </c>
      <c r="M2810" t="s">
        <v>11</v>
      </c>
    </row>
    <row r="2811" spans="1:13">
      <c r="A2811" s="93">
        <v>220473</v>
      </c>
      <c r="B2811" t="s">
        <v>3339</v>
      </c>
      <c r="C2811" t="s">
        <v>4920</v>
      </c>
      <c r="D2811" s="92">
        <v>0.62</v>
      </c>
      <c r="E2811" s="92">
        <v>0.39</v>
      </c>
      <c r="F2811">
        <v>980</v>
      </c>
      <c r="G2811">
        <v>1080</v>
      </c>
      <c r="H2811" t="s">
        <v>4931</v>
      </c>
      <c r="I2811">
        <v>0</v>
      </c>
      <c r="J2811" t="s">
        <v>97</v>
      </c>
      <c r="K2811">
        <v>0</v>
      </c>
      <c r="L2811">
        <v>0</v>
      </c>
      <c r="M2811" t="s">
        <v>11</v>
      </c>
    </row>
    <row r="2812" spans="1:13">
      <c r="A2812" s="93">
        <v>220516</v>
      </c>
      <c r="B2812" t="s">
        <v>3340</v>
      </c>
      <c r="C2812" t="s">
        <v>4920</v>
      </c>
      <c r="D2812" s="92">
        <v>0.52</v>
      </c>
      <c r="E2812" s="92">
        <v>0.53</v>
      </c>
      <c r="F2812">
        <v>970</v>
      </c>
      <c r="G2812">
        <v>1075</v>
      </c>
      <c r="H2812" t="s">
        <v>4930</v>
      </c>
      <c r="I2812">
        <v>0</v>
      </c>
      <c r="J2812" t="s">
        <v>97</v>
      </c>
      <c r="K2812">
        <v>0</v>
      </c>
      <c r="L2812">
        <v>0</v>
      </c>
      <c r="M2812" t="s">
        <v>11</v>
      </c>
    </row>
    <row r="2813" spans="1:13">
      <c r="A2813" s="93">
        <v>220552</v>
      </c>
      <c r="B2813" t="s">
        <v>3341</v>
      </c>
      <c r="C2813" t="s">
        <v>4923</v>
      </c>
      <c r="D2813" s="92">
        <v>0.31</v>
      </c>
      <c r="E2813" s="92">
        <v>0.19</v>
      </c>
      <c r="F2813" t="s">
        <v>446</v>
      </c>
      <c r="G2813" t="s">
        <v>446</v>
      </c>
      <c r="H2813" t="s">
        <v>4930</v>
      </c>
      <c r="I2813">
        <v>0</v>
      </c>
      <c r="J2813" t="s">
        <v>97</v>
      </c>
      <c r="K2813">
        <v>0</v>
      </c>
      <c r="L2813">
        <v>0</v>
      </c>
      <c r="M2813" t="s">
        <v>11</v>
      </c>
    </row>
    <row r="2814" spans="1:13">
      <c r="A2814" s="93">
        <v>220598</v>
      </c>
      <c r="B2814" t="s">
        <v>3342</v>
      </c>
      <c r="C2814" t="s">
        <v>4920</v>
      </c>
      <c r="D2814" s="92">
        <v>0.24</v>
      </c>
      <c r="E2814" s="92">
        <v>0.39</v>
      </c>
      <c r="F2814" t="s">
        <v>446</v>
      </c>
      <c r="G2814" t="s">
        <v>446</v>
      </c>
      <c r="H2814" t="s">
        <v>4931</v>
      </c>
      <c r="I2814">
        <v>0</v>
      </c>
      <c r="J2814" t="s">
        <v>153</v>
      </c>
      <c r="K2814">
        <v>0</v>
      </c>
      <c r="L2814">
        <v>0</v>
      </c>
      <c r="M2814" t="s">
        <v>11</v>
      </c>
    </row>
    <row r="2815" spans="1:13">
      <c r="A2815" s="93">
        <v>220604</v>
      </c>
      <c r="B2815" t="s">
        <v>3343</v>
      </c>
      <c r="C2815" t="s">
        <v>4920</v>
      </c>
      <c r="D2815" s="92">
        <v>0.18</v>
      </c>
      <c r="E2815" s="92">
        <v>0.33</v>
      </c>
      <c r="F2815">
        <v>760</v>
      </c>
      <c r="G2815">
        <v>845</v>
      </c>
      <c r="H2815" t="s">
        <v>4931</v>
      </c>
      <c r="I2815">
        <v>0</v>
      </c>
      <c r="J2815" t="s">
        <v>153</v>
      </c>
      <c r="K2815">
        <v>0</v>
      </c>
      <c r="L2815">
        <v>0</v>
      </c>
      <c r="M2815" t="s">
        <v>11</v>
      </c>
    </row>
    <row r="2816" spans="1:13">
      <c r="A2816" s="93">
        <v>220613</v>
      </c>
      <c r="B2816" t="s">
        <v>3344</v>
      </c>
      <c r="C2816" t="s">
        <v>4920</v>
      </c>
      <c r="D2816" s="92">
        <v>0.6</v>
      </c>
      <c r="E2816" s="92">
        <v>0.43</v>
      </c>
      <c r="F2816">
        <v>1000</v>
      </c>
      <c r="G2816">
        <v>1115</v>
      </c>
      <c r="H2816" t="s">
        <v>4931</v>
      </c>
      <c r="I2816">
        <v>0</v>
      </c>
      <c r="J2816" t="s">
        <v>97</v>
      </c>
      <c r="K2816">
        <v>0</v>
      </c>
      <c r="L2816">
        <v>0</v>
      </c>
      <c r="M2816" t="s">
        <v>11</v>
      </c>
    </row>
    <row r="2817" spans="1:13">
      <c r="A2817" s="93">
        <v>220631</v>
      </c>
      <c r="B2817" t="s">
        <v>3345</v>
      </c>
      <c r="C2817" t="s">
        <v>4920</v>
      </c>
      <c r="D2817" s="92">
        <v>0.55</v>
      </c>
      <c r="E2817" s="92">
        <v>0.4</v>
      </c>
      <c r="F2817">
        <v>970</v>
      </c>
      <c r="G2817">
        <v>1090</v>
      </c>
      <c r="H2817" t="s">
        <v>4931</v>
      </c>
      <c r="I2817">
        <v>0</v>
      </c>
      <c r="J2817" t="s">
        <v>97</v>
      </c>
      <c r="K2817">
        <v>0</v>
      </c>
      <c r="L2817">
        <v>0</v>
      </c>
      <c r="M2817" t="s">
        <v>11</v>
      </c>
    </row>
    <row r="2818" spans="1:13">
      <c r="A2818" s="93">
        <v>220640</v>
      </c>
      <c r="B2818" t="s">
        <v>3346</v>
      </c>
      <c r="C2818" t="s">
        <v>4919</v>
      </c>
      <c r="D2818" s="92" t="s">
        <v>446</v>
      </c>
      <c r="E2818" s="92" t="s">
        <v>446</v>
      </c>
      <c r="F2818" t="s">
        <v>446</v>
      </c>
      <c r="G2818" t="s">
        <v>446</v>
      </c>
      <c r="H2818" t="s">
        <v>4932</v>
      </c>
      <c r="I2818">
        <v>0</v>
      </c>
      <c r="J2818" t="s">
        <v>97</v>
      </c>
      <c r="K2818">
        <v>0</v>
      </c>
      <c r="L2818">
        <v>0</v>
      </c>
      <c r="M2818" t="s">
        <v>11</v>
      </c>
    </row>
    <row r="2819" spans="1:13">
      <c r="A2819" s="93">
        <v>220701</v>
      </c>
      <c r="B2819" t="s">
        <v>3347</v>
      </c>
      <c r="C2819" t="s">
        <v>4923</v>
      </c>
      <c r="D2819" s="92">
        <v>0.33</v>
      </c>
      <c r="E2819" s="92">
        <v>0.21</v>
      </c>
      <c r="F2819">
        <v>970</v>
      </c>
      <c r="G2819">
        <v>1055</v>
      </c>
      <c r="H2819" t="s">
        <v>4930</v>
      </c>
      <c r="I2819">
        <v>0</v>
      </c>
      <c r="J2819" t="s">
        <v>97</v>
      </c>
      <c r="K2819">
        <v>0</v>
      </c>
      <c r="L2819">
        <v>0</v>
      </c>
      <c r="M2819" t="s">
        <v>11</v>
      </c>
    </row>
    <row r="2820" spans="1:13">
      <c r="A2820" s="93">
        <v>220710</v>
      </c>
      <c r="B2820" t="s">
        <v>3348</v>
      </c>
      <c r="C2820" t="s">
        <v>4920</v>
      </c>
      <c r="D2820" s="92">
        <v>0.51</v>
      </c>
      <c r="E2820" s="92">
        <v>0.34</v>
      </c>
      <c r="F2820">
        <v>1010</v>
      </c>
      <c r="G2820">
        <v>1175</v>
      </c>
      <c r="H2820" t="s">
        <v>4930</v>
      </c>
      <c r="I2820">
        <v>0</v>
      </c>
      <c r="J2820" t="s">
        <v>97</v>
      </c>
      <c r="K2820">
        <v>0</v>
      </c>
      <c r="L2820">
        <v>0</v>
      </c>
      <c r="M2820" t="s">
        <v>11</v>
      </c>
    </row>
    <row r="2821" spans="1:13">
      <c r="A2821" s="93">
        <v>220756</v>
      </c>
      <c r="B2821" t="s">
        <v>3349</v>
      </c>
      <c r="C2821" t="s">
        <v>4919</v>
      </c>
      <c r="D2821" s="92" t="s">
        <v>446</v>
      </c>
      <c r="E2821" s="92" t="s">
        <v>446</v>
      </c>
      <c r="F2821" t="s">
        <v>446</v>
      </c>
      <c r="G2821" t="s">
        <v>446</v>
      </c>
      <c r="H2821" t="s">
        <v>4932</v>
      </c>
      <c r="I2821">
        <v>0</v>
      </c>
      <c r="J2821" t="s">
        <v>97</v>
      </c>
      <c r="K2821">
        <v>0</v>
      </c>
      <c r="L2821">
        <v>0</v>
      </c>
      <c r="M2821" t="s">
        <v>11</v>
      </c>
    </row>
    <row r="2822" spans="1:13">
      <c r="A2822" s="93">
        <v>220792</v>
      </c>
      <c r="B2822" t="s">
        <v>3350</v>
      </c>
      <c r="C2822" t="s">
        <v>4924</v>
      </c>
      <c r="D2822" s="92" t="s">
        <v>446</v>
      </c>
      <c r="E2822" s="92" t="s">
        <v>446</v>
      </c>
      <c r="F2822" t="s">
        <v>446</v>
      </c>
      <c r="G2822" t="s">
        <v>446</v>
      </c>
      <c r="H2822" t="s">
        <v>4932</v>
      </c>
      <c r="I2822">
        <v>0</v>
      </c>
      <c r="J2822" t="s">
        <v>153</v>
      </c>
      <c r="K2822">
        <v>0</v>
      </c>
      <c r="L2822">
        <v>0</v>
      </c>
      <c r="M2822" t="s">
        <v>11</v>
      </c>
    </row>
    <row r="2823" spans="1:13">
      <c r="A2823" s="93">
        <v>220853</v>
      </c>
      <c r="B2823" t="s">
        <v>3351</v>
      </c>
      <c r="C2823" t="s">
        <v>4919</v>
      </c>
      <c r="D2823" s="92" t="s">
        <v>446</v>
      </c>
      <c r="E2823" s="92" t="s">
        <v>446</v>
      </c>
      <c r="F2823" t="s">
        <v>446</v>
      </c>
      <c r="G2823" t="s">
        <v>446</v>
      </c>
      <c r="H2823" t="s">
        <v>4932</v>
      </c>
      <c r="I2823">
        <v>0</v>
      </c>
      <c r="J2823" t="s">
        <v>97</v>
      </c>
      <c r="K2823">
        <v>0</v>
      </c>
      <c r="L2823">
        <v>0</v>
      </c>
      <c r="M2823" t="s">
        <v>11</v>
      </c>
    </row>
    <row r="2824" spans="1:13">
      <c r="A2824" s="93">
        <v>220871</v>
      </c>
      <c r="B2824" t="s">
        <v>3352</v>
      </c>
      <c r="C2824" t="s">
        <v>4924</v>
      </c>
      <c r="D2824" s="92" t="s">
        <v>446</v>
      </c>
      <c r="E2824" s="92" t="s">
        <v>446</v>
      </c>
      <c r="F2824" t="s">
        <v>446</v>
      </c>
      <c r="G2824" t="s">
        <v>446</v>
      </c>
      <c r="H2824" t="s">
        <v>4932</v>
      </c>
      <c r="I2824">
        <v>0</v>
      </c>
      <c r="J2824" t="s">
        <v>97</v>
      </c>
      <c r="K2824">
        <v>0</v>
      </c>
      <c r="L2824">
        <v>0</v>
      </c>
      <c r="M2824" t="s">
        <v>11</v>
      </c>
    </row>
    <row r="2825" spans="1:13">
      <c r="A2825" s="93">
        <v>220978</v>
      </c>
      <c r="B2825" t="s">
        <v>3353</v>
      </c>
      <c r="C2825" t="s">
        <v>4920</v>
      </c>
      <c r="D2825" s="92">
        <v>0.54</v>
      </c>
      <c r="E2825" s="92">
        <v>0.46</v>
      </c>
      <c r="F2825">
        <v>1010</v>
      </c>
      <c r="G2825">
        <v>1125</v>
      </c>
      <c r="H2825" t="s">
        <v>4932</v>
      </c>
      <c r="I2825">
        <v>0</v>
      </c>
      <c r="J2825" t="s">
        <v>97</v>
      </c>
      <c r="K2825">
        <v>0</v>
      </c>
      <c r="L2825">
        <v>0</v>
      </c>
      <c r="M2825" t="s">
        <v>11</v>
      </c>
    </row>
    <row r="2826" spans="1:13">
      <c r="A2826" s="93">
        <v>220996</v>
      </c>
      <c r="B2826" t="s">
        <v>3354</v>
      </c>
      <c r="C2826" t="s">
        <v>4924</v>
      </c>
      <c r="D2826" s="92" t="s">
        <v>446</v>
      </c>
      <c r="E2826" s="92" t="s">
        <v>446</v>
      </c>
      <c r="F2826" t="s">
        <v>446</v>
      </c>
      <c r="G2826" t="s">
        <v>446</v>
      </c>
      <c r="H2826" t="s">
        <v>4932</v>
      </c>
      <c r="I2826">
        <v>0</v>
      </c>
      <c r="J2826" t="s">
        <v>97</v>
      </c>
      <c r="K2826">
        <v>0</v>
      </c>
      <c r="L2826">
        <v>0</v>
      </c>
      <c r="M2826" t="s">
        <v>11</v>
      </c>
    </row>
    <row r="2827" spans="1:13">
      <c r="A2827" s="93">
        <v>221050</v>
      </c>
      <c r="B2827" t="s">
        <v>3355</v>
      </c>
      <c r="C2827" t="s">
        <v>4919</v>
      </c>
      <c r="D2827" s="92" t="s">
        <v>446</v>
      </c>
      <c r="E2827" s="92" t="s">
        <v>446</v>
      </c>
      <c r="F2827" t="s">
        <v>446</v>
      </c>
      <c r="G2827" t="s">
        <v>446</v>
      </c>
      <c r="H2827" t="s">
        <v>4932</v>
      </c>
      <c r="I2827">
        <v>0</v>
      </c>
      <c r="J2827" t="s">
        <v>97</v>
      </c>
      <c r="K2827">
        <v>0</v>
      </c>
      <c r="L2827">
        <v>0</v>
      </c>
      <c r="M2827" t="s">
        <v>11</v>
      </c>
    </row>
    <row r="2828" spans="1:13">
      <c r="A2828" s="93">
        <v>221102</v>
      </c>
      <c r="B2828" t="s">
        <v>3356</v>
      </c>
      <c r="C2828" t="s">
        <v>4919</v>
      </c>
      <c r="D2828" s="92" t="s">
        <v>446</v>
      </c>
      <c r="E2828" s="92" t="s">
        <v>446</v>
      </c>
      <c r="F2828" t="s">
        <v>446</v>
      </c>
      <c r="G2828" t="s">
        <v>446</v>
      </c>
      <c r="H2828" t="s">
        <v>4932</v>
      </c>
      <c r="I2828">
        <v>0</v>
      </c>
      <c r="J2828" t="s">
        <v>97</v>
      </c>
      <c r="K2828">
        <v>0</v>
      </c>
      <c r="L2828">
        <v>0</v>
      </c>
      <c r="M2828" t="s">
        <v>11</v>
      </c>
    </row>
    <row r="2829" spans="1:13">
      <c r="A2829" s="93">
        <v>221148</v>
      </c>
      <c r="B2829" t="s">
        <v>3357</v>
      </c>
      <c r="C2829" t="s">
        <v>4919</v>
      </c>
      <c r="D2829" s="92" t="s">
        <v>446</v>
      </c>
      <c r="E2829" s="92" t="s">
        <v>446</v>
      </c>
      <c r="F2829" t="s">
        <v>446</v>
      </c>
      <c r="G2829" t="s">
        <v>446</v>
      </c>
      <c r="H2829" t="s">
        <v>4930</v>
      </c>
      <c r="I2829">
        <v>0</v>
      </c>
      <c r="J2829" t="s">
        <v>97</v>
      </c>
      <c r="K2829">
        <v>0</v>
      </c>
      <c r="L2829">
        <v>0</v>
      </c>
      <c r="M2829" t="s">
        <v>11</v>
      </c>
    </row>
    <row r="2830" spans="1:13">
      <c r="A2830" s="93">
        <v>221236</v>
      </c>
      <c r="B2830" t="s">
        <v>3358</v>
      </c>
      <c r="C2830" t="s">
        <v>4919</v>
      </c>
      <c r="D2830" s="92" t="s">
        <v>446</v>
      </c>
      <c r="E2830" s="92" t="s">
        <v>446</v>
      </c>
      <c r="F2830" t="s">
        <v>446</v>
      </c>
      <c r="G2830" t="s">
        <v>446</v>
      </c>
      <c r="H2830" t="s">
        <v>4932</v>
      </c>
      <c r="I2830">
        <v>0</v>
      </c>
      <c r="J2830" t="s">
        <v>97</v>
      </c>
      <c r="K2830">
        <v>0</v>
      </c>
      <c r="L2830">
        <v>0</v>
      </c>
      <c r="M2830" t="s">
        <v>11</v>
      </c>
    </row>
    <row r="2831" spans="1:13">
      <c r="A2831" s="93">
        <v>221281</v>
      </c>
      <c r="B2831" t="s">
        <v>3359</v>
      </c>
      <c r="C2831" t="s">
        <v>4919</v>
      </c>
      <c r="D2831" s="92" t="s">
        <v>446</v>
      </c>
      <c r="E2831" s="92" t="s">
        <v>446</v>
      </c>
      <c r="F2831" t="s">
        <v>446</v>
      </c>
      <c r="G2831" t="s">
        <v>446</v>
      </c>
      <c r="H2831" t="s">
        <v>4932</v>
      </c>
      <c r="I2831">
        <v>0</v>
      </c>
      <c r="J2831" t="s">
        <v>97</v>
      </c>
      <c r="K2831">
        <v>0</v>
      </c>
      <c r="L2831">
        <v>0</v>
      </c>
      <c r="M2831" t="s">
        <v>11</v>
      </c>
    </row>
    <row r="2832" spans="1:13">
      <c r="A2832" s="93">
        <v>221333</v>
      </c>
      <c r="B2832" t="s">
        <v>3360</v>
      </c>
      <c r="C2832" t="s">
        <v>4919</v>
      </c>
      <c r="D2832" s="92" t="s">
        <v>446</v>
      </c>
      <c r="E2832" s="92" t="s">
        <v>446</v>
      </c>
      <c r="F2832" t="s">
        <v>446</v>
      </c>
      <c r="G2832" t="s">
        <v>446</v>
      </c>
      <c r="H2832" t="s">
        <v>4932</v>
      </c>
      <c r="I2832">
        <v>0</v>
      </c>
      <c r="J2832" t="s">
        <v>97</v>
      </c>
      <c r="K2832">
        <v>0</v>
      </c>
      <c r="L2832">
        <v>0</v>
      </c>
      <c r="M2832" t="s">
        <v>11</v>
      </c>
    </row>
    <row r="2833" spans="1:13">
      <c r="A2833" s="93">
        <v>221351</v>
      </c>
      <c r="B2833" t="s">
        <v>607</v>
      </c>
      <c r="C2833" t="s">
        <v>4917</v>
      </c>
      <c r="D2833" s="92">
        <v>0.85</v>
      </c>
      <c r="E2833" s="92">
        <v>0.83</v>
      </c>
      <c r="F2833">
        <v>1310</v>
      </c>
      <c r="G2833">
        <v>1370</v>
      </c>
      <c r="H2833" t="s">
        <v>4931</v>
      </c>
      <c r="I2833">
        <v>0</v>
      </c>
      <c r="J2833" t="s">
        <v>97</v>
      </c>
      <c r="K2833">
        <v>0</v>
      </c>
      <c r="L2833">
        <v>0</v>
      </c>
      <c r="M2833" t="s">
        <v>11</v>
      </c>
    </row>
    <row r="2834" spans="1:13">
      <c r="A2834" s="93">
        <v>221388</v>
      </c>
      <c r="B2834" t="s">
        <v>3361</v>
      </c>
      <c r="C2834" t="s">
        <v>4919</v>
      </c>
      <c r="D2834" s="92" t="s">
        <v>446</v>
      </c>
      <c r="E2834" s="92" t="s">
        <v>446</v>
      </c>
      <c r="F2834" t="s">
        <v>446</v>
      </c>
      <c r="G2834" t="s">
        <v>446</v>
      </c>
      <c r="H2834" t="s">
        <v>4932</v>
      </c>
      <c r="I2834">
        <v>0</v>
      </c>
      <c r="J2834" t="s">
        <v>97</v>
      </c>
      <c r="K2834">
        <v>0</v>
      </c>
      <c r="L2834">
        <v>0</v>
      </c>
      <c r="M2834" t="s">
        <v>11</v>
      </c>
    </row>
    <row r="2835" spans="1:13">
      <c r="A2835" s="93">
        <v>221397</v>
      </c>
      <c r="B2835" t="s">
        <v>3362</v>
      </c>
      <c r="C2835" t="s">
        <v>4919</v>
      </c>
      <c r="D2835" s="92">
        <v>0.35</v>
      </c>
      <c r="E2835" s="92">
        <v>0.27</v>
      </c>
      <c r="F2835" t="s">
        <v>446</v>
      </c>
      <c r="G2835" t="s">
        <v>446</v>
      </c>
      <c r="H2835" t="s">
        <v>4932</v>
      </c>
      <c r="I2835">
        <v>0</v>
      </c>
      <c r="J2835" t="s">
        <v>97</v>
      </c>
      <c r="K2835">
        <v>0</v>
      </c>
      <c r="L2835">
        <v>0</v>
      </c>
      <c r="M2835" t="s">
        <v>11</v>
      </c>
    </row>
    <row r="2836" spans="1:13">
      <c r="A2836" s="93">
        <v>221430</v>
      </c>
      <c r="B2836" t="s">
        <v>3363</v>
      </c>
      <c r="C2836" t="s">
        <v>4919</v>
      </c>
      <c r="D2836" s="92" t="s">
        <v>446</v>
      </c>
      <c r="E2836" s="92" t="s">
        <v>446</v>
      </c>
      <c r="F2836" t="s">
        <v>446</v>
      </c>
      <c r="G2836" t="s">
        <v>446</v>
      </c>
      <c r="H2836" t="s">
        <v>4932</v>
      </c>
      <c r="I2836">
        <v>0</v>
      </c>
      <c r="J2836" t="s">
        <v>97</v>
      </c>
      <c r="K2836">
        <v>0</v>
      </c>
      <c r="L2836">
        <v>0</v>
      </c>
      <c r="M2836" t="s">
        <v>11</v>
      </c>
    </row>
    <row r="2837" spans="1:13">
      <c r="A2837" s="93">
        <v>221494</v>
      </c>
      <c r="B2837" t="s">
        <v>3364</v>
      </c>
      <c r="C2837" t="s">
        <v>4919</v>
      </c>
      <c r="D2837" s="92" t="s">
        <v>446</v>
      </c>
      <c r="E2837" s="92" t="s">
        <v>446</v>
      </c>
      <c r="F2837" t="s">
        <v>446</v>
      </c>
      <c r="G2837" t="s">
        <v>446</v>
      </c>
      <c r="H2837" t="s">
        <v>4932</v>
      </c>
      <c r="I2837">
        <v>0</v>
      </c>
      <c r="J2837" t="s">
        <v>97</v>
      </c>
      <c r="K2837">
        <v>0</v>
      </c>
      <c r="L2837">
        <v>0</v>
      </c>
      <c r="M2837" t="s">
        <v>11</v>
      </c>
    </row>
    <row r="2838" spans="1:13">
      <c r="A2838" s="93">
        <v>221519</v>
      </c>
      <c r="B2838" t="s">
        <v>3365</v>
      </c>
      <c r="C2838" t="s">
        <v>4922</v>
      </c>
      <c r="D2838" s="92">
        <v>0.8</v>
      </c>
      <c r="E2838" s="92">
        <v>0.78</v>
      </c>
      <c r="F2838">
        <v>1200</v>
      </c>
      <c r="G2838">
        <v>1295</v>
      </c>
      <c r="H2838" t="s">
        <v>4931</v>
      </c>
      <c r="I2838">
        <v>0</v>
      </c>
      <c r="J2838" t="s">
        <v>97</v>
      </c>
      <c r="K2838">
        <v>0</v>
      </c>
      <c r="L2838">
        <v>0</v>
      </c>
      <c r="M2838" t="s">
        <v>11</v>
      </c>
    </row>
    <row r="2839" spans="1:13">
      <c r="A2839" s="93">
        <v>221582</v>
      </c>
      <c r="B2839" t="s">
        <v>3366</v>
      </c>
      <c r="C2839" t="s">
        <v>4919</v>
      </c>
      <c r="D2839" s="92" t="s">
        <v>446</v>
      </c>
      <c r="E2839" s="92" t="s">
        <v>446</v>
      </c>
      <c r="F2839" t="s">
        <v>446</v>
      </c>
      <c r="G2839" t="s">
        <v>446</v>
      </c>
      <c r="H2839" t="s">
        <v>4932</v>
      </c>
      <c r="I2839">
        <v>0</v>
      </c>
      <c r="J2839" t="s">
        <v>97</v>
      </c>
      <c r="K2839">
        <v>0</v>
      </c>
      <c r="L2839">
        <v>0</v>
      </c>
      <c r="M2839" t="s">
        <v>11</v>
      </c>
    </row>
    <row r="2840" spans="1:13">
      <c r="A2840" s="93">
        <v>221591</v>
      </c>
      <c r="B2840" t="s">
        <v>3367</v>
      </c>
      <c r="C2840" t="s">
        <v>4919</v>
      </c>
      <c r="D2840" s="92" t="s">
        <v>446</v>
      </c>
      <c r="E2840" s="92" t="s">
        <v>446</v>
      </c>
      <c r="F2840" t="s">
        <v>446</v>
      </c>
      <c r="G2840" t="s">
        <v>446</v>
      </c>
      <c r="H2840" t="s">
        <v>4932</v>
      </c>
      <c r="I2840">
        <v>0</v>
      </c>
      <c r="J2840" t="s">
        <v>97</v>
      </c>
      <c r="K2840">
        <v>0</v>
      </c>
      <c r="L2840">
        <v>0</v>
      </c>
      <c r="M2840" t="s">
        <v>11</v>
      </c>
    </row>
    <row r="2841" spans="1:13">
      <c r="A2841" s="93">
        <v>221607</v>
      </c>
      <c r="B2841" t="s">
        <v>3368</v>
      </c>
      <c r="C2841" t="s">
        <v>4919</v>
      </c>
      <c r="D2841" s="92" t="s">
        <v>446</v>
      </c>
      <c r="E2841" s="92" t="s">
        <v>446</v>
      </c>
      <c r="F2841" t="s">
        <v>446</v>
      </c>
      <c r="G2841" t="s">
        <v>446</v>
      </c>
      <c r="H2841" t="s">
        <v>4932</v>
      </c>
      <c r="I2841">
        <v>0</v>
      </c>
      <c r="J2841" t="s">
        <v>97</v>
      </c>
      <c r="K2841">
        <v>0</v>
      </c>
      <c r="L2841">
        <v>0</v>
      </c>
      <c r="M2841" t="s">
        <v>11</v>
      </c>
    </row>
    <row r="2842" spans="1:13">
      <c r="A2842" s="93">
        <v>221616</v>
      </c>
      <c r="B2842" t="s">
        <v>3369</v>
      </c>
      <c r="C2842" t="s">
        <v>4919</v>
      </c>
      <c r="D2842" s="92" t="s">
        <v>446</v>
      </c>
      <c r="E2842" s="92" t="s">
        <v>446</v>
      </c>
      <c r="F2842" t="s">
        <v>446</v>
      </c>
      <c r="G2842" t="s">
        <v>446</v>
      </c>
      <c r="H2842" t="s">
        <v>4932</v>
      </c>
      <c r="I2842">
        <v>0</v>
      </c>
      <c r="J2842" t="s">
        <v>97</v>
      </c>
      <c r="K2842">
        <v>0</v>
      </c>
      <c r="L2842">
        <v>0</v>
      </c>
      <c r="M2842" t="s">
        <v>11</v>
      </c>
    </row>
    <row r="2843" spans="1:13">
      <c r="A2843" s="93">
        <v>221625</v>
      </c>
      <c r="B2843" t="s">
        <v>3370</v>
      </c>
      <c r="C2843" t="s">
        <v>4919</v>
      </c>
      <c r="D2843" s="92" t="s">
        <v>446</v>
      </c>
      <c r="E2843" s="92" t="s">
        <v>446</v>
      </c>
      <c r="F2843" t="s">
        <v>446</v>
      </c>
      <c r="G2843" t="s">
        <v>446</v>
      </c>
      <c r="H2843" t="s">
        <v>4932</v>
      </c>
      <c r="I2843">
        <v>0</v>
      </c>
      <c r="J2843" t="s">
        <v>97</v>
      </c>
      <c r="K2843">
        <v>0</v>
      </c>
      <c r="L2843">
        <v>0</v>
      </c>
      <c r="M2843" t="s">
        <v>11</v>
      </c>
    </row>
    <row r="2844" spans="1:13">
      <c r="A2844" s="93">
        <v>221634</v>
      </c>
      <c r="B2844" t="s">
        <v>3371</v>
      </c>
      <c r="C2844" t="s">
        <v>4919</v>
      </c>
      <c r="D2844" s="92" t="s">
        <v>446</v>
      </c>
      <c r="E2844" s="92" t="s">
        <v>446</v>
      </c>
      <c r="F2844" t="s">
        <v>446</v>
      </c>
      <c r="G2844" t="s">
        <v>446</v>
      </c>
      <c r="H2844" t="s">
        <v>4932</v>
      </c>
      <c r="I2844">
        <v>0</v>
      </c>
      <c r="J2844" t="s">
        <v>97</v>
      </c>
      <c r="K2844">
        <v>0</v>
      </c>
      <c r="L2844">
        <v>0</v>
      </c>
      <c r="M2844" t="s">
        <v>11</v>
      </c>
    </row>
    <row r="2845" spans="1:13">
      <c r="A2845" s="93">
        <v>221643</v>
      </c>
      <c r="B2845" t="s">
        <v>3372</v>
      </c>
      <c r="C2845" t="s">
        <v>4919</v>
      </c>
      <c r="D2845" s="92">
        <v>0.32</v>
      </c>
      <c r="E2845" s="92">
        <v>0.26</v>
      </c>
      <c r="F2845" t="s">
        <v>446</v>
      </c>
      <c r="G2845" t="s">
        <v>446</v>
      </c>
      <c r="H2845" t="s">
        <v>4932</v>
      </c>
      <c r="I2845">
        <v>0</v>
      </c>
      <c r="J2845" t="s">
        <v>97</v>
      </c>
      <c r="K2845">
        <v>0</v>
      </c>
      <c r="L2845">
        <v>0</v>
      </c>
      <c r="M2845" t="s">
        <v>11</v>
      </c>
    </row>
    <row r="2846" spans="1:13">
      <c r="A2846" s="93">
        <v>221661</v>
      </c>
      <c r="B2846" t="s">
        <v>3373</v>
      </c>
      <c r="C2846" t="s">
        <v>4920</v>
      </c>
      <c r="D2846" s="92">
        <v>0.58</v>
      </c>
      <c r="E2846" s="92">
        <v>0.53</v>
      </c>
      <c r="F2846" t="s">
        <v>446</v>
      </c>
      <c r="G2846" t="s">
        <v>446</v>
      </c>
      <c r="H2846" t="s">
        <v>4930</v>
      </c>
      <c r="I2846">
        <v>0</v>
      </c>
      <c r="J2846" t="s">
        <v>97</v>
      </c>
      <c r="K2846">
        <v>0</v>
      </c>
      <c r="L2846">
        <v>0</v>
      </c>
      <c r="M2846" t="s">
        <v>11</v>
      </c>
    </row>
    <row r="2847" spans="1:13">
      <c r="A2847" s="93">
        <v>221670</v>
      </c>
      <c r="B2847" t="s">
        <v>3374</v>
      </c>
      <c r="C2847" t="s">
        <v>4924</v>
      </c>
      <c r="D2847" s="92" t="s">
        <v>446</v>
      </c>
      <c r="E2847" s="92" t="s">
        <v>446</v>
      </c>
      <c r="F2847" t="s">
        <v>446</v>
      </c>
      <c r="G2847" t="s">
        <v>446</v>
      </c>
      <c r="H2847" t="s">
        <v>4932</v>
      </c>
      <c r="I2847">
        <v>0</v>
      </c>
      <c r="J2847" t="s">
        <v>97</v>
      </c>
      <c r="K2847">
        <v>0</v>
      </c>
      <c r="L2847">
        <v>0</v>
      </c>
      <c r="M2847" t="s">
        <v>11</v>
      </c>
    </row>
    <row r="2848" spans="1:13">
      <c r="A2848" s="93">
        <v>221731</v>
      </c>
      <c r="B2848" t="s">
        <v>3375</v>
      </c>
      <c r="C2848" t="s">
        <v>4920</v>
      </c>
      <c r="D2848" s="92">
        <v>0.47</v>
      </c>
      <c r="E2848" s="92">
        <v>0.39</v>
      </c>
      <c r="F2848">
        <v>970</v>
      </c>
      <c r="G2848">
        <v>1055</v>
      </c>
      <c r="H2848" t="s">
        <v>4931</v>
      </c>
      <c r="I2848">
        <v>0</v>
      </c>
      <c r="J2848" t="s">
        <v>97</v>
      </c>
      <c r="K2848">
        <v>0</v>
      </c>
      <c r="L2848">
        <v>0</v>
      </c>
      <c r="M2848" t="s">
        <v>11</v>
      </c>
    </row>
    <row r="2849" spans="1:13">
      <c r="A2849" s="93">
        <v>221740</v>
      </c>
      <c r="B2849" t="s">
        <v>3376</v>
      </c>
      <c r="C2849" t="s">
        <v>4920</v>
      </c>
      <c r="D2849" s="92">
        <v>0.54</v>
      </c>
      <c r="E2849" s="92">
        <v>0.46</v>
      </c>
      <c r="F2849">
        <v>1040</v>
      </c>
      <c r="G2849">
        <v>1140</v>
      </c>
      <c r="H2849" t="s">
        <v>4932</v>
      </c>
      <c r="I2849">
        <v>0</v>
      </c>
      <c r="J2849" t="s">
        <v>97</v>
      </c>
      <c r="K2849">
        <v>0</v>
      </c>
      <c r="L2849">
        <v>0</v>
      </c>
      <c r="M2849" t="s">
        <v>11</v>
      </c>
    </row>
    <row r="2850" spans="1:13">
      <c r="A2850" s="93">
        <v>221759</v>
      </c>
      <c r="B2850" t="s">
        <v>3377</v>
      </c>
      <c r="C2850" t="s">
        <v>4916</v>
      </c>
      <c r="D2850" s="92">
        <v>0.72</v>
      </c>
      <c r="E2850" s="92">
        <v>0.63</v>
      </c>
      <c r="F2850">
        <v>1210</v>
      </c>
      <c r="G2850">
        <v>1305</v>
      </c>
      <c r="H2850" t="s">
        <v>4932</v>
      </c>
      <c r="I2850">
        <v>0</v>
      </c>
      <c r="J2850" t="s">
        <v>97</v>
      </c>
      <c r="K2850">
        <v>0</v>
      </c>
      <c r="L2850">
        <v>0</v>
      </c>
      <c r="M2850" t="s">
        <v>11</v>
      </c>
    </row>
    <row r="2851" spans="1:13">
      <c r="A2851" s="93">
        <v>221768</v>
      </c>
      <c r="B2851" t="s">
        <v>3378</v>
      </c>
      <c r="C2851" t="s">
        <v>4920</v>
      </c>
      <c r="D2851" s="92">
        <v>0.51</v>
      </c>
      <c r="E2851" s="92">
        <v>0.38</v>
      </c>
      <c r="F2851">
        <v>1010</v>
      </c>
      <c r="G2851">
        <v>1110</v>
      </c>
      <c r="H2851" t="s">
        <v>4932</v>
      </c>
      <c r="I2851">
        <v>0</v>
      </c>
      <c r="J2851" t="s">
        <v>97</v>
      </c>
      <c r="K2851">
        <v>0</v>
      </c>
      <c r="L2851">
        <v>0</v>
      </c>
      <c r="M2851" t="s">
        <v>11</v>
      </c>
    </row>
    <row r="2852" spans="1:13">
      <c r="A2852" s="93">
        <v>221847</v>
      </c>
      <c r="B2852" t="s">
        <v>3379</v>
      </c>
      <c r="C2852" t="s">
        <v>4920</v>
      </c>
      <c r="D2852" s="92">
        <v>0.6</v>
      </c>
      <c r="E2852" s="92">
        <v>0.51</v>
      </c>
      <c r="F2852" t="s">
        <v>446</v>
      </c>
      <c r="G2852" t="s">
        <v>446</v>
      </c>
      <c r="H2852" t="s">
        <v>4932</v>
      </c>
      <c r="I2852">
        <v>0</v>
      </c>
      <c r="J2852" t="s">
        <v>97</v>
      </c>
      <c r="K2852">
        <v>0</v>
      </c>
      <c r="L2852">
        <v>0</v>
      </c>
      <c r="M2852" t="s">
        <v>11</v>
      </c>
    </row>
    <row r="2853" spans="1:13">
      <c r="A2853" s="93">
        <v>221892</v>
      </c>
      <c r="B2853" t="s">
        <v>3380</v>
      </c>
      <c r="C2853" t="s">
        <v>4920</v>
      </c>
      <c r="D2853" s="92">
        <v>0.53</v>
      </c>
      <c r="E2853" s="92">
        <v>0.35</v>
      </c>
      <c r="F2853" t="s">
        <v>446</v>
      </c>
      <c r="G2853" t="s">
        <v>446</v>
      </c>
      <c r="H2853" t="s">
        <v>4931</v>
      </c>
      <c r="I2853">
        <v>0</v>
      </c>
      <c r="J2853" t="s">
        <v>97</v>
      </c>
      <c r="K2853">
        <v>0</v>
      </c>
      <c r="L2853">
        <v>0</v>
      </c>
      <c r="M2853" t="s">
        <v>11</v>
      </c>
    </row>
    <row r="2854" spans="1:13">
      <c r="A2854" s="93">
        <v>221908</v>
      </c>
      <c r="B2854" t="s">
        <v>3381</v>
      </c>
      <c r="C2854" t="s">
        <v>4919</v>
      </c>
      <c r="D2854" s="92">
        <v>0.31</v>
      </c>
      <c r="E2854" s="92">
        <v>0.27</v>
      </c>
      <c r="F2854" t="s">
        <v>446</v>
      </c>
      <c r="G2854" t="s">
        <v>446</v>
      </c>
      <c r="H2854" t="s">
        <v>4932</v>
      </c>
      <c r="I2854">
        <v>0</v>
      </c>
      <c r="J2854" t="s">
        <v>97</v>
      </c>
      <c r="K2854">
        <v>0</v>
      </c>
      <c r="L2854">
        <v>0</v>
      </c>
      <c r="M2854" t="s">
        <v>11</v>
      </c>
    </row>
    <row r="2855" spans="1:13">
      <c r="A2855" s="93">
        <v>221953</v>
      </c>
      <c r="B2855" t="s">
        <v>3382</v>
      </c>
      <c r="C2855" t="s">
        <v>4920</v>
      </c>
      <c r="D2855" s="92">
        <v>0.39</v>
      </c>
      <c r="E2855" s="92">
        <v>0.23</v>
      </c>
      <c r="F2855">
        <v>910</v>
      </c>
      <c r="G2855">
        <v>1010</v>
      </c>
      <c r="H2855" t="s">
        <v>4931</v>
      </c>
      <c r="I2855">
        <v>0</v>
      </c>
      <c r="J2855" t="s">
        <v>97</v>
      </c>
      <c r="K2855">
        <v>0</v>
      </c>
      <c r="L2855">
        <v>0</v>
      </c>
      <c r="M2855" t="s">
        <v>11</v>
      </c>
    </row>
    <row r="2856" spans="1:13">
      <c r="A2856" s="93">
        <v>221971</v>
      </c>
      <c r="B2856" t="s">
        <v>3383</v>
      </c>
      <c r="C2856" t="s">
        <v>4916</v>
      </c>
      <c r="D2856" s="92">
        <v>0.68</v>
      </c>
      <c r="E2856" s="92">
        <v>0.41</v>
      </c>
      <c r="F2856">
        <v>1140</v>
      </c>
      <c r="G2856">
        <v>1255</v>
      </c>
      <c r="H2856" t="s">
        <v>4930</v>
      </c>
      <c r="I2856">
        <v>0</v>
      </c>
      <c r="J2856" t="s">
        <v>97</v>
      </c>
      <c r="K2856">
        <v>0</v>
      </c>
      <c r="L2856">
        <v>0</v>
      </c>
      <c r="M2856" t="s">
        <v>11</v>
      </c>
    </row>
    <row r="2857" spans="1:13">
      <c r="A2857" s="93">
        <v>222053</v>
      </c>
      <c r="B2857" t="s">
        <v>3384</v>
      </c>
      <c r="C2857" t="s">
        <v>4919</v>
      </c>
      <c r="D2857" s="92">
        <v>0.28</v>
      </c>
      <c r="E2857" s="92">
        <v>0.17</v>
      </c>
      <c r="F2857" t="s">
        <v>446</v>
      </c>
      <c r="G2857" t="s">
        <v>446</v>
      </c>
      <c r="H2857" t="s">
        <v>4932</v>
      </c>
      <c r="I2857">
        <v>0</v>
      </c>
      <c r="J2857" t="s">
        <v>97</v>
      </c>
      <c r="K2857">
        <v>0</v>
      </c>
      <c r="L2857">
        <v>0</v>
      </c>
      <c r="M2857" t="s">
        <v>11</v>
      </c>
    </row>
    <row r="2858" spans="1:13">
      <c r="A2858" s="93">
        <v>222062</v>
      </c>
      <c r="B2858" t="s">
        <v>3385</v>
      </c>
      <c r="C2858" t="s">
        <v>4919</v>
      </c>
      <c r="D2858" s="92">
        <v>0.38</v>
      </c>
      <c r="E2858" s="92">
        <v>0.39</v>
      </c>
      <c r="F2858" t="s">
        <v>446</v>
      </c>
      <c r="G2858" t="s">
        <v>446</v>
      </c>
      <c r="H2858" t="s">
        <v>4932</v>
      </c>
      <c r="I2858">
        <v>0</v>
      </c>
      <c r="J2858" t="s">
        <v>97</v>
      </c>
      <c r="K2858">
        <v>0</v>
      </c>
      <c r="L2858">
        <v>0</v>
      </c>
      <c r="M2858" t="s">
        <v>11</v>
      </c>
    </row>
    <row r="2859" spans="1:13">
      <c r="A2859" s="93">
        <v>222105</v>
      </c>
      <c r="B2859" t="s">
        <v>3386</v>
      </c>
      <c r="C2859" t="s">
        <v>4919</v>
      </c>
      <c r="D2859" s="92" t="s">
        <v>446</v>
      </c>
      <c r="E2859" s="92" t="s">
        <v>446</v>
      </c>
      <c r="F2859" t="s">
        <v>446</v>
      </c>
      <c r="G2859" t="s">
        <v>446</v>
      </c>
      <c r="H2859" t="s">
        <v>4931</v>
      </c>
      <c r="I2859">
        <v>0</v>
      </c>
      <c r="J2859" t="s">
        <v>97</v>
      </c>
      <c r="K2859">
        <v>0</v>
      </c>
      <c r="L2859">
        <v>0</v>
      </c>
      <c r="M2859" t="s">
        <v>11</v>
      </c>
    </row>
    <row r="2860" spans="1:13">
      <c r="A2860" s="93">
        <v>222178</v>
      </c>
      <c r="B2860" t="s">
        <v>3387</v>
      </c>
      <c r="C2860" t="s">
        <v>4920</v>
      </c>
      <c r="D2860" s="92">
        <v>0.62</v>
      </c>
      <c r="E2860" s="92">
        <v>0.51</v>
      </c>
      <c r="F2860">
        <v>1050</v>
      </c>
      <c r="G2860">
        <v>1160</v>
      </c>
      <c r="H2860" t="s">
        <v>4930</v>
      </c>
      <c r="I2860">
        <v>0</v>
      </c>
      <c r="J2860" t="s">
        <v>97</v>
      </c>
      <c r="K2860">
        <v>0</v>
      </c>
      <c r="L2860">
        <v>0</v>
      </c>
      <c r="M2860" t="s">
        <v>11</v>
      </c>
    </row>
    <row r="2861" spans="1:13">
      <c r="A2861" s="93">
        <v>222567</v>
      </c>
      <c r="B2861" t="s">
        <v>3388</v>
      </c>
      <c r="C2861" t="s">
        <v>4919</v>
      </c>
      <c r="D2861" s="92">
        <v>0.39</v>
      </c>
      <c r="E2861" s="92">
        <v>0.36</v>
      </c>
      <c r="F2861" t="s">
        <v>446</v>
      </c>
      <c r="G2861" t="s">
        <v>446</v>
      </c>
      <c r="H2861" t="s">
        <v>4932</v>
      </c>
      <c r="I2861">
        <v>0</v>
      </c>
      <c r="J2861" t="s">
        <v>97</v>
      </c>
      <c r="K2861">
        <v>0</v>
      </c>
      <c r="L2861">
        <v>0</v>
      </c>
      <c r="M2861" t="s">
        <v>11</v>
      </c>
    </row>
    <row r="2862" spans="1:13">
      <c r="A2862" s="93">
        <v>222576</v>
      </c>
      <c r="B2862" t="s">
        <v>3389</v>
      </c>
      <c r="C2862" t="s">
        <v>4919</v>
      </c>
      <c r="D2862" s="92">
        <v>0.34</v>
      </c>
      <c r="E2862" s="92">
        <v>0.34</v>
      </c>
      <c r="F2862" t="s">
        <v>446</v>
      </c>
      <c r="G2862" t="s">
        <v>446</v>
      </c>
      <c r="H2862" t="s">
        <v>4932</v>
      </c>
      <c r="I2862">
        <v>0</v>
      </c>
      <c r="J2862" t="s">
        <v>97</v>
      </c>
      <c r="K2862">
        <v>0</v>
      </c>
      <c r="L2862">
        <v>0</v>
      </c>
      <c r="M2862" t="s">
        <v>11</v>
      </c>
    </row>
    <row r="2863" spans="1:13">
      <c r="A2863" s="93">
        <v>222628</v>
      </c>
      <c r="B2863" t="s">
        <v>3390</v>
      </c>
      <c r="C2863" t="s">
        <v>4924</v>
      </c>
      <c r="D2863" s="92" t="s">
        <v>446</v>
      </c>
      <c r="E2863" s="92" t="s">
        <v>446</v>
      </c>
      <c r="F2863" t="s">
        <v>446</v>
      </c>
      <c r="G2863" t="s">
        <v>446</v>
      </c>
      <c r="H2863" t="s">
        <v>4932</v>
      </c>
      <c r="I2863">
        <v>0</v>
      </c>
      <c r="J2863" t="s">
        <v>97</v>
      </c>
      <c r="K2863">
        <v>0</v>
      </c>
      <c r="L2863">
        <v>0</v>
      </c>
      <c r="M2863" t="s">
        <v>11</v>
      </c>
    </row>
    <row r="2864" spans="1:13">
      <c r="A2864" s="93">
        <v>222822</v>
      </c>
      <c r="B2864" t="s">
        <v>3391</v>
      </c>
      <c r="C2864" t="s">
        <v>4919</v>
      </c>
      <c r="D2864" s="92">
        <v>0.33</v>
      </c>
      <c r="E2864" s="92">
        <v>0.29</v>
      </c>
      <c r="F2864" t="s">
        <v>446</v>
      </c>
      <c r="G2864" t="s">
        <v>446</v>
      </c>
      <c r="H2864" t="s">
        <v>4932</v>
      </c>
      <c r="I2864">
        <v>0</v>
      </c>
      <c r="J2864" t="s">
        <v>97</v>
      </c>
      <c r="K2864">
        <v>0</v>
      </c>
      <c r="L2864">
        <v>0</v>
      </c>
      <c r="M2864" t="s">
        <v>11</v>
      </c>
    </row>
    <row r="2865" spans="1:13">
      <c r="A2865" s="93">
        <v>222831</v>
      </c>
      <c r="B2865" t="s">
        <v>3392</v>
      </c>
      <c r="C2865" t="s">
        <v>4923</v>
      </c>
      <c r="D2865" s="92">
        <v>0.45</v>
      </c>
      <c r="E2865" s="92">
        <v>0.38</v>
      </c>
      <c r="F2865">
        <v>950</v>
      </c>
      <c r="G2865">
        <v>1055</v>
      </c>
      <c r="H2865" t="s">
        <v>4932</v>
      </c>
      <c r="I2865">
        <v>0</v>
      </c>
      <c r="J2865" t="s">
        <v>97</v>
      </c>
      <c r="K2865">
        <v>0</v>
      </c>
      <c r="L2865">
        <v>0</v>
      </c>
      <c r="M2865" t="s">
        <v>11</v>
      </c>
    </row>
    <row r="2866" spans="1:13">
      <c r="A2866" s="93">
        <v>222877</v>
      </c>
      <c r="B2866" t="s">
        <v>3393</v>
      </c>
      <c r="C2866" t="s">
        <v>4923</v>
      </c>
      <c r="D2866" s="92">
        <v>0.2</v>
      </c>
      <c r="E2866" s="92">
        <v>0.1</v>
      </c>
      <c r="F2866" t="s">
        <v>446</v>
      </c>
      <c r="G2866" t="s">
        <v>446</v>
      </c>
      <c r="H2866" t="s">
        <v>4930</v>
      </c>
      <c r="I2866">
        <v>0</v>
      </c>
      <c r="J2866" t="s">
        <v>97</v>
      </c>
      <c r="K2866">
        <v>0</v>
      </c>
      <c r="L2866">
        <v>0</v>
      </c>
      <c r="M2866" t="s">
        <v>11</v>
      </c>
    </row>
    <row r="2867" spans="1:13">
      <c r="A2867" s="93">
        <v>222886</v>
      </c>
      <c r="B2867" t="s">
        <v>3394</v>
      </c>
      <c r="C2867" t="s">
        <v>4919</v>
      </c>
      <c r="D2867" s="92" t="s">
        <v>446</v>
      </c>
      <c r="E2867" s="92" t="s">
        <v>446</v>
      </c>
      <c r="F2867" t="s">
        <v>446</v>
      </c>
      <c r="G2867" t="s">
        <v>446</v>
      </c>
      <c r="H2867" t="s">
        <v>4930</v>
      </c>
      <c r="I2867">
        <v>0</v>
      </c>
      <c r="J2867" t="s">
        <v>97</v>
      </c>
      <c r="K2867">
        <v>0</v>
      </c>
      <c r="L2867">
        <v>0</v>
      </c>
      <c r="M2867" t="s">
        <v>11</v>
      </c>
    </row>
    <row r="2868" spans="1:13">
      <c r="A2868" s="93">
        <v>222938</v>
      </c>
      <c r="B2868" t="s">
        <v>3395</v>
      </c>
      <c r="C2868" t="s">
        <v>4923</v>
      </c>
      <c r="D2868" s="92">
        <v>0.24</v>
      </c>
      <c r="E2868" s="92">
        <v>0.25</v>
      </c>
      <c r="F2868" t="s">
        <v>446</v>
      </c>
      <c r="G2868" t="s">
        <v>446</v>
      </c>
      <c r="H2868" t="s">
        <v>4930</v>
      </c>
      <c r="I2868">
        <v>0</v>
      </c>
      <c r="J2868" t="s">
        <v>97</v>
      </c>
      <c r="K2868">
        <v>0</v>
      </c>
      <c r="L2868">
        <v>0</v>
      </c>
      <c r="M2868" t="s">
        <v>11</v>
      </c>
    </row>
    <row r="2869" spans="1:13">
      <c r="A2869" s="93">
        <v>222983</v>
      </c>
      <c r="B2869" t="s">
        <v>3396</v>
      </c>
      <c r="C2869" t="s">
        <v>4916</v>
      </c>
      <c r="D2869" s="92">
        <v>0.7</v>
      </c>
      <c r="E2869" s="92">
        <v>0.64</v>
      </c>
      <c r="F2869">
        <v>1120</v>
      </c>
      <c r="G2869">
        <v>1230</v>
      </c>
      <c r="H2869" t="s">
        <v>4930</v>
      </c>
      <c r="I2869">
        <v>0</v>
      </c>
      <c r="J2869" t="s">
        <v>97</v>
      </c>
      <c r="K2869">
        <v>0</v>
      </c>
      <c r="L2869">
        <v>0</v>
      </c>
      <c r="M2869" t="s">
        <v>11</v>
      </c>
    </row>
    <row r="2870" spans="1:13">
      <c r="A2870" s="93">
        <v>223001</v>
      </c>
      <c r="B2870" t="s">
        <v>3397</v>
      </c>
      <c r="C2870" t="s">
        <v>4924</v>
      </c>
      <c r="D2870" s="92" t="s">
        <v>446</v>
      </c>
      <c r="E2870" s="92" t="s">
        <v>446</v>
      </c>
      <c r="F2870" t="s">
        <v>446</v>
      </c>
      <c r="G2870" t="s">
        <v>446</v>
      </c>
      <c r="H2870" t="s">
        <v>4932</v>
      </c>
      <c r="I2870">
        <v>0</v>
      </c>
      <c r="J2870" t="s">
        <v>97</v>
      </c>
      <c r="K2870">
        <v>0</v>
      </c>
      <c r="L2870">
        <v>0</v>
      </c>
      <c r="M2870" t="s">
        <v>11</v>
      </c>
    </row>
    <row r="2871" spans="1:13">
      <c r="A2871" s="93">
        <v>223083</v>
      </c>
      <c r="B2871" t="s">
        <v>3398</v>
      </c>
      <c r="C2871" t="s">
        <v>4924</v>
      </c>
      <c r="D2871" s="92" t="s">
        <v>446</v>
      </c>
      <c r="E2871" s="92" t="s">
        <v>446</v>
      </c>
      <c r="F2871" t="s">
        <v>446</v>
      </c>
      <c r="G2871" t="s">
        <v>446</v>
      </c>
      <c r="H2871" t="s">
        <v>4932</v>
      </c>
      <c r="I2871">
        <v>0</v>
      </c>
      <c r="J2871" t="s">
        <v>97</v>
      </c>
      <c r="K2871">
        <v>0</v>
      </c>
      <c r="L2871">
        <v>0</v>
      </c>
      <c r="M2871" t="s">
        <v>11</v>
      </c>
    </row>
    <row r="2872" spans="1:13">
      <c r="A2872" s="93">
        <v>223117</v>
      </c>
      <c r="B2872" t="s">
        <v>3399</v>
      </c>
      <c r="C2872" t="s">
        <v>4924</v>
      </c>
      <c r="D2872" s="92">
        <v>1</v>
      </c>
      <c r="E2872" s="92" t="s">
        <v>446</v>
      </c>
      <c r="F2872" t="s">
        <v>446</v>
      </c>
      <c r="G2872" t="s">
        <v>446</v>
      </c>
      <c r="H2872" t="s">
        <v>4932</v>
      </c>
      <c r="I2872">
        <v>0</v>
      </c>
      <c r="J2872" t="s">
        <v>97</v>
      </c>
      <c r="K2872">
        <v>0</v>
      </c>
      <c r="L2872">
        <v>0</v>
      </c>
      <c r="M2872" t="s">
        <v>11</v>
      </c>
    </row>
    <row r="2873" spans="1:13">
      <c r="A2873" s="93">
        <v>223223</v>
      </c>
      <c r="B2873" t="s">
        <v>3400</v>
      </c>
      <c r="C2873" t="s">
        <v>4924</v>
      </c>
      <c r="D2873" s="92" t="s">
        <v>446</v>
      </c>
      <c r="E2873" s="92" t="s">
        <v>446</v>
      </c>
      <c r="F2873" t="s">
        <v>446</v>
      </c>
      <c r="G2873" t="s">
        <v>446</v>
      </c>
      <c r="H2873" t="s">
        <v>4932</v>
      </c>
      <c r="I2873">
        <v>0</v>
      </c>
      <c r="J2873" t="s">
        <v>97</v>
      </c>
      <c r="K2873">
        <v>0</v>
      </c>
      <c r="L2873">
        <v>0</v>
      </c>
      <c r="M2873" t="s">
        <v>11</v>
      </c>
    </row>
    <row r="2874" spans="1:13">
      <c r="A2874" s="93">
        <v>223232</v>
      </c>
      <c r="B2874" t="s">
        <v>3401</v>
      </c>
      <c r="C2874" t="s">
        <v>4917</v>
      </c>
      <c r="D2874" s="92">
        <v>0.82</v>
      </c>
      <c r="E2874" s="92">
        <v>0.76</v>
      </c>
      <c r="F2874">
        <v>1160</v>
      </c>
      <c r="G2874">
        <v>1255</v>
      </c>
      <c r="H2874" t="s">
        <v>4930</v>
      </c>
      <c r="I2874">
        <v>0</v>
      </c>
      <c r="J2874" t="s">
        <v>97</v>
      </c>
      <c r="K2874">
        <v>0</v>
      </c>
      <c r="L2874">
        <v>0</v>
      </c>
      <c r="M2874" t="s">
        <v>11</v>
      </c>
    </row>
    <row r="2875" spans="1:13">
      <c r="A2875" s="93">
        <v>223320</v>
      </c>
      <c r="B2875" t="s">
        <v>3402</v>
      </c>
      <c r="C2875" t="s">
        <v>4919</v>
      </c>
      <c r="D2875" s="92" t="s">
        <v>446</v>
      </c>
      <c r="E2875" s="92" t="s">
        <v>446</v>
      </c>
      <c r="F2875" t="s">
        <v>446</v>
      </c>
      <c r="G2875" t="s">
        <v>446</v>
      </c>
      <c r="H2875" t="s">
        <v>4932</v>
      </c>
      <c r="I2875">
        <v>0</v>
      </c>
      <c r="J2875" t="s">
        <v>97</v>
      </c>
      <c r="K2875">
        <v>0</v>
      </c>
      <c r="L2875">
        <v>0</v>
      </c>
      <c r="M2875" t="s">
        <v>11</v>
      </c>
    </row>
    <row r="2876" spans="1:13">
      <c r="A2876" s="93">
        <v>223463</v>
      </c>
      <c r="B2876" t="s">
        <v>3403</v>
      </c>
      <c r="C2876" t="s">
        <v>4923</v>
      </c>
      <c r="D2876" s="92">
        <v>0.65</v>
      </c>
      <c r="E2876" s="92">
        <v>0.68</v>
      </c>
      <c r="F2876" t="s">
        <v>446</v>
      </c>
      <c r="G2876" t="s">
        <v>446</v>
      </c>
      <c r="H2876" t="s">
        <v>4930</v>
      </c>
      <c r="I2876">
        <v>0</v>
      </c>
      <c r="J2876" t="s">
        <v>97</v>
      </c>
      <c r="K2876">
        <v>0</v>
      </c>
      <c r="L2876">
        <v>0</v>
      </c>
      <c r="M2876" t="s">
        <v>11</v>
      </c>
    </row>
    <row r="2877" spans="1:13">
      <c r="A2877" s="93">
        <v>223472</v>
      </c>
      <c r="B2877" t="s">
        <v>3404</v>
      </c>
      <c r="C2877" t="s">
        <v>4925</v>
      </c>
      <c r="D2877" s="92" t="s">
        <v>446</v>
      </c>
      <c r="E2877" s="92" t="s">
        <v>446</v>
      </c>
      <c r="F2877" t="s">
        <v>446</v>
      </c>
      <c r="G2877" t="s">
        <v>446</v>
      </c>
      <c r="H2877" t="s">
        <v>4931</v>
      </c>
      <c r="I2877">
        <v>0</v>
      </c>
      <c r="J2877" t="s">
        <v>97</v>
      </c>
      <c r="K2877">
        <v>0</v>
      </c>
      <c r="L2877">
        <v>0</v>
      </c>
      <c r="M2877" t="s">
        <v>11</v>
      </c>
    </row>
    <row r="2878" spans="1:13">
      <c r="A2878" s="93">
        <v>223506</v>
      </c>
      <c r="B2878" t="s">
        <v>3405</v>
      </c>
      <c r="C2878" t="s">
        <v>4923</v>
      </c>
      <c r="D2878" s="92" t="s">
        <v>446</v>
      </c>
      <c r="E2878" s="92" t="s">
        <v>446</v>
      </c>
      <c r="F2878" t="s">
        <v>446</v>
      </c>
      <c r="G2878" t="s">
        <v>446</v>
      </c>
      <c r="H2878" t="s">
        <v>4932</v>
      </c>
      <c r="I2878">
        <v>0</v>
      </c>
      <c r="J2878" t="s">
        <v>97</v>
      </c>
      <c r="K2878">
        <v>0</v>
      </c>
      <c r="L2878">
        <v>0</v>
      </c>
      <c r="M2878" t="s">
        <v>11</v>
      </c>
    </row>
    <row r="2879" spans="1:13">
      <c r="A2879" s="93">
        <v>223898</v>
      </c>
      <c r="B2879" t="s">
        <v>3406</v>
      </c>
      <c r="C2879" t="s">
        <v>4919</v>
      </c>
      <c r="D2879" s="92">
        <v>0.39</v>
      </c>
      <c r="E2879" s="92">
        <v>0.38</v>
      </c>
      <c r="F2879" t="s">
        <v>446</v>
      </c>
      <c r="G2879" t="s">
        <v>446</v>
      </c>
      <c r="H2879" t="s">
        <v>4932</v>
      </c>
      <c r="I2879">
        <v>0</v>
      </c>
      <c r="J2879" t="s">
        <v>97</v>
      </c>
      <c r="K2879">
        <v>0</v>
      </c>
      <c r="L2879">
        <v>0</v>
      </c>
      <c r="M2879" t="s">
        <v>11</v>
      </c>
    </row>
    <row r="2880" spans="1:13">
      <c r="A2880" s="93">
        <v>223922</v>
      </c>
      <c r="B2880" t="s">
        <v>3407</v>
      </c>
      <c r="C2880" t="s">
        <v>4919</v>
      </c>
      <c r="D2880" s="92">
        <v>0.52</v>
      </c>
      <c r="E2880" s="92">
        <v>0.42</v>
      </c>
      <c r="F2880" t="s">
        <v>446</v>
      </c>
      <c r="G2880" t="s">
        <v>446</v>
      </c>
      <c r="H2880" t="s">
        <v>4932</v>
      </c>
      <c r="I2880">
        <v>0</v>
      </c>
      <c r="J2880" t="s">
        <v>97</v>
      </c>
      <c r="K2880">
        <v>0</v>
      </c>
      <c r="L2880">
        <v>0</v>
      </c>
      <c r="M2880" t="s">
        <v>11</v>
      </c>
    </row>
    <row r="2881" spans="1:13">
      <c r="A2881" s="93">
        <v>224004</v>
      </c>
      <c r="B2881" t="s">
        <v>3408</v>
      </c>
      <c r="C2881" t="s">
        <v>4920</v>
      </c>
      <c r="D2881" s="92">
        <v>0.43</v>
      </c>
      <c r="E2881" s="92">
        <v>0.36</v>
      </c>
      <c r="F2881">
        <v>880</v>
      </c>
      <c r="G2881">
        <v>1015</v>
      </c>
      <c r="H2881" t="s">
        <v>4930</v>
      </c>
      <c r="I2881">
        <v>0</v>
      </c>
      <c r="J2881" t="s">
        <v>97</v>
      </c>
      <c r="K2881">
        <v>0</v>
      </c>
      <c r="L2881">
        <v>0</v>
      </c>
      <c r="M2881" t="s">
        <v>11</v>
      </c>
    </row>
    <row r="2882" spans="1:13">
      <c r="A2882" s="93">
        <v>224110</v>
      </c>
      <c r="B2882" t="s">
        <v>3409</v>
      </c>
      <c r="C2882" t="s">
        <v>4919</v>
      </c>
      <c r="D2882" s="92">
        <v>0.37</v>
      </c>
      <c r="E2882" s="92">
        <v>0.32</v>
      </c>
      <c r="F2882" t="s">
        <v>446</v>
      </c>
      <c r="G2882" t="s">
        <v>446</v>
      </c>
      <c r="H2882" t="s">
        <v>4932</v>
      </c>
      <c r="I2882">
        <v>0</v>
      </c>
      <c r="J2882" t="s">
        <v>97</v>
      </c>
      <c r="K2882">
        <v>0</v>
      </c>
      <c r="L2882">
        <v>0</v>
      </c>
      <c r="M2882" t="s">
        <v>11</v>
      </c>
    </row>
    <row r="2883" spans="1:13">
      <c r="A2883" s="93">
        <v>224147</v>
      </c>
      <c r="B2883" t="s">
        <v>3410</v>
      </c>
      <c r="C2883" t="s">
        <v>4920</v>
      </c>
      <c r="D2883" s="92">
        <v>0.36</v>
      </c>
      <c r="E2883" s="92">
        <v>0.36</v>
      </c>
      <c r="F2883">
        <v>970</v>
      </c>
      <c r="G2883">
        <v>1075</v>
      </c>
      <c r="H2883" t="s">
        <v>4932</v>
      </c>
      <c r="I2883">
        <v>0</v>
      </c>
      <c r="J2883" t="s">
        <v>97</v>
      </c>
      <c r="K2883">
        <v>0</v>
      </c>
      <c r="L2883">
        <v>0</v>
      </c>
      <c r="M2883" t="s">
        <v>11</v>
      </c>
    </row>
    <row r="2884" spans="1:13">
      <c r="A2884" s="93">
        <v>224244</v>
      </c>
      <c r="B2884" t="s">
        <v>3411</v>
      </c>
      <c r="C2884" t="s">
        <v>4918</v>
      </c>
      <c r="D2884" s="92">
        <v>0.17</v>
      </c>
      <c r="E2884" s="92">
        <v>0.14</v>
      </c>
      <c r="F2884" t="s">
        <v>446</v>
      </c>
      <c r="G2884" t="s">
        <v>446</v>
      </c>
      <c r="H2884" t="s">
        <v>4930</v>
      </c>
      <c r="I2884">
        <v>0</v>
      </c>
      <c r="J2884" t="s">
        <v>97</v>
      </c>
      <c r="K2884">
        <v>0</v>
      </c>
      <c r="L2884">
        <v>0</v>
      </c>
      <c r="M2884" t="s">
        <v>11</v>
      </c>
    </row>
    <row r="2885" spans="1:13">
      <c r="A2885" s="93">
        <v>224271</v>
      </c>
      <c r="B2885" t="s">
        <v>3412</v>
      </c>
      <c r="C2885" t="s">
        <v>4919</v>
      </c>
      <c r="D2885" s="92" t="s">
        <v>446</v>
      </c>
      <c r="E2885" s="92" t="s">
        <v>446</v>
      </c>
      <c r="F2885" t="s">
        <v>446</v>
      </c>
      <c r="G2885" t="s">
        <v>446</v>
      </c>
      <c r="H2885" t="s">
        <v>4930</v>
      </c>
      <c r="I2885">
        <v>0</v>
      </c>
      <c r="J2885" t="s">
        <v>97</v>
      </c>
      <c r="K2885">
        <v>0</v>
      </c>
      <c r="L2885">
        <v>0</v>
      </c>
      <c r="M2885" t="s">
        <v>11</v>
      </c>
    </row>
    <row r="2886" spans="1:13">
      <c r="A2886" s="93">
        <v>224305</v>
      </c>
      <c r="B2886" t="s">
        <v>3413</v>
      </c>
      <c r="C2886" t="s">
        <v>4924</v>
      </c>
      <c r="D2886" s="92" t="s">
        <v>446</v>
      </c>
      <c r="E2886" s="92" t="s">
        <v>446</v>
      </c>
      <c r="F2886" t="s">
        <v>446</v>
      </c>
      <c r="G2886" t="s">
        <v>446</v>
      </c>
      <c r="H2886" t="s">
        <v>4932</v>
      </c>
      <c r="I2886">
        <v>0</v>
      </c>
      <c r="J2886" t="s">
        <v>97</v>
      </c>
      <c r="K2886">
        <v>0</v>
      </c>
      <c r="L2886">
        <v>0</v>
      </c>
      <c r="M2886" t="s">
        <v>11</v>
      </c>
    </row>
    <row r="2887" spans="1:13">
      <c r="A2887" s="93">
        <v>224323</v>
      </c>
      <c r="B2887" t="s">
        <v>3414</v>
      </c>
      <c r="C2887" t="s">
        <v>4916</v>
      </c>
      <c r="D2887" s="92">
        <v>0.71</v>
      </c>
      <c r="E2887" s="92">
        <v>0.61</v>
      </c>
      <c r="F2887">
        <v>1110</v>
      </c>
      <c r="G2887">
        <v>1250</v>
      </c>
      <c r="H2887" t="s">
        <v>4931</v>
      </c>
      <c r="I2887">
        <v>0</v>
      </c>
      <c r="J2887" t="s">
        <v>97</v>
      </c>
      <c r="K2887">
        <v>0</v>
      </c>
      <c r="L2887">
        <v>0</v>
      </c>
      <c r="M2887" t="s">
        <v>11</v>
      </c>
    </row>
    <row r="2888" spans="1:13">
      <c r="A2888" s="93">
        <v>224350</v>
      </c>
      <c r="B2888" t="s">
        <v>3415</v>
      </c>
      <c r="C2888" t="s">
        <v>4919</v>
      </c>
      <c r="D2888" s="92">
        <v>0.13</v>
      </c>
      <c r="E2888" s="92">
        <v>0.11</v>
      </c>
      <c r="F2888" t="s">
        <v>446</v>
      </c>
      <c r="G2888" t="s">
        <v>446</v>
      </c>
      <c r="H2888" t="s">
        <v>4932</v>
      </c>
      <c r="I2888">
        <v>0</v>
      </c>
      <c r="J2888" t="s">
        <v>97</v>
      </c>
      <c r="K2888">
        <v>0</v>
      </c>
      <c r="L2888">
        <v>0</v>
      </c>
      <c r="M2888" t="s">
        <v>11</v>
      </c>
    </row>
    <row r="2889" spans="1:13">
      <c r="A2889" s="93">
        <v>224527</v>
      </c>
      <c r="B2889" t="s">
        <v>3416</v>
      </c>
      <c r="C2889" t="s">
        <v>4920</v>
      </c>
      <c r="D2889" s="92">
        <v>0.41</v>
      </c>
      <c r="E2889" s="92">
        <v>0.29</v>
      </c>
      <c r="F2889" t="s">
        <v>446</v>
      </c>
      <c r="G2889" t="s">
        <v>446</v>
      </c>
      <c r="H2889" t="s">
        <v>4930</v>
      </c>
      <c r="I2889">
        <v>0</v>
      </c>
      <c r="J2889" t="s">
        <v>97</v>
      </c>
      <c r="K2889">
        <v>0</v>
      </c>
      <c r="L2889">
        <v>0</v>
      </c>
      <c r="M2889" t="s">
        <v>11</v>
      </c>
    </row>
    <row r="2890" spans="1:13">
      <c r="A2890" s="93">
        <v>224545</v>
      </c>
      <c r="B2890" t="s">
        <v>3417</v>
      </c>
      <c r="C2890" t="s">
        <v>4923</v>
      </c>
      <c r="D2890" s="92">
        <v>0.32</v>
      </c>
      <c r="E2890" s="92">
        <v>0.23</v>
      </c>
      <c r="F2890">
        <v>850</v>
      </c>
      <c r="G2890">
        <v>1000</v>
      </c>
      <c r="H2890" t="s">
        <v>4932</v>
      </c>
      <c r="I2890">
        <v>0</v>
      </c>
      <c r="J2890" t="s">
        <v>97</v>
      </c>
      <c r="K2890">
        <v>0</v>
      </c>
      <c r="L2890">
        <v>0</v>
      </c>
      <c r="M2890" t="s">
        <v>11</v>
      </c>
    </row>
    <row r="2891" spans="1:13">
      <c r="A2891" s="93">
        <v>224554</v>
      </c>
      <c r="B2891" t="s">
        <v>3418</v>
      </c>
      <c r="C2891" t="s">
        <v>4920</v>
      </c>
      <c r="D2891" s="92">
        <v>0.43</v>
      </c>
      <c r="E2891" s="92">
        <v>0.39</v>
      </c>
      <c r="F2891">
        <v>930</v>
      </c>
      <c r="G2891">
        <v>1040</v>
      </c>
      <c r="H2891" t="s">
        <v>4932</v>
      </c>
      <c r="I2891">
        <v>0</v>
      </c>
      <c r="J2891" t="s">
        <v>97</v>
      </c>
      <c r="K2891">
        <v>0</v>
      </c>
      <c r="L2891">
        <v>0</v>
      </c>
      <c r="M2891" t="s">
        <v>11</v>
      </c>
    </row>
    <row r="2892" spans="1:13">
      <c r="A2892" s="93">
        <v>224615</v>
      </c>
      <c r="B2892" t="s">
        <v>3419</v>
      </c>
      <c r="C2892" t="s">
        <v>4919</v>
      </c>
      <c r="D2892" s="92">
        <v>0.19</v>
      </c>
      <c r="E2892" s="92">
        <v>0.19</v>
      </c>
      <c r="F2892" t="s">
        <v>446</v>
      </c>
      <c r="G2892" t="s">
        <v>446</v>
      </c>
      <c r="H2892" t="s">
        <v>4932</v>
      </c>
      <c r="I2892">
        <v>0</v>
      </c>
      <c r="J2892" t="s">
        <v>97</v>
      </c>
      <c r="K2892">
        <v>0</v>
      </c>
      <c r="L2892">
        <v>0</v>
      </c>
      <c r="M2892" t="s">
        <v>11</v>
      </c>
    </row>
    <row r="2893" spans="1:13">
      <c r="A2893" s="93">
        <v>224660</v>
      </c>
      <c r="B2893" t="s">
        <v>3420</v>
      </c>
      <c r="C2893" t="s">
        <v>4923</v>
      </c>
      <c r="D2893" s="92" t="s">
        <v>446</v>
      </c>
      <c r="E2893" s="92" t="s">
        <v>446</v>
      </c>
      <c r="F2893" t="s">
        <v>446</v>
      </c>
      <c r="G2893" t="s">
        <v>446</v>
      </c>
      <c r="H2893" t="s">
        <v>4930</v>
      </c>
      <c r="I2893">
        <v>0</v>
      </c>
      <c r="J2893" t="s">
        <v>97</v>
      </c>
      <c r="K2893">
        <v>0</v>
      </c>
      <c r="L2893">
        <v>0</v>
      </c>
      <c r="M2893" t="s">
        <v>11</v>
      </c>
    </row>
    <row r="2894" spans="1:13">
      <c r="A2894" s="93">
        <v>224679</v>
      </c>
      <c r="B2894" t="s">
        <v>3420</v>
      </c>
      <c r="C2894" t="s">
        <v>4923</v>
      </c>
      <c r="D2894" s="92" t="s">
        <v>446</v>
      </c>
      <c r="E2894" s="92" t="s">
        <v>446</v>
      </c>
      <c r="F2894" t="s">
        <v>446</v>
      </c>
      <c r="G2894" t="s">
        <v>446</v>
      </c>
      <c r="H2894" t="s">
        <v>4930</v>
      </c>
      <c r="I2894">
        <v>0</v>
      </c>
      <c r="J2894" t="s">
        <v>97</v>
      </c>
      <c r="K2894">
        <v>0</v>
      </c>
      <c r="L2894">
        <v>0</v>
      </c>
      <c r="M2894" t="s">
        <v>11</v>
      </c>
    </row>
    <row r="2895" spans="1:13">
      <c r="A2895" s="93">
        <v>224712</v>
      </c>
      <c r="B2895" t="s">
        <v>3421</v>
      </c>
      <c r="C2895" t="s">
        <v>4924</v>
      </c>
      <c r="D2895" s="92" t="s">
        <v>446</v>
      </c>
      <c r="E2895" s="92" t="s">
        <v>446</v>
      </c>
      <c r="F2895" t="s">
        <v>446</v>
      </c>
      <c r="G2895" t="s">
        <v>446</v>
      </c>
      <c r="H2895" t="s">
        <v>4932</v>
      </c>
      <c r="I2895">
        <v>0</v>
      </c>
      <c r="J2895" t="s">
        <v>97</v>
      </c>
      <c r="K2895">
        <v>0</v>
      </c>
      <c r="L2895">
        <v>0</v>
      </c>
      <c r="M2895" t="s">
        <v>11</v>
      </c>
    </row>
    <row r="2896" spans="1:13">
      <c r="A2896" s="93">
        <v>224776</v>
      </c>
      <c r="B2896" t="s">
        <v>3422</v>
      </c>
      <c r="C2896" t="s">
        <v>4923</v>
      </c>
      <c r="D2896" s="92">
        <v>0.18</v>
      </c>
      <c r="E2896" s="92">
        <v>0.17</v>
      </c>
      <c r="F2896" t="s">
        <v>446</v>
      </c>
      <c r="G2896" t="s">
        <v>446</v>
      </c>
      <c r="H2896" t="s">
        <v>4930</v>
      </c>
      <c r="I2896">
        <v>0</v>
      </c>
      <c r="J2896" t="s">
        <v>97</v>
      </c>
      <c r="K2896">
        <v>0</v>
      </c>
      <c r="L2896">
        <v>0</v>
      </c>
      <c r="M2896" t="s">
        <v>11</v>
      </c>
    </row>
    <row r="2897" spans="1:13">
      <c r="A2897" s="93">
        <v>224891</v>
      </c>
      <c r="B2897" t="s">
        <v>3423</v>
      </c>
      <c r="C2897" t="s">
        <v>4919</v>
      </c>
      <c r="D2897" s="92">
        <v>0.43</v>
      </c>
      <c r="E2897" s="92">
        <v>0.41</v>
      </c>
      <c r="F2897" t="s">
        <v>446</v>
      </c>
      <c r="G2897" t="s">
        <v>446</v>
      </c>
      <c r="H2897" t="s">
        <v>4932</v>
      </c>
      <c r="I2897">
        <v>0</v>
      </c>
      <c r="J2897" t="s">
        <v>97</v>
      </c>
      <c r="K2897">
        <v>0</v>
      </c>
      <c r="L2897">
        <v>0</v>
      </c>
      <c r="M2897" t="s">
        <v>11</v>
      </c>
    </row>
    <row r="2898" spans="1:13">
      <c r="A2898" s="93">
        <v>224961</v>
      </c>
      <c r="B2898" t="s">
        <v>3424</v>
      </c>
      <c r="C2898" t="s">
        <v>4923</v>
      </c>
      <c r="D2898" s="92" t="s">
        <v>446</v>
      </c>
      <c r="E2898" s="92" t="s">
        <v>446</v>
      </c>
      <c r="F2898" t="s">
        <v>446</v>
      </c>
      <c r="G2898" t="s">
        <v>446</v>
      </c>
      <c r="H2898" t="s">
        <v>4932</v>
      </c>
      <c r="I2898">
        <v>0</v>
      </c>
      <c r="J2898" t="s">
        <v>97</v>
      </c>
      <c r="K2898">
        <v>0</v>
      </c>
      <c r="L2898">
        <v>0</v>
      </c>
      <c r="M2898" t="s">
        <v>11</v>
      </c>
    </row>
    <row r="2899" spans="1:13">
      <c r="A2899" s="93">
        <v>225070</v>
      </c>
      <c r="B2899" t="s">
        <v>3425</v>
      </c>
      <c r="C2899" t="s">
        <v>4923</v>
      </c>
      <c r="D2899" s="92" t="s">
        <v>446</v>
      </c>
      <c r="E2899" s="92" t="s">
        <v>446</v>
      </c>
      <c r="F2899" t="s">
        <v>446</v>
      </c>
      <c r="G2899" t="s">
        <v>446</v>
      </c>
      <c r="H2899" t="s">
        <v>4932</v>
      </c>
      <c r="I2899">
        <v>0</v>
      </c>
      <c r="J2899" t="s">
        <v>97</v>
      </c>
      <c r="K2899">
        <v>0</v>
      </c>
      <c r="L2899">
        <v>0</v>
      </c>
      <c r="M2899" t="s">
        <v>11</v>
      </c>
    </row>
    <row r="2900" spans="1:13">
      <c r="A2900" s="93">
        <v>225201</v>
      </c>
      <c r="B2900" t="s">
        <v>3426</v>
      </c>
      <c r="C2900" t="s">
        <v>4924</v>
      </c>
      <c r="D2900" s="92">
        <v>0.48</v>
      </c>
      <c r="E2900" s="92">
        <v>0.43</v>
      </c>
      <c r="F2900" t="s">
        <v>446</v>
      </c>
      <c r="G2900" t="s">
        <v>446</v>
      </c>
      <c r="H2900" t="s">
        <v>4931</v>
      </c>
      <c r="I2900">
        <v>0</v>
      </c>
      <c r="J2900" t="s">
        <v>97</v>
      </c>
      <c r="K2900">
        <v>0</v>
      </c>
      <c r="L2900">
        <v>0</v>
      </c>
      <c r="M2900" t="s">
        <v>11</v>
      </c>
    </row>
    <row r="2901" spans="1:13">
      <c r="A2901" s="93">
        <v>225247</v>
      </c>
      <c r="B2901" t="s">
        <v>3427</v>
      </c>
      <c r="C2901" t="s">
        <v>4920</v>
      </c>
      <c r="D2901" s="92">
        <v>0.52</v>
      </c>
      <c r="E2901" s="92">
        <v>0.44</v>
      </c>
      <c r="F2901">
        <v>970</v>
      </c>
      <c r="G2901">
        <v>1070</v>
      </c>
      <c r="H2901" t="s">
        <v>4930</v>
      </c>
      <c r="I2901">
        <v>0</v>
      </c>
      <c r="J2901" t="s">
        <v>97</v>
      </c>
      <c r="K2901">
        <v>0</v>
      </c>
      <c r="L2901">
        <v>0</v>
      </c>
      <c r="M2901" t="s">
        <v>11</v>
      </c>
    </row>
    <row r="2902" spans="1:13">
      <c r="A2902" s="93">
        <v>225308</v>
      </c>
      <c r="B2902" t="s">
        <v>3428</v>
      </c>
      <c r="C2902" t="s">
        <v>4919</v>
      </c>
      <c r="D2902" s="92">
        <v>0.24</v>
      </c>
      <c r="E2902" s="92">
        <v>0.29</v>
      </c>
      <c r="F2902" t="s">
        <v>446</v>
      </c>
      <c r="G2902" t="s">
        <v>446</v>
      </c>
      <c r="H2902" t="s">
        <v>4932</v>
      </c>
      <c r="I2902">
        <v>0</v>
      </c>
      <c r="J2902" t="s">
        <v>97</v>
      </c>
      <c r="K2902">
        <v>0</v>
      </c>
      <c r="L2902">
        <v>0</v>
      </c>
      <c r="M2902" t="s">
        <v>11</v>
      </c>
    </row>
    <row r="2903" spans="1:13">
      <c r="A2903" s="93">
        <v>225371</v>
      </c>
      <c r="B2903" t="s">
        <v>3429</v>
      </c>
      <c r="C2903" t="s">
        <v>4919</v>
      </c>
      <c r="D2903" s="92">
        <v>0.38</v>
      </c>
      <c r="E2903" s="92">
        <v>0.37</v>
      </c>
      <c r="F2903" t="s">
        <v>446</v>
      </c>
      <c r="G2903" t="s">
        <v>446</v>
      </c>
      <c r="H2903" t="s">
        <v>4932</v>
      </c>
      <c r="I2903">
        <v>0</v>
      </c>
      <c r="J2903" t="s">
        <v>97</v>
      </c>
      <c r="K2903">
        <v>0</v>
      </c>
      <c r="L2903">
        <v>0</v>
      </c>
      <c r="M2903" t="s">
        <v>11</v>
      </c>
    </row>
    <row r="2904" spans="1:13">
      <c r="A2904" s="93">
        <v>225414</v>
      </c>
      <c r="B2904" t="s">
        <v>3430</v>
      </c>
      <c r="C2904" t="s">
        <v>4920</v>
      </c>
      <c r="D2904" s="92">
        <v>0.53</v>
      </c>
      <c r="E2904" s="92">
        <v>0.47</v>
      </c>
      <c r="F2904">
        <v>980</v>
      </c>
      <c r="G2904">
        <v>1075</v>
      </c>
      <c r="H2904" t="s">
        <v>4932</v>
      </c>
      <c r="I2904">
        <v>0</v>
      </c>
      <c r="J2904" t="s">
        <v>97</v>
      </c>
      <c r="K2904">
        <v>0</v>
      </c>
      <c r="L2904">
        <v>0</v>
      </c>
      <c r="M2904" t="s">
        <v>11</v>
      </c>
    </row>
    <row r="2905" spans="1:13">
      <c r="A2905" s="93">
        <v>225432</v>
      </c>
      <c r="B2905" t="s">
        <v>3431</v>
      </c>
      <c r="C2905" t="s">
        <v>4920</v>
      </c>
      <c r="D2905" s="92">
        <v>0.29</v>
      </c>
      <c r="E2905" s="92">
        <v>0.3</v>
      </c>
      <c r="F2905" t="s">
        <v>446</v>
      </c>
      <c r="G2905" t="s">
        <v>446</v>
      </c>
      <c r="H2905" t="s">
        <v>4932</v>
      </c>
      <c r="I2905">
        <v>0</v>
      </c>
      <c r="J2905" t="s">
        <v>97</v>
      </c>
      <c r="K2905">
        <v>0</v>
      </c>
      <c r="L2905">
        <v>0</v>
      </c>
      <c r="M2905" t="s">
        <v>11</v>
      </c>
    </row>
    <row r="2906" spans="1:13">
      <c r="A2906" s="93">
        <v>225502</v>
      </c>
      <c r="B2906" t="s">
        <v>3432</v>
      </c>
      <c r="C2906" t="s">
        <v>4923</v>
      </c>
      <c r="D2906" s="92">
        <v>0.2</v>
      </c>
      <c r="E2906" s="92">
        <v>0.19</v>
      </c>
      <c r="F2906" t="s">
        <v>446</v>
      </c>
      <c r="G2906" t="s">
        <v>446</v>
      </c>
      <c r="H2906" t="s">
        <v>4932</v>
      </c>
      <c r="I2906">
        <v>0</v>
      </c>
      <c r="J2906" t="s">
        <v>97</v>
      </c>
      <c r="K2906">
        <v>0</v>
      </c>
      <c r="L2906">
        <v>0</v>
      </c>
      <c r="M2906" t="s">
        <v>11</v>
      </c>
    </row>
    <row r="2907" spans="1:13">
      <c r="A2907" s="93">
        <v>225520</v>
      </c>
      <c r="B2907" t="s">
        <v>3433</v>
      </c>
      <c r="C2907" t="s">
        <v>4919</v>
      </c>
      <c r="D2907" s="92">
        <v>0.32</v>
      </c>
      <c r="E2907" s="92">
        <v>0.29</v>
      </c>
      <c r="F2907" t="s">
        <v>446</v>
      </c>
      <c r="G2907" t="s">
        <v>446</v>
      </c>
      <c r="H2907" t="s">
        <v>4932</v>
      </c>
      <c r="I2907">
        <v>0</v>
      </c>
      <c r="J2907" t="s">
        <v>97</v>
      </c>
      <c r="K2907">
        <v>0</v>
      </c>
      <c r="L2907">
        <v>0</v>
      </c>
      <c r="M2907" t="s">
        <v>11</v>
      </c>
    </row>
    <row r="2908" spans="1:13">
      <c r="A2908" s="93">
        <v>225548</v>
      </c>
      <c r="B2908" t="s">
        <v>3434</v>
      </c>
      <c r="C2908" t="s">
        <v>4920</v>
      </c>
      <c r="D2908" s="92">
        <v>0.37</v>
      </c>
      <c r="E2908" s="92">
        <v>0.3</v>
      </c>
      <c r="F2908" t="s">
        <v>446</v>
      </c>
      <c r="G2908" t="s">
        <v>446</v>
      </c>
      <c r="H2908" t="s">
        <v>4930</v>
      </c>
      <c r="I2908">
        <v>0</v>
      </c>
      <c r="J2908" t="s">
        <v>97</v>
      </c>
      <c r="K2908">
        <v>0</v>
      </c>
      <c r="L2908">
        <v>0</v>
      </c>
      <c r="M2908" t="s">
        <v>11</v>
      </c>
    </row>
    <row r="2909" spans="1:13">
      <c r="A2909" s="93">
        <v>225575</v>
      </c>
      <c r="B2909" t="s">
        <v>3435</v>
      </c>
      <c r="C2909" t="s">
        <v>4918</v>
      </c>
      <c r="D2909" s="92">
        <v>0.3</v>
      </c>
      <c r="E2909" s="92">
        <v>0.28</v>
      </c>
      <c r="F2909">
        <v>820</v>
      </c>
      <c r="G2909">
        <v>910</v>
      </c>
      <c r="H2909" t="s">
        <v>4931</v>
      </c>
      <c r="I2909">
        <v>0</v>
      </c>
      <c r="J2909" t="s">
        <v>153</v>
      </c>
      <c r="K2909">
        <v>0</v>
      </c>
      <c r="L2909">
        <v>0</v>
      </c>
      <c r="M2909" t="s">
        <v>11</v>
      </c>
    </row>
    <row r="2910" spans="1:13">
      <c r="A2910" s="93">
        <v>225876</v>
      </c>
      <c r="B2910" t="s">
        <v>3436</v>
      </c>
      <c r="C2910" t="s">
        <v>4919</v>
      </c>
      <c r="D2910" s="92" t="s">
        <v>446</v>
      </c>
      <c r="E2910" s="92" t="s">
        <v>446</v>
      </c>
      <c r="F2910" t="s">
        <v>446</v>
      </c>
      <c r="G2910" t="s">
        <v>446</v>
      </c>
      <c r="H2910" t="s">
        <v>4931</v>
      </c>
      <c r="I2910">
        <v>0</v>
      </c>
      <c r="J2910" t="s">
        <v>97</v>
      </c>
      <c r="K2910">
        <v>0</v>
      </c>
      <c r="L2910">
        <v>0</v>
      </c>
      <c r="M2910" t="s">
        <v>11</v>
      </c>
    </row>
    <row r="2911" spans="1:13">
      <c r="A2911" s="93">
        <v>225885</v>
      </c>
      <c r="B2911" t="s">
        <v>3437</v>
      </c>
      <c r="C2911" t="s">
        <v>4923</v>
      </c>
      <c r="D2911" s="92">
        <v>0.36</v>
      </c>
      <c r="E2911" s="92">
        <v>0.52</v>
      </c>
      <c r="F2911" t="s">
        <v>446</v>
      </c>
      <c r="G2911" t="s">
        <v>446</v>
      </c>
      <c r="H2911" t="s">
        <v>4931</v>
      </c>
      <c r="I2911">
        <v>0</v>
      </c>
      <c r="J2911" t="s">
        <v>153</v>
      </c>
      <c r="K2911">
        <v>0</v>
      </c>
      <c r="L2911">
        <v>0</v>
      </c>
      <c r="M2911" t="s">
        <v>11</v>
      </c>
    </row>
    <row r="2912" spans="1:13">
      <c r="A2912" s="93">
        <v>225991</v>
      </c>
      <c r="B2912" t="s">
        <v>3438</v>
      </c>
      <c r="C2912" t="s">
        <v>4925</v>
      </c>
      <c r="D2912" s="92" t="s">
        <v>446</v>
      </c>
      <c r="E2912" s="92" t="s">
        <v>446</v>
      </c>
      <c r="F2912" t="s">
        <v>446</v>
      </c>
      <c r="G2912" t="s">
        <v>446</v>
      </c>
      <c r="H2912" t="s">
        <v>4930</v>
      </c>
      <c r="I2912">
        <v>0</v>
      </c>
      <c r="J2912" t="s">
        <v>97</v>
      </c>
      <c r="K2912">
        <v>0</v>
      </c>
      <c r="L2912">
        <v>0</v>
      </c>
      <c r="M2912" t="s">
        <v>11</v>
      </c>
    </row>
    <row r="2913" spans="1:13">
      <c r="A2913" s="93">
        <v>226019</v>
      </c>
      <c r="B2913" t="s">
        <v>3439</v>
      </c>
      <c r="C2913" t="s">
        <v>4919</v>
      </c>
      <c r="D2913" s="92">
        <v>0.41</v>
      </c>
      <c r="E2913" s="92">
        <v>0.38</v>
      </c>
      <c r="F2913" t="s">
        <v>446</v>
      </c>
      <c r="G2913" t="s">
        <v>446</v>
      </c>
      <c r="H2913" t="s">
        <v>4932</v>
      </c>
      <c r="I2913">
        <v>0</v>
      </c>
      <c r="J2913" t="s">
        <v>97</v>
      </c>
      <c r="K2913">
        <v>0</v>
      </c>
      <c r="L2913">
        <v>0</v>
      </c>
      <c r="M2913" t="s">
        <v>11</v>
      </c>
    </row>
    <row r="2914" spans="1:13">
      <c r="A2914" s="93">
        <v>226091</v>
      </c>
      <c r="B2914" t="s">
        <v>3440</v>
      </c>
      <c r="C2914" t="s">
        <v>4918</v>
      </c>
      <c r="D2914" s="92">
        <v>0.39</v>
      </c>
      <c r="E2914" s="92">
        <v>0.31</v>
      </c>
      <c r="F2914">
        <v>910</v>
      </c>
      <c r="G2914">
        <v>1005</v>
      </c>
      <c r="H2914" t="s">
        <v>4932</v>
      </c>
      <c r="I2914">
        <v>0</v>
      </c>
      <c r="J2914" t="s">
        <v>97</v>
      </c>
      <c r="K2914">
        <v>0</v>
      </c>
      <c r="L2914">
        <v>0</v>
      </c>
      <c r="M2914" t="s">
        <v>11</v>
      </c>
    </row>
    <row r="2915" spans="1:13">
      <c r="A2915" s="93">
        <v>226107</v>
      </c>
      <c r="B2915" t="s">
        <v>3441</v>
      </c>
      <c r="C2915" t="s">
        <v>4919</v>
      </c>
      <c r="D2915" s="92">
        <v>0.33</v>
      </c>
      <c r="E2915" s="92">
        <v>0.27</v>
      </c>
      <c r="F2915" t="s">
        <v>446</v>
      </c>
      <c r="G2915" t="s">
        <v>446</v>
      </c>
      <c r="H2915" t="s">
        <v>4932</v>
      </c>
      <c r="I2915">
        <v>0</v>
      </c>
      <c r="J2915" t="s">
        <v>97</v>
      </c>
      <c r="K2915">
        <v>0</v>
      </c>
      <c r="L2915">
        <v>0</v>
      </c>
      <c r="M2915" t="s">
        <v>11</v>
      </c>
    </row>
    <row r="2916" spans="1:13">
      <c r="A2916" s="93">
        <v>226116</v>
      </c>
      <c r="B2916" t="s">
        <v>3442</v>
      </c>
      <c r="C2916" t="s">
        <v>4919</v>
      </c>
      <c r="D2916" s="92">
        <v>0.36</v>
      </c>
      <c r="E2916" s="92">
        <v>0.33</v>
      </c>
      <c r="F2916" t="s">
        <v>446</v>
      </c>
      <c r="G2916" t="s">
        <v>446</v>
      </c>
      <c r="H2916" t="s">
        <v>4932</v>
      </c>
      <c r="I2916">
        <v>0</v>
      </c>
      <c r="J2916" t="s">
        <v>97</v>
      </c>
      <c r="K2916">
        <v>0</v>
      </c>
      <c r="L2916">
        <v>0</v>
      </c>
      <c r="M2916" t="s">
        <v>11</v>
      </c>
    </row>
    <row r="2917" spans="1:13">
      <c r="A2917" s="93">
        <v>226152</v>
      </c>
      <c r="B2917" t="s">
        <v>3443</v>
      </c>
      <c r="C2917" t="s">
        <v>4923</v>
      </c>
      <c r="D2917" s="92">
        <v>0.47</v>
      </c>
      <c r="E2917" s="92">
        <v>0.47</v>
      </c>
      <c r="F2917">
        <v>910</v>
      </c>
      <c r="G2917">
        <v>1010</v>
      </c>
      <c r="H2917" t="s">
        <v>4932</v>
      </c>
      <c r="I2917">
        <v>0</v>
      </c>
      <c r="J2917" t="s">
        <v>97</v>
      </c>
      <c r="K2917">
        <v>0</v>
      </c>
      <c r="L2917">
        <v>0</v>
      </c>
      <c r="M2917" t="s">
        <v>11</v>
      </c>
    </row>
    <row r="2918" spans="1:13">
      <c r="A2918" s="93">
        <v>226204</v>
      </c>
      <c r="B2918" t="s">
        <v>3444</v>
      </c>
      <c r="C2918" t="s">
        <v>4919</v>
      </c>
      <c r="D2918" s="92" t="s">
        <v>446</v>
      </c>
      <c r="E2918" s="92" t="s">
        <v>446</v>
      </c>
      <c r="F2918" t="s">
        <v>446</v>
      </c>
      <c r="G2918" t="s">
        <v>446</v>
      </c>
      <c r="H2918" t="s">
        <v>4932</v>
      </c>
      <c r="I2918">
        <v>0</v>
      </c>
      <c r="J2918" t="s">
        <v>97</v>
      </c>
      <c r="K2918">
        <v>0</v>
      </c>
      <c r="L2918">
        <v>0</v>
      </c>
      <c r="M2918" t="s">
        <v>11</v>
      </c>
    </row>
    <row r="2919" spans="1:13">
      <c r="A2919" s="93">
        <v>226231</v>
      </c>
      <c r="B2919" t="s">
        <v>3445</v>
      </c>
      <c r="C2919" t="s">
        <v>4916</v>
      </c>
      <c r="D2919" s="92">
        <v>0.61</v>
      </c>
      <c r="E2919" s="92">
        <v>0.45</v>
      </c>
      <c r="F2919">
        <v>1130</v>
      </c>
      <c r="G2919">
        <v>1250</v>
      </c>
      <c r="H2919" t="s">
        <v>4930</v>
      </c>
      <c r="I2919">
        <v>0</v>
      </c>
      <c r="J2919" t="s">
        <v>97</v>
      </c>
      <c r="K2919">
        <v>0</v>
      </c>
      <c r="L2919">
        <v>0</v>
      </c>
      <c r="M2919" t="s">
        <v>11</v>
      </c>
    </row>
    <row r="2920" spans="1:13">
      <c r="A2920" s="93">
        <v>226277</v>
      </c>
      <c r="B2920" t="s">
        <v>3446</v>
      </c>
      <c r="C2920" t="s">
        <v>4919</v>
      </c>
      <c r="D2920" s="92" t="s">
        <v>446</v>
      </c>
      <c r="E2920" s="92" t="s">
        <v>446</v>
      </c>
      <c r="F2920" t="s">
        <v>446</v>
      </c>
      <c r="G2920" t="s">
        <v>446</v>
      </c>
      <c r="H2920" t="s">
        <v>4930</v>
      </c>
      <c r="I2920">
        <v>0</v>
      </c>
      <c r="J2920" t="s">
        <v>97</v>
      </c>
      <c r="K2920">
        <v>0</v>
      </c>
      <c r="L2920">
        <v>0</v>
      </c>
      <c r="M2920" t="s">
        <v>11</v>
      </c>
    </row>
    <row r="2921" spans="1:13">
      <c r="A2921" s="93">
        <v>226383</v>
      </c>
      <c r="B2921" t="s">
        <v>3447</v>
      </c>
      <c r="C2921" t="s">
        <v>4920</v>
      </c>
      <c r="D2921" s="92">
        <v>0.47</v>
      </c>
      <c r="E2921" s="92">
        <v>0.31</v>
      </c>
      <c r="F2921">
        <v>940</v>
      </c>
      <c r="G2921">
        <v>1065</v>
      </c>
      <c r="H2921" t="s">
        <v>4930</v>
      </c>
      <c r="I2921">
        <v>0</v>
      </c>
      <c r="J2921" t="s">
        <v>97</v>
      </c>
      <c r="K2921">
        <v>0</v>
      </c>
      <c r="L2921">
        <v>0</v>
      </c>
      <c r="M2921" t="s">
        <v>11</v>
      </c>
    </row>
    <row r="2922" spans="1:13">
      <c r="A2922" s="93">
        <v>226471</v>
      </c>
      <c r="B2922" t="s">
        <v>3448</v>
      </c>
      <c r="C2922" t="s">
        <v>4920</v>
      </c>
      <c r="D2922" s="92">
        <v>0.52</v>
      </c>
      <c r="E2922" s="92">
        <v>0.42</v>
      </c>
      <c r="F2922">
        <v>970</v>
      </c>
      <c r="G2922">
        <v>1065</v>
      </c>
      <c r="H2922" t="s">
        <v>4930</v>
      </c>
      <c r="I2922">
        <v>0</v>
      </c>
      <c r="J2922" t="s">
        <v>97</v>
      </c>
      <c r="K2922">
        <v>0</v>
      </c>
      <c r="L2922">
        <v>0</v>
      </c>
      <c r="M2922" t="s">
        <v>11</v>
      </c>
    </row>
    <row r="2923" spans="1:13">
      <c r="A2923" s="93">
        <v>226578</v>
      </c>
      <c r="B2923" t="s">
        <v>3449</v>
      </c>
      <c r="C2923" t="s">
        <v>4919</v>
      </c>
      <c r="D2923" s="92">
        <v>0.36</v>
      </c>
      <c r="E2923" s="92">
        <v>0.33</v>
      </c>
      <c r="F2923" t="s">
        <v>446</v>
      </c>
      <c r="G2923" t="s">
        <v>446</v>
      </c>
      <c r="H2923" t="s">
        <v>4932</v>
      </c>
      <c r="I2923">
        <v>0</v>
      </c>
      <c r="J2923" t="s">
        <v>97</v>
      </c>
      <c r="K2923">
        <v>0</v>
      </c>
      <c r="L2923">
        <v>0</v>
      </c>
      <c r="M2923" t="s">
        <v>11</v>
      </c>
    </row>
    <row r="2924" spans="1:13">
      <c r="A2924" s="93">
        <v>226587</v>
      </c>
      <c r="B2924" t="s">
        <v>3450</v>
      </c>
      <c r="C2924" t="s">
        <v>4918</v>
      </c>
      <c r="D2924" s="92">
        <v>0.33</v>
      </c>
      <c r="E2924" s="92">
        <v>0.27</v>
      </c>
      <c r="F2924">
        <v>1030</v>
      </c>
      <c r="G2924">
        <v>1130</v>
      </c>
      <c r="H2924" t="s">
        <v>4930</v>
      </c>
      <c r="I2924">
        <v>0</v>
      </c>
      <c r="J2924" t="s">
        <v>97</v>
      </c>
      <c r="K2924">
        <v>0</v>
      </c>
      <c r="L2924">
        <v>0</v>
      </c>
      <c r="M2924" t="s">
        <v>11</v>
      </c>
    </row>
    <row r="2925" spans="1:13">
      <c r="A2925" s="93">
        <v>226675</v>
      </c>
      <c r="B2925" t="s">
        <v>3451</v>
      </c>
      <c r="C2925" t="s">
        <v>4919</v>
      </c>
      <c r="D2925" s="92" t="s">
        <v>446</v>
      </c>
      <c r="E2925" s="92" t="s">
        <v>446</v>
      </c>
      <c r="F2925" t="s">
        <v>446</v>
      </c>
      <c r="G2925" t="s">
        <v>446</v>
      </c>
      <c r="H2925" t="s">
        <v>4932</v>
      </c>
      <c r="I2925">
        <v>0</v>
      </c>
      <c r="J2925" t="s">
        <v>97</v>
      </c>
      <c r="K2925">
        <v>0</v>
      </c>
      <c r="L2925">
        <v>0</v>
      </c>
      <c r="M2925" t="s">
        <v>11</v>
      </c>
    </row>
    <row r="2926" spans="1:13">
      <c r="A2926" s="93">
        <v>226806</v>
      </c>
      <c r="B2926" t="s">
        <v>3452</v>
      </c>
      <c r="C2926" t="s">
        <v>4923</v>
      </c>
      <c r="D2926" s="92" t="s">
        <v>446</v>
      </c>
      <c r="E2926" s="92" t="s">
        <v>446</v>
      </c>
      <c r="F2926" t="s">
        <v>446</v>
      </c>
      <c r="G2926" t="s">
        <v>446</v>
      </c>
      <c r="H2926" t="s">
        <v>4932</v>
      </c>
      <c r="I2926">
        <v>0</v>
      </c>
      <c r="J2926" t="s">
        <v>97</v>
      </c>
      <c r="K2926">
        <v>0</v>
      </c>
      <c r="L2926">
        <v>0</v>
      </c>
      <c r="M2926" t="s">
        <v>11</v>
      </c>
    </row>
    <row r="2927" spans="1:13">
      <c r="A2927" s="93">
        <v>226833</v>
      </c>
      <c r="B2927" t="s">
        <v>3453</v>
      </c>
      <c r="C2927" t="s">
        <v>4920</v>
      </c>
      <c r="D2927" s="92">
        <v>0.45</v>
      </c>
      <c r="E2927" s="92">
        <v>0.39</v>
      </c>
      <c r="F2927" t="s">
        <v>446</v>
      </c>
      <c r="G2927" t="s">
        <v>446</v>
      </c>
      <c r="H2927" t="s">
        <v>4932</v>
      </c>
      <c r="I2927">
        <v>0</v>
      </c>
      <c r="J2927" t="s">
        <v>97</v>
      </c>
      <c r="K2927">
        <v>0</v>
      </c>
      <c r="L2927">
        <v>0</v>
      </c>
      <c r="M2927" t="s">
        <v>11</v>
      </c>
    </row>
    <row r="2928" spans="1:13">
      <c r="A2928" s="93">
        <v>226879</v>
      </c>
      <c r="B2928" t="s">
        <v>3454</v>
      </c>
      <c r="C2928" t="s">
        <v>4923</v>
      </c>
      <c r="D2928" s="92">
        <v>0.5</v>
      </c>
      <c r="E2928" s="92">
        <v>1</v>
      </c>
      <c r="F2928" t="s">
        <v>446</v>
      </c>
      <c r="G2928" t="s">
        <v>446</v>
      </c>
      <c r="H2928" t="s">
        <v>4930</v>
      </c>
      <c r="I2928">
        <v>0</v>
      </c>
      <c r="J2928" t="s">
        <v>97</v>
      </c>
      <c r="K2928">
        <v>0</v>
      </c>
      <c r="L2928">
        <v>0</v>
      </c>
      <c r="M2928" t="s">
        <v>11</v>
      </c>
    </row>
    <row r="2929" spans="1:13">
      <c r="A2929" s="93">
        <v>226903</v>
      </c>
      <c r="B2929" t="s">
        <v>3455</v>
      </c>
      <c r="C2929" t="s">
        <v>4919</v>
      </c>
      <c r="D2929" s="92" t="s">
        <v>446</v>
      </c>
      <c r="E2929" s="92" t="s">
        <v>446</v>
      </c>
      <c r="F2929" t="s">
        <v>446</v>
      </c>
      <c r="G2929" t="s">
        <v>446</v>
      </c>
      <c r="H2929" t="s">
        <v>4930</v>
      </c>
      <c r="I2929">
        <v>0</v>
      </c>
      <c r="J2929" t="s">
        <v>97</v>
      </c>
      <c r="K2929">
        <v>0</v>
      </c>
      <c r="L2929">
        <v>0</v>
      </c>
      <c r="M2929" t="s">
        <v>11</v>
      </c>
    </row>
    <row r="2930" spans="1:13">
      <c r="A2930" s="93">
        <v>227146</v>
      </c>
      <c r="B2930" t="s">
        <v>3456</v>
      </c>
      <c r="C2930" t="s">
        <v>4919</v>
      </c>
      <c r="D2930" s="92">
        <v>0.34</v>
      </c>
      <c r="E2930" s="92">
        <v>0.3</v>
      </c>
      <c r="F2930" t="s">
        <v>446</v>
      </c>
      <c r="G2930" t="s">
        <v>446</v>
      </c>
      <c r="H2930" t="s">
        <v>4932</v>
      </c>
      <c r="I2930">
        <v>0</v>
      </c>
      <c r="J2930" t="s">
        <v>97</v>
      </c>
      <c r="K2930">
        <v>0</v>
      </c>
      <c r="L2930">
        <v>0</v>
      </c>
      <c r="M2930" t="s">
        <v>11</v>
      </c>
    </row>
    <row r="2931" spans="1:13">
      <c r="A2931" s="93">
        <v>227225</v>
      </c>
      <c r="B2931" t="s">
        <v>3457</v>
      </c>
      <c r="C2931" t="s">
        <v>4919</v>
      </c>
      <c r="D2931" s="92">
        <v>0.4</v>
      </c>
      <c r="E2931" s="92">
        <v>0.42</v>
      </c>
      <c r="F2931" t="s">
        <v>446</v>
      </c>
      <c r="G2931" t="s">
        <v>446</v>
      </c>
      <c r="H2931" t="s">
        <v>4932</v>
      </c>
      <c r="I2931">
        <v>0</v>
      </c>
      <c r="J2931" t="s">
        <v>97</v>
      </c>
      <c r="K2931">
        <v>0</v>
      </c>
      <c r="L2931">
        <v>0</v>
      </c>
      <c r="M2931" t="s">
        <v>11</v>
      </c>
    </row>
    <row r="2932" spans="1:13">
      <c r="A2932" s="93">
        <v>227289</v>
      </c>
      <c r="B2932" t="s">
        <v>3458</v>
      </c>
      <c r="C2932" t="s">
        <v>4924</v>
      </c>
      <c r="D2932" s="92" t="s">
        <v>446</v>
      </c>
      <c r="E2932" s="92" t="s">
        <v>446</v>
      </c>
      <c r="F2932" t="s">
        <v>446</v>
      </c>
      <c r="G2932" t="s">
        <v>446</v>
      </c>
      <c r="H2932" t="s">
        <v>4932</v>
      </c>
      <c r="I2932">
        <v>0</v>
      </c>
      <c r="J2932" t="s">
        <v>97</v>
      </c>
      <c r="K2932">
        <v>0</v>
      </c>
      <c r="L2932">
        <v>0</v>
      </c>
      <c r="M2932" t="s">
        <v>11</v>
      </c>
    </row>
    <row r="2933" spans="1:13">
      <c r="A2933" s="93">
        <v>227304</v>
      </c>
      <c r="B2933" t="s">
        <v>3459</v>
      </c>
      <c r="C2933" t="s">
        <v>4919</v>
      </c>
      <c r="D2933" s="92">
        <v>0.23</v>
      </c>
      <c r="E2933" s="92">
        <v>0.25</v>
      </c>
      <c r="F2933" t="s">
        <v>446</v>
      </c>
      <c r="G2933" t="s">
        <v>446</v>
      </c>
      <c r="H2933" t="s">
        <v>4932</v>
      </c>
      <c r="I2933">
        <v>0</v>
      </c>
      <c r="J2933" t="s">
        <v>97</v>
      </c>
      <c r="K2933">
        <v>0</v>
      </c>
      <c r="L2933">
        <v>0</v>
      </c>
      <c r="M2933" t="s">
        <v>11</v>
      </c>
    </row>
    <row r="2934" spans="1:13">
      <c r="A2934" s="93">
        <v>227377</v>
      </c>
      <c r="B2934" t="s">
        <v>3460</v>
      </c>
      <c r="C2934" t="s">
        <v>4919</v>
      </c>
      <c r="D2934" s="92">
        <v>0.3</v>
      </c>
      <c r="E2934" s="92">
        <v>0.3</v>
      </c>
      <c r="F2934" t="s">
        <v>446</v>
      </c>
      <c r="G2934" t="s">
        <v>446</v>
      </c>
      <c r="H2934" t="s">
        <v>4932</v>
      </c>
      <c r="I2934">
        <v>0</v>
      </c>
      <c r="J2934" t="s">
        <v>97</v>
      </c>
      <c r="K2934">
        <v>0</v>
      </c>
      <c r="L2934">
        <v>0</v>
      </c>
      <c r="M2934" t="s">
        <v>11</v>
      </c>
    </row>
    <row r="2935" spans="1:13">
      <c r="A2935" s="93">
        <v>227386</v>
      </c>
      <c r="B2935" t="s">
        <v>3461</v>
      </c>
      <c r="C2935" t="s">
        <v>4919</v>
      </c>
      <c r="D2935" s="92">
        <v>0.4</v>
      </c>
      <c r="E2935" s="92">
        <v>0.36</v>
      </c>
      <c r="F2935" t="s">
        <v>446</v>
      </c>
      <c r="G2935" t="s">
        <v>446</v>
      </c>
      <c r="H2935" t="s">
        <v>4932</v>
      </c>
      <c r="I2935">
        <v>0</v>
      </c>
      <c r="J2935" t="s">
        <v>97</v>
      </c>
      <c r="K2935">
        <v>0</v>
      </c>
      <c r="L2935">
        <v>0</v>
      </c>
      <c r="M2935" t="s">
        <v>11</v>
      </c>
    </row>
    <row r="2936" spans="1:13">
      <c r="A2936" s="93">
        <v>227401</v>
      </c>
      <c r="B2936" t="s">
        <v>3462</v>
      </c>
      <c r="C2936" t="s">
        <v>4919</v>
      </c>
      <c r="D2936" s="92">
        <v>0.43</v>
      </c>
      <c r="E2936" s="92">
        <v>0.4</v>
      </c>
      <c r="F2936" t="s">
        <v>446</v>
      </c>
      <c r="G2936" t="s">
        <v>446</v>
      </c>
      <c r="H2936" t="s">
        <v>4932</v>
      </c>
      <c r="I2936">
        <v>0</v>
      </c>
      <c r="J2936" t="s">
        <v>97</v>
      </c>
      <c r="K2936">
        <v>0</v>
      </c>
      <c r="L2936">
        <v>0</v>
      </c>
      <c r="M2936" t="s">
        <v>11</v>
      </c>
    </row>
    <row r="2937" spans="1:13">
      <c r="A2937" s="93">
        <v>227687</v>
      </c>
      <c r="B2937" t="s">
        <v>3463</v>
      </c>
      <c r="C2937" t="s">
        <v>4919</v>
      </c>
      <c r="D2937" s="92">
        <v>0.42</v>
      </c>
      <c r="E2937" s="92">
        <v>0.42</v>
      </c>
      <c r="F2937" t="s">
        <v>446</v>
      </c>
      <c r="G2937" t="s">
        <v>446</v>
      </c>
      <c r="H2937" t="s">
        <v>4932</v>
      </c>
      <c r="I2937">
        <v>0</v>
      </c>
      <c r="J2937" t="s">
        <v>97</v>
      </c>
      <c r="K2937">
        <v>0</v>
      </c>
      <c r="L2937">
        <v>0</v>
      </c>
      <c r="M2937" t="s">
        <v>11</v>
      </c>
    </row>
    <row r="2938" spans="1:13">
      <c r="A2938" s="93">
        <v>227748</v>
      </c>
      <c r="B2938" t="s">
        <v>3464</v>
      </c>
      <c r="C2938" t="s">
        <v>4919</v>
      </c>
      <c r="D2938" s="92" t="s">
        <v>446</v>
      </c>
      <c r="E2938" s="92" t="s">
        <v>446</v>
      </c>
      <c r="F2938" t="s">
        <v>446</v>
      </c>
      <c r="G2938" t="s">
        <v>446</v>
      </c>
      <c r="H2938" t="s">
        <v>4930</v>
      </c>
      <c r="I2938">
        <v>0</v>
      </c>
      <c r="J2938" t="s">
        <v>97</v>
      </c>
      <c r="K2938">
        <v>0</v>
      </c>
      <c r="L2938">
        <v>0</v>
      </c>
      <c r="M2938" t="s">
        <v>11</v>
      </c>
    </row>
    <row r="2939" spans="1:13">
      <c r="A2939" s="93">
        <v>227845</v>
      </c>
      <c r="B2939" t="s">
        <v>3465</v>
      </c>
      <c r="C2939" t="s">
        <v>4916</v>
      </c>
      <c r="D2939" s="92">
        <v>0.66</v>
      </c>
      <c r="E2939" s="92">
        <v>0.66</v>
      </c>
      <c r="F2939" t="s">
        <v>446</v>
      </c>
      <c r="G2939" t="s">
        <v>446</v>
      </c>
      <c r="H2939" t="s">
        <v>4930</v>
      </c>
      <c r="I2939">
        <v>0</v>
      </c>
      <c r="J2939" t="s">
        <v>97</v>
      </c>
      <c r="K2939">
        <v>0</v>
      </c>
      <c r="L2939">
        <v>0</v>
      </c>
      <c r="M2939" t="s">
        <v>11</v>
      </c>
    </row>
    <row r="2940" spans="1:13">
      <c r="A2940" s="93">
        <v>227854</v>
      </c>
      <c r="B2940" t="s">
        <v>3466</v>
      </c>
      <c r="C2940" t="s">
        <v>4919</v>
      </c>
      <c r="D2940" s="92">
        <v>0.34</v>
      </c>
      <c r="E2940" s="92">
        <v>0.49</v>
      </c>
      <c r="F2940" t="s">
        <v>446</v>
      </c>
      <c r="G2940" t="s">
        <v>446</v>
      </c>
      <c r="H2940" t="s">
        <v>4932</v>
      </c>
      <c r="I2940">
        <v>0</v>
      </c>
      <c r="J2940" t="s">
        <v>153</v>
      </c>
      <c r="K2940">
        <v>0</v>
      </c>
      <c r="L2940">
        <v>0</v>
      </c>
      <c r="M2940" t="s">
        <v>11</v>
      </c>
    </row>
    <row r="2941" spans="1:13">
      <c r="A2941" s="93">
        <v>227863</v>
      </c>
      <c r="B2941" t="s">
        <v>2247</v>
      </c>
      <c r="C2941" t="s">
        <v>4916</v>
      </c>
      <c r="D2941" s="92">
        <v>0.65</v>
      </c>
      <c r="E2941" s="92">
        <v>0.61</v>
      </c>
      <c r="F2941">
        <v>1040</v>
      </c>
      <c r="G2941">
        <v>1130</v>
      </c>
      <c r="H2941" t="s">
        <v>4930</v>
      </c>
      <c r="I2941">
        <v>0</v>
      </c>
      <c r="J2941" t="s">
        <v>97</v>
      </c>
      <c r="K2941">
        <v>0</v>
      </c>
      <c r="L2941">
        <v>0</v>
      </c>
      <c r="M2941" t="s">
        <v>11</v>
      </c>
    </row>
    <row r="2942" spans="1:13">
      <c r="A2942" s="93">
        <v>227881</v>
      </c>
      <c r="B2942" t="s">
        <v>3467</v>
      </c>
      <c r="C2942" t="s">
        <v>4920</v>
      </c>
      <c r="D2942" s="92">
        <v>0.57</v>
      </c>
      <c r="E2942" s="92">
        <v>0.5600000000000001</v>
      </c>
      <c r="F2942">
        <v>950</v>
      </c>
      <c r="G2942">
        <v>1035</v>
      </c>
      <c r="H2942" t="s">
        <v>4932</v>
      </c>
      <c r="I2942">
        <v>0</v>
      </c>
      <c r="J2942" t="s">
        <v>97</v>
      </c>
      <c r="K2942">
        <v>0</v>
      </c>
      <c r="L2942">
        <v>0</v>
      </c>
      <c r="M2942" t="s">
        <v>11</v>
      </c>
    </row>
    <row r="2943" spans="1:13">
      <c r="A2943" s="93">
        <v>227924</v>
      </c>
      <c r="B2943" t="s">
        <v>3468</v>
      </c>
      <c r="C2943" t="s">
        <v>4919</v>
      </c>
      <c r="D2943" s="92">
        <v>0.35</v>
      </c>
      <c r="E2943" s="92">
        <v>0.31</v>
      </c>
      <c r="F2943" t="s">
        <v>446</v>
      </c>
      <c r="G2943" t="s">
        <v>446</v>
      </c>
      <c r="H2943" t="s">
        <v>4932</v>
      </c>
      <c r="I2943">
        <v>0</v>
      </c>
      <c r="J2943" t="s">
        <v>97</v>
      </c>
      <c r="K2943">
        <v>0</v>
      </c>
      <c r="L2943">
        <v>0</v>
      </c>
      <c r="M2943" t="s">
        <v>11</v>
      </c>
    </row>
    <row r="2944" spans="1:13">
      <c r="A2944" s="93">
        <v>228042</v>
      </c>
      <c r="B2944" t="s">
        <v>3469</v>
      </c>
      <c r="C2944" t="s">
        <v>4918</v>
      </c>
      <c r="D2944" s="92">
        <v>0.47</v>
      </c>
      <c r="E2944" s="92">
        <v>0.45</v>
      </c>
      <c r="F2944">
        <v>970</v>
      </c>
      <c r="G2944">
        <v>1065</v>
      </c>
      <c r="H2944" t="s">
        <v>4930</v>
      </c>
      <c r="I2944">
        <v>0</v>
      </c>
      <c r="J2944" t="s">
        <v>97</v>
      </c>
      <c r="K2944">
        <v>0</v>
      </c>
      <c r="L2944">
        <v>0</v>
      </c>
      <c r="M2944" t="s">
        <v>11</v>
      </c>
    </row>
    <row r="2945" spans="1:13">
      <c r="A2945" s="93">
        <v>228149</v>
      </c>
      <c r="B2945" t="s">
        <v>3470</v>
      </c>
      <c r="C2945" t="s">
        <v>4920</v>
      </c>
      <c r="D2945" s="92">
        <v>0.59</v>
      </c>
      <c r="E2945" s="92">
        <v>0.59</v>
      </c>
      <c r="F2945" t="s">
        <v>446</v>
      </c>
      <c r="G2945" t="s">
        <v>446</v>
      </c>
      <c r="H2945" t="s">
        <v>4931</v>
      </c>
      <c r="I2945">
        <v>0</v>
      </c>
      <c r="J2945" t="s">
        <v>97</v>
      </c>
      <c r="K2945">
        <v>0</v>
      </c>
      <c r="L2945">
        <v>0</v>
      </c>
      <c r="M2945" t="s">
        <v>11</v>
      </c>
    </row>
    <row r="2946" spans="1:13">
      <c r="A2946" s="93">
        <v>228158</v>
      </c>
      <c r="B2946" t="s">
        <v>3471</v>
      </c>
      <c r="C2946" t="s">
        <v>4919</v>
      </c>
      <c r="D2946" s="92">
        <v>0.28</v>
      </c>
      <c r="E2946" s="92">
        <v>0.25</v>
      </c>
      <c r="F2946" t="s">
        <v>446</v>
      </c>
      <c r="G2946" t="s">
        <v>446</v>
      </c>
      <c r="H2946" t="s">
        <v>4932</v>
      </c>
      <c r="I2946">
        <v>0</v>
      </c>
      <c r="J2946" t="s">
        <v>97</v>
      </c>
      <c r="K2946">
        <v>0</v>
      </c>
      <c r="L2946">
        <v>0</v>
      </c>
      <c r="M2946" t="s">
        <v>11</v>
      </c>
    </row>
    <row r="2947" spans="1:13">
      <c r="A2947" s="93">
        <v>228194</v>
      </c>
      <c r="B2947" t="s">
        <v>3472</v>
      </c>
      <c r="C2947" t="s">
        <v>4924</v>
      </c>
      <c r="D2947" s="92" t="s">
        <v>446</v>
      </c>
      <c r="E2947" s="92" t="s">
        <v>446</v>
      </c>
      <c r="F2947" t="s">
        <v>446</v>
      </c>
      <c r="G2947" t="s">
        <v>446</v>
      </c>
      <c r="H2947" t="s">
        <v>4932</v>
      </c>
      <c r="I2947">
        <v>0</v>
      </c>
      <c r="J2947" t="s">
        <v>97</v>
      </c>
      <c r="K2947">
        <v>0</v>
      </c>
      <c r="L2947">
        <v>0</v>
      </c>
      <c r="M2947" t="s">
        <v>11</v>
      </c>
    </row>
    <row r="2948" spans="1:13">
      <c r="A2948" s="93">
        <v>228316</v>
      </c>
      <c r="B2948" t="s">
        <v>3473</v>
      </c>
      <c r="C2948" t="s">
        <v>4919</v>
      </c>
      <c r="D2948" s="92">
        <v>0.37</v>
      </c>
      <c r="E2948" s="92">
        <v>0.38</v>
      </c>
      <c r="F2948" t="s">
        <v>446</v>
      </c>
      <c r="G2948" t="s">
        <v>446</v>
      </c>
      <c r="H2948" t="s">
        <v>4932</v>
      </c>
      <c r="I2948">
        <v>0</v>
      </c>
      <c r="J2948" t="s">
        <v>97</v>
      </c>
      <c r="K2948">
        <v>0</v>
      </c>
      <c r="L2948">
        <v>0</v>
      </c>
      <c r="M2948" t="s">
        <v>11</v>
      </c>
    </row>
    <row r="2949" spans="1:13">
      <c r="A2949" s="93">
        <v>228325</v>
      </c>
      <c r="B2949" t="s">
        <v>3474</v>
      </c>
      <c r="C2949" t="s">
        <v>4923</v>
      </c>
      <c r="D2949" s="92">
        <v>0.54</v>
      </c>
      <c r="E2949" s="92">
        <v>0.47</v>
      </c>
      <c r="F2949">
        <v>900</v>
      </c>
      <c r="G2949">
        <v>990</v>
      </c>
      <c r="H2949" t="s">
        <v>4930</v>
      </c>
      <c r="I2949">
        <v>0</v>
      </c>
      <c r="J2949" t="s">
        <v>97</v>
      </c>
      <c r="K2949">
        <v>0</v>
      </c>
      <c r="L2949">
        <v>0</v>
      </c>
      <c r="M2949" t="s">
        <v>11</v>
      </c>
    </row>
    <row r="2950" spans="1:13">
      <c r="A2950" s="93">
        <v>228343</v>
      </c>
      <c r="B2950" t="s">
        <v>3475</v>
      </c>
      <c r="C2950" t="s">
        <v>4916</v>
      </c>
      <c r="D2950" s="92">
        <v>0.72</v>
      </c>
      <c r="E2950" s="92">
        <v>0.68</v>
      </c>
      <c r="F2950">
        <v>1150</v>
      </c>
      <c r="G2950">
        <v>1240</v>
      </c>
      <c r="H2950" t="s">
        <v>4930</v>
      </c>
      <c r="I2950">
        <v>0</v>
      </c>
      <c r="J2950" t="s">
        <v>97</v>
      </c>
      <c r="K2950">
        <v>0</v>
      </c>
      <c r="L2950">
        <v>0</v>
      </c>
      <c r="M2950" t="s">
        <v>11</v>
      </c>
    </row>
    <row r="2951" spans="1:13">
      <c r="A2951" s="93">
        <v>228431</v>
      </c>
      <c r="B2951" t="s">
        <v>3476</v>
      </c>
      <c r="C2951" t="s">
        <v>4918</v>
      </c>
      <c r="D2951" s="92">
        <v>0.53</v>
      </c>
      <c r="E2951" s="92">
        <v>0.49</v>
      </c>
      <c r="F2951">
        <v>980</v>
      </c>
      <c r="G2951">
        <v>1070</v>
      </c>
      <c r="H2951" t="s">
        <v>4932</v>
      </c>
      <c r="I2951">
        <v>0</v>
      </c>
      <c r="J2951" t="s">
        <v>97</v>
      </c>
      <c r="K2951">
        <v>0</v>
      </c>
      <c r="L2951">
        <v>0</v>
      </c>
      <c r="M2951" t="s">
        <v>11</v>
      </c>
    </row>
    <row r="2952" spans="1:13">
      <c r="A2952" s="93">
        <v>228459</v>
      </c>
      <c r="B2952" t="s">
        <v>3477</v>
      </c>
      <c r="C2952" t="s">
        <v>4920</v>
      </c>
      <c r="D2952" s="92">
        <v>0.57</v>
      </c>
      <c r="E2952" s="92">
        <v>0.54</v>
      </c>
      <c r="F2952">
        <v>990</v>
      </c>
      <c r="G2952">
        <v>1085</v>
      </c>
      <c r="H2952" t="s">
        <v>4930</v>
      </c>
      <c r="I2952">
        <v>0</v>
      </c>
      <c r="J2952" t="s">
        <v>97</v>
      </c>
      <c r="K2952">
        <v>0</v>
      </c>
      <c r="L2952">
        <v>0</v>
      </c>
      <c r="M2952" t="s">
        <v>11</v>
      </c>
    </row>
    <row r="2953" spans="1:13">
      <c r="A2953" s="93">
        <v>228468</v>
      </c>
      <c r="B2953" t="s">
        <v>3478</v>
      </c>
      <c r="C2953" t="s">
        <v>4918</v>
      </c>
      <c r="D2953" s="92">
        <v>0.42</v>
      </c>
      <c r="E2953" s="92">
        <v>0.4</v>
      </c>
      <c r="F2953">
        <v>900</v>
      </c>
      <c r="G2953">
        <v>1015</v>
      </c>
      <c r="H2953" t="s">
        <v>4931</v>
      </c>
      <c r="I2953">
        <v>0</v>
      </c>
      <c r="J2953" t="s">
        <v>97</v>
      </c>
      <c r="K2953">
        <v>0</v>
      </c>
      <c r="L2953">
        <v>0</v>
      </c>
      <c r="M2953" t="s">
        <v>11</v>
      </c>
    </row>
    <row r="2954" spans="1:13">
      <c r="A2954" s="93">
        <v>228501</v>
      </c>
      <c r="B2954" t="s">
        <v>3479</v>
      </c>
      <c r="C2954" t="s">
        <v>4918</v>
      </c>
      <c r="D2954" s="92">
        <v>0.28</v>
      </c>
      <c r="E2954" s="92">
        <v>0.28</v>
      </c>
      <c r="F2954">
        <v>900</v>
      </c>
      <c r="G2954">
        <v>975</v>
      </c>
      <c r="H2954" t="s">
        <v>4932</v>
      </c>
      <c r="I2954">
        <v>0</v>
      </c>
      <c r="J2954" t="s">
        <v>97</v>
      </c>
      <c r="K2954">
        <v>0</v>
      </c>
      <c r="L2954">
        <v>0</v>
      </c>
      <c r="M2954" t="s">
        <v>11</v>
      </c>
    </row>
    <row r="2955" spans="1:13">
      <c r="A2955" s="93">
        <v>228529</v>
      </c>
      <c r="B2955" t="s">
        <v>3480</v>
      </c>
      <c r="C2955" t="s">
        <v>4918</v>
      </c>
      <c r="D2955" s="92">
        <v>0.49</v>
      </c>
      <c r="E2955" s="92">
        <v>0.37</v>
      </c>
      <c r="F2955">
        <v>960</v>
      </c>
      <c r="G2955">
        <v>1050</v>
      </c>
      <c r="H2955" t="s">
        <v>4932</v>
      </c>
      <c r="I2955">
        <v>0</v>
      </c>
      <c r="J2955" t="s">
        <v>97</v>
      </c>
      <c r="K2955">
        <v>0</v>
      </c>
      <c r="L2955">
        <v>0</v>
      </c>
      <c r="M2955" t="s">
        <v>11</v>
      </c>
    </row>
    <row r="2956" spans="1:13">
      <c r="A2956" s="93">
        <v>228608</v>
      </c>
      <c r="B2956" t="s">
        <v>3481</v>
      </c>
      <c r="C2956" t="s">
        <v>4919</v>
      </c>
      <c r="D2956" s="92">
        <v>0.25</v>
      </c>
      <c r="E2956" s="92">
        <v>0.23</v>
      </c>
      <c r="F2956" t="s">
        <v>446</v>
      </c>
      <c r="G2956" t="s">
        <v>446</v>
      </c>
      <c r="H2956" t="s">
        <v>4932</v>
      </c>
      <c r="I2956">
        <v>0</v>
      </c>
      <c r="J2956" t="s">
        <v>97</v>
      </c>
      <c r="K2956">
        <v>0</v>
      </c>
      <c r="L2956">
        <v>0</v>
      </c>
      <c r="M2956" t="s">
        <v>11</v>
      </c>
    </row>
    <row r="2957" spans="1:13">
      <c r="A2957" s="93">
        <v>228635</v>
      </c>
      <c r="B2957" t="s">
        <v>3482</v>
      </c>
      <c r="C2957" t="s">
        <v>4924</v>
      </c>
      <c r="D2957" s="92" t="s">
        <v>446</v>
      </c>
      <c r="E2957" s="92" t="s">
        <v>446</v>
      </c>
      <c r="F2957" t="s">
        <v>446</v>
      </c>
      <c r="G2957" t="s">
        <v>446</v>
      </c>
      <c r="H2957" t="s">
        <v>4932</v>
      </c>
      <c r="I2957">
        <v>0</v>
      </c>
      <c r="J2957" t="s">
        <v>97</v>
      </c>
      <c r="K2957">
        <v>0</v>
      </c>
      <c r="L2957">
        <v>0</v>
      </c>
      <c r="M2957" t="s">
        <v>11</v>
      </c>
    </row>
    <row r="2958" spans="1:13">
      <c r="A2958" s="93">
        <v>228644</v>
      </c>
      <c r="B2958" t="s">
        <v>3483</v>
      </c>
      <c r="C2958" t="s">
        <v>4924</v>
      </c>
      <c r="D2958" s="92" t="s">
        <v>446</v>
      </c>
      <c r="E2958" s="92" t="s">
        <v>446</v>
      </c>
      <c r="F2958" t="s">
        <v>446</v>
      </c>
      <c r="G2958" t="s">
        <v>446</v>
      </c>
      <c r="H2958" t="s">
        <v>4932</v>
      </c>
      <c r="I2958">
        <v>0</v>
      </c>
      <c r="J2958" t="s">
        <v>97</v>
      </c>
      <c r="K2958">
        <v>0</v>
      </c>
      <c r="L2958">
        <v>0</v>
      </c>
      <c r="M2958" t="s">
        <v>11</v>
      </c>
    </row>
    <row r="2959" spans="1:13">
      <c r="A2959" s="93">
        <v>228653</v>
      </c>
      <c r="B2959" t="s">
        <v>3484</v>
      </c>
      <c r="C2959" t="s">
        <v>4924</v>
      </c>
      <c r="D2959" s="92" t="s">
        <v>446</v>
      </c>
      <c r="E2959" s="92" t="s">
        <v>446</v>
      </c>
      <c r="F2959" t="s">
        <v>446</v>
      </c>
      <c r="G2959" t="s">
        <v>446</v>
      </c>
      <c r="H2959" t="s">
        <v>4932</v>
      </c>
      <c r="I2959">
        <v>0</v>
      </c>
      <c r="J2959" t="s">
        <v>97</v>
      </c>
      <c r="K2959">
        <v>0</v>
      </c>
      <c r="L2959">
        <v>0</v>
      </c>
      <c r="M2959" t="s">
        <v>11</v>
      </c>
    </row>
    <row r="2960" spans="1:13">
      <c r="A2960" s="93">
        <v>228699</v>
      </c>
      <c r="B2960" t="s">
        <v>3485</v>
      </c>
      <c r="C2960" t="s">
        <v>4919</v>
      </c>
      <c r="D2960" s="92">
        <v>0.48</v>
      </c>
      <c r="E2960" s="92">
        <v>0.42</v>
      </c>
      <c r="F2960" t="s">
        <v>446</v>
      </c>
      <c r="G2960" t="s">
        <v>446</v>
      </c>
      <c r="H2960" t="s">
        <v>4932</v>
      </c>
      <c r="I2960">
        <v>0</v>
      </c>
      <c r="J2960" t="s">
        <v>97</v>
      </c>
      <c r="K2960">
        <v>0</v>
      </c>
      <c r="L2960">
        <v>0</v>
      </c>
      <c r="M2960" t="s">
        <v>11</v>
      </c>
    </row>
    <row r="2961" spans="1:13">
      <c r="A2961" s="93">
        <v>228705</v>
      </c>
      <c r="B2961" t="s">
        <v>3486</v>
      </c>
      <c r="C2961" t="s">
        <v>4918</v>
      </c>
      <c r="D2961" s="92">
        <v>0.43</v>
      </c>
      <c r="E2961" s="92">
        <v>0.43</v>
      </c>
      <c r="F2961">
        <v>900</v>
      </c>
      <c r="G2961">
        <v>1010</v>
      </c>
      <c r="H2961" t="s">
        <v>4932</v>
      </c>
      <c r="I2961">
        <v>0</v>
      </c>
      <c r="J2961" t="s">
        <v>97</v>
      </c>
      <c r="K2961">
        <v>0</v>
      </c>
      <c r="L2961">
        <v>0</v>
      </c>
      <c r="M2961" t="s">
        <v>11</v>
      </c>
    </row>
    <row r="2962" spans="1:13">
      <c r="A2962" s="93">
        <v>228723</v>
      </c>
      <c r="B2962" t="s">
        <v>3487</v>
      </c>
      <c r="C2962" t="s">
        <v>4916</v>
      </c>
      <c r="D2962" s="92">
        <v>0.83</v>
      </c>
      <c r="E2962" s="92">
        <v>0.76</v>
      </c>
      <c r="F2962">
        <v>1140</v>
      </c>
      <c r="G2962">
        <v>1260</v>
      </c>
      <c r="H2962" t="s">
        <v>4932</v>
      </c>
      <c r="I2962">
        <v>0</v>
      </c>
      <c r="J2962" t="s">
        <v>97</v>
      </c>
      <c r="K2962">
        <v>0</v>
      </c>
      <c r="L2962">
        <v>0</v>
      </c>
      <c r="M2962" t="s">
        <v>11</v>
      </c>
    </row>
    <row r="2963" spans="1:13">
      <c r="A2963" s="93">
        <v>228787</v>
      </c>
      <c r="B2963" t="s">
        <v>3488</v>
      </c>
      <c r="C2963" t="s">
        <v>4916</v>
      </c>
      <c r="D2963" s="92">
        <v>0.72</v>
      </c>
      <c r="E2963" s="92">
        <v>0.66</v>
      </c>
      <c r="F2963" t="s">
        <v>446</v>
      </c>
      <c r="G2963" t="s">
        <v>446</v>
      </c>
      <c r="H2963" t="s">
        <v>4932</v>
      </c>
      <c r="I2963">
        <v>0</v>
      </c>
      <c r="J2963" t="s">
        <v>97</v>
      </c>
      <c r="K2963">
        <v>0</v>
      </c>
      <c r="L2963">
        <v>0</v>
      </c>
      <c r="M2963" t="s">
        <v>11</v>
      </c>
    </row>
    <row r="2964" spans="1:13">
      <c r="A2964" s="93">
        <v>228796</v>
      </c>
      <c r="B2964" t="s">
        <v>3489</v>
      </c>
      <c r="C2964" t="s">
        <v>4923</v>
      </c>
      <c r="D2964" s="92">
        <v>0.45</v>
      </c>
      <c r="E2964" s="92">
        <v>0.44</v>
      </c>
      <c r="F2964" t="s">
        <v>446</v>
      </c>
      <c r="G2964" t="s">
        <v>446</v>
      </c>
      <c r="H2964" t="s">
        <v>4932</v>
      </c>
      <c r="I2964">
        <v>0</v>
      </c>
      <c r="J2964" t="s">
        <v>97</v>
      </c>
      <c r="K2964">
        <v>0</v>
      </c>
      <c r="L2964">
        <v>0</v>
      </c>
      <c r="M2964" t="s">
        <v>11</v>
      </c>
    </row>
    <row r="2965" spans="1:13">
      <c r="A2965" s="93">
        <v>228802</v>
      </c>
      <c r="B2965" t="s">
        <v>3490</v>
      </c>
      <c r="C2965" t="s">
        <v>4920</v>
      </c>
      <c r="D2965" s="92">
        <v>0.42</v>
      </c>
      <c r="E2965" s="92">
        <v>0.39</v>
      </c>
      <c r="F2965">
        <v>1040</v>
      </c>
      <c r="G2965">
        <v>1145</v>
      </c>
      <c r="H2965" t="s">
        <v>4932</v>
      </c>
      <c r="I2965">
        <v>0</v>
      </c>
      <c r="J2965" t="s">
        <v>97</v>
      </c>
      <c r="K2965">
        <v>0</v>
      </c>
      <c r="L2965">
        <v>0</v>
      </c>
      <c r="M2965" t="s">
        <v>11</v>
      </c>
    </row>
    <row r="2966" spans="1:13">
      <c r="A2966" s="93">
        <v>228866</v>
      </c>
      <c r="B2966" t="s">
        <v>3491</v>
      </c>
      <c r="C2966" t="s">
        <v>4924</v>
      </c>
      <c r="D2966" s="92" t="s">
        <v>446</v>
      </c>
      <c r="E2966" s="92" t="s">
        <v>446</v>
      </c>
      <c r="F2966" t="s">
        <v>446</v>
      </c>
      <c r="G2966" t="s">
        <v>446</v>
      </c>
      <c r="H2966" t="s">
        <v>4932</v>
      </c>
      <c r="I2966">
        <v>0</v>
      </c>
      <c r="J2966" t="s">
        <v>97</v>
      </c>
      <c r="K2966">
        <v>0</v>
      </c>
      <c r="L2966">
        <v>0</v>
      </c>
      <c r="M2966" t="s">
        <v>11</v>
      </c>
    </row>
    <row r="2967" spans="1:13">
      <c r="A2967" s="93">
        <v>228875</v>
      </c>
      <c r="B2967" t="s">
        <v>3492</v>
      </c>
      <c r="C2967" t="s">
        <v>4917</v>
      </c>
      <c r="D2967" s="92">
        <v>0.83</v>
      </c>
      <c r="E2967" s="92">
        <v>0.8</v>
      </c>
      <c r="F2967">
        <v>1240</v>
      </c>
      <c r="G2967">
        <v>1320</v>
      </c>
      <c r="H2967" t="s">
        <v>4930</v>
      </c>
      <c r="I2967">
        <v>0</v>
      </c>
      <c r="J2967" t="s">
        <v>97</v>
      </c>
      <c r="K2967">
        <v>0</v>
      </c>
      <c r="L2967">
        <v>0</v>
      </c>
      <c r="M2967" t="s">
        <v>11</v>
      </c>
    </row>
    <row r="2968" spans="1:13">
      <c r="A2968" s="93">
        <v>228884</v>
      </c>
      <c r="B2968" t="s">
        <v>3493</v>
      </c>
      <c r="C2968" t="s">
        <v>4923</v>
      </c>
      <c r="D2968" s="92">
        <v>0.17</v>
      </c>
      <c r="E2968" s="92">
        <v>0.32</v>
      </c>
      <c r="F2968" t="s">
        <v>446</v>
      </c>
      <c r="G2968" t="s">
        <v>446</v>
      </c>
      <c r="H2968" t="s">
        <v>4930</v>
      </c>
      <c r="I2968">
        <v>0</v>
      </c>
      <c r="J2968" t="s">
        <v>153</v>
      </c>
      <c r="K2968">
        <v>0</v>
      </c>
      <c r="L2968">
        <v>0</v>
      </c>
      <c r="M2968" t="s">
        <v>11</v>
      </c>
    </row>
    <row r="2969" spans="1:13">
      <c r="A2969" s="93">
        <v>228909</v>
      </c>
      <c r="B2969" t="s">
        <v>3494</v>
      </c>
      <c r="C2969" t="s">
        <v>4924</v>
      </c>
      <c r="D2969" s="92" t="s">
        <v>446</v>
      </c>
      <c r="E2969" s="92" t="s">
        <v>446</v>
      </c>
      <c r="F2969" t="s">
        <v>446</v>
      </c>
      <c r="G2969" t="s">
        <v>446</v>
      </c>
      <c r="H2969" t="s">
        <v>4932</v>
      </c>
      <c r="I2969">
        <v>0</v>
      </c>
      <c r="J2969" t="s">
        <v>97</v>
      </c>
      <c r="K2969">
        <v>0</v>
      </c>
      <c r="L2969">
        <v>0</v>
      </c>
      <c r="M2969" t="s">
        <v>11</v>
      </c>
    </row>
    <row r="2970" spans="1:13">
      <c r="A2970" s="93">
        <v>228981</v>
      </c>
      <c r="B2970" t="s">
        <v>3495</v>
      </c>
      <c r="C2970" t="s">
        <v>4920</v>
      </c>
      <c r="D2970" s="92">
        <v>0.55</v>
      </c>
      <c r="E2970" s="92">
        <v>0.49</v>
      </c>
      <c r="F2970" t="s">
        <v>446</v>
      </c>
      <c r="G2970" t="s">
        <v>446</v>
      </c>
      <c r="H2970" t="s">
        <v>4931</v>
      </c>
      <c r="I2970">
        <v>0</v>
      </c>
      <c r="J2970" t="s">
        <v>97</v>
      </c>
      <c r="K2970">
        <v>0</v>
      </c>
      <c r="L2970">
        <v>0</v>
      </c>
      <c r="M2970" t="s">
        <v>11</v>
      </c>
    </row>
    <row r="2971" spans="1:13">
      <c r="A2971" s="93">
        <v>229018</v>
      </c>
      <c r="B2971" t="s">
        <v>3496</v>
      </c>
      <c r="C2971" t="s">
        <v>4923</v>
      </c>
      <c r="D2971" s="92">
        <v>0.41</v>
      </c>
      <c r="E2971" s="92">
        <v>0.42</v>
      </c>
      <c r="F2971">
        <v>920</v>
      </c>
      <c r="G2971">
        <v>1030</v>
      </c>
      <c r="H2971" t="s">
        <v>4932</v>
      </c>
      <c r="I2971">
        <v>0</v>
      </c>
      <c r="J2971" t="s">
        <v>97</v>
      </c>
      <c r="K2971">
        <v>0</v>
      </c>
      <c r="L2971">
        <v>0</v>
      </c>
      <c r="M2971" t="s">
        <v>11</v>
      </c>
    </row>
    <row r="2972" spans="1:13">
      <c r="A2972" s="93">
        <v>229027</v>
      </c>
      <c r="B2972" t="s">
        <v>3497</v>
      </c>
      <c r="C2972" t="s">
        <v>4920</v>
      </c>
      <c r="D2972" s="92">
        <v>0.51</v>
      </c>
      <c r="E2972" s="92">
        <v>0.52</v>
      </c>
      <c r="F2972">
        <v>1020</v>
      </c>
      <c r="G2972">
        <v>1120</v>
      </c>
      <c r="H2972" t="s">
        <v>4932</v>
      </c>
      <c r="I2972">
        <v>0</v>
      </c>
      <c r="J2972" t="s">
        <v>97</v>
      </c>
      <c r="K2972">
        <v>0</v>
      </c>
      <c r="L2972">
        <v>0</v>
      </c>
      <c r="M2972" t="s">
        <v>11</v>
      </c>
    </row>
    <row r="2973" spans="1:13">
      <c r="A2973" s="93">
        <v>229115</v>
      </c>
      <c r="B2973" t="s">
        <v>3498</v>
      </c>
      <c r="C2973" t="s">
        <v>4920</v>
      </c>
      <c r="D2973" s="92">
        <v>0.63</v>
      </c>
      <c r="E2973" s="92">
        <v>0.58</v>
      </c>
      <c r="F2973">
        <v>1110</v>
      </c>
      <c r="G2973">
        <v>1195</v>
      </c>
      <c r="H2973" t="s">
        <v>4930</v>
      </c>
      <c r="I2973">
        <v>0</v>
      </c>
      <c r="J2973" t="s">
        <v>97</v>
      </c>
      <c r="K2973">
        <v>0</v>
      </c>
      <c r="L2973">
        <v>0</v>
      </c>
      <c r="M2973" t="s">
        <v>11</v>
      </c>
    </row>
    <row r="2974" spans="1:13">
      <c r="A2974" s="93">
        <v>229160</v>
      </c>
      <c r="B2974" t="s">
        <v>3499</v>
      </c>
      <c r="C2974" t="s">
        <v>4920</v>
      </c>
      <c r="D2974" s="92">
        <v>0.3</v>
      </c>
      <c r="E2974" s="92">
        <v>0.38</v>
      </c>
      <c r="F2974">
        <v>920</v>
      </c>
      <c r="G2974">
        <v>1010</v>
      </c>
      <c r="H2974" t="s">
        <v>4930</v>
      </c>
      <c r="I2974">
        <v>0</v>
      </c>
      <c r="J2974" t="s">
        <v>97</v>
      </c>
      <c r="K2974">
        <v>0</v>
      </c>
      <c r="L2974">
        <v>0</v>
      </c>
      <c r="M2974" t="s">
        <v>11</v>
      </c>
    </row>
    <row r="2975" spans="1:13">
      <c r="A2975" s="93">
        <v>229179</v>
      </c>
      <c r="B2975" t="s">
        <v>3500</v>
      </c>
      <c r="C2975" t="s">
        <v>4918</v>
      </c>
      <c r="D2975" s="92">
        <v>0.48</v>
      </c>
      <c r="E2975" s="92">
        <v>0.41</v>
      </c>
      <c r="F2975">
        <v>950</v>
      </c>
      <c r="G2975">
        <v>1055</v>
      </c>
      <c r="H2975" t="s">
        <v>4932</v>
      </c>
      <c r="I2975">
        <v>0</v>
      </c>
      <c r="J2975" t="s">
        <v>97</v>
      </c>
      <c r="K2975">
        <v>0</v>
      </c>
      <c r="L2975">
        <v>0</v>
      </c>
      <c r="M2975" t="s">
        <v>11</v>
      </c>
    </row>
    <row r="2976" spans="1:13">
      <c r="A2976" s="93">
        <v>229300</v>
      </c>
      <c r="B2976" t="s">
        <v>3501</v>
      </c>
      <c r="C2976" t="s">
        <v>4924</v>
      </c>
      <c r="D2976" s="92" t="s">
        <v>446</v>
      </c>
      <c r="E2976" s="92" t="s">
        <v>446</v>
      </c>
      <c r="F2976" t="s">
        <v>446</v>
      </c>
      <c r="G2976" t="s">
        <v>446</v>
      </c>
      <c r="H2976" t="s">
        <v>4932</v>
      </c>
      <c r="I2976">
        <v>0</v>
      </c>
      <c r="J2976" t="s">
        <v>97</v>
      </c>
      <c r="K2976">
        <v>0</v>
      </c>
      <c r="L2976">
        <v>0</v>
      </c>
      <c r="M2976" t="s">
        <v>11</v>
      </c>
    </row>
    <row r="2977" spans="1:13">
      <c r="A2977" s="93">
        <v>229337</v>
      </c>
      <c r="B2977" t="s">
        <v>3502</v>
      </c>
      <c r="C2977" t="s">
        <v>4924</v>
      </c>
      <c r="D2977" s="92" t="s">
        <v>446</v>
      </c>
      <c r="E2977" s="92" t="s">
        <v>446</v>
      </c>
      <c r="F2977" t="s">
        <v>446</v>
      </c>
      <c r="G2977" t="s">
        <v>446</v>
      </c>
      <c r="H2977" t="s">
        <v>4932</v>
      </c>
      <c r="I2977">
        <v>0</v>
      </c>
      <c r="J2977" t="s">
        <v>97</v>
      </c>
      <c r="K2977">
        <v>0</v>
      </c>
      <c r="L2977">
        <v>0</v>
      </c>
      <c r="M2977" t="s">
        <v>11</v>
      </c>
    </row>
    <row r="2978" spans="1:13">
      <c r="A2978" s="93">
        <v>229416</v>
      </c>
      <c r="B2978" t="s">
        <v>3503</v>
      </c>
      <c r="C2978" t="s">
        <v>4919</v>
      </c>
      <c r="D2978" s="92">
        <v>0.58</v>
      </c>
      <c r="E2978" s="92">
        <v>0.58</v>
      </c>
      <c r="F2978" t="s">
        <v>446</v>
      </c>
      <c r="G2978" t="s">
        <v>446</v>
      </c>
      <c r="H2978" t="s">
        <v>4930</v>
      </c>
      <c r="I2978">
        <v>0</v>
      </c>
      <c r="J2978" t="s">
        <v>97</v>
      </c>
      <c r="K2978">
        <v>0</v>
      </c>
      <c r="L2978">
        <v>0</v>
      </c>
      <c r="M2978" t="s">
        <v>11</v>
      </c>
    </row>
    <row r="2979" spans="1:13">
      <c r="A2979" s="93">
        <v>229504</v>
      </c>
      <c r="B2979" t="s">
        <v>3504</v>
      </c>
      <c r="C2979" t="s">
        <v>4919</v>
      </c>
      <c r="D2979" s="92">
        <v>0.29</v>
      </c>
      <c r="E2979" s="92">
        <v>0.24</v>
      </c>
      <c r="F2979" t="s">
        <v>446</v>
      </c>
      <c r="G2979" t="s">
        <v>446</v>
      </c>
      <c r="H2979" t="s">
        <v>4932</v>
      </c>
      <c r="I2979">
        <v>0</v>
      </c>
      <c r="J2979" t="s">
        <v>97</v>
      </c>
      <c r="K2979">
        <v>0</v>
      </c>
      <c r="L2979">
        <v>0</v>
      </c>
      <c r="M2979" t="s">
        <v>11</v>
      </c>
    </row>
    <row r="2980" spans="1:13">
      <c r="A2980" s="93">
        <v>229540</v>
      </c>
      <c r="B2980" t="s">
        <v>3505</v>
      </c>
      <c r="C2980" t="s">
        <v>4919</v>
      </c>
      <c r="D2980" s="92">
        <v>0.35</v>
      </c>
      <c r="E2980" s="92">
        <v>0.3</v>
      </c>
      <c r="F2980" t="s">
        <v>446</v>
      </c>
      <c r="G2980" t="s">
        <v>446</v>
      </c>
      <c r="H2980" t="s">
        <v>4932</v>
      </c>
      <c r="I2980">
        <v>0</v>
      </c>
      <c r="J2980" t="s">
        <v>97</v>
      </c>
      <c r="K2980">
        <v>0</v>
      </c>
      <c r="L2980">
        <v>0</v>
      </c>
      <c r="M2980" t="s">
        <v>11</v>
      </c>
    </row>
    <row r="2981" spans="1:13">
      <c r="A2981" s="93">
        <v>229780</v>
      </c>
      <c r="B2981" t="s">
        <v>3506</v>
      </c>
      <c r="C2981" t="s">
        <v>4918</v>
      </c>
      <c r="D2981" s="92">
        <v>0.21</v>
      </c>
      <c r="E2981" s="92">
        <v>0.16</v>
      </c>
      <c r="F2981" t="s">
        <v>446</v>
      </c>
      <c r="G2981" t="s">
        <v>446</v>
      </c>
      <c r="H2981" t="s">
        <v>4930</v>
      </c>
      <c r="I2981">
        <v>0</v>
      </c>
      <c r="J2981" t="s">
        <v>97</v>
      </c>
      <c r="K2981">
        <v>0</v>
      </c>
      <c r="L2981">
        <v>0</v>
      </c>
      <c r="M2981" t="s">
        <v>11</v>
      </c>
    </row>
    <row r="2982" spans="1:13">
      <c r="A2982" s="93">
        <v>229799</v>
      </c>
      <c r="B2982" t="s">
        <v>3507</v>
      </c>
      <c r="C2982" t="s">
        <v>4919</v>
      </c>
      <c r="D2982" s="92">
        <v>0.23</v>
      </c>
      <c r="E2982" s="92">
        <v>0.22</v>
      </c>
      <c r="F2982" t="s">
        <v>446</v>
      </c>
      <c r="G2982" t="s">
        <v>446</v>
      </c>
      <c r="H2982" t="s">
        <v>4932</v>
      </c>
      <c r="I2982">
        <v>0</v>
      </c>
      <c r="J2982" t="s">
        <v>97</v>
      </c>
      <c r="K2982">
        <v>0</v>
      </c>
      <c r="L2982">
        <v>0</v>
      </c>
      <c r="M2982" t="s">
        <v>11</v>
      </c>
    </row>
    <row r="2983" spans="1:13">
      <c r="A2983" s="93">
        <v>229814</v>
      </c>
      <c r="B2983" t="s">
        <v>3508</v>
      </c>
      <c r="C2983" t="s">
        <v>4920</v>
      </c>
      <c r="D2983" s="92">
        <v>0.46</v>
      </c>
      <c r="E2983" s="92">
        <v>0.38</v>
      </c>
      <c r="F2983">
        <v>980</v>
      </c>
      <c r="G2983">
        <v>1085</v>
      </c>
      <c r="H2983" t="s">
        <v>4932</v>
      </c>
      <c r="I2983">
        <v>0</v>
      </c>
      <c r="J2983" t="s">
        <v>97</v>
      </c>
      <c r="K2983">
        <v>0</v>
      </c>
      <c r="L2983">
        <v>0</v>
      </c>
      <c r="M2983" t="s">
        <v>11</v>
      </c>
    </row>
    <row r="2984" spans="1:13">
      <c r="A2984" s="93">
        <v>229832</v>
      </c>
      <c r="B2984" t="s">
        <v>3509</v>
      </c>
      <c r="C2984" t="s">
        <v>4919</v>
      </c>
      <c r="D2984" s="92">
        <v>0.53</v>
      </c>
      <c r="E2984" s="92">
        <v>0.5</v>
      </c>
      <c r="F2984" t="s">
        <v>446</v>
      </c>
      <c r="G2984" t="s">
        <v>446</v>
      </c>
      <c r="H2984" t="s">
        <v>4932</v>
      </c>
      <c r="I2984">
        <v>0</v>
      </c>
      <c r="J2984" t="s">
        <v>97</v>
      </c>
      <c r="K2984">
        <v>0</v>
      </c>
      <c r="L2984">
        <v>0</v>
      </c>
      <c r="M2984" t="s">
        <v>11</v>
      </c>
    </row>
    <row r="2985" spans="1:13">
      <c r="A2985" s="93">
        <v>229841</v>
      </c>
      <c r="B2985" t="s">
        <v>3510</v>
      </c>
      <c r="C2985" t="s">
        <v>4919</v>
      </c>
      <c r="D2985" s="92">
        <v>0.38</v>
      </c>
      <c r="E2985" s="92">
        <v>0.32</v>
      </c>
      <c r="F2985" t="s">
        <v>446</v>
      </c>
      <c r="G2985" t="s">
        <v>446</v>
      </c>
      <c r="H2985" t="s">
        <v>4932</v>
      </c>
      <c r="I2985">
        <v>0</v>
      </c>
      <c r="J2985" t="s">
        <v>97</v>
      </c>
      <c r="K2985">
        <v>0</v>
      </c>
      <c r="L2985">
        <v>0</v>
      </c>
      <c r="M2985" t="s">
        <v>11</v>
      </c>
    </row>
    <row r="2986" spans="1:13">
      <c r="A2986" s="93">
        <v>230047</v>
      </c>
      <c r="B2986" t="s">
        <v>3511</v>
      </c>
      <c r="C2986" t="s">
        <v>4920</v>
      </c>
      <c r="D2986" s="92">
        <v>0.5</v>
      </c>
      <c r="E2986" s="92">
        <v>0.55</v>
      </c>
      <c r="F2986">
        <v>1080</v>
      </c>
      <c r="G2986">
        <v>1180</v>
      </c>
      <c r="H2986" t="s">
        <v>4931</v>
      </c>
      <c r="I2986">
        <v>0</v>
      </c>
      <c r="J2986" t="s">
        <v>97</v>
      </c>
      <c r="K2986">
        <v>0</v>
      </c>
      <c r="L2986">
        <v>0</v>
      </c>
      <c r="M2986" t="s">
        <v>11</v>
      </c>
    </row>
    <row r="2987" spans="1:13">
      <c r="A2987" s="93">
        <v>230056</v>
      </c>
      <c r="B2987" t="s">
        <v>3512</v>
      </c>
      <c r="C2987" t="s">
        <v>4923</v>
      </c>
      <c r="D2987" s="92" t="s">
        <v>446</v>
      </c>
      <c r="E2987" s="92" t="s">
        <v>446</v>
      </c>
      <c r="F2987" t="s">
        <v>446</v>
      </c>
      <c r="G2987" t="s">
        <v>446</v>
      </c>
      <c r="H2987" t="s">
        <v>4930</v>
      </c>
      <c r="I2987">
        <v>0</v>
      </c>
      <c r="J2987" t="s">
        <v>97</v>
      </c>
      <c r="K2987">
        <v>0</v>
      </c>
      <c r="L2987">
        <v>0</v>
      </c>
      <c r="M2987" t="s">
        <v>11</v>
      </c>
    </row>
    <row r="2988" spans="1:13">
      <c r="A2988" s="93">
        <v>230171</v>
      </c>
      <c r="B2988" t="s">
        <v>3513</v>
      </c>
      <c r="C2988" t="s">
        <v>4923</v>
      </c>
      <c r="D2988" s="92">
        <v>0.23</v>
      </c>
      <c r="E2988" s="92">
        <v>0.19</v>
      </c>
      <c r="F2988" t="s">
        <v>446</v>
      </c>
      <c r="G2988" t="s">
        <v>446</v>
      </c>
      <c r="H2988" t="s">
        <v>4932</v>
      </c>
      <c r="I2988">
        <v>0</v>
      </c>
      <c r="J2988" t="s">
        <v>97</v>
      </c>
      <c r="K2988">
        <v>0</v>
      </c>
      <c r="L2988">
        <v>0</v>
      </c>
      <c r="M2988" t="s">
        <v>11</v>
      </c>
    </row>
    <row r="2989" spans="1:13">
      <c r="A2989" s="93">
        <v>230199</v>
      </c>
      <c r="B2989" t="s">
        <v>3514</v>
      </c>
      <c r="C2989" t="s">
        <v>4919</v>
      </c>
      <c r="D2989" s="92">
        <v>0.89</v>
      </c>
      <c r="E2989" s="92">
        <v>0.5</v>
      </c>
      <c r="F2989" t="s">
        <v>446</v>
      </c>
      <c r="G2989" t="s">
        <v>446</v>
      </c>
      <c r="H2989" t="s">
        <v>4927</v>
      </c>
      <c r="I2989">
        <v>1</v>
      </c>
      <c r="J2989" t="s">
        <v>97</v>
      </c>
      <c r="K2989">
        <v>0</v>
      </c>
      <c r="L2989">
        <v>0</v>
      </c>
      <c r="M2989" t="s">
        <v>11</v>
      </c>
    </row>
    <row r="2990" spans="1:13">
      <c r="A2990" s="93">
        <v>230205</v>
      </c>
      <c r="B2990" t="s">
        <v>3515</v>
      </c>
      <c r="C2990" t="s">
        <v>4919</v>
      </c>
      <c r="D2990" s="92" t="s">
        <v>446</v>
      </c>
      <c r="E2990" s="92" t="s">
        <v>446</v>
      </c>
      <c r="F2990" t="s">
        <v>446</v>
      </c>
      <c r="G2990" t="s">
        <v>446</v>
      </c>
      <c r="H2990" t="s">
        <v>4928</v>
      </c>
      <c r="I2990">
        <v>1</v>
      </c>
      <c r="J2990" t="s">
        <v>97</v>
      </c>
      <c r="K2990">
        <v>0</v>
      </c>
      <c r="L2990">
        <v>0</v>
      </c>
      <c r="M2990" t="s">
        <v>11</v>
      </c>
    </row>
    <row r="2991" spans="1:13">
      <c r="A2991" s="93">
        <v>230366</v>
      </c>
      <c r="B2991" t="s">
        <v>3516</v>
      </c>
      <c r="C2991" t="s">
        <v>4923</v>
      </c>
      <c r="D2991" s="92">
        <v>0.29</v>
      </c>
      <c r="E2991" s="92">
        <v>0.06</v>
      </c>
      <c r="F2991" t="s">
        <v>446</v>
      </c>
      <c r="G2991" t="s">
        <v>446</v>
      </c>
      <c r="H2991" t="s">
        <v>4930</v>
      </c>
      <c r="I2991">
        <v>0</v>
      </c>
      <c r="J2991" t="s">
        <v>97</v>
      </c>
      <c r="K2991">
        <v>0</v>
      </c>
      <c r="L2991">
        <v>0</v>
      </c>
      <c r="M2991" t="s">
        <v>11</v>
      </c>
    </row>
    <row r="2992" spans="1:13">
      <c r="A2992" s="93">
        <v>230418</v>
      </c>
      <c r="B2992" t="s">
        <v>3517</v>
      </c>
      <c r="C2992" t="s">
        <v>4919</v>
      </c>
      <c r="D2992" s="92">
        <v>0.32</v>
      </c>
      <c r="E2992" s="92">
        <v>0.19</v>
      </c>
      <c r="F2992" t="s">
        <v>446</v>
      </c>
      <c r="G2992" t="s">
        <v>446</v>
      </c>
      <c r="H2992" t="s">
        <v>4928</v>
      </c>
      <c r="I2992">
        <v>1</v>
      </c>
      <c r="J2992" t="s">
        <v>97</v>
      </c>
      <c r="K2992">
        <v>0</v>
      </c>
      <c r="L2992">
        <v>0</v>
      </c>
      <c r="M2992" t="s">
        <v>11</v>
      </c>
    </row>
    <row r="2993" spans="1:13">
      <c r="A2993" s="93">
        <v>230597</v>
      </c>
      <c r="B2993" t="s">
        <v>3518</v>
      </c>
      <c r="C2993" t="s">
        <v>4923</v>
      </c>
      <c r="D2993" s="92">
        <v>1</v>
      </c>
      <c r="E2993" s="92" t="s">
        <v>446</v>
      </c>
      <c r="F2993" t="s">
        <v>446</v>
      </c>
      <c r="G2993" t="s">
        <v>446</v>
      </c>
      <c r="H2993" t="s">
        <v>4932</v>
      </c>
      <c r="I2993">
        <v>0</v>
      </c>
      <c r="J2993" t="s">
        <v>97</v>
      </c>
      <c r="K2993">
        <v>0</v>
      </c>
      <c r="L2993">
        <v>0</v>
      </c>
      <c r="M2993" t="s">
        <v>11</v>
      </c>
    </row>
    <row r="2994" spans="1:13">
      <c r="A2994" s="93">
        <v>230603</v>
      </c>
      <c r="B2994" t="s">
        <v>3519</v>
      </c>
      <c r="C2994" t="s">
        <v>4920</v>
      </c>
      <c r="D2994" s="92">
        <v>0.47</v>
      </c>
      <c r="E2994" s="92">
        <v>0.43</v>
      </c>
      <c r="F2994">
        <v>1040</v>
      </c>
      <c r="G2994">
        <v>1140</v>
      </c>
      <c r="H2994" t="s">
        <v>4932</v>
      </c>
      <c r="I2994">
        <v>0</v>
      </c>
      <c r="J2994" t="s">
        <v>97</v>
      </c>
      <c r="K2994">
        <v>0</v>
      </c>
      <c r="L2994">
        <v>0</v>
      </c>
      <c r="M2994" t="s">
        <v>11</v>
      </c>
    </row>
    <row r="2995" spans="1:13">
      <c r="A2995" s="93">
        <v>230621</v>
      </c>
      <c r="B2995" t="s">
        <v>3520</v>
      </c>
      <c r="C2995" t="s">
        <v>4923</v>
      </c>
      <c r="D2995" s="92">
        <v>0.23</v>
      </c>
      <c r="E2995" s="92">
        <v>0.18</v>
      </c>
      <c r="F2995" t="s">
        <v>446</v>
      </c>
      <c r="G2995" t="s">
        <v>446</v>
      </c>
      <c r="H2995" t="s">
        <v>4932</v>
      </c>
      <c r="I2995">
        <v>0</v>
      </c>
      <c r="J2995" t="s">
        <v>97</v>
      </c>
      <c r="K2995">
        <v>0</v>
      </c>
      <c r="L2995">
        <v>0</v>
      </c>
      <c r="M2995" t="s">
        <v>11</v>
      </c>
    </row>
    <row r="2996" spans="1:13">
      <c r="A2996" s="93">
        <v>230728</v>
      </c>
      <c r="B2996" t="s">
        <v>3521</v>
      </c>
      <c r="C2996" t="s">
        <v>4920</v>
      </c>
      <c r="D2996" s="92">
        <v>0.55</v>
      </c>
      <c r="E2996" s="92">
        <v>0.45</v>
      </c>
      <c r="F2996">
        <v>1080</v>
      </c>
      <c r="G2996">
        <v>1210</v>
      </c>
      <c r="H2996" t="s">
        <v>4932</v>
      </c>
      <c r="I2996">
        <v>0</v>
      </c>
      <c r="J2996" t="s">
        <v>97</v>
      </c>
      <c r="K2996">
        <v>0</v>
      </c>
      <c r="L2996">
        <v>0</v>
      </c>
      <c r="M2996" t="s">
        <v>11</v>
      </c>
    </row>
    <row r="2997" spans="1:13">
      <c r="A2997" s="93">
        <v>230737</v>
      </c>
      <c r="B2997" t="s">
        <v>3522</v>
      </c>
      <c r="C2997" t="s">
        <v>4923</v>
      </c>
      <c r="D2997" s="92">
        <v>0.33</v>
      </c>
      <c r="E2997" s="92">
        <v>0.21</v>
      </c>
      <c r="F2997" t="s">
        <v>446</v>
      </c>
      <c r="G2997" t="s">
        <v>446</v>
      </c>
      <c r="H2997" t="s">
        <v>4932</v>
      </c>
      <c r="I2997">
        <v>0</v>
      </c>
      <c r="J2997" t="s">
        <v>97</v>
      </c>
      <c r="K2997">
        <v>0</v>
      </c>
      <c r="L2997">
        <v>0</v>
      </c>
      <c r="M2997" t="s">
        <v>11</v>
      </c>
    </row>
    <row r="2998" spans="1:13">
      <c r="A2998" s="93">
        <v>230746</v>
      </c>
      <c r="B2998" t="s">
        <v>3523</v>
      </c>
      <c r="C2998" t="s">
        <v>4919</v>
      </c>
      <c r="D2998" s="92">
        <v>0.35</v>
      </c>
      <c r="E2998" s="92">
        <v>0.26</v>
      </c>
      <c r="F2998" t="s">
        <v>446</v>
      </c>
      <c r="G2998" t="s">
        <v>446</v>
      </c>
      <c r="H2998" t="s">
        <v>4932</v>
      </c>
      <c r="I2998">
        <v>0</v>
      </c>
      <c r="J2998" t="s">
        <v>97</v>
      </c>
      <c r="K2998">
        <v>0</v>
      </c>
      <c r="L2998">
        <v>0</v>
      </c>
      <c r="M2998" t="s">
        <v>11</v>
      </c>
    </row>
    <row r="2999" spans="1:13">
      <c r="A2999" s="93">
        <v>230764</v>
      </c>
      <c r="B2999" t="s">
        <v>3524</v>
      </c>
      <c r="C2999" t="s">
        <v>4916</v>
      </c>
      <c r="D2999" s="92">
        <v>0.67</v>
      </c>
      <c r="E2999" s="92">
        <v>0.61</v>
      </c>
      <c r="F2999">
        <v>1110</v>
      </c>
      <c r="G2999">
        <v>1240</v>
      </c>
      <c r="H2999" t="s">
        <v>4932</v>
      </c>
      <c r="I2999">
        <v>0</v>
      </c>
      <c r="J2999" t="s">
        <v>97</v>
      </c>
      <c r="K2999">
        <v>0</v>
      </c>
      <c r="L2999">
        <v>0</v>
      </c>
      <c r="M2999" t="s">
        <v>11</v>
      </c>
    </row>
    <row r="3000" spans="1:13">
      <c r="A3000" s="93">
        <v>230807</v>
      </c>
      <c r="B3000" t="s">
        <v>2346</v>
      </c>
      <c r="C3000" t="s">
        <v>4920</v>
      </c>
      <c r="D3000" s="92">
        <v>0.64</v>
      </c>
      <c r="E3000" s="92">
        <v>0.58</v>
      </c>
      <c r="F3000">
        <v>1180</v>
      </c>
      <c r="G3000">
        <v>1260</v>
      </c>
      <c r="H3000" t="s">
        <v>4930</v>
      </c>
      <c r="I3000">
        <v>0</v>
      </c>
      <c r="J3000" t="s">
        <v>97</v>
      </c>
      <c r="K3000">
        <v>0</v>
      </c>
      <c r="L3000">
        <v>0</v>
      </c>
      <c r="M3000" t="s">
        <v>11</v>
      </c>
    </row>
    <row r="3001" spans="1:13">
      <c r="A3001" s="93">
        <v>230816</v>
      </c>
      <c r="B3001" t="s">
        <v>3525</v>
      </c>
      <c r="C3001" t="s">
        <v>4922</v>
      </c>
      <c r="D3001" s="92">
        <v>0.71</v>
      </c>
      <c r="E3001" s="92">
        <v>0.63</v>
      </c>
      <c r="F3001" t="s">
        <v>446</v>
      </c>
      <c r="G3001" t="s">
        <v>446</v>
      </c>
      <c r="H3001" t="s">
        <v>4930</v>
      </c>
      <c r="I3001">
        <v>0</v>
      </c>
      <c r="J3001" t="s">
        <v>97</v>
      </c>
      <c r="K3001">
        <v>0</v>
      </c>
      <c r="L3001">
        <v>0</v>
      </c>
      <c r="M3001" t="s">
        <v>11</v>
      </c>
    </row>
    <row r="3002" spans="1:13">
      <c r="A3002" s="93">
        <v>230834</v>
      </c>
      <c r="B3002" t="s">
        <v>3526</v>
      </c>
      <c r="C3002" t="s">
        <v>4920</v>
      </c>
      <c r="D3002" s="92">
        <v>0.54</v>
      </c>
      <c r="E3002" s="92">
        <v>0.36</v>
      </c>
      <c r="F3002">
        <v>960</v>
      </c>
      <c r="G3002">
        <v>1060</v>
      </c>
      <c r="H3002" t="s">
        <v>4932</v>
      </c>
      <c r="I3002">
        <v>0</v>
      </c>
      <c r="J3002" t="s">
        <v>97</v>
      </c>
      <c r="K3002">
        <v>0</v>
      </c>
      <c r="L3002">
        <v>0</v>
      </c>
      <c r="M3002" t="s">
        <v>11</v>
      </c>
    </row>
    <row r="3003" spans="1:13">
      <c r="A3003" s="93">
        <v>230852</v>
      </c>
      <c r="B3003" t="s">
        <v>3527</v>
      </c>
      <c r="C3003" t="s">
        <v>4920</v>
      </c>
      <c r="D3003" s="92">
        <v>0.66</v>
      </c>
      <c r="E3003" s="92">
        <v>0.58</v>
      </c>
      <c r="F3003" t="s">
        <v>446</v>
      </c>
      <c r="G3003" t="s">
        <v>446</v>
      </c>
      <c r="H3003" t="s">
        <v>4930</v>
      </c>
      <c r="I3003">
        <v>0</v>
      </c>
      <c r="J3003" t="s">
        <v>97</v>
      </c>
      <c r="K3003">
        <v>0</v>
      </c>
      <c r="L3003">
        <v>0</v>
      </c>
      <c r="M3003" t="s">
        <v>11</v>
      </c>
    </row>
    <row r="3004" spans="1:13">
      <c r="A3004" s="93">
        <v>230861</v>
      </c>
      <c r="B3004" t="s">
        <v>3528</v>
      </c>
      <c r="C3004" t="s">
        <v>4919</v>
      </c>
      <c r="D3004" s="92">
        <v>0.36</v>
      </c>
      <c r="E3004" s="92">
        <v>0.26</v>
      </c>
      <c r="F3004" t="s">
        <v>446</v>
      </c>
      <c r="G3004" t="s">
        <v>446</v>
      </c>
      <c r="H3004" t="s">
        <v>4932</v>
      </c>
      <c r="I3004">
        <v>0</v>
      </c>
      <c r="J3004" t="s">
        <v>97</v>
      </c>
      <c r="K3004">
        <v>0</v>
      </c>
      <c r="L3004">
        <v>0</v>
      </c>
      <c r="M3004" t="s">
        <v>11</v>
      </c>
    </row>
    <row r="3005" spans="1:13">
      <c r="A3005" s="93">
        <v>230889</v>
      </c>
      <c r="B3005" t="s">
        <v>3529</v>
      </c>
      <c r="C3005" t="s">
        <v>4916</v>
      </c>
      <c r="D3005" s="92">
        <v>0.45</v>
      </c>
      <c r="E3005" s="92">
        <v>0</v>
      </c>
      <c r="F3005" t="s">
        <v>446</v>
      </c>
      <c r="G3005" t="s">
        <v>446</v>
      </c>
      <c r="H3005" t="s">
        <v>4930</v>
      </c>
      <c r="I3005">
        <v>0</v>
      </c>
      <c r="J3005" t="s">
        <v>97</v>
      </c>
      <c r="K3005">
        <v>0</v>
      </c>
      <c r="L3005">
        <v>0</v>
      </c>
      <c r="M3005" t="s">
        <v>11</v>
      </c>
    </row>
    <row r="3006" spans="1:13">
      <c r="A3006" s="93">
        <v>230913</v>
      </c>
      <c r="B3006" t="s">
        <v>3530</v>
      </c>
      <c r="C3006" t="s">
        <v>4920</v>
      </c>
      <c r="D3006" s="92">
        <v>0.4</v>
      </c>
      <c r="E3006" s="92">
        <v>0.27</v>
      </c>
      <c r="F3006" t="s">
        <v>446</v>
      </c>
      <c r="G3006" t="s">
        <v>446</v>
      </c>
      <c r="H3006" t="s">
        <v>4932</v>
      </c>
      <c r="I3006">
        <v>0</v>
      </c>
      <c r="J3006" t="s">
        <v>97</v>
      </c>
      <c r="K3006">
        <v>0</v>
      </c>
      <c r="L3006">
        <v>0</v>
      </c>
      <c r="M3006" t="s">
        <v>11</v>
      </c>
    </row>
    <row r="3007" spans="1:13">
      <c r="A3007" s="93">
        <v>230977</v>
      </c>
      <c r="B3007" t="s">
        <v>3531</v>
      </c>
      <c r="C3007" t="s">
        <v>4923</v>
      </c>
      <c r="D3007" s="92">
        <v>0.72</v>
      </c>
      <c r="E3007" s="92">
        <v>0</v>
      </c>
      <c r="F3007" t="s">
        <v>446</v>
      </c>
      <c r="G3007" t="s">
        <v>446</v>
      </c>
      <c r="H3007" t="s">
        <v>4932</v>
      </c>
      <c r="I3007">
        <v>0</v>
      </c>
      <c r="J3007" t="s">
        <v>97</v>
      </c>
      <c r="K3007">
        <v>0</v>
      </c>
      <c r="L3007">
        <v>0</v>
      </c>
      <c r="M3007" t="s">
        <v>11</v>
      </c>
    </row>
    <row r="3008" spans="1:13">
      <c r="A3008" s="93">
        <v>230995</v>
      </c>
      <c r="B3008" t="s">
        <v>3532</v>
      </c>
      <c r="C3008" t="s">
        <v>4920</v>
      </c>
      <c r="D3008" s="92">
        <v>0.6</v>
      </c>
      <c r="E3008" s="92">
        <v>0.51</v>
      </c>
      <c r="F3008" t="s">
        <v>446</v>
      </c>
      <c r="G3008" t="s">
        <v>446</v>
      </c>
      <c r="H3008" t="s">
        <v>4930</v>
      </c>
      <c r="I3008">
        <v>0</v>
      </c>
      <c r="J3008" t="s">
        <v>97</v>
      </c>
      <c r="K3008">
        <v>0</v>
      </c>
      <c r="L3008">
        <v>0</v>
      </c>
      <c r="M3008" t="s">
        <v>11</v>
      </c>
    </row>
    <row r="3009" spans="1:13">
      <c r="A3009" s="93">
        <v>231059</v>
      </c>
      <c r="B3009" t="s">
        <v>3533</v>
      </c>
      <c r="C3009" t="s">
        <v>4916</v>
      </c>
      <c r="D3009" s="92">
        <v>0.78</v>
      </c>
      <c r="E3009" s="92">
        <v>0.62</v>
      </c>
      <c r="F3009" t="s">
        <v>446</v>
      </c>
      <c r="G3009" t="s">
        <v>446</v>
      </c>
      <c r="H3009" t="s">
        <v>4930</v>
      </c>
      <c r="I3009">
        <v>0</v>
      </c>
      <c r="J3009" t="s">
        <v>97</v>
      </c>
      <c r="K3009">
        <v>0</v>
      </c>
      <c r="L3009">
        <v>0</v>
      </c>
      <c r="M3009" t="s">
        <v>11</v>
      </c>
    </row>
    <row r="3010" spans="1:13">
      <c r="A3010" s="93">
        <v>231068</v>
      </c>
      <c r="B3010" t="s">
        <v>3534</v>
      </c>
      <c r="C3010" t="s">
        <v>4924</v>
      </c>
      <c r="D3010" s="92" t="s">
        <v>446</v>
      </c>
      <c r="E3010" s="92" t="s">
        <v>446</v>
      </c>
      <c r="F3010" t="s">
        <v>446</v>
      </c>
      <c r="G3010" t="s">
        <v>446</v>
      </c>
      <c r="H3010" t="s">
        <v>4932</v>
      </c>
      <c r="I3010">
        <v>0</v>
      </c>
      <c r="J3010" t="s">
        <v>97</v>
      </c>
      <c r="K3010">
        <v>0</v>
      </c>
      <c r="L3010">
        <v>0</v>
      </c>
      <c r="M3010" t="s">
        <v>11</v>
      </c>
    </row>
    <row r="3011" spans="1:13">
      <c r="A3011" s="93">
        <v>231095</v>
      </c>
      <c r="B3011" t="s">
        <v>1910</v>
      </c>
      <c r="C3011" t="s">
        <v>4916</v>
      </c>
      <c r="D3011" s="92">
        <v>0.4</v>
      </c>
      <c r="E3011" s="92">
        <v>0.33</v>
      </c>
      <c r="F3011" t="s">
        <v>446</v>
      </c>
      <c r="G3011" t="s">
        <v>446</v>
      </c>
      <c r="H3011" t="s">
        <v>4930</v>
      </c>
      <c r="I3011">
        <v>0</v>
      </c>
      <c r="J3011" t="s">
        <v>97</v>
      </c>
      <c r="K3011">
        <v>0</v>
      </c>
      <c r="L3011">
        <v>0</v>
      </c>
      <c r="M3011" t="s">
        <v>11</v>
      </c>
    </row>
    <row r="3012" spans="1:13">
      <c r="A3012" s="93">
        <v>231147</v>
      </c>
      <c r="B3012" t="s">
        <v>3535</v>
      </c>
      <c r="C3012" t="s">
        <v>4924</v>
      </c>
      <c r="D3012" s="92" t="s">
        <v>446</v>
      </c>
      <c r="E3012" s="92" t="s">
        <v>446</v>
      </c>
      <c r="F3012" t="s">
        <v>446</v>
      </c>
      <c r="G3012" t="s">
        <v>446</v>
      </c>
      <c r="H3012" t="s">
        <v>4932</v>
      </c>
      <c r="I3012">
        <v>0</v>
      </c>
      <c r="J3012" t="s">
        <v>97</v>
      </c>
      <c r="K3012">
        <v>0</v>
      </c>
      <c r="L3012">
        <v>0</v>
      </c>
      <c r="M3012" t="s">
        <v>11</v>
      </c>
    </row>
    <row r="3013" spans="1:13">
      <c r="A3013" s="93">
        <v>231165</v>
      </c>
      <c r="B3013" t="s">
        <v>3536</v>
      </c>
      <c r="C3013" t="s">
        <v>4920</v>
      </c>
      <c r="D3013" s="92">
        <v>0.36</v>
      </c>
      <c r="E3013" s="92">
        <v>1</v>
      </c>
      <c r="F3013" t="s">
        <v>446</v>
      </c>
      <c r="G3013" t="s">
        <v>446</v>
      </c>
      <c r="H3013" t="s">
        <v>4932</v>
      </c>
      <c r="I3013">
        <v>0</v>
      </c>
      <c r="J3013" t="s">
        <v>97</v>
      </c>
      <c r="K3013">
        <v>0</v>
      </c>
      <c r="L3013">
        <v>0</v>
      </c>
      <c r="M3013" t="s">
        <v>11</v>
      </c>
    </row>
    <row r="3014" spans="1:13">
      <c r="A3014" s="93">
        <v>231411</v>
      </c>
      <c r="B3014" t="s">
        <v>3537</v>
      </c>
      <c r="C3014" t="s">
        <v>4925</v>
      </c>
      <c r="D3014" s="92" t="s">
        <v>446</v>
      </c>
      <c r="E3014" s="92" t="s">
        <v>446</v>
      </c>
      <c r="F3014" t="s">
        <v>446</v>
      </c>
      <c r="G3014" t="s">
        <v>446</v>
      </c>
      <c r="H3014" t="s">
        <v>4930</v>
      </c>
      <c r="I3014">
        <v>0</v>
      </c>
      <c r="J3014" t="s">
        <v>97</v>
      </c>
      <c r="K3014">
        <v>0</v>
      </c>
      <c r="L3014">
        <v>0</v>
      </c>
      <c r="M3014" t="s">
        <v>11</v>
      </c>
    </row>
    <row r="3015" spans="1:13">
      <c r="A3015" s="93">
        <v>231420</v>
      </c>
      <c r="B3015" t="s">
        <v>3538</v>
      </c>
      <c r="C3015" t="s">
        <v>4918</v>
      </c>
      <c r="D3015" s="92">
        <v>0.44</v>
      </c>
      <c r="E3015" s="92">
        <v>0.32</v>
      </c>
      <c r="F3015">
        <v>910</v>
      </c>
      <c r="G3015">
        <v>1035</v>
      </c>
      <c r="H3015" t="s">
        <v>4930</v>
      </c>
      <c r="I3015">
        <v>0</v>
      </c>
      <c r="J3015" t="s">
        <v>97</v>
      </c>
      <c r="K3015">
        <v>0</v>
      </c>
      <c r="L3015">
        <v>0</v>
      </c>
      <c r="M3015" t="s">
        <v>11</v>
      </c>
    </row>
    <row r="3016" spans="1:13">
      <c r="A3016" s="93">
        <v>231536</v>
      </c>
      <c r="B3016" t="s">
        <v>2741</v>
      </c>
      <c r="C3016" t="s">
        <v>4919</v>
      </c>
      <c r="D3016" s="92">
        <v>0.35</v>
      </c>
      <c r="E3016" s="92">
        <v>0.23</v>
      </c>
      <c r="F3016" t="s">
        <v>446</v>
      </c>
      <c r="G3016" t="s">
        <v>446</v>
      </c>
      <c r="H3016" t="s">
        <v>4932</v>
      </c>
      <c r="I3016">
        <v>0</v>
      </c>
      <c r="J3016" t="s">
        <v>97</v>
      </c>
      <c r="K3016">
        <v>0</v>
      </c>
      <c r="L3016">
        <v>0</v>
      </c>
      <c r="M3016" t="s">
        <v>11</v>
      </c>
    </row>
    <row r="3017" spans="1:13">
      <c r="A3017" s="93">
        <v>231554</v>
      </c>
      <c r="B3017" t="s">
        <v>3539</v>
      </c>
      <c r="C3017" t="s">
        <v>4920</v>
      </c>
      <c r="D3017" s="92">
        <v>0.35</v>
      </c>
      <c r="E3017" s="92">
        <v>0.18</v>
      </c>
      <c r="F3017" t="s">
        <v>446</v>
      </c>
      <c r="G3017" t="s">
        <v>446</v>
      </c>
      <c r="H3017" t="s">
        <v>4930</v>
      </c>
      <c r="I3017">
        <v>0</v>
      </c>
      <c r="J3017" t="s">
        <v>97</v>
      </c>
      <c r="K3017">
        <v>0</v>
      </c>
      <c r="L3017">
        <v>0</v>
      </c>
      <c r="M3017" t="s">
        <v>11</v>
      </c>
    </row>
    <row r="3018" spans="1:13">
      <c r="A3018" s="93">
        <v>231581</v>
      </c>
      <c r="B3018" t="s">
        <v>3540</v>
      </c>
      <c r="C3018" t="s">
        <v>4920</v>
      </c>
      <c r="D3018" s="92">
        <v>0.61</v>
      </c>
      <c r="E3018" s="92">
        <v>0.59</v>
      </c>
      <c r="F3018">
        <v>1060</v>
      </c>
      <c r="G3018">
        <v>1155</v>
      </c>
      <c r="H3018" t="s">
        <v>4930</v>
      </c>
      <c r="I3018">
        <v>0</v>
      </c>
      <c r="J3018" t="s">
        <v>97</v>
      </c>
      <c r="K3018">
        <v>0</v>
      </c>
      <c r="L3018">
        <v>0</v>
      </c>
      <c r="M3018" t="s">
        <v>11</v>
      </c>
    </row>
    <row r="3019" spans="1:13">
      <c r="A3019" s="93">
        <v>231624</v>
      </c>
      <c r="B3019" t="s">
        <v>3541</v>
      </c>
      <c r="C3019" t="s">
        <v>4922</v>
      </c>
      <c r="D3019" s="92">
        <v>0.91</v>
      </c>
      <c r="E3019" s="92">
        <v>0.91</v>
      </c>
      <c r="F3019">
        <v>1360</v>
      </c>
      <c r="G3019">
        <v>1440</v>
      </c>
      <c r="H3019" t="s">
        <v>4932</v>
      </c>
      <c r="I3019">
        <v>0</v>
      </c>
      <c r="J3019" t="s">
        <v>97</v>
      </c>
      <c r="K3019">
        <v>0</v>
      </c>
      <c r="L3019">
        <v>0</v>
      </c>
      <c r="M3019" t="s">
        <v>11</v>
      </c>
    </row>
    <row r="3020" spans="1:13">
      <c r="A3020" s="93">
        <v>231651</v>
      </c>
      <c r="B3020" t="s">
        <v>3542</v>
      </c>
      <c r="C3020" t="s">
        <v>4923</v>
      </c>
      <c r="D3020" s="92">
        <v>0.61</v>
      </c>
      <c r="E3020" s="92">
        <v>0.53</v>
      </c>
      <c r="F3020">
        <v>960</v>
      </c>
      <c r="G3020">
        <v>1095</v>
      </c>
      <c r="H3020" t="s">
        <v>4930</v>
      </c>
      <c r="I3020">
        <v>0</v>
      </c>
      <c r="J3020" t="s">
        <v>97</v>
      </c>
      <c r="K3020">
        <v>0</v>
      </c>
      <c r="L3020">
        <v>0</v>
      </c>
      <c r="M3020" t="s">
        <v>11</v>
      </c>
    </row>
    <row r="3021" spans="1:13">
      <c r="A3021" s="93">
        <v>231697</v>
      </c>
      <c r="B3021" t="s">
        <v>3543</v>
      </c>
      <c r="C3021" t="s">
        <v>4919</v>
      </c>
      <c r="D3021" s="92">
        <v>0.41</v>
      </c>
      <c r="E3021" s="92">
        <v>0.27</v>
      </c>
      <c r="F3021" t="s">
        <v>446</v>
      </c>
      <c r="G3021" t="s">
        <v>446</v>
      </c>
      <c r="H3021" t="s">
        <v>4932</v>
      </c>
      <c r="I3021">
        <v>0</v>
      </c>
      <c r="J3021" t="s">
        <v>97</v>
      </c>
      <c r="K3021">
        <v>0</v>
      </c>
      <c r="L3021">
        <v>0</v>
      </c>
      <c r="M3021" t="s">
        <v>11</v>
      </c>
    </row>
    <row r="3022" spans="1:13">
      <c r="A3022" s="93">
        <v>231712</v>
      </c>
      <c r="B3022" t="s">
        <v>3544</v>
      </c>
      <c r="C3022" t="s">
        <v>4916</v>
      </c>
      <c r="D3022" s="92">
        <v>0.75</v>
      </c>
      <c r="E3022" s="92">
        <v>0.7</v>
      </c>
      <c r="F3022">
        <v>1110</v>
      </c>
      <c r="G3022">
        <v>1215</v>
      </c>
      <c r="H3022" t="s">
        <v>4932</v>
      </c>
      <c r="I3022">
        <v>0</v>
      </c>
      <c r="J3022" t="s">
        <v>97</v>
      </c>
      <c r="K3022">
        <v>0</v>
      </c>
      <c r="L3022">
        <v>0</v>
      </c>
      <c r="M3022" t="s">
        <v>11</v>
      </c>
    </row>
    <row r="3023" spans="1:13">
      <c r="A3023" s="93">
        <v>231785</v>
      </c>
      <c r="B3023" t="s">
        <v>3545</v>
      </c>
      <c r="C3023" t="s">
        <v>4923</v>
      </c>
      <c r="D3023" s="92">
        <v>0.25</v>
      </c>
      <c r="E3023" s="92">
        <v>0.25</v>
      </c>
      <c r="F3023" t="s">
        <v>446</v>
      </c>
      <c r="G3023" t="s">
        <v>446</v>
      </c>
      <c r="H3023" t="s">
        <v>4930</v>
      </c>
      <c r="I3023">
        <v>0</v>
      </c>
      <c r="J3023" t="s">
        <v>97</v>
      </c>
      <c r="K3023">
        <v>0</v>
      </c>
      <c r="L3023">
        <v>0</v>
      </c>
      <c r="M3023" t="s">
        <v>11</v>
      </c>
    </row>
    <row r="3024" spans="1:13">
      <c r="A3024" s="93">
        <v>231873</v>
      </c>
      <c r="B3024" t="s">
        <v>3546</v>
      </c>
      <c r="C3024" t="s">
        <v>4919</v>
      </c>
      <c r="D3024" s="92">
        <v>0.45</v>
      </c>
      <c r="E3024" s="92">
        <v>0.31</v>
      </c>
      <c r="F3024" t="s">
        <v>446</v>
      </c>
      <c r="G3024" t="s">
        <v>446</v>
      </c>
      <c r="H3024" t="s">
        <v>4932</v>
      </c>
      <c r="I3024">
        <v>0</v>
      </c>
      <c r="J3024" t="s">
        <v>97</v>
      </c>
      <c r="K3024">
        <v>0</v>
      </c>
      <c r="L3024">
        <v>0</v>
      </c>
      <c r="M3024" t="s">
        <v>11</v>
      </c>
    </row>
    <row r="3025" spans="1:13">
      <c r="A3025" s="93">
        <v>231882</v>
      </c>
      <c r="B3025" t="s">
        <v>3547</v>
      </c>
      <c r="C3025" t="s">
        <v>4919</v>
      </c>
      <c r="D3025" s="92">
        <v>0.43</v>
      </c>
      <c r="E3025" s="92">
        <v>0.35</v>
      </c>
      <c r="F3025" t="s">
        <v>446</v>
      </c>
      <c r="G3025" t="s">
        <v>446</v>
      </c>
      <c r="H3025" t="s">
        <v>4932</v>
      </c>
      <c r="I3025">
        <v>0</v>
      </c>
      <c r="J3025" t="s">
        <v>97</v>
      </c>
      <c r="K3025">
        <v>0</v>
      </c>
      <c r="L3025">
        <v>0</v>
      </c>
      <c r="M3025" t="s">
        <v>11</v>
      </c>
    </row>
    <row r="3026" spans="1:13">
      <c r="A3026" s="93">
        <v>231970</v>
      </c>
      <c r="B3026" t="s">
        <v>3548</v>
      </c>
      <c r="C3026" t="s">
        <v>4924</v>
      </c>
      <c r="D3026" s="92" t="s">
        <v>446</v>
      </c>
      <c r="E3026" s="92" t="s">
        <v>446</v>
      </c>
      <c r="F3026" t="s">
        <v>446</v>
      </c>
      <c r="G3026" t="s">
        <v>446</v>
      </c>
      <c r="H3026" t="s">
        <v>4932</v>
      </c>
      <c r="I3026">
        <v>0</v>
      </c>
      <c r="J3026" t="s">
        <v>97</v>
      </c>
      <c r="K3026">
        <v>0</v>
      </c>
      <c r="L3026">
        <v>0</v>
      </c>
      <c r="M3026" t="s">
        <v>11</v>
      </c>
    </row>
    <row r="3027" spans="1:13">
      <c r="A3027" s="93">
        <v>232016</v>
      </c>
      <c r="B3027" t="s">
        <v>3549</v>
      </c>
      <c r="C3027" t="s">
        <v>4923</v>
      </c>
      <c r="D3027" s="92" t="s">
        <v>446</v>
      </c>
      <c r="E3027" s="92" t="s">
        <v>446</v>
      </c>
      <c r="F3027" t="s">
        <v>446</v>
      </c>
      <c r="G3027" t="s">
        <v>446</v>
      </c>
      <c r="H3027" t="s">
        <v>4930</v>
      </c>
      <c r="I3027">
        <v>0</v>
      </c>
      <c r="J3027" t="s">
        <v>97</v>
      </c>
      <c r="K3027">
        <v>0</v>
      </c>
      <c r="L3027">
        <v>0</v>
      </c>
      <c r="M3027" t="s">
        <v>11</v>
      </c>
    </row>
    <row r="3028" spans="1:13">
      <c r="A3028" s="93">
        <v>232025</v>
      </c>
      <c r="B3028" t="s">
        <v>3550</v>
      </c>
      <c r="C3028" t="s">
        <v>4920</v>
      </c>
      <c r="D3028" s="92">
        <v>0.53</v>
      </c>
      <c r="E3028" s="92">
        <v>0.32</v>
      </c>
      <c r="F3028" t="s">
        <v>446</v>
      </c>
      <c r="G3028" t="s">
        <v>446</v>
      </c>
      <c r="H3028" t="s">
        <v>4930</v>
      </c>
      <c r="I3028">
        <v>0</v>
      </c>
      <c r="J3028" t="s">
        <v>97</v>
      </c>
      <c r="K3028">
        <v>0</v>
      </c>
      <c r="L3028">
        <v>0</v>
      </c>
      <c r="M3028" t="s">
        <v>11</v>
      </c>
    </row>
    <row r="3029" spans="1:13">
      <c r="A3029" s="93">
        <v>232043</v>
      </c>
      <c r="B3029" t="s">
        <v>3551</v>
      </c>
      <c r="C3029" t="s">
        <v>4920</v>
      </c>
      <c r="D3029" s="92">
        <v>0.58</v>
      </c>
      <c r="E3029" s="92">
        <v>0.46</v>
      </c>
      <c r="F3029">
        <v>1040</v>
      </c>
      <c r="G3029">
        <v>1315</v>
      </c>
      <c r="H3029" t="s">
        <v>4930</v>
      </c>
      <c r="I3029">
        <v>0</v>
      </c>
      <c r="J3029" t="s">
        <v>97</v>
      </c>
      <c r="K3029">
        <v>0</v>
      </c>
      <c r="L3029">
        <v>0</v>
      </c>
      <c r="M3029" t="s">
        <v>11</v>
      </c>
    </row>
    <row r="3030" spans="1:13">
      <c r="A3030" s="93">
        <v>232052</v>
      </c>
      <c r="B3030" t="s">
        <v>3552</v>
      </c>
      <c r="C3030" t="s">
        <v>4919</v>
      </c>
      <c r="D3030" s="92">
        <v>0.37</v>
      </c>
      <c r="E3030" s="92">
        <v>0.32</v>
      </c>
      <c r="F3030" t="s">
        <v>446</v>
      </c>
      <c r="G3030" t="s">
        <v>446</v>
      </c>
      <c r="H3030" t="s">
        <v>4932</v>
      </c>
      <c r="I3030">
        <v>0</v>
      </c>
      <c r="J3030" t="s">
        <v>97</v>
      </c>
      <c r="K3030">
        <v>0</v>
      </c>
      <c r="L3030">
        <v>0</v>
      </c>
      <c r="M3030" t="s">
        <v>11</v>
      </c>
    </row>
    <row r="3031" spans="1:13">
      <c r="A3031" s="93">
        <v>232089</v>
      </c>
      <c r="B3031" t="s">
        <v>3553</v>
      </c>
      <c r="C3031" t="s">
        <v>4920</v>
      </c>
      <c r="D3031" s="92">
        <v>0.31</v>
      </c>
      <c r="E3031" s="92">
        <v>0.23</v>
      </c>
      <c r="F3031">
        <v>920</v>
      </c>
      <c r="G3031">
        <v>1050</v>
      </c>
      <c r="H3031" t="s">
        <v>4930</v>
      </c>
      <c r="I3031">
        <v>0</v>
      </c>
      <c r="J3031" t="s">
        <v>97</v>
      </c>
      <c r="K3031">
        <v>0</v>
      </c>
      <c r="L3031">
        <v>0</v>
      </c>
      <c r="M3031" t="s">
        <v>11</v>
      </c>
    </row>
    <row r="3032" spans="1:13">
      <c r="A3032" s="93">
        <v>232186</v>
      </c>
      <c r="B3032" t="s">
        <v>3554</v>
      </c>
      <c r="C3032" t="s">
        <v>4916</v>
      </c>
      <c r="D3032" s="92">
        <v>0.7</v>
      </c>
      <c r="E3032" s="92">
        <v>0.68</v>
      </c>
      <c r="F3032">
        <v>1140</v>
      </c>
      <c r="G3032">
        <v>1245</v>
      </c>
      <c r="H3032" t="s">
        <v>4932</v>
      </c>
      <c r="I3032">
        <v>0</v>
      </c>
      <c r="J3032" t="s">
        <v>97</v>
      </c>
      <c r="K3032">
        <v>0</v>
      </c>
      <c r="L3032">
        <v>0</v>
      </c>
      <c r="M3032" t="s">
        <v>11</v>
      </c>
    </row>
    <row r="3033" spans="1:13">
      <c r="A3033" s="93">
        <v>232195</v>
      </c>
      <c r="B3033" t="s">
        <v>3555</v>
      </c>
      <c r="C3033" t="s">
        <v>4919</v>
      </c>
      <c r="D3033" s="92">
        <v>0.43</v>
      </c>
      <c r="E3033" s="92">
        <v>0.38</v>
      </c>
      <c r="F3033" t="s">
        <v>446</v>
      </c>
      <c r="G3033" t="s">
        <v>446</v>
      </c>
      <c r="H3033" t="s">
        <v>4932</v>
      </c>
      <c r="I3033">
        <v>0</v>
      </c>
      <c r="J3033" t="s">
        <v>97</v>
      </c>
      <c r="K3033">
        <v>0</v>
      </c>
      <c r="L3033">
        <v>0</v>
      </c>
      <c r="M3033" t="s">
        <v>11</v>
      </c>
    </row>
    <row r="3034" spans="1:13">
      <c r="A3034" s="93">
        <v>232256</v>
      </c>
      <c r="B3034" t="s">
        <v>3556</v>
      </c>
      <c r="C3034" t="s">
        <v>4920</v>
      </c>
      <c r="D3034" s="92">
        <v>0.68</v>
      </c>
      <c r="E3034" s="92">
        <v>0.55</v>
      </c>
      <c r="F3034">
        <v>1080</v>
      </c>
      <c r="G3034">
        <v>1170</v>
      </c>
      <c r="H3034" t="s">
        <v>4930</v>
      </c>
      <c r="I3034">
        <v>0</v>
      </c>
      <c r="J3034" t="s">
        <v>97</v>
      </c>
      <c r="K3034">
        <v>0</v>
      </c>
      <c r="L3034">
        <v>0</v>
      </c>
      <c r="M3034" t="s">
        <v>11</v>
      </c>
    </row>
    <row r="3035" spans="1:13">
      <c r="A3035" s="93">
        <v>232308</v>
      </c>
      <c r="B3035" t="s">
        <v>3557</v>
      </c>
      <c r="C3035" t="s">
        <v>4916</v>
      </c>
      <c r="D3035" s="92">
        <v>0.62</v>
      </c>
      <c r="E3035" s="92">
        <v>0.54</v>
      </c>
      <c r="F3035" t="s">
        <v>446</v>
      </c>
      <c r="G3035" t="s">
        <v>446</v>
      </c>
      <c r="H3035" t="s">
        <v>4930</v>
      </c>
      <c r="I3035">
        <v>0</v>
      </c>
      <c r="J3035" t="s">
        <v>97</v>
      </c>
      <c r="K3035">
        <v>0</v>
      </c>
      <c r="L3035">
        <v>0</v>
      </c>
      <c r="M3035" t="s">
        <v>11</v>
      </c>
    </row>
    <row r="3036" spans="1:13">
      <c r="A3036" s="93">
        <v>232414</v>
      </c>
      <c r="B3036" t="s">
        <v>3558</v>
      </c>
      <c r="C3036" t="s">
        <v>4919</v>
      </c>
      <c r="D3036" s="92">
        <v>0.31</v>
      </c>
      <c r="E3036" s="92">
        <v>0.25</v>
      </c>
      <c r="F3036" t="s">
        <v>446</v>
      </c>
      <c r="G3036" t="s">
        <v>446</v>
      </c>
      <c r="H3036" t="s">
        <v>4932</v>
      </c>
      <c r="I3036">
        <v>0</v>
      </c>
      <c r="J3036" t="s">
        <v>97</v>
      </c>
      <c r="K3036">
        <v>0</v>
      </c>
      <c r="L3036">
        <v>0</v>
      </c>
      <c r="M3036" t="s">
        <v>11</v>
      </c>
    </row>
    <row r="3037" spans="1:13">
      <c r="A3037" s="93">
        <v>232450</v>
      </c>
      <c r="B3037" t="s">
        <v>3559</v>
      </c>
      <c r="C3037" t="s">
        <v>4919</v>
      </c>
      <c r="D3037" s="92">
        <v>0.36</v>
      </c>
      <c r="E3037" s="92">
        <v>0.28</v>
      </c>
      <c r="F3037" t="s">
        <v>446</v>
      </c>
      <c r="G3037" t="s">
        <v>446</v>
      </c>
      <c r="H3037" t="s">
        <v>4932</v>
      </c>
      <c r="I3037">
        <v>0</v>
      </c>
      <c r="J3037" t="s">
        <v>97</v>
      </c>
      <c r="K3037">
        <v>0</v>
      </c>
      <c r="L3037">
        <v>0</v>
      </c>
      <c r="M3037" t="s">
        <v>11</v>
      </c>
    </row>
    <row r="3038" spans="1:13">
      <c r="A3038" s="93">
        <v>232566</v>
      </c>
      <c r="B3038" t="s">
        <v>3560</v>
      </c>
      <c r="C3038" t="s">
        <v>4920</v>
      </c>
      <c r="D3038" s="92">
        <v>0.66</v>
      </c>
      <c r="E3038" s="92">
        <v>0.59</v>
      </c>
      <c r="F3038">
        <v>1030</v>
      </c>
      <c r="G3038">
        <v>1100</v>
      </c>
      <c r="H3038" t="s">
        <v>4932</v>
      </c>
      <c r="I3038">
        <v>0</v>
      </c>
      <c r="J3038" t="s">
        <v>97</v>
      </c>
      <c r="K3038">
        <v>0</v>
      </c>
      <c r="L3038">
        <v>0</v>
      </c>
      <c r="M3038" t="s">
        <v>11</v>
      </c>
    </row>
    <row r="3039" spans="1:13">
      <c r="A3039" s="93">
        <v>232575</v>
      </c>
      <c r="B3039" t="s">
        <v>3561</v>
      </c>
      <c r="C3039" t="s">
        <v>4919</v>
      </c>
      <c r="D3039" s="92">
        <v>0.47</v>
      </c>
      <c r="E3039" s="92">
        <v>0.36</v>
      </c>
      <c r="F3039" t="s">
        <v>446</v>
      </c>
      <c r="G3039" t="s">
        <v>446</v>
      </c>
      <c r="H3039" t="s">
        <v>4932</v>
      </c>
      <c r="I3039">
        <v>0</v>
      </c>
      <c r="J3039" t="s">
        <v>97</v>
      </c>
      <c r="K3039">
        <v>0</v>
      </c>
      <c r="L3039">
        <v>0</v>
      </c>
      <c r="M3039" t="s">
        <v>11</v>
      </c>
    </row>
    <row r="3040" spans="1:13">
      <c r="A3040" s="93">
        <v>232609</v>
      </c>
      <c r="B3040" t="s">
        <v>3562</v>
      </c>
      <c r="C3040" t="s">
        <v>4920</v>
      </c>
      <c r="D3040" s="92">
        <v>0.61</v>
      </c>
      <c r="E3040" s="92">
        <v>0.52</v>
      </c>
      <c r="F3040" t="s">
        <v>446</v>
      </c>
      <c r="G3040" t="s">
        <v>446</v>
      </c>
      <c r="H3040" t="s">
        <v>4930</v>
      </c>
      <c r="I3040">
        <v>0</v>
      </c>
      <c r="J3040" t="s">
        <v>97</v>
      </c>
      <c r="K3040">
        <v>0</v>
      </c>
      <c r="L3040">
        <v>0</v>
      </c>
      <c r="M3040" t="s">
        <v>11</v>
      </c>
    </row>
    <row r="3041" spans="1:13">
      <c r="A3041" s="93">
        <v>232618</v>
      </c>
      <c r="B3041" t="s">
        <v>3563</v>
      </c>
      <c r="C3041" t="s">
        <v>4923</v>
      </c>
      <c r="D3041" s="92" t="s">
        <v>446</v>
      </c>
      <c r="E3041" s="92" t="s">
        <v>446</v>
      </c>
      <c r="F3041" t="s">
        <v>446</v>
      </c>
      <c r="G3041" t="s">
        <v>446</v>
      </c>
      <c r="H3041" t="s">
        <v>4930</v>
      </c>
      <c r="I3041">
        <v>0</v>
      </c>
      <c r="J3041" t="s">
        <v>97</v>
      </c>
      <c r="K3041">
        <v>0</v>
      </c>
      <c r="L3041">
        <v>0</v>
      </c>
      <c r="M3041" t="s">
        <v>11</v>
      </c>
    </row>
    <row r="3042" spans="1:13">
      <c r="A3042" s="93">
        <v>232672</v>
      </c>
      <c r="B3042" t="s">
        <v>3564</v>
      </c>
      <c r="C3042" t="s">
        <v>4920</v>
      </c>
      <c r="D3042" s="92">
        <v>0.43</v>
      </c>
      <c r="E3042" s="92">
        <v>0.44</v>
      </c>
      <c r="F3042" t="s">
        <v>446</v>
      </c>
      <c r="G3042" t="s">
        <v>446</v>
      </c>
      <c r="H3042" t="s">
        <v>4931</v>
      </c>
      <c r="I3042">
        <v>0</v>
      </c>
      <c r="J3042" t="s">
        <v>97</v>
      </c>
      <c r="K3042">
        <v>0</v>
      </c>
      <c r="L3042">
        <v>0</v>
      </c>
      <c r="M3042" t="s">
        <v>11</v>
      </c>
    </row>
    <row r="3043" spans="1:13">
      <c r="A3043" s="93">
        <v>232681</v>
      </c>
      <c r="B3043" t="s">
        <v>3565</v>
      </c>
      <c r="C3043" t="s">
        <v>4916</v>
      </c>
      <c r="D3043" s="92">
        <v>0.66</v>
      </c>
      <c r="E3043" s="92">
        <v>0.61</v>
      </c>
      <c r="F3043">
        <v>1130</v>
      </c>
      <c r="G3043">
        <v>1225</v>
      </c>
      <c r="H3043" t="s">
        <v>4932</v>
      </c>
      <c r="I3043">
        <v>0</v>
      </c>
      <c r="J3043" t="s">
        <v>97</v>
      </c>
      <c r="K3043">
        <v>0</v>
      </c>
      <c r="L3043">
        <v>0</v>
      </c>
      <c r="M3043" t="s">
        <v>11</v>
      </c>
    </row>
    <row r="3044" spans="1:13">
      <c r="A3044" s="93">
        <v>232724</v>
      </c>
      <c r="B3044" t="s">
        <v>3566</v>
      </c>
      <c r="C3044" t="s">
        <v>4919</v>
      </c>
      <c r="D3044" s="92" t="s">
        <v>446</v>
      </c>
      <c r="E3044" s="92" t="s">
        <v>446</v>
      </c>
      <c r="F3044" t="s">
        <v>446</v>
      </c>
      <c r="G3044" t="s">
        <v>446</v>
      </c>
      <c r="H3044" t="s">
        <v>4932</v>
      </c>
      <c r="I3044">
        <v>0</v>
      </c>
      <c r="J3044" t="s">
        <v>97</v>
      </c>
      <c r="K3044">
        <v>0</v>
      </c>
      <c r="L3044">
        <v>0</v>
      </c>
      <c r="M3044" t="s">
        <v>11</v>
      </c>
    </row>
    <row r="3045" spans="1:13">
      <c r="A3045" s="93">
        <v>232788</v>
      </c>
      <c r="B3045" t="s">
        <v>3567</v>
      </c>
      <c r="C3045" t="s">
        <v>4919</v>
      </c>
      <c r="D3045" s="92">
        <v>0.42</v>
      </c>
      <c r="E3045" s="92">
        <v>0.39</v>
      </c>
      <c r="F3045" t="s">
        <v>446</v>
      </c>
      <c r="G3045" t="s">
        <v>446</v>
      </c>
      <c r="H3045" t="s">
        <v>4932</v>
      </c>
      <c r="I3045">
        <v>0</v>
      </c>
      <c r="J3045" t="s">
        <v>97</v>
      </c>
      <c r="K3045">
        <v>0</v>
      </c>
      <c r="L3045">
        <v>0</v>
      </c>
      <c r="M3045" t="s">
        <v>11</v>
      </c>
    </row>
    <row r="3046" spans="1:13">
      <c r="A3046" s="93">
        <v>232797</v>
      </c>
      <c r="B3046" t="s">
        <v>3568</v>
      </c>
      <c r="C3046" t="s">
        <v>4923</v>
      </c>
      <c r="D3046" s="92">
        <v>0.25</v>
      </c>
      <c r="E3046" s="92">
        <v>0.25</v>
      </c>
      <c r="F3046" t="s">
        <v>446</v>
      </c>
      <c r="G3046" t="s">
        <v>446</v>
      </c>
      <c r="H3046" t="s">
        <v>4930</v>
      </c>
      <c r="I3046">
        <v>0</v>
      </c>
      <c r="J3046" t="s">
        <v>97</v>
      </c>
      <c r="K3046">
        <v>0</v>
      </c>
      <c r="L3046">
        <v>0</v>
      </c>
      <c r="M3046" t="s">
        <v>11</v>
      </c>
    </row>
    <row r="3047" spans="1:13">
      <c r="A3047" s="93">
        <v>232867</v>
      </c>
      <c r="B3047" t="s">
        <v>3569</v>
      </c>
      <c r="C3047" t="s">
        <v>4919</v>
      </c>
      <c r="D3047" s="92">
        <v>0.43</v>
      </c>
      <c r="E3047" s="92">
        <v>0.23</v>
      </c>
      <c r="F3047" t="s">
        <v>446</v>
      </c>
      <c r="G3047" t="s">
        <v>446</v>
      </c>
      <c r="H3047" t="s">
        <v>4932</v>
      </c>
      <c r="I3047">
        <v>0</v>
      </c>
      <c r="J3047" t="s">
        <v>97</v>
      </c>
      <c r="K3047">
        <v>0</v>
      </c>
      <c r="L3047">
        <v>0</v>
      </c>
      <c r="M3047" t="s">
        <v>11</v>
      </c>
    </row>
    <row r="3048" spans="1:13">
      <c r="A3048" s="93">
        <v>232885</v>
      </c>
      <c r="B3048" t="s">
        <v>3570</v>
      </c>
      <c r="C3048" t="s">
        <v>4924</v>
      </c>
      <c r="D3048" s="92" t="s">
        <v>446</v>
      </c>
      <c r="E3048" s="92" t="s">
        <v>446</v>
      </c>
      <c r="F3048" t="s">
        <v>446</v>
      </c>
      <c r="G3048" t="s">
        <v>446</v>
      </c>
      <c r="H3048" t="s">
        <v>4932</v>
      </c>
      <c r="I3048">
        <v>0</v>
      </c>
      <c r="J3048" t="s">
        <v>97</v>
      </c>
      <c r="K3048">
        <v>0</v>
      </c>
      <c r="L3048">
        <v>0</v>
      </c>
      <c r="M3048" t="s">
        <v>11</v>
      </c>
    </row>
    <row r="3049" spans="1:13">
      <c r="A3049" s="93">
        <v>232982</v>
      </c>
      <c r="B3049" t="s">
        <v>3571</v>
      </c>
      <c r="C3049" t="s">
        <v>4920</v>
      </c>
      <c r="D3049" s="92">
        <v>0.49</v>
      </c>
      <c r="E3049" s="92">
        <v>0.48</v>
      </c>
      <c r="F3049">
        <v>1020</v>
      </c>
      <c r="G3049">
        <v>1120</v>
      </c>
      <c r="H3049" t="s">
        <v>4932</v>
      </c>
      <c r="I3049">
        <v>0</v>
      </c>
      <c r="J3049" t="s">
        <v>97</v>
      </c>
      <c r="K3049">
        <v>0</v>
      </c>
      <c r="L3049">
        <v>0</v>
      </c>
      <c r="M3049" t="s">
        <v>11</v>
      </c>
    </row>
    <row r="3050" spans="1:13">
      <c r="A3050" s="93">
        <v>233019</v>
      </c>
      <c r="B3050" t="s">
        <v>3572</v>
      </c>
      <c r="C3050" t="s">
        <v>4919</v>
      </c>
      <c r="D3050" s="92">
        <v>0.44</v>
      </c>
      <c r="E3050" s="92">
        <v>0.36</v>
      </c>
      <c r="F3050" t="s">
        <v>446</v>
      </c>
      <c r="G3050" t="s">
        <v>446</v>
      </c>
      <c r="H3050" t="s">
        <v>4932</v>
      </c>
      <c r="I3050">
        <v>0</v>
      </c>
      <c r="J3050" t="s">
        <v>97</v>
      </c>
      <c r="K3050">
        <v>0</v>
      </c>
      <c r="L3050">
        <v>0</v>
      </c>
      <c r="M3050" t="s">
        <v>11</v>
      </c>
    </row>
    <row r="3051" spans="1:13">
      <c r="A3051" s="93">
        <v>233037</v>
      </c>
      <c r="B3051" t="s">
        <v>3573</v>
      </c>
      <c r="C3051" t="s">
        <v>4919</v>
      </c>
      <c r="D3051" s="92">
        <v>0.36</v>
      </c>
      <c r="E3051" s="92">
        <v>0.34</v>
      </c>
      <c r="F3051" t="s">
        <v>446</v>
      </c>
      <c r="G3051" t="s">
        <v>446</v>
      </c>
      <c r="H3051" t="s">
        <v>4932</v>
      </c>
      <c r="I3051">
        <v>0</v>
      </c>
      <c r="J3051" t="s">
        <v>97</v>
      </c>
      <c r="K3051">
        <v>0</v>
      </c>
      <c r="L3051">
        <v>0</v>
      </c>
      <c r="M3051" t="s">
        <v>11</v>
      </c>
    </row>
    <row r="3052" spans="1:13">
      <c r="A3052" s="93">
        <v>233082</v>
      </c>
      <c r="B3052" t="s">
        <v>3574</v>
      </c>
      <c r="C3052" t="s">
        <v>4925</v>
      </c>
      <c r="D3052" s="92" t="s">
        <v>446</v>
      </c>
      <c r="E3052" s="92" t="s">
        <v>446</v>
      </c>
      <c r="F3052" t="s">
        <v>446</v>
      </c>
      <c r="G3052" t="s">
        <v>446</v>
      </c>
      <c r="H3052" t="s">
        <v>4932</v>
      </c>
      <c r="I3052">
        <v>0</v>
      </c>
      <c r="J3052" t="s">
        <v>97</v>
      </c>
      <c r="K3052">
        <v>0</v>
      </c>
      <c r="L3052">
        <v>0</v>
      </c>
      <c r="M3052" t="s">
        <v>11</v>
      </c>
    </row>
    <row r="3053" spans="1:13">
      <c r="A3053" s="93">
        <v>233116</v>
      </c>
      <c r="B3053" t="s">
        <v>3575</v>
      </c>
      <c r="C3053" t="s">
        <v>4919</v>
      </c>
      <c r="D3053" s="92">
        <v>0.43</v>
      </c>
      <c r="E3053" s="92">
        <v>0.34</v>
      </c>
      <c r="F3053" t="s">
        <v>446</v>
      </c>
      <c r="G3053" t="s">
        <v>446</v>
      </c>
      <c r="H3053" t="s">
        <v>4932</v>
      </c>
      <c r="I3053">
        <v>0</v>
      </c>
      <c r="J3053" t="s">
        <v>97</v>
      </c>
      <c r="K3053">
        <v>0</v>
      </c>
      <c r="L3053">
        <v>0</v>
      </c>
      <c r="M3053" t="s">
        <v>11</v>
      </c>
    </row>
    <row r="3054" spans="1:13">
      <c r="A3054" s="93">
        <v>233277</v>
      </c>
      <c r="B3054" t="s">
        <v>3576</v>
      </c>
      <c r="C3054" t="s">
        <v>4918</v>
      </c>
      <c r="D3054" s="92">
        <v>0.54</v>
      </c>
      <c r="E3054" s="92">
        <v>0.49</v>
      </c>
      <c r="F3054">
        <v>950</v>
      </c>
      <c r="G3054">
        <v>1050</v>
      </c>
      <c r="H3054" t="s">
        <v>4930</v>
      </c>
      <c r="I3054">
        <v>0</v>
      </c>
      <c r="J3054" t="s">
        <v>97</v>
      </c>
      <c r="K3054">
        <v>0</v>
      </c>
      <c r="L3054">
        <v>0</v>
      </c>
      <c r="M3054" t="s">
        <v>11</v>
      </c>
    </row>
    <row r="3055" spans="1:13">
      <c r="A3055" s="93">
        <v>233295</v>
      </c>
      <c r="B3055" t="s">
        <v>3577</v>
      </c>
      <c r="C3055" t="s">
        <v>4920</v>
      </c>
      <c r="D3055" s="92">
        <v>0.68</v>
      </c>
      <c r="E3055" s="92">
        <v>0.57</v>
      </c>
      <c r="F3055" t="s">
        <v>446</v>
      </c>
      <c r="G3055" t="s">
        <v>446</v>
      </c>
      <c r="H3055" t="s">
        <v>4930</v>
      </c>
      <c r="I3055">
        <v>0</v>
      </c>
      <c r="J3055" t="s">
        <v>97</v>
      </c>
      <c r="K3055">
        <v>0</v>
      </c>
      <c r="L3055">
        <v>0</v>
      </c>
      <c r="M3055" t="s">
        <v>11</v>
      </c>
    </row>
    <row r="3056" spans="1:13">
      <c r="A3056" s="93">
        <v>233301</v>
      </c>
      <c r="B3056" t="s">
        <v>3578</v>
      </c>
      <c r="C3056" t="s">
        <v>4916</v>
      </c>
      <c r="D3056" s="92">
        <v>0.54</v>
      </c>
      <c r="E3056" s="92">
        <v>0.49</v>
      </c>
      <c r="F3056">
        <v>910</v>
      </c>
      <c r="G3056">
        <v>1025</v>
      </c>
      <c r="H3056" t="s">
        <v>4930</v>
      </c>
      <c r="I3056">
        <v>0</v>
      </c>
      <c r="J3056" t="s">
        <v>97</v>
      </c>
      <c r="K3056">
        <v>0</v>
      </c>
      <c r="L3056">
        <v>0</v>
      </c>
      <c r="M3056" t="s">
        <v>11</v>
      </c>
    </row>
    <row r="3057" spans="1:13">
      <c r="A3057" s="93">
        <v>233310</v>
      </c>
      <c r="B3057" t="s">
        <v>3579</v>
      </c>
      <c r="C3057" t="s">
        <v>4919</v>
      </c>
      <c r="D3057" s="92">
        <v>0.37</v>
      </c>
      <c r="E3057" s="92">
        <v>0.22</v>
      </c>
      <c r="F3057" t="s">
        <v>446</v>
      </c>
      <c r="G3057" t="s">
        <v>446</v>
      </c>
      <c r="H3057" t="s">
        <v>4932</v>
      </c>
      <c r="I3057">
        <v>0</v>
      </c>
      <c r="J3057" t="s">
        <v>97</v>
      </c>
      <c r="K3057">
        <v>0</v>
      </c>
      <c r="L3057">
        <v>0</v>
      </c>
      <c r="M3057" t="s">
        <v>11</v>
      </c>
    </row>
    <row r="3058" spans="1:13">
      <c r="A3058" s="93">
        <v>233329</v>
      </c>
      <c r="B3058" t="s">
        <v>3580</v>
      </c>
      <c r="C3058" t="s">
        <v>4919</v>
      </c>
      <c r="D3058" s="92" t="s">
        <v>446</v>
      </c>
      <c r="E3058" s="92" t="s">
        <v>446</v>
      </c>
      <c r="F3058" t="s">
        <v>446</v>
      </c>
      <c r="G3058" t="s">
        <v>446</v>
      </c>
      <c r="H3058" t="s">
        <v>4930</v>
      </c>
      <c r="I3058">
        <v>0</v>
      </c>
      <c r="J3058" t="s">
        <v>97</v>
      </c>
      <c r="K3058">
        <v>0</v>
      </c>
      <c r="L3058">
        <v>0</v>
      </c>
      <c r="M3058" t="s">
        <v>11</v>
      </c>
    </row>
    <row r="3059" spans="1:13">
      <c r="A3059" s="93">
        <v>233338</v>
      </c>
      <c r="B3059" t="s">
        <v>3581</v>
      </c>
      <c r="C3059" t="s">
        <v>4925</v>
      </c>
      <c r="D3059" s="92">
        <v>0.46</v>
      </c>
      <c r="E3059" s="92">
        <v>0.36</v>
      </c>
      <c r="F3059" t="s">
        <v>446</v>
      </c>
      <c r="G3059" t="s">
        <v>446</v>
      </c>
      <c r="H3059" t="s">
        <v>4932</v>
      </c>
      <c r="I3059">
        <v>0</v>
      </c>
      <c r="J3059" t="s">
        <v>97</v>
      </c>
      <c r="K3059">
        <v>0</v>
      </c>
      <c r="L3059">
        <v>0</v>
      </c>
      <c r="M3059" t="s">
        <v>11</v>
      </c>
    </row>
    <row r="3060" spans="1:13">
      <c r="A3060" s="93">
        <v>233356</v>
      </c>
      <c r="B3060" t="s">
        <v>3582</v>
      </c>
      <c r="C3060" t="s">
        <v>4924</v>
      </c>
      <c r="D3060" s="92">
        <v>0.67</v>
      </c>
      <c r="E3060" s="92" t="s">
        <v>446</v>
      </c>
      <c r="F3060" t="s">
        <v>446</v>
      </c>
      <c r="G3060" t="s">
        <v>446</v>
      </c>
      <c r="H3060" t="s">
        <v>4932</v>
      </c>
      <c r="I3060">
        <v>0</v>
      </c>
      <c r="J3060" t="s">
        <v>97</v>
      </c>
      <c r="K3060">
        <v>0</v>
      </c>
      <c r="L3060">
        <v>0</v>
      </c>
      <c r="M3060" t="s">
        <v>11</v>
      </c>
    </row>
    <row r="3061" spans="1:13">
      <c r="A3061" s="93">
        <v>233408</v>
      </c>
      <c r="B3061" t="s">
        <v>3583</v>
      </c>
      <c r="C3061" t="s">
        <v>4925</v>
      </c>
      <c r="D3061" s="92">
        <v>0.5</v>
      </c>
      <c r="E3061" s="92" t="s">
        <v>446</v>
      </c>
      <c r="F3061" t="s">
        <v>446</v>
      </c>
      <c r="G3061" t="s">
        <v>446</v>
      </c>
      <c r="H3061" t="s">
        <v>4930</v>
      </c>
      <c r="I3061">
        <v>0</v>
      </c>
      <c r="J3061" t="s">
        <v>97</v>
      </c>
      <c r="K3061">
        <v>0</v>
      </c>
      <c r="L3061">
        <v>0</v>
      </c>
      <c r="M3061" t="s">
        <v>11</v>
      </c>
    </row>
    <row r="3062" spans="1:13">
      <c r="A3062" s="93">
        <v>233426</v>
      </c>
      <c r="B3062" t="s">
        <v>3584</v>
      </c>
      <c r="C3062" t="s">
        <v>4916</v>
      </c>
      <c r="D3062" s="92">
        <v>0.7</v>
      </c>
      <c r="E3062" s="92">
        <v>0.6</v>
      </c>
      <c r="F3062">
        <v>1080</v>
      </c>
      <c r="G3062">
        <v>1155</v>
      </c>
      <c r="H3062" t="s">
        <v>4930</v>
      </c>
      <c r="I3062">
        <v>0</v>
      </c>
      <c r="J3062" t="s">
        <v>97</v>
      </c>
      <c r="K3062">
        <v>0</v>
      </c>
      <c r="L3062">
        <v>0</v>
      </c>
      <c r="M3062" t="s">
        <v>11</v>
      </c>
    </row>
    <row r="3063" spans="1:13">
      <c r="A3063" s="93">
        <v>233480</v>
      </c>
      <c r="B3063" t="s">
        <v>3585</v>
      </c>
      <c r="C3063" t="s">
        <v>4919</v>
      </c>
      <c r="D3063" s="92" t="s">
        <v>446</v>
      </c>
      <c r="E3063" s="92" t="s">
        <v>446</v>
      </c>
      <c r="F3063" t="s">
        <v>446</v>
      </c>
      <c r="G3063" t="s">
        <v>446</v>
      </c>
      <c r="H3063" t="s">
        <v>4932</v>
      </c>
      <c r="I3063">
        <v>0</v>
      </c>
      <c r="J3063" t="s">
        <v>97</v>
      </c>
      <c r="K3063">
        <v>0</v>
      </c>
      <c r="L3063">
        <v>0</v>
      </c>
      <c r="M3063" t="s">
        <v>11</v>
      </c>
    </row>
    <row r="3064" spans="1:13">
      <c r="A3064" s="93">
        <v>233541</v>
      </c>
      <c r="B3064" t="s">
        <v>3586</v>
      </c>
      <c r="C3064" t="s">
        <v>4920</v>
      </c>
      <c r="D3064" s="92">
        <v>0.61</v>
      </c>
      <c r="E3064" s="92">
        <v>0.51</v>
      </c>
      <c r="F3064" t="s">
        <v>446</v>
      </c>
      <c r="G3064" t="s">
        <v>446</v>
      </c>
      <c r="H3064" t="s">
        <v>4930</v>
      </c>
      <c r="I3064">
        <v>0</v>
      </c>
      <c r="J3064" t="s">
        <v>97</v>
      </c>
      <c r="K3064">
        <v>0</v>
      </c>
      <c r="L3064">
        <v>0</v>
      </c>
      <c r="M3064" t="s">
        <v>11</v>
      </c>
    </row>
    <row r="3065" spans="1:13">
      <c r="A3065" s="93">
        <v>233602</v>
      </c>
      <c r="B3065" t="s">
        <v>3587</v>
      </c>
      <c r="C3065" t="s">
        <v>4923</v>
      </c>
      <c r="D3065" s="92">
        <v>0.58</v>
      </c>
      <c r="E3065" s="92">
        <v>0.67</v>
      </c>
      <c r="F3065" t="s">
        <v>446</v>
      </c>
      <c r="G3065" t="s">
        <v>446</v>
      </c>
      <c r="H3065" t="s">
        <v>4931</v>
      </c>
      <c r="I3065">
        <v>0</v>
      </c>
      <c r="J3065" t="s">
        <v>97</v>
      </c>
      <c r="K3065">
        <v>0</v>
      </c>
      <c r="L3065">
        <v>0</v>
      </c>
      <c r="M3065" t="s">
        <v>11</v>
      </c>
    </row>
    <row r="3066" spans="1:13">
      <c r="A3066" s="93">
        <v>233611</v>
      </c>
      <c r="B3066" t="s">
        <v>3588</v>
      </c>
      <c r="C3066" t="s">
        <v>4923</v>
      </c>
      <c r="D3066" s="92">
        <v>0.41</v>
      </c>
      <c r="E3066" s="92">
        <v>0.29</v>
      </c>
      <c r="F3066">
        <v>930</v>
      </c>
      <c r="G3066">
        <v>1085</v>
      </c>
      <c r="H3066" t="s">
        <v>4930</v>
      </c>
      <c r="I3066">
        <v>0</v>
      </c>
      <c r="J3066" t="s">
        <v>97</v>
      </c>
      <c r="K3066">
        <v>0</v>
      </c>
      <c r="L3066">
        <v>0</v>
      </c>
      <c r="M3066" t="s">
        <v>11</v>
      </c>
    </row>
    <row r="3067" spans="1:13">
      <c r="A3067" s="93">
        <v>233639</v>
      </c>
      <c r="B3067" t="s">
        <v>3589</v>
      </c>
      <c r="C3067" t="s">
        <v>4919</v>
      </c>
      <c r="D3067" s="92">
        <v>0.44</v>
      </c>
      <c r="E3067" s="92">
        <v>0.35</v>
      </c>
      <c r="F3067" t="s">
        <v>446</v>
      </c>
      <c r="G3067" t="s">
        <v>446</v>
      </c>
      <c r="H3067" t="s">
        <v>4932</v>
      </c>
      <c r="I3067">
        <v>0</v>
      </c>
      <c r="J3067" t="s">
        <v>97</v>
      </c>
      <c r="K3067">
        <v>0</v>
      </c>
      <c r="L3067">
        <v>0</v>
      </c>
      <c r="M3067" t="s">
        <v>11</v>
      </c>
    </row>
    <row r="3068" spans="1:13">
      <c r="A3068" s="93">
        <v>233648</v>
      </c>
      <c r="B3068" t="s">
        <v>3590</v>
      </c>
      <c r="C3068" t="s">
        <v>4919</v>
      </c>
      <c r="D3068" s="92">
        <v>0.38</v>
      </c>
      <c r="E3068" s="92">
        <v>0.25</v>
      </c>
      <c r="F3068" t="s">
        <v>446</v>
      </c>
      <c r="G3068" t="s">
        <v>446</v>
      </c>
      <c r="H3068" t="s">
        <v>4932</v>
      </c>
      <c r="I3068">
        <v>0</v>
      </c>
      <c r="J3068" t="s">
        <v>97</v>
      </c>
      <c r="K3068">
        <v>0</v>
      </c>
      <c r="L3068">
        <v>0</v>
      </c>
      <c r="M3068" t="s">
        <v>11</v>
      </c>
    </row>
    <row r="3069" spans="1:13">
      <c r="A3069" s="93">
        <v>233684</v>
      </c>
      <c r="B3069" t="s">
        <v>3591</v>
      </c>
      <c r="C3069" t="s">
        <v>4923</v>
      </c>
      <c r="D3069" s="92">
        <v>0.27</v>
      </c>
      <c r="E3069" s="92">
        <v>0.19</v>
      </c>
      <c r="F3069" t="s">
        <v>446</v>
      </c>
      <c r="G3069" t="s">
        <v>446</v>
      </c>
      <c r="H3069" t="s">
        <v>4930</v>
      </c>
      <c r="I3069">
        <v>0</v>
      </c>
      <c r="J3069" t="s">
        <v>97</v>
      </c>
      <c r="K3069">
        <v>0</v>
      </c>
      <c r="L3069">
        <v>0</v>
      </c>
      <c r="M3069" t="s">
        <v>11</v>
      </c>
    </row>
    <row r="3070" spans="1:13">
      <c r="A3070" s="93">
        <v>233718</v>
      </c>
      <c r="B3070" t="s">
        <v>3592</v>
      </c>
      <c r="C3070" t="s">
        <v>4926</v>
      </c>
      <c r="D3070" s="92">
        <v>0.33</v>
      </c>
      <c r="E3070" s="92">
        <v>0.21</v>
      </c>
      <c r="F3070">
        <v>1020</v>
      </c>
      <c r="G3070">
        <v>1140</v>
      </c>
      <c r="H3070" t="s">
        <v>4930</v>
      </c>
      <c r="I3070">
        <v>0</v>
      </c>
      <c r="J3070" t="s">
        <v>97</v>
      </c>
      <c r="K3070">
        <v>0</v>
      </c>
      <c r="L3070">
        <v>0</v>
      </c>
      <c r="M3070" t="s">
        <v>11</v>
      </c>
    </row>
    <row r="3071" spans="1:13">
      <c r="A3071" s="93">
        <v>233754</v>
      </c>
      <c r="B3071" t="s">
        <v>3593</v>
      </c>
      <c r="C3071" t="s">
        <v>4919</v>
      </c>
      <c r="D3071" s="92">
        <v>0.35</v>
      </c>
      <c r="E3071" s="92">
        <v>0.28</v>
      </c>
      <c r="F3071" t="s">
        <v>446</v>
      </c>
      <c r="G3071" t="s">
        <v>446</v>
      </c>
      <c r="H3071" t="s">
        <v>4932</v>
      </c>
      <c r="I3071">
        <v>0</v>
      </c>
      <c r="J3071" t="s">
        <v>97</v>
      </c>
      <c r="K3071">
        <v>0</v>
      </c>
      <c r="L3071">
        <v>0</v>
      </c>
      <c r="M3071" t="s">
        <v>11</v>
      </c>
    </row>
    <row r="3072" spans="1:13">
      <c r="A3072" s="93">
        <v>233772</v>
      </c>
      <c r="B3072" t="s">
        <v>3594</v>
      </c>
      <c r="C3072" t="s">
        <v>4919</v>
      </c>
      <c r="D3072" s="92">
        <v>0.34</v>
      </c>
      <c r="E3072" s="92">
        <v>0.26</v>
      </c>
      <c r="F3072" t="s">
        <v>446</v>
      </c>
      <c r="G3072" t="s">
        <v>446</v>
      </c>
      <c r="H3072" t="s">
        <v>4932</v>
      </c>
      <c r="I3072">
        <v>0</v>
      </c>
      <c r="J3072" t="s">
        <v>97</v>
      </c>
      <c r="K3072">
        <v>0</v>
      </c>
      <c r="L3072">
        <v>0</v>
      </c>
      <c r="M3072" t="s">
        <v>11</v>
      </c>
    </row>
    <row r="3073" spans="1:13">
      <c r="A3073" s="93">
        <v>233842</v>
      </c>
      <c r="B3073" t="s">
        <v>3595</v>
      </c>
      <c r="C3073" t="s">
        <v>4924</v>
      </c>
      <c r="D3073" s="92" t="s">
        <v>446</v>
      </c>
      <c r="E3073" s="92" t="s">
        <v>446</v>
      </c>
      <c r="F3073" t="s">
        <v>446</v>
      </c>
      <c r="G3073" t="s">
        <v>446</v>
      </c>
      <c r="H3073" t="s">
        <v>4932</v>
      </c>
      <c r="I3073">
        <v>0</v>
      </c>
      <c r="J3073" t="s">
        <v>97</v>
      </c>
      <c r="K3073">
        <v>0</v>
      </c>
      <c r="L3073">
        <v>0</v>
      </c>
      <c r="M3073" t="s">
        <v>11</v>
      </c>
    </row>
    <row r="3074" spans="1:13">
      <c r="A3074" s="93">
        <v>233897</v>
      </c>
      <c r="B3074" t="s">
        <v>3596</v>
      </c>
      <c r="C3074" t="s">
        <v>4918</v>
      </c>
      <c r="D3074" s="92">
        <v>0.44</v>
      </c>
      <c r="E3074" s="92">
        <v>0.3</v>
      </c>
      <c r="F3074">
        <v>990</v>
      </c>
      <c r="G3074">
        <v>1110</v>
      </c>
      <c r="H3074" t="s">
        <v>4932</v>
      </c>
      <c r="I3074">
        <v>0</v>
      </c>
      <c r="J3074" t="s">
        <v>97</v>
      </c>
      <c r="K3074">
        <v>0</v>
      </c>
      <c r="L3074">
        <v>0</v>
      </c>
      <c r="M3074" t="s">
        <v>11</v>
      </c>
    </row>
    <row r="3075" spans="1:13">
      <c r="A3075" s="93">
        <v>233903</v>
      </c>
      <c r="B3075" t="s">
        <v>3597</v>
      </c>
      <c r="C3075" t="s">
        <v>4919</v>
      </c>
      <c r="D3075" s="92">
        <v>0.44</v>
      </c>
      <c r="E3075" s="92">
        <v>0.35</v>
      </c>
      <c r="F3075" t="s">
        <v>446</v>
      </c>
      <c r="G3075" t="s">
        <v>446</v>
      </c>
      <c r="H3075" t="s">
        <v>4932</v>
      </c>
      <c r="I3075">
        <v>0</v>
      </c>
      <c r="J3075" t="s">
        <v>97</v>
      </c>
      <c r="K3075">
        <v>0</v>
      </c>
      <c r="L3075">
        <v>0</v>
      </c>
      <c r="M3075" t="s">
        <v>11</v>
      </c>
    </row>
    <row r="3076" spans="1:13">
      <c r="A3076" s="93">
        <v>233921</v>
      </c>
      <c r="B3076" t="s">
        <v>3598</v>
      </c>
      <c r="C3076" t="s">
        <v>4917</v>
      </c>
      <c r="D3076" s="92">
        <v>0.87</v>
      </c>
      <c r="E3076" s="92">
        <v>0.82</v>
      </c>
      <c r="F3076">
        <v>1210</v>
      </c>
      <c r="G3076">
        <v>1310</v>
      </c>
      <c r="H3076" t="s">
        <v>4932</v>
      </c>
      <c r="I3076">
        <v>0</v>
      </c>
      <c r="J3076" t="s">
        <v>97</v>
      </c>
      <c r="K3076">
        <v>0</v>
      </c>
      <c r="L3076">
        <v>0</v>
      </c>
      <c r="M3076" t="s">
        <v>11</v>
      </c>
    </row>
    <row r="3077" spans="1:13">
      <c r="A3077" s="93">
        <v>233949</v>
      </c>
      <c r="B3077" t="s">
        <v>3599</v>
      </c>
      <c r="C3077" t="s">
        <v>4919</v>
      </c>
      <c r="D3077" s="92">
        <v>0.4</v>
      </c>
      <c r="E3077" s="92">
        <v>0.3</v>
      </c>
      <c r="F3077" t="s">
        <v>446</v>
      </c>
      <c r="G3077" t="s">
        <v>446</v>
      </c>
      <c r="H3077" t="s">
        <v>4932</v>
      </c>
      <c r="I3077">
        <v>0</v>
      </c>
      <c r="J3077" t="s">
        <v>97</v>
      </c>
      <c r="K3077">
        <v>0</v>
      </c>
      <c r="L3077">
        <v>0</v>
      </c>
      <c r="M3077" t="s">
        <v>11</v>
      </c>
    </row>
    <row r="3078" spans="1:13">
      <c r="A3078" s="93">
        <v>234030</v>
      </c>
      <c r="B3078" t="s">
        <v>3600</v>
      </c>
      <c r="C3078" t="s">
        <v>4920</v>
      </c>
      <c r="D3078" s="92">
        <v>0.68</v>
      </c>
      <c r="E3078" s="92">
        <v>0.63</v>
      </c>
      <c r="F3078">
        <v>1070</v>
      </c>
      <c r="G3078">
        <v>1185</v>
      </c>
      <c r="H3078" t="s">
        <v>4932</v>
      </c>
      <c r="I3078">
        <v>0</v>
      </c>
      <c r="J3078" t="s">
        <v>97</v>
      </c>
      <c r="K3078">
        <v>0</v>
      </c>
      <c r="L3078">
        <v>0</v>
      </c>
      <c r="M3078" t="s">
        <v>11</v>
      </c>
    </row>
    <row r="3079" spans="1:13">
      <c r="A3079" s="93">
        <v>234085</v>
      </c>
      <c r="B3079" t="s">
        <v>3601</v>
      </c>
      <c r="C3079" t="s">
        <v>4920</v>
      </c>
      <c r="D3079" s="92">
        <v>0.8</v>
      </c>
      <c r="E3079" s="92">
        <v>0.71</v>
      </c>
      <c r="F3079">
        <v>1080</v>
      </c>
      <c r="G3079">
        <v>1190</v>
      </c>
      <c r="H3079" t="s">
        <v>4932</v>
      </c>
      <c r="I3079">
        <v>0</v>
      </c>
      <c r="J3079" t="s">
        <v>97</v>
      </c>
      <c r="K3079">
        <v>0</v>
      </c>
      <c r="L3079">
        <v>0</v>
      </c>
      <c r="M3079" t="s">
        <v>11</v>
      </c>
    </row>
    <row r="3080" spans="1:13">
      <c r="A3080" s="93">
        <v>234137</v>
      </c>
      <c r="B3080" t="s">
        <v>3602</v>
      </c>
      <c r="C3080" t="s">
        <v>4923</v>
      </c>
      <c r="D3080" s="92">
        <v>0.15</v>
      </c>
      <c r="E3080" s="92">
        <v>0.16</v>
      </c>
      <c r="F3080" t="s">
        <v>446</v>
      </c>
      <c r="G3080" t="s">
        <v>446</v>
      </c>
      <c r="H3080" t="s">
        <v>4931</v>
      </c>
      <c r="I3080">
        <v>0</v>
      </c>
      <c r="J3080" t="s">
        <v>153</v>
      </c>
      <c r="K3080">
        <v>0</v>
      </c>
      <c r="L3080">
        <v>0</v>
      </c>
      <c r="M3080" t="s">
        <v>11</v>
      </c>
    </row>
    <row r="3081" spans="1:13">
      <c r="A3081" s="93">
        <v>234155</v>
      </c>
      <c r="B3081" t="s">
        <v>3603</v>
      </c>
      <c r="C3081" t="s">
        <v>4920</v>
      </c>
      <c r="D3081" s="92">
        <v>0.48</v>
      </c>
      <c r="E3081" s="92">
        <v>0.64</v>
      </c>
      <c r="F3081">
        <v>830</v>
      </c>
      <c r="G3081">
        <v>935</v>
      </c>
      <c r="H3081" t="s">
        <v>4932</v>
      </c>
      <c r="I3081">
        <v>0</v>
      </c>
      <c r="J3081" t="s">
        <v>153</v>
      </c>
      <c r="K3081">
        <v>0</v>
      </c>
      <c r="L3081">
        <v>0</v>
      </c>
      <c r="M3081" t="s">
        <v>11</v>
      </c>
    </row>
    <row r="3082" spans="1:13">
      <c r="A3082" s="93">
        <v>234164</v>
      </c>
      <c r="B3082" t="s">
        <v>3604</v>
      </c>
      <c r="C3082" t="s">
        <v>4920</v>
      </c>
      <c r="D3082" s="92">
        <v>0.42</v>
      </c>
      <c r="E3082" s="92">
        <v>0.5600000000000001</v>
      </c>
      <c r="F3082">
        <v>760</v>
      </c>
      <c r="G3082">
        <v>825</v>
      </c>
      <c r="H3082" t="s">
        <v>4930</v>
      </c>
      <c r="I3082">
        <v>0</v>
      </c>
      <c r="J3082" t="s">
        <v>153</v>
      </c>
      <c r="K3082">
        <v>0</v>
      </c>
      <c r="L3082">
        <v>0</v>
      </c>
      <c r="M3082" t="s">
        <v>11</v>
      </c>
    </row>
    <row r="3083" spans="1:13">
      <c r="A3083" s="93">
        <v>234173</v>
      </c>
      <c r="B3083" t="s">
        <v>3605</v>
      </c>
      <c r="C3083" t="s">
        <v>4918</v>
      </c>
      <c r="D3083" s="92">
        <v>0.48</v>
      </c>
      <c r="E3083" s="92">
        <v>0.43</v>
      </c>
      <c r="F3083">
        <v>1150</v>
      </c>
      <c r="G3083">
        <v>1265</v>
      </c>
      <c r="H3083" t="s">
        <v>4930</v>
      </c>
      <c r="I3083">
        <v>0</v>
      </c>
      <c r="J3083" t="s">
        <v>97</v>
      </c>
      <c r="K3083">
        <v>0</v>
      </c>
      <c r="L3083">
        <v>0</v>
      </c>
      <c r="M3083" t="s">
        <v>11</v>
      </c>
    </row>
    <row r="3084" spans="1:13">
      <c r="A3084" s="93">
        <v>234377</v>
      </c>
      <c r="B3084" t="s">
        <v>3606</v>
      </c>
      <c r="C3084" t="s">
        <v>4919</v>
      </c>
      <c r="D3084" s="92">
        <v>0.48</v>
      </c>
      <c r="E3084" s="92">
        <v>0.42</v>
      </c>
      <c r="F3084" t="s">
        <v>446</v>
      </c>
      <c r="G3084" t="s">
        <v>446</v>
      </c>
      <c r="H3084" t="s">
        <v>4932</v>
      </c>
      <c r="I3084">
        <v>0</v>
      </c>
      <c r="J3084" t="s">
        <v>97</v>
      </c>
      <c r="K3084">
        <v>0</v>
      </c>
      <c r="L3084">
        <v>0</v>
      </c>
      <c r="M3084" t="s">
        <v>11</v>
      </c>
    </row>
    <row r="3085" spans="1:13">
      <c r="A3085" s="93">
        <v>234669</v>
      </c>
      <c r="B3085" t="s">
        <v>3607</v>
      </c>
      <c r="C3085" t="s">
        <v>4923</v>
      </c>
      <c r="D3085" s="92" t="s">
        <v>446</v>
      </c>
      <c r="E3085" s="92" t="s">
        <v>446</v>
      </c>
      <c r="F3085" t="s">
        <v>446</v>
      </c>
      <c r="G3085" t="s">
        <v>446</v>
      </c>
      <c r="H3085" t="s">
        <v>4932</v>
      </c>
      <c r="I3085">
        <v>0</v>
      </c>
      <c r="J3085" t="s">
        <v>97</v>
      </c>
      <c r="K3085">
        <v>0</v>
      </c>
      <c r="L3085">
        <v>0</v>
      </c>
      <c r="M3085" t="s">
        <v>11</v>
      </c>
    </row>
    <row r="3086" spans="1:13">
      <c r="A3086" s="93">
        <v>234696</v>
      </c>
      <c r="B3086" t="s">
        <v>3608</v>
      </c>
      <c r="C3086" t="s">
        <v>4923</v>
      </c>
      <c r="D3086" s="92" t="s">
        <v>446</v>
      </c>
      <c r="E3086" s="92" t="s">
        <v>446</v>
      </c>
      <c r="F3086" t="s">
        <v>446</v>
      </c>
      <c r="G3086" t="s">
        <v>446</v>
      </c>
      <c r="H3086" t="s">
        <v>4932</v>
      </c>
      <c r="I3086">
        <v>0</v>
      </c>
      <c r="J3086" t="s">
        <v>97</v>
      </c>
      <c r="K3086">
        <v>0</v>
      </c>
      <c r="L3086">
        <v>0</v>
      </c>
      <c r="M3086" t="s">
        <v>11</v>
      </c>
    </row>
    <row r="3087" spans="1:13">
      <c r="A3087" s="93">
        <v>234827</v>
      </c>
      <c r="B3087" t="s">
        <v>3609</v>
      </c>
      <c r="C3087" t="s">
        <v>4920</v>
      </c>
      <c r="D3087" s="92">
        <v>0.54</v>
      </c>
      <c r="E3087" s="92">
        <v>0.45</v>
      </c>
      <c r="F3087" t="s">
        <v>446</v>
      </c>
      <c r="G3087" t="s">
        <v>446</v>
      </c>
      <c r="H3087" t="s">
        <v>4930</v>
      </c>
      <c r="I3087">
        <v>0</v>
      </c>
      <c r="J3087" t="s">
        <v>97</v>
      </c>
      <c r="K3087">
        <v>0</v>
      </c>
      <c r="L3087">
        <v>0</v>
      </c>
      <c r="M3087" t="s">
        <v>11</v>
      </c>
    </row>
    <row r="3088" spans="1:13">
      <c r="A3088" s="93">
        <v>234845</v>
      </c>
      <c r="B3088" t="s">
        <v>3610</v>
      </c>
      <c r="C3088" t="s">
        <v>4923</v>
      </c>
      <c r="D3088" s="92" t="s">
        <v>446</v>
      </c>
      <c r="E3088" s="92" t="s">
        <v>446</v>
      </c>
      <c r="F3088" t="s">
        <v>446</v>
      </c>
      <c r="G3088" t="s">
        <v>446</v>
      </c>
      <c r="H3088" t="s">
        <v>4932</v>
      </c>
      <c r="I3088">
        <v>0</v>
      </c>
      <c r="J3088" t="s">
        <v>97</v>
      </c>
      <c r="K3088">
        <v>0</v>
      </c>
      <c r="L3088">
        <v>0</v>
      </c>
      <c r="M3088" t="s">
        <v>11</v>
      </c>
    </row>
    <row r="3089" spans="1:13">
      <c r="A3089" s="93">
        <v>234915</v>
      </c>
      <c r="B3089" t="s">
        <v>3611</v>
      </c>
      <c r="C3089" t="s">
        <v>4923</v>
      </c>
      <c r="D3089" s="92">
        <v>0.4</v>
      </c>
      <c r="E3089" s="92">
        <v>0</v>
      </c>
      <c r="F3089" t="s">
        <v>446</v>
      </c>
      <c r="G3089" t="s">
        <v>446</v>
      </c>
      <c r="H3089" t="s">
        <v>4932</v>
      </c>
      <c r="I3089">
        <v>0</v>
      </c>
      <c r="J3089" t="s">
        <v>97</v>
      </c>
      <c r="K3089">
        <v>0</v>
      </c>
      <c r="L3089">
        <v>0</v>
      </c>
      <c r="M3089" t="s">
        <v>11</v>
      </c>
    </row>
    <row r="3090" spans="1:13">
      <c r="A3090" s="93">
        <v>234933</v>
      </c>
      <c r="B3090" t="s">
        <v>3612</v>
      </c>
      <c r="C3090" t="s">
        <v>4923</v>
      </c>
      <c r="D3090" s="92" t="s">
        <v>446</v>
      </c>
      <c r="E3090" s="92" t="s">
        <v>446</v>
      </c>
      <c r="F3090" t="s">
        <v>446</v>
      </c>
      <c r="G3090" t="s">
        <v>446</v>
      </c>
      <c r="H3090" t="s">
        <v>4932</v>
      </c>
      <c r="I3090">
        <v>0</v>
      </c>
      <c r="J3090" t="s">
        <v>97</v>
      </c>
      <c r="K3090">
        <v>0</v>
      </c>
      <c r="L3090">
        <v>0</v>
      </c>
      <c r="M3090" t="s">
        <v>11</v>
      </c>
    </row>
    <row r="3091" spans="1:13">
      <c r="A3091" s="93">
        <v>234951</v>
      </c>
      <c r="B3091" t="s">
        <v>3613</v>
      </c>
      <c r="C3091" t="s">
        <v>4923</v>
      </c>
      <c r="D3091" s="92" t="s">
        <v>446</v>
      </c>
      <c r="E3091" s="92" t="s">
        <v>446</v>
      </c>
      <c r="F3091" t="s">
        <v>446</v>
      </c>
      <c r="G3091" t="s">
        <v>446</v>
      </c>
      <c r="H3091" t="s">
        <v>4932</v>
      </c>
      <c r="I3091">
        <v>0</v>
      </c>
      <c r="J3091" t="s">
        <v>97</v>
      </c>
      <c r="K3091">
        <v>0</v>
      </c>
      <c r="L3091">
        <v>0</v>
      </c>
      <c r="M3091" t="s">
        <v>11</v>
      </c>
    </row>
    <row r="3092" spans="1:13">
      <c r="A3092" s="93">
        <v>234979</v>
      </c>
      <c r="B3092" t="s">
        <v>3614</v>
      </c>
      <c r="C3092" t="s">
        <v>4923</v>
      </c>
      <c r="D3092" s="92" t="s">
        <v>446</v>
      </c>
      <c r="E3092" s="92" t="s">
        <v>446</v>
      </c>
      <c r="F3092" t="s">
        <v>446</v>
      </c>
      <c r="G3092" t="s">
        <v>446</v>
      </c>
      <c r="H3092" t="s">
        <v>4932</v>
      </c>
      <c r="I3092">
        <v>0</v>
      </c>
      <c r="J3092" t="s">
        <v>97</v>
      </c>
      <c r="K3092">
        <v>0</v>
      </c>
      <c r="L3092">
        <v>0</v>
      </c>
      <c r="M3092" t="s">
        <v>11</v>
      </c>
    </row>
    <row r="3093" spans="1:13">
      <c r="A3093" s="93">
        <v>235024</v>
      </c>
      <c r="B3093" t="s">
        <v>3615</v>
      </c>
      <c r="C3093" t="s">
        <v>4926</v>
      </c>
      <c r="D3093" s="92">
        <v>0.52</v>
      </c>
      <c r="E3093" s="92">
        <v>0.43</v>
      </c>
      <c r="F3093" t="s">
        <v>446</v>
      </c>
      <c r="G3093" t="s">
        <v>446</v>
      </c>
      <c r="H3093" t="s">
        <v>4930</v>
      </c>
      <c r="I3093">
        <v>0</v>
      </c>
      <c r="J3093" t="s">
        <v>97</v>
      </c>
      <c r="K3093">
        <v>0</v>
      </c>
      <c r="L3093">
        <v>0</v>
      </c>
      <c r="M3093" t="s">
        <v>11</v>
      </c>
    </row>
    <row r="3094" spans="1:13">
      <c r="A3094" s="93">
        <v>235097</v>
      </c>
      <c r="B3094" t="s">
        <v>3616</v>
      </c>
      <c r="C3094" t="s">
        <v>4918</v>
      </c>
      <c r="D3094" s="92">
        <v>0.5</v>
      </c>
      <c r="E3094" s="92">
        <v>0.43</v>
      </c>
      <c r="F3094" t="s">
        <v>446</v>
      </c>
      <c r="G3094" t="s">
        <v>446</v>
      </c>
      <c r="H3094" t="s">
        <v>4932</v>
      </c>
      <c r="I3094">
        <v>0</v>
      </c>
      <c r="J3094" t="s">
        <v>97</v>
      </c>
      <c r="K3094">
        <v>0</v>
      </c>
      <c r="L3094">
        <v>0</v>
      </c>
      <c r="M3094" t="s">
        <v>11</v>
      </c>
    </row>
    <row r="3095" spans="1:13">
      <c r="A3095" s="93">
        <v>235103</v>
      </c>
      <c r="B3095" t="s">
        <v>3617</v>
      </c>
      <c r="C3095" t="s">
        <v>4923</v>
      </c>
      <c r="D3095" s="92" t="s">
        <v>446</v>
      </c>
      <c r="E3095" s="92" t="s">
        <v>446</v>
      </c>
      <c r="F3095" t="s">
        <v>446</v>
      </c>
      <c r="G3095" t="s">
        <v>446</v>
      </c>
      <c r="H3095" t="s">
        <v>4932</v>
      </c>
      <c r="I3095">
        <v>0</v>
      </c>
      <c r="J3095" t="s">
        <v>97</v>
      </c>
      <c r="K3095">
        <v>0</v>
      </c>
      <c r="L3095">
        <v>0</v>
      </c>
      <c r="M3095" t="s">
        <v>11</v>
      </c>
    </row>
    <row r="3096" spans="1:13">
      <c r="A3096" s="93">
        <v>235149</v>
      </c>
      <c r="B3096" t="s">
        <v>3618</v>
      </c>
      <c r="C3096" t="s">
        <v>4919</v>
      </c>
      <c r="D3096" s="92">
        <v>0.45</v>
      </c>
      <c r="E3096" s="92">
        <v>0.32</v>
      </c>
      <c r="F3096" t="s">
        <v>446</v>
      </c>
      <c r="G3096" t="s">
        <v>446</v>
      </c>
      <c r="H3096" t="s">
        <v>4932</v>
      </c>
      <c r="I3096">
        <v>0</v>
      </c>
      <c r="J3096" t="s">
        <v>97</v>
      </c>
      <c r="K3096">
        <v>0</v>
      </c>
      <c r="L3096">
        <v>0</v>
      </c>
      <c r="M3096" t="s">
        <v>11</v>
      </c>
    </row>
    <row r="3097" spans="1:13">
      <c r="A3097" s="93">
        <v>235167</v>
      </c>
      <c r="B3097" t="s">
        <v>3619</v>
      </c>
      <c r="C3097" t="s">
        <v>4920</v>
      </c>
      <c r="D3097" s="92">
        <v>0.46</v>
      </c>
      <c r="E3097" s="92">
        <v>0.43</v>
      </c>
      <c r="F3097">
        <v>1000</v>
      </c>
      <c r="G3097">
        <v>1100</v>
      </c>
      <c r="H3097" t="s">
        <v>4932</v>
      </c>
      <c r="I3097">
        <v>0</v>
      </c>
      <c r="J3097" t="s">
        <v>97</v>
      </c>
      <c r="K3097">
        <v>0</v>
      </c>
      <c r="L3097">
        <v>0</v>
      </c>
      <c r="M3097" t="s">
        <v>11</v>
      </c>
    </row>
    <row r="3098" spans="1:13">
      <c r="A3098" s="93">
        <v>235316</v>
      </c>
      <c r="B3098" t="s">
        <v>3620</v>
      </c>
      <c r="C3098" t="s">
        <v>4917</v>
      </c>
      <c r="D3098" s="92">
        <v>0.85</v>
      </c>
      <c r="E3098" s="92">
        <v>0.82</v>
      </c>
      <c r="F3098">
        <v>1210</v>
      </c>
      <c r="G3098">
        <v>1295</v>
      </c>
      <c r="H3098" t="s">
        <v>4930</v>
      </c>
      <c r="I3098">
        <v>0</v>
      </c>
      <c r="J3098" t="s">
        <v>97</v>
      </c>
      <c r="K3098">
        <v>0</v>
      </c>
      <c r="L3098">
        <v>0</v>
      </c>
      <c r="M3098" t="s">
        <v>11</v>
      </c>
    </row>
    <row r="3099" spans="1:13">
      <c r="A3099" s="93">
        <v>235334</v>
      </c>
      <c r="B3099" t="s">
        <v>3621</v>
      </c>
      <c r="C3099" t="s">
        <v>4923</v>
      </c>
      <c r="D3099" s="92" t="s">
        <v>446</v>
      </c>
      <c r="E3099" s="92" t="s">
        <v>446</v>
      </c>
      <c r="F3099" t="s">
        <v>446</v>
      </c>
      <c r="G3099" t="s">
        <v>446</v>
      </c>
      <c r="H3099" t="s">
        <v>4932</v>
      </c>
      <c r="I3099">
        <v>0</v>
      </c>
      <c r="J3099" t="s">
        <v>97</v>
      </c>
      <c r="K3099">
        <v>0</v>
      </c>
      <c r="L3099">
        <v>0</v>
      </c>
      <c r="M3099" t="s">
        <v>11</v>
      </c>
    </row>
    <row r="3100" spans="1:13">
      <c r="A3100" s="93">
        <v>235343</v>
      </c>
      <c r="B3100" t="s">
        <v>3622</v>
      </c>
      <c r="C3100" t="s">
        <v>4923</v>
      </c>
      <c r="D3100" s="92">
        <v>0.25</v>
      </c>
      <c r="E3100" s="92">
        <v>0.25</v>
      </c>
      <c r="F3100" t="s">
        <v>446</v>
      </c>
      <c r="G3100" t="s">
        <v>446</v>
      </c>
      <c r="H3100" t="s">
        <v>4932</v>
      </c>
      <c r="I3100">
        <v>0</v>
      </c>
      <c r="J3100" t="s">
        <v>97</v>
      </c>
      <c r="K3100">
        <v>0</v>
      </c>
      <c r="L3100">
        <v>0</v>
      </c>
      <c r="M3100" t="s">
        <v>11</v>
      </c>
    </row>
    <row r="3101" spans="1:13">
      <c r="A3101" s="93">
        <v>235422</v>
      </c>
      <c r="B3101" t="s">
        <v>3623</v>
      </c>
      <c r="C3101" t="s">
        <v>4923</v>
      </c>
      <c r="D3101" s="92">
        <v>0.46</v>
      </c>
      <c r="E3101" s="92">
        <v>0.5</v>
      </c>
      <c r="F3101" t="s">
        <v>446</v>
      </c>
      <c r="G3101" t="s">
        <v>446</v>
      </c>
      <c r="H3101" t="s">
        <v>4931</v>
      </c>
      <c r="I3101">
        <v>0</v>
      </c>
      <c r="J3101" t="s">
        <v>97</v>
      </c>
      <c r="K3101">
        <v>0</v>
      </c>
      <c r="L3101">
        <v>0</v>
      </c>
      <c r="M3101" t="s">
        <v>11</v>
      </c>
    </row>
    <row r="3102" spans="1:13">
      <c r="A3102" s="93">
        <v>235431</v>
      </c>
      <c r="B3102" t="s">
        <v>3624</v>
      </c>
      <c r="C3102" t="s">
        <v>4923</v>
      </c>
      <c r="D3102" s="92" t="s">
        <v>446</v>
      </c>
      <c r="E3102" s="92" t="s">
        <v>446</v>
      </c>
      <c r="F3102" t="s">
        <v>446</v>
      </c>
      <c r="G3102" t="s">
        <v>446</v>
      </c>
      <c r="H3102" t="s">
        <v>4932</v>
      </c>
      <c r="I3102">
        <v>0</v>
      </c>
      <c r="J3102" t="s">
        <v>97</v>
      </c>
      <c r="K3102">
        <v>0</v>
      </c>
      <c r="L3102">
        <v>0</v>
      </c>
      <c r="M3102" t="s">
        <v>11</v>
      </c>
    </row>
    <row r="3103" spans="1:13">
      <c r="A3103" s="93">
        <v>235547</v>
      </c>
      <c r="B3103" t="s">
        <v>3625</v>
      </c>
      <c r="C3103" t="s">
        <v>4924</v>
      </c>
      <c r="D3103" s="92" t="s">
        <v>446</v>
      </c>
      <c r="E3103" s="92" t="s">
        <v>446</v>
      </c>
      <c r="F3103" t="s">
        <v>446</v>
      </c>
      <c r="G3103" t="s">
        <v>446</v>
      </c>
      <c r="H3103" t="s">
        <v>4932</v>
      </c>
      <c r="I3103">
        <v>0</v>
      </c>
      <c r="J3103" t="s">
        <v>97</v>
      </c>
      <c r="K3103">
        <v>0</v>
      </c>
      <c r="L3103">
        <v>0</v>
      </c>
      <c r="M3103" t="s">
        <v>11</v>
      </c>
    </row>
    <row r="3104" spans="1:13">
      <c r="A3104" s="93">
        <v>235671</v>
      </c>
      <c r="B3104" t="s">
        <v>3626</v>
      </c>
      <c r="C3104" t="s">
        <v>4919</v>
      </c>
      <c r="D3104" s="92">
        <v>0.47</v>
      </c>
      <c r="E3104" s="92">
        <v>0.44</v>
      </c>
      <c r="F3104" t="s">
        <v>446</v>
      </c>
      <c r="G3104" t="s">
        <v>446</v>
      </c>
      <c r="H3104" t="s">
        <v>4932</v>
      </c>
      <c r="I3104">
        <v>0</v>
      </c>
      <c r="J3104" t="s">
        <v>97</v>
      </c>
      <c r="K3104">
        <v>0</v>
      </c>
      <c r="L3104">
        <v>0</v>
      </c>
      <c r="M3104" t="s">
        <v>11</v>
      </c>
    </row>
    <row r="3105" spans="1:13">
      <c r="A3105" s="93">
        <v>235699</v>
      </c>
      <c r="B3105" t="s">
        <v>3627</v>
      </c>
      <c r="C3105" t="s">
        <v>4923</v>
      </c>
      <c r="D3105" s="92" t="s">
        <v>446</v>
      </c>
      <c r="E3105" s="92" t="s">
        <v>446</v>
      </c>
      <c r="F3105" t="s">
        <v>446</v>
      </c>
      <c r="G3105" t="s">
        <v>446</v>
      </c>
      <c r="H3105" t="s">
        <v>4932</v>
      </c>
      <c r="I3105">
        <v>0</v>
      </c>
      <c r="J3105" t="s">
        <v>97</v>
      </c>
      <c r="K3105">
        <v>0</v>
      </c>
      <c r="L3105">
        <v>0</v>
      </c>
      <c r="M3105" t="s">
        <v>11</v>
      </c>
    </row>
    <row r="3106" spans="1:13">
      <c r="A3106" s="93">
        <v>235750</v>
      </c>
      <c r="B3106" t="s">
        <v>3628</v>
      </c>
      <c r="C3106" t="s">
        <v>4923</v>
      </c>
      <c r="D3106" s="92" t="s">
        <v>446</v>
      </c>
      <c r="E3106" s="92" t="s">
        <v>446</v>
      </c>
      <c r="F3106" t="s">
        <v>446</v>
      </c>
      <c r="G3106" t="s">
        <v>446</v>
      </c>
      <c r="H3106" t="s">
        <v>4932</v>
      </c>
      <c r="I3106">
        <v>0</v>
      </c>
      <c r="J3106" t="s">
        <v>97</v>
      </c>
      <c r="K3106">
        <v>0</v>
      </c>
      <c r="L3106">
        <v>0</v>
      </c>
      <c r="M3106" t="s">
        <v>11</v>
      </c>
    </row>
    <row r="3107" spans="1:13">
      <c r="A3107" s="93">
        <v>236072</v>
      </c>
      <c r="B3107" t="s">
        <v>3629</v>
      </c>
      <c r="C3107" t="s">
        <v>4923</v>
      </c>
      <c r="D3107" s="92" t="s">
        <v>446</v>
      </c>
      <c r="E3107" s="92" t="s">
        <v>446</v>
      </c>
      <c r="F3107" t="s">
        <v>446</v>
      </c>
      <c r="G3107" t="s">
        <v>446</v>
      </c>
      <c r="H3107" t="s">
        <v>4932</v>
      </c>
      <c r="I3107">
        <v>0</v>
      </c>
      <c r="J3107" t="s">
        <v>97</v>
      </c>
      <c r="K3107">
        <v>0</v>
      </c>
      <c r="L3107">
        <v>0</v>
      </c>
      <c r="M3107" t="s">
        <v>11</v>
      </c>
    </row>
    <row r="3108" spans="1:13">
      <c r="A3108" s="93">
        <v>236133</v>
      </c>
      <c r="B3108" t="s">
        <v>3630</v>
      </c>
      <c r="C3108" t="s">
        <v>4916</v>
      </c>
      <c r="D3108" s="92">
        <v>0.58</v>
      </c>
      <c r="E3108" s="92">
        <v>0.51</v>
      </c>
      <c r="F3108">
        <v>980</v>
      </c>
      <c r="G3108">
        <v>1095</v>
      </c>
      <c r="H3108" t="s">
        <v>4930</v>
      </c>
      <c r="I3108">
        <v>0</v>
      </c>
      <c r="J3108" t="s">
        <v>97</v>
      </c>
      <c r="K3108">
        <v>0</v>
      </c>
      <c r="L3108">
        <v>0</v>
      </c>
      <c r="M3108" t="s">
        <v>11</v>
      </c>
    </row>
    <row r="3109" spans="1:13">
      <c r="A3109" s="93">
        <v>236188</v>
      </c>
      <c r="B3109" t="s">
        <v>3631</v>
      </c>
      <c r="C3109" t="s">
        <v>4923</v>
      </c>
      <c r="D3109" s="92" t="s">
        <v>446</v>
      </c>
      <c r="E3109" s="92" t="s">
        <v>446</v>
      </c>
      <c r="F3109" t="s">
        <v>446</v>
      </c>
      <c r="G3109" t="s">
        <v>446</v>
      </c>
      <c r="H3109" t="s">
        <v>4932</v>
      </c>
      <c r="I3109">
        <v>0</v>
      </c>
      <c r="J3109" t="s">
        <v>97</v>
      </c>
      <c r="K3109">
        <v>0</v>
      </c>
      <c r="L3109">
        <v>0</v>
      </c>
      <c r="M3109" t="s">
        <v>11</v>
      </c>
    </row>
    <row r="3110" spans="1:13">
      <c r="A3110" s="93">
        <v>236212</v>
      </c>
      <c r="B3110" t="s">
        <v>3632</v>
      </c>
      <c r="C3110" t="s">
        <v>4919</v>
      </c>
      <c r="D3110" s="92">
        <v>0.83</v>
      </c>
      <c r="E3110" s="92">
        <v>0.86</v>
      </c>
      <c r="F3110" t="s">
        <v>446</v>
      </c>
      <c r="G3110" t="s">
        <v>446</v>
      </c>
      <c r="H3110" t="s">
        <v>4931</v>
      </c>
      <c r="I3110">
        <v>0</v>
      </c>
      <c r="J3110" t="s">
        <v>97</v>
      </c>
      <c r="K3110">
        <v>0</v>
      </c>
      <c r="L3110">
        <v>0</v>
      </c>
      <c r="M3110" t="s">
        <v>11</v>
      </c>
    </row>
    <row r="3111" spans="1:13">
      <c r="A3111" s="93">
        <v>236230</v>
      </c>
      <c r="B3111" t="s">
        <v>3633</v>
      </c>
      <c r="C3111" t="s">
        <v>4916</v>
      </c>
      <c r="D3111" s="92">
        <v>0.7</v>
      </c>
      <c r="E3111" s="92">
        <v>0.59</v>
      </c>
      <c r="F3111">
        <v>1150</v>
      </c>
      <c r="G3111">
        <v>1265</v>
      </c>
      <c r="H3111" t="s">
        <v>4930</v>
      </c>
      <c r="I3111">
        <v>0</v>
      </c>
      <c r="J3111" t="s">
        <v>97</v>
      </c>
      <c r="K3111">
        <v>0</v>
      </c>
      <c r="L3111">
        <v>0</v>
      </c>
      <c r="M3111" t="s">
        <v>11</v>
      </c>
    </row>
    <row r="3112" spans="1:13">
      <c r="A3112" s="93">
        <v>236258</v>
      </c>
      <c r="B3112" t="s">
        <v>3634</v>
      </c>
      <c r="C3112" t="s">
        <v>4923</v>
      </c>
      <c r="D3112" s="92" t="s">
        <v>446</v>
      </c>
      <c r="E3112" s="92" t="s">
        <v>446</v>
      </c>
      <c r="F3112" t="s">
        <v>446</v>
      </c>
      <c r="G3112" t="s">
        <v>446</v>
      </c>
      <c r="H3112" t="s">
        <v>4932</v>
      </c>
      <c r="I3112">
        <v>0</v>
      </c>
      <c r="J3112" t="s">
        <v>97</v>
      </c>
      <c r="K3112">
        <v>0</v>
      </c>
      <c r="L3112">
        <v>0</v>
      </c>
      <c r="M3112" t="s">
        <v>11</v>
      </c>
    </row>
    <row r="3113" spans="1:13">
      <c r="A3113" s="93">
        <v>236328</v>
      </c>
      <c r="B3113" t="s">
        <v>3635</v>
      </c>
      <c r="C3113" t="s">
        <v>4916</v>
      </c>
      <c r="D3113" s="92">
        <v>0.76</v>
      </c>
      <c r="E3113" s="92">
        <v>0.73</v>
      </c>
      <c r="F3113">
        <v>1150</v>
      </c>
      <c r="G3113">
        <v>1260</v>
      </c>
      <c r="H3113" t="s">
        <v>4930</v>
      </c>
      <c r="I3113">
        <v>0</v>
      </c>
      <c r="J3113" t="s">
        <v>97</v>
      </c>
      <c r="K3113">
        <v>0</v>
      </c>
      <c r="L3113">
        <v>0</v>
      </c>
      <c r="M3113" t="s">
        <v>11</v>
      </c>
    </row>
    <row r="3114" spans="1:13">
      <c r="A3114" s="93">
        <v>236382</v>
      </c>
      <c r="B3114" t="s">
        <v>3636</v>
      </c>
      <c r="C3114" t="s">
        <v>4923</v>
      </c>
      <c r="D3114" s="92" t="s">
        <v>446</v>
      </c>
      <c r="E3114" s="92" t="s">
        <v>446</v>
      </c>
      <c r="F3114" t="s">
        <v>446</v>
      </c>
      <c r="G3114" t="s">
        <v>446</v>
      </c>
      <c r="H3114" t="s">
        <v>4932</v>
      </c>
      <c r="I3114">
        <v>0</v>
      </c>
      <c r="J3114" t="s">
        <v>97</v>
      </c>
      <c r="K3114">
        <v>0</v>
      </c>
      <c r="L3114">
        <v>0</v>
      </c>
      <c r="M3114" t="s">
        <v>11</v>
      </c>
    </row>
    <row r="3115" spans="1:13">
      <c r="A3115" s="93">
        <v>236452</v>
      </c>
      <c r="B3115" t="s">
        <v>3637</v>
      </c>
      <c r="C3115" t="s">
        <v>4920</v>
      </c>
      <c r="D3115" s="92">
        <v>0.63</v>
      </c>
      <c r="E3115" s="92">
        <v>0.62</v>
      </c>
      <c r="F3115">
        <v>1000</v>
      </c>
      <c r="G3115">
        <v>1110</v>
      </c>
      <c r="H3115" t="s">
        <v>4930</v>
      </c>
      <c r="I3115">
        <v>0</v>
      </c>
      <c r="J3115" t="s">
        <v>97</v>
      </c>
      <c r="K3115">
        <v>0</v>
      </c>
      <c r="L3115">
        <v>0</v>
      </c>
      <c r="M3115" t="s">
        <v>11</v>
      </c>
    </row>
    <row r="3116" spans="1:13">
      <c r="A3116" s="93">
        <v>236513</v>
      </c>
      <c r="B3116" t="s">
        <v>3638</v>
      </c>
      <c r="C3116" t="s">
        <v>4923</v>
      </c>
      <c r="D3116" s="92" t="s">
        <v>446</v>
      </c>
      <c r="E3116" s="92" t="s">
        <v>446</v>
      </c>
      <c r="F3116" t="s">
        <v>446</v>
      </c>
      <c r="G3116" t="s">
        <v>446</v>
      </c>
      <c r="H3116" t="s">
        <v>4932</v>
      </c>
      <c r="I3116">
        <v>0</v>
      </c>
      <c r="J3116" t="s">
        <v>97</v>
      </c>
      <c r="K3116">
        <v>0</v>
      </c>
      <c r="L3116">
        <v>0</v>
      </c>
      <c r="M3116" t="s">
        <v>11</v>
      </c>
    </row>
    <row r="3117" spans="1:13">
      <c r="A3117" s="93">
        <v>236595</v>
      </c>
      <c r="B3117" t="s">
        <v>524</v>
      </c>
      <c r="C3117" t="s">
        <v>4916</v>
      </c>
      <c r="D3117" s="92">
        <v>0.75</v>
      </c>
      <c r="E3117" s="92">
        <v>0.72</v>
      </c>
      <c r="F3117">
        <v>1120</v>
      </c>
      <c r="G3117">
        <v>1225</v>
      </c>
      <c r="H3117" t="s">
        <v>4930</v>
      </c>
      <c r="I3117">
        <v>0</v>
      </c>
      <c r="J3117" t="s">
        <v>97</v>
      </c>
      <c r="K3117">
        <v>0</v>
      </c>
      <c r="L3117">
        <v>0</v>
      </c>
      <c r="M3117" t="s">
        <v>11</v>
      </c>
    </row>
    <row r="3118" spans="1:13">
      <c r="A3118" s="93">
        <v>236610</v>
      </c>
      <c r="B3118" t="s">
        <v>3639</v>
      </c>
      <c r="C3118" t="s">
        <v>4919</v>
      </c>
      <c r="D3118" s="92">
        <v>0.42</v>
      </c>
      <c r="E3118" s="92">
        <v>0.34</v>
      </c>
      <c r="F3118" t="s">
        <v>446</v>
      </c>
      <c r="G3118" t="s">
        <v>446</v>
      </c>
      <c r="H3118" t="s">
        <v>4932</v>
      </c>
      <c r="I3118">
        <v>0</v>
      </c>
      <c r="J3118" t="s">
        <v>97</v>
      </c>
      <c r="K3118">
        <v>0</v>
      </c>
      <c r="L3118">
        <v>0</v>
      </c>
      <c r="M3118" t="s">
        <v>11</v>
      </c>
    </row>
    <row r="3119" spans="1:13">
      <c r="A3119" s="93">
        <v>236656</v>
      </c>
      <c r="B3119" t="s">
        <v>3640</v>
      </c>
      <c r="C3119" t="s">
        <v>4919</v>
      </c>
      <c r="D3119" s="92">
        <v>0.49</v>
      </c>
      <c r="E3119" s="92">
        <v>0.42</v>
      </c>
      <c r="F3119" t="s">
        <v>446</v>
      </c>
      <c r="G3119" t="s">
        <v>446</v>
      </c>
      <c r="H3119" t="s">
        <v>4932</v>
      </c>
      <c r="I3119">
        <v>0</v>
      </c>
      <c r="J3119" t="s">
        <v>97</v>
      </c>
      <c r="K3119">
        <v>0</v>
      </c>
      <c r="L3119">
        <v>0</v>
      </c>
      <c r="M3119" t="s">
        <v>11</v>
      </c>
    </row>
    <row r="3120" spans="1:13">
      <c r="A3120" s="93">
        <v>236692</v>
      </c>
      <c r="B3120" t="s">
        <v>3641</v>
      </c>
      <c r="C3120" t="s">
        <v>4923</v>
      </c>
      <c r="D3120" s="92" t="s">
        <v>446</v>
      </c>
      <c r="E3120" s="92" t="s">
        <v>446</v>
      </c>
      <c r="F3120" t="s">
        <v>446</v>
      </c>
      <c r="G3120" t="s">
        <v>446</v>
      </c>
      <c r="H3120" t="s">
        <v>4932</v>
      </c>
      <c r="I3120">
        <v>0</v>
      </c>
      <c r="J3120" t="s">
        <v>97</v>
      </c>
      <c r="K3120">
        <v>0</v>
      </c>
      <c r="L3120">
        <v>0</v>
      </c>
      <c r="M3120" t="s">
        <v>11</v>
      </c>
    </row>
    <row r="3121" spans="1:13">
      <c r="A3121" s="93">
        <v>236708</v>
      </c>
      <c r="B3121" t="s">
        <v>3642</v>
      </c>
      <c r="C3121" t="s">
        <v>4923</v>
      </c>
      <c r="D3121" s="92">
        <v>0.25</v>
      </c>
      <c r="E3121" s="92">
        <v>0.25</v>
      </c>
      <c r="F3121" t="s">
        <v>446</v>
      </c>
      <c r="G3121" t="s">
        <v>446</v>
      </c>
      <c r="H3121" t="s">
        <v>4932</v>
      </c>
      <c r="I3121">
        <v>0</v>
      </c>
      <c r="J3121" t="s">
        <v>97</v>
      </c>
      <c r="K3121">
        <v>0</v>
      </c>
      <c r="L3121">
        <v>0</v>
      </c>
      <c r="M3121" t="s">
        <v>11</v>
      </c>
    </row>
    <row r="3122" spans="1:13">
      <c r="A3122" s="93">
        <v>236753</v>
      </c>
      <c r="B3122" t="s">
        <v>3643</v>
      </c>
      <c r="C3122" t="s">
        <v>4923</v>
      </c>
      <c r="D3122" s="92" t="s">
        <v>446</v>
      </c>
      <c r="E3122" s="92" t="s">
        <v>446</v>
      </c>
      <c r="F3122" t="s">
        <v>446</v>
      </c>
      <c r="G3122" t="s">
        <v>446</v>
      </c>
      <c r="H3122" t="s">
        <v>4932</v>
      </c>
      <c r="I3122">
        <v>0</v>
      </c>
      <c r="J3122" t="s">
        <v>97</v>
      </c>
      <c r="K3122">
        <v>0</v>
      </c>
      <c r="L3122">
        <v>0</v>
      </c>
      <c r="M3122" t="s">
        <v>11</v>
      </c>
    </row>
    <row r="3123" spans="1:13">
      <c r="A3123" s="93">
        <v>236887</v>
      </c>
      <c r="B3123" t="s">
        <v>3644</v>
      </c>
      <c r="C3123" t="s">
        <v>4923</v>
      </c>
      <c r="D3123" s="92" t="s">
        <v>446</v>
      </c>
      <c r="E3123" s="92" t="s">
        <v>446</v>
      </c>
      <c r="F3123" t="s">
        <v>446</v>
      </c>
      <c r="G3123" t="s">
        <v>446</v>
      </c>
      <c r="H3123" t="s">
        <v>4932</v>
      </c>
      <c r="I3123">
        <v>0</v>
      </c>
      <c r="J3123" t="s">
        <v>97</v>
      </c>
      <c r="K3123">
        <v>0</v>
      </c>
      <c r="L3123">
        <v>0</v>
      </c>
      <c r="M3123" t="s">
        <v>11</v>
      </c>
    </row>
    <row r="3124" spans="1:13">
      <c r="A3124" s="93">
        <v>236896</v>
      </c>
      <c r="B3124" t="s">
        <v>3645</v>
      </c>
      <c r="C3124" t="s">
        <v>4923</v>
      </c>
      <c r="D3124" s="92">
        <v>0.6</v>
      </c>
      <c r="E3124" s="92">
        <v>0.52</v>
      </c>
      <c r="F3124" t="s">
        <v>446</v>
      </c>
      <c r="G3124" t="s">
        <v>446</v>
      </c>
      <c r="H3124" t="s">
        <v>4930</v>
      </c>
      <c r="I3124">
        <v>0</v>
      </c>
      <c r="J3124" t="s">
        <v>97</v>
      </c>
      <c r="K3124">
        <v>0</v>
      </c>
      <c r="L3124">
        <v>0</v>
      </c>
      <c r="M3124" t="s">
        <v>11</v>
      </c>
    </row>
    <row r="3125" spans="1:13">
      <c r="A3125" s="93">
        <v>236939</v>
      </c>
      <c r="B3125" t="s">
        <v>3646</v>
      </c>
      <c r="C3125" t="s">
        <v>4920</v>
      </c>
      <c r="D3125" s="92">
        <v>0.6</v>
      </c>
      <c r="E3125" s="92">
        <v>0.5</v>
      </c>
      <c r="F3125" t="s">
        <v>446</v>
      </c>
      <c r="G3125" t="s">
        <v>446</v>
      </c>
      <c r="H3125" t="s">
        <v>4932</v>
      </c>
      <c r="I3125">
        <v>0</v>
      </c>
      <c r="J3125" t="s">
        <v>97</v>
      </c>
      <c r="K3125">
        <v>0</v>
      </c>
      <c r="L3125">
        <v>0</v>
      </c>
      <c r="M3125" t="s">
        <v>11</v>
      </c>
    </row>
    <row r="3126" spans="1:13">
      <c r="A3126" s="93">
        <v>236948</v>
      </c>
      <c r="B3126" t="s">
        <v>3647</v>
      </c>
      <c r="C3126" t="s">
        <v>4916</v>
      </c>
      <c r="D3126" s="92">
        <v>0.84</v>
      </c>
      <c r="E3126" s="92">
        <v>0.77</v>
      </c>
      <c r="F3126" t="s">
        <v>446</v>
      </c>
      <c r="G3126" t="s">
        <v>446</v>
      </c>
      <c r="H3126" t="s">
        <v>4932</v>
      </c>
      <c r="I3126">
        <v>0</v>
      </c>
      <c r="J3126" t="s">
        <v>97</v>
      </c>
      <c r="K3126">
        <v>0</v>
      </c>
      <c r="L3126">
        <v>0</v>
      </c>
      <c r="M3126" t="s">
        <v>11</v>
      </c>
    </row>
    <row r="3127" spans="1:13">
      <c r="A3127" s="93">
        <v>236975</v>
      </c>
      <c r="B3127" t="s">
        <v>3648</v>
      </c>
      <c r="C3127" t="s">
        <v>4923</v>
      </c>
      <c r="D3127" s="92" t="s">
        <v>446</v>
      </c>
      <c r="E3127" s="92" t="s">
        <v>446</v>
      </c>
      <c r="F3127" t="s">
        <v>446</v>
      </c>
      <c r="G3127" t="s">
        <v>446</v>
      </c>
      <c r="H3127" t="s">
        <v>4932</v>
      </c>
      <c r="I3127">
        <v>0</v>
      </c>
      <c r="J3127" t="s">
        <v>97</v>
      </c>
      <c r="K3127">
        <v>0</v>
      </c>
      <c r="L3127">
        <v>0</v>
      </c>
      <c r="M3127" t="s">
        <v>11</v>
      </c>
    </row>
    <row r="3128" spans="1:13">
      <c r="A3128" s="93">
        <v>237011</v>
      </c>
      <c r="B3128" t="s">
        <v>3649</v>
      </c>
      <c r="C3128" t="s">
        <v>4920</v>
      </c>
      <c r="D3128" s="92">
        <v>0.68</v>
      </c>
      <c r="E3128" s="92">
        <v>0.62</v>
      </c>
      <c r="F3128">
        <v>1090</v>
      </c>
      <c r="G3128">
        <v>1200</v>
      </c>
      <c r="H3128" t="s">
        <v>4932</v>
      </c>
      <c r="I3128">
        <v>0</v>
      </c>
      <c r="J3128" t="s">
        <v>97</v>
      </c>
      <c r="K3128">
        <v>0</v>
      </c>
      <c r="L3128">
        <v>0</v>
      </c>
      <c r="M3128" t="s">
        <v>11</v>
      </c>
    </row>
    <row r="3129" spans="1:13">
      <c r="A3129" s="93">
        <v>237039</v>
      </c>
      <c r="B3129" t="s">
        <v>3650</v>
      </c>
      <c r="C3129" t="s">
        <v>4923</v>
      </c>
      <c r="D3129" s="92" t="s">
        <v>446</v>
      </c>
      <c r="E3129" s="92" t="s">
        <v>446</v>
      </c>
      <c r="F3129" t="s">
        <v>446</v>
      </c>
      <c r="G3129" t="s">
        <v>446</v>
      </c>
      <c r="H3129" t="s">
        <v>4932</v>
      </c>
      <c r="I3129">
        <v>0</v>
      </c>
      <c r="J3129" t="s">
        <v>97</v>
      </c>
      <c r="K3129">
        <v>0</v>
      </c>
      <c r="L3129">
        <v>0</v>
      </c>
      <c r="M3129" t="s">
        <v>11</v>
      </c>
    </row>
    <row r="3130" spans="1:13">
      <c r="A3130" s="93">
        <v>237057</v>
      </c>
      <c r="B3130" t="s">
        <v>3651</v>
      </c>
      <c r="C3130" t="s">
        <v>4922</v>
      </c>
      <c r="D3130" s="92">
        <v>0.88</v>
      </c>
      <c r="E3130" s="92">
        <v>0.83</v>
      </c>
      <c r="F3130">
        <v>1300</v>
      </c>
      <c r="G3130">
        <v>1380</v>
      </c>
      <c r="H3130" t="s">
        <v>4931</v>
      </c>
      <c r="I3130">
        <v>0</v>
      </c>
      <c r="J3130" t="s">
        <v>97</v>
      </c>
      <c r="K3130">
        <v>0</v>
      </c>
      <c r="L3130">
        <v>0</v>
      </c>
      <c r="M3130" t="s">
        <v>11</v>
      </c>
    </row>
    <row r="3131" spans="1:13">
      <c r="A3131" s="93">
        <v>237066</v>
      </c>
      <c r="B3131" t="s">
        <v>3652</v>
      </c>
      <c r="C3131" t="s">
        <v>4916</v>
      </c>
      <c r="D3131" s="92">
        <v>0.76</v>
      </c>
      <c r="E3131" s="92">
        <v>0.67</v>
      </c>
      <c r="F3131">
        <v>1070</v>
      </c>
      <c r="G3131">
        <v>1175</v>
      </c>
      <c r="H3131" t="s">
        <v>4930</v>
      </c>
      <c r="I3131">
        <v>0</v>
      </c>
      <c r="J3131" t="s">
        <v>97</v>
      </c>
      <c r="K3131">
        <v>0</v>
      </c>
      <c r="L3131">
        <v>0</v>
      </c>
      <c r="M3131" t="s">
        <v>11</v>
      </c>
    </row>
    <row r="3132" spans="1:13">
      <c r="A3132" s="93">
        <v>237109</v>
      </c>
      <c r="B3132" t="s">
        <v>3653</v>
      </c>
      <c r="C3132" t="s">
        <v>4923</v>
      </c>
      <c r="D3132" s="92" t="s">
        <v>446</v>
      </c>
      <c r="E3132" s="92" t="s">
        <v>446</v>
      </c>
      <c r="F3132" t="s">
        <v>446</v>
      </c>
      <c r="G3132" t="s">
        <v>446</v>
      </c>
      <c r="H3132" t="s">
        <v>4932</v>
      </c>
      <c r="I3132">
        <v>0</v>
      </c>
      <c r="J3132" t="s">
        <v>97</v>
      </c>
      <c r="K3132">
        <v>0</v>
      </c>
      <c r="L3132">
        <v>0</v>
      </c>
      <c r="M3132" t="s">
        <v>11</v>
      </c>
    </row>
    <row r="3133" spans="1:13">
      <c r="A3133" s="93">
        <v>237118</v>
      </c>
      <c r="B3133" t="s">
        <v>3654</v>
      </c>
      <c r="C3133" t="s">
        <v>4920</v>
      </c>
      <c r="D3133" s="92">
        <v>0.34</v>
      </c>
      <c r="E3133" s="92">
        <v>0.18</v>
      </c>
      <c r="F3133">
        <v>900</v>
      </c>
      <c r="G3133">
        <v>1005</v>
      </c>
      <c r="H3133" t="s">
        <v>4930</v>
      </c>
      <c r="I3133">
        <v>0</v>
      </c>
      <c r="J3133" t="s">
        <v>97</v>
      </c>
      <c r="K3133">
        <v>0</v>
      </c>
      <c r="L3133">
        <v>0</v>
      </c>
      <c r="M3133" t="s">
        <v>11</v>
      </c>
    </row>
    <row r="3134" spans="1:13">
      <c r="A3134" s="93">
        <v>237136</v>
      </c>
      <c r="B3134" t="s">
        <v>3655</v>
      </c>
      <c r="C3134" t="s">
        <v>4918</v>
      </c>
      <c r="D3134" s="92">
        <v>0.59</v>
      </c>
      <c r="E3134" s="92" t="s">
        <v>446</v>
      </c>
      <c r="F3134">
        <v>1040</v>
      </c>
      <c r="G3134">
        <v>1115</v>
      </c>
      <c r="H3134" t="s">
        <v>4931</v>
      </c>
      <c r="I3134">
        <v>0</v>
      </c>
      <c r="J3134" t="s">
        <v>97</v>
      </c>
      <c r="K3134">
        <v>0</v>
      </c>
      <c r="L3134">
        <v>0</v>
      </c>
      <c r="M3134" t="s">
        <v>11</v>
      </c>
    </row>
    <row r="3135" spans="1:13">
      <c r="A3135" s="93">
        <v>237181</v>
      </c>
      <c r="B3135" t="s">
        <v>1869</v>
      </c>
      <c r="C3135" t="s">
        <v>4923</v>
      </c>
      <c r="D3135" s="92">
        <v>0.44</v>
      </c>
      <c r="E3135" s="92">
        <v>0.26</v>
      </c>
      <c r="F3135">
        <v>870</v>
      </c>
      <c r="G3135">
        <v>990</v>
      </c>
      <c r="H3135" t="s">
        <v>4931</v>
      </c>
      <c r="I3135">
        <v>0</v>
      </c>
      <c r="J3135" t="s">
        <v>97</v>
      </c>
      <c r="K3135">
        <v>0</v>
      </c>
      <c r="L3135">
        <v>0</v>
      </c>
      <c r="M3135" t="s">
        <v>11</v>
      </c>
    </row>
    <row r="3136" spans="1:13">
      <c r="A3136" s="93">
        <v>237215</v>
      </c>
      <c r="B3136" t="s">
        <v>3656</v>
      </c>
      <c r="C3136" t="s">
        <v>4918</v>
      </c>
      <c r="D3136" s="92">
        <v>0.31</v>
      </c>
      <c r="E3136" s="92">
        <v>0.23</v>
      </c>
      <c r="F3136">
        <v>880</v>
      </c>
      <c r="G3136">
        <v>995</v>
      </c>
      <c r="H3136" t="s">
        <v>4932</v>
      </c>
      <c r="I3136">
        <v>0</v>
      </c>
      <c r="J3136" t="s">
        <v>153</v>
      </c>
      <c r="K3136">
        <v>0</v>
      </c>
      <c r="L3136">
        <v>0</v>
      </c>
      <c r="M3136" t="s">
        <v>11</v>
      </c>
    </row>
    <row r="3137" spans="1:13">
      <c r="A3137" s="93">
        <v>237303</v>
      </c>
      <c r="B3137" t="s">
        <v>3657</v>
      </c>
      <c r="C3137" t="s">
        <v>4919</v>
      </c>
      <c r="D3137" s="92" t="s">
        <v>446</v>
      </c>
      <c r="E3137" s="92" t="s">
        <v>446</v>
      </c>
      <c r="F3137" t="s">
        <v>446</v>
      </c>
      <c r="G3137" t="s">
        <v>446</v>
      </c>
      <c r="H3137" t="s">
        <v>4927</v>
      </c>
      <c r="I3137">
        <v>1</v>
      </c>
      <c r="J3137" t="s">
        <v>97</v>
      </c>
      <c r="K3137">
        <v>0</v>
      </c>
      <c r="L3137">
        <v>0</v>
      </c>
      <c r="M3137" t="s">
        <v>11</v>
      </c>
    </row>
    <row r="3138" spans="1:13">
      <c r="A3138" s="93">
        <v>237312</v>
      </c>
      <c r="B3138" t="s">
        <v>3658</v>
      </c>
      <c r="C3138" t="s">
        <v>4920</v>
      </c>
      <c r="D3138" s="92">
        <v>0.42</v>
      </c>
      <c r="E3138" s="92">
        <v>0.27</v>
      </c>
      <c r="F3138" t="s">
        <v>446</v>
      </c>
      <c r="G3138" t="s">
        <v>446</v>
      </c>
      <c r="H3138" t="s">
        <v>4930</v>
      </c>
      <c r="I3138">
        <v>0</v>
      </c>
      <c r="J3138" t="s">
        <v>97</v>
      </c>
      <c r="K3138">
        <v>0</v>
      </c>
      <c r="L3138">
        <v>0</v>
      </c>
      <c r="M3138" t="s">
        <v>11</v>
      </c>
    </row>
    <row r="3139" spans="1:13">
      <c r="A3139" s="93">
        <v>237321</v>
      </c>
      <c r="B3139" t="s">
        <v>3659</v>
      </c>
      <c r="C3139" t="s">
        <v>4919</v>
      </c>
      <c r="D3139" s="92" t="s">
        <v>446</v>
      </c>
      <c r="E3139" s="92" t="s">
        <v>446</v>
      </c>
      <c r="F3139" t="s">
        <v>446</v>
      </c>
      <c r="G3139" t="s">
        <v>446</v>
      </c>
      <c r="H3139" t="s">
        <v>4931</v>
      </c>
      <c r="I3139">
        <v>0</v>
      </c>
      <c r="J3139" t="s">
        <v>97</v>
      </c>
      <c r="K3139">
        <v>0</v>
      </c>
      <c r="L3139">
        <v>0</v>
      </c>
      <c r="M3139" t="s">
        <v>11</v>
      </c>
    </row>
    <row r="3140" spans="1:13">
      <c r="A3140" s="93">
        <v>237330</v>
      </c>
      <c r="B3140" t="s">
        <v>3660</v>
      </c>
      <c r="C3140" t="s">
        <v>4920</v>
      </c>
      <c r="D3140" s="92">
        <v>0.4</v>
      </c>
      <c r="E3140" s="92">
        <v>0.21</v>
      </c>
      <c r="F3140">
        <v>890</v>
      </c>
      <c r="G3140">
        <v>1010</v>
      </c>
      <c r="H3140" t="s">
        <v>4932</v>
      </c>
      <c r="I3140">
        <v>0</v>
      </c>
      <c r="J3140" t="s">
        <v>97</v>
      </c>
      <c r="K3140">
        <v>0</v>
      </c>
      <c r="L3140">
        <v>0</v>
      </c>
      <c r="M3140" t="s">
        <v>11</v>
      </c>
    </row>
    <row r="3141" spans="1:13">
      <c r="A3141" s="93">
        <v>237358</v>
      </c>
      <c r="B3141" t="s">
        <v>3661</v>
      </c>
      <c r="C3141" t="s">
        <v>4918</v>
      </c>
      <c r="D3141" s="92">
        <v>0.47</v>
      </c>
      <c r="E3141" s="92">
        <v>0.38</v>
      </c>
      <c r="F3141" t="s">
        <v>446</v>
      </c>
      <c r="G3141" t="s">
        <v>446</v>
      </c>
      <c r="H3141" t="s">
        <v>4930</v>
      </c>
      <c r="I3141">
        <v>0</v>
      </c>
      <c r="J3141" t="s">
        <v>97</v>
      </c>
      <c r="K3141">
        <v>0</v>
      </c>
      <c r="L3141">
        <v>0</v>
      </c>
      <c r="M3141" t="s">
        <v>11</v>
      </c>
    </row>
    <row r="3142" spans="1:13">
      <c r="A3142" s="93">
        <v>237367</v>
      </c>
      <c r="B3142" t="s">
        <v>3662</v>
      </c>
      <c r="C3142" t="s">
        <v>4920</v>
      </c>
      <c r="D3142" s="92">
        <v>0.41</v>
      </c>
      <c r="E3142" s="92">
        <v>0.25</v>
      </c>
      <c r="F3142">
        <v>900</v>
      </c>
      <c r="G3142">
        <v>995</v>
      </c>
      <c r="H3142" t="s">
        <v>4932</v>
      </c>
      <c r="I3142">
        <v>0</v>
      </c>
      <c r="J3142" t="s">
        <v>97</v>
      </c>
      <c r="K3142">
        <v>0</v>
      </c>
      <c r="L3142">
        <v>0</v>
      </c>
      <c r="M3142" t="s">
        <v>11</v>
      </c>
    </row>
    <row r="3143" spans="1:13">
      <c r="A3143" s="93">
        <v>237385</v>
      </c>
      <c r="B3143" t="s">
        <v>3663</v>
      </c>
      <c r="C3143" t="s">
        <v>4923</v>
      </c>
      <c r="D3143" s="92">
        <v>0.43</v>
      </c>
      <c r="E3143" s="92">
        <v>0.34</v>
      </c>
      <c r="F3143" t="s">
        <v>446</v>
      </c>
      <c r="G3143" t="s">
        <v>446</v>
      </c>
      <c r="H3143" t="s">
        <v>4932</v>
      </c>
      <c r="I3143">
        <v>0</v>
      </c>
      <c r="J3143" t="s">
        <v>97</v>
      </c>
      <c r="K3143">
        <v>0</v>
      </c>
      <c r="L3143">
        <v>0</v>
      </c>
      <c r="M3143" t="s">
        <v>11</v>
      </c>
    </row>
    <row r="3144" spans="1:13">
      <c r="A3144" s="93">
        <v>237437</v>
      </c>
      <c r="B3144" t="s">
        <v>3664</v>
      </c>
      <c r="C3144" t="s">
        <v>4919</v>
      </c>
      <c r="D3144" s="92">
        <v>0.25</v>
      </c>
      <c r="E3144" s="92">
        <v>0.11</v>
      </c>
      <c r="F3144" t="s">
        <v>446</v>
      </c>
      <c r="G3144" t="s">
        <v>446</v>
      </c>
      <c r="H3144" t="s">
        <v>4931</v>
      </c>
      <c r="I3144">
        <v>0</v>
      </c>
      <c r="J3144" t="s">
        <v>97</v>
      </c>
      <c r="K3144">
        <v>0</v>
      </c>
      <c r="L3144">
        <v>0</v>
      </c>
      <c r="M3144" t="s">
        <v>11</v>
      </c>
    </row>
    <row r="3145" spans="1:13">
      <c r="A3145" s="93">
        <v>237525</v>
      </c>
      <c r="B3145" t="s">
        <v>3665</v>
      </c>
      <c r="C3145" t="s">
        <v>4920</v>
      </c>
      <c r="D3145" s="92">
        <v>0.53</v>
      </c>
      <c r="E3145" s="92">
        <v>0.42</v>
      </c>
      <c r="F3145">
        <v>930</v>
      </c>
      <c r="G3145">
        <v>1040</v>
      </c>
      <c r="H3145" t="s">
        <v>4930</v>
      </c>
      <c r="I3145">
        <v>0</v>
      </c>
      <c r="J3145" t="s">
        <v>97</v>
      </c>
      <c r="K3145">
        <v>0</v>
      </c>
      <c r="L3145">
        <v>0</v>
      </c>
      <c r="M3145" t="s">
        <v>11</v>
      </c>
    </row>
    <row r="3146" spans="1:13">
      <c r="A3146" s="93">
        <v>237543</v>
      </c>
      <c r="B3146" t="s">
        <v>3666</v>
      </c>
      <c r="C3146" t="s">
        <v>4925</v>
      </c>
      <c r="D3146" s="92" t="s">
        <v>446</v>
      </c>
      <c r="E3146" s="92" t="s">
        <v>446</v>
      </c>
      <c r="F3146" t="s">
        <v>446</v>
      </c>
      <c r="G3146" t="s">
        <v>446</v>
      </c>
      <c r="H3146" t="s">
        <v>4932</v>
      </c>
      <c r="I3146">
        <v>0</v>
      </c>
      <c r="J3146" t="s">
        <v>97</v>
      </c>
      <c r="K3146">
        <v>0</v>
      </c>
      <c r="L3146">
        <v>0</v>
      </c>
      <c r="M3146" t="s">
        <v>11</v>
      </c>
    </row>
    <row r="3147" spans="1:13">
      <c r="A3147" s="93">
        <v>237552</v>
      </c>
      <c r="B3147" t="s">
        <v>3667</v>
      </c>
      <c r="C3147" t="s">
        <v>4919</v>
      </c>
      <c r="D3147" s="92" t="s">
        <v>446</v>
      </c>
      <c r="E3147" s="92" t="s">
        <v>446</v>
      </c>
      <c r="F3147" t="s">
        <v>446</v>
      </c>
      <c r="G3147" t="s">
        <v>446</v>
      </c>
      <c r="H3147" t="s">
        <v>4932</v>
      </c>
      <c r="I3147">
        <v>0</v>
      </c>
      <c r="J3147" t="s">
        <v>97</v>
      </c>
      <c r="K3147">
        <v>0</v>
      </c>
      <c r="L3147">
        <v>0</v>
      </c>
      <c r="M3147" t="s">
        <v>11</v>
      </c>
    </row>
    <row r="3148" spans="1:13">
      <c r="A3148" s="93">
        <v>237570</v>
      </c>
      <c r="B3148" t="s">
        <v>3668</v>
      </c>
      <c r="C3148" t="s">
        <v>4919</v>
      </c>
      <c r="D3148" s="92" t="s">
        <v>446</v>
      </c>
      <c r="E3148" s="92" t="s">
        <v>446</v>
      </c>
      <c r="F3148" t="s">
        <v>446</v>
      </c>
      <c r="G3148" t="s">
        <v>446</v>
      </c>
      <c r="H3148" t="s">
        <v>4931</v>
      </c>
      <c r="I3148">
        <v>0</v>
      </c>
      <c r="J3148" t="s">
        <v>97</v>
      </c>
      <c r="K3148">
        <v>0</v>
      </c>
      <c r="L3148">
        <v>0</v>
      </c>
      <c r="M3148" t="s">
        <v>11</v>
      </c>
    </row>
    <row r="3149" spans="1:13">
      <c r="A3149" s="93">
        <v>237598</v>
      </c>
      <c r="B3149" t="s">
        <v>3669</v>
      </c>
      <c r="C3149" t="s">
        <v>4925</v>
      </c>
      <c r="D3149" s="92" t="s">
        <v>446</v>
      </c>
      <c r="E3149" s="92" t="s">
        <v>446</v>
      </c>
      <c r="F3149" t="s">
        <v>446</v>
      </c>
      <c r="G3149" t="s">
        <v>446</v>
      </c>
      <c r="H3149" t="s">
        <v>4931</v>
      </c>
      <c r="I3149">
        <v>0</v>
      </c>
      <c r="J3149" t="s">
        <v>97</v>
      </c>
      <c r="K3149">
        <v>0</v>
      </c>
      <c r="L3149">
        <v>0</v>
      </c>
      <c r="M3149" t="s">
        <v>11</v>
      </c>
    </row>
    <row r="3150" spans="1:13">
      <c r="A3150" s="93">
        <v>237640</v>
      </c>
      <c r="B3150" t="s">
        <v>3670</v>
      </c>
      <c r="C3150" t="s">
        <v>4920</v>
      </c>
      <c r="D3150" s="92">
        <v>0.3</v>
      </c>
      <c r="E3150" s="92">
        <v>0.18</v>
      </c>
      <c r="F3150" t="s">
        <v>446</v>
      </c>
      <c r="G3150" t="s">
        <v>446</v>
      </c>
      <c r="H3150" t="s">
        <v>4932</v>
      </c>
      <c r="I3150">
        <v>0</v>
      </c>
      <c r="J3150" t="s">
        <v>97</v>
      </c>
      <c r="K3150">
        <v>0</v>
      </c>
      <c r="L3150">
        <v>0</v>
      </c>
      <c r="M3150" t="s">
        <v>11</v>
      </c>
    </row>
    <row r="3151" spans="1:13">
      <c r="A3151" s="93">
        <v>237686</v>
      </c>
      <c r="B3151" t="s">
        <v>3671</v>
      </c>
      <c r="C3151" t="s">
        <v>4923</v>
      </c>
      <c r="D3151" s="92" t="s">
        <v>446</v>
      </c>
      <c r="E3151" s="92" t="s">
        <v>446</v>
      </c>
      <c r="F3151" t="s">
        <v>446</v>
      </c>
      <c r="G3151" t="s">
        <v>446</v>
      </c>
      <c r="H3151" t="s">
        <v>4932</v>
      </c>
      <c r="I3151">
        <v>0</v>
      </c>
      <c r="J3151" t="s">
        <v>97</v>
      </c>
      <c r="K3151">
        <v>0</v>
      </c>
      <c r="L3151">
        <v>0</v>
      </c>
      <c r="M3151" t="s">
        <v>11</v>
      </c>
    </row>
    <row r="3152" spans="1:13">
      <c r="A3152" s="93">
        <v>237701</v>
      </c>
      <c r="B3152" t="s">
        <v>3672</v>
      </c>
      <c r="C3152" t="s">
        <v>4923</v>
      </c>
      <c r="D3152" s="92" t="s">
        <v>446</v>
      </c>
      <c r="E3152" s="92" t="s">
        <v>446</v>
      </c>
      <c r="F3152" t="s">
        <v>446</v>
      </c>
      <c r="G3152" t="s">
        <v>446</v>
      </c>
      <c r="H3152" t="s">
        <v>4932</v>
      </c>
      <c r="I3152">
        <v>0</v>
      </c>
      <c r="J3152" t="s">
        <v>97</v>
      </c>
      <c r="K3152">
        <v>0</v>
      </c>
      <c r="L3152">
        <v>0</v>
      </c>
      <c r="M3152" t="s">
        <v>11</v>
      </c>
    </row>
    <row r="3153" spans="1:13">
      <c r="A3153" s="93">
        <v>237783</v>
      </c>
      <c r="B3153" t="s">
        <v>3673</v>
      </c>
      <c r="C3153" t="s">
        <v>4918</v>
      </c>
      <c r="D3153" s="92">
        <v>0.19</v>
      </c>
      <c r="E3153" s="92">
        <v>0.14</v>
      </c>
      <c r="F3153" t="s">
        <v>446</v>
      </c>
      <c r="G3153" t="s">
        <v>446</v>
      </c>
      <c r="H3153" t="s">
        <v>4930</v>
      </c>
      <c r="I3153">
        <v>0</v>
      </c>
      <c r="J3153" t="s">
        <v>97</v>
      </c>
      <c r="K3153">
        <v>0</v>
      </c>
      <c r="L3153">
        <v>0</v>
      </c>
      <c r="M3153" t="s">
        <v>11</v>
      </c>
    </row>
    <row r="3154" spans="1:13">
      <c r="A3154" s="93">
        <v>237792</v>
      </c>
      <c r="B3154" t="s">
        <v>3674</v>
      </c>
      <c r="C3154" t="s">
        <v>4920</v>
      </c>
      <c r="D3154" s="92">
        <v>0.46</v>
      </c>
      <c r="E3154" s="92">
        <v>0.33</v>
      </c>
      <c r="F3154">
        <v>960</v>
      </c>
      <c r="G3154">
        <v>1070</v>
      </c>
      <c r="H3154" t="s">
        <v>4932</v>
      </c>
      <c r="I3154">
        <v>0</v>
      </c>
      <c r="J3154" t="s">
        <v>97</v>
      </c>
      <c r="K3154">
        <v>0</v>
      </c>
      <c r="L3154">
        <v>0</v>
      </c>
      <c r="M3154" t="s">
        <v>11</v>
      </c>
    </row>
    <row r="3155" spans="1:13">
      <c r="A3155" s="93">
        <v>237817</v>
      </c>
      <c r="B3155" t="s">
        <v>3675</v>
      </c>
      <c r="C3155" t="s">
        <v>4919</v>
      </c>
      <c r="D3155" s="92">
        <v>0.25</v>
      </c>
      <c r="E3155" s="92">
        <v>0.27</v>
      </c>
      <c r="F3155" t="s">
        <v>446</v>
      </c>
      <c r="G3155" t="s">
        <v>446</v>
      </c>
      <c r="H3155" t="s">
        <v>4932</v>
      </c>
      <c r="I3155">
        <v>0</v>
      </c>
      <c r="J3155" t="s">
        <v>97</v>
      </c>
      <c r="K3155">
        <v>0</v>
      </c>
      <c r="L3155">
        <v>0</v>
      </c>
      <c r="M3155" t="s">
        <v>11</v>
      </c>
    </row>
    <row r="3156" spans="1:13">
      <c r="A3156" s="93">
        <v>237844</v>
      </c>
      <c r="B3156" t="s">
        <v>3676</v>
      </c>
      <c r="C3156" t="s">
        <v>4919</v>
      </c>
      <c r="D3156" s="92" t="s">
        <v>446</v>
      </c>
      <c r="E3156" s="92" t="s">
        <v>446</v>
      </c>
      <c r="F3156" t="s">
        <v>446</v>
      </c>
      <c r="G3156" t="s">
        <v>446</v>
      </c>
      <c r="H3156" t="s">
        <v>4932</v>
      </c>
      <c r="I3156">
        <v>0</v>
      </c>
      <c r="J3156" t="s">
        <v>97</v>
      </c>
      <c r="K3156">
        <v>0</v>
      </c>
      <c r="L3156">
        <v>0</v>
      </c>
      <c r="M3156" t="s">
        <v>11</v>
      </c>
    </row>
    <row r="3157" spans="1:13">
      <c r="A3157" s="93">
        <v>237880</v>
      </c>
      <c r="B3157" t="s">
        <v>3677</v>
      </c>
      <c r="C3157" t="s">
        <v>4924</v>
      </c>
      <c r="D3157" s="92" t="s">
        <v>446</v>
      </c>
      <c r="E3157" s="92" t="s">
        <v>446</v>
      </c>
      <c r="F3157" t="s">
        <v>446</v>
      </c>
      <c r="G3157" t="s">
        <v>446</v>
      </c>
      <c r="H3157" t="s">
        <v>4932</v>
      </c>
      <c r="I3157">
        <v>0</v>
      </c>
      <c r="J3157" t="s">
        <v>97</v>
      </c>
      <c r="K3157">
        <v>0</v>
      </c>
      <c r="L3157">
        <v>0</v>
      </c>
      <c r="M3157" t="s">
        <v>11</v>
      </c>
    </row>
    <row r="3158" spans="1:13">
      <c r="A3158" s="93">
        <v>237899</v>
      </c>
      <c r="B3158" t="s">
        <v>3678</v>
      </c>
      <c r="C3158" t="s">
        <v>4923</v>
      </c>
      <c r="D3158" s="92">
        <v>0.3</v>
      </c>
      <c r="E3158" s="92">
        <v>0.21</v>
      </c>
      <c r="F3158" t="s">
        <v>446</v>
      </c>
      <c r="G3158" t="s">
        <v>446</v>
      </c>
      <c r="H3158" t="s">
        <v>4932</v>
      </c>
      <c r="I3158">
        <v>0</v>
      </c>
      <c r="J3158" t="s">
        <v>153</v>
      </c>
      <c r="K3158">
        <v>0</v>
      </c>
      <c r="L3158">
        <v>0</v>
      </c>
      <c r="M3158" t="s">
        <v>11</v>
      </c>
    </row>
    <row r="3159" spans="1:13">
      <c r="A3159" s="93">
        <v>237905</v>
      </c>
      <c r="B3159" t="s">
        <v>3679</v>
      </c>
      <c r="C3159" t="s">
        <v>4924</v>
      </c>
      <c r="D3159" s="92" t="s">
        <v>446</v>
      </c>
      <c r="E3159" s="92" t="s">
        <v>446</v>
      </c>
      <c r="F3159" t="s">
        <v>446</v>
      </c>
      <c r="G3159" t="s">
        <v>446</v>
      </c>
      <c r="H3159" t="s">
        <v>4932</v>
      </c>
      <c r="I3159">
        <v>0</v>
      </c>
      <c r="J3159" t="s">
        <v>97</v>
      </c>
      <c r="K3159">
        <v>0</v>
      </c>
      <c r="L3159">
        <v>0</v>
      </c>
      <c r="M3159" t="s">
        <v>11</v>
      </c>
    </row>
    <row r="3160" spans="1:13">
      <c r="A3160" s="93">
        <v>237932</v>
      </c>
      <c r="B3160" t="s">
        <v>3680</v>
      </c>
      <c r="C3160" t="s">
        <v>4920</v>
      </c>
      <c r="D3160" s="92">
        <v>0.47</v>
      </c>
      <c r="E3160" s="92">
        <v>0.41</v>
      </c>
      <c r="F3160">
        <v>890</v>
      </c>
      <c r="G3160">
        <v>1035</v>
      </c>
      <c r="H3160" t="s">
        <v>4932</v>
      </c>
      <c r="I3160">
        <v>0</v>
      </c>
      <c r="J3160" t="s">
        <v>97</v>
      </c>
      <c r="K3160">
        <v>0</v>
      </c>
      <c r="L3160">
        <v>0</v>
      </c>
      <c r="M3160" t="s">
        <v>11</v>
      </c>
    </row>
    <row r="3161" spans="1:13">
      <c r="A3161" s="93">
        <v>237950</v>
      </c>
      <c r="B3161" t="s">
        <v>3681</v>
      </c>
      <c r="C3161" t="s">
        <v>4923</v>
      </c>
      <c r="D3161" s="92">
        <v>0.26</v>
      </c>
      <c r="E3161" s="92">
        <v>0.2</v>
      </c>
      <c r="F3161">
        <v>920</v>
      </c>
      <c r="G3161">
        <v>1025</v>
      </c>
      <c r="H3161" t="s">
        <v>4932</v>
      </c>
      <c r="I3161">
        <v>0</v>
      </c>
      <c r="J3161" t="s">
        <v>97</v>
      </c>
      <c r="K3161">
        <v>0</v>
      </c>
      <c r="L3161">
        <v>0</v>
      </c>
      <c r="M3161" t="s">
        <v>11</v>
      </c>
    </row>
    <row r="3162" spans="1:13">
      <c r="A3162" s="93">
        <v>237969</v>
      </c>
      <c r="B3162" t="s">
        <v>3682</v>
      </c>
      <c r="C3162" t="s">
        <v>4920</v>
      </c>
      <c r="D3162" s="92">
        <v>0.54</v>
      </c>
      <c r="E3162" s="92">
        <v>0.36</v>
      </c>
      <c r="F3162">
        <v>970</v>
      </c>
      <c r="G3162">
        <v>1075</v>
      </c>
      <c r="H3162" t="s">
        <v>4930</v>
      </c>
      <c r="I3162">
        <v>0</v>
      </c>
      <c r="J3162" t="s">
        <v>97</v>
      </c>
      <c r="K3162">
        <v>0</v>
      </c>
      <c r="L3162">
        <v>0</v>
      </c>
      <c r="M3162" t="s">
        <v>11</v>
      </c>
    </row>
    <row r="3163" spans="1:13">
      <c r="A3163" s="93">
        <v>237987</v>
      </c>
      <c r="B3163" t="s">
        <v>3683</v>
      </c>
      <c r="C3163" t="s">
        <v>4919</v>
      </c>
      <c r="D3163" s="92" t="s">
        <v>446</v>
      </c>
      <c r="E3163" s="92" t="s">
        <v>446</v>
      </c>
      <c r="F3163" t="s">
        <v>446</v>
      </c>
      <c r="G3163" t="s">
        <v>446</v>
      </c>
      <c r="H3163" t="s">
        <v>4931</v>
      </c>
      <c r="I3163">
        <v>0</v>
      </c>
      <c r="J3163" t="s">
        <v>97</v>
      </c>
      <c r="K3163">
        <v>0</v>
      </c>
      <c r="L3163">
        <v>0</v>
      </c>
      <c r="M3163" t="s">
        <v>11</v>
      </c>
    </row>
    <row r="3164" spans="1:13">
      <c r="A3164" s="93">
        <v>237996</v>
      </c>
      <c r="B3164" t="s">
        <v>3684</v>
      </c>
      <c r="C3164" t="s">
        <v>4919</v>
      </c>
      <c r="D3164" s="92" t="s">
        <v>446</v>
      </c>
      <c r="E3164" s="92" t="s">
        <v>446</v>
      </c>
      <c r="F3164" t="s">
        <v>446</v>
      </c>
      <c r="G3164" t="s">
        <v>446</v>
      </c>
      <c r="H3164" t="s">
        <v>4930</v>
      </c>
      <c r="I3164">
        <v>0</v>
      </c>
      <c r="J3164" t="s">
        <v>97</v>
      </c>
      <c r="K3164">
        <v>0</v>
      </c>
      <c r="L3164">
        <v>0</v>
      </c>
      <c r="M3164" t="s">
        <v>11</v>
      </c>
    </row>
    <row r="3165" spans="1:13">
      <c r="A3165" s="93">
        <v>238005</v>
      </c>
      <c r="B3165" t="s">
        <v>3685</v>
      </c>
      <c r="C3165" t="s">
        <v>4919</v>
      </c>
      <c r="D3165" s="92" t="s">
        <v>446</v>
      </c>
      <c r="E3165" s="92" t="s">
        <v>446</v>
      </c>
      <c r="F3165" t="s">
        <v>446</v>
      </c>
      <c r="G3165" t="s">
        <v>446</v>
      </c>
      <c r="H3165" t="s">
        <v>4931</v>
      </c>
      <c r="I3165">
        <v>0</v>
      </c>
      <c r="J3165" t="s">
        <v>97</v>
      </c>
      <c r="K3165">
        <v>0</v>
      </c>
      <c r="L3165">
        <v>0</v>
      </c>
      <c r="M3165" t="s">
        <v>11</v>
      </c>
    </row>
    <row r="3166" spans="1:13">
      <c r="A3166" s="93">
        <v>238014</v>
      </c>
      <c r="B3166" t="s">
        <v>3686</v>
      </c>
      <c r="C3166" t="s">
        <v>4919</v>
      </c>
      <c r="D3166" s="92">
        <v>0.3</v>
      </c>
      <c r="E3166" s="92">
        <v>0.24</v>
      </c>
      <c r="F3166" t="s">
        <v>446</v>
      </c>
      <c r="G3166" t="s">
        <v>446</v>
      </c>
      <c r="H3166" t="s">
        <v>4932</v>
      </c>
      <c r="I3166">
        <v>0</v>
      </c>
      <c r="J3166" t="s">
        <v>97</v>
      </c>
      <c r="K3166">
        <v>0</v>
      </c>
      <c r="L3166">
        <v>0</v>
      </c>
      <c r="M3166" t="s">
        <v>11</v>
      </c>
    </row>
    <row r="3167" spans="1:13">
      <c r="A3167" s="93">
        <v>238078</v>
      </c>
      <c r="B3167" t="s">
        <v>3687</v>
      </c>
      <c r="C3167" t="s">
        <v>4918</v>
      </c>
      <c r="D3167" s="92">
        <v>0.5</v>
      </c>
      <c r="E3167" s="92">
        <v>0.42</v>
      </c>
      <c r="F3167">
        <v>950</v>
      </c>
      <c r="G3167">
        <v>1065</v>
      </c>
      <c r="H3167" t="s">
        <v>4930</v>
      </c>
      <c r="I3167">
        <v>0</v>
      </c>
      <c r="J3167" t="s">
        <v>97</v>
      </c>
      <c r="K3167">
        <v>0</v>
      </c>
      <c r="L3167">
        <v>0</v>
      </c>
      <c r="M3167" t="s">
        <v>11</v>
      </c>
    </row>
    <row r="3168" spans="1:13">
      <c r="A3168" s="93">
        <v>238175</v>
      </c>
      <c r="B3168" t="s">
        <v>3688</v>
      </c>
      <c r="C3168" t="s">
        <v>4919</v>
      </c>
      <c r="D3168" s="92" t="s">
        <v>446</v>
      </c>
      <c r="E3168" s="92" t="s">
        <v>446</v>
      </c>
      <c r="F3168" t="s">
        <v>446</v>
      </c>
      <c r="G3168" t="s">
        <v>446</v>
      </c>
      <c r="H3168" t="s">
        <v>4931</v>
      </c>
      <c r="I3168">
        <v>0</v>
      </c>
      <c r="J3168" t="s">
        <v>97</v>
      </c>
      <c r="K3168">
        <v>0</v>
      </c>
      <c r="L3168">
        <v>0</v>
      </c>
      <c r="M3168" t="s">
        <v>11</v>
      </c>
    </row>
    <row r="3169" spans="1:13">
      <c r="A3169" s="93">
        <v>238193</v>
      </c>
      <c r="B3169" t="s">
        <v>3689</v>
      </c>
      <c r="C3169" t="s">
        <v>4918</v>
      </c>
      <c r="D3169" s="92">
        <v>0.47</v>
      </c>
      <c r="E3169" s="92">
        <v>0.4</v>
      </c>
      <c r="F3169" t="s">
        <v>446</v>
      </c>
      <c r="G3169" t="s">
        <v>446</v>
      </c>
      <c r="H3169" t="s">
        <v>4930</v>
      </c>
      <c r="I3169">
        <v>0</v>
      </c>
      <c r="J3169" t="s">
        <v>97</v>
      </c>
      <c r="K3169">
        <v>0</v>
      </c>
      <c r="L3169">
        <v>0</v>
      </c>
      <c r="M3169" t="s">
        <v>11</v>
      </c>
    </row>
    <row r="3170" spans="1:13">
      <c r="A3170" s="93">
        <v>238324</v>
      </c>
      <c r="B3170" t="s">
        <v>3690</v>
      </c>
      <c r="C3170" t="s">
        <v>4923</v>
      </c>
      <c r="D3170" s="92">
        <v>0.72</v>
      </c>
      <c r="E3170" s="92">
        <v>0.5</v>
      </c>
      <c r="F3170">
        <v>1010</v>
      </c>
      <c r="G3170">
        <v>1095</v>
      </c>
      <c r="H3170" t="s">
        <v>4930</v>
      </c>
      <c r="I3170">
        <v>0</v>
      </c>
      <c r="J3170" t="s">
        <v>97</v>
      </c>
      <c r="K3170">
        <v>0</v>
      </c>
      <c r="L3170">
        <v>0</v>
      </c>
      <c r="M3170" t="s">
        <v>11</v>
      </c>
    </row>
    <row r="3171" spans="1:13">
      <c r="A3171" s="93">
        <v>238397</v>
      </c>
      <c r="B3171" t="s">
        <v>3691</v>
      </c>
      <c r="C3171" t="s">
        <v>4919</v>
      </c>
      <c r="D3171" s="92">
        <v>0.39</v>
      </c>
      <c r="E3171" s="92">
        <v>0.3</v>
      </c>
      <c r="F3171" t="s">
        <v>446</v>
      </c>
      <c r="G3171" t="s">
        <v>446</v>
      </c>
      <c r="H3171" t="s">
        <v>4932</v>
      </c>
      <c r="I3171">
        <v>0</v>
      </c>
      <c r="J3171" t="s">
        <v>97</v>
      </c>
      <c r="K3171">
        <v>0</v>
      </c>
      <c r="L3171">
        <v>0</v>
      </c>
      <c r="M3171" t="s">
        <v>11</v>
      </c>
    </row>
    <row r="3172" spans="1:13">
      <c r="A3172" s="93">
        <v>238430</v>
      </c>
      <c r="B3172" t="s">
        <v>3692</v>
      </c>
      <c r="C3172" t="s">
        <v>4920</v>
      </c>
      <c r="D3172" s="92">
        <v>0.51</v>
      </c>
      <c r="E3172" s="92">
        <v>0.43</v>
      </c>
      <c r="F3172">
        <v>970</v>
      </c>
      <c r="G3172">
        <v>1025</v>
      </c>
      <c r="H3172" t="s">
        <v>4930</v>
      </c>
      <c r="I3172">
        <v>0</v>
      </c>
      <c r="J3172" t="s">
        <v>97</v>
      </c>
      <c r="K3172">
        <v>0</v>
      </c>
      <c r="L3172">
        <v>0</v>
      </c>
      <c r="M3172" t="s">
        <v>11</v>
      </c>
    </row>
    <row r="3173" spans="1:13">
      <c r="A3173" s="93">
        <v>238458</v>
      </c>
      <c r="B3173" t="s">
        <v>3693</v>
      </c>
      <c r="C3173" t="s">
        <v>4920</v>
      </c>
      <c r="D3173" s="92">
        <v>0.68</v>
      </c>
      <c r="E3173" s="92">
        <v>0.48</v>
      </c>
      <c r="F3173">
        <v>1110</v>
      </c>
      <c r="G3173">
        <v>1195</v>
      </c>
      <c r="H3173" t="s">
        <v>4930</v>
      </c>
      <c r="I3173">
        <v>0</v>
      </c>
      <c r="J3173" t="s">
        <v>97</v>
      </c>
      <c r="K3173">
        <v>0</v>
      </c>
      <c r="L3173">
        <v>0</v>
      </c>
      <c r="M3173" t="s">
        <v>11</v>
      </c>
    </row>
    <row r="3174" spans="1:13">
      <c r="A3174" s="93">
        <v>238573</v>
      </c>
      <c r="B3174" t="s">
        <v>3694</v>
      </c>
      <c r="C3174" t="s">
        <v>4924</v>
      </c>
      <c r="D3174" s="92">
        <v>1</v>
      </c>
      <c r="E3174" s="92">
        <v>1</v>
      </c>
      <c r="F3174" t="s">
        <v>446</v>
      </c>
      <c r="G3174" t="s">
        <v>446</v>
      </c>
      <c r="H3174" t="s">
        <v>4932</v>
      </c>
      <c r="I3174">
        <v>0</v>
      </c>
      <c r="J3174" t="s">
        <v>97</v>
      </c>
      <c r="K3174">
        <v>0</v>
      </c>
      <c r="L3174">
        <v>0</v>
      </c>
      <c r="M3174" t="s">
        <v>11</v>
      </c>
    </row>
    <row r="3175" spans="1:13">
      <c r="A3175" s="93">
        <v>238759</v>
      </c>
      <c r="B3175" t="s">
        <v>3695</v>
      </c>
      <c r="C3175" t="s">
        <v>4919</v>
      </c>
      <c r="D3175" s="92" t="s">
        <v>446</v>
      </c>
      <c r="E3175" s="92" t="s">
        <v>446</v>
      </c>
      <c r="F3175" t="s">
        <v>446</v>
      </c>
      <c r="G3175" t="s">
        <v>446</v>
      </c>
      <c r="H3175" t="s">
        <v>4932</v>
      </c>
      <c r="I3175">
        <v>0</v>
      </c>
      <c r="J3175" t="s">
        <v>97</v>
      </c>
      <c r="K3175">
        <v>0</v>
      </c>
      <c r="L3175">
        <v>1</v>
      </c>
      <c r="M3175" t="s">
        <v>4935</v>
      </c>
    </row>
    <row r="3176" spans="1:13">
      <c r="A3176" s="93">
        <v>238810</v>
      </c>
      <c r="B3176" t="s">
        <v>3696</v>
      </c>
      <c r="C3176" t="s">
        <v>4919</v>
      </c>
      <c r="D3176" s="92" t="s">
        <v>446</v>
      </c>
      <c r="E3176" s="92" t="s">
        <v>446</v>
      </c>
      <c r="F3176" t="s">
        <v>446</v>
      </c>
      <c r="G3176" t="s">
        <v>446</v>
      </c>
      <c r="H3176" t="s">
        <v>4930</v>
      </c>
      <c r="I3176">
        <v>0</v>
      </c>
      <c r="J3176" t="s">
        <v>97</v>
      </c>
      <c r="K3176">
        <v>0</v>
      </c>
      <c r="L3176">
        <v>0</v>
      </c>
      <c r="M3176" t="s">
        <v>11</v>
      </c>
    </row>
    <row r="3177" spans="1:13">
      <c r="A3177" s="93">
        <v>239008</v>
      </c>
      <c r="B3177" t="s">
        <v>3697</v>
      </c>
      <c r="C3177" t="s">
        <v>4919</v>
      </c>
      <c r="D3177" s="92">
        <v>0.52</v>
      </c>
      <c r="E3177" s="92">
        <v>0.4</v>
      </c>
      <c r="F3177" t="s">
        <v>446</v>
      </c>
      <c r="G3177" t="s">
        <v>446</v>
      </c>
      <c r="H3177" t="s">
        <v>4932</v>
      </c>
      <c r="I3177">
        <v>0</v>
      </c>
      <c r="J3177" t="s">
        <v>97</v>
      </c>
      <c r="K3177">
        <v>0</v>
      </c>
      <c r="L3177">
        <v>0</v>
      </c>
      <c r="M3177" t="s">
        <v>11</v>
      </c>
    </row>
    <row r="3178" spans="1:13">
      <c r="A3178" s="93">
        <v>239017</v>
      </c>
      <c r="B3178" t="s">
        <v>3698</v>
      </c>
      <c r="C3178" t="s">
        <v>4917</v>
      </c>
      <c r="D3178" s="92">
        <v>0.79</v>
      </c>
      <c r="E3178" s="92">
        <v>0.78</v>
      </c>
      <c r="F3178">
        <v>1230</v>
      </c>
      <c r="G3178">
        <v>1345</v>
      </c>
      <c r="H3178" t="s">
        <v>4931</v>
      </c>
      <c r="I3178">
        <v>0</v>
      </c>
      <c r="J3178" t="s">
        <v>97</v>
      </c>
      <c r="K3178">
        <v>0</v>
      </c>
      <c r="L3178">
        <v>0</v>
      </c>
      <c r="M3178" t="s">
        <v>11</v>
      </c>
    </row>
    <row r="3179" spans="1:13">
      <c r="A3179" s="93">
        <v>239071</v>
      </c>
      <c r="B3179" t="s">
        <v>3699</v>
      </c>
      <c r="C3179" t="s">
        <v>4920</v>
      </c>
      <c r="D3179" s="92">
        <v>0.52</v>
      </c>
      <c r="E3179" s="92">
        <v>0.25</v>
      </c>
      <c r="F3179">
        <v>1040</v>
      </c>
      <c r="G3179">
        <v>1160</v>
      </c>
      <c r="H3179" t="s">
        <v>4930</v>
      </c>
      <c r="I3179">
        <v>0</v>
      </c>
      <c r="J3179" t="s">
        <v>97</v>
      </c>
      <c r="K3179">
        <v>0</v>
      </c>
      <c r="L3179">
        <v>0</v>
      </c>
      <c r="M3179" t="s">
        <v>11</v>
      </c>
    </row>
    <row r="3180" spans="1:13">
      <c r="A3180" s="93">
        <v>239080</v>
      </c>
      <c r="B3180" t="s">
        <v>566</v>
      </c>
      <c r="C3180" t="s">
        <v>4918</v>
      </c>
      <c r="D3180" s="92">
        <v>0.53</v>
      </c>
      <c r="E3180" s="92">
        <v>0.31</v>
      </c>
      <c r="F3180">
        <v>970</v>
      </c>
      <c r="G3180">
        <v>1055</v>
      </c>
      <c r="H3180" t="s">
        <v>4930</v>
      </c>
      <c r="I3180">
        <v>0</v>
      </c>
      <c r="J3180" t="s">
        <v>97</v>
      </c>
      <c r="K3180">
        <v>0</v>
      </c>
      <c r="L3180">
        <v>0</v>
      </c>
      <c r="M3180" t="s">
        <v>11</v>
      </c>
    </row>
    <row r="3181" spans="1:13">
      <c r="A3181" s="93">
        <v>239169</v>
      </c>
      <c r="B3181" t="s">
        <v>3700</v>
      </c>
      <c r="C3181" t="s">
        <v>4924</v>
      </c>
      <c r="D3181" s="92" t="s">
        <v>446</v>
      </c>
      <c r="E3181" s="92" t="s">
        <v>446</v>
      </c>
      <c r="F3181" t="s">
        <v>446</v>
      </c>
      <c r="G3181" t="s">
        <v>446</v>
      </c>
      <c r="H3181" t="s">
        <v>4932</v>
      </c>
      <c r="I3181">
        <v>0</v>
      </c>
      <c r="J3181" t="s">
        <v>97</v>
      </c>
      <c r="K3181">
        <v>0</v>
      </c>
      <c r="L3181">
        <v>0</v>
      </c>
      <c r="M3181" t="s">
        <v>11</v>
      </c>
    </row>
    <row r="3182" spans="1:13">
      <c r="A3182" s="93">
        <v>239220</v>
      </c>
      <c r="B3182" t="s">
        <v>3701</v>
      </c>
      <c r="C3182" t="s">
        <v>4919</v>
      </c>
      <c r="D3182" s="92" t="s">
        <v>446</v>
      </c>
      <c r="E3182" s="92" t="s">
        <v>446</v>
      </c>
      <c r="F3182" t="s">
        <v>446</v>
      </c>
      <c r="G3182" t="s">
        <v>446</v>
      </c>
      <c r="H3182" t="s">
        <v>4932</v>
      </c>
      <c r="I3182">
        <v>0</v>
      </c>
      <c r="J3182" t="s">
        <v>97</v>
      </c>
      <c r="K3182">
        <v>0</v>
      </c>
      <c r="L3182">
        <v>0</v>
      </c>
      <c r="M3182" t="s">
        <v>11</v>
      </c>
    </row>
    <row r="3183" spans="1:13">
      <c r="A3183" s="93">
        <v>239309</v>
      </c>
      <c r="B3183" t="s">
        <v>3702</v>
      </c>
      <c r="C3183" t="s">
        <v>4926</v>
      </c>
      <c r="D3183" s="92">
        <v>0.54</v>
      </c>
      <c r="E3183" s="92">
        <v>0.46</v>
      </c>
      <c r="F3183" t="s">
        <v>446</v>
      </c>
      <c r="G3183" t="s">
        <v>446</v>
      </c>
      <c r="H3183" t="s">
        <v>4930</v>
      </c>
      <c r="I3183">
        <v>0</v>
      </c>
      <c r="J3183" t="s">
        <v>97</v>
      </c>
      <c r="K3183">
        <v>0</v>
      </c>
      <c r="L3183">
        <v>0</v>
      </c>
      <c r="M3183" t="s">
        <v>11</v>
      </c>
    </row>
    <row r="3184" spans="1:13">
      <c r="A3184" s="93">
        <v>239372</v>
      </c>
      <c r="B3184" t="s">
        <v>3703</v>
      </c>
      <c r="C3184" t="s">
        <v>4919</v>
      </c>
      <c r="D3184" s="92">
        <v>0.59</v>
      </c>
      <c r="E3184" s="92">
        <v>0.51</v>
      </c>
      <c r="F3184" t="s">
        <v>446</v>
      </c>
      <c r="G3184" t="s">
        <v>446</v>
      </c>
      <c r="H3184" t="s">
        <v>4932</v>
      </c>
      <c r="I3184">
        <v>0</v>
      </c>
      <c r="J3184" t="s">
        <v>97</v>
      </c>
      <c r="K3184">
        <v>0</v>
      </c>
      <c r="L3184">
        <v>0</v>
      </c>
      <c r="M3184" t="s">
        <v>11</v>
      </c>
    </row>
    <row r="3185" spans="1:13">
      <c r="A3185" s="93">
        <v>239390</v>
      </c>
      <c r="B3185" t="s">
        <v>3704</v>
      </c>
      <c r="C3185" t="s">
        <v>4918</v>
      </c>
      <c r="D3185" s="92">
        <v>0.55</v>
      </c>
      <c r="E3185" s="92">
        <v>0.47</v>
      </c>
      <c r="F3185">
        <v>890</v>
      </c>
      <c r="G3185">
        <v>985</v>
      </c>
      <c r="H3185" t="s">
        <v>4930</v>
      </c>
      <c r="I3185">
        <v>0</v>
      </c>
      <c r="J3185" t="s">
        <v>97</v>
      </c>
      <c r="K3185">
        <v>0</v>
      </c>
      <c r="L3185">
        <v>0</v>
      </c>
      <c r="M3185" t="s">
        <v>11</v>
      </c>
    </row>
    <row r="3186" spans="1:13">
      <c r="A3186" s="93">
        <v>239424</v>
      </c>
      <c r="B3186" t="s">
        <v>3705</v>
      </c>
      <c r="C3186" t="s">
        <v>4924</v>
      </c>
      <c r="D3186" s="92" t="s">
        <v>446</v>
      </c>
      <c r="E3186" s="92" t="s">
        <v>446</v>
      </c>
      <c r="F3186" t="s">
        <v>446</v>
      </c>
      <c r="G3186" t="s">
        <v>446</v>
      </c>
      <c r="H3186" t="s">
        <v>4932</v>
      </c>
      <c r="I3186">
        <v>0</v>
      </c>
      <c r="J3186" t="s">
        <v>97</v>
      </c>
      <c r="K3186">
        <v>0</v>
      </c>
      <c r="L3186">
        <v>0</v>
      </c>
      <c r="M3186" t="s">
        <v>11</v>
      </c>
    </row>
    <row r="3187" spans="1:13">
      <c r="A3187" s="93">
        <v>239442</v>
      </c>
      <c r="B3187" t="s">
        <v>3706</v>
      </c>
      <c r="C3187" t="s">
        <v>4919</v>
      </c>
      <c r="D3187" s="92">
        <v>0.57</v>
      </c>
      <c r="E3187" s="92">
        <v>0.36</v>
      </c>
      <c r="F3187" t="s">
        <v>446</v>
      </c>
      <c r="G3187" t="s">
        <v>446</v>
      </c>
      <c r="H3187" t="s">
        <v>4932</v>
      </c>
      <c r="I3187">
        <v>0</v>
      </c>
      <c r="J3187" t="s">
        <v>97</v>
      </c>
      <c r="K3187">
        <v>0</v>
      </c>
      <c r="L3187">
        <v>0</v>
      </c>
      <c r="M3187" t="s">
        <v>11</v>
      </c>
    </row>
    <row r="3188" spans="1:13">
      <c r="A3188" s="93">
        <v>239460</v>
      </c>
      <c r="B3188" t="s">
        <v>3707</v>
      </c>
      <c r="C3188" t="s">
        <v>4919</v>
      </c>
      <c r="D3188" s="92">
        <v>0.36</v>
      </c>
      <c r="E3188" s="92">
        <v>0.32</v>
      </c>
      <c r="F3188" t="s">
        <v>446</v>
      </c>
      <c r="G3188" t="s">
        <v>446</v>
      </c>
      <c r="H3188" t="s">
        <v>4932</v>
      </c>
      <c r="I3188">
        <v>0</v>
      </c>
      <c r="J3188" t="s">
        <v>97</v>
      </c>
      <c r="K3188">
        <v>0</v>
      </c>
      <c r="L3188">
        <v>0</v>
      </c>
      <c r="M3188" t="s">
        <v>11</v>
      </c>
    </row>
    <row r="3189" spans="1:13">
      <c r="A3189" s="93">
        <v>239488</v>
      </c>
      <c r="B3189" t="s">
        <v>3708</v>
      </c>
      <c r="C3189" t="s">
        <v>4919</v>
      </c>
      <c r="D3189" s="92">
        <v>0.52</v>
      </c>
      <c r="E3189" s="92">
        <v>0.41</v>
      </c>
      <c r="F3189" t="s">
        <v>446</v>
      </c>
      <c r="G3189" t="s">
        <v>446</v>
      </c>
      <c r="H3189" t="s">
        <v>4932</v>
      </c>
      <c r="I3189">
        <v>0</v>
      </c>
      <c r="J3189" t="s">
        <v>97</v>
      </c>
      <c r="K3189">
        <v>0</v>
      </c>
      <c r="L3189">
        <v>0</v>
      </c>
      <c r="M3189" t="s">
        <v>11</v>
      </c>
    </row>
    <row r="3190" spans="1:13">
      <c r="A3190" s="93">
        <v>239512</v>
      </c>
      <c r="B3190" t="s">
        <v>3709</v>
      </c>
      <c r="C3190" t="s">
        <v>4920</v>
      </c>
      <c r="D3190" s="92">
        <v>0.5600000000000001</v>
      </c>
      <c r="E3190" s="92">
        <v>0.33</v>
      </c>
      <c r="F3190">
        <v>1040</v>
      </c>
      <c r="G3190">
        <v>1160</v>
      </c>
      <c r="H3190" t="s">
        <v>4931</v>
      </c>
      <c r="I3190">
        <v>0</v>
      </c>
      <c r="J3190" t="s">
        <v>97</v>
      </c>
      <c r="K3190">
        <v>0</v>
      </c>
      <c r="L3190">
        <v>0</v>
      </c>
      <c r="M3190" t="s">
        <v>11</v>
      </c>
    </row>
    <row r="3191" spans="1:13">
      <c r="A3191" s="93">
        <v>239637</v>
      </c>
      <c r="B3191" t="s">
        <v>3710</v>
      </c>
      <c r="C3191" t="s">
        <v>4924</v>
      </c>
      <c r="D3191" s="92" t="s">
        <v>446</v>
      </c>
      <c r="E3191" s="92" t="s">
        <v>446</v>
      </c>
      <c r="F3191" t="s">
        <v>446</v>
      </c>
      <c r="G3191" t="s">
        <v>446</v>
      </c>
      <c r="H3191" t="s">
        <v>4932</v>
      </c>
      <c r="I3191">
        <v>0</v>
      </c>
      <c r="J3191" t="s">
        <v>97</v>
      </c>
      <c r="K3191">
        <v>0</v>
      </c>
      <c r="L3191">
        <v>0</v>
      </c>
      <c r="M3191" t="s">
        <v>11</v>
      </c>
    </row>
    <row r="3192" spans="1:13">
      <c r="A3192" s="93">
        <v>239910</v>
      </c>
      <c r="B3192" t="s">
        <v>3711</v>
      </c>
      <c r="C3192" t="s">
        <v>4919</v>
      </c>
      <c r="D3192" s="92" t="s">
        <v>446</v>
      </c>
      <c r="E3192" s="92" t="s">
        <v>446</v>
      </c>
      <c r="F3192" t="s">
        <v>446</v>
      </c>
      <c r="G3192" t="s">
        <v>446</v>
      </c>
      <c r="H3192" t="s">
        <v>4932</v>
      </c>
      <c r="I3192">
        <v>0</v>
      </c>
      <c r="J3192" t="s">
        <v>97</v>
      </c>
      <c r="K3192">
        <v>0</v>
      </c>
      <c r="L3192">
        <v>0</v>
      </c>
      <c r="M3192" t="s">
        <v>11</v>
      </c>
    </row>
    <row r="3193" spans="1:13">
      <c r="A3193" s="93">
        <v>240107</v>
      </c>
      <c r="B3193" t="s">
        <v>3712</v>
      </c>
      <c r="C3193" t="s">
        <v>4920</v>
      </c>
      <c r="D3193" s="92">
        <v>0.61</v>
      </c>
      <c r="E3193" s="92">
        <v>0.47</v>
      </c>
      <c r="F3193">
        <v>1040</v>
      </c>
      <c r="G3193">
        <v>1140</v>
      </c>
      <c r="H3193" t="s">
        <v>4931</v>
      </c>
      <c r="I3193">
        <v>0</v>
      </c>
      <c r="J3193" t="s">
        <v>97</v>
      </c>
      <c r="K3193">
        <v>0</v>
      </c>
      <c r="L3193">
        <v>0</v>
      </c>
      <c r="M3193" t="s">
        <v>11</v>
      </c>
    </row>
    <row r="3194" spans="1:13">
      <c r="A3194" s="93">
        <v>240125</v>
      </c>
      <c r="B3194" t="s">
        <v>3713</v>
      </c>
      <c r="C3194" t="s">
        <v>4919</v>
      </c>
      <c r="D3194" s="92">
        <v>0.47</v>
      </c>
      <c r="E3194" s="92">
        <v>0.42</v>
      </c>
      <c r="F3194" t="s">
        <v>446</v>
      </c>
      <c r="G3194" t="s">
        <v>446</v>
      </c>
      <c r="H3194" t="s">
        <v>4932</v>
      </c>
      <c r="I3194">
        <v>0</v>
      </c>
      <c r="J3194" t="s">
        <v>97</v>
      </c>
      <c r="K3194">
        <v>0</v>
      </c>
      <c r="L3194">
        <v>0</v>
      </c>
      <c r="M3194" t="s">
        <v>11</v>
      </c>
    </row>
    <row r="3195" spans="1:13">
      <c r="A3195" s="93">
        <v>240170</v>
      </c>
      <c r="B3195" t="s">
        <v>3714</v>
      </c>
      <c r="C3195" t="s">
        <v>4919</v>
      </c>
      <c r="D3195" s="92">
        <v>0.6</v>
      </c>
      <c r="E3195" s="92">
        <v>0.45</v>
      </c>
      <c r="F3195" t="s">
        <v>446</v>
      </c>
      <c r="G3195" t="s">
        <v>446</v>
      </c>
      <c r="H3195" t="s">
        <v>4932</v>
      </c>
      <c r="I3195">
        <v>0</v>
      </c>
      <c r="J3195" t="s">
        <v>97</v>
      </c>
      <c r="K3195">
        <v>0</v>
      </c>
      <c r="L3195">
        <v>0</v>
      </c>
      <c r="M3195" t="s">
        <v>11</v>
      </c>
    </row>
    <row r="3196" spans="1:13">
      <c r="A3196" s="93">
        <v>240189</v>
      </c>
      <c r="B3196" t="s">
        <v>3715</v>
      </c>
      <c r="C3196" t="s">
        <v>4920</v>
      </c>
      <c r="D3196" s="92">
        <v>0.63</v>
      </c>
      <c r="E3196" s="92">
        <v>0.49</v>
      </c>
      <c r="F3196">
        <v>970</v>
      </c>
      <c r="G3196">
        <v>1075</v>
      </c>
      <c r="H3196" t="s">
        <v>4932</v>
      </c>
      <c r="I3196">
        <v>0</v>
      </c>
      <c r="J3196" t="s">
        <v>97</v>
      </c>
      <c r="K3196">
        <v>0</v>
      </c>
      <c r="L3196">
        <v>0</v>
      </c>
      <c r="M3196" t="s">
        <v>11</v>
      </c>
    </row>
    <row r="3197" spans="1:13">
      <c r="A3197" s="93">
        <v>240198</v>
      </c>
      <c r="B3197" t="s">
        <v>3716</v>
      </c>
      <c r="C3197" t="s">
        <v>4919</v>
      </c>
      <c r="D3197" s="92" t="s">
        <v>446</v>
      </c>
      <c r="E3197" s="92" t="s">
        <v>446</v>
      </c>
      <c r="F3197" t="s">
        <v>446</v>
      </c>
      <c r="G3197" t="s">
        <v>446</v>
      </c>
      <c r="H3197" t="s">
        <v>4932</v>
      </c>
      <c r="I3197">
        <v>0</v>
      </c>
      <c r="J3197" t="s">
        <v>97</v>
      </c>
      <c r="K3197">
        <v>0</v>
      </c>
      <c r="L3197">
        <v>0</v>
      </c>
      <c r="M3197" t="s">
        <v>11</v>
      </c>
    </row>
    <row r="3198" spans="1:13">
      <c r="A3198" s="93">
        <v>240213</v>
      </c>
      <c r="B3198" t="s">
        <v>3717</v>
      </c>
      <c r="C3198" t="s">
        <v>4924</v>
      </c>
      <c r="D3198" s="92" t="s">
        <v>446</v>
      </c>
      <c r="E3198" s="92" t="s">
        <v>446</v>
      </c>
      <c r="F3198" t="s">
        <v>446</v>
      </c>
      <c r="G3198" t="s">
        <v>446</v>
      </c>
      <c r="H3198" t="s">
        <v>4932</v>
      </c>
      <c r="I3198">
        <v>0</v>
      </c>
      <c r="J3198" t="s">
        <v>97</v>
      </c>
      <c r="K3198">
        <v>0</v>
      </c>
      <c r="L3198">
        <v>0</v>
      </c>
      <c r="M3198" t="s">
        <v>11</v>
      </c>
    </row>
    <row r="3199" spans="1:13">
      <c r="A3199" s="93">
        <v>240268</v>
      </c>
      <c r="B3199" t="s">
        <v>3718</v>
      </c>
      <c r="C3199" t="s">
        <v>4916</v>
      </c>
      <c r="D3199" s="92">
        <v>0.67</v>
      </c>
      <c r="E3199" s="92">
        <v>0.51</v>
      </c>
      <c r="F3199">
        <v>1080</v>
      </c>
      <c r="G3199">
        <v>1160</v>
      </c>
      <c r="H3199" t="s">
        <v>4932</v>
      </c>
      <c r="I3199">
        <v>0</v>
      </c>
      <c r="J3199" t="s">
        <v>97</v>
      </c>
      <c r="K3199">
        <v>0</v>
      </c>
      <c r="L3199">
        <v>0</v>
      </c>
      <c r="M3199" t="s">
        <v>11</v>
      </c>
    </row>
    <row r="3200" spans="1:13">
      <c r="A3200" s="93">
        <v>240329</v>
      </c>
      <c r="B3200" t="s">
        <v>3719</v>
      </c>
      <c r="C3200" t="s">
        <v>4920</v>
      </c>
      <c r="D3200" s="92">
        <v>0.73</v>
      </c>
      <c r="E3200" s="92">
        <v>0.63</v>
      </c>
      <c r="F3200">
        <v>1080</v>
      </c>
      <c r="G3200">
        <v>1160</v>
      </c>
      <c r="H3200" t="s">
        <v>4932</v>
      </c>
      <c r="I3200">
        <v>0</v>
      </c>
      <c r="J3200" t="s">
        <v>97</v>
      </c>
      <c r="K3200">
        <v>0</v>
      </c>
      <c r="L3200">
        <v>0</v>
      </c>
      <c r="M3200" t="s">
        <v>11</v>
      </c>
    </row>
    <row r="3201" spans="1:13">
      <c r="A3201" s="93">
        <v>240338</v>
      </c>
      <c r="B3201" t="s">
        <v>3720</v>
      </c>
      <c r="C3201" t="s">
        <v>4916</v>
      </c>
      <c r="D3201" s="92">
        <v>0.61</v>
      </c>
      <c r="E3201" s="92">
        <v>0.39</v>
      </c>
      <c r="F3201">
        <v>1080</v>
      </c>
      <c r="G3201">
        <v>1195</v>
      </c>
      <c r="H3201" t="s">
        <v>4931</v>
      </c>
      <c r="I3201">
        <v>0</v>
      </c>
      <c r="J3201" t="s">
        <v>97</v>
      </c>
      <c r="K3201">
        <v>0</v>
      </c>
      <c r="L3201">
        <v>0</v>
      </c>
      <c r="M3201" t="s">
        <v>11</v>
      </c>
    </row>
    <row r="3202" spans="1:13">
      <c r="A3202" s="93">
        <v>240417</v>
      </c>
      <c r="B3202" t="s">
        <v>3721</v>
      </c>
      <c r="C3202" t="s">
        <v>4920</v>
      </c>
      <c r="D3202" s="92">
        <v>0.59</v>
      </c>
      <c r="E3202" s="92">
        <v>0.45</v>
      </c>
      <c r="F3202">
        <v>1040</v>
      </c>
      <c r="G3202">
        <v>1140</v>
      </c>
      <c r="H3202" t="s">
        <v>4932</v>
      </c>
      <c r="I3202">
        <v>0</v>
      </c>
      <c r="J3202" t="s">
        <v>97</v>
      </c>
      <c r="K3202">
        <v>0</v>
      </c>
      <c r="L3202">
        <v>0</v>
      </c>
      <c r="M3202" t="s">
        <v>11</v>
      </c>
    </row>
    <row r="3203" spans="1:13">
      <c r="A3203" s="93">
        <v>240426</v>
      </c>
      <c r="B3203" t="s">
        <v>3722</v>
      </c>
      <c r="C3203" t="s">
        <v>4920</v>
      </c>
      <c r="D3203" s="92">
        <v>0.45</v>
      </c>
      <c r="E3203" s="92">
        <v>0.4</v>
      </c>
      <c r="F3203">
        <v>970</v>
      </c>
      <c r="G3203">
        <v>1075</v>
      </c>
      <c r="H3203" t="s">
        <v>4932</v>
      </c>
      <c r="I3203">
        <v>0</v>
      </c>
      <c r="J3203" t="s">
        <v>97</v>
      </c>
      <c r="K3203">
        <v>0</v>
      </c>
      <c r="L3203">
        <v>0</v>
      </c>
      <c r="M3203" t="s">
        <v>11</v>
      </c>
    </row>
    <row r="3204" spans="1:13">
      <c r="A3204" s="93">
        <v>240471</v>
      </c>
      <c r="B3204" t="s">
        <v>3723</v>
      </c>
      <c r="C3204" t="s">
        <v>4920</v>
      </c>
      <c r="D3204" s="92">
        <v>0.58</v>
      </c>
      <c r="E3204" s="92">
        <v>0.33</v>
      </c>
      <c r="F3204">
        <v>1010</v>
      </c>
      <c r="G3204">
        <v>1110</v>
      </c>
      <c r="H3204" t="s">
        <v>4931</v>
      </c>
      <c r="I3204">
        <v>0</v>
      </c>
      <c r="J3204" t="s">
        <v>97</v>
      </c>
      <c r="K3204">
        <v>0</v>
      </c>
      <c r="L3204">
        <v>0</v>
      </c>
      <c r="M3204" t="s">
        <v>11</v>
      </c>
    </row>
    <row r="3205" spans="1:13">
      <c r="A3205" s="93">
        <v>240480</v>
      </c>
      <c r="B3205" t="s">
        <v>3724</v>
      </c>
      <c r="C3205" t="s">
        <v>4920</v>
      </c>
      <c r="D3205" s="92">
        <v>0.55</v>
      </c>
      <c r="E3205" s="92">
        <v>0.31</v>
      </c>
      <c r="F3205">
        <v>1010</v>
      </c>
      <c r="G3205">
        <v>1110</v>
      </c>
      <c r="H3205" t="s">
        <v>4932</v>
      </c>
      <c r="I3205">
        <v>0</v>
      </c>
      <c r="J3205" t="s">
        <v>97</v>
      </c>
      <c r="K3205">
        <v>0</v>
      </c>
      <c r="L3205">
        <v>0</v>
      </c>
      <c r="M3205" t="s">
        <v>11</v>
      </c>
    </row>
    <row r="3206" spans="1:13">
      <c r="A3206" s="93">
        <v>240505</v>
      </c>
      <c r="B3206" t="s">
        <v>3725</v>
      </c>
      <c r="C3206" t="s">
        <v>4919</v>
      </c>
      <c r="D3206" s="92">
        <v>0.47</v>
      </c>
      <c r="E3206" s="92">
        <v>0.41</v>
      </c>
      <c r="F3206" t="s">
        <v>446</v>
      </c>
      <c r="G3206" t="s">
        <v>446</v>
      </c>
      <c r="H3206" t="s">
        <v>4932</v>
      </c>
      <c r="I3206">
        <v>0</v>
      </c>
      <c r="J3206" t="s">
        <v>97</v>
      </c>
      <c r="K3206">
        <v>0</v>
      </c>
      <c r="L3206">
        <v>0</v>
      </c>
      <c r="M3206" t="s">
        <v>11</v>
      </c>
    </row>
    <row r="3207" spans="1:13">
      <c r="A3207" s="93">
        <v>240514</v>
      </c>
      <c r="B3207" t="s">
        <v>3726</v>
      </c>
      <c r="C3207" t="s">
        <v>4919</v>
      </c>
      <c r="D3207" s="92">
        <v>0.38</v>
      </c>
      <c r="E3207" s="92">
        <v>0.33</v>
      </c>
      <c r="F3207" t="s">
        <v>446</v>
      </c>
      <c r="G3207" t="s">
        <v>446</v>
      </c>
      <c r="H3207" t="s">
        <v>4932</v>
      </c>
      <c r="I3207">
        <v>0</v>
      </c>
      <c r="J3207" t="s">
        <v>97</v>
      </c>
      <c r="K3207">
        <v>0</v>
      </c>
      <c r="L3207">
        <v>0</v>
      </c>
      <c r="M3207" t="s">
        <v>11</v>
      </c>
    </row>
    <row r="3208" spans="1:13">
      <c r="A3208" s="93">
        <v>240596</v>
      </c>
      <c r="B3208" t="s">
        <v>3727</v>
      </c>
      <c r="C3208" t="s">
        <v>4919</v>
      </c>
      <c r="D3208" s="92">
        <v>0.48</v>
      </c>
      <c r="E3208" s="92">
        <v>0.42</v>
      </c>
      <c r="F3208" t="s">
        <v>446</v>
      </c>
      <c r="G3208" t="s">
        <v>446</v>
      </c>
      <c r="H3208" t="s">
        <v>4932</v>
      </c>
      <c r="I3208">
        <v>0</v>
      </c>
      <c r="J3208" t="s">
        <v>97</v>
      </c>
      <c r="K3208">
        <v>0</v>
      </c>
      <c r="L3208">
        <v>0</v>
      </c>
      <c r="M3208" t="s">
        <v>11</v>
      </c>
    </row>
    <row r="3209" spans="1:13">
      <c r="A3209" s="93">
        <v>240620</v>
      </c>
      <c r="B3209" t="s">
        <v>3728</v>
      </c>
      <c r="C3209" t="s">
        <v>4919</v>
      </c>
      <c r="D3209" s="92">
        <v>0.28</v>
      </c>
      <c r="E3209" s="92">
        <v>0.29</v>
      </c>
      <c r="F3209" t="s">
        <v>446</v>
      </c>
      <c r="G3209" t="s">
        <v>446</v>
      </c>
      <c r="H3209" t="s">
        <v>4932</v>
      </c>
      <c r="I3209">
        <v>0</v>
      </c>
      <c r="J3209" t="s">
        <v>97</v>
      </c>
      <c r="K3209">
        <v>0</v>
      </c>
      <c r="L3209">
        <v>0</v>
      </c>
      <c r="M3209" t="s">
        <v>11</v>
      </c>
    </row>
    <row r="3210" spans="1:13">
      <c r="A3210" s="93">
        <v>240657</v>
      </c>
      <c r="B3210" t="s">
        <v>3729</v>
      </c>
      <c r="C3210" t="s">
        <v>4919</v>
      </c>
      <c r="D3210" s="92">
        <v>0.44</v>
      </c>
      <c r="E3210" s="92">
        <v>0.26</v>
      </c>
      <c r="F3210" t="s">
        <v>446</v>
      </c>
      <c r="G3210" t="s">
        <v>446</v>
      </c>
      <c r="H3210" t="s">
        <v>4932</v>
      </c>
      <c r="I3210">
        <v>0</v>
      </c>
      <c r="J3210" t="s">
        <v>97</v>
      </c>
      <c r="K3210">
        <v>0</v>
      </c>
      <c r="L3210">
        <v>0</v>
      </c>
      <c r="M3210" t="s">
        <v>11</v>
      </c>
    </row>
    <row r="3211" spans="1:13">
      <c r="A3211" s="93">
        <v>240666</v>
      </c>
      <c r="B3211" t="s">
        <v>3730</v>
      </c>
      <c r="C3211" t="s">
        <v>4919</v>
      </c>
      <c r="D3211" s="92">
        <v>0.52</v>
      </c>
      <c r="E3211" s="92">
        <v>0.47</v>
      </c>
      <c r="F3211" t="s">
        <v>446</v>
      </c>
      <c r="G3211" t="s">
        <v>446</v>
      </c>
      <c r="H3211" t="s">
        <v>4932</v>
      </c>
      <c r="I3211">
        <v>0</v>
      </c>
      <c r="J3211" t="s">
        <v>97</v>
      </c>
      <c r="K3211">
        <v>0</v>
      </c>
      <c r="L3211">
        <v>0</v>
      </c>
      <c r="M3211" t="s">
        <v>11</v>
      </c>
    </row>
    <row r="3212" spans="1:13">
      <c r="A3212" s="93">
        <v>240693</v>
      </c>
      <c r="B3212" t="s">
        <v>3731</v>
      </c>
      <c r="C3212" t="s">
        <v>4919</v>
      </c>
      <c r="D3212" s="92">
        <v>0.34</v>
      </c>
      <c r="E3212" s="92">
        <v>0.22</v>
      </c>
      <c r="F3212" t="s">
        <v>446</v>
      </c>
      <c r="G3212" t="s">
        <v>446</v>
      </c>
      <c r="H3212" t="s">
        <v>4932</v>
      </c>
      <c r="I3212">
        <v>0</v>
      </c>
      <c r="J3212" t="s">
        <v>97</v>
      </c>
      <c r="K3212">
        <v>0</v>
      </c>
      <c r="L3212">
        <v>0</v>
      </c>
      <c r="M3212" t="s">
        <v>11</v>
      </c>
    </row>
    <row r="3213" spans="1:13">
      <c r="A3213" s="93">
        <v>240718</v>
      </c>
      <c r="B3213" t="s">
        <v>3732</v>
      </c>
      <c r="C3213" t="s">
        <v>4919</v>
      </c>
      <c r="D3213" s="92" t="s">
        <v>446</v>
      </c>
      <c r="E3213" s="92" t="s">
        <v>446</v>
      </c>
      <c r="F3213" t="s">
        <v>446</v>
      </c>
      <c r="G3213" t="s">
        <v>446</v>
      </c>
      <c r="H3213" t="s">
        <v>4930</v>
      </c>
      <c r="I3213">
        <v>0</v>
      </c>
      <c r="J3213" t="s">
        <v>97</v>
      </c>
      <c r="K3213">
        <v>0</v>
      </c>
      <c r="L3213">
        <v>0</v>
      </c>
      <c r="M3213" t="s">
        <v>11</v>
      </c>
    </row>
    <row r="3214" spans="1:13">
      <c r="A3214" s="93">
        <v>240727</v>
      </c>
      <c r="B3214" t="s">
        <v>3733</v>
      </c>
      <c r="C3214" t="s">
        <v>4920</v>
      </c>
      <c r="D3214" s="92">
        <v>0.6</v>
      </c>
      <c r="E3214" s="92">
        <v>0.5</v>
      </c>
      <c r="F3214" t="s">
        <v>446</v>
      </c>
      <c r="G3214" t="s">
        <v>446</v>
      </c>
      <c r="H3214" t="s">
        <v>4930</v>
      </c>
      <c r="I3214">
        <v>0</v>
      </c>
      <c r="J3214" t="s">
        <v>97</v>
      </c>
      <c r="K3214">
        <v>0</v>
      </c>
      <c r="L3214">
        <v>0</v>
      </c>
      <c r="M3214" t="s">
        <v>11</v>
      </c>
    </row>
    <row r="3215" spans="1:13">
      <c r="A3215" s="93">
        <v>240736</v>
      </c>
      <c r="B3215" t="s">
        <v>3734</v>
      </c>
      <c r="C3215" t="s">
        <v>4923</v>
      </c>
      <c r="D3215" s="92">
        <v>1</v>
      </c>
      <c r="E3215" s="92" t="s">
        <v>446</v>
      </c>
      <c r="F3215" t="s">
        <v>446</v>
      </c>
      <c r="G3215" t="s">
        <v>446</v>
      </c>
      <c r="H3215" t="s">
        <v>4932</v>
      </c>
      <c r="I3215">
        <v>0</v>
      </c>
      <c r="J3215" t="s">
        <v>97</v>
      </c>
      <c r="K3215">
        <v>0</v>
      </c>
      <c r="L3215">
        <v>0</v>
      </c>
      <c r="M3215" t="s">
        <v>11</v>
      </c>
    </row>
    <row r="3216" spans="1:13">
      <c r="A3216" s="93">
        <v>240745</v>
      </c>
      <c r="B3216" t="s">
        <v>3735</v>
      </c>
      <c r="C3216" t="s">
        <v>4919</v>
      </c>
      <c r="D3216" s="92">
        <v>0.21</v>
      </c>
      <c r="E3216" s="92">
        <v>0.17</v>
      </c>
      <c r="F3216" t="s">
        <v>446</v>
      </c>
      <c r="G3216" t="s">
        <v>446</v>
      </c>
      <c r="H3216" t="s">
        <v>4932</v>
      </c>
      <c r="I3216">
        <v>0</v>
      </c>
      <c r="J3216" t="s">
        <v>97</v>
      </c>
      <c r="K3216">
        <v>0</v>
      </c>
      <c r="L3216">
        <v>0</v>
      </c>
      <c r="M3216" t="s">
        <v>11</v>
      </c>
    </row>
    <row r="3217" spans="1:13">
      <c r="A3217" s="93">
        <v>240754</v>
      </c>
      <c r="B3217" t="s">
        <v>3736</v>
      </c>
      <c r="C3217" t="s">
        <v>4923</v>
      </c>
      <c r="D3217" s="92">
        <v>0.39</v>
      </c>
      <c r="E3217" s="92">
        <v>0.26</v>
      </c>
      <c r="F3217" t="s">
        <v>446</v>
      </c>
      <c r="G3217" t="s">
        <v>446</v>
      </c>
      <c r="H3217" t="s">
        <v>4932</v>
      </c>
      <c r="I3217">
        <v>0</v>
      </c>
      <c r="J3217" t="s">
        <v>97</v>
      </c>
      <c r="K3217">
        <v>0</v>
      </c>
      <c r="L3217">
        <v>0</v>
      </c>
      <c r="M3217" t="s">
        <v>11</v>
      </c>
    </row>
    <row r="3218" spans="1:13">
      <c r="A3218" s="93">
        <v>240790</v>
      </c>
      <c r="B3218" t="s">
        <v>3737</v>
      </c>
      <c r="C3218" t="s">
        <v>4923</v>
      </c>
      <c r="D3218" s="92">
        <v>0.18</v>
      </c>
      <c r="E3218" s="92">
        <v>0</v>
      </c>
      <c r="F3218" t="s">
        <v>446</v>
      </c>
      <c r="G3218" t="s">
        <v>446</v>
      </c>
      <c r="H3218" t="s">
        <v>4932</v>
      </c>
      <c r="I3218">
        <v>0</v>
      </c>
      <c r="J3218" t="s">
        <v>97</v>
      </c>
      <c r="K3218">
        <v>0</v>
      </c>
      <c r="L3218">
        <v>0</v>
      </c>
      <c r="M3218" t="s">
        <v>11</v>
      </c>
    </row>
    <row r="3219" spans="1:13">
      <c r="A3219" s="93">
        <v>240985</v>
      </c>
      <c r="B3219" t="s">
        <v>3738</v>
      </c>
      <c r="C3219" t="s">
        <v>4919</v>
      </c>
      <c r="D3219" s="92" t="s">
        <v>446</v>
      </c>
      <c r="E3219" s="92" t="s">
        <v>446</v>
      </c>
      <c r="F3219" t="s">
        <v>446</v>
      </c>
      <c r="G3219" t="s">
        <v>446</v>
      </c>
      <c r="H3219" t="s">
        <v>4929</v>
      </c>
      <c r="I3219">
        <v>1</v>
      </c>
      <c r="J3219" t="s">
        <v>97</v>
      </c>
      <c r="K3219">
        <v>0</v>
      </c>
      <c r="L3219">
        <v>0</v>
      </c>
      <c r="M3219" t="s">
        <v>11</v>
      </c>
    </row>
    <row r="3220" spans="1:13">
      <c r="A3220" s="93">
        <v>241100</v>
      </c>
      <c r="B3220" t="s">
        <v>3739</v>
      </c>
      <c r="C3220" t="s">
        <v>4926</v>
      </c>
      <c r="D3220" s="92">
        <v>0.34</v>
      </c>
      <c r="E3220" s="92">
        <v>0.34</v>
      </c>
      <c r="F3220" t="s">
        <v>446</v>
      </c>
      <c r="G3220" t="s">
        <v>446</v>
      </c>
      <c r="H3220" t="s">
        <v>4931</v>
      </c>
      <c r="I3220">
        <v>0</v>
      </c>
      <c r="J3220" t="s">
        <v>97</v>
      </c>
      <c r="K3220">
        <v>0</v>
      </c>
      <c r="L3220">
        <v>0</v>
      </c>
      <c r="M3220" t="s">
        <v>11</v>
      </c>
    </row>
    <row r="3221" spans="1:13">
      <c r="A3221" s="93">
        <v>241128</v>
      </c>
      <c r="B3221" t="s">
        <v>3739</v>
      </c>
      <c r="C3221" t="s">
        <v>4923</v>
      </c>
      <c r="D3221" s="92">
        <v>0.32</v>
      </c>
      <c r="E3221" s="92">
        <v>0.32</v>
      </c>
      <c r="F3221" t="s">
        <v>446</v>
      </c>
      <c r="G3221" t="s">
        <v>446</v>
      </c>
      <c r="H3221" t="s">
        <v>4931</v>
      </c>
      <c r="I3221">
        <v>0</v>
      </c>
      <c r="J3221" t="s">
        <v>97</v>
      </c>
      <c r="K3221">
        <v>0</v>
      </c>
      <c r="L3221">
        <v>0</v>
      </c>
      <c r="M3221" t="s">
        <v>11</v>
      </c>
    </row>
    <row r="3222" spans="1:13">
      <c r="A3222" s="93">
        <v>241146</v>
      </c>
      <c r="B3222" t="s">
        <v>3740</v>
      </c>
      <c r="C3222" t="s">
        <v>4926</v>
      </c>
      <c r="D3222" s="92" t="s">
        <v>446</v>
      </c>
      <c r="E3222" s="92" t="s">
        <v>446</v>
      </c>
      <c r="F3222" t="s">
        <v>446</v>
      </c>
      <c r="G3222" t="s">
        <v>446</v>
      </c>
      <c r="H3222" t="s">
        <v>4931</v>
      </c>
      <c r="I3222">
        <v>0</v>
      </c>
      <c r="J3222" t="s">
        <v>97</v>
      </c>
      <c r="K3222">
        <v>0</v>
      </c>
      <c r="L3222">
        <v>0</v>
      </c>
      <c r="M3222" t="s">
        <v>11</v>
      </c>
    </row>
    <row r="3223" spans="1:13">
      <c r="A3223" s="93">
        <v>241182</v>
      </c>
      <c r="B3223" t="s">
        <v>3741</v>
      </c>
      <c r="C3223" t="s">
        <v>4919</v>
      </c>
      <c r="D3223" s="92" t="s">
        <v>446</v>
      </c>
      <c r="E3223" s="92" t="s">
        <v>446</v>
      </c>
      <c r="F3223" t="s">
        <v>446</v>
      </c>
      <c r="G3223" t="s">
        <v>446</v>
      </c>
      <c r="H3223" t="s">
        <v>4931</v>
      </c>
      <c r="I3223">
        <v>0</v>
      </c>
      <c r="J3223" t="s">
        <v>97</v>
      </c>
      <c r="K3223">
        <v>0</v>
      </c>
      <c r="L3223">
        <v>0</v>
      </c>
      <c r="M3223" t="s">
        <v>11</v>
      </c>
    </row>
    <row r="3224" spans="1:13">
      <c r="A3224" s="93">
        <v>241191</v>
      </c>
      <c r="B3224" t="s">
        <v>3742</v>
      </c>
      <c r="C3224" t="s">
        <v>4926</v>
      </c>
      <c r="D3224" s="92">
        <v>0.45</v>
      </c>
      <c r="E3224" s="92">
        <v>0.45</v>
      </c>
      <c r="F3224" t="s">
        <v>446</v>
      </c>
      <c r="G3224" t="s">
        <v>446</v>
      </c>
      <c r="H3224" t="s">
        <v>4928</v>
      </c>
      <c r="I3224">
        <v>1</v>
      </c>
      <c r="J3224" t="s">
        <v>97</v>
      </c>
      <c r="K3224">
        <v>0</v>
      </c>
      <c r="L3224">
        <v>0</v>
      </c>
      <c r="M3224" t="s">
        <v>11</v>
      </c>
    </row>
    <row r="3225" spans="1:13">
      <c r="A3225" s="93">
        <v>241216</v>
      </c>
      <c r="B3225" t="s">
        <v>3743</v>
      </c>
      <c r="C3225" t="s">
        <v>4923</v>
      </c>
      <c r="D3225" s="92">
        <v>0.41</v>
      </c>
      <c r="E3225" s="92">
        <v>0.41</v>
      </c>
      <c r="F3225" t="s">
        <v>446</v>
      </c>
      <c r="G3225" t="s">
        <v>446</v>
      </c>
      <c r="H3225" t="s">
        <v>4927</v>
      </c>
      <c r="I3225">
        <v>1</v>
      </c>
      <c r="J3225" t="s">
        <v>97</v>
      </c>
      <c r="K3225">
        <v>0</v>
      </c>
      <c r="L3225">
        <v>0</v>
      </c>
      <c r="M3225" t="s">
        <v>11</v>
      </c>
    </row>
    <row r="3226" spans="1:13">
      <c r="A3226" s="93">
        <v>241225</v>
      </c>
      <c r="B3226" t="s">
        <v>3744</v>
      </c>
      <c r="C3226" t="s">
        <v>4926</v>
      </c>
      <c r="D3226" s="92">
        <v>0.28</v>
      </c>
      <c r="E3226" s="92">
        <v>0.28</v>
      </c>
      <c r="F3226" t="s">
        <v>446</v>
      </c>
      <c r="G3226" t="s">
        <v>446</v>
      </c>
      <c r="H3226" t="s">
        <v>4931</v>
      </c>
      <c r="I3226">
        <v>0</v>
      </c>
      <c r="J3226" t="s">
        <v>97</v>
      </c>
      <c r="K3226">
        <v>0</v>
      </c>
      <c r="L3226">
        <v>0</v>
      </c>
      <c r="M3226" t="s">
        <v>11</v>
      </c>
    </row>
    <row r="3227" spans="1:13">
      <c r="A3227" s="93">
        <v>241304</v>
      </c>
      <c r="B3227" t="s">
        <v>3745</v>
      </c>
      <c r="C3227" t="s">
        <v>4923</v>
      </c>
      <c r="D3227" s="92">
        <v>0.38</v>
      </c>
      <c r="E3227" s="92">
        <v>0.38</v>
      </c>
      <c r="F3227" t="s">
        <v>446</v>
      </c>
      <c r="G3227" t="s">
        <v>446</v>
      </c>
      <c r="H3227" t="s">
        <v>4931</v>
      </c>
      <c r="I3227">
        <v>0</v>
      </c>
      <c r="J3227" t="s">
        <v>97</v>
      </c>
      <c r="K3227">
        <v>0</v>
      </c>
      <c r="L3227">
        <v>0</v>
      </c>
      <c r="M3227" t="s">
        <v>11</v>
      </c>
    </row>
    <row r="3228" spans="1:13">
      <c r="A3228" s="93">
        <v>241331</v>
      </c>
      <c r="B3228" t="s">
        <v>3746</v>
      </c>
      <c r="C3228" t="s">
        <v>4924</v>
      </c>
      <c r="D3228" s="92">
        <v>0.45</v>
      </c>
      <c r="E3228" s="92">
        <v>0.46</v>
      </c>
      <c r="F3228" t="s">
        <v>446</v>
      </c>
      <c r="G3228" t="s">
        <v>446</v>
      </c>
      <c r="H3228" t="s">
        <v>4931</v>
      </c>
      <c r="I3228">
        <v>0</v>
      </c>
      <c r="J3228" t="s">
        <v>97</v>
      </c>
      <c r="K3228">
        <v>0</v>
      </c>
      <c r="L3228">
        <v>0</v>
      </c>
      <c r="M3228" t="s">
        <v>11</v>
      </c>
    </row>
    <row r="3229" spans="1:13">
      <c r="A3229" s="93">
        <v>241377</v>
      </c>
      <c r="B3229" t="s">
        <v>3747</v>
      </c>
      <c r="C3229" t="s">
        <v>4926</v>
      </c>
      <c r="D3229" s="92">
        <v>0.13</v>
      </c>
      <c r="E3229" s="92">
        <v>0.13</v>
      </c>
      <c r="F3229" t="s">
        <v>446</v>
      </c>
      <c r="G3229" t="s">
        <v>446</v>
      </c>
      <c r="H3229" t="s">
        <v>4927</v>
      </c>
      <c r="I3229">
        <v>1</v>
      </c>
      <c r="J3229" t="s">
        <v>97</v>
      </c>
      <c r="K3229">
        <v>0</v>
      </c>
      <c r="L3229">
        <v>0</v>
      </c>
      <c r="M3229" t="s">
        <v>11</v>
      </c>
    </row>
    <row r="3230" spans="1:13">
      <c r="A3230" s="93">
        <v>241386</v>
      </c>
      <c r="B3230" t="s">
        <v>3748</v>
      </c>
      <c r="C3230" t="s">
        <v>4923</v>
      </c>
      <c r="D3230" s="92">
        <v>0.27</v>
      </c>
      <c r="E3230" s="92">
        <v>0.27</v>
      </c>
      <c r="F3230" t="s">
        <v>446</v>
      </c>
      <c r="G3230" t="s">
        <v>446</v>
      </c>
      <c r="H3230" t="s">
        <v>4927</v>
      </c>
      <c r="I3230">
        <v>1</v>
      </c>
      <c r="J3230" t="s">
        <v>97</v>
      </c>
      <c r="K3230">
        <v>0</v>
      </c>
      <c r="L3230">
        <v>0</v>
      </c>
      <c r="M3230" t="s">
        <v>11</v>
      </c>
    </row>
    <row r="3231" spans="1:13">
      <c r="A3231" s="93">
        <v>241395</v>
      </c>
      <c r="B3231" t="s">
        <v>3749</v>
      </c>
      <c r="C3231" t="s">
        <v>4924</v>
      </c>
      <c r="D3231" s="92">
        <v>0.36</v>
      </c>
      <c r="E3231" s="92">
        <v>0.36</v>
      </c>
      <c r="F3231" t="s">
        <v>446</v>
      </c>
      <c r="G3231" t="s">
        <v>446</v>
      </c>
      <c r="H3231" t="s">
        <v>4931</v>
      </c>
      <c r="I3231">
        <v>0</v>
      </c>
      <c r="J3231" t="s">
        <v>97</v>
      </c>
      <c r="K3231">
        <v>0</v>
      </c>
      <c r="L3231">
        <v>0</v>
      </c>
      <c r="M3231" t="s">
        <v>11</v>
      </c>
    </row>
    <row r="3232" spans="1:13">
      <c r="A3232" s="93">
        <v>241410</v>
      </c>
      <c r="B3232" t="s">
        <v>3750</v>
      </c>
      <c r="C3232" t="s">
        <v>4926</v>
      </c>
      <c r="D3232" s="92">
        <v>0.45</v>
      </c>
      <c r="E3232" s="92">
        <v>0.45</v>
      </c>
      <c r="F3232" t="s">
        <v>446</v>
      </c>
      <c r="G3232" t="s">
        <v>446</v>
      </c>
      <c r="H3232" t="s">
        <v>4929</v>
      </c>
      <c r="I3232">
        <v>1</v>
      </c>
      <c r="J3232" t="s">
        <v>97</v>
      </c>
      <c r="K3232">
        <v>0</v>
      </c>
      <c r="L3232">
        <v>0</v>
      </c>
      <c r="M3232" t="s">
        <v>11</v>
      </c>
    </row>
    <row r="3233" spans="1:13">
      <c r="A3233" s="93">
        <v>241517</v>
      </c>
      <c r="B3233" t="s">
        <v>3751</v>
      </c>
      <c r="C3233" t="s">
        <v>4923</v>
      </c>
      <c r="D3233" s="92">
        <v>0.41</v>
      </c>
      <c r="E3233" s="92">
        <v>0.41</v>
      </c>
      <c r="F3233" t="s">
        <v>446</v>
      </c>
      <c r="G3233" t="s">
        <v>446</v>
      </c>
      <c r="H3233" t="s">
        <v>4929</v>
      </c>
      <c r="I3233">
        <v>1</v>
      </c>
      <c r="J3233" t="s">
        <v>97</v>
      </c>
      <c r="K3233">
        <v>0</v>
      </c>
      <c r="L3233">
        <v>0</v>
      </c>
      <c r="M3233" t="s">
        <v>11</v>
      </c>
    </row>
    <row r="3234" spans="1:13">
      <c r="A3234" s="93">
        <v>241614</v>
      </c>
      <c r="B3234" t="s">
        <v>3752</v>
      </c>
      <c r="C3234" t="s">
        <v>4923</v>
      </c>
      <c r="D3234" s="92">
        <v>0.33</v>
      </c>
      <c r="E3234" s="92">
        <v>0.33</v>
      </c>
      <c r="F3234" t="s">
        <v>446</v>
      </c>
      <c r="G3234" t="s">
        <v>446</v>
      </c>
      <c r="H3234" t="s">
        <v>4931</v>
      </c>
      <c r="I3234">
        <v>0</v>
      </c>
      <c r="J3234" t="s">
        <v>97</v>
      </c>
      <c r="K3234">
        <v>0</v>
      </c>
      <c r="L3234">
        <v>0</v>
      </c>
      <c r="M3234" t="s">
        <v>11</v>
      </c>
    </row>
    <row r="3235" spans="1:13">
      <c r="A3235" s="93">
        <v>241720</v>
      </c>
      <c r="B3235" t="s">
        <v>3753</v>
      </c>
      <c r="C3235" t="s">
        <v>4924</v>
      </c>
      <c r="D3235" s="92">
        <v>0.23</v>
      </c>
      <c r="E3235" s="92">
        <v>0.23</v>
      </c>
      <c r="F3235" t="s">
        <v>446</v>
      </c>
      <c r="G3235" t="s">
        <v>446</v>
      </c>
      <c r="H3235" t="s">
        <v>4932</v>
      </c>
      <c r="I3235">
        <v>0</v>
      </c>
      <c r="J3235" t="s">
        <v>97</v>
      </c>
      <c r="K3235">
        <v>0</v>
      </c>
      <c r="L3235">
        <v>0</v>
      </c>
      <c r="M3235" t="s">
        <v>11</v>
      </c>
    </row>
    <row r="3236" spans="1:13">
      <c r="A3236" s="93">
        <v>241739</v>
      </c>
      <c r="B3236" t="s">
        <v>3754</v>
      </c>
      <c r="C3236" t="s">
        <v>4926</v>
      </c>
      <c r="D3236" s="92">
        <v>0.3</v>
      </c>
      <c r="E3236" s="92">
        <v>0.3</v>
      </c>
      <c r="F3236" t="s">
        <v>446</v>
      </c>
      <c r="G3236" t="s">
        <v>446</v>
      </c>
      <c r="H3236" t="s">
        <v>4928</v>
      </c>
      <c r="I3236">
        <v>1</v>
      </c>
      <c r="J3236" t="s">
        <v>97</v>
      </c>
      <c r="K3236">
        <v>0</v>
      </c>
      <c r="L3236">
        <v>0</v>
      </c>
      <c r="M3236" t="s">
        <v>11</v>
      </c>
    </row>
    <row r="3237" spans="1:13">
      <c r="A3237" s="93">
        <v>241766</v>
      </c>
      <c r="B3237" t="s">
        <v>3755</v>
      </c>
      <c r="C3237" t="s">
        <v>4926</v>
      </c>
      <c r="D3237" s="92">
        <v>0.58</v>
      </c>
      <c r="E3237" s="92">
        <v>0.58</v>
      </c>
      <c r="F3237" t="s">
        <v>446</v>
      </c>
      <c r="G3237" t="s">
        <v>446</v>
      </c>
      <c r="H3237" t="s">
        <v>4932</v>
      </c>
      <c r="I3237">
        <v>0</v>
      </c>
      <c r="J3237" t="s">
        <v>97</v>
      </c>
      <c r="K3237">
        <v>0</v>
      </c>
      <c r="L3237">
        <v>0</v>
      </c>
      <c r="M3237" t="s">
        <v>11</v>
      </c>
    </row>
    <row r="3238" spans="1:13">
      <c r="A3238" s="93">
        <v>241793</v>
      </c>
      <c r="B3238" t="s">
        <v>3756</v>
      </c>
      <c r="C3238" t="s">
        <v>4924</v>
      </c>
      <c r="D3238" s="92" t="s">
        <v>446</v>
      </c>
      <c r="E3238" s="92" t="s">
        <v>446</v>
      </c>
      <c r="F3238" t="s">
        <v>446</v>
      </c>
      <c r="G3238" t="s">
        <v>446</v>
      </c>
      <c r="H3238" t="s">
        <v>4932</v>
      </c>
      <c r="I3238">
        <v>0</v>
      </c>
      <c r="J3238" t="s">
        <v>97</v>
      </c>
      <c r="K3238">
        <v>0</v>
      </c>
      <c r="L3238">
        <v>0</v>
      </c>
      <c r="M3238" t="s">
        <v>11</v>
      </c>
    </row>
    <row r="3239" spans="1:13">
      <c r="A3239" s="93">
        <v>241836</v>
      </c>
      <c r="B3239" t="s">
        <v>3757</v>
      </c>
      <c r="C3239" t="s">
        <v>4924</v>
      </c>
      <c r="D3239" s="92">
        <v>1</v>
      </c>
      <c r="E3239" s="92">
        <v>1</v>
      </c>
      <c r="F3239" t="s">
        <v>446</v>
      </c>
      <c r="G3239" t="s">
        <v>446</v>
      </c>
      <c r="H3239" t="s">
        <v>4928</v>
      </c>
      <c r="I3239">
        <v>1</v>
      </c>
      <c r="J3239" t="s">
        <v>97</v>
      </c>
      <c r="K3239">
        <v>0</v>
      </c>
      <c r="L3239">
        <v>0</v>
      </c>
      <c r="M3239" t="s">
        <v>11</v>
      </c>
    </row>
    <row r="3240" spans="1:13">
      <c r="A3240" s="93">
        <v>241951</v>
      </c>
      <c r="B3240" t="s">
        <v>3758</v>
      </c>
      <c r="C3240" t="s">
        <v>4926</v>
      </c>
      <c r="D3240" s="92">
        <v>0.29</v>
      </c>
      <c r="E3240" s="92">
        <v>0.29</v>
      </c>
      <c r="F3240" t="s">
        <v>446</v>
      </c>
      <c r="G3240" t="s">
        <v>446</v>
      </c>
      <c r="H3240" t="s">
        <v>4932</v>
      </c>
      <c r="I3240">
        <v>0</v>
      </c>
      <c r="J3240" t="s">
        <v>97</v>
      </c>
      <c r="K3240">
        <v>0</v>
      </c>
      <c r="L3240">
        <v>0</v>
      </c>
      <c r="M3240" t="s">
        <v>11</v>
      </c>
    </row>
    <row r="3241" spans="1:13">
      <c r="A3241" s="93">
        <v>242042</v>
      </c>
      <c r="B3241" t="s">
        <v>3759</v>
      </c>
      <c r="C3241" t="s">
        <v>4919</v>
      </c>
      <c r="D3241" s="92" t="s">
        <v>446</v>
      </c>
      <c r="E3241" s="92" t="s">
        <v>446</v>
      </c>
      <c r="F3241" t="s">
        <v>446</v>
      </c>
      <c r="G3241" t="s">
        <v>446</v>
      </c>
      <c r="H3241" t="s">
        <v>4932</v>
      </c>
      <c r="I3241">
        <v>0</v>
      </c>
      <c r="J3241" t="s">
        <v>97</v>
      </c>
      <c r="K3241">
        <v>0</v>
      </c>
      <c r="L3241">
        <v>0</v>
      </c>
      <c r="M3241" t="s">
        <v>11</v>
      </c>
    </row>
    <row r="3242" spans="1:13">
      <c r="A3242" s="93">
        <v>242112</v>
      </c>
      <c r="B3242" t="s">
        <v>3760</v>
      </c>
      <c r="C3242" t="s">
        <v>4923</v>
      </c>
      <c r="D3242" s="92" t="s">
        <v>446</v>
      </c>
      <c r="E3242" s="92" t="s">
        <v>446</v>
      </c>
      <c r="F3242" t="s">
        <v>446</v>
      </c>
      <c r="G3242" t="s">
        <v>446</v>
      </c>
      <c r="H3242" t="s">
        <v>4928</v>
      </c>
      <c r="I3242">
        <v>1</v>
      </c>
      <c r="J3242" t="s">
        <v>97</v>
      </c>
      <c r="K3242">
        <v>0</v>
      </c>
      <c r="L3242">
        <v>0</v>
      </c>
      <c r="M3242" t="s">
        <v>11</v>
      </c>
    </row>
    <row r="3243" spans="1:13">
      <c r="A3243" s="93">
        <v>242121</v>
      </c>
      <c r="B3243" t="s">
        <v>3761</v>
      </c>
      <c r="C3243" t="s">
        <v>4923</v>
      </c>
      <c r="D3243" s="92">
        <v>0.42</v>
      </c>
      <c r="E3243" s="92">
        <v>0.42</v>
      </c>
      <c r="F3243" t="s">
        <v>446</v>
      </c>
      <c r="G3243" t="s">
        <v>446</v>
      </c>
      <c r="H3243" t="s">
        <v>4931</v>
      </c>
      <c r="I3243">
        <v>0</v>
      </c>
      <c r="J3243" t="s">
        <v>97</v>
      </c>
      <c r="K3243">
        <v>0</v>
      </c>
      <c r="L3243">
        <v>0</v>
      </c>
      <c r="M3243" t="s">
        <v>11</v>
      </c>
    </row>
    <row r="3244" spans="1:13">
      <c r="A3244" s="93">
        <v>242130</v>
      </c>
      <c r="B3244" t="s">
        <v>3762</v>
      </c>
      <c r="C3244" t="s">
        <v>4919</v>
      </c>
      <c r="D3244" s="92" t="s">
        <v>446</v>
      </c>
      <c r="E3244" s="92" t="s">
        <v>446</v>
      </c>
      <c r="F3244" t="s">
        <v>446</v>
      </c>
      <c r="G3244" t="s">
        <v>446</v>
      </c>
      <c r="H3244" t="s">
        <v>4931</v>
      </c>
      <c r="I3244">
        <v>0</v>
      </c>
      <c r="J3244" t="s">
        <v>97</v>
      </c>
      <c r="K3244">
        <v>0</v>
      </c>
      <c r="L3244">
        <v>0</v>
      </c>
      <c r="M3244" t="s">
        <v>11</v>
      </c>
    </row>
    <row r="3245" spans="1:13">
      <c r="A3245" s="93">
        <v>242149</v>
      </c>
      <c r="B3245" t="s">
        <v>3763</v>
      </c>
      <c r="C3245" t="s">
        <v>4919</v>
      </c>
      <c r="D3245" s="92" t="s">
        <v>446</v>
      </c>
      <c r="E3245" s="92" t="s">
        <v>446</v>
      </c>
      <c r="F3245" t="s">
        <v>446</v>
      </c>
      <c r="G3245" t="s">
        <v>446</v>
      </c>
      <c r="H3245" t="s">
        <v>4928</v>
      </c>
      <c r="I3245">
        <v>1</v>
      </c>
      <c r="J3245" t="s">
        <v>97</v>
      </c>
      <c r="K3245">
        <v>0</v>
      </c>
      <c r="L3245">
        <v>0</v>
      </c>
      <c r="M3245" t="s">
        <v>11</v>
      </c>
    </row>
    <row r="3246" spans="1:13">
      <c r="A3246" s="93">
        <v>242556</v>
      </c>
      <c r="B3246" t="s">
        <v>3764</v>
      </c>
      <c r="C3246" t="s">
        <v>4919</v>
      </c>
      <c r="D3246" s="92" t="s">
        <v>446</v>
      </c>
      <c r="E3246" s="92" t="s">
        <v>446</v>
      </c>
      <c r="F3246" t="s">
        <v>446</v>
      </c>
      <c r="G3246" t="s">
        <v>446</v>
      </c>
      <c r="H3246" t="s">
        <v>4932</v>
      </c>
      <c r="I3246">
        <v>0</v>
      </c>
      <c r="J3246" t="s">
        <v>97</v>
      </c>
      <c r="K3246">
        <v>0</v>
      </c>
      <c r="L3246">
        <v>0</v>
      </c>
      <c r="M3246" t="s">
        <v>11</v>
      </c>
    </row>
    <row r="3247" spans="1:13">
      <c r="A3247" s="93">
        <v>242565</v>
      </c>
      <c r="B3247" t="s">
        <v>3765</v>
      </c>
      <c r="C3247" t="s">
        <v>4919</v>
      </c>
      <c r="D3247" s="92" t="s">
        <v>446</v>
      </c>
      <c r="E3247" s="92" t="s">
        <v>446</v>
      </c>
      <c r="F3247" t="s">
        <v>446</v>
      </c>
      <c r="G3247" t="s">
        <v>446</v>
      </c>
      <c r="H3247" t="s">
        <v>4932</v>
      </c>
      <c r="I3247">
        <v>0</v>
      </c>
      <c r="J3247" t="s">
        <v>97</v>
      </c>
      <c r="K3247">
        <v>0</v>
      </c>
      <c r="L3247">
        <v>0</v>
      </c>
      <c r="M3247" t="s">
        <v>11</v>
      </c>
    </row>
    <row r="3248" spans="1:13">
      <c r="A3248" s="93">
        <v>242583</v>
      </c>
      <c r="B3248" t="s">
        <v>3766</v>
      </c>
      <c r="C3248" t="s">
        <v>4919</v>
      </c>
      <c r="D3248" s="92" t="s">
        <v>446</v>
      </c>
      <c r="E3248" s="92" t="s">
        <v>446</v>
      </c>
      <c r="F3248" t="s">
        <v>446</v>
      </c>
      <c r="G3248" t="s">
        <v>446</v>
      </c>
      <c r="H3248" t="s">
        <v>4932</v>
      </c>
      <c r="I3248">
        <v>0</v>
      </c>
      <c r="J3248" t="s">
        <v>97</v>
      </c>
      <c r="K3248">
        <v>0</v>
      </c>
      <c r="L3248">
        <v>0</v>
      </c>
      <c r="M3248" t="s">
        <v>11</v>
      </c>
    </row>
    <row r="3249" spans="1:13">
      <c r="A3249" s="93">
        <v>242617</v>
      </c>
      <c r="B3249" t="s">
        <v>3767</v>
      </c>
      <c r="C3249" t="s">
        <v>4926</v>
      </c>
      <c r="D3249" s="92">
        <v>0.44</v>
      </c>
      <c r="E3249" s="92">
        <v>0.44</v>
      </c>
      <c r="F3249" t="s">
        <v>446</v>
      </c>
      <c r="G3249" t="s">
        <v>446</v>
      </c>
      <c r="H3249" t="s">
        <v>4931</v>
      </c>
      <c r="I3249">
        <v>0</v>
      </c>
      <c r="J3249" t="s">
        <v>97</v>
      </c>
      <c r="K3249">
        <v>0</v>
      </c>
      <c r="L3249">
        <v>0</v>
      </c>
      <c r="M3249" t="s">
        <v>11</v>
      </c>
    </row>
    <row r="3250" spans="1:13">
      <c r="A3250" s="93">
        <v>242626</v>
      </c>
      <c r="B3250" t="s">
        <v>3768</v>
      </c>
      <c r="C3250" t="s">
        <v>4926</v>
      </c>
      <c r="D3250" s="92">
        <v>0.34</v>
      </c>
      <c r="E3250" s="92">
        <v>0.34</v>
      </c>
      <c r="F3250" t="s">
        <v>446</v>
      </c>
      <c r="G3250" t="s">
        <v>446</v>
      </c>
      <c r="H3250" t="s">
        <v>4931</v>
      </c>
      <c r="I3250">
        <v>0</v>
      </c>
      <c r="J3250" t="s">
        <v>97</v>
      </c>
      <c r="K3250">
        <v>0</v>
      </c>
      <c r="L3250">
        <v>0</v>
      </c>
      <c r="M3250" t="s">
        <v>11</v>
      </c>
    </row>
    <row r="3251" spans="1:13">
      <c r="A3251" s="93">
        <v>242635</v>
      </c>
      <c r="B3251" t="s">
        <v>3769</v>
      </c>
      <c r="C3251" t="s">
        <v>4926</v>
      </c>
      <c r="D3251" s="92">
        <v>0.36</v>
      </c>
      <c r="E3251" s="92">
        <v>0.36</v>
      </c>
      <c r="F3251" t="s">
        <v>446</v>
      </c>
      <c r="G3251" t="s">
        <v>446</v>
      </c>
      <c r="H3251" t="s">
        <v>4929</v>
      </c>
      <c r="I3251">
        <v>1</v>
      </c>
      <c r="J3251" t="s">
        <v>97</v>
      </c>
      <c r="K3251">
        <v>0</v>
      </c>
      <c r="L3251">
        <v>0</v>
      </c>
      <c r="M3251" t="s">
        <v>11</v>
      </c>
    </row>
    <row r="3252" spans="1:13">
      <c r="A3252" s="93">
        <v>242644</v>
      </c>
      <c r="B3252" t="s">
        <v>3770</v>
      </c>
      <c r="C3252" t="s">
        <v>4926</v>
      </c>
      <c r="D3252" s="92">
        <v>0.48</v>
      </c>
      <c r="E3252" s="92">
        <v>0.48</v>
      </c>
      <c r="F3252" t="s">
        <v>446</v>
      </c>
      <c r="G3252" t="s">
        <v>446</v>
      </c>
      <c r="H3252" t="s">
        <v>4928</v>
      </c>
      <c r="I3252">
        <v>1</v>
      </c>
      <c r="J3252" t="s">
        <v>97</v>
      </c>
      <c r="K3252">
        <v>0</v>
      </c>
      <c r="L3252">
        <v>0</v>
      </c>
      <c r="M3252" t="s">
        <v>11</v>
      </c>
    </row>
    <row r="3253" spans="1:13">
      <c r="A3253" s="93">
        <v>242653</v>
      </c>
      <c r="B3253" t="s">
        <v>3771</v>
      </c>
      <c r="C3253" t="s">
        <v>4926</v>
      </c>
      <c r="D3253" s="92">
        <v>0.34</v>
      </c>
      <c r="E3253" s="92">
        <v>0.33</v>
      </c>
      <c r="F3253" t="s">
        <v>446</v>
      </c>
      <c r="G3253" t="s">
        <v>446</v>
      </c>
      <c r="H3253" t="s">
        <v>4931</v>
      </c>
      <c r="I3253">
        <v>0</v>
      </c>
      <c r="J3253" t="s">
        <v>97</v>
      </c>
      <c r="K3253">
        <v>0</v>
      </c>
      <c r="L3253">
        <v>0</v>
      </c>
      <c r="M3253" t="s">
        <v>11</v>
      </c>
    </row>
    <row r="3254" spans="1:13">
      <c r="A3254" s="93">
        <v>242662</v>
      </c>
      <c r="B3254" t="s">
        <v>3772</v>
      </c>
      <c r="C3254" t="s">
        <v>4926</v>
      </c>
      <c r="D3254" s="92">
        <v>0.36</v>
      </c>
      <c r="E3254" s="92">
        <v>0.36</v>
      </c>
      <c r="F3254" t="s">
        <v>446</v>
      </c>
      <c r="G3254" t="s">
        <v>446</v>
      </c>
      <c r="H3254" t="s">
        <v>4931</v>
      </c>
      <c r="I3254">
        <v>0</v>
      </c>
      <c r="J3254" t="s">
        <v>97</v>
      </c>
      <c r="K3254">
        <v>0</v>
      </c>
      <c r="L3254">
        <v>0</v>
      </c>
      <c r="M3254" t="s">
        <v>11</v>
      </c>
    </row>
    <row r="3255" spans="1:13">
      <c r="A3255" s="93">
        <v>242680</v>
      </c>
      <c r="B3255" t="s">
        <v>3773</v>
      </c>
      <c r="C3255" t="s">
        <v>4926</v>
      </c>
      <c r="D3255" s="92">
        <v>0.34</v>
      </c>
      <c r="E3255" s="92">
        <v>0.34</v>
      </c>
      <c r="F3255" t="s">
        <v>446</v>
      </c>
      <c r="G3255" t="s">
        <v>446</v>
      </c>
      <c r="H3255" t="s">
        <v>4931</v>
      </c>
      <c r="I3255">
        <v>0</v>
      </c>
      <c r="J3255" t="s">
        <v>97</v>
      </c>
      <c r="K3255">
        <v>0</v>
      </c>
      <c r="L3255">
        <v>0</v>
      </c>
      <c r="M3255" t="s">
        <v>11</v>
      </c>
    </row>
    <row r="3256" spans="1:13">
      <c r="A3256" s="93">
        <v>242699</v>
      </c>
      <c r="B3256" t="s">
        <v>3774</v>
      </c>
      <c r="C3256" t="s">
        <v>4924</v>
      </c>
      <c r="D3256" s="92">
        <v>0.39</v>
      </c>
      <c r="E3256" s="92">
        <v>0.39</v>
      </c>
      <c r="F3256" t="s">
        <v>446</v>
      </c>
      <c r="G3256" t="s">
        <v>446</v>
      </c>
      <c r="H3256" t="s">
        <v>4931</v>
      </c>
      <c r="I3256">
        <v>0</v>
      </c>
      <c r="J3256" t="s">
        <v>97</v>
      </c>
      <c r="K3256">
        <v>0</v>
      </c>
      <c r="L3256">
        <v>0</v>
      </c>
      <c r="M3256" t="s">
        <v>11</v>
      </c>
    </row>
    <row r="3257" spans="1:13">
      <c r="A3257" s="93">
        <v>242705</v>
      </c>
      <c r="B3257" t="s">
        <v>3775</v>
      </c>
      <c r="C3257" t="s">
        <v>4926</v>
      </c>
      <c r="D3257" s="92">
        <v>0.31</v>
      </c>
      <c r="E3257" s="92">
        <v>0.31</v>
      </c>
      <c r="F3257" t="s">
        <v>446</v>
      </c>
      <c r="G3257" t="s">
        <v>446</v>
      </c>
      <c r="H3257" t="s">
        <v>4931</v>
      </c>
      <c r="I3257">
        <v>0</v>
      </c>
      <c r="J3257" t="s">
        <v>97</v>
      </c>
      <c r="K3257">
        <v>0</v>
      </c>
      <c r="L3257">
        <v>0</v>
      </c>
      <c r="M3257" t="s">
        <v>11</v>
      </c>
    </row>
    <row r="3258" spans="1:13">
      <c r="A3258" s="93">
        <v>242723</v>
      </c>
      <c r="B3258" t="s">
        <v>3776</v>
      </c>
      <c r="C3258" t="s">
        <v>4924</v>
      </c>
      <c r="D3258" s="92" t="s">
        <v>446</v>
      </c>
      <c r="E3258" s="92" t="s">
        <v>446</v>
      </c>
      <c r="F3258" t="s">
        <v>446</v>
      </c>
      <c r="G3258" t="s">
        <v>446</v>
      </c>
      <c r="H3258" t="s">
        <v>4932</v>
      </c>
      <c r="I3258">
        <v>0</v>
      </c>
      <c r="J3258" t="s">
        <v>97</v>
      </c>
      <c r="K3258">
        <v>0</v>
      </c>
      <c r="L3258">
        <v>0</v>
      </c>
      <c r="M3258" t="s">
        <v>11</v>
      </c>
    </row>
    <row r="3259" spans="1:13">
      <c r="A3259" s="93">
        <v>242820</v>
      </c>
      <c r="B3259" t="s">
        <v>3777</v>
      </c>
      <c r="C3259" t="s">
        <v>4919</v>
      </c>
      <c r="D3259" s="92" t="s">
        <v>446</v>
      </c>
      <c r="E3259" s="92" t="s">
        <v>446</v>
      </c>
      <c r="F3259" t="s">
        <v>446</v>
      </c>
      <c r="G3259" t="s">
        <v>446</v>
      </c>
      <c r="H3259" t="s">
        <v>4931</v>
      </c>
      <c r="I3259">
        <v>0</v>
      </c>
      <c r="J3259" t="s">
        <v>97</v>
      </c>
      <c r="K3259">
        <v>0</v>
      </c>
      <c r="L3259">
        <v>0</v>
      </c>
      <c r="M3259" t="s">
        <v>11</v>
      </c>
    </row>
    <row r="3260" spans="1:13">
      <c r="A3260" s="93">
        <v>242972</v>
      </c>
      <c r="B3260" t="s">
        <v>3778</v>
      </c>
      <c r="C3260" t="s">
        <v>4924</v>
      </c>
      <c r="D3260" s="92">
        <v>0.19</v>
      </c>
      <c r="E3260" s="92">
        <v>0.19</v>
      </c>
      <c r="F3260" t="s">
        <v>446</v>
      </c>
      <c r="G3260" t="s">
        <v>446</v>
      </c>
      <c r="H3260" t="s">
        <v>4931</v>
      </c>
      <c r="I3260">
        <v>0</v>
      </c>
      <c r="J3260" t="s">
        <v>97</v>
      </c>
      <c r="K3260">
        <v>0</v>
      </c>
      <c r="L3260">
        <v>0</v>
      </c>
      <c r="M3260" t="s">
        <v>11</v>
      </c>
    </row>
    <row r="3261" spans="1:13">
      <c r="A3261" s="93">
        <v>243081</v>
      </c>
      <c r="B3261" t="s">
        <v>3779</v>
      </c>
      <c r="C3261" t="s">
        <v>4923</v>
      </c>
      <c r="D3261" s="92" t="s">
        <v>446</v>
      </c>
      <c r="E3261" s="92" t="s">
        <v>446</v>
      </c>
      <c r="F3261" t="s">
        <v>446</v>
      </c>
      <c r="G3261" t="s">
        <v>446</v>
      </c>
      <c r="H3261" t="s">
        <v>4932</v>
      </c>
      <c r="I3261">
        <v>0</v>
      </c>
      <c r="J3261" t="s">
        <v>97</v>
      </c>
      <c r="K3261">
        <v>0</v>
      </c>
      <c r="L3261">
        <v>0</v>
      </c>
      <c r="M3261" t="s">
        <v>11</v>
      </c>
    </row>
    <row r="3262" spans="1:13">
      <c r="A3262" s="93">
        <v>243106</v>
      </c>
      <c r="B3262" t="s">
        <v>3780</v>
      </c>
      <c r="C3262" t="s">
        <v>4923</v>
      </c>
      <c r="D3262" s="92">
        <v>0.46</v>
      </c>
      <c r="E3262" s="92">
        <v>0.46</v>
      </c>
      <c r="F3262">
        <v>870</v>
      </c>
      <c r="G3262">
        <v>975</v>
      </c>
      <c r="H3262" t="s">
        <v>4932</v>
      </c>
      <c r="I3262">
        <v>0</v>
      </c>
      <c r="J3262" t="s">
        <v>97</v>
      </c>
      <c r="K3262">
        <v>0</v>
      </c>
      <c r="L3262">
        <v>0</v>
      </c>
      <c r="M3262" t="s">
        <v>11</v>
      </c>
    </row>
    <row r="3263" spans="1:13">
      <c r="A3263" s="93">
        <v>243115</v>
      </c>
      <c r="B3263" t="s">
        <v>3781</v>
      </c>
      <c r="C3263" t="s">
        <v>4926</v>
      </c>
      <c r="D3263" s="92">
        <v>0.5</v>
      </c>
      <c r="E3263" s="92">
        <v>0.5</v>
      </c>
      <c r="F3263" t="s">
        <v>446</v>
      </c>
      <c r="G3263" t="s">
        <v>446</v>
      </c>
      <c r="H3263" t="s">
        <v>4932</v>
      </c>
      <c r="I3263">
        <v>0</v>
      </c>
      <c r="J3263" t="s">
        <v>97</v>
      </c>
      <c r="K3263">
        <v>0</v>
      </c>
      <c r="L3263">
        <v>0</v>
      </c>
      <c r="M3263" t="s">
        <v>11</v>
      </c>
    </row>
    <row r="3264" spans="1:13">
      <c r="A3264" s="93">
        <v>243133</v>
      </c>
      <c r="B3264" t="s">
        <v>3782</v>
      </c>
      <c r="C3264" t="s">
        <v>4926</v>
      </c>
      <c r="D3264" s="92">
        <v>0.29</v>
      </c>
      <c r="E3264" s="92">
        <v>0.29</v>
      </c>
      <c r="F3264" t="s">
        <v>446</v>
      </c>
      <c r="G3264" t="s">
        <v>446</v>
      </c>
      <c r="H3264" t="s">
        <v>4932</v>
      </c>
      <c r="I3264">
        <v>0</v>
      </c>
      <c r="J3264" t="s">
        <v>97</v>
      </c>
      <c r="K3264">
        <v>0</v>
      </c>
      <c r="L3264">
        <v>0</v>
      </c>
      <c r="M3264" t="s">
        <v>11</v>
      </c>
    </row>
    <row r="3265" spans="1:13">
      <c r="A3265" s="93">
        <v>243142</v>
      </c>
      <c r="B3265" t="s">
        <v>3783</v>
      </c>
      <c r="C3265" t="s">
        <v>4918</v>
      </c>
      <c r="D3265" s="92">
        <v>0.47</v>
      </c>
      <c r="E3265" s="92">
        <v>0.46</v>
      </c>
      <c r="F3265">
        <v>820</v>
      </c>
      <c r="G3265">
        <v>940</v>
      </c>
      <c r="H3265" t="s">
        <v>4932</v>
      </c>
      <c r="I3265">
        <v>0</v>
      </c>
      <c r="J3265" t="s">
        <v>97</v>
      </c>
      <c r="K3265">
        <v>0</v>
      </c>
      <c r="L3265">
        <v>0</v>
      </c>
      <c r="M3265" t="s">
        <v>11</v>
      </c>
    </row>
    <row r="3266" spans="1:13">
      <c r="A3266" s="93">
        <v>243151</v>
      </c>
      <c r="B3266" t="s">
        <v>3784</v>
      </c>
      <c r="C3266" t="s">
        <v>4926</v>
      </c>
      <c r="D3266" s="92">
        <v>0.5</v>
      </c>
      <c r="E3266" s="92">
        <v>0.5</v>
      </c>
      <c r="F3266">
        <v>900</v>
      </c>
      <c r="G3266">
        <v>1015</v>
      </c>
      <c r="H3266" t="s">
        <v>4932</v>
      </c>
      <c r="I3266">
        <v>0</v>
      </c>
      <c r="J3266" t="s">
        <v>97</v>
      </c>
      <c r="K3266">
        <v>0</v>
      </c>
      <c r="L3266">
        <v>0</v>
      </c>
      <c r="M3266" t="s">
        <v>11</v>
      </c>
    </row>
    <row r="3267" spans="1:13">
      <c r="A3267" s="93">
        <v>243188</v>
      </c>
      <c r="B3267" t="s">
        <v>3785</v>
      </c>
      <c r="C3267" t="s">
        <v>4924</v>
      </c>
      <c r="D3267" s="92">
        <v>0.16</v>
      </c>
      <c r="E3267" s="92">
        <v>0.15</v>
      </c>
      <c r="F3267" t="s">
        <v>446</v>
      </c>
      <c r="G3267" t="s">
        <v>446</v>
      </c>
      <c r="H3267" t="s">
        <v>4932</v>
      </c>
      <c r="I3267">
        <v>0</v>
      </c>
      <c r="J3267" t="s">
        <v>97</v>
      </c>
      <c r="K3267">
        <v>0</v>
      </c>
      <c r="L3267">
        <v>0</v>
      </c>
      <c r="M3267" t="s">
        <v>11</v>
      </c>
    </row>
    <row r="3268" spans="1:13">
      <c r="A3268" s="93">
        <v>243203</v>
      </c>
      <c r="B3268" t="s">
        <v>3786</v>
      </c>
      <c r="C3268" t="s">
        <v>4924</v>
      </c>
      <c r="D3268" s="92" t="s">
        <v>446</v>
      </c>
      <c r="E3268" s="92" t="s">
        <v>446</v>
      </c>
      <c r="F3268" t="s">
        <v>446</v>
      </c>
      <c r="G3268" t="s">
        <v>446</v>
      </c>
      <c r="H3268" t="s">
        <v>4932</v>
      </c>
      <c r="I3268">
        <v>0</v>
      </c>
      <c r="J3268" t="s">
        <v>97</v>
      </c>
      <c r="K3268">
        <v>0</v>
      </c>
      <c r="L3268">
        <v>0</v>
      </c>
      <c r="M3268" t="s">
        <v>11</v>
      </c>
    </row>
    <row r="3269" spans="1:13">
      <c r="A3269" s="93">
        <v>243212</v>
      </c>
      <c r="B3269" t="s">
        <v>3787</v>
      </c>
      <c r="C3269" t="s">
        <v>4924</v>
      </c>
      <c r="D3269" s="92">
        <v>0.48</v>
      </c>
      <c r="E3269" s="92">
        <v>0.48</v>
      </c>
      <c r="F3269" t="s">
        <v>446</v>
      </c>
      <c r="G3269" t="s">
        <v>446</v>
      </c>
      <c r="H3269" t="s">
        <v>4932</v>
      </c>
      <c r="I3269">
        <v>0</v>
      </c>
      <c r="J3269" t="s">
        <v>97</v>
      </c>
      <c r="K3269">
        <v>0</v>
      </c>
      <c r="L3269">
        <v>0</v>
      </c>
      <c r="M3269" t="s">
        <v>11</v>
      </c>
    </row>
    <row r="3270" spans="1:13">
      <c r="A3270" s="93">
        <v>243221</v>
      </c>
      <c r="B3270" t="s">
        <v>3788</v>
      </c>
      <c r="C3270" t="s">
        <v>4926</v>
      </c>
      <c r="D3270" s="92">
        <v>0.5</v>
      </c>
      <c r="E3270" s="92">
        <v>0.51</v>
      </c>
      <c r="F3270" t="s">
        <v>446</v>
      </c>
      <c r="G3270" t="s">
        <v>446</v>
      </c>
      <c r="H3270" t="s">
        <v>4932</v>
      </c>
      <c r="I3270">
        <v>0</v>
      </c>
      <c r="J3270" t="s">
        <v>97</v>
      </c>
      <c r="K3270">
        <v>0</v>
      </c>
      <c r="L3270">
        <v>0</v>
      </c>
      <c r="M3270" t="s">
        <v>11</v>
      </c>
    </row>
    <row r="3271" spans="1:13">
      <c r="A3271" s="93">
        <v>243346</v>
      </c>
      <c r="B3271" t="s">
        <v>3789</v>
      </c>
      <c r="C3271" t="s">
        <v>4923</v>
      </c>
      <c r="D3271" s="92">
        <v>0.3</v>
      </c>
      <c r="E3271" s="92">
        <v>0.3</v>
      </c>
      <c r="F3271" t="s">
        <v>446</v>
      </c>
      <c r="G3271" t="s">
        <v>446</v>
      </c>
      <c r="H3271" t="s">
        <v>4931</v>
      </c>
      <c r="I3271">
        <v>0</v>
      </c>
      <c r="J3271" t="s">
        <v>97</v>
      </c>
      <c r="K3271">
        <v>0</v>
      </c>
      <c r="L3271">
        <v>0</v>
      </c>
      <c r="M3271" t="s">
        <v>11</v>
      </c>
    </row>
    <row r="3272" spans="1:13">
      <c r="A3272" s="93">
        <v>243443</v>
      </c>
      <c r="B3272" t="s">
        <v>3790</v>
      </c>
      <c r="C3272" t="s">
        <v>4926</v>
      </c>
      <c r="D3272" s="92">
        <v>0.41</v>
      </c>
      <c r="E3272" s="92">
        <v>0.41</v>
      </c>
      <c r="F3272" t="s">
        <v>446</v>
      </c>
      <c r="G3272" t="s">
        <v>446</v>
      </c>
      <c r="H3272" t="s">
        <v>4931</v>
      </c>
      <c r="I3272">
        <v>0</v>
      </c>
      <c r="J3272" t="s">
        <v>97</v>
      </c>
      <c r="K3272">
        <v>0</v>
      </c>
      <c r="L3272">
        <v>0</v>
      </c>
      <c r="M3272" t="s">
        <v>11</v>
      </c>
    </row>
    <row r="3273" spans="1:13">
      <c r="A3273" s="93">
        <v>243498</v>
      </c>
      <c r="B3273" t="s">
        <v>3791</v>
      </c>
      <c r="C3273" t="s">
        <v>4924</v>
      </c>
      <c r="D3273" s="92" t="s">
        <v>446</v>
      </c>
      <c r="E3273" s="92" t="s">
        <v>446</v>
      </c>
      <c r="F3273" t="s">
        <v>446</v>
      </c>
      <c r="G3273" t="s">
        <v>446</v>
      </c>
      <c r="H3273" t="s">
        <v>4932</v>
      </c>
      <c r="I3273">
        <v>0</v>
      </c>
      <c r="J3273" t="s">
        <v>97</v>
      </c>
      <c r="K3273">
        <v>0</v>
      </c>
      <c r="L3273">
        <v>0</v>
      </c>
      <c r="M3273" t="s">
        <v>11</v>
      </c>
    </row>
    <row r="3274" spans="1:13">
      <c r="A3274" s="93">
        <v>243568</v>
      </c>
      <c r="B3274" t="s">
        <v>3792</v>
      </c>
      <c r="C3274" t="s">
        <v>4924</v>
      </c>
      <c r="D3274" s="92">
        <v>0.36</v>
      </c>
      <c r="E3274" s="92">
        <v>0.36</v>
      </c>
      <c r="F3274" t="s">
        <v>446</v>
      </c>
      <c r="G3274" t="s">
        <v>446</v>
      </c>
      <c r="H3274" t="s">
        <v>4931</v>
      </c>
      <c r="I3274">
        <v>0</v>
      </c>
      <c r="J3274" t="s">
        <v>97</v>
      </c>
      <c r="K3274">
        <v>0</v>
      </c>
      <c r="L3274">
        <v>0</v>
      </c>
      <c r="M3274" t="s">
        <v>11</v>
      </c>
    </row>
    <row r="3275" spans="1:13">
      <c r="A3275" s="93">
        <v>243577</v>
      </c>
      <c r="B3275" t="s">
        <v>3793</v>
      </c>
      <c r="C3275" t="s">
        <v>4926</v>
      </c>
      <c r="D3275" s="92">
        <v>0.2</v>
      </c>
      <c r="E3275" s="92">
        <v>0.2</v>
      </c>
      <c r="F3275" t="s">
        <v>446</v>
      </c>
      <c r="G3275" t="s">
        <v>446</v>
      </c>
      <c r="H3275" t="s">
        <v>4931</v>
      </c>
      <c r="I3275">
        <v>0</v>
      </c>
      <c r="J3275" t="s">
        <v>97</v>
      </c>
      <c r="K3275">
        <v>0</v>
      </c>
      <c r="L3275">
        <v>0</v>
      </c>
      <c r="M3275" t="s">
        <v>11</v>
      </c>
    </row>
    <row r="3276" spans="1:13">
      <c r="A3276" s="93">
        <v>243586</v>
      </c>
      <c r="B3276" t="s">
        <v>3794</v>
      </c>
      <c r="C3276" t="s">
        <v>4924</v>
      </c>
      <c r="D3276" s="92">
        <v>0.34</v>
      </c>
      <c r="E3276" s="92">
        <v>0.35</v>
      </c>
      <c r="F3276" t="s">
        <v>446</v>
      </c>
      <c r="G3276" t="s">
        <v>446</v>
      </c>
      <c r="H3276" t="s">
        <v>4928</v>
      </c>
      <c r="I3276">
        <v>1</v>
      </c>
      <c r="J3276" t="s">
        <v>97</v>
      </c>
      <c r="K3276">
        <v>0</v>
      </c>
      <c r="L3276">
        <v>0</v>
      </c>
      <c r="M3276" t="s">
        <v>11</v>
      </c>
    </row>
    <row r="3277" spans="1:13">
      <c r="A3277" s="93">
        <v>243601</v>
      </c>
      <c r="B3277" t="s">
        <v>3795</v>
      </c>
      <c r="C3277" t="s">
        <v>4926</v>
      </c>
      <c r="D3277" s="92">
        <v>0.28</v>
      </c>
      <c r="E3277" s="92">
        <v>0.28</v>
      </c>
      <c r="F3277" t="s">
        <v>446</v>
      </c>
      <c r="G3277" t="s">
        <v>446</v>
      </c>
      <c r="H3277" t="s">
        <v>4931</v>
      </c>
      <c r="I3277">
        <v>0</v>
      </c>
      <c r="J3277" t="s">
        <v>97</v>
      </c>
      <c r="K3277">
        <v>0</v>
      </c>
      <c r="L3277">
        <v>0</v>
      </c>
      <c r="M3277" t="s">
        <v>11</v>
      </c>
    </row>
    <row r="3278" spans="1:13">
      <c r="A3278" s="93">
        <v>243638</v>
      </c>
      <c r="B3278" t="s">
        <v>3796</v>
      </c>
      <c r="C3278" t="s">
        <v>4925</v>
      </c>
      <c r="D3278" s="92">
        <v>0.26</v>
      </c>
      <c r="E3278" s="92" t="s">
        <v>446</v>
      </c>
      <c r="F3278" t="s">
        <v>446</v>
      </c>
      <c r="G3278" t="s">
        <v>446</v>
      </c>
      <c r="H3278" t="s">
        <v>4932</v>
      </c>
      <c r="I3278">
        <v>0</v>
      </c>
      <c r="J3278" t="s">
        <v>97</v>
      </c>
      <c r="K3278">
        <v>0</v>
      </c>
      <c r="L3278">
        <v>0</v>
      </c>
      <c r="M3278" t="s">
        <v>11</v>
      </c>
    </row>
    <row r="3279" spans="1:13">
      <c r="A3279" s="93">
        <v>243647</v>
      </c>
      <c r="B3279" t="s">
        <v>3797</v>
      </c>
      <c r="C3279" t="s">
        <v>4919</v>
      </c>
      <c r="D3279" s="92">
        <v>0.32</v>
      </c>
      <c r="E3279" s="92" t="s">
        <v>446</v>
      </c>
      <c r="F3279" t="s">
        <v>446</v>
      </c>
      <c r="G3279" t="s">
        <v>446</v>
      </c>
      <c r="H3279" t="s">
        <v>4932</v>
      </c>
      <c r="I3279">
        <v>0</v>
      </c>
      <c r="J3279" t="s">
        <v>97</v>
      </c>
      <c r="K3279">
        <v>0</v>
      </c>
      <c r="L3279">
        <v>0</v>
      </c>
      <c r="M3279" t="s">
        <v>11</v>
      </c>
    </row>
    <row r="3280" spans="1:13">
      <c r="A3280" s="93">
        <v>243665</v>
      </c>
      <c r="B3280" t="s">
        <v>3798</v>
      </c>
      <c r="C3280" t="s">
        <v>4923</v>
      </c>
      <c r="D3280" s="92">
        <v>0.32</v>
      </c>
      <c r="E3280" s="92">
        <v>0.47</v>
      </c>
      <c r="F3280">
        <v>830</v>
      </c>
      <c r="G3280">
        <v>930</v>
      </c>
      <c r="H3280" t="s">
        <v>4932</v>
      </c>
      <c r="I3280">
        <v>0</v>
      </c>
      <c r="J3280" t="s">
        <v>153</v>
      </c>
      <c r="K3280">
        <v>0</v>
      </c>
      <c r="L3280">
        <v>0</v>
      </c>
      <c r="M3280" t="s">
        <v>11</v>
      </c>
    </row>
    <row r="3281" spans="1:13">
      <c r="A3281" s="93">
        <v>243823</v>
      </c>
      <c r="B3281" t="s">
        <v>3799</v>
      </c>
      <c r="C3281" t="s">
        <v>4923</v>
      </c>
      <c r="D3281" s="92">
        <v>1</v>
      </c>
      <c r="E3281" s="92" t="s">
        <v>446</v>
      </c>
      <c r="F3281" t="s">
        <v>446</v>
      </c>
      <c r="G3281" t="s">
        <v>446</v>
      </c>
      <c r="H3281" t="s">
        <v>4929</v>
      </c>
      <c r="I3281">
        <v>1</v>
      </c>
      <c r="J3281" t="s">
        <v>97</v>
      </c>
      <c r="K3281">
        <v>0</v>
      </c>
      <c r="L3281">
        <v>0</v>
      </c>
      <c r="M3281" t="s">
        <v>11</v>
      </c>
    </row>
    <row r="3282" spans="1:13">
      <c r="A3282" s="93">
        <v>243832</v>
      </c>
      <c r="B3282" t="s">
        <v>3800</v>
      </c>
      <c r="C3282" t="s">
        <v>4924</v>
      </c>
      <c r="D3282" s="92">
        <v>0.47</v>
      </c>
      <c r="E3282" s="92">
        <v>0.47</v>
      </c>
      <c r="F3282" t="s">
        <v>446</v>
      </c>
      <c r="G3282" t="s">
        <v>446</v>
      </c>
      <c r="H3282" t="s">
        <v>4931</v>
      </c>
      <c r="I3282">
        <v>0</v>
      </c>
      <c r="J3282" t="s">
        <v>97</v>
      </c>
      <c r="K3282">
        <v>0</v>
      </c>
      <c r="L3282">
        <v>0</v>
      </c>
      <c r="M3282" t="s">
        <v>11</v>
      </c>
    </row>
    <row r="3283" spans="1:13">
      <c r="A3283" s="93">
        <v>243841</v>
      </c>
      <c r="B3283" t="s">
        <v>3801</v>
      </c>
      <c r="C3283" t="s">
        <v>4919</v>
      </c>
      <c r="D3283" s="92" t="s">
        <v>446</v>
      </c>
      <c r="E3283" s="92" t="s">
        <v>446</v>
      </c>
      <c r="F3283" t="s">
        <v>446</v>
      </c>
      <c r="G3283" t="s">
        <v>446</v>
      </c>
      <c r="H3283" t="s">
        <v>4931</v>
      </c>
      <c r="I3283">
        <v>0</v>
      </c>
      <c r="J3283" t="s">
        <v>97</v>
      </c>
      <c r="K3283">
        <v>0</v>
      </c>
      <c r="L3283">
        <v>0</v>
      </c>
      <c r="M3283" t="s">
        <v>11</v>
      </c>
    </row>
    <row r="3284" spans="1:13">
      <c r="A3284" s="93">
        <v>244233</v>
      </c>
      <c r="B3284" t="s">
        <v>3802</v>
      </c>
      <c r="C3284" t="s">
        <v>4923</v>
      </c>
      <c r="D3284" s="92" t="s">
        <v>446</v>
      </c>
      <c r="E3284" s="92" t="s">
        <v>446</v>
      </c>
      <c r="F3284" t="s">
        <v>446</v>
      </c>
      <c r="G3284" t="s">
        <v>446</v>
      </c>
      <c r="H3284" t="s">
        <v>4930</v>
      </c>
      <c r="I3284">
        <v>0</v>
      </c>
      <c r="J3284" t="s">
        <v>97</v>
      </c>
      <c r="K3284">
        <v>0</v>
      </c>
      <c r="L3284">
        <v>0</v>
      </c>
      <c r="M3284" t="s">
        <v>11</v>
      </c>
    </row>
    <row r="3285" spans="1:13">
      <c r="A3285" s="93">
        <v>244279</v>
      </c>
      <c r="B3285" t="s">
        <v>3803</v>
      </c>
      <c r="C3285" t="s">
        <v>4919</v>
      </c>
      <c r="D3285" s="92">
        <v>0.64</v>
      </c>
      <c r="E3285" s="92">
        <v>0.6</v>
      </c>
      <c r="F3285" t="s">
        <v>446</v>
      </c>
      <c r="G3285" t="s">
        <v>446</v>
      </c>
      <c r="H3285" t="s">
        <v>4931</v>
      </c>
      <c r="I3285">
        <v>0</v>
      </c>
      <c r="J3285" t="s">
        <v>97</v>
      </c>
      <c r="K3285">
        <v>0</v>
      </c>
      <c r="L3285">
        <v>0</v>
      </c>
      <c r="M3285" t="s">
        <v>11</v>
      </c>
    </row>
    <row r="3286" spans="1:13">
      <c r="A3286" s="93">
        <v>244446</v>
      </c>
      <c r="B3286" t="s">
        <v>3804</v>
      </c>
      <c r="C3286" t="s">
        <v>4919</v>
      </c>
      <c r="D3286" s="92">
        <v>0.5</v>
      </c>
      <c r="E3286" s="92">
        <v>0.47</v>
      </c>
      <c r="F3286" t="s">
        <v>446</v>
      </c>
      <c r="G3286" t="s">
        <v>446</v>
      </c>
      <c r="H3286" t="s">
        <v>4932</v>
      </c>
      <c r="I3286">
        <v>0</v>
      </c>
      <c r="J3286" t="s">
        <v>97</v>
      </c>
      <c r="K3286">
        <v>0</v>
      </c>
      <c r="L3286">
        <v>0</v>
      </c>
      <c r="M3286" t="s">
        <v>11</v>
      </c>
    </row>
    <row r="3287" spans="1:13">
      <c r="A3287" s="93">
        <v>245625</v>
      </c>
      <c r="B3287" t="s">
        <v>3805</v>
      </c>
      <c r="C3287" t="s">
        <v>4919</v>
      </c>
      <c r="D3287" s="92">
        <v>0.51</v>
      </c>
      <c r="E3287" s="92">
        <v>0.47</v>
      </c>
      <c r="F3287" t="s">
        <v>446</v>
      </c>
      <c r="G3287" t="s">
        <v>446</v>
      </c>
      <c r="H3287" t="s">
        <v>4932</v>
      </c>
      <c r="I3287">
        <v>0</v>
      </c>
      <c r="J3287" t="s">
        <v>97</v>
      </c>
      <c r="K3287">
        <v>0</v>
      </c>
      <c r="L3287">
        <v>0</v>
      </c>
      <c r="M3287" t="s">
        <v>11</v>
      </c>
    </row>
    <row r="3288" spans="1:13">
      <c r="A3288" s="93">
        <v>245652</v>
      </c>
      <c r="B3288" t="s">
        <v>2040</v>
      </c>
      <c r="C3288" t="s">
        <v>4917</v>
      </c>
      <c r="D3288" s="92">
        <v>0.68</v>
      </c>
      <c r="E3288" s="92">
        <v>0.5600000000000001</v>
      </c>
      <c r="F3288">
        <v>1280</v>
      </c>
      <c r="G3288">
        <v>1375</v>
      </c>
      <c r="H3288" t="s">
        <v>4930</v>
      </c>
      <c r="I3288">
        <v>0</v>
      </c>
      <c r="J3288" t="s">
        <v>97</v>
      </c>
      <c r="K3288">
        <v>0</v>
      </c>
      <c r="L3288">
        <v>0</v>
      </c>
      <c r="M3288" t="s">
        <v>11</v>
      </c>
    </row>
    <row r="3289" spans="1:13">
      <c r="A3289" s="93">
        <v>245777</v>
      </c>
      <c r="B3289" t="s">
        <v>3806</v>
      </c>
      <c r="C3289" t="s">
        <v>4924</v>
      </c>
      <c r="D3289" s="92" t="s">
        <v>446</v>
      </c>
      <c r="E3289" s="92" t="s">
        <v>446</v>
      </c>
      <c r="F3289" t="s">
        <v>446</v>
      </c>
      <c r="G3289" t="s">
        <v>446</v>
      </c>
      <c r="H3289" t="s">
        <v>4932</v>
      </c>
      <c r="I3289">
        <v>0</v>
      </c>
      <c r="J3289" t="s">
        <v>97</v>
      </c>
      <c r="K3289">
        <v>0</v>
      </c>
      <c r="L3289">
        <v>0</v>
      </c>
      <c r="M3289" t="s">
        <v>11</v>
      </c>
    </row>
    <row r="3290" spans="1:13">
      <c r="A3290" s="93">
        <v>245838</v>
      </c>
      <c r="B3290" t="s">
        <v>3807</v>
      </c>
      <c r="C3290" t="s">
        <v>4924</v>
      </c>
      <c r="D3290" s="92" t="s">
        <v>446</v>
      </c>
      <c r="E3290" s="92" t="s">
        <v>446</v>
      </c>
      <c r="F3290" t="s">
        <v>446</v>
      </c>
      <c r="G3290" t="s">
        <v>446</v>
      </c>
      <c r="H3290" t="s">
        <v>4932</v>
      </c>
      <c r="I3290">
        <v>0</v>
      </c>
      <c r="J3290" t="s">
        <v>97</v>
      </c>
      <c r="K3290">
        <v>0</v>
      </c>
      <c r="L3290">
        <v>0</v>
      </c>
      <c r="M3290" t="s">
        <v>11</v>
      </c>
    </row>
    <row r="3291" spans="1:13">
      <c r="A3291" s="93">
        <v>245847</v>
      </c>
      <c r="B3291" t="s">
        <v>3808</v>
      </c>
      <c r="C3291" t="s">
        <v>4924</v>
      </c>
      <c r="D3291" s="92" t="s">
        <v>446</v>
      </c>
      <c r="E3291" s="92" t="s">
        <v>446</v>
      </c>
      <c r="F3291" t="s">
        <v>446</v>
      </c>
      <c r="G3291" t="s">
        <v>446</v>
      </c>
      <c r="H3291" t="s">
        <v>4932</v>
      </c>
      <c r="I3291">
        <v>0</v>
      </c>
      <c r="J3291" t="s">
        <v>97</v>
      </c>
      <c r="K3291">
        <v>0</v>
      </c>
      <c r="L3291">
        <v>0</v>
      </c>
      <c r="M3291" t="s">
        <v>11</v>
      </c>
    </row>
    <row r="3292" spans="1:13">
      <c r="A3292" s="93">
        <v>245865</v>
      </c>
      <c r="B3292" t="s">
        <v>3809</v>
      </c>
      <c r="C3292" t="s">
        <v>4924</v>
      </c>
      <c r="D3292" s="92" t="s">
        <v>446</v>
      </c>
      <c r="E3292" s="92" t="s">
        <v>446</v>
      </c>
      <c r="F3292" t="s">
        <v>446</v>
      </c>
      <c r="G3292" t="s">
        <v>446</v>
      </c>
      <c r="H3292" t="s">
        <v>4932</v>
      </c>
      <c r="I3292">
        <v>0</v>
      </c>
      <c r="J3292" t="s">
        <v>97</v>
      </c>
      <c r="K3292">
        <v>0</v>
      </c>
      <c r="L3292">
        <v>0</v>
      </c>
      <c r="M3292" t="s">
        <v>11</v>
      </c>
    </row>
    <row r="3293" spans="1:13">
      <c r="A3293" s="93">
        <v>245883</v>
      </c>
      <c r="B3293" t="s">
        <v>3810</v>
      </c>
      <c r="C3293" t="s">
        <v>4924</v>
      </c>
      <c r="D3293" s="92" t="s">
        <v>446</v>
      </c>
      <c r="E3293" s="92" t="s">
        <v>446</v>
      </c>
      <c r="F3293" t="s">
        <v>446</v>
      </c>
      <c r="G3293" t="s">
        <v>446</v>
      </c>
      <c r="H3293" t="s">
        <v>4932</v>
      </c>
      <c r="I3293">
        <v>0</v>
      </c>
      <c r="J3293" t="s">
        <v>97</v>
      </c>
      <c r="K3293">
        <v>0</v>
      </c>
      <c r="L3293">
        <v>0</v>
      </c>
      <c r="M3293" t="s">
        <v>11</v>
      </c>
    </row>
    <row r="3294" spans="1:13">
      <c r="A3294" s="93">
        <v>245892</v>
      </c>
      <c r="B3294" t="s">
        <v>3811</v>
      </c>
      <c r="C3294" t="s">
        <v>4924</v>
      </c>
      <c r="D3294" s="92" t="s">
        <v>446</v>
      </c>
      <c r="E3294" s="92" t="s">
        <v>446</v>
      </c>
      <c r="F3294" t="s">
        <v>446</v>
      </c>
      <c r="G3294" t="s">
        <v>446</v>
      </c>
      <c r="H3294" t="s">
        <v>4932</v>
      </c>
      <c r="I3294">
        <v>0</v>
      </c>
      <c r="J3294" t="s">
        <v>97</v>
      </c>
      <c r="K3294">
        <v>0</v>
      </c>
      <c r="L3294">
        <v>0</v>
      </c>
      <c r="M3294" t="s">
        <v>11</v>
      </c>
    </row>
    <row r="3295" spans="1:13">
      <c r="A3295" s="93">
        <v>245953</v>
      </c>
      <c r="B3295" t="s">
        <v>3812</v>
      </c>
      <c r="C3295" t="s">
        <v>4923</v>
      </c>
      <c r="D3295" s="92">
        <v>0.28</v>
      </c>
      <c r="E3295" s="92">
        <v>0.22</v>
      </c>
      <c r="F3295" t="s">
        <v>446</v>
      </c>
      <c r="G3295" t="s">
        <v>446</v>
      </c>
      <c r="H3295" t="s">
        <v>4930</v>
      </c>
      <c r="I3295">
        <v>0</v>
      </c>
      <c r="J3295" t="s">
        <v>97</v>
      </c>
      <c r="K3295">
        <v>0</v>
      </c>
      <c r="L3295">
        <v>0</v>
      </c>
      <c r="M3295" t="s">
        <v>11</v>
      </c>
    </row>
    <row r="3296" spans="1:13">
      <c r="A3296" s="93">
        <v>245962</v>
      </c>
      <c r="B3296" t="s">
        <v>3813</v>
      </c>
      <c r="C3296" t="s">
        <v>4919</v>
      </c>
      <c r="D3296" s="92" t="s">
        <v>446</v>
      </c>
      <c r="E3296" s="92" t="s">
        <v>446</v>
      </c>
      <c r="F3296" t="s">
        <v>446</v>
      </c>
      <c r="G3296" t="s">
        <v>446</v>
      </c>
      <c r="H3296" t="s">
        <v>4930</v>
      </c>
      <c r="I3296">
        <v>0</v>
      </c>
      <c r="J3296" t="s">
        <v>97</v>
      </c>
      <c r="K3296">
        <v>0</v>
      </c>
      <c r="L3296">
        <v>0</v>
      </c>
      <c r="M3296" t="s">
        <v>11</v>
      </c>
    </row>
    <row r="3297" spans="1:13">
      <c r="A3297" s="93">
        <v>246345</v>
      </c>
      <c r="B3297" t="s">
        <v>3814</v>
      </c>
      <c r="C3297" t="s">
        <v>4924</v>
      </c>
      <c r="D3297" s="92" t="s">
        <v>446</v>
      </c>
      <c r="E3297" s="92" t="s">
        <v>446</v>
      </c>
      <c r="F3297" t="s">
        <v>446</v>
      </c>
      <c r="G3297" t="s">
        <v>446</v>
      </c>
      <c r="H3297" t="s">
        <v>4932</v>
      </c>
      <c r="I3297">
        <v>0</v>
      </c>
      <c r="J3297" t="s">
        <v>97</v>
      </c>
      <c r="K3297">
        <v>0</v>
      </c>
      <c r="L3297">
        <v>0</v>
      </c>
      <c r="M3297" t="s">
        <v>11</v>
      </c>
    </row>
    <row r="3298" spans="1:13">
      <c r="A3298" s="93">
        <v>246354</v>
      </c>
      <c r="B3298" t="s">
        <v>3815</v>
      </c>
      <c r="C3298" t="s">
        <v>4919</v>
      </c>
      <c r="D3298" s="92">
        <v>0.36</v>
      </c>
      <c r="E3298" s="92">
        <v>0.36</v>
      </c>
      <c r="F3298" t="s">
        <v>446</v>
      </c>
      <c r="G3298" t="s">
        <v>446</v>
      </c>
      <c r="H3298" t="s">
        <v>4932</v>
      </c>
      <c r="I3298">
        <v>0</v>
      </c>
      <c r="J3298" t="s">
        <v>97</v>
      </c>
      <c r="K3298">
        <v>0</v>
      </c>
      <c r="L3298">
        <v>0</v>
      </c>
      <c r="M3298" t="s">
        <v>11</v>
      </c>
    </row>
    <row r="3299" spans="1:13">
      <c r="A3299" s="93">
        <v>246789</v>
      </c>
      <c r="B3299" t="s">
        <v>3816</v>
      </c>
      <c r="C3299" t="s">
        <v>4924</v>
      </c>
      <c r="D3299" s="92" t="s">
        <v>446</v>
      </c>
      <c r="E3299" s="92" t="s">
        <v>446</v>
      </c>
      <c r="F3299" t="s">
        <v>446</v>
      </c>
      <c r="G3299" t="s">
        <v>446</v>
      </c>
      <c r="H3299" t="s">
        <v>4932</v>
      </c>
      <c r="I3299">
        <v>0</v>
      </c>
      <c r="J3299" t="s">
        <v>97</v>
      </c>
      <c r="K3299">
        <v>0</v>
      </c>
      <c r="L3299">
        <v>0</v>
      </c>
      <c r="M3299" t="s">
        <v>11</v>
      </c>
    </row>
    <row r="3300" spans="1:13">
      <c r="A3300" s="93">
        <v>246813</v>
      </c>
      <c r="B3300" t="s">
        <v>3817</v>
      </c>
      <c r="C3300" t="s">
        <v>4919</v>
      </c>
      <c r="D3300" s="92">
        <v>0.47</v>
      </c>
      <c r="E3300" s="92">
        <v>0.4</v>
      </c>
      <c r="F3300" t="s">
        <v>446</v>
      </c>
      <c r="G3300" t="s">
        <v>446</v>
      </c>
      <c r="H3300" t="s">
        <v>4932</v>
      </c>
      <c r="I3300">
        <v>0</v>
      </c>
      <c r="J3300" t="s">
        <v>97</v>
      </c>
      <c r="K3300">
        <v>0</v>
      </c>
      <c r="L3300">
        <v>0</v>
      </c>
      <c r="M3300" t="s">
        <v>11</v>
      </c>
    </row>
    <row r="3301" spans="1:13">
      <c r="A3301" s="93">
        <v>246974</v>
      </c>
      <c r="B3301" t="s">
        <v>3818</v>
      </c>
      <c r="C3301" t="s">
        <v>4919</v>
      </c>
      <c r="D3301" s="92" t="s">
        <v>446</v>
      </c>
      <c r="E3301" s="92" t="s">
        <v>446</v>
      </c>
      <c r="F3301" t="s">
        <v>446</v>
      </c>
      <c r="G3301" t="s">
        <v>446</v>
      </c>
      <c r="H3301" t="s">
        <v>4930</v>
      </c>
      <c r="I3301">
        <v>0</v>
      </c>
      <c r="J3301" t="s">
        <v>97</v>
      </c>
      <c r="K3301">
        <v>0</v>
      </c>
      <c r="L3301">
        <v>0</v>
      </c>
      <c r="M3301" t="s">
        <v>11</v>
      </c>
    </row>
    <row r="3302" spans="1:13">
      <c r="A3302" s="93">
        <v>247065</v>
      </c>
      <c r="B3302" t="s">
        <v>3819</v>
      </c>
      <c r="C3302" t="s">
        <v>4923</v>
      </c>
      <c r="D3302" s="92" t="s">
        <v>446</v>
      </c>
      <c r="E3302" s="92" t="s">
        <v>446</v>
      </c>
      <c r="F3302" t="s">
        <v>446</v>
      </c>
      <c r="G3302" t="s">
        <v>446</v>
      </c>
      <c r="H3302" t="s">
        <v>4930</v>
      </c>
      <c r="I3302">
        <v>0</v>
      </c>
      <c r="J3302" t="s">
        <v>97</v>
      </c>
      <c r="K3302">
        <v>0</v>
      </c>
      <c r="L3302">
        <v>0</v>
      </c>
      <c r="M3302" t="s">
        <v>11</v>
      </c>
    </row>
    <row r="3303" spans="1:13">
      <c r="A3303" s="93">
        <v>247162</v>
      </c>
      <c r="B3303" t="s">
        <v>3820</v>
      </c>
      <c r="C3303" t="s">
        <v>4923</v>
      </c>
      <c r="D3303" s="92" t="s">
        <v>446</v>
      </c>
      <c r="E3303" s="92" t="s">
        <v>446</v>
      </c>
      <c r="F3303" t="s">
        <v>446</v>
      </c>
      <c r="G3303" t="s">
        <v>446</v>
      </c>
      <c r="H3303" t="s">
        <v>4932</v>
      </c>
      <c r="I3303">
        <v>0</v>
      </c>
      <c r="J3303" t="s">
        <v>97</v>
      </c>
      <c r="K3303">
        <v>0</v>
      </c>
      <c r="L3303">
        <v>0</v>
      </c>
      <c r="M3303" t="s">
        <v>11</v>
      </c>
    </row>
    <row r="3304" spans="1:13">
      <c r="A3304" s="93">
        <v>247603</v>
      </c>
      <c r="B3304" t="s">
        <v>3821</v>
      </c>
      <c r="C3304" t="s">
        <v>4919</v>
      </c>
      <c r="D3304" s="92">
        <v>0.48</v>
      </c>
      <c r="E3304" s="92">
        <v>0.28</v>
      </c>
      <c r="F3304" t="s">
        <v>446</v>
      </c>
      <c r="G3304" t="s">
        <v>446</v>
      </c>
      <c r="H3304" t="s">
        <v>4932</v>
      </c>
      <c r="I3304">
        <v>0</v>
      </c>
      <c r="J3304" t="s">
        <v>97</v>
      </c>
      <c r="K3304">
        <v>0</v>
      </c>
      <c r="L3304">
        <v>0</v>
      </c>
      <c r="M3304" t="s">
        <v>11</v>
      </c>
    </row>
    <row r="3305" spans="1:13">
      <c r="A3305" s="93">
        <v>247649</v>
      </c>
      <c r="B3305" t="s">
        <v>3822</v>
      </c>
      <c r="C3305" t="s">
        <v>4924</v>
      </c>
      <c r="D3305" s="92" t="s">
        <v>446</v>
      </c>
      <c r="E3305" s="92" t="s">
        <v>446</v>
      </c>
      <c r="F3305" t="s">
        <v>446</v>
      </c>
      <c r="G3305" t="s">
        <v>446</v>
      </c>
      <c r="H3305" t="s">
        <v>4930</v>
      </c>
      <c r="I3305">
        <v>0</v>
      </c>
      <c r="J3305" t="s">
        <v>97</v>
      </c>
      <c r="K3305">
        <v>0</v>
      </c>
      <c r="L3305">
        <v>0</v>
      </c>
      <c r="M3305" t="s">
        <v>11</v>
      </c>
    </row>
    <row r="3306" spans="1:13">
      <c r="A3306" s="93">
        <v>247773</v>
      </c>
      <c r="B3306" t="s">
        <v>3823</v>
      </c>
      <c r="C3306" t="s">
        <v>4924</v>
      </c>
      <c r="D3306" s="92">
        <v>0.32</v>
      </c>
      <c r="E3306" s="92" t="s">
        <v>446</v>
      </c>
      <c r="F3306" t="s">
        <v>446</v>
      </c>
      <c r="G3306" t="s">
        <v>446</v>
      </c>
      <c r="H3306" t="s">
        <v>4928</v>
      </c>
      <c r="I3306">
        <v>1</v>
      </c>
      <c r="J3306" t="s">
        <v>97</v>
      </c>
      <c r="K3306">
        <v>0</v>
      </c>
      <c r="L3306">
        <v>0</v>
      </c>
      <c r="M3306" t="s">
        <v>11</v>
      </c>
    </row>
    <row r="3307" spans="1:13">
      <c r="A3307" s="93">
        <v>247825</v>
      </c>
      <c r="B3307" t="s">
        <v>3824</v>
      </c>
      <c r="C3307" t="s">
        <v>4924</v>
      </c>
      <c r="D3307" s="92" t="s">
        <v>446</v>
      </c>
      <c r="E3307" s="92" t="s">
        <v>446</v>
      </c>
      <c r="F3307" t="s">
        <v>446</v>
      </c>
      <c r="G3307" t="s">
        <v>446</v>
      </c>
      <c r="H3307" t="s">
        <v>4932</v>
      </c>
      <c r="I3307">
        <v>0</v>
      </c>
      <c r="J3307" t="s">
        <v>97</v>
      </c>
      <c r="K3307">
        <v>0</v>
      </c>
      <c r="L3307">
        <v>0</v>
      </c>
      <c r="M3307" t="s">
        <v>11</v>
      </c>
    </row>
    <row r="3308" spans="1:13">
      <c r="A3308" s="93">
        <v>247940</v>
      </c>
      <c r="B3308" t="s">
        <v>3825</v>
      </c>
      <c r="C3308" t="s">
        <v>4919</v>
      </c>
      <c r="D3308" s="92">
        <v>0.44</v>
      </c>
      <c r="E3308" s="92">
        <v>0.28</v>
      </c>
      <c r="F3308" t="s">
        <v>446</v>
      </c>
      <c r="G3308" t="s">
        <v>446</v>
      </c>
      <c r="H3308" t="s">
        <v>4932</v>
      </c>
      <c r="I3308">
        <v>0</v>
      </c>
      <c r="J3308" t="s">
        <v>97</v>
      </c>
      <c r="K3308">
        <v>0</v>
      </c>
      <c r="L3308">
        <v>0</v>
      </c>
      <c r="M3308" t="s">
        <v>11</v>
      </c>
    </row>
    <row r="3309" spans="1:13">
      <c r="A3309" s="93">
        <v>248606</v>
      </c>
      <c r="B3309" t="s">
        <v>3826</v>
      </c>
      <c r="C3309" t="s">
        <v>4919</v>
      </c>
      <c r="D3309" s="92">
        <v>0.67</v>
      </c>
      <c r="E3309" s="92">
        <v>0.61</v>
      </c>
      <c r="F3309" t="s">
        <v>446</v>
      </c>
      <c r="G3309" t="s">
        <v>446</v>
      </c>
      <c r="H3309" t="s">
        <v>4932</v>
      </c>
      <c r="I3309">
        <v>0</v>
      </c>
      <c r="J3309" t="s">
        <v>97</v>
      </c>
      <c r="K3309">
        <v>0</v>
      </c>
      <c r="L3309">
        <v>0</v>
      </c>
      <c r="M3309" t="s">
        <v>11</v>
      </c>
    </row>
    <row r="3310" spans="1:13">
      <c r="A3310" s="93">
        <v>248925</v>
      </c>
      <c r="B3310" t="s">
        <v>3827</v>
      </c>
      <c r="C3310" t="s">
        <v>4919</v>
      </c>
      <c r="D3310" s="92" t="s">
        <v>446</v>
      </c>
      <c r="E3310" s="92" t="s">
        <v>446</v>
      </c>
      <c r="F3310" t="s">
        <v>446</v>
      </c>
      <c r="G3310" t="s">
        <v>446</v>
      </c>
      <c r="H3310" t="s">
        <v>4932</v>
      </c>
      <c r="I3310">
        <v>0</v>
      </c>
      <c r="J3310" t="s">
        <v>97</v>
      </c>
      <c r="K3310">
        <v>0</v>
      </c>
      <c r="L3310">
        <v>0</v>
      </c>
      <c r="M3310" t="s">
        <v>11</v>
      </c>
    </row>
    <row r="3311" spans="1:13">
      <c r="A3311" s="93">
        <v>248934</v>
      </c>
      <c r="B3311" t="s">
        <v>3828</v>
      </c>
      <c r="C3311" t="s">
        <v>4924</v>
      </c>
      <c r="D3311" s="92">
        <v>0.36</v>
      </c>
      <c r="E3311" s="92">
        <v>0.3</v>
      </c>
      <c r="F3311" t="s">
        <v>446</v>
      </c>
      <c r="G3311" t="s">
        <v>446</v>
      </c>
      <c r="H3311" t="s">
        <v>4930</v>
      </c>
      <c r="I3311">
        <v>0</v>
      </c>
      <c r="J3311" t="s">
        <v>97</v>
      </c>
      <c r="K3311">
        <v>0</v>
      </c>
      <c r="L3311">
        <v>0</v>
      </c>
      <c r="M3311" t="s">
        <v>11</v>
      </c>
    </row>
    <row r="3312" spans="1:13">
      <c r="A3312" s="93">
        <v>249609</v>
      </c>
      <c r="B3312" t="s">
        <v>3829</v>
      </c>
      <c r="C3312" t="s">
        <v>4919</v>
      </c>
      <c r="D3312" s="92" t="s">
        <v>446</v>
      </c>
      <c r="E3312" s="92" t="s">
        <v>446</v>
      </c>
      <c r="F3312" t="s">
        <v>446</v>
      </c>
      <c r="G3312" t="s">
        <v>446</v>
      </c>
      <c r="H3312" t="s">
        <v>4930</v>
      </c>
      <c r="I3312">
        <v>0</v>
      </c>
      <c r="J3312" t="s">
        <v>97</v>
      </c>
      <c r="K3312">
        <v>0</v>
      </c>
      <c r="L3312">
        <v>0</v>
      </c>
      <c r="M3312" t="s">
        <v>11</v>
      </c>
    </row>
    <row r="3313" spans="1:13">
      <c r="A3313" s="93">
        <v>250027</v>
      </c>
      <c r="B3313" t="s">
        <v>3830</v>
      </c>
      <c r="C3313" t="s">
        <v>4919</v>
      </c>
      <c r="D3313" s="92" t="s">
        <v>446</v>
      </c>
      <c r="E3313" s="92" t="s">
        <v>446</v>
      </c>
      <c r="F3313" t="s">
        <v>446</v>
      </c>
      <c r="G3313" t="s">
        <v>446</v>
      </c>
      <c r="H3313" t="s">
        <v>4928</v>
      </c>
      <c r="I3313">
        <v>1</v>
      </c>
      <c r="J3313" t="s">
        <v>97</v>
      </c>
      <c r="K3313">
        <v>0</v>
      </c>
      <c r="L3313">
        <v>0</v>
      </c>
      <c r="M3313" t="s">
        <v>11</v>
      </c>
    </row>
    <row r="3314" spans="1:13">
      <c r="A3314" s="93">
        <v>250285</v>
      </c>
      <c r="B3314" t="s">
        <v>3831</v>
      </c>
      <c r="C3314" t="s">
        <v>4919</v>
      </c>
      <c r="D3314" s="92" t="s">
        <v>446</v>
      </c>
      <c r="E3314" s="92" t="s">
        <v>446</v>
      </c>
      <c r="F3314" t="s">
        <v>446</v>
      </c>
      <c r="G3314" t="s">
        <v>446</v>
      </c>
      <c r="H3314" t="s">
        <v>4930</v>
      </c>
      <c r="I3314">
        <v>0</v>
      </c>
      <c r="J3314" t="s">
        <v>97</v>
      </c>
      <c r="K3314">
        <v>0</v>
      </c>
      <c r="L3314">
        <v>0</v>
      </c>
      <c r="M3314" t="s">
        <v>11</v>
      </c>
    </row>
    <row r="3315" spans="1:13">
      <c r="A3315" s="93">
        <v>250902</v>
      </c>
      <c r="B3315" t="s">
        <v>3832</v>
      </c>
      <c r="C3315" t="s">
        <v>4919</v>
      </c>
      <c r="D3315" s="92" t="s">
        <v>446</v>
      </c>
      <c r="E3315" s="92" t="s">
        <v>446</v>
      </c>
      <c r="F3315" t="s">
        <v>446</v>
      </c>
      <c r="G3315" t="s">
        <v>446</v>
      </c>
      <c r="H3315" t="s">
        <v>4931</v>
      </c>
      <c r="I3315">
        <v>0</v>
      </c>
      <c r="J3315" t="s">
        <v>97</v>
      </c>
      <c r="K3315">
        <v>0</v>
      </c>
      <c r="L3315">
        <v>0</v>
      </c>
      <c r="M3315" t="s">
        <v>11</v>
      </c>
    </row>
    <row r="3316" spans="1:13">
      <c r="A3316" s="93">
        <v>251260</v>
      </c>
      <c r="B3316" t="s">
        <v>3833</v>
      </c>
      <c r="C3316" t="s">
        <v>4919</v>
      </c>
      <c r="D3316" s="92">
        <v>0.38</v>
      </c>
      <c r="E3316" s="92">
        <v>0.32</v>
      </c>
      <c r="F3316" t="s">
        <v>446</v>
      </c>
      <c r="G3316" t="s">
        <v>446</v>
      </c>
      <c r="H3316" t="s">
        <v>4932</v>
      </c>
      <c r="I3316">
        <v>0</v>
      </c>
      <c r="J3316" t="s">
        <v>97</v>
      </c>
      <c r="K3316">
        <v>0</v>
      </c>
      <c r="L3316">
        <v>0</v>
      </c>
      <c r="M3316" t="s">
        <v>11</v>
      </c>
    </row>
    <row r="3317" spans="1:13">
      <c r="A3317" s="93">
        <v>251312</v>
      </c>
      <c r="B3317" t="s">
        <v>3834</v>
      </c>
      <c r="C3317" t="s">
        <v>4923</v>
      </c>
      <c r="D3317" s="92">
        <v>0.11</v>
      </c>
      <c r="E3317" s="92">
        <v>0.1</v>
      </c>
      <c r="F3317" t="s">
        <v>446</v>
      </c>
      <c r="G3317" t="s">
        <v>446</v>
      </c>
      <c r="H3317" t="s">
        <v>4930</v>
      </c>
      <c r="I3317">
        <v>0</v>
      </c>
      <c r="J3317" t="s">
        <v>97</v>
      </c>
      <c r="K3317">
        <v>0</v>
      </c>
      <c r="L3317">
        <v>0</v>
      </c>
      <c r="M3317" t="s">
        <v>11</v>
      </c>
    </row>
    <row r="3318" spans="1:13">
      <c r="A3318" s="93">
        <v>260372</v>
      </c>
      <c r="B3318" t="s">
        <v>3835</v>
      </c>
      <c r="C3318" t="s">
        <v>4919</v>
      </c>
      <c r="D3318" s="92">
        <v>0.08</v>
      </c>
      <c r="E3318" s="92" t="s">
        <v>446</v>
      </c>
      <c r="F3318" t="s">
        <v>446</v>
      </c>
      <c r="G3318" t="s">
        <v>446</v>
      </c>
      <c r="H3318" t="s">
        <v>4932</v>
      </c>
      <c r="I3318">
        <v>0</v>
      </c>
      <c r="J3318" t="s">
        <v>97</v>
      </c>
      <c r="K3318">
        <v>0</v>
      </c>
      <c r="L3318">
        <v>0</v>
      </c>
      <c r="M3318" t="s">
        <v>11</v>
      </c>
    </row>
    <row r="3319" spans="1:13">
      <c r="A3319" s="93">
        <v>260691</v>
      </c>
      <c r="B3319" t="s">
        <v>3836</v>
      </c>
      <c r="C3319" t="s">
        <v>4919</v>
      </c>
      <c r="D3319" s="92" t="s">
        <v>446</v>
      </c>
      <c r="E3319" s="92" t="s">
        <v>446</v>
      </c>
      <c r="F3319" t="s">
        <v>446</v>
      </c>
      <c r="G3319" t="s">
        <v>446</v>
      </c>
      <c r="H3319" t="s">
        <v>4930</v>
      </c>
      <c r="I3319">
        <v>0</v>
      </c>
      <c r="J3319" t="s">
        <v>97</v>
      </c>
      <c r="K3319">
        <v>0</v>
      </c>
      <c r="L3319">
        <v>0</v>
      </c>
      <c r="M3319" t="s">
        <v>11</v>
      </c>
    </row>
    <row r="3320" spans="1:13">
      <c r="A3320" s="93">
        <v>260789</v>
      </c>
      <c r="B3320" t="s">
        <v>3837</v>
      </c>
      <c r="C3320" t="s">
        <v>4923</v>
      </c>
      <c r="D3320" s="92" t="s">
        <v>446</v>
      </c>
      <c r="E3320" s="92" t="s">
        <v>446</v>
      </c>
      <c r="F3320" t="s">
        <v>446</v>
      </c>
      <c r="G3320" t="s">
        <v>446</v>
      </c>
      <c r="H3320" t="s">
        <v>4930</v>
      </c>
      <c r="I3320">
        <v>0</v>
      </c>
      <c r="J3320" t="s">
        <v>97</v>
      </c>
      <c r="K3320">
        <v>0</v>
      </c>
      <c r="L3320">
        <v>0</v>
      </c>
      <c r="M3320" t="s">
        <v>11</v>
      </c>
    </row>
    <row r="3321" spans="1:13">
      <c r="A3321" s="93">
        <v>260813</v>
      </c>
      <c r="B3321" t="s">
        <v>3838</v>
      </c>
      <c r="C3321" t="s">
        <v>4924</v>
      </c>
      <c r="D3321" s="92">
        <v>0.5</v>
      </c>
      <c r="E3321" s="92" t="s">
        <v>446</v>
      </c>
      <c r="F3321" t="s">
        <v>446</v>
      </c>
      <c r="G3321" t="s">
        <v>446</v>
      </c>
      <c r="H3321" t="s">
        <v>4930</v>
      </c>
      <c r="I3321">
        <v>0</v>
      </c>
      <c r="J3321" t="s">
        <v>97</v>
      </c>
      <c r="K3321">
        <v>0</v>
      </c>
      <c r="L3321">
        <v>0</v>
      </c>
      <c r="M3321" t="s">
        <v>11</v>
      </c>
    </row>
    <row r="3322" spans="1:13">
      <c r="A3322" s="93">
        <v>260992</v>
      </c>
      <c r="B3322" t="s">
        <v>3839</v>
      </c>
      <c r="C3322" t="s">
        <v>4924</v>
      </c>
      <c r="D3322" s="92" t="s">
        <v>446</v>
      </c>
      <c r="E3322" s="92" t="s">
        <v>446</v>
      </c>
      <c r="F3322" t="s">
        <v>446</v>
      </c>
      <c r="G3322" t="s">
        <v>446</v>
      </c>
      <c r="H3322" t="s">
        <v>4932</v>
      </c>
      <c r="I3322">
        <v>0</v>
      </c>
      <c r="J3322" t="s">
        <v>97</v>
      </c>
      <c r="K3322">
        <v>0</v>
      </c>
      <c r="L3322">
        <v>1</v>
      </c>
      <c r="M3322" t="s">
        <v>4935</v>
      </c>
    </row>
    <row r="3323" spans="1:13">
      <c r="A3323" s="93">
        <v>261436</v>
      </c>
      <c r="B3323" t="s">
        <v>3840</v>
      </c>
      <c r="C3323" t="s">
        <v>4926</v>
      </c>
      <c r="D3323" s="92" t="s">
        <v>446</v>
      </c>
      <c r="E3323" s="92" t="s">
        <v>446</v>
      </c>
      <c r="F3323" t="s">
        <v>446</v>
      </c>
      <c r="G3323" t="s">
        <v>446</v>
      </c>
      <c r="H3323" t="s">
        <v>4930</v>
      </c>
      <c r="I3323">
        <v>0</v>
      </c>
      <c r="J3323" t="s">
        <v>97</v>
      </c>
      <c r="K3323">
        <v>0</v>
      </c>
      <c r="L3323">
        <v>0</v>
      </c>
      <c r="M3323" t="s">
        <v>11</v>
      </c>
    </row>
    <row r="3324" spans="1:13">
      <c r="A3324" s="93">
        <v>261861</v>
      </c>
      <c r="B3324" t="s">
        <v>3841</v>
      </c>
      <c r="C3324" t="s">
        <v>4919</v>
      </c>
      <c r="D3324" s="92" t="s">
        <v>446</v>
      </c>
      <c r="E3324" s="92" t="s">
        <v>446</v>
      </c>
      <c r="F3324" t="s">
        <v>446</v>
      </c>
      <c r="G3324" t="s">
        <v>446</v>
      </c>
      <c r="H3324" t="s">
        <v>4931</v>
      </c>
      <c r="I3324">
        <v>0</v>
      </c>
      <c r="J3324" t="s">
        <v>97</v>
      </c>
      <c r="K3324">
        <v>0</v>
      </c>
      <c r="L3324">
        <v>0</v>
      </c>
      <c r="M3324" t="s">
        <v>11</v>
      </c>
    </row>
    <row r="3325" spans="1:13">
      <c r="A3325" s="93">
        <v>262022</v>
      </c>
      <c r="B3325" t="s">
        <v>3842</v>
      </c>
      <c r="C3325" t="s">
        <v>4924</v>
      </c>
      <c r="D3325" s="92" t="s">
        <v>446</v>
      </c>
      <c r="E3325" s="92" t="s">
        <v>446</v>
      </c>
      <c r="F3325" t="s">
        <v>446</v>
      </c>
      <c r="G3325" t="s">
        <v>446</v>
      </c>
      <c r="H3325" t="s">
        <v>4932</v>
      </c>
      <c r="I3325">
        <v>0</v>
      </c>
      <c r="J3325" t="s">
        <v>97</v>
      </c>
      <c r="K3325">
        <v>0</v>
      </c>
      <c r="L3325">
        <v>0</v>
      </c>
      <c r="M3325" t="s">
        <v>11</v>
      </c>
    </row>
    <row r="3326" spans="1:13">
      <c r="A3326" s="93">
        <v>262031</v>
      </c>
      <c r="B3326" t="s">
        <v>3843</v>
      </c>
      <c r="C3326" t="s">
        <v>4919</v>
      </c>
      <c r="D3326" s="92">
        <v>0.36</v>
      </c>
      <c r="E3326" s="92">
        <v>0.29</v>
      </c>
      <c r="F3326" t="s">
        <v>446</v>
      </c>
      <c r="G3326" t="s">
        <v>446</v>
      </c>
      <c r="H3326" t="s">
        <v>4932</v>
      </c>
      <c r="I3326">
        <v>0</v>
      </c>
      <c r="J3326" t="s">
        <v>97</v>
      </c>
      <c r="K3326">
        <v>0</v>
      </c>
      <c r="L3326">
        <v>0</v>
      </c>
      <c r="M3326" t="s">
        <v>11</v>
      </c>
    </row>
    <row r="3327" spans="1:13">
      <c r="A3327" s="93">
        <v>262129</v>
      </c>
      <c r="B3327" t="s">
        <v>3844</v>
      </c>
      <c r="C3327" t="s">
        <v>4922</v>
      </c>
      <c r="D3327" s="92">
        <v>0.65</v>
      </c>
      <c r="E3327" s="92">
        <v>0.61</v>
      </c>
      <c r="F3327">
        <v>1120</v>
      </c>
      <c r="G3327">
        <v>1230</v>
      </c>
      <c r="H3327" t="s">
        <v>4932</v>
      </c>
      <c r="I3327">
        <v>0</v>
      </c>
      <c r="J3327" t="s">
        <v>97</v>
      </c>
      <c r="K3327">
        <v>0</v>
      </c>
      <c r="L3327">
        <v>0</v>
      </c>
      <c r="M3327" t="s">
        <v>11</v>
      </c>
    </row>
    <row r="3328" spans="1:13">
      <c r="A3328" s="93">
        <v>262165</v>
      </c>
      <c r="B3328" t="s">
        <v>3845</v>
      </c>
      <c r="C3328" t="s">
        <v>4918</v>
      </c>
      <c r="D3328" s="92">
        <v>0.67</v>
      </c>
      <c r="E3328" s="92" t="s">
        <v>446</v>
      </c>
      <c r="F3328" t="s">
        <v>446</v>
      </c>
      <c r="G3328" t="s">
        <v>446</v>
      </c>
      <c r="H3328" t="s">
        <v>4932</v>
      </c>
      <c r="I3328">
        <v>0</v>
      </c>
      <c r="J3328" t="s">
        <v>97</v>
      </c>
      <c r="K3328">
        <v>0</v>
      </c>
      <c r="L3328">
        <v>0</v>
      </c>
      <c r="M3328" t="s">
        <v>11</v>
      </c>
    </row>
    <row r="3329" spans="1:13">
      <c r="A3329" s="93">
        <v>262457</v>
      </c>
      <c r="B3329" t="s">
        <v>3846</v>
      </c>
      <c r="C3329" t="s">
        <v>4926</v>
      </c>
      <c r="D3329" s="92">
        <v>0.61</v>
      </c>
      <c r="E3329" s="92">
        <v>0.66</v>
      </c>
      <c r="F3329" t="s">
        <v>446</v>
      </c>
      <c r="G3329" t="s">
        <v>446</v>
      </c>
      <c r="H3329" t="s">
        <v>4930</v>
      </c>
      <c r="I3329">
        <v>0</v>
      </c>
      <c r="J3329" t="s">
        <v>97</v>
      </c>
      <c r="K3329">
        <v>0</v>
      </c>
      <c r="L3329">
        <v>0</v>
      </c>
      <c r="M3329" t="s">
        <v>11</v>
      </c>
    </row>
    <row r="3330" spans="1:13">
      <c r="A3330" s="93">
        <v>363147</v>
      </c>
      <c r="B3330" t="s">
        <v>3847</v>
      </c>
      <c r="C3330" t="s">
        <v>4919</v>
      </c>
      <c r="D3330" s="92" t="s">
        <v>446</v>
      </c>
      <c r="E3330" s="92" t="s">
        <v>446</v>
      </c>
      <c r="F3330" t="s">
        <v>446</v>
      </c>
      <c r="G3330" t="s">
        <v>446</v>
      </c>
      <c r="H3330" t="s">
        <v>4930</v>
      </c>
      <c r="I3330">
        <v>0</v>
      </c>
      <c r="J3330" t="s">
        <v>97</v>
      </c>
      <c r="K3330">
        <v>0</v>
      </c>
      <c r="L3330">
        <v>0</v>
      </c>
      <c r="M3330" t="s">
        <v>11</v>
      </c>
    </row>
    <row r="3331" spans="1:13">
      <c r="A3331" s="93">
        <v>363165</v>
      </c>
      <c r="B3331" t="s">
        <v>3848</v>
      </c>
      <c r="C3331" t="s">
        <v>4919</v>
      </c>
      <c r="D3331" s="92" t="s">
        <v>446</v>
      </c>
      <c r="E3331" s="92" t="s">
        <v>446</v>
      </c>
      <c r="F3331" t="s">
        <v>446</v>
      </c>
      <c r="G3331" t="s">
        <v>446</v>
      </c>
      <c r="H3331" t="s">
        <v>4932</v>
      </c>
      <c r="I3331">
        <v>0</v>
      </c>
      <c r="J3331" t="s">
        <v>97</v>
      </c>
      <c r="K3331">
        <v>0</v>
      </c>
      <c r="L3331">
        <v>0</v>
      </c>
      <c r="M3331" t="s">
        <v>11</v>
      </c>
    </row>
    <row r="3332" spans="1:13">
      <c r="A3332" s="93">
        <v>363439</v>
      </c>
      <c r="B3332" t="s">
        <v>3849</v>
      </c>
      <c r="C3332" t="s">
        <v>4924</v>
      </c>
      <c r="D3332" s="92" t="s">
        <v>446</v>
      </c>
      <c r="E3332" s="92" t="s">
        <v>446</v>
      </c>
      <c r="F3332" t="s">
        <v>446</v>
      </c>
      <c r="G3332" t="s">
        <v>446</v>
      </c>
      <c r="H3332" t="s">
        <v>4930</v>
      </c>
      <c r="I3332">
        <v>0</v>
      </c>
      <c r="J3332" t="s">
        <v>97</v>
      </c>
      <c r="K3332">
        <v>0</v>
      </c>
      <c r="L3332">
        <v>0</v>
      </c>
      <c r="M3332" t="s">
        <v>11</v>
      </c>
    </row>
    <row r="3333" spans="1:13">
      <c r="A3333" s="93">
        <v>363633</v>
      </c>
      <c r="B3333" t="s">
        <v>3850</v>
      </c>
      <c r="C3333" t="s">
        <v>4919</v>
      </c>
      <c r="D3333" s="92" t="s">
        <v>446</v>
      </c>
      <c r="E3333" s="92" t="s">
        <v>446</v>
      </c>
      <c r="F3333" t="s">
        <v>446</v>
      </c>
      <c r="G3333" t="s">
        <v>446</v>
      </c>
      <c r="H3333" t="s">
        <v>4932</v>
      </c>
      <c r="I3333">
        <v>0</v>
      </c>
      <c r="J3333" t="s">
        <v>97</v>
      </c>
      <c r="K3333">
        <v>0</v>
      </c>
      <c r="L3333">
        <v>0</v>
      </c>
      <c r="M3333" t="s">
        <v>11</v>
      </c>
    </row>
    <row r="3334" spans="1:13">
      <c r="A3334" s="93">
        <v>363712</v>
      </c>
      <c r="B3334" t="s">
        <v>3851</v>
      </c>
      <c r="C3334" t="s">
        <v>4923</v>
      </c>
      <c r="D3334" s="92">
        <v>0.11</v>
      </c>
      <c r="E3334" s="92" t="s">
        <v>446</v>
      </c>
      <c r="F3334" t="s">
        <v>446</v>
      </c>
      <c r="G3334" t="s">
        <v>446</v>
      </c>
      <c r="H3334" t="s">
        <v>4931</v>
      </c>
      <c r="I3334">
        <v>0</v>
      </c>
      <c r="J3334" t="s">
        <v>97</v>
      </c>
      <c r="K3334">
        <v>0</v>
      </c>
      <c r="L3334">
        <v>0</v>
      </c>
      <c r="M3334" t="s">
        <v>11</v>
      </c>
    </row>
    <row r="3335" spans="1:13">
      <c r="A3335" s="93">
        <v>363721</v>
      </c>
      <c r="B3335" t="s">
        <v>3852</v>
      </c>
      <c r="C3335" t="s">
        <v>4924</v>
      </c>
      <c r="D3335" s="92" t="s">
        <v>446</v>
      </c>
      <c r="E3335" s="92" t="s">
        <v>446</v>
      </c>
      <c r="F3335" t="s">
        <v>446</v>
      </c>
      <c r="G3335" t="s">
        <v>446</v>
      </c>
      <c r="H3335" t="s">
        <v>4932</v>
      </c>
      <c r="I3335">
        <v>0</v>
      </c>
      <c r="J3335" t="s">
        <v>153</v>
      </c>
      <c r="K3335">
        <v>0</v>
      </c>
      <c r="L3335">
        <v>0</v>
      </c>
      <c r="M3335" t="s">
        <v>11</v>
      </c>
    </row>
    <row r="3336" spans="1:13">
      <c r="A3336" s="93">
        <v>363882</v>
      </c>
      <c r="B3336" t="s">
        <v>3853</v>
      </c>
      <c r="C3336" t="s">
        <v>4919</v>
      </c>
      <c r="D3336" s="92" t="s">
        <v>446</v>
      </c>
      <c r="E3336" s="92" t="s">
        <v>446</v>
      </c>
      <c r="F3336" t="s">
        <v>446</v>
      </c>
      <c r="G3336" t="s">
        <v>446</v>
      </c>
      <c r="H3336" t="s">
        <v>4931</v>
      </c>
      <c r="I3336">
        <v>0</v>
      </c>
      <c r="J3336" t="s">
        <v>97</v>
      </c>
      <c r="K3336">
        <v>0</v>
      </c>
      <c r="L3336">
        <v>0</v>
      </c>
      <c r="M3336" t="s">
        <v>11</v>
      </c>
    </row>
    <row r="3337" spans="1:13">
      <c r="A3337" s="93">
        <v>363907</v>
      </c>
      <c r="B3337" t="s">
        <v>3854</v>
      </c>
      <c r="C3337" t="s">
        <v>4923</v>
      </c>
      <c r="D3337" s="92">
        <v>0.43</v>
      </c>
      <c r="E3337" s="92">
        <v>0.43</v>
      </c>
      <c r="F3337" t="s">
        <v>446</v>
      </c>
      <c r="G3337" t="s">
        <v>446</v>
      </c>
      <c r="H3337" t="s">
        <v>4927</v>
      </c>
      <c r="I3337">
        <v>1</v>
      </c>
      <c r="J3337" t="s">
        <v>97</v>
      </c>
      <c r="K3337">
        <v>0</v>
      </c>
      <c r="L3337">
        <v>0</v>
      </c>
      <c r="M3337" t="s">
        <v>11</v>
      </c>
    </row>
    <row r="3338" spans="1:13">
      <c r="A3338" s="93">
        <v>363916</v>
      </c>
      <c r="B3338" t="s">
        <v>3855</v>
      </c>
      <c r="C3338" t="s">
        <v>4923</v>
      </c>
      <c r="D3338" s="92">
        <v>0.46</v>
      </c>
      <c r="E3338" s="92">
        <v>0.46</v>
      </c>
      <c r="F3338" t="s">
        <v>446</v>
      </c>
      <c r="G3338" t="s">
        <v>446</v>
      </c>
      <c r="H3338" t="s">
        <v>4931</v>
      </c>
      <c r="I3338">
        <v>0</v>
      </c>
      <c r="J3338" t="s">
        <v>97</v>
      </c>
      <c r="K3338">
        <v>0</v>
      </c>
      <c r="L3338">
        <v>0</v>
      </c>
      <c r="M3338" t="s">
        <v>11</v>
      </c>
    </row>
    <row r="3339" spans="1:13">
      <c r="A3339" s="93">
        <v>363934</v>
      </c>
      <c r="B3339" t="s">
        <v>3856</v>
      </c>
      <c r="C3339" t="s">
        <v>4924</v>
      </c>
      <c r="D3339" s="92">
        <v>0.36</v>
      </c>
      <c r="E3339" s="92">
        <v>0.2</v>
      </c>
      <c r="F3339" t="s">
        <v>446</v>
      </c>
      <c r="G3339" t="s">
        <v>446</v>
      </c>
      <c r="H3339" t="s">
        <v>4930</v>
      </c>
      <c r="I3339">
        <v>0</v>
      </c>
      <c r="J3339" t="s">
        <v>97</v>
      </c>
      <c r="K3339">
        <v>0</v>
      </c>
      <c r="L3339">
        <v>0</v>
      </c>
      <c r="M3339" t="s">
        <v>11</v>
      </c>
    </row>
    <row r="3340" spans="1:13">
      <c r="A3340" s="93">
        <v>364016</v>
      </c>
      <c r="B3340" t="s">
        <v>3857</v>
      </c>
      <c r="C3340" t="s">
        <v>4919</v>
      </c>
      <c r="D3340" s="92">
        <v>0.36</v>
      </c>
      <c r="E3340" s="92">
        <v>0.31</v>
      </c>
      <c r="F3340" t="s">
        <v>446</v>
      </c>
      <c r="G3340" t="s">
        <v>446</v>
      </c>
      <c r="H3340" t="s">
        <v>4932</v>
      </c>
      <c r="I3340">
        <v>0</v>
      </c>
      <c r="J3340" t="s">
        <v>97</v>
      </c>
      <c r="K3340">
        <v>0</v>
      </c>
      <c r="L3340">
        <v>0</v>
      </c>
      <c r="M3340" t="s">
        <v>11</v>
      </c>
    </row>
    <row r="3341" spans="1:13">
      <c r="A3341" s="93">
        <v>364025</v>
      </c>
      <c r="B3341" t="s">
        <v>3858</v>
      </c>
      <c r="C3341" t="s">
        <v>4919</v>
      </c>
      <c r="D3341" s="92">
        <v>0.34</v>
      </c>
      <c r="E3341" s="92">
        <v>0.29</v>
      </c>
      <c r="F3341" t="s">
        <v>446</v>
      </c>
      <c r="G3341" t="s">
        <v>446</v>
      </c>
      <c r="H3341" t="s">
        <v>4932</v>
      </c>
      <c r="I3341">
        <v>0</v>
      </c>
      <c r="J3341" t="s">
        <v>97</v>
      </c>
      <c r="K3341">
        <v>0</v>
      </c>
      <c r="L3341">
        <v>0</v>
      </c>
      <c r="M3341" t="s">
        <v>11</v>
      </c>
    </row>
    <row r="3342" spans="1:13">
      <c r="A3342" s="93">
        <v>364548</v>
      </c>
      <c r="B3342" t="s">
        <v>3859</v>
      </c>
      <c r="C3342" t="s">
        <v>4919</v>
      </c>
      <c r="D3342" s="92" t="s">
        <v>446</v>
      </c>
      <c r="E3342" s="92" t="s">
        <v>446</v>
      </c>
      <c r="F3342" t="s">
        <v>446</v>
      </c>
      <c r="G3342" t="s">
        <v>446</v>
      </c>
      <c r="H3342" t="s">
        <v>4932</v>
      </c>
      <c r="I3342">
        <v>0</v>
      </c>
      <c r="J3342" t="s">
        <v>97</v>
      </c>
      <c r="K3342">
        <v>0</v>
      </c>
      <c r="L3342">
        <v>0</v>
      </c>
      <c r="M3342" t="s">
        <v>11</v>
      </c>
    </row>
    <row r="3343" spans="1:13">
      <c r="A3343" s="93">
        <v>364575</v>
      </c>
      <c r="B3343" t="s">
        <v>3860</v>
      </c>
      <c r="C3343" t="s">
        <v>4919</v>
      </c>
      <c r="D3343" s="92" t="s">
        <v>446</v>
      </c>
      <c r="E3343" s="92" t="s">
        <v>446</v>
      </c>
      <c r="F3343" t="s">
        <v>446</v>
      </c>
      <c r="G3343" t="s">
        <v>446</v>
      </c>
      <c r="H3343" t="s">
        <v>4932</v>
      </c>
      <c r="I3343">
        <v>0</v>
      </c>
      <c r="J3343" t="s">
        <v>97</v>
      </c>
      <c r="K3343">
        <v>0</v>
      </c>
      <c r="L3343">
        <v>0</v>
      </c>
      <c r="M3343" t="s">
        <v>11</v>
      </c>
    </row>
    <row r="3344" spans="1:13">
      <c r="A3344" s="93">
        <v>365204</v>
      </c>
      <c r="B3344" t="s">
        <v>3861</v>
      </c>
      <c r="C3344" t="s">
        <v>4919</v>
      </c>
      <c r="D3344" s="92" t="s">
        <v>446</v>
      </c>
      <c r="E3344" s="92" t="s">
        <v>446</v>
      </c>
      <c r="F3344" t="s">
        <v>446</v>
      </c>
      <c r="G3344" t="s">
        <v>446</v>
      </c>
      <c r="H3344" t="s">
        <v>4932</v>
      </c>
      <c r="I3344">
        <v>0</v>
      </c>
      <c r="J3344" t="s">
        <v>97</v>
      </c>
      <c r="K3344">
        <v>0</v>
      </c>
      <c r="L3344">
        <v>0</v>
      </c>
      <c r="M3344" t="s">
        <v>11</v>
      </c>
    </row>
    <row r="3345" spans="1:13">
      <c r="A3345" s="93">
        <v>365213</v>
      </c>
      <c r="B3345" t="s">
        <v>3862</v>
      </c>
      <c r="C3345" t="s">
        <v>4919</v>
      </c>
      <c r="D3345" s="92" t="s">
        <v>446</v>
      </c>
      <c r="E3345" s="92" t="s">
        <v>446</v>
      </c>
      <c r="F3345" t="s">
        <v>446</v>
      </c>
      <c r="G3345" t="s">
        <v>446</v>
      </c>
      <c r="H3345" t="s">
        <v>4932</v>
      </c>
      <c r="I3345">
        <v>0</v>
      </c>
      <c r="J3345" t="s">
        <v>97</v>
      </c>
      <c r="K3345">
        <v>0</v>
      </c>
      <c r="L3345">
        <v>0</v>
      </c>
      <c r="M3345" t="s">
        <v>11</v>
      </c>
    </row>
    <row r="3346" spans="1:13">
      <c r="A3346" s="93">
        <v>365374</v>
      </c>
      <c r="B3346" t="s">
        <v>3863</v>
      </c>
      <c r="C3346" t="s">
        <v>4926</v>
      </c>
      <c r="D3346" s="92" t="s">
        <v>446</v>
      </c>
      <c r="E3346" s="92" t="s">
        <v>446</v>
      </c>
      <c r="F3346" t="s">
        <v>446</v>
      </c>
      <c r="G3346" t="s">
        <v>446</v>
      </c>
      <c r="H3346" t="s">
        <v>4932</v>
      </c>
      <c r="I3346">
        <v>0</v>
      </c>
      <c r="J3346" t="s">
        <v>97</v>
      </c>
      <c r="K3346">
        <v>0</v>
      </c>
      <c r="L3346">
        <v>0</v>
      </c>
      <c r="M3346" t="s">
        <v>11</v>
      </c>
    </row>
    <row r="3347" spans="1:13">
      <c r="A3347" s="93">
        <v>365480</v>
      </c>
      <c r="B3347" t="s">
        <v>3864</v>
      </c>
      <c r="C3347" t="s">
        <v>4919</v>
      </c>
      <c r="D3347" s="92" t="s">
        <v>446</v>
      </c>
      <c r="E3347" s="92" t="s">
        <v>446</v>
      </c>
      <c r="F3347" t="s">
        <v>446</v>
      </c>
      <c r="G3347" t="s">
        <v>446</v>
      </c>
      <c r="H3347" t="s">
        <v>4932</v>
      </c>
      <c r="I3347">
        <v>0</v>
      </c>
      <c r="J3347" t="s">
        <v>97</v>
      </c>
      <c r="K3347">
        <v>0</v>
      </c>
      <c r="L3347">
        <v>0</v>
      </c>
      <c r="M3347" t="s">
        <v>11</v>
      </c>
    </row>
    <row r="3348" spans="1:13">
      <c r="A3348" s="93">
        <v>365693</v>
      </c>
      <c r="B3348" t="s">
        <v>3865</v>
      </c>
      <c r="C3348" t="s">
        <v>4919</v>
      </c>
      <c r="D3348" s="92" t="s">
        <v>446</v>
      </c>
      <c r="E3348" s="92" t="s">
        <v>446</v>
      </c>
      <c r="F3348" t="s">
        <v>446</v>
      </c>
      <c r="G3348" t="s">
        <v>446</v>
      </c>
      <c r="H3348" t="s">
        <v>4931</v>
      </c>
      <c r="I3348">
        <v>0</v>
      </c>
      <c r="J3348" t="s">
        <v>97</v>
      </c>
      <c r="K3348">
        <v>0</v>
      </c>
      <c r="L3348">
        <v>0</v>
      </c>
      <c r="M3348" t="s">
        <v>11</v>
      </c>
    </row>
    <row r="3349" spans="1:13">
      <c r="A3349" s="93">
        <v>366003</v>
      </c>
      <c r="B3349" t="s">
        <v>3866</v>
      </c>
      <c r="C3349" t="s">
        <v>4923</v>
      </c>
      <c r="D3349" s="92">
        <v>0.3</v>
      </c>
      <c r="E3349" s="92">
        <v>0.29</v>
      </c>
      <c r="F3349" t="s">
        <v>446</v>
      </c>
      <c r="G3349" t="s">
        <v>446</v>
      </c>
      <c r="H3349" t="s">
        <v>4932</v>
      </c>
      <c r="I3349">
        <v>0</v>
      </c>
      <c r="J3349" t="s">
        <v>97</v>
      </c>
      <c r="K3349">
        <v>0</v>
      </c>
      <c r="L3349">
        <v>0</v>
      </c>
      <c r="M3349" t="s">
        <v>11</v>
      </c>
    </row>
    <row r="3350" spans="1:13">
      <c r="A3350" s="93">
        <v>366252</v>
      </c>
      <c r="B3350" t="s">
        <v>3867</v>
      </c>
      <c r="C3350" t="s">
        <v>4923</v>
      </c>
      <c r="D3350" s="92">
        <v>0.54</v>
      </c>
      <c r="E3350" s="92">
        <v>0.22</v>
      </c>
      <c r="F3350" t="s">
        <v>446</v>
      </c>
      <c r="G3350" t="s">
        <v>446</v>
      </c>
      <c r="H3350" t="s">
        <v>4932</v>
      </c>
      <c r="I3350">
        <v>0</v>
      </c>
      <c r="J3350" t="s">
        <v>97</v>
      </c>
      <c r="K3350">
        <v>0</v>
      </c>
      <c r="L3350">
        <v>0</v>
      </c>
      <c r="M3350" t="s">
        <v>11</v>
      </c>
    </row>
    <row r="3351" spans="1:13">
      <c r="A3351" s="93">
        <v>366261</v>
      </c>
      <c r="B3351" t="s">
        <v>3868</v>
      </c>
      <c r="C3351" t="s">
        <v>4919</v>
      </c>
      <c r="D3351" s="92" t="s">
        <v>446</v>
      </c>
      <c r="E3351" s="92" t="s">
        <v>446</v>
      </c>
      <c r="F3351" t="s">
        <v>446</v>
      </c>
      <c r="G3351" t="s">
        <v>446</v>
      </c>
      <c r="H3351" t="s">
        <v>4930</v>
      </c>
      <c r="I3351">
        <v>0</v>
      </c>
      <c r="J3351" t="s">
        <v>97</v>
      </c>
      <c r="K3351">
        <v>0</v>
      </c>
      <c r="L3351">
        <v>0</v>
      </c>
      <c r="M3351" t="s">
        <v>11</v>
      </c>
    </row>
    <row r="3352" spans="1:13">
      <c r="A3352" s="93">
        <v>366270</v>
      </c>
      <c r="B3352" t="s">
        <v>3869</v>
      </c>
      <c r="C3352" t="s">
        <v>4919</v>
      </c>
      <c r="D3352" s="92" t="s">
        <v>446</v>
      </c>
      <c r="E3352" s="92" t="s">
        <v>446</v>
      </c>
      <c r="F3352" t="s">
        <v>446</v>
      </c>
      <c r="G3352" t="s">
        <v>446</v>
      </c>
      <c r="H3352" t="s">
        <v>4930</v>
      </c>
      <c r="I3352">
        <v>0</v>
      </c>
      <c r="J3352" t="s">
        <v>97</v>
      </c>
      <c r="K3352">
        <v>0</v>
      </c>
      <c r="L3352">
        <v>0</v>
      </c>
      <c r="M3352" t="s">
        <v>11</v>
      </c>
    </row>
    <row r="3353" spans="1:13">
      <c r="A3353" s="93">
        <v>366340</v>
      </c>
      <c r="B3353" t="s">
        <v>3870</v>
      </c>
      <c r="C3353" t="s">
        <v>4923</v>
      </c>
      <c r="D3353" s="92" t="s">
        <v>446</v>
      </c>
      <c r="E3353" s="92" t="s">
        <v>446</v>
      </c>
      <c r="F3353" t="s">
        <v>446</v>
      </c>
      <c r="G3353" t="s">
        <v>446</v>
      </c>
      <c r="H3353" t="s">
        <v>4932</v>
      </c>
      <c r="I3353">
        <v>0</v>
      </c>
      <c r="J3353" t="s">
        <v>97</v>
      </c>
      <c r="K3353">
        <v>0</v>
      </c>
      <c r="L3353">
        <v>0</v>
      </c>
      <c r="M3353" t="s">
        <v>11</v>
      </c>
    </row>
    <row r="3354" spans="1:13">
      <c r="A3354" s="93">
        <v>366368</v>
      </c>
      <c r="B3354" t="s">
        <v>3871</v>
      </c>
      <c r="C3354" t="s">
        <v>4924</v>
      </c>
      <c r="D3354" s="92" t="s">
        <v>446</v>
      </c>
      <c r="E3354" s="92" t="s">
        <v>446</v>
      </c>
      <c r="F3354" t="s">
        <v>446</v>
      </c>
      <c r="G3354" t="s">
        <v>446</v>
      </c>
      <c r="H3354" t="s">
        <v>4932</v>
      </c>
      <c r="I3354">
        <v>0</v>
      </c>
      <c r="J3354" t="s">
        <v>97</v>
      </c>
      <c r="K3354">
        <v>0</v>
      </c>
      <c r="L3354">
        <v>0</v>
      </c>
      <c r="M3354" t="s">
        <v>11</v>
      </c>
    </row>
    <row r="3355" spans="1:13">
      <c r="A3355" s="93">
        <v>366395</v>
      </c>
      <c r="B3355" t="s">
        <v>3872</v>
      </c>
      <c r="C3355" t="s">
        <v>4919</v>
      </c>
      <c r="D3355" s="92">
        <v>0.32</v>
      </c>
      <c r="E3355" s="92">
        <v>0.25</v>
      </c>
      <c r="F3355" t="s">
        <v>446</v>
      </c>
      <c r="G3355" t="s">
        <v>446</v>
      </c>
      <c r="H3355" t="s">
        <v>4932</v>
      </c>
      <c r="I3355">
        <v>0</v>
      </c>
      <c r="J3355" t="s">
        <v>97</v>
      </c>
      <c r="K3355">
        <v>0</v>
      </c>
      <c r="L3355">
        <v>0</v>
      </c>
      <c r="M3355" t="s">
        <v>11</v>
      </c>
    </row>
    <row r="3356" spans="1:13">
      <c r="A3356" s="93">
        <v>366401</v>
      </c>
      <c r="B3356" t="s">
        <v>3873</v>
      </c>
      <c r="C3356" t="s">
        <v>4919</v>
      </c>
      <c r="D3356" s="92">
        <v>0.52</v>
      </c>
      <c r="E3356" s="92">
        <v>0.45</v>
      </c>
      <c r="F3356" t="s">
        <v>446</v>
      </c>
      <c r="G3356" t="s">
        <v>446</v>
      </c>
      <c r="H3356" t="s">
        <v>4932</v>
      </c>
      <c r="I3356">
        <v>0</v>
      </c>
      <c r="J3356" t="s">
        <v>97</v>
      </c>
      <c r="K3356">
        <v>0</v>
      </c>
      <c r="L3356">
        <v>0</v>
      </c>
      <c r="M3356" t="s">
        <v>11</v>
      </c>
    </row>
    <row r="3357" spans="1:13">
      <c r="A3357" s="93">
        <v>366465</v>
      </c>
      <c r="B3357" t="s">
        <v>3874</v>
      </c>
      <c r="C3357" t="s">
        <v>4919</v>
      </c>
      <c r="D3357" s="92">
        <v>0.55</v>
      </c>
      <c r="E3357" s="92">
        <v>0.5</v>
      </c>
      <c r="F3357" t="s">
        <v>446</v>
      </c>
      <c r="G3357" t="s">
        <v>446</v>
      </c>
      <c r="H3357" t="s">
        <v>4932</v>
      </c>
      <c r="I3357">
        <v>0</v>
      </c>
      <c r="J3357" t="s">
        <v>97</v>
      </c>
      <c r="K3357">
        <v>0</v>
      </c>
      <c r="L3357">
        <v>0</v>
      </c>
      <c r="M3357" t="s">
        <v>11</v>
      </c>
    </row>
    <row r="3358" spans="1:13">
      <c r="A3358" s="93">
        <v>366535</v>
      </c>
      <c r="B3358" t="s">
        <v>3875</v>
      </c>
      <c r="C3358" t="s">
        <v>4923</v>
      </c>
      <c r="D3358" s="92" t="s">
        <v>446</v>
      </c>
      <c r="E3358" s="92" t="s">
        <v>446</v>
      </c>
      <c r="F3358" t="s">
        <v>446</v>
      </c>
      <c r="G3358" t="s">
        <v>446</v>
      </c>
      <c r="H3358" t="s">
        <v>4930</v>
      </c>
      <c r="I3358">
        <v>0</v>
      </c>
      <c r="J3358" t="s">
        <v>97</v>
      </c>
      <c r="K3358">
        <v>0</v>
      </c>
      <c r="L3358">
        <v>0</v>
      </c>
      <c r="M3358" t="s">
        <v>11</v>
      </c>
    </row>
    <row r="3359" spans="1:13">
      <c r="A3359" s="93">
        <v>366553</v>
      </c>
      <c r="B3359" t="s">
        <v>3876</v>
      </c>
      <c r="C3359" t="s">
        <v>4923</v>
      </c>
      <c r="D3359" s="92">
        <v>0.5</v>
      </c>
      <c r="E3359" s="92">
        <v>0</v>
      </c>
      <c r="F3359" t="s">
        <v>446</v>
      </c>
      <c r="G3359" t="s">
        <v>446</v>
      </c>
      <c r="H3359" t="s">
        <v>4930</v>
      </c>
      <c r="I3359">
        <v>0</v>
      </c>
      <c r="J3359" t="s">
        <v>97</v>
      </c>
      <c r="K3359">
        <v>0</v>
      </c>
      <c r="L3359">
        <v>0</v>
      </c>
      <c r="M3359" t="s">
        <v>11</v>
      </c>
    </row>
    <row r="3360" spans="1:13">
      <c r="A3360" s="93">
        <v>366571</v>
      </c>
      <c r="B3360" t="s">
        <v>3877</v>
      </c>
      <c r="C3360" t="s">
        <v>4919</v>
      </c>
      <c r="D3360" s="92" t="s">
        <v>446</v>
      </c>
      <c r="E3360" s="92" t="s">
        <v>446</v>
      </c>
      <c r="F3360" t="s">
        <v>446</v>
      </c>
      <c r="G3360" t="s">
        <v>446</v>
      </c>
      <c r="H3360" t="s">
        <v>4932</v>
      </c>
      <c r="I3360">
        <v>0</v>
      </c>
      <c r="J3360" t="s">
        <v>97</v>
      </c>
      <c r="K3360">
        <v>0</v>
      </c>
      <c r="L3360">
        <v>0</v>
      </c>
      <c r="M3360" t="s">
        <v>11</v>
      </c>
    </row>
    <row r="3361" spans="1:13">
      <c r="A3361" s="93">
        <v>366605</v>
      </c>
      <c r="B3361" t="s">
        <v>3878</v>
      </c>
      <c r="C3361" t="s">
        <v>4924</v>
      </c>
      <c r="D3361" s="92" t="s">
        <v>446</v>
      </c>
      <c r="E3361" s="92" t="s">
        <v>446</v>
      </c>
      <c r="F3361" t="s">
        <v>446</v>
      </c>
      <c r="G3361" t="s">
        <v>446</v>
      </c>
      <c r="H3361" t="s">
        <v>4932</v>
      </c>
      <c r="I3361">
        <v>0</v>
      </c>
      <c r="J3361" t="s">
        <v>97</v>
      </c>
      <c r="K3361">
        <v>0</v>
      </c>
      <c r="L3361">
        <v>0</v>
      </c>
      <c r="M3361" t="s">
        <v>11</v>
      </c>
    </row>
    <row r="3362" spans="1:13">
      <c r="A3362" s="93">
        <v>366711</v>
      </c>
      <c r="B3362" t="s">
        <v>3879</v>
      </c>
      <c r="C3362" t="s">
        <v>4918</v>
      </c>
      <c r="D3362" s="92">
        <v>0.59</v>
      </c>
      <c r="E3362" s="92">
        <v>0.5600000000000001</v>
      </c>
      <c r="F3362" t="s">
        <v>446</v>
      </c>
      <c r="G3362" t="s">
        <v>446</v>
      </c>
      <c r="H3362" t="s">
        <v>4932</v>
      </c>
      <c r="I3362">
        <v>0</v>
      </c>
      <c r="J3362" t="s">
        <v>97</v>
      </c>
      <c r="K3362">
        <v>0</v>
      </c>
      <c r="L3362">
        <v>0</v>
      </c>
      <c r="M3362" t="s">
        <v>11</v>
      </c>
    </row>
    <row r="3363" spans="1:13">
      <c r="A3363" s="93">
        <v>367103</v>
      </c>
      <c r="B3363" t="s">
        <v>3880</v>
      </c>
      <c r="C3363" t="s">
        <v>4919</v>
      </c>
      <c r="D3363" s="92" t="s">
        <v>446</v>
      </c>
      <c r="E3363" s="92" t="s">
        <v>446</v>
      </c>
      <c r="F3363" t="s">
        <v>446</v>
      </c>
      <c r="G3363" t="s">
        <v>446</v>
      </c>
      <c r="H3363" t="s">
        <v>4931</v>
      </c>
      <c r="I3363">
        <v>0</v>
      </c>
      <c r="J3363" t="s">
        <v>97</v>
      </c>
      <c r="K3363">
        <v>0</v>
      </c>
      <c r="L3363">
        <v>0</v>
      </c>
      <c r="M3363" t="s">
        <v>11</v>
      </c>
    </row>
    <row r="3364" spans="1:13">
      <c r="A3364" s="93">
        <v>367112</v>
      </c>
      <c r="B3364" t="s">
        <v>3881</v>
      </c>
      <c r="C3364" t="s">
        <v>4919</v>
      </c>
      <c r="D3364" s="92">
        <v>0.16</v>
      </c>
      <c r="E3364" s="92">
        <v>0.17</v>
      </c>
      <c r="F3364" t="s">
        <v>446</v>
      </c>
      <c r="G3364" t="s">
        <v>446</v>
      </c>
      <c r="H3364" t="s">
        <v>4930</v>
      </c>
      <c r="I3364">
        <v>0</v>
      </c>
      <c r="J3364" t="s">
        <v>97</v>
      </c>
      <c r="K3364">
        <v>0</v>
      </c>
      <c r="L3364">
        <v>0</v>
      </c>
      <c r="M3364" t="s">
        <v>11</v>
      </c>
    </row>
    <row r="3365" spans="1:13">
      <c r="A3365" s="93">
        <v>367361</v>
      </c>
      <c r="B3365" t="s">
        <v>3882</v>
      </c>
      <c r="C3365" t="s">
        <v>4919</v>
      </c>
      <c r="D3365" s="92" t="s">
        <v>446</v>
      </c>
      <c r="E3365" s="92" t="s">
        <v>446</v>
      </c>
      <c r="F3365" t="s">
        <v>446</v>
      </c>
      <c r="G3365" t="s">
        <v>446</v>
      </c>
      <c r="H3365" t="s">
        <v>4931</v>
      </c>
      <c r="I3365">
        <v>0</v>
      </c>
      <c r="J3365" t="s">
        <v>97</v>
      </c>
      <c r="K3365">
        <v>0</v>
      </c>
      <c r="L3365">
        <v>0</v>
      </c>
      <c r="M3365" t="s">
        <v>11</v>
      </c>
    </row>
    <row r="3366" spans="1:13">
      <c r="A3366" s="93">
        <v>367459</v>
      </c>
      <c r="B3366" t="s">
        <v>3883</v>
      </c>
      <c r="C3366" t="s">
        <v>4919</v>
      </c>
      <c r="D3366" s="92">
        <v>0.3</v>
      </c>
      <c r="E3366" s="92">
        <v>0.26</v>
      </c>
      <c r="F3366" t="s">
        <v>446</v>
      </c>
      <c r="G3366" t="s">
        <v>446</v>
      </c>
      <c r="H3366" t="s">
        <v>4932</v>
      </c>
      <c r="I3366">
        <v>0</v>
      </c>
      <c r="J3366" t="s">
        <v>97</v>
      </c>
      <c r="K3366">
        <v>0</v>
      </c>
      <c r="L3366">
        <v>0</v>
      </c>
      <c r="M3366" t="s">
        <v>11</v>
      </c>
    </row>
    <row r="3367" spans="1:13">
      <c r="A3367" s="93">
        <v>367875</v>
      </c>
      <c r="B3367" t="s">
        <v>3884</v>
      </c>
      <c r="C3367" t="s">
        <v>4919</v>
      </c>
      <c r="D3367" s="92" t="s">
        <v>446</v>
      </c>
      <c r="E3367" s="92" t="s">
        <v>446</v>
      </c>
      <c r="F3367" t="s">
        <v>446</v>
      </c>
      <c r="G3367" t="s">
        <v>446</v>
      </c>
      <c r="H3367" t="s">
        <v>4932</v>
      </c>
      <c r="I3367">
        <v>0</v>
      </c>
      <c r="J3367" t="s">
        <v>97</v>
      </c>
      <c r="K3367">
        <v>0</v>
      </c>
      <c r="L3367">
        <v>0</v>
      </c>
      <c r="M3367" t="s">
        <v>11</v>
      </c>
    </row>
    <row r="3368" spans="1:13">
      <c r="A3368" s="93">
        <v>367884</v>
      </c>
      <c r="B3368" t="s">
        <v>3885</v>
      </c>
      <c r="C3368" t="s">
        <v>4918</v>
      </c>
      <c r="D3368" s="92">
        <v>0.16</v>
      </c>
      <c r="E3368" s="92">
        <v>0.16</v>
      </c>
      <c r="F3368" t="s">
        <v>446</v>
      </c>
      <c r="G3368" t="s">
        <v>446</v>
      </c>
      <c r="H3368" t="s">
        <v>4930</v>
      </c>
      <c r="I3368">
        <v>0</v>
      </c>
      <c r="J3368" t="s">
        <v>97</v>
      </c>
      <c r="K3368">
        <v>0</v>
      </c>
      <c r="L3368">
        <v>0</v>
      </c>
      <c r="M3368" t="s">
        <v>11</v>
      </c>
    </row>
    <row r="3369" spans="1:13">
      <c r="A3369" s="93">
        <v>367954</v>
      </c>
      <c r="B3369" t="s">
        <v>3886</v>
      </c>
      <c r="C3369" t="s">
        <v>4924</v>
      </c>
      <c r="D3369" s="92" t="s">
        <v>446</v>
      </c>
      <c r="E3369" s="92" t="s">
        <v>446</v>
      </c>
      <c r="F3369" t="s">
        <v>446</v>
      </c>
      <c r="G3369" t="s">
        <v>446</v>
      </c>
      <c r="H3369" t="s">
        <v>4932</v>
      </c>
      <c r="I3369">
        <v>0</v>
      </c>
      <c r="J3369" t="s">
        <v>97</v>
      </c>
      <c r="K3369">
        <v>0</v>
      </c>
      <c r="L3369">
        <v>0</v>
      </c>
      <c r="M3369" t="s">
        <v>11</v>
      </c>
    </row>
    <row r="3370" spans="1:13">
      <c r="A3370" s="93">
        <v>368443</v>
      </c>
      <c r="B3370" t="s">
        <v>3887</v>
      </c>
      <c r="C3370" t="s">
        <v>4923</v>
      </c>
      <c r="D3370" s="92">
        <v>0.48</v>
      </c>
      <c r="E3370" s="92">
        <v>0.5</v>
      </c>
      <c r="F3370" t="s">
        <v>446</v>
      </c>
      <c r="G3370" t="s">
        <v>446</v>
      </c>
      <c r="H3370" t="s">
        <v>4930</v>
      </c>
      <c r="I3370">
        <v>0</v>
      </c>
      <c r="J3370" t="s">
        <v>97</v>
      </c>
      <c r="K3370">
        <v>0</v>
      </c>
      <c r="L3370">
        <v>0</v>
      </c>
      <c r="M3370" t="s">
        <v>11</v>
      </c>
    </row>
    <row r="3371" spans="1:13">
      <c r="A3371" s="93">
        <v>368452</v>
      </c>
      <c r="B3371" t="s">
        <v>3888</v>
      </c>
      <c r="C3371" t="s">
        <v>4924</v>
      </c>
      <c r="D3371" s="92">
        <v>0.72</v>
      </c>
      <c r="E3371" s="92">
        <v>0.54</v>
      </c>
      <c r="F3371" t="s">
        <v>446</v>
      </c>
      <c r="G3371" t="s">
        <v>446</v>
      </c>
      <c r="H3371" t="s">
        <v>4930</v>
      </c>
      <c r="I3371">
        <v>0</v>
      </c>
      <c r="J3371" t="s">
        <v>97</v>
      </c>
      <c r="K3371">
        <v>0</v>
      </c>
      <c r="L3371">
        <v>0</v>
      </c>
      <c r="M3371" t="s">
        <v>11</v>
      </c>
    </row>
    <row r="3372" spans="1:13">
      <c r="A3372" s="93">
        <v>368629</v>
      </c>
      <c r="B3372" t="s">
        <v>3889</v>
      </c>
      <c r="C3372" t="s">
        <v>4919</v>
      </c>
      <c r="D3372" s="92">
        <v>0.7</v>
      </c>
      <c r="E3372" s="92">
        <v>0.66</v>
      </c>
      <c r="F3372" t="s">
        <v>446</v>
      </c>
      <c r="G3372" t="s">
        <v>446</v>
      </c>
      <c r="H3372" t="s">
        <v>4930</v>
      </c>
      <c r="I3372">
        <v>0</v>
      </c>
      <c r="J3372" t="s">
        <v>97</v>
      </c>
      <c r="K3372">
        <v>0</v>
      </c>
      <c r="L3372">
        <v>0</v>
      </c>
      <c r="M3372" t="s">
        <v>11</v>
      </c>
    </row>
    <row r="3373" spans="1:13">
      <c r="A3373" s="93">
        <v>368911</v>
      </c>
      <c r="B3373" t="s">
        <v>3890</v>
      </c>
      <c r="C3373" t="s">
        <v>4919</v>
      </c>
      <c r="D3373" s="92">
        <v>0.42</v>
      </c>
      <c r="E3373" s="92">
        <v>0.41</v>
      </c>
      <c r="F3373" t="s">
        <v>446</v>
      </c>
      <c r="G3373" t="s">
        <v>446</v>
      </c>
      <c r="H3373" t="s">
        <v>4932</v>
      </c>
      <c r="I3373">
        <v>0</v>
      </c>
      <c r="J3373" t="s">
        <v>97</v>
      </c>
      <c r="K3373">
        <v>0</v>
      </c>
      <c r="L3373">
        <v>0</v>
      </c>
      <c r="M3373" t="s">
        <v>11</v>
      </c>
    </row>
    <row r="3374" spans="1:13">
      <c r="A3374" s="93">
        <v>369002</v>
      </c>
      <c r="B3374" t="s">
        <v>3891</v>
      </c>
      <c r="C3374" t="s">
        <v>4924</v>
      </c>
      <c r="D3374" s="92" t="s">
        <v>446</v>
      </c>
      <c r="E3374" s="92" t="s">
        <v>446</v>
      </c>
      <c r="F3374" t="s">
        <v>446</v>
      </c>
      <c r="G3374" t="s">
        <v>446</v>
      </c>
      <c r="H3374" t="s">
        <v>4932</v>
      </c>
      <c r="I3374">
        <v>0</v>
      </c>
      <c r="J3374" t="s">
        <v>97</v>
      </c>
      <c r="K3374">
        <v>0</v>
      </c>
      <c r="L3374">
        <v>0</v>
      </c>
      <c r="M3374" t="s">
        <v>11</v>
      </c>
    </row>
    <row r="3375" spans="1:13">
      <c r="A3375" s="93">
        <v>369400</v>
      </c>
      <c r="B3375" t="s">
        <v>3892</v>
      </c>
      <c r="C3375" t="s">
        <v>4919</v>
      </c>
      <c r="D3375" s="92">
        <v>0.61</v>
      </c>
      <c r="E3375" s="92">
        <v>0.55</v>
      </c>
      <c r="F3375" t="s">
        <v>446</v>
      </c>
      <c r="G3375" t="s">
        <v>446</v>
      </c>
      <c r="H3375" t="s">
        <v>4930</v>
      </c>
      <c r="I3375">
        <v>0</v>
      </c>
      <c r="J3375" t="s">
        <v>97</v>
      </c>
      <c r="K3375">
        <v>0</v>
      </c>
      <c r="L3375">
        <v>0</v>
      </c>
      <c r="M3375" t="s">
        <v>11</v>
      </c>
    </row>
    <row r="3376" spans="1:13">
      <c r="A3376" s="93">
        <v>369419</v>
      </c>
      <c r="B3376" t="s">
        <v>3893</v>
      </c>
      <c r="C3376" t="s">
        <v>4919</v>
      </c>
      <c r="D3376" s="92" t="s">
        <v>446</v>
      </c>
      <c r="E3376" s="92" t="s">
        <v>446</v>
      </c>
      <c r="F3376" t="s">
        <v>446</v>
      </c>
      <c r="G3376" t="s">
        <v>446</v>
      </c>
      <c r="H3376" t="s">
        <v>4932</v>
      </c>
      <c r="I3376">
        <v>0</v>
      </c>
      <c r="J3376" t="s">
        <v>97</v>
      </c>
      <c r="K3376">
        <v>0</v>
      </c>
      <c r="L3376">
        <v>0</v>
      </c>
      <c r="M3376" t="s">
        <v>11</v>
      </c>
    </row>
    <row r="3377" spans="1:13">
      <c r="A3377" s="93">
        <v>369455</v>
      </c>
      <c r="B3377" t="s">
        <v>3894</v>
      </c>
      <c r="C3377" t="s">
        <v>4919</v>
      </c>
      <c r="D3377" s="92" t="s">
        <v>446</v>
      </c>
      <c r="E3377" s="92" t="s">
        <v>446</v>
      </c>
      <c r="F3377">
        <v>1000</v>
      </c>
      <c r="G3377">
        <v>1045</v>
      </c>
      <c r="H3377" t="s">
        <v>4930</v>
      </c>
      <c r="I3377">
        <v>0</v>
      </c>
      <c r="J3377" t="s">
        <v>97</v>
      </c>
      <c r="K3377">
        <v>0</v>
      </c>
      <c r="L3377">
        <v>1</v>
      </c>
      <c r="M3377" t="s">
        <v>4935</v>
      </c>
    </row>
    <row r="3378" spans="1:13">
      <c r="A3378" s="93">
        <v>369516</v>
      </c>
      <c r="B3378" t="s">
        <v>1261</v>
      </c>
      <c r="C3378" t="s">
        <v>4923</v>
      </c>
      <c r="D3378" s="92">
        <v>1</v>
      </c>
      <c r="E3378" s="92">
        <v>1</v>
      </c>
      <c r="F3378" t="s">
        <v>446</v>
      </c>
      <c r="G3378" t="s">
        <v>446</v>
      </c>
      <c r="H3378" t="s">
        <v>4930</v>
      </c>
      <c r="I3378">
        <v>0</v>
      </c>
      <c r="J3378" t="s">
        <v>97</v>
      </c>
      <c r="K3378">
        <v>0</v>
      </c>
      <c r="L3378">
        <v>0</v>
      </c>
      <c r="M3378" t="s">
        <v>11</v>
      </c>
    </row>
    <row r="3379" spans="1:13">
      <c r="A3379" s="93">
        <v>369659</v>
      </c>
      <c r="B3379" t="s">
        <v>3895</v>
      </c>
      <c r="C3379" t="s">
        <v>4924</v>
      </c>
      <c r="D3379" s="92" t="s">
        <v>446</v>
      </c>
      <c r="E3379" s="92" t="s">
        <v>446</v>
      </c>
      <c r="F3379" t="s">
        <v>446</v>
      </c>
      <c r="G3379" t="s">
        <v>446</v>
      </c>
      <c r="H3379" t="s">
        <v>4932</v>
      </c>
      <c r="I3379">
        <v>0</v>
      </c>
      <c r="J3379" t="s">
        <v>97</v>
      </c>
      <c r="K3379">
        <v>0</v>
      </c>
      <c r="L3379">
        <v>0</v>
      </c>
      <c r="M3379" t="s">
        <v>11</v>
      </c>
    </row>
    <row r="3380" spans="1:13">
      <c r="A3380" s="93">
        <v>369668</v>
      </c>
      <c r="B3380" t="s">
        <v>3896</v>
      </c>
      <c r="C3380" t="s">
        <v>4925</v>
      </c>
      <c r="D3380" s="92" t="s">
        <v>446</v>
      </c>
      <c r="E3380" s="92" t="s">
        <v>446</v>
      </c>
      <c r="F3380" t="s">
        <v>446</v>
      </c>
      <c r="G3380" t="s">
        <v>446</v>
      </c>
      <c r="H3380" t="s">
        <v>4932</v>
      </c>
      <c r="I3380">
        <v>0</v>
      </c>
      <c r="J3380" t="s">
        <v>97</v>
      </c>
      <c r="K3380">
        <v>0</v>
      </c>
      <c r="L3380">
        <v>0</v>
      </c>
      <c r="M3380" t="s">
        <v>11</v>
      </c>
    </row>
    <row r="3381" spans="1:13">
      <c r="A3381" s="93">
        <v>371690</v>
      </c>
      <c r="B3381" t="s">
        <v>3897</v>
      </c>
      <c r="C3381" t="s">
        <v>4919</v>
      </c>
      <c r="D3381" s="92" t="s">
        <v>446</v>
      </c>
      <c r="E3381" s="92" t="s">
        <v>446</v>
      </c>
      <c r="F3381" t="s">
        <v>446</v>
      </c>
      <c r="G3381" t="s">
        <v>446</v>
      </c>
      <c r="H3381" t="s">
        <v>4932</v>
      </c>
      <c r="I3381">
        <v>0</v>
      </c>
      <c r="J3381" t="s">
        <v>97</v>
      </c>
      <c r="K3381">
        <v>0</v>
      </c>
      <c r="L3381">
        <v>0</v>
      </c>
      <c r="M3381" t="s">
        <v>11</v>
      </c>
    </row>
    <row r="3382" spans="1:13">
      <c r="A3382" s="93">
        <v>371928</v>
      </c>
      <c r="B3382" t="s">
        <v>3898</v>
      </c>
      <c r="C3382" t="s">
        <v>4919</v>
      </c>
      <c r="D3382" s="92" t="s">
        <v>446</v>
      </c>
      <c r="E3382" s="92" t="s">
        <v>446</v>
      </c>
      <c r="F3382" t="s">
        <v>446</v>
      </c>
      <c r="G3382" t="s">
        <v>446</v>
      </c>
      <c r="H3382" t="s">
        <v>4930</v>
      </c>
      <c r="I3382">
        <v>0</v>
      </c>
      <c r="J3382" t="s">
        <v>97</v>
      </c>
      <c r="K3382">
        <v>0</v>
      </c>
      <c r="L3382">
        <v>0</v>
      </c>
      <c r="M3382" t="s">
        <v>11</v>
      </c>
    </row>
    <row r="3383" spans="1:13">
      <c r="A3383" s="93">
        <v>372073</v>
      </c>
      <c r="B3383" t="s">
        <v>3899</v>
      </c>
      <c r="C3383" t="s">
        <v>4923</v>
      </c>
      <c r="D3383" s="92" t="s">
        <v>446</v>
      </c>
      <c r="E3383" s="92" t="s">
        <v>446</v>
      </c>
      <c r="F3383" t="s">
        <v>446</v>
      </c>
      <c r="G3383" t="s">
        <v>446</v>
      </c>
      <c r="H3383" t="s">
        <v>4930</v>
      </c>
      <c r="I3383">
        <v>0</v>
      </c>
      <c r="J3383" t="s">
        <v>97</v>
      </c>
      <c r="K3383">
        <v>0</v>
      </c>
      <c r="L3383">
        <v>0</v>
      </c>
      <c r="M3383" t="s">
        <v>11</v>
      </c>
    </row>
    <row r="3384" spans="1:13">
      <c r="A3384" s="93">
        <v>372329</v>
      </c>
      <c r="B3384" t="s">
        <v>3900</v>
      </c>
      <c r="C3384" t="s">
        <v>4919</v>
      </c>
      <c r="D3384" s="92">
        <v>0.62</v>
      </c>
      <c r="E3384" s="92">
        <v>0.54</v>
      </c>
      <c r="F3384" t="s">
        <v>446</v>
      </c>
      <c r="G3384" t="s">
        <v>446</v>
      </c>
      <c r="H3384" t="s">
        <v>4930</v>
      </c>
      <c r="I3384">
        <v>0</v>
      </c>
      <c r="J3384" t="s">
        <v>97</v>
      </c>
      <c r="K3384">
        <v>0</v>
      </c>
      <c r="L3384">
        <v>0</v>
      </c>
      <c r="M3384" t="s">
        <v>11</v>
      </c>
    </row>
    <row r="3385" spans="1:13">
      <c r="A3385" s="93">
        <v>372921</v>
      </c>
      <c r="B3385" t="s">
        <v>3901</v>
      </c>
      <c r="C3385" t="s">
        <v>4919</v>
      </c>
      <c r="D3385" s="92" t="s">
        <v>446</v>
      </c>
      <c r="E3385" s="92" t="s">
        <v>446</v>
      </c>
      <c r="F3385" t="s">
        <v>446</v>
      </c>
      <c r="G3385" t="s">
        <v>446</v>
      </c>
      <c r="H3385" t="s">
        <v>4930</v>
      </c>
      <c r="I3385">
        <v>0</v>
      </c>
      <c r="J3385" t="s">
        <v>97</v>
      </c>
      <c r="K3385">
        <v>0</v>
      </c>
      <c r="L3385">
        <v>0</v>
      </c>
      <c r="M3385" t="s">
        <v>11</v>
      </c>
    </row>
    <row r="3386" spans="1:13">
      <c r="A3386" s="93">
        <v>373085</v>
      </c>
      <c r="B3386" t="s">
        <v>3902</v>
      </c>
      <c r="C3386" t="s">
        <v>4919</v>
      </c>
      <c r="D3386" s="92" t="s">
        <v>446</v>
      </c>
      <c r="E3386" s="92" t="s">
        <v>446</v>
      </c>
      <c r="F3386" t="s">
        <v>446</v>
      </c>
      <c r="G3386" t="s">
        <v>446</v>
      </c>
      <c r="H3386" t="s">
        <v>4931</v>
      </c>
      <c r="I3386">
        <v>0</v>
      </c>
      <c r="J3386" t="s">
        <v>97</v>
      </c>
      <c r="K3386">
        <v>0</v>
      </c>
      <c r="L3386">
        <v>0</v>
      </c>
      <c r="M3386" t="s">
        <v>11</v>
      </c>
    </row>
    <row r="3387" spans="1:13">
      <c r="A3387" s="93">
        <v>375230</v>
      </c>
      <c r="B3387" t="s">
        <v>3903</v>
      </c>
      <c r="C3387" t="s">
        <v>4923</v>
      </c>
      <c r="D3387" s="92">
        <v>0.44</v>
      </c>
      <c r="E3387" s="92" t="s">
        <v>446</v>
      </c>
      <c r="F3387" t="s">
        <v>446</v>
      </c>
      <c r="G3387" t="s">
        <v>446</v>
      </c>
      <c r="H3387" t="s">
        <v>4929</v>
      </c>
      <c r="I3387">
        <v>1</v>
      </c>
      <c r="J3387" t="s">
        <v>97</v>
      </c>
      <c r="K3387">
        <v>0</v>
      </c>
      <c r="L3387">
        <v>0</v>
      </c>
      <c r="M3387" t="s">
        <v>11</v>
      </c>
    </row>
    <row r="3388" spans="1:13">
      <c r="A3388" s="93">
        <v>375407</v>
      </c>
      <c r="B3388" t="s">
        <v>3904</v>
      </c>
      <c r="C3388" t="s">
        <v>4919</v>
      </c>
      <c r="D3388" s="92" t="s">
        <v>446</v>
      </c>
      <c r="E3388" s="92" t="s">
        <v>446</v>
      </c>
      <c r="F3388" t="s">
        <v>446</v>
      </c>
      <c r="G3388" t="s">
        <v>446</v>
      </c>
      <c r="H3388" t="s">
        <v>4932</v>
      </c>
      <c r="I3388">
        <v>0</v>
      </c>
      <c r="J3388" t="s">
        <v>97</v>
      </c>
      <c r="K3388">
        <v>0</v>
      </c>
      <c r="L3388">
        <v>0</v>
      </c>
      <c r="M3388" t="s">
        <v>11</v>
      </c>
    </row>
    <row r="3389" spans="1:13">
      <c r="A3389" s="93">
        <v>375416</v>
      </c>
      <c r="B3389" t="s">
        <v>3905</v>
      </c>
      <c r="C3389" t="s">
        <v>4919</v>
      </c>
      <c r="D3389" s="92" t="s">
        <v>446</v>
      </c>
      <c r="E3389" s="92" t="s">
        <v>446</v>
      </c>
      <c r="F3389" t="s">
        <v>446</v>
      </c>
      <c r="G3389" t="s">
        <v>446</v>
      </c>
      <c r="H3389" t="s">
        <v>4930</v>
      </c>
      <c r="I3389">
        <v>0</v>
      </c>
      <c r="J3389" t="s">
        <v>97</v>
      </c>
      <c r="K3389">
        <v>0</v>
      </c>
      <c r="L3389">
        <v>0</v>
      </c>
      <c r="M3389" t="s">
        <v>11</v>
      </c>
    </row>
    <row r="3390" spans="1:13">
      <c r="A3390" s="93">
        <v>375683</v>
      </c>
      <c r="B3390" t="s">
        <v>3906</v>
      </c>
      <c r="C3390" t="s">
        <v>4919</v>
      </c>
      <c r="D3390" s="92" t="s">
        <v>446</v>
      </c>
      <c r="E3390" s="92" t="s">
        <v>446</v>
      </c>
      <c r="F3390" t="s">
        <v>446</v>
      </c>
      <c r="G3390" t="s">
        <v>446</v>
      </c>
      <c r="H3390" t="s">
        <v>4932</v>
      </c>
      <c r="I3390">
        <v>0</v>
      </c>
      <c r="J3390" t="s">
        <v>97</v>
      </c>
      <c r="K3390">
        <v>0</v>
      </c>
      <c r="L3390">
        <v>0</v>
      </c>
      <c r="M3390" t="s">
        <v>11</v>
      </c>
    </row>
    <row r="3391" spans="1:13">
      <c r="A3391" s="93">
        <v>375939</v>
      </c>
      <c r="B3391" t="s">
        <v>3907</v>
      </c>
      <c r="C3391" t="s">
        <v>4919</v>
      </c>
      <c r="D3391" s="92" t="s">
        <v>446</v>
      </c>
      <c r="E3391" s="92" t="s">
        <v>446</v>
      </c>
      <c r="F3391" t="s">
        <v>446</v>
      </c>
      <c r="G3391" t="s">
        <v>446</v>
      </c>
      <c r="H3391" t="s">
        <v>4931</v>
      </c>
      <c r="I3391">
        <v>0</v>
      </c>
      <c r="J3391" t="s">
        <v>97</v>
      </c>
      <c r="K3391">
        <v>0</v>
      </c>
      <c r="L3391">
        <v>0</v>
      </c>
      <c r="M3391" t="s">
        <v>11</v>
      </c>
    </row>
    <row r="3392" spans="1:13">
      <c r="A3392" s="93">
        <v>376224</v>
      </c>
      <c r="B3392" t="s">
        <v>3908</v>
      </c>
      <c r="C3392" t="s">
        <v>4923</v>
      </c>
      <c r="D3392" s="92">
        <v>0.54</v>
      </c>
      <c r="E3392" s="92">
        <v>0.54</v>
      </c>
      <c r="F3392" t="s">
        <v>446</v>
      </c>
      <c r="G3392" t="s">
        <v>446</v>
      </c>
      <c r="H3392" t="s">
        <v>4928</v>
      </c>
      <c r="I3392">
        <v>1</v>
      </c>
      <c r="J3392" t="s">
        <v>97</v>
      </c>
      <c r="K3392">
        <v>0</v>
      </c>
      <c r="L3392">
        <v>0</v>
      </c>
      <c r="M3392" t="s">
        <v>11</v>
      </c>
    </row>
    <row r="3393" spans="1:13">
      <c r="A3393" s="93">
        <v>376321</v>
      </c>
      <c r="B3393" t="s">
        <v>3909</v>
      </c>
      <c r="C3393" t="s">
        <v>4924</v>
      </c>
      <c r="D3393" s="92" t="s">
        <v>446</v>
      </c>
      <c r="E3393" s="92" t="s">
        <v>446</v>
      </c>
      <c r="F3393" t="s">
        <v>446</v>
      </c>
      <c r="G3393" t="s">
        <v>446</v>
      </c>
      <c r="H3393" t="s">
        <v>4932</v>
      </c>
      <c r="I3393">
        <v>0</v>
      </c>
      <c r="J3393" t="s">
        <v>97</v>
      </c>
      <c r="K3393">
        <v>0</v>
      </c>
      <c r="L3393">
        <v>0</v>
      </c>
      <c r="M3393" t="s">
        <v>11</v>
      </c>
    </row>
    <row r="3394" spans="1:13">
      <c r="A3394" s="93">
        <v>376385</v>
      </c>
      <c r="B3394" t="s">
        <v>3910</v>
      </c>
      <c r="C3394" t="s">
        <v>4923</v>
      </c>
      <c r="D3394" s="92">
        <v>0.39</v>
      </c>
      <c r="E3394" s="92">
        <v>0.39</v>
      </c>
      <c r="F3394" t="s">
        <v>446</v>
      </c>
      <c r="G3394" t="s">
        <v>446</v>
      </c>
      <c r="H3394" t="s">
        <v>4931</v>
      </c>
      <c r="I3394">
        <v>0</v>
      </c>
      <c r="J3394" t="s">
        <v>97</v>
      </c>
      <c r="K3394">
        <v>0</v>
      </c>
      <c r="L3394">
        <v>0</v>
      </c>
      <c r="M3394" t="s">
        <v>11</v>
      </c>
    </row>
    <row r="3395" spans="1:13">
      <c r="A3395" s="93">
        <v>376695</v>
      </c>
      <c r="B3395" t="s">
        <v>3911</v>
      </c>
      <c r="C3395" t="s">
        <v>4923</v>
      </c>
      <c r="D3395" s="92" t="s">
        <v>446</v>
      </c>
      <c r="E3395" s="92" t="s">
        <v>446</v>
      </c>
      <c r="F3395" t="s">
        <v>446</v>
      </c>
      <c r="G3395" t="s">
        <v>446</v>
      </c>
      <c r="H3395" t="s">
        <v>4932</v>
      </c>
      <c r="I3395">
        <v>0</v>
      </c>
      <c r="J3395" t="s">
        <v>97</v>
      </c>
      <c r="K3395">
        <v>0</v>
      </c>
      <c r="L3395">
        <v>0</v>
      </c>
      <c r="M3395" t="s">
        <v>11</v>
      </c>
    </row>
    <row r="3396" spans="1:13">
      <c r="A3396" s="93">
        <v>377111</v>
      </c>
      <c r="B3396" t="s">
        <v>3912</v>
      </c>
      <c r="C3396" t="s">
        <v>4923</v>
      </c>
      <c r="D3396" s="92" t="s">
        <v>446</v>
      </c>
      <c r="E3396" s="92" t="s">
        <v>446</v>
      </c>
      <c r="F3396" t="s">
        <v>446</v>
      </c>
      <c r="G3396" t="s">
        <v>446</v>
      </c>
      <c r="H3396" t="s">
        <v>4930</v>
      </c>
      <c r="I3396">
        <v>0</v>
      </c>
      <c r="J3396" t="s">
        <v>97</v>
      </c>
      <c r="K3396">
        <v>0</v>
      </c>
      <c r="L3396">
        <v>0</v>
      </c>
      <c r="M3396" t="s">
        <v>11</v>
      </c>
    </row>
    <row r="3397" spans="1:13">
      <c r="A3397" s="93">
        <v>377218</v>
      </c>
      <c r="B3397" t="s">
        <v>3913</v>
      </c>
      <c r="C3397" t="s">
        <v>4925</v>
      </c>
      <c r="D3397" s="92" t="s">
        <v>446</v>
      </c>
      <c r="E3397" s="92" t="s">
        <v>446</v>
      </c>
      <c r="F3397" t="s">
        <v>446</v>
      </c>
      <c r="G3397" t="s">
        <v>446</v>
      </c>
      <c r="H3397" t="s">
        <v>4930</v>
      </c>
      <c r="I3397">
        <v>0</v>
      </c>
      <c r="J3397" t="s">
        <v>97</v>
      </c>
      <c r="K3397">
        <v>0</v>
      </c>
      <c r="L3397">
        <v>0</v>
      </c>
      <c r="M3397" t="s">
        <v>11</v>
      </c>
    </row>
    <row r="3398" spans="1:13">
      <c r="A3398" s="93">
        <v>377342</v>
      </c>
      <c r="B3398" t="s">
        <v>3914</v>
      </c>
      <c r="C3398" t="s">
        <v>4923</v>
      </c>
      <c r="D3398" s="92">
        <v>0.95</v>
      </c>
      <c r="E3398" s="92">
        <v>0.91</v>
      </c>
      <c r="F3398" t="s">
        <v>446</v>
      </c>
      <c r="G3398" t="s">
        <v>446</v>
      </c>
      <c r="H3398" t="s">
        <v>4932</v>
      </c>
      <c r="I3398">
        <v>0</v>
      </c>
      <c r="J3398" t="s">
        <v>97</v>
      </c>
      <c r="K3398">
        <v>0</v>
      </c>
      <c r="L3398">
        <v>0</v>
      </c>
      <c r="M3398" t="s">
        <v>11</v>
      </c>
    </row>
    <row r="3399" spans="1:13">
      <c r="A3399" s="93">
        <v>377449</v>
      </c>
      <c r="B3399" t="s">
        <v>3915</v>
      </c>
      <c r="C3399" t="s">
        <v>4919</v>
      </c>
      <c r="D3399" s="92" t="s">
        <v>446</v>
      </c>
      <c r="E3399" s="92" t="s">
        <v>446</v>
      </c>
      <c r="F3399" t="s">
        <v>446</v>
      </c>
      <c r="G3399" t="s">
        <v>446</v>
      </c>
      <c r="H3399" t="s">
        <v>4930</v>
      </c>
      <c r="I3399">
        <v>0</v>
      </c>
      <c r="J3399" t="s">
        <v>97</v>
      </c>
      <c r="K3399">
        <v>0</v>
      </c>
      <c r="L3399">
        <v>0</v>
      </c>
      <c r="M3399" t="s">
        <v>11</v>
      </c>
    </row>
    <row r="3400" spans="1:13">
      <c r="A3400" s="93">
        <v>377458</v>
      </c>
      <c r="B3400" t="s">
        <v>3916</v>
      </c>
      <c r="C3400" t="s">
        <v>4919</v>
      </c>
      <c r="D3400" s="92" t="s">
        <v>446</v>
      </c>
      <c r="E3400" s="92" t="s">
        <v>446</v>
      </c>
      <c r="F3400" t="s">
        <v>446</v>
      </c>
      <c r="G3400" t="s">
        <v>446</v>
      </c>
      <c r="H3400" t="s">
        <v>4930</v>
      </c>
      <c r="I3400">
        <v>0</v>
      </c>
      <c r="J3400" t="s">
        <v>97</v>
      </c>
      <c r="K3400">
        <v>0</v>
      </c>
      <c r="L3400">
        <v>0</v>
      </c>
      <c r="M3400" t="s">
        <v>11</v>
      </c>
    </row>
    <row r="3401" spans="1:13">
      <c r="A3401" s="93">
        <v>377546</v>
      </c>
      <c r="B3401" t="s">
        <v>3917</v>
      </c>
      <c r="C3401" t="s">
        <v>4924</v>
      </c>
      <c r="D3401" s="92">
        <v>0.44</v>
      </c>
      <c r="E3401" s="92">
        <v>0.3</v>
      </c>
      <c r="F3401" t="s">
        <v>446</v>
      </c>
      <c r="G3401" t="s">
        <v>446</v>
      </c>
      <c r="H3401" t="s">
        <v>4931</v>
      </c>
      <c r="I3401">
        <v>0</v>
      </c>
      <c r="J3401" t="s">
        <v>97</v>
      </c>
      <c r="K3401">
        <v>0</v>
      </c>
      <c r="L3401">
        <v>0</v>
      </c>
      <c r="M3401" t="s">
        <v>11</v>
      </c>
    </row>
    <row r="3402" spans="1:13">
      <c r="A3402" s="93">
        <v>377555</v>
      </c>
      <c r="B3402" t="s">
        <v>3918</v>
      </c>
      <c r="C3402" t="s">
        <v>4920</v>
      </c>
      <c r="D3402" s="92">
        <v>0.66</v>
      </c>
      <c r="E3402" s="92">
        <v>0.6</v>
      </c>
      <c r="F3402" t="s">
        <v>446</v>
      </c>
      <c r="G3402" t="s">
        <v>446</v>
      </c>
      <c r="H3402" t="s">
        <v>4932</v>
      </c>
      <c r="I3402">
        <v>0</v>
      </c>
      <c r="J3402" t="s">
        <v>97</v>
      </c>
      <c r="K3402">
        <v>0</v>
      </c>
      <c r="L3402">
        <v>0</v>
      </c>
      <c r="M3402" t="s">
        <v>11</v>
      </c>
    </row>
    <row r="3403" spans="1:13">
      <c r="A3403" s="93">
        <v>377564</v>
      </c>
      <c r="B3403" t="s">
        <v>3919</v>
      </c>
      <c r="C3403" t="s">
        <v>4923</v>
      </c>
      <c r="D3403" s="92">
        <v>0.58</v>
      </c>
      <c r="E3403" s="92">
        <v>0.54</v>
      </c>
      <c r="F3403" t="s">
        <v>446</v>
      </c>
      <c r="G3403" t="s">
        <v>446</v>
      </c>
      <c r="H3403" t="s">
        <v>4932</v>
      </c>
      <c r="I3403">
        <v>0</v>
      </c>
      <c r="J3403" t="s">
        <v>97</v>
      </c>
      <c r="K3403">
        <v>0</v>
      </c>
      <c r="L3403">
        <v>0</v>
      </c>
      <c r="M3403" t="s">
        <v>11</v>
      </c>
    </row>
    <row r="3404" spans="1:13">
      <c r="A3404" s="93">
        <v>377643</v>
      </c>
      <c r="B3404" t="s">
        <v>3920</v>
      </c>
      <c r="C3404" t="s">
        <v>4919</v>
      </c>
      <c r="D3404" s="92" t="s">
        <v>446</v>
      </c>
      <c r="E3404" s="92" t="s">
        <v>446</v>
      </c>
      <c r="F3404" t="s">
        <v>446</v>
      </c>
      <c r="G3404" t="s">
        <v>446</v>
      </c>
      <c r="H3404" t="s">
        <v>4931</v>
      </c>
      <c r="I3404">
        <v>0</v>
      </c>
      <c r="J3404" t="s">
        <v>97</v>
      </c>
      <c r="K3404">
        <v>0</v>
      </c>
      <c r="L3404">
        <v>0</v>
      </c>
      <c r="M3404" t="s">
        <v>11</v>
      </c>
    </row>
    <row r="3405" spans="1:13">
      <c r="A3405" s="93">
        <v>377661</v>
      </c>
      <c r="B3405" t="s">
        <v>3921</v>
      </c>
      <c r="C3405" t="s">
        <v>4923</v>
      </c>
      <c r="D3405" s="92" t="s">
        <v>446</v>
      </c>
      <c r="E3405" s="92" t="s">
        <v>446</v>
      </c>
      <c r="F3405" t="s">
        <v>446</v>
      </c>
      <c r="G3405" t="s">
        <v>446</v>
      </c>
      <c r="H3405" t="s">
        <v>4930</v>
      </c>
      <c r="I3405">
        <v>0</v>
      </c>
      <c r="J3405" t="s">
        <v>97</v>
      </c>
      <c r="K3405">
        <v>0</v>
      </c>
      <c r="L3405">
        <v>0</v>
      </c>
      <c r="M3405" t="s">
        <v>11</v>
      </c>
    </row>
    <row r="3406" spans="1:13">
      <c r="A3406" s="93">
        <v>377722</v>
      </c>
      <c r="B3406" t="s">
        <v>3922</v>
      </c>
      <c r="C3406" t="s">
        <v>4919</v>
      </c>
      <c r="D3406" s="92" t="s">
        <v>446</v>
      </c>
      <c r="E3406" s="92" t="s">
        <v>446</v>
      </c>
      <c r="F3406" t="s">
        <v>446</v>
      </c>
      <c r="G3406" t="s">
        <v>446</v>
      </c>
      <c r="H3406" t="s">
        <v>4930</v>
      </c>
      <c r="I3406">
        <v>0</v>
      </c>
      <c r="J3406" t="s">
        <v>97</v>
      </c>
      <c r="K3406">
        <v>0</v>
      </c>
      <c r="L3406">
        <v>0</v>
      </c>
      <c r="M3406" t="s">
        <v>11</v>
      </c>
    </row>
    <row r="3407" spans="1:13">
      <c r="A3407" s="93">
        <v>378105</v>
      </c>
      <c r="B3407" t="s">
        <v>3923</v>
      </c>
      <c r="C3407" t="s">
        <v>4919</v>
      </c>
      <c r="D3407" s="92" t="s">
        <v>446</v>
      </c>
      <c r="E3407" s="92" t="s">
        <v>446</v>
      </c>
      <c r="F3407" t="s">
        <v>446</v>
      </c>
      <c r="G3407" t="s">
        <v>446</v>
      </c>
      <c r="H3407" t="s">
        <v>4930</v>
      </c>
      <c r="I3407">
        <v>0</v>
      </c>
      <c r="J3407" t="s">
        <v>97</v>
      </c>
      <c r="K3407">
        <v>0</v>
      </c>
      <c r="L3407">
        <v>0</v>
      </c>
      <c r="M3407" t="s">
        <v>11</v>
      </c>
    </row>
    <row r="3408" spans="1:13">
      <c r="A3408" s="93">
        <v>378576</v>
      </c>
      <c r="B3408" t="s">
        <v>3924</v>
      </c>
      <c r="C3408" t="s">
        <v>4923</v>
      </c>
      <c r="D3408" s="92" t="s">
        <v>446</v>
      </c>
      <c r="E3408" s="92" t="s">
        <v>446</v>
      </c>
      <c r="F3408" t="s">
        <v>446</v>
      </c>
      <c r="G3408" t="s">
        <v>446</v>
      </c>
      <c r="H3408" t="s">
        <v>4930</v>
      </c>
      <c r="I3408">
        <v>0</v>
      </c>
      <c r="J3408" t="s">
        <v>97</v>
      </c>
      <c r="K3408">
        <v>0</v>
      </c>
      <c r="L3408">
        <v>0</v>
      </c>
      <c r="M3408" t="s">
        <v>11</v>
      </c>
    </row>
    <row r="3409" spans="1:13">
      <c r="A3409" s="93">
        <v>378956</v>
      </c>
      <c r="B3409" t="s">
        <v>3925</v>
      </c>
      <c r="C3409" t="s">
        <v>4919</v>
      </c>
      <c r="D3409" s="92" t="s">
        <v>446</v>
      </c>
      <c r="E3409" s="92" t="s">
        <v>446</v>
      </c>
      <c r="F3409" t="s">
        <v>446</v>
      </c>
      <c r="G3409" t="s">
        <v>446</v>
      </c>
      <c r="H3409" t="s">
        <v>4930</v>
      </c>
      <c r="I3409">
        <v>0</v>
      </c>
      <c r="J3409" t="s">
        <v>97</v>
      </c>
      <c r="K3409">
        <v>0</v>
      </c>
      <c r="L3409">
        <v>0</v>
      </c>
      <c r="M3409" t="s">
        <v>11</v>
      </c>
    </row>
    <row r="3410" spans="1:13">
      <c r="A3410" s="93">
        <v>379746</v>
      </c>
      <c r="B3410" t="s">
        <v>3926</v>
      </c>
      <c r="C3410" t="s">
        <v>4926</v>
      </c>
      <c r="D3410" s="92" t="s">
        <v>446</v>
      </c>
      <c r="E3410" s="92" t="s">
        <v>446</v>
      </c>
      <c r="F3410" t="s">
        <v>446</v>
      </c>
      <c r="G3410" t="s">
        <v>446</v>
      </c>
      <c r="H3410" t="s">
        <v>4930</v>
      </c>
      <c r="I3410">
        <v>0</v>
      </c>
      <c r="J3410" t="s">
        <v>97</v>
      </c>
      <c r="K3410">
        <v>0</v>
      </c>
      <c r="L3410">
        <v>0</v>
      </c>
      <c r="M3410" t="s">
        <v>11</v>
      </c>
    </row>
    <row r="3411" spans="1:13">
      <c r="A3411" s="93">
        <v>379782</v>
      </c>
      <c r="B3411" t="s">
        <v>3927</v>
      </c>
      <c r="C3411" t="s">
        <v>4919</v>
      </c>
      <c r="D3411" s="92" t="s">
        <v>446</v>
      </c>
      <c r="E3411" s="92" t="s">
        <v>446</v>
      </c>
      <c r="F3411" t="s">
        <v>446</v>
      </c>
      <c r="G3411" t="s">
        <v>446</v>
      </c>
      <c r="H3411" t="s">
        <v>4931</v>
      </c>
      <c r="I3411">
        <v>0</v>
      </c>
      <c r="J3411" t="s">
        <v>97</v>
      </c>
      <c r="K3411">
        <v>0</v>
      </c>
      <c r="L3411">
        <v>0</v>
      </c>
      <c r="M3411" t="s">
        <v>11</v>
      </c>
    </row>
    <row r="3412" spans="1:13">
      <c r="A3412" s="93">
        <v>380359</v>
      </c>
      <c r="B3412" t="s">
        <v>3928</v>
      </c>
      <c r="C3412" t="s">
        <v>4923</v>
      </c>
      <c r="D3412" s="92" t="s">
        <v>446</v>
      </c>
      <c r="E3412" s="92" t="s">
        <v>446</v>
      </c>
      <c r="F3412" t="s">
        <v>446</v>
      </c>
      <c r="G3412" t="s">
        <v>446</v>
      </c>
      <c r="H3412" t="s">
        <v>4932</v>
      </c>
      <c r="I3412">
        <v>0</v>
      </c>
      <c r="J3412" t="s">
        <v>97</v>
      </c>
      <c r="K3412">
        <v>0</v>
      </c>
      <c r="L3412">
        <v>0</v>
      </c>
      <c r="M3412" t="s">
        <v>11</v>
      </c>
    </row>
    <row r="3413" spans="1:13">
      <c r="A3413" s="93">
        <v>380368</v>
      </c>
      <c r="B3413" t="s">
        <v>3929</v>
      </c>
      <c r="C3413" t="s">
        <v>4919</v>
      </c>
      <c r="D3413" s="92">
        <v>0.37</v>
      </c>
      <c r="E3413" s="92">
        <v>0.28</v>
      </c>
      <c r="F3413" t="s">
        <v>446</v>
      </c>
      <c r="G3413" t="s">
        <v>446</v>
      </c>
      <c r="H3413" t="s">
        <v>4932</v>
      </c>
      <c r="I3413">
        <v>0</v>
      </c>
      <c r="J3413" t="s">
        <v>97</v>
      </c>
      <c r="K3413">
        <v>0</v>
      </c>
      <c r="L3413">
        <v>0</v>
      </c>
      <c r="M3413" t="s">
        <v>11</v>
      </c>
    </row>
    <row r="3414" spans="1:13">
      <c r="A3414" s="93">
        <v>380377</v>
      </c>
      <c r="B3414" t="s">
        <v>3930</v>
      </c>
      <c r="C3414" t="s">
        <v>4923</v>
      </c>
      <c r="D3414" s="92">
        <v>0.16</v>
      </c>
      <c r="E3414" s="92">
        <v>0</v>
      </c>
      <c r="F3414" t="s">
        <v>446</v>
      </c>
      <c r="G3414" t="s">
        <v>446</v>
      </c>
      <c r="H3414" t="s">
        <v>4932</v>
      </c>
      <c r="I3414">
        <v>0</v>
      </c>
      <c r="J3414" t="s">
        <v>97</v>
      </c>
      <c r="K3414">
        <v>0</v>
      </c>
      <c r="L3414">
        <v>0</v>
      </c>
      <c r="M3414" t="s">
        <v>11</v>
      </c>
    </row>
    <row r="3415" spans="1:13">
      <c r="A3415" s="93">
        <v>380438</v>
      </c>
      <c r="B3415" t="s">
        <v>3931</v>
      </c>
      <c r="C3415" t="s">
        <v>4923</v>
      </c>
      <c r="D3415" s="92">
        <v>0.64</v>
      </c>
      <c r="E3415" s="92">
        <v>1</v>
      </c>
      <c r="F3415" t="s">
        <v>446</v>
      </c>
      <c r="G3415" t="s">
        <v>446</v>
      </c>
      <c r="H3415" t="s">
        <v>4930</v>
      </c>
      <c r="I3415">
        <v>0</v>
      </c>
      <c r="J3415" t="s">
        <v>97</v>
      </c>
      <c r="K3415">
        <v>0</v>
      </c>
      <c r="L3415">
        <v>0</v>
      </c>
      <c r="M3415" t="s">
        <v>11</v>
      </c>
    </row>
    <row r="3416" spans="1:13">
      <c r="A3416" s="93">
        <v>380465</v>
      </c>
      <c r="B3416" t="s">
        <v>3932</v>
      </c>
      <c r="C3416" t="s">
        <v>4924</v>
      </c>
      <c r="D3416" s="92">
        <v>0.07000000000000001</v>
      </c>
      <c r="E3416" s="92">
        <v>0</v>
      </c>
      <c r="F3416" t="s">
        <v>446</v>
      </c>
      <c r="G3416" t="s">
        <v>446</v>
      </c>
      <c r="H3416" t="s">
        <v>4932</v>
      </c>
      <c r="I3416">
        <v>0</v>
      </c>
      <c r="J3416" t="s">
        <v>97</v>
      </c>
      <c r="K3416">
        <v>0</v>
      </c>
      <c r="L3416">
        <v>0</v>
      </c>
      <c r="M3416" t="s">
        <v>11</v>
      </c>
    </row>
    <row r="3417" spans="1:13">
      <c r="A3417" s="93">
        <v>381352</v>
      </c>
      <c r="B3417" t="s">
        <v>3933</v>
      </c>
      <c r="C3417" t="s">
        <v>4924</v>
      </c>
      <c r="D3417" s="92" t="s">
        <v>446</v>
      </c>
      <c r="E3417" s="92" t="s">
        <v>446</v>
      </c>
      <c r="F3417" t="s">
        <v>446</v>
      </c>
      <c r="G3417" t="s">
        <v>446</v>
      </c>
      <c r="H3417" t="s">
        <v>4932</v>
      </c>
      <c r="I3417">
        <v>0</v>
      </c>
      <c r="J3417" t="s">
        <v>97</v>
      </c>
      <c r="K3417">
        <v>0</v>
      </c>
      <c r="L3417">
        <v>0</v>
      </c>
      <c r="M3417" t="s">
        <v>11</v>
      </c>
    </row>
    <row r="3418" spans="1:13">
      <c r="A3418" s="93">
        <v>381459</v>
      </c>
      <c r="B3418" t="s">
        <v>3934</v>
      </c>
      <c r="C3418" t="s">
        <v>4924</v>
      </c>
      <c r="D3418" s="92" t="s">
        <v>446</v>
      </c>
      <c r="E3418" s="92" t="s">
        <v>446</v>
      </c>
      <c r="F3418" t="s">
        <v>446</v>
      </c>
      <c r="G3418" t="s">
        <v>446</v>
      </c>
      <c r="H3418" t="s">
        <v>4932</v>
      </c>
      <c r="I3418">
        <v>0</v>
      </c>
      <c r="J3418" t="s">
        <v>97</v>
      </c>
      <c r="K3418">
        <v>0</v>
      </c>
      <c r="L3418">
        <v>0</v>
      </c>
      <c r="M3418" t="s">
        <v>11</v>
      </c>
    </row>
    <row r="3419" spans="1:13">
      <c r="A3419" s="93">
        <v>381486</v>
      </c>
      <c r="B3419" t="s">
        <v>3935</v>
      </c>
      <c r="C3419" t="s">
        <v>4919</v>
      </c>
      <c r="D3419" s="92" t="s">
        <v>446</v>
      </c>
      <c r="E3419" s="92" t="s">
        <v>446</v>
      </c>
      <c r="F3419" t="s">
        <v>446</v>
      </c>
      <c r="G3419" t="s">
        <v>446</v>
      </c>
      <c r="H3419" t="s">
        <v>4927</v>
      </c>
      <c r="I3419">
        <v>1</v>
      </c>
      <c r="J3419" t="s">
        <v>97</v>
      </c>
      <c r="K3419">
        <v>0</v>
      </c>
      <c r="L3419">
        <v>0</v>
      </c>
      <c r="M3419" t="s">
        <v>11</v>
      </c>
    </row>
    <row r="3420" spans="1:13">
      <c r="A3420" s="93">
        <v>382911</v>
      </c>
      <c r="B3420" t="s">
        <v>3936</v>
      </c>
      <c r="C3420" t="s">
        <v>4919</v>
      </c>
      <c r="D3420" s="92" t="s">
        <v>446</v>
      </c>
      <c r="E3420" s="92" t="s">
        <v>446</v>
      </c>
      <c r="F3420" t="s">
        <v>446</v>
      </c>
      <c r="G3420" t="s">
        <v>446</v>
      </c>
      <c r="H3420" t="s">
        <v>4932</v>
      </c>
      <c r="I3420">
        <v>0</v>
      </c>
      <c r="J3420" t="s">
        <v>97</v>
      </c>
      <c r="K3420">
        <v>0</v>
      </c>
      <c r="L3420">
        <v>0</v>
      </c>
      <c r="M3420" t="s">
        <v>11</v>
      </c>
    </row>
    <row r="3421" spans="1:13">
      <c r="A3421" s="93">
        <v>382957</v>
      </c>
      <c r="B3421" t="s">
        <v>3937</v>
      </c>
      <c r="C3421" t="s">
        <v>4919</v>
      </c>
      <c r="D3421" s="92" t="s">
        <v>446</v>
      </c>
      <c r="E3421" s="92" t="s">
        <v>446</v>
      </c>
      <c r="F3421" t="s">
        <v>446</v>
      </c>
      <c r="G3421" t="s">
        <v>446</v>
      </c>
      <c r="H3421" t="s">
        <v>4930</v>
      </c>
      <c r="I3421">
        <v>0</v>
      </c>
      <c r="J3421" t="s">
        <v>97</v>
      </c>
      <c r="K3421">
        <v>0</v>
      </c>
      <c r="L3421">
        <v>0</v>
      </c>
      <c r="M3421" t="s">
        <v>11</v>
      </c>
    </row>
    <row r="3422" spans="1:13">
      <c r="A3422" s="93">
        <v>383020</v>
      </c>
      <c r="B3422" t="s">
        <v>3938</v>
      </c>
      <c r="C3422" t="s">
        <v>4924</v>
      </c>
      <c r="D3422" s="92" t="s">
        <v>446</v>
      </c>
      <c r="E3422" s="92" t="s">
        <v>446</v>
      </c>
      <c r="F3422" t="s">
        <v>446</v>
      </c>
      <c r="G3422" t="s">
        <v>446</v>
      </c>
      <c r="H3422" t="s">
        <v>4932</v>
      </c>
      <c r="I3422">
        <v>0</v>
      </c>
      <c r="J3422" t="s">
        <v>97</v>
      </c>
      <c r="K3422">
        <v>0</v>
      </c>
      <c r="L3422">
        <v>1</v>
      </c>
      <c r="M3422" t="s">
        <v>4935</v>
      </c>
    </row>
    <row r="3423" spans="1:13">
      <c r="A3423" s="93">
        <v>383084</v>
      </c>
      <c r="B3423" t="s">
        <v>3939</v>
      </c>
      <c r="C3423" t="s">
        <v>4919</v>
      </c>
      <c r="D3423" s="92" t="s">
        <v>446</v>
      </c>
      <c r="E3423" s="92" t="s">
        <v>446</v>
      </c>
      <c r="F3423" t="s">
        <v>446</v>
      </c>
      <c r="G3423" t="s">
        <v>446</v>
      </c>
      <c r="H3423" t="s">
        <v>4932</v>
      </c>
      <c r="I3423">
        <v>0</v>
      </c>
      <c r="J3423" t="s">
        <v>97</v>
      </c>
      <c r="K3423">
        <v>0</v>
      </c>
      <c r="L3423">
        <v>0</v>
      </c>
      <c r="M3423" t="s">
        <v>11</v>
      </c>
    </row>
    <row r="3424" spans="1:13">
      <c r="A3424" s="93">
        <v>383190</v>
      </c>
      <c r="B3424" t="s">
        <v>3940</v>
      </c>
      <c r="C3424" t="s">
        <v>4919</v>
      </c>
      <c r="D3424" s="92">
        <v>0.34</v>
      </c>
      <c r="E3424" s="92">
        <v>0.33</v>
      </c>
      <c r="F3424" t="s">
        <v>446</v>
      </c>
      <c r="G3424" t="s">
        <v>446</v>
      </c>
      <c r="H3424" t="s">
        <v>4932</v>
      </c>
      <c r="I3424">
        <v>0</v>
      </c>
      <c r="J3424" t="s">
        <v>97</v>
      </c>
      <c r="K3424">
        <v>0</v>
      </c>
      <c r="L3424">
        <v>0</v>
      </c>
      <c r="M3424" t="s">
        <v>11</v>
      </c>
    </row>
    <row r="3425" spans="1:13">
      <c r="A3425" s="93">
        <v>383996</v>
      </c>
      <c r="B3425" t="s">
        <v>3941</v>
      </c>
      <c r="C3425" t="s">
        <v>4919</v>
      </c>
      <c r="D3425" s="92">
        <v>0.2</v>
      </c>
      <c r="E3425" s="92">
        <v>0.18</v>
      </c>
      <c r="F3425" t="s">
        <v>446</v>
      </c>
      <c r="G3425" t="s">
        <v>446</v>
      </c>
      <c r="H3425" t="s">
        <v>4932</v>
      </c>
      <c r="I3425">
        <v>0</v>
      </c>
      <c r="J3425" t="s">
        <v>97</v>
      </c>
      <c r="K3425">
        <v>0</v>
      </c>
      <c r="L3425">
        <v>0</v>
      </c>
      <c r="M3425" t="s">
        <v>11</v>
      </c>
    </row>
    <row r="3426" spans="1:13">
      <c r="A3426" s="93">
        <v>384254</v>
      </c>
      <c r="B3426" t="s">
        <v>3942</v>
      </c>
      <c r="C3426" t="s">
        <v>4920</v>
      </c>
      <c r="D3426" s="92">
        <v>0.67</v>
      </c>
      <c r="E3426" s="92">
        <v>0.53</v>
      </c>
      <c r="F3426" t="s">
        <v>446</v>
      </c>
      <c r="G3426" t="s">
        <v>446</v>
      </c>
      <c r="H3426" t="s">
        <v>4930</v>
      </c>
      <c r="I3426">
        <v>0</v>
      </c>
      <c r="J3426" t="s">
        <v>97</v>
      </c>
      <c r="K3426">
        <v>0</v>
      </c>
      <c r="L3426">
        <v>0</v>
      </c>
      <c r="M3426" t="s">
        <v>11</v>
      </c>
    </row>
    <row r="3427" spans="1:13">
      <c r="A3427" s="93">
        <v>384306</v>
      </c>
      <c r="B3427" t="s">
        <v>3943</v>
      </c>
      <c r="C3427" t="s">
        <v>4924</v>
      </c>
      <c r="D3427" s="92" t="s">
        <v>446</v>
      </c>
      <c r="E3427" s="92" t="s">
        <v>446</v>
      </c>
      <c r="F3427" t="s">
        <v>446</v>
      </c>
      <c r="G3427" t="s">
        <v>446</v>
      </c>
      <c r="H3427" t="s">
        <v>4932</v>
      </c>
      <c r="I3427">
        <v>0</v>
      </c>
      <c r="J3427" t="s">
        <v>97</v>
      </c>
      <c r="K3427">
        <v>0</v>
      </c>
      <c r="L3427">
        <v>0</v>
      </c>
      <c r="M3427" t="s">
        <v>11</v>
      </c>
    </row>
    <row r="3428" spans="1:13">
      <c r="A3428" s="93">
        <v>384333</v>
      </c>
      <c r="B3428" t="s">
        <v>3944</v>
      </c>
      <c r="C3428" t="s">
        <v>4919</v>
      </c>
      <c r="D3428" s="92">
        <v>0.26</v>
      </c>
      <c r="E3428" s="92">
        <v>0.24</v>
      </c>
      <c r="F3428" t="s">
        <v>446</v>
      </c>
      <c r="G3428" t="s">
        <v>446</v>
      </c>
      <c r="H3428" t="s">
        <v>4932</v>
      </c>
      <c r="I3428">
        <v>0</v>
      </c>
      <c r="J3428" t="s">
        <v>97</v>
      </c>
      <c r="K3428">
        <v>0</v>
      </c>
      <c r="L3428">
        <v>0</v>
      </c>
      <c r="M3428" t="s">
        <v>11</v>
      </c>
    </row>
    <row r="3429" spans="1:13">
      <c r="A3429" s="93">
        <v>384412</v>
      </c>
      <c r="B3429" t="s">
        <v>3945</v>
      </c>
      <c r="C3429" t="s">
        <v>4923</v>
      </c>
      <c r="D3429" s="92">
        <v>0.59</v>
      </c>
      <c r="E3429" s="92">
        <v>0.5600000000000001</v>
      </c>
      <c r="F3429" t="s">
        <v>446</v>
      </c>
      <c r="G3429" t="s">
        <v>446</v>
      </c>
      <c r="H3429" t="s">
        <v>4930</v>
      </c>
      <c r="I3429">
        <v>0</v>
      </c>
      <c r="J3429" t="s">
        <v>97</v>
      </c>
      <c r="K3429">
        <v>0</v>
      </c>
      <c r="L3429">
        <v>0</v>
      </c>
      <c r="M3429" t="s">
        <v>11</v>
      </c>
    </row>
    <row r="3430" spans="1:13">
      <c r="A3430" s="93">
        <v>384421</v>
      </c>
      <c r="B3430" t="s">
        <v>3946</v>
      </c>
      <c r="C3430" t="s">
        <v>4924</v>
      </c>
      <c r="D3430" s="92">
        <v>0.04</v>
      </c>
      <c r="E3430" s="92" t="s">
        <v>446</v>
      </c>
      <c r="F3430" t="s">
        <v>446</v>
      </c>
      <c r="G3430" t="s">
        <v>446</v>
      </c>
      <c r="H3430" t="s">
        <v>4931</v>
      </c>
      <c r="I3430">
        <v>0</v>
      </c>
      <c r="J3430" t="s">
        <v>97</v>
      </c>
      <c r="K3430">
        <v>0</v>
      </c>
      <c r="L3430">
        <v>0</v>
      </c>
      <c r="M3430" t="s">
        <v>11</v>
      </c>
    </row>
    <row r="3431" spans="1:13">
      <c r="A3431" s="93">
        <v>385415</v>
      </c>
      <c r="B3431" t="s">
        <v>3947</v>
      </c>
      <c r="C3431" t="s">
        <v>4924</v>
      </c>
      <c r="D3431" s="92" t="s">
        <v>446</v>
      </c>
      <c r="E3431" s="92" t="s">
        <v>446</v>
      </c>
      <c r="F3431" t="s">
        <v>446</v>
      </c>
      <c r="G3431" t="s">
        <v>446</v>
      </c>
      <c r="H3431" t="s">
        <v>4932</v>
      </c>
      <c r="I3431">
        <v>0</v>
      </c>
      <c r="J3431" t="s">
        <v>97</v>
      </c>
      <c r="K3431">
        <v>0</v>
      </c>
      <c r="L3431">
        <v>0</v>
      </c>
      <c r="M3431" t="s">
        <v>11</v>
      </c>
    </row>
    <row r="3432" spans="1:13">
      <c r="A3432" s="93">
        <v>385503</v>
      </c>
      <c r="B3432" t="s">
        <v>3948</v>
      </c>
      <c r="C3432" t="s">
        <v>4919</v>
      </c>
      <c r="D3432" s="92" t="s">
        <v>446</v>
      </c>
      <c r="E3432" s="92" t="s">
        <v>446</v>
      </c>
      <c r="F3432" t="s">
        <v>446</v>
      </c>
      <c r="G3432" t="s">
        <v>446</v>
      </c>
      <c r="H3432" t="s">
        <v>4930</v>
      </c>
      <c r="I3432">
        <v>0</v>
      </c>
      <c r="J3432" t="s">
        <v>97</v>
      </c>
      <c r="K3432">
        <v>0</v>
      </c>
      <c r="L3432">
        <v>0</v>
      </c>
      <c r="M3432" t="s">
        <v>11</v>
      </c>
    </row>
    <row r="3433" spans="1:13">
      <c r="A3433" s="93">
        <v>385619</v>
      </c>
      <c r="B3433" t="s">
        <v>3949</v>
      </c>
      <c r="C3433" t="s">
        <v>4924</v>
      </c>
      <c r="D3433" s="92">
        <v>0.5600000000000001</v>
      </c>
      <c r="E3433" s="92">
        <v>0.51</v>
      </c>
      <c r="F3433" t="s">
        <v>446</v>
      </c>
      <c r="G3433" t="s">
        <v>446</v>
      </c>
      <c r="H3433" t="s">
        <v>4930</v>
      </c>
      <c r="I3433">
        <v>0</v>
      </c>
      <c r="J3433" t="s">
        <v>97</v>
      </c>
      <c r="K3433">
        <v>0</v>
      </c>
      <c r="L3433">
        <v>0</v>
      </c>
      <c r="M3433" t="s">
        <v>11</v>
      </c>
    </row>
    <row r="3434" spans="1:13">
      <c r="A3434" s="93">
        <v>386153</v>
      </c>
      <c r="B3434" t="s">
        <v>3950</v>
      </c>
      <c r="C3434" t="s">
        <v>4925</v>
      </c>
      <c r="D3434" s="92" t="s">
        <v>446</v>
      </c>
      <c r="E3434" s="92" t="s">
        <v>446</v>
      </c>
      <c r="F3434" t="s">
        <v>446</v>
      </c>
      <c r="G3434" t="s">
        <v>446</v>
      </c>
      <c r="H3434" t="s">
        <v>4930</v>
      </c>
      <c r="I3434">
        <v>0</v>
      </c>
      <c r="J3434" t="s">
        <v>97</v>
      </c>
      <c r="K3434">
        <v>0</v>
      </c>
      <c r="L3434">
        <v>0</v>
      </c>
      <c r="M3434" t="s">
        <v>11</v>
      </c>
    </row>
    <row r="3435" spans="1:13">
      <c r="A3435" s="93">
        <v>388520</v>
      </c>
      <c r="B3435" t="s">
        <v>3951</v>
      </c>
      <c r="C3435" t="s">
        <v>4923</v>
      </c>
      <c r="D3435" s="92">
        <v>0.38</v>
      </c>
      <c r="E3435" s="92">
        <v>0.2</v>
      </c>
      <c r="F3435" t="s">
        <v>446</v>
      </c>
      <c r="G3435" t="s">
        <v>446</v>
      </c>
      <c r="H3435" t="s">
        <v>4931</v>
      </c>
      <c r="I3435">
        <v>0</v>
      </c>
      <c r="J3435" t="s">
        <v>97</v>
      </c>
      <c r="K3435">
        <v>0</v>
      </c>
      <c r="L3435">
        <v>0</v>
      </c>
      <c r="M3435" t="s">
        <v>11</v>
      </c>
    </row>
    <row r="3436" spans="1:13">
      <c r="A3436" s="93">
        <v>388663</v>
      </c>
      <c r="B3436" t="s">
        <v>3952</v>
      </c>
      <c r="C3436" t="s">
        <v>4919</v>
      </c>
      <c r="D3436" s="92" t="s">
        <v>446</v>
      </c>
      <c r="E3436" s="92" t="s">
        <v>446</v>
      </c>
      <c r="F3436" t="s">
        <v>446</v>
      </c>
      <c r="G3436" t="s">
        <v>446</v>
      </c>
      <c r="H3436" t="s">
        <v>4931</v>
      </c>
      <c r="I3436">
        <v>0</v>
      </c>
      <c r="J3436" t="s">
        <v>97</v>
      </c>
      <c r="K3436">
        <v>0</v>
      </c>
      <c r="L3436">
        <v>0</v>
      </c>
      <c r="M3436" t="s">
        <v>11</v>
      </c>
    </row>
    <row r="3437" spans="1:13">
      <c r="A3437" s="93">
        <v>392257</v>
      </c>
      <c r="B3437" t="s">
        <v>3953</v>
      </c>
      <c r="C3437" t="s">
        <v>4923</v>
      </c>
      <c r="D3437" s="92">
        <v>0.28</v>
      </c>
      <c r="E3437" s="92">
        <v>0.29</v>
      </c>
      <c r="F3437" t="s">
        <v>446</v>
      </c>
      <c r="G3437" t="s">
        <v>446</v>
      </c>
      <c r="H3437" t="s">
        <v>4930</v>
      </c>
      <c r="I3437">
        <v>0</v>
      </c>
      <c r="J3437" t="s">
        <v>97</v>
      </c>
      <c r="K3437">
        <v>0</v>
      </c>
      <c r="L3437">
        <v>0</v>
      </c>
      <c r="M3437" t="s">
        <v>11</v>
      </c>
    </row>
    <row r="3438" spans="1:13">
      <c r="A3438" s="93">
        <v>392354</v>
      </c>
      <c r="B3438" t="s">
        <v>3954</v>
      </c>
      <c r="C3438" t="s">
        <v>4919</v>
      </c>
      <c r="D3438" s="92" t="s">
        <v>446</v>
      </c>
      <c r="E3438" s="92" t="s">
        <v>446</v>
      </c>
      <c r="F3438" t="s">
        <v>446</v>
      </c>
      <c r="G3438" t="s">
        <v>446</v>
      </c>
      <c r="H3438" t="s">
        <v>4932</v>
      </c>
      <c r="I3438">
        <v>0</v>
      </c>
      <c r="J3438" t="s">
        <v>97</v>
      </c>
      <c r="K3438">
        <v>0</v>
      </c>
      <c r="L3438">
        <v>0</v>
      </c>
      <c r="M3438" t="s">
        <v>11</v>
      </c>
    </row>
    <row r="3439" spans="1:13">
      <c r="A3439" s="93">
        <v>392415</v>
      </c>
      <c r="B3439" t="s">
        <v>3955</v>
      </c>
      <c r="C3439" t="s">
        <v>4919</v>
      </c>
      <c r="D3439" s="92" t="s">
        <v>446</v>
      </c>
      <c r="E3439" s="92" t="s">
        <v>446</v>
      </c>
      <c r="F3439" t="s">
        <v>446</v>
      </c>
      <c r="G3439" t="s">
        <v>446</v>
      </c>
      <c r="H3439" t="s">
        <v>4930</v>
      </c>
      <c r="I3439">
        <v>0</v>
      </c>
      <c r="J3439" t="s">
        <v>97</v>
      </c>
      <c r="K3439">
        <v>0</v>
      </c>
      <c r="L3439">
        <v>0</v>
      </c>
      <c r="M3439" t="s">
        <v>11</v>
      </c>
    </row>
    <row r="3440" spans="1:13">
      <c r="A3440" s="93">
        <v>395362</v>
      </c>
      <c r="B3440" t="s">
        <v>3956</v>
      </c>
      <c r="C3440" t="s">
        <v>4919</v>
      </c>
      <c r="D3440" s="92">
        <v>0.35</v>
      </c>
      <c r="E3440" s="92">
        <v>0.32</v>
      </c>
      <c r="F3440" t="s">
        <v>446</v>
      </c>
      <c r="G3440" t="s">
        <v>446</v>
      </c>
      <c r="H3440" t="s">
        <v>4932</v>
      </c>
      <c r="I3440">
        <v>0</v>
      </c>
      <c r="J3440" t="s">
        <v>97</v>
      </c>
      <c r="K3440">
        <v>0</v>
      </c>
      <c r="L3440">
        <v>0</v>
      </c>
      <c r="M3440" t="s">
        <v>11</v>
      </c>
    </row>
    <row r="3441" spans="1:13">
      <c r="A3441" s="93">
        <v>399212</v>
      </c>
      <c r="B3441" t="s">
        <v>3957</v>
      </c>
      <c r="C3441" t="s">
        <v>4919</v>
      </c>
      <c r="D3441" s="92">
        <v>0.48</v>
      </c>
      <c r="E3441" s="92">
        <v>0.41</v>
      </c>
      <c r="F3441" t="s">
        <v>446</v>
      </c>
      <c r="G3441" t="s">
        <v>446</v>
      </c>
      <c r="H3441" t="s">
        <v>4932</v>
      </c>
      <c r="I3441">
        <v>0</v>
      </c>
      <c r="J3441" t="s">
        <v>97</v>
      </c>
      <c r="K3441">
        <v>0</v>
      </c>
      <c r="L3441">
        <v>0</v>
      </c>
      <c r="M3441" t="s">
        <v>11</v>
      </c>
    </row>
    <row r="3442" spans="1:13">
      <c r="A3442" s="93">
        <v>399869</v>
      </c>
      <c r="B3442" t="s">
        <v>3958</v>
      </c>
      <c r="C3442" t="s">
        <v>4923</v>
      </c>
      <c r="D3442" s="92">
        <v>0.49</v>
      </c>
      <c r="E3442" s="92">
        <v>0.48</v>
      </c>
      <c r="F3442" t="s">
        <v>446</v>
      </c>
      <c r="G3442" t="s">
        <v>446</v>
      </c>
      <c r="H3442" t="s">
        <v>4930</v>
      </c>
      <c r="I3442">
        <v>0</v>
      </c>
      <c r="J3442" t="s">
        <v>97</v>
      </c>
      <c r="K3442">
        <v>0</v>
      </c>
      <c r="L3442">
        <v>0</v>
      </c>
      <c r="M3442" t="s">
        <v>11</v>
      </c>
    </row>
    <row r="3443" spans="1:13">
      <c r="A3443" s="93">
        <v>400558</v>
      </c>
      <c r="B3443" t="s">
        <v>3959</v>
      </c>
      <c r="C3443" t="s">
        <v>4919</v>
      </c>
      <c r="D3443" s="92" t="s">
        <v>446</v>
      </c>
      <c r="E3443" s="92" t="s">
        <v>446</v>
      </c>
      <c r="F3443" t="s">
        <v>446</v>
      </c>
      <c r="G3443" t="s">
        <v>446</v>
      </c>
      <c r="H3443" t="s">
        <v>4932</v>
      </c>
      <c r="I3443">
        <v>0</v>
      </c>
      <c r="J3443" t="s">
        <v>97</v>
      </c>
      <c r="K3443">
        <v>0</v>
      </c>
      <c r="L3443">
        <v>0</v>
      </c>
      <c r="M3443" t="s">
        <v>11</v>
      </c>
    </row>
    <row r="3444" spans="1:13">
      <c r="A3444" s="93">
        <v>401223</v>
      </c>
      <c r="B3444" t="s">
        <v>3960</v>
      </c>
      <c r="C3444" t="s">
        <v>4923</v>
      </c>
      <c r="D3444" s="92">
        <v>1</v>
      </c>
      <c r="E3444" s="92" t="s">
        <v>446</v>
      </c>
      <c r="F3444" t="s">
        <v>446</v>
      </c>
      <c r="G3444" t="s">
        <v>446</v>
      </c>
      <c r="H3444" t="s">
        <v>4930</v>
      </c>
      <c r="I3444">
        <v>0</v>
      </c>
      <c r="J3444" t="s">
        <v>97</v>
      </c>
      <c r="K3444">
        <v>0</v>
      </c>
      <c r="L3444">
        <v>0</v>
      </c>
      <c r="M3444" t="s">
        <v>11</v>
      </c>
    </row>
    <row r="3445" spans="1:13">
      <c r="A3445" s="93">
        <v>401250</v>
      </c>
      <c r="B3445" t="s">
        <v>3961</v>
      </c>
      <c r="C3445" t="s">
        <v>4924</v>
      </c>
      <c r="D3445" s="92" t="s">
        <v>446</v>
      </c>
      <c r="E3445" s="92" t="s">
        <v>446</v>
      </c>
      <c r="F3445" t="s">
        <v>446</v>
      </c>
      <c r="G3445" t="s">
        <v>446</v>
      </c>
      <c r="H3445" t="s">
        <v>4932</v>
      </c>
      <c r="I3445">
        <v>0</v>
      </c>
      <c r="J3445" t="s">
        <v>97</v>
      </c>
      <c r="K3445">
        <v>0</v>
      </c>
      <c r="L3445">
        <v>0</v>
      </c>
      <c r="M3445" t="s">
        <v>11</v>
      </c>
    </row>
    <row r="3446" spans="1:13">
      <c r="A3446" s="93">
        <v>402776</v>
      </c>
      <c r="B3446" t="s">
        <v>3962</v>
      </c>
      <c r="C3446" t="s">
        <v>4923</v>
      </c>
      <c r="D3446" s="92">
        <v>0.19</v>
      </c>
      <c r="E3446" s="92">
        <v>0.2</v>
      </c>
      <c r="F3446" t="s">
        <v>446</v>
      </c>
      <c r="G3446" t="s">
        <v>446</v>
      </c>
      <c r="H3446" t="s">
        <v>4932</v>
      </c>
      <c r="I3446">
        <v>0</v>
      </c>
      <c r="J3446" t="s">
        <v>97</v>
      </c>
      <c r="K3446">
        <v>0</v>
      </c>
      <c r="L3446">
        <v>0</v>
      </c>
      <c r="M3446" t="s">
        <v>11</v>
      </c>
    </row>
    <row r="3447" spans="1:13">
      <c r="A3447" s="93">
        <v>403469</v>
      </c>
      <c r="B3447" t="s">
        <v>3963</v>
      </c>
      <c r="C3447" t="s">
        <v>4919</v>
      </c>
      <c r="D3447" s="92">
        <v>0.75</v>
      </c>
      <c r="E3447" s="92">
        <v>0.58</v>
      </c>
      <c r="F3447" t="s">
        <v>446</v>
      </c>
      <c r="G3447" t="s">
        <v>446</v>
      </c>
      <c r="H3447" t="s">
        <v>4927</v>
      </c>
      <c r="I3447">
        <v>1</v>
      </c>
      <c r="J3447" t="s">
        <v>97</v>
      </c>
      <c r="K3447">
        <v>1</v>
      </c>
      <c r="L3447">
        <v>0</v>
      </c>
      <c r="M3447" t="s">
        <v>11</v>
      </c>
    </row>
    <row r="3448" spans="1:13">
      <c r="A3448" s="93">
        <v>403478</v>
      </c>
      <c r="B3448" t="s">
        <v>3964</v>
      </c>
      <c r="C3448" t="s">
        <v>4919</v>
      </c>
      <c r="D3448" s="92">
        <v>0.7</v>
      </c>
      <c r="E3448" s="92">
        <v>0.61</v>
      </c>
      <c r="F3448" t="s">
        <v>446</v>
      </c>
      <c r="G3448" t="s">
        <v>446</v>
      </c>
      <c r="H3448" t="s">
        <v>4927</v>
      </c>
      <c r="I3448">
        <v>1</v>
      </c>
      <c r="J3448" t="s">
        <v>97</v>
      </c>
      <c r="K3448">
        <v>1</v>
      </c>
      <c r="L3448">
        <v>0</v>
      </c>
      <c r="M3448" t="s">
        <v>11</v>
      </c>
    </row>
    <row r="3449" spans="1:13">
      <c r="A3449" s="93">
        <v>403487</v>
      </c>
      <c r="B3449" t="s">
        <v>3965</v>
      </c>
      <c r="C3449" t="s">
        <v>4919</v>
      </c>
      <c r="D3449" s="92">
        <v>0.68</v>
      </c>
      <c r="E3449" s="92">
        <v>0.65</v>
      </c>
      <c r="F3449" t="s">
        <v>446</v>
      </c>
      <c r="G3449" t="s">
        <v>446</v>
      </c>
      <c r="H3449" t="s">
        <v>4927</v>
      </c>
      <c r="I3449">
        <v>1</v>
      </c>
      <c r="J3449" t="s">
        <v>97</v>
      </c>
      <c r="K3449">
        <v>1</v>
      </c>
      <c r="L3449">
        <v>0</v>
      </c>
      <c r="M3449" t="s">
        <v>11</v>
      </c>
    </row>
    <row r="3450" spans="1:13">
      <c r="A3450" s="93">
        <v>404055</v>
      </c>
      <c r="B3450" t="s">
        <v>3966</v>
      </c>
      <c r="C3450" t="s">
        <v>4923</v>
      </c>
      <c r="D3450" s="92">
        <v>0.59</v>
      </c>
      <c r="E3450" s="92">
        <v>0.59</v>
      </c>
      <c r="F3450" t="s">
        <v>446</v>
      </c>
      <c r="G3450" t="s">
        <v>446</v>
      </c>
      <c r="H3450" t="s">
        <v>4930</v>
      </c>
      <c r="I3450">
        <v>0</v>
      </c>
      <c r="J3450" t="s">
        <v>97</v>
      </c>
      <c r="K3450">
        <v>0</v>
      </c>
      <c r="L3450">
        <v>0</v>
      </c>
      <c r="M3450" t="s">
        <v>11</v>
      </c>
    </row>
    <row r="3451" spans="1:13">
      <c r="A3451" s="93">
        <v>404222</v>
      </c>
      <c r="B3451" t="s">
        <v>3967</v>
      </c>
      <c r="C3451" t="s">
        <v>4924</v>
      </c>
      <c r="D3451" s="92" t="s">
        <v>446</v>
      </c>
      <c r="E3451" s="92" t="s">
        <v>446</v>
      </c>
      <c r="F3451" t="s">
        <v>446</v>
      </c>
      <c r="G3451" t="s">
        <v>446</v>
      </c>
      <c r="H3451" t="s">
        <v>4932</v>
      </c>
      <c r="I3451">
        <v>0</v>
      </c>
      <c r="J3451" t="s">
        <v>97</v>
      </c>
      <c r="K3451">
        <v>0</v>
      </c>
      <c r="L3451">
        <v>0</v>
      </c>
      <c r="M3451" t="s">
        <v>11</v>
      </c>
    </row>
    <row r="3452" spans="1:13">
      <c r="A3452" s="93">
        <v>404338</v>
      </c>
      <c r="B3452" t="s">
        <v>3968</v>
      </c>
      <c r="C3452" t="s">
        <v>4923</v>
      </c>
      <c r="D3452" s="92">
        <v>0.17</v>
      </c>
      <c r="E3452" s="92">
        <v>0</v>
      </c>
      <c r="F3452" t="s">
        <v>446</v>
      </c>
      <c r="G3452" t="s">
        <v>446</v>
      </c>
      <c r="H3452" t="s">
        <v>4932</v>
      </c>
      <c r="I3452">
        <v>0</v>
      </c>
      <c r="J3452" t="s">
        <v>97</v>
      </c>
      <c r="K3452">
        <v>0</v>
      </c>
      <c r="L3452">
        <v>0</v>
      </c>
      <c r="M3452" t="s">
        <v>11</v>
      </c>
    </row>
    <row r="3453" spans="1:13">
      <c r="A3453" s="93">
        <v>404426</v>
      </c>
      <c r="B3453" t="s">
        <v>3969</v>
      </c>
      <c r="C3453" t="s">
        <v>4919</v>
      </c>
      <c r="D3453" s="92">
        <v>0.32</v>
      </c>
      <c r="E3453" s="92">
        <v>0.27</v>
      </c>
      <c r="F3453" t="s">
        <v>446</v>
      </c>
      <c r="G3453" t="s">
        <v>446</v>
      </c>
      <c r="H3453" t="s">
        <v>4932</v>
      </c>
      <c r="I3453">
        <v>0</v>
      </c>
      <c r="J3453" t="s">
        <v>97</v>
      </c>
      <c r="K3453">
        <v>0</v>
      </c>
      <c r="L3453">
        <v>0</v>
      </c>
      <c r="M3453" t="s">
        <v>11</v>
      </c>
    </row>
    <row r="3454" spans="1:13">
      <c r="A3454" s="93">
        <v>404806</v>
      </c>
      <c r="B3454" t="s">
        <v>3970</v>
      </c>
      <c r="C3454" t="s">
        <v>4923</v>
      </c>
      <c r="D3454" s="92" t="s">
        <v>446</v>
      </c>
      <c r="E3454" s="92" t="s">
        <v>446</v>
      </c>
      <c r="F3454" t="s">
        <v>446</v>
      </c>
      <c r="G3454" t="s">
        <v>446</v>
      </c>
      <c r="H3454" t="s">
        <v>4932</v>
      </c>
      <c r="I3454">
        <v>0</v>
      </c>
      <c r="J3454" t="s">
        <v>97</v>
      </c>
      <c r="K3454">
        <v>0</v>
      </c>
      <c r="L3454">
        <v>0</v>
      </c>
      <c r="M3454" t="s">
        <v>11</v>
      </c>
    </row>
    <row r="3455" spans="1:13">
      <c r="A3455" s="93">
        <v>404912</v>
      </c>
      <c r="B3455" t="s">
        <v>3971</v>
      </c>
      <c r="C3455" t="s">
        <v>4919</v>
      </c>
      <c r="D3455" s="92" t="s">
        <v>446</v>
      </c>
      <c r="E3455" s="92" t="s">
        <v>446</v>
      </c>
      <c r="F3455" t="s">
        <v>446</v>
      </c>
      <c r="G3455" t="s">
        <v>446</v>
      </c>
      <c r="H3455" t="s">
        <v>4930</v>
      </c>
      <c r="I3455">
        <v>0</v>
      </c>
      <c r="J3455" t="s">
        <v>97</v>
      </c>
      <c r="K3455">
        <v>0</v>
      </c>
      <c r="L3455">
        <v>0</v>
      </c>
      <c r="M3455" t="s">
        <v>11</v>
      </c>
    </row>
    <row r="3456" spans="1:13">
      <c r="A3456" s="93">
        <v>404994</v>
      </c>
      <c r="B3456" t="s">
        <v>3972</v>
      </c>
      <c r="C3456" t="s">
        <v>4923</v>
      </c>
      <c r="D3456" s="92" t="s">
        <v>446</v>
      </c>
      <c r="E3456" s="92" t="s">
        <v>446</v>
      </c>
      <c r="F3456" t="s">
        <v>446</v>
      </c>
      <c r="G3456" t="s">
        <v>446</v>
      </c>
      <c r="H3456" t="s">
        <v>4930</v>
      </c>
      <c r="I3456">
        <v>0</v>
      </c>
      <c r="J3456" t="s">
        <v>97</v>
      </c>
      <c r="K3456">
        <v>0</v>
      </c>
      <c r="L3456">
        <v>0</v>
      </c>
      <c r="M3456" t="s">
        <v>11</v>
      </c>
    </row>
    <row r="3457" spans="1:13">
      <c r="A3457" s="93">
        <v>405012</v>
      </c>
      <c r="B3457" t="s">
        <v>3973</v>
      </c>
      <c r="C3457" t="s">
        <v>4919</v>
      </c>
      <c r="D3457" s="92" t="s">
        <v>446</v>
      </c>
      <c r="E3457" s="92" t="s">
        <v>446</v>
      </c>
      <c r="F3457" t="s">
        <v>446</v>
      </c>
      <c r="G3457" t="s">
        <v>446</v>
      </c>
      <c r="H3457" t="s">
        <v>4930</v>
      </c>
      <c r="I3457">
        <v>0</v>
      </c>
      <c r="J3457" t="s">
        <v>97</v>
      </c>
      <c r="K3457">
        <v>0</v>
      </c>
      <c r="L3457">
        <v>0</v>
      </c>
      <c r="M3457" t="s">
        <v>11</v>
      </c>
    </row>
    <row r="3458" spans="1:13">
      <c r="A3458" s="93">
        <v>405058</v>
      </c>
      <c r="B3458" t="s">
        <v>3974</v>
      </c>
      <c r="C3458" t="s">
        <v>4924</v>
      </c>
      <c r="D3458" s="92" t="s">
        <v>446</v>
      </c>
      <c r="E3458" s="92" t="s">
        <v>446</v>
      </c>
      <c r="F3458" t="s">
        <v>446</v>
      </c>
      <c r="G3458" t="s">
        <v>446</v>
      </c>
      <c r="H3458" t="s">
        <v>4928</v>
      </c>
      <c r="I3458">
        <v>1</v>
      </c>
      <c r="J3458" t="s">
        <v>97</v>
      </c>
      <c r="K3458">
        <v>0</v>
      </c>
      <c r="L3458">
        <v>0</v>
      </c>
      <c r="M3458" t="s">
        <v>11</v>
      </c>
    </row>
    <row r="3459" spans="1:13">
      <c r="A3459" s="93">
        <v>405854</v>
      </c>
      <c r="B3459" t="s">
        <v>3975</v>
      </c>
      <c r="C3459" t="s">
        <v>4923</v>
      </c>
      <c r="D3459" s="92">
        <v>0.44</v>
      </c>
      <c r="E3459" s="92" t="s">
        <v>446</v>
      </c>
      <c r="F3459" t="s">
        <v>446</v>
      </c>
      <c r="G3459" t="s">
        <v>446</v>
      </c>
      <c r="H3459" t="s">
        <v>4931</v>
      </c>
      <c r="I3459">
        <v>0</v>
      </c>
      <c r="J3459" t="s">
        <v>97</v>
      </c>
      <c r="K3459">
        <v>0</v>
      </c>
      <c r="L3459">
        <v>0</v>
      </c>
      <c r="M3459" t="s">
        <v>11</v>
      </c>
    </row>
    <row r="3460" spans="1:13">
      <c r="A3460" s="93">
        <v>405872</v>
      </c>
      <c r="B3460" t="s">
        <v>3976</v>
      </c>
      <c r="C3460" t="s">
        <v>4919</v>
      </c>
      <c r="D3460" s="92">
        <v>0.45</v>
      </c>
      <c r="E3460" s="92">
        <v>0.38</v>
      </c>
      <c r="F3460" t="s">
        <v>446</v>
      </c>
      <c r="G3460" t="s">
        <v>446</v>
      </c>
      <c r="H3460" t="s">
        <v>4932</v>
      </c>
      <c r="I3460">
        <v>0</v>
      </c>
      <c r="J3460" t="s">
        <v>97</v>
      </c>
      <c r="K3460">
        <v>0</v>
      </c>
      <c r="L3460">
        <v>0</v>
      </c>
      <c r="M3460" t="s">
        <v>11</v>
      </c>
    </row>
    <row r="3461" spans="1:13">
      <c r="A3461" s="93">
        <v>406024</v>
      </c>
      <c r="B3461" t="s">
        <v>3977</v>
      </c>
      <c r="C3461" t="s">
        <v>4923</v>
      </c>
      <c r="D3461" s="92" t="s">
        <v>446</v>
      </c>
      <c r="E3461" s="92" t="s">
        <v>446</v>
      </c>
      <c r="F3461" t="s">
        <v>446</v>
      </c>
      <c r="G3461" t="s">
        <v>446</v>
      </c>
      <c r="H3461" t="s">
        <v>4930</v>
      </c>
      <c r="I3461">
        <v>0</v>
      </c>
      <c r="J3461" t="s">
        <v>97</v>
      </c>
      <c r="K3461">
        <v>0</v>
      </c>
      <c r="L3461">
        <v>0</v>
      </c>
      <c r="M3461" t="s">
        <v>11</v>
      </c>
    </row>
    <row r="3462" spans="1:13">
      <c r="A3462" s="93">
        <v>406033</v>
      </c>
      <c r="B3462" t="s">
        <v>3978</v>
      </c>
      <c r="C3462" t="s">
        <v>4923</v>
      </c>
      <c r="D3462" s="92" t="s">
        <v>446</v>
      </c>
      <c r="E3462" s="92" t="s">
        <v>446</v>
      </c>
      <c r="F3462" t="s">
        <v>446</v>
      </c>
      <c r="G3462" t="s">
        <v>446</v>
      </c>
      <c r="H3462" t="s">
        <v>4932</v>
      </c>
      <c r="I3462">
        <v>0</v>
      </c>
      <c r="J3462" t="s">
        <v>97</v>
      </c>
      <c r="K3462">
        <v>0</v>
      </c>
      <c r="L3462">
        <v>0</v>
      </c>
      <c r="M3462" t="s">
        <v>11</v>
      </c>
    </row>
    <row r="3463" spans="1:13">
      <c r="A3463" s="93">
        <v>406547</v>
      </c>
      <c r="B3463" t="s">
        <v>3979</v>
      </c>
      <c r="C3463" t="s">
        <v>4923</v>
      </c>
      <c r="D3463" s="92" t="s">
        <v>446</v>
      </c>
      <c r="E3463" s="92" t="s">
        <v>446</v>
      </c>
      <c r="F3463" t="s">
        <v>446</v>
      </c>
      <c r="G3463" t="s">
        <v>446</v>
      </c>
      <c r="H3463" t="s">
        <v>4930</v>
      </c>
      <c r="I3463">
        <v>0</v>
      </c>
      <c r="J3463" t="s">
        <v>97</v>
      </c>
      <c r="K3463">
        <v>0</v>
      </c>
      <c r="L3463">
        <v>0</v>
      </c>
      <c r="M3463" t="s">
        <v>11</v>
      </c>
    </row>
    <row r="3464" spans="1:13">
      <c r="A3464" s="93">
        <v>407355</v>
      </c>
      <c r="B3464" t="s">
        <v>3980</v>
      </c>
      <c r="C3464" t="s">
        <v>4919</v>
      </c>
      <c r="D3464" s="92" t="s">
        <v>446</v>
      </c>
      <c r="E3464" s="92" t="s">
        <v>446</v>
      </c>
      <c r="F3464" t="s">
        <v>446</v>
      </c>
      <c r="G3464" t="s">
        <v>446</v>
      </c>
      <c r="H3464" t="s">
        <v>4931</v>
      </c>
      <c r="I3464">
        <v>0</v>
      </c>
      <c r="J3464" t="s">
        <v>97</v>
      </c>
      <c r="K3464">
        <v>0</v>
      </c>
      <c r="L3464">
        <v>0</v>
      </c>
      <c r="M3464" t="s">
        <v>11</v>
      </c>
    </row>
    <row r="3465" spans="1:13">
      <c r="A3465" s="93">
        <v>407568</v>
      </c>
      <c r="B3465" t="s">
        <v>3981</v>
      </c>
      <c r="C3465" t="s">
        <v>4919</v>
      </c>
      <c r="D3465" s="92" t="s">
        <v>446</v>
      </c>
      <c r="E3465" s="92" t="s">
        <v>446</v>
      </c>
      <c r="F3465" t="s">
        <v>446</v>
      </c>
      <c r="G3465" t="s">
        <v>446</v>
      </c>
      <c r="H3465" t="s">
        <v>4930</v>
      </c>
      <c r="I3465">
        <v>0</v>
      </c>
      <c r="J3465" t="s">
        <v>97</v>
      </c>
      <c r="K3465">
        <v>0</v>
      </c>
      <c r="L3465">
        <v>0</v>
      </c>
      <c r="M3465" t="s">
        <v>11</v>
      </c>
    </row>
    <row r="3466" spans="1:13">
      <c r="A3466" s="93">
        <v>407610</v>
      </c>
      <c r="B3466" t="s">
        <v>3982</v>
      </c>
      <c r="C3466" t="s">
        <v>4919</v>
      </c>
      <c r="D3466" s="92" t="s">
        <v>446</v>
      </c>
      <c r="E3466" s="92" t="s">
        <v>446</v>
      </c>
      <c r="F3466" t="s">
        <v>446</v>
      </c>
      <c r="G3466" t="s">
        <v>446</v>
      </c>
      <c r="H3466" t="s">
        <v>4932</v>
      </c>
      <c r="I3466">
        <v>0</v>
      </c>
      <c r="J3466" t="s">
        <v>97</v>
      </c>
      <c r="K3466">
        <v>0</v>
      </c>
      <c r="L3466">
        <v>0</v>
      </c>
      <c r="M3466" t="s">
        <v>11</v>
      </c>
    </row>
    <row r="3467" spans="1:13">
      <c r="A3467" s="93">
        <v>407629</v>
      </c>
      <c r="B3467" t="s">
        <v>3983</v>
      </c>
      <c r="C3467" t="s">
        <v>4924</v>
      </c>
      <c r="D3467" s="92" t="s">
        <v>446</v>
      </c>
      <c r="E3467" s="92" t="s">
        <v>446</v>
      </c>
      <c r="F3467" t="s">
        <v>446</v>
      </c>
      <c r="G3467" t="s">
        <v>446</v>
      </c>
      <c r="H3467" t="s">
        <v>4932</v>
      </c>
      <c r="I3467">
        <v>0</v>
      </c>
      <c r="J3467" t="s">
        <v>97</v>
      </c>
      <c r="K3467">
        <v>0</v>
      </c>
      <c r="L3467">
        <v>0</v>
      </c>
      <c r="M3467" t="s">
        <v>11</v>
      </c>
    </row>
    <row r="3468" spans="1:13">
      <c r="A3468" s="93">
        <v>408729</v>
      </c>
      <c r="B3468" t="s">
        <v>3195</v>
      </c>
      <c r="C3468" t="s">
        <v>4919</v>
      </c>
      <c r="D3468" s="92" t="s">
        <v>446</v>
      </c>
      <c r="E3468" s="92" t="s">
        <v>446</v>
      </c>
      <c r="F3468" t="s">
        <v>446</v>
      </c>
      <c r="G3468" t="s">
        <v>446</v>
      </c>
      <c r="H3468" t="s">
        <v>4931</v>
      </c>
      <c r="I3468">
        <v>0</v>
      </c>
      <c r="J3468" t="s">
        <v>97</v>
      </c>
      <c r="K3468">
        <v>0</v>
      </c>
      <c r="L3468">
        <v>0</v>
      </c>
      <c r="M3468" t="s">
        <v>11</v>
      </c>
    </row>
    <row r="3469" spans="1:13">
      <c r="A3469" s="93">
        <v>408844</v>
      </c>
      <c r="B3469" t="s">
        <v>3984</v>
      </c>
      <c r="C3469" t="s">
        <v>4923</v>
      </c>
      <c r="D3469" s="92">
        <v>0.55</v>
      </c>
      <c r="E3469" s="92">
        <v>0.5600000000000001</v>
      </c>
      <c r="F3469" t="s">
        <v>446</v>
      </c>
      <c r="G3469" t="s">
        <v>446</v>
      </c>
      <c r="H3469" t="s">
        <v>4930</v>
      </c>
      <c r="I3469">
        <v>0</v>
      </c>
      <c r="J3469" t="s">
        <v>97</v>
      </c>
      <c r="K3469">
        <v>0</v>
      </c>
      <c r="L3469">
        <v>0</v>
      </c>
      <c r="M3469" t="s">
        <v>11</v>
      </c>
    </row>
    <row r="3470" spans="1:13">
      <c r="A3470" s="93">
        <v>409315</v>
      </c>
      <c r="B3470" t="s">
        <v>3985</v>
      </c>
      <c r="C3470" t="s">
        <v>4923</v>
      </c>
      <c r="D3470" s="92">
        <v>0.13</v>
      </c>
      <c r="E3470" s="92">
        <v>0.12</v>
      </c>
      <c r="F3470" t="s">
        <v>446</v>
      </c>
      <c r="G3470" t="s">
        <v>446</v>
      </c>
      <c r="H3470" t="s">
        <v>4932</v>
      </c>
      <c r="I3470">
        <v>0</v>
      </c>
      <c r="J3470" t="s">
        <v>97</v>
      </c>
      <c r="K3470">
        <v>0</v>
      </c>
      <c r="L3470">
        <v>0</v>
      </c>
      <c r="M3470" t="s">
        <v>11</v>
      </c>
    </row>
    <row r="3471" spans="1:13">
      <c r="A3471" s="93">
        <v>409616</v>
      </c>
      <c r="B3471" t="s">
        <v>3986</v>
      </c>
      <c r="C3471" t="s">
        <v>4924</v>
      </c>
      <c r="D3471" s="92" t="s">
        <v>446</v>
      </c>
      <c r="E3471" s="92" t="s">
        <v>446</v>
      </c>
      <c r="F3471" t="s">
        <v>446</v>
      </c>
      <c r="G3471" t="s">
        <v>446</v>
      </c>
      <c r="H3471" t="s">
        <v>4932</v>
      </c>
      <c r="I3471">
        <v>0</v>
      </c>
      <c r="J3471" t="s">
        <v>97</v>
      </c>
      <c r="K3471">
        <v>0</v>
      </c>
      <c r="L3471">
        <v>0</v>
      </c>
      <c r="M3471" t="s">
        <v>11</v>
      </c>
    </row>
    <row r="3472" spans="1:13">
      <c r="A3472" s="93">
        <v>409698</v>
      </c>
      <c r="B3472" t="s">
        <v>3987</v>
      </c>
      <c r="C3472" t="s">
        <v>4918</v>
      </c>
      <c r="D3472" s="92">
        <v>0.61</v>
      </c>
      <c r="E3472" s="92">
        <v>0.6</v>
      </c>
      <c r="F3472" t="s">
        <v>446</v>
      </c>
      <c r="G3472" t="s">
        <v>446</v>
      </c>
      <c r="H3472" t="s">
        <v>4932</v>
      </c>
      <c r="I3472">
        <v>0</v>
      </c>
      <c r="J3472" t="s">
        <v>97</v>
      </c>
      <c r="K3472">
        <v>0</v>
      </c>
      <c r="L3472">
        <v>0</v>
      </c>
      <c r="M3472" t="s">
        <v>11</v>
      </c>
    </row>
    <row r="3473" spans="1:13">
      <c r="A3473" s="93">
        <v>411754</v>
      </c>
      <c r="B3473" t="s">
        <v>3988</v>
      </c>
      <c r="C3473" t="s">
        <v>4919</v>
      </c>
      <c r="D3473" s="92" t="s">
        <v>446</v>
      </c>
      <c r="E3473" s="92" t="s">
        <v>446</v>
      </c>
      <c r="F3473" t="s">
        <v>446</v>
      </c>
      <c r="G3473" t="s">
        <v>446</v>
      </c>
      <c r="H3473" t="s">
        <v>4932</v>
      </c>
      <c r="I3473">
        <v>0</v>
      </c>
      <c r="J3473" t="s">
        <v>97</v>
      </c>
      <c r="K3473">
        <v>0</v>
      </c>
      <c r="L3473">
        <v>0</v>
      </c>
      <c r="M3473" t="s">
        <v>11</v>
      </c>
    </row>
    <row r="3474" spans="1:13">
      <c r="A3474" s="93">
        <v>412173</v>
      </c>
      <c r="B3474" t="s">
        <v>3989</v>
      </c>
      <c r="C3474" t="s">
        <v>4919</v>
      </c>
      <c r="D3474" s="92" t="s">
        <v>446</v>
      </c>
      <c r="E3474" s="92" t="s">
        <v>446</v>
      </c>
      <c r="F3474" t="s">
        <v>446</v>
      </c>
      <c r="G3474" t="s">
        <v>446</v>
      </c>
      <c r="H3474" t="s">
        <v>4930</v>
      </c>
      <c r="I3474">
        <v>0</v>
      </c>
      <c r="J3474" t="s">
        <v>97</v>
      </c>
      <c r="K3474">
        <v>0</v>
      </c>
      <c r="L3474">
        <v>0</v>
      </c>
      <c r="M3474" t="s">
        <v>11</v>
      </c>
    </row>
    <row r="3475" spans="1:13">
      <c r="A3475" s="93">
        <v>412599</v>
      </c>
      <c r="B3475" t="s">
        <v>3990</v>
      </c>
      <c r="C3475" t="s">
        <v>4923</v>
      </c>
      <c r="D3475" s="92">
        <v>0.57</v>
      </c>
      <c r="E3475" s="92">
        <v>0.59</v>
      </c>
      <c r="F3475" t="s">
        <v>446</v>
      </c>
      <c r="G3475" t="s">
        <v>446</v>
      </c>
      <c r="H3475" t="s">
        <v>4930</v>
      </c>
      <c r="I3475">
        <v>0</v>
      </c>
      <c r="J3475" t="s">
        <v>97</v>
      </c>
      <c r="K3475">
        <v>0</v>
      </c>
      <c r="L3475">
        <v>0</v>
      </c>
      <c r="M3475" t="s">
        <v>11</v>
      </c>
    </row>
    <row r="3476" spans="1:13">
      <c r="A3476" s="93">
        <v>413617</v>
      </c>
      <c r="B3476" t="s">
        <v>3991</v>
      </c>
      <c r="C3476" t="s">
        <v>4923</v>
      </c>
      <c r="D3476" s="92" t="s">
        <v>446</v>
      </c>
      <c r="E3476" s="92" t="s">
        <v>446</v>
      </c>
      <c r="F3476" t="s">
        <v>446</v>
      </c>
      <c r="G3476" t="s">
        <v>446</v>
      </c>
      <c r="H3476" t="s">
        <v>4931</v>
      </c>
      <c r="I3476">
        <v>0</v>
      </c>
      <c r="J3476" t="s">
        <v>97</v>
      </c>
      <c r="K3476">
        <v>0</v>
      </c>
      <c r="L3476">
        <v>0</v>
      </c>
      <c r="M3476" t="s">
        <v>11</v>
      </c>
    </row>
    <row r="3477" spans="1:13">
      <c r="A3477" s="93">
        <v>413626</v>
      </c>
      <c r="B3477" t="s">
        <v>3992</v>
      </c>
      <c r="C3477" t="s">
        <v>4919</v>
      </c>
      <c r="D3477" s="92">
        <v>0.34</v>
      </c>
      <c r="E3477" s="92">
        <v>0</v>
      </c>
      <c r="F3477" t="s">
        <v>446</v>
      </c>
      <c r="G3477" t="s">
        <v>446</v>
      </c>
      <c r="H3477" t="s">
        <v>4932</v>
      </c>
      <c r="I3477">
        <v>0</v>
      </c>
      <c r="J3477" t="s">
        <v>97</v>
      </c>
      <c r="K3477">
        <v>0</v>
      </c>
      <c r="L3477">
        <v>0</v>
      </c>
      <c r="M3477" t="s">
        <v>11</v>
      </c>
    </row>
    <row r="3478" spans="1:13">
      <c r="A3478" s="93">
        <v>413680</v>
      </c>
      <c r="B3478" t="s">
        <v>3993</v>
      </c>
      <c r="C3478" t="s">
        <v>4919</v>
      </c>
      <c r="D3478" s="92" t="s">
        <v>446</v>
      </c>
      <c r="E3478" s="92" t="s">
        <v>446</v>
      </c>
      <c r="F3478" t="s">
        <v>446</v>
      </c>
      <c r="G3478" t="s">
        <v>446</v>
      </c>
      <c r="H3478" t="s">
        <v>4930</v>
      </c>
      <c r="I3478">
        <v>0</v>
      </c>
      <c r="J3478" t="s">
        <v>97</v>
      </c>
      <c r="K3478">
        <v>0</v>
      </c>
      <c r="L3478">
        <v>0</v>
      </c>
      <c r="M3478" t="s">
        <v>11</v>
      </c>
    </row>
    <row r="3479" spans="1:13">
      <c r="A3479" s="93">
        <v>413778</v>
      </c>
      <c r="B3479" t="s">
        <v>3994</v>
      </c>
      <c r="C3479" t="s">
        <v>4919</v>
      </c>
      <c r="D3479" s="92" t="s">
        <v>446</v>
      </c>
      <c r="E3479" s="92" t="s">
        <v>446</v>
      </c>
      <c r="F3479" t="s">
        <v>446</v>
      </c>
      <c r="G3479" t="s">
        <v>446</v>
      </c>
      <c r="H3479" t="s">
        <v>4930</v>
      </c>
      <c r="I3479">
        <v>0</v>
      </c>
      <c r="J3479" t="s">
        <v>97</v>
      </c>
      <c r="K3479">
        <v>0</v>
      </c>
      <c r="L3479">
        <v>0</v>
      </c>
      <c r="M3479" t="s">
        <v>11</v>
      </c>
    </row>
    <row r="3480" spans="1:13">
      <c r="A3480" s="93">
        <v>414461</v>
      </c>
      <c r="B3480" t="s">
        <v>3995</v>
      </c>
      <c r="C3480" t="s">
        <v>4919</v>
      </c>
      <c r="D3480" s="92" t="s">
        <v>446</v>
      </c>
      <c r="E3480" s="92" t="s">
        <v>446</v>
      </c>
      <c r="F3480" t="s">
        <v>446</v>
      </c>
      <c r="G3480" t="s">
        <v>446</v>
      </c>
      <c r="H3480" t="s">
        <v>4931</v>
      </c>
      <c r="I3480">
        <v>0</v>
      </c>
      <c r="J3480" t="s">
        <v>97</v>
      </c>
      <c r="K3480">
        <v>0</v>
      </c>
      <c r="L3480">
        <v>0</v>
      </c>
      <c r="M3480" t="s">
        <v>11</v>
      </c>
    </row>
    <row r="3481" spans="1:13">
      <c r="A3481" s="93">
        <v>414595</v>
      </c>
      <c r="B3481" t="s">
        <v>3924</v>
      </c>
      <c r="C3481" t="s">
        <v>4923</v>
      </c>
      <c r="D3481" s="92">
        <v>1</v>
      </c>
      <c r="E3481" s="92" t="s">
        <v>446</v>
      </c>
      <c r="F3481" t="s">
        <v>446</v>
      </c>
      <c r="G3481" t="s">
        <v>446</v>
      </c>
      <c r="H3481" t="s">
        <v>4930</v>
      </c>
      <c r="I3481">
        <v>0</v>
      </c>
      <c r="J3481" t="s">
        <v>97</v>
      </c>
      <c r="K3481">
        <v>0</v>
      </c>
      <c r="L3481">
        <v>0</v>
      </c>
      <c r="M3481" t="s">
        <v>11</v>
      </c>
    </row>
    <row r="3482" spans="1:13">
      <c r="A3482" s="93">
        <v>414823</v>
      </c>
      <c r="B3482" t="s">
        <v>3996</v>
      </c>
      <c r="C3482" t="s">
        <v>4924</v>
      </c>
      <c r="D3482" s="92">
        <v>0.5</v>
      </c>
      <c r="E3482" s="92">
        <v>0.49</v>
      </c>
      <c r="F3482" t="s">
        <v>446</v>
      </c>
      <c r="G3482" t="s">
        <v>446</v>
      </c>
      <c r="H3482" t="s">
        <v>4932</v>
      </c>
      <c r="I3482">
        <v>0</v>
      </c>
      <c r="J3482" t="s">
        <v>97</v>
      </c>
      <c r="K3482">
        <v>0</v>
      </c>
      <c r="L3482">
        <v>0</v>
      </c>
      <c r="M3482" t="s">
        <v>11</v>
      </c>
    </row>
    <row r="3483" spans="1:13">
      <c r="A3483" s="93">
        <v>414878</v>
      </c>
      <c r="B3483" t="s">
        <v>3997</v>
      </c>
      <c r="C3483" t="s">
        <v>4924</v>
      </c>
      <c r="D3483" s="92">
        <v>0.4</v>
      </c>
      <c r="E3483" s="92" t="s">
        <v>446</v>
      </c>
      <c r="F3483" t="s">
        <v>446</v>
      </c>
      <c r="G3483" t="s">
        <v>446</v>
      </c>
      <c r="H3483" t="s">
        <v>4931</v>
      </c>
      <c r="I3483">
        <v>0</v>
      </c>
      <c r="J3483" t="s">
        <v>97</v>
      </c>
      <c r="K3483">
        <v>0</v>
      </c>
      <c r="L3483">
        <v>0</v>
      </c>
      <c r="M3483" t="s">
        <v>11</v>
      </c>
    </row>
    <row r="3484" spans="1:13">
      <c r="A3484" s="93">
        <v>414911</v>
      </c>
      <c r="B3484" t="s">
        <v>3998</v>
      </c>
      <c r="C3484" t="s">
        <v>4919</v>
      </c>
      <c r="D3484" s="92">
        <v>0.44</v>
      </c>
      <c r="E3484" s="92">
        <v>0.23</v>
      </c>
      <c r="F3484" t="s">
        <v>446</v>
      </c>
      <c r="G3484" t="s">
        <v>446</v>
      </c>
      <c r="H3484" t="s">
        <v>4932</v>
      </c>
      <c r="I3484">
        <v>0</v>
      </c>
      <c r="J3484" t="s">
        <v>97</v>
      </c>
      <c r="K3484">
        <v>0</v>
      </c>
      <c r="L3484">
        <v>0</v>
      </c>
      <c r="M3484" t="s">
        <v>11</v>
      </c>
    </row>
    <row r="3485" spans="1:13">
      <c r="A3485" s="93">
        <v>414939</v>
      </c>
      <c r="B3485" t="s">
        <v>3999</v>
      </c>
      <c r="C3485" t="s">
        <v>4919</v>
      </c>
      <c r="D3485" s="92" t="s">
        <v>446</v>
      </c>
      <c r="E3485" s="92" t="s">
        <v>446</v>
      </c>
      <c r="F3485" t="s">
        <v>446</v>
      </c>
      <c r="G3485" t="s">
        <v>446</v>
      </c>
      <c r="H3485" t="s">
        <v>4930</v>
      </c>
      <c r="I3485">
        <v>0</v>
      </c>
      <c r="J3485" t="s">
        <v>97</v>
      </c>
      <c r="K3485">
        <v>0</v>
      </c>
      <c r="L3485">
        <v>0</v>
      </c>
      <c r="M3485" t="s">
        <v>11</v>
      </c>
    </row>
    <row r="3486" spans="1:13">
      <c r="A3486" s="93">
        <v>414966</v>
      </c>
      <c r="B3486" t="s">
        <v>4000</v>
      </c>
      <c r="C3486" t="s">
        <v>4924</v>
      </c>
      <c r="D3486" s="92" t="s">
        <v>446</v>
      </c>
      <c r="E3486" s="92" t="s">
        <v>446</v>
      </c>
      <c r="F3486" t="s">
        <v>446</v>
      </c>
      <c r="G3486" t="s">
        <v>446</v>
      </c>
      <c r="H3486" t="s">
        <v>4932</v>
      </c>
      <c r="I3486">
        <v>0</v>
      </c>
      <c r="J3486" t="s">
        <v>97</v>
      </c>
      <c r="K3486">
        <v>0</v>
      </c>
      <c r="L3486">
        <v>0</v>
      </c>
      <c r="M3486" t="s">
        <v>11</v>
      </c>
    </row>
    <row r="3487" spans="1:13">
      <c r="A3487" s="93">
        <v>416458</v>
      </c>
      <c r="B3487" t="s">
        <v>4001</v>
      </c>
      <c r="C3487" t="s">
        <v>4919</v>
      </c>
      <c r="D3487" s="92" t="s">
        <v>446</v>
      </c>
      <c r="E3487" s="92" t="s">
        <v>446</v>
      </c>
      <c r="F3487" t="s">
        <v>446</v>
      </c>
      <c r="G3487" t="s">
        <v>446</v>
      </c>
      <c r="H3487" t="s">
        <v>4930</v>
      </c>
      <c r="I3487">
        <v>0</v>
      </c>
      <c r="J3487" t="s">
        <v>97</v>
      </c>
      <c r="K3487">
        <v>0</v>
      </c>
      <c r="L3487">
        <v>0</v>
      </c>
      <c r="M3487" t="s">
        <v>11</v>
      </c>
    </row>
    <row r="3488" spans="1:13">
      <c r="A3488" s="93">
        <v>416801</v>
      </c>
      <c r="B3488" t="s">
        <v>4002</v>
      </c>
      <c r="C3488" t="s">
        <v>4924</v>
      </c>
      <c r="D3488" s="92" t="s">
        <v>446</v>
      </c>
      <c r="E3488" s="92" t="s">
        <v>446</v>
      </c>
      <c r="F3488" t="s">
        <v>446</v>
      </c>
      <c r="G3488" t="s">
        <v>446</v>
      </c>
      <c r="H3488" t="s">
        <v>4932</v>
      </c>
      <c r="I3488">
        <v>0</v>
      </c>
      <c r="J3488" t="s">
        <v>97</v>
      </c>
      <c r="K3488">
        <v>0</v>
      </c>
      <c r="L3488">
        <v>0</v>
      </c>
      <c r="M3488" t="s">
        <v>11</v>
      </c>
    </row>
    <row r="3489" spans="1:13">
      <c r="A3489" s="93">
        <v>417053</v>
      </c>
      <c r="B3489" t="s">
        <v>4003</v>
      </c>
      <c r="C3489" t="s">
        <v>4926</v>
      </c>
      <c r="D3489" s="92" t="s">
        <v>446</v>
      </c>
      <c r="E3489" s="92" t="s">
        <v>446</v>
      </c>
      <c r="F3489" t="s">
        <v>446</v>
      </c>
      <c r="G3489" t="s">
        <v>446</v>
      </c>
      <c r="H3489" t="s">
        <v>4932</v>
      </c>
      <c r="I3489">
        <v>0</v>
      </c>
      <c r="J3489" t="s">
        <v>97</v>
      </c>
      <c r="K3489">
        <v>0</v>
      </c>
      <c r="L3489">
        <v>0</v>
      </c>
      <c r="M3489" t="s">
        <v>11</v>
      </c>
    </row>
    <row r="3490" spans="1:13">
      <c r="A3490" s="93">
        <v>417248</v>
      </c>
      <c r="B3490" t="s">
        <v>4004</v>
      </c>
      <c r="C3490" t="s">
        <v>4919</v>
      </c>
      <c r="D3490" s="92" t="s">
        <v>446</v>
      </c>
      <c r="E3490" s="92" t="s">
        <v>446</v>
      </c>
      <c r="F3490" t="s">
        <v>446</v>
      </c>
      <c r="G3490" t="s">
        <v>446</v>
      </c>
      <c r="H3490" t="s">
        <v>4932</v>
      </c>
      <c r="I3490">
        <v>0</v>
      </c>
      <c r="J3490" t="s">
        <v>97</v>
      </c>
      <c r="K3490">
        <v>0</v>
      </c>
      <c r="L3490">
        <v>0</v>
      </c>
      <c r="M3490" t="s">
        <v>11</v>
      </c>
    </row>
    <row r="3491" spans="1:13">
      <c r="A3491" s="93">
        <v>417275</v>
      </c>
      <c r="B3491" t="s">
        <v>4005</v>
      </c>
      <c r="C3491" t="s">
        <v>4919</v>
      </c>
      <c r="D3491" s="92" t="s">
        <v>446</v>
      </c>
      <c r="E3491" s="92" t="s">
        <v>446</v>
      </c>
      <c r="F3491" t="s">
        <v>446</v>
      </c>
      <c r="G3491" t="s">
        <v>446</v>
      </c>
      <c r="H3491" t="s">
        <v>4932</v>
      </c>
      <c r="I3491">
        <v>0</v>
      </c>
      <c r="J3491" t="s">
        <v>97</v>
      </c>
      <c r="K3491">
        <v>0</v>
      </c>
      <c r="L3491">
        <v>0</v>
      </c>
      <c r="M3491" t="s">
        <v>11</v>
      </c>
    </row>
    <row r="3492" spans="1:13">
      <c r="A3492" s="93">
        <v>417327</v>
      </c>
      <c r="B3492" t="s">
        <v>4006</v>
      </c>
      <c r="C3492" t="s">
        <v>4919</v>
      </c>
      <c r="D3492" s="92" t="s">
        <v>446</v>
      </c>
      <c r="E3492" s="92" t="s">
        <v>446</v>
      </c>
      <c r="F3492" t="s">
        <v>446</v>
      </c>
      <c r="G3492" t="s">
        <v>446</v>
      </c>
      <c r="H3492" t="s">
        <v>4930</v>
      </c>
      <c r="I3492">
        <v>0</v>
      </c>
      <c r="J3492" t="s">
        <v>97</v>
      </c>
      <c r="K3492">
        <v>0</v>
      </c>
      <c r="L3492">
        <v>0</v>
      </c>
      <c r="M3492" t="s">
        <v>11</v>
      </c>
    </row>
    <row r="3493" spans="1:13">
      <c r="A3493" s="93">
        <v>417734</v>
      </c>
      <c r="B3493" t="s">
        <v>4007</v>
      </c>
      <c r="C3493" t="s">
        <v>4920</v>
      </c>
      <c r="D3493" s="92">
        <v>1</v>
      </c>
      <c r="E3493" s="92" t="s">
        <v>446</v>
      </c>
      <c r="F3493">
        <v>1080</v>
      </c>
      <c r="G3493">
        <v>1110</v>
      </c>
      <c r="H3493" t="s">
        <v>4930</v>
      </c>
      <c r="I3493">
        <v>0</v>
      </c>
      <c r="J3493" t="s">
        <v>97</v>
      </c>
      <c r="K3493">
        <v>0</v>
      </c>
      <c r="L3493">
        <v>0</v>
      </c>
      <c r="M3493" t="s">
        <v>11</v>
      </c>
    </row>
    <row r="3494" spans="1:13">
      <c r="A3494" s="93">
        <v>417752</v>
      </c>
      <c r="B3494" t="s">
        <v>4008</v>
      </c>
      <c r="C3494" t="s">
        <v>4924</v>
      </c>
      <c r="D3494" s="92">
        <v>0.31</v>
      </c>
      <c r="E3494" s="92">
        <v>0.2</v>
      </c>
      <c r="F3494" t="s">
        <v>446</v>
      </c>
      <c r="G3494" t="s">
        <v>446</v>
      </c>
      <c r="H3494" t="s">
        <v>4931</v>
      </c>
      <c r="I3494">
        <v>0</v>
      </c>
      <c r="J3494" t="s">
        <v>97</v>
      </c>
      <c r="K3494">
        <v>0</v>
      </c>
      <c r="L3494">
        <v>0</v>
      </c>
      <c r="M3494" t="s">
        <v>11</v>
      </c>
    </row>
    <row r="3495" spans="1:13">
      <c r="A3495" s="93">
        <v>418126</v>
      </c>
      <c r="B3495" t="s">
        <v>4009</v>
      </c>
      <c r="C3495" t="s">
        <v>4923</v>
      </c>
      <c r="D3495" s="92" t="s">
        <v>446</v>
      </c>
      <c r="E3495" s="92" t="s">
        <v>446</v>
      </c>
      <c r="F3495" t="s">
        <v>446</v>
      </c>
      <c r="G3495" t="s">
        <v>446</v>
      </c>
      <c r="H3495" t="s">
        <v>4930</v>
      </c>
      <c r="I3495">
        <v>0</v>
      </c>
      <c r="J3495" t="s">
        <v>97</v>
      </c>
      <c r="K3495">
        <v>0</v>
      </c>
      <c r="L3495">
        <v>0</v>
      </c>
      <c r="M3495" t="s">
        <v>11</v>
      </c>
    </row>
    <row r="3496" spans="1:13">
      <c r="A3496" s="93">
        <v>418296</v>
      </c>
      <c r="B3496" t="s">
        <v>4010</v>
      </c>
      <c r="C3496" t="s">
        <v>4919</v>
      </c>
      <c r="D3496" s="92" t="s">
        <v>446</v>
      </c>
      <c r="E3496" s="92" t="s">
        <v>446</v>
      </c>
      <c r="F3496" t="s">
        <v>446</v>
      </c>
      <c r="G3496" t="s">
        <v>446</v>
      </c>
      <c r="H3496" t="s">
        <v>4932</v>
      </c>
      <c r="I3496">
        <v>0</v>
      </c>
      <c r="J3496" t="s">
        <v>97</v>
      </c>
      <c r="K3496">
        <v>0</v>
      </c>
      <c r="L3496">
        <v>0</v>
      </c>
      <c r="M3496" t="s">
        <v>11</v>
      </c>
    </row>
    <row r="3497" spans="1:13">
      <c r="A3497" s="93">
        <v>418533</v>
      </c>
      <c r="B3497" t="s">
        <v>4011</v>
      </c>
      <c r="C3497" t="s">
        <v>4919</v>
      </c>
      <c r="D3497" s="92" t="s">
        <v>446</v>
      </c>
      <c r="E3497" s="92" t="s">
        <v>446</v>
      </c>
      <c r="F3497" t="s">
        <v>446</v>
      </c>
      <c r="G3497" t="s">
        <v>446</v>
      </c>
      <c r="H3497" t="s">
        <v>4932</v>
      </c>
      <c r="I3497">
        <v>0</v>
      </c>
      <c r="J3497" t="s">
        <v>97</v>
      </c>
      <c r="K3497">
        <v>0</v>
      </c>
      <c r="L3497">
        <v>0</v>
      </c>
      <c r="M3497" t="s">
        <v>11</v>
      </c>
    </row>
    <row r="3498" spans="1:13">
      <c r="A3498" s="93">
        <v>418889</v>
      </c>
      <c r="B3498" t="s">
        <v>4012</v>
      </c>
      <c r="C3498" t="s">
        <v>4919</v>
      </c>
      <c r="D3498" s="92" t="s">
        <v>446</v>
      </c>
      <c r="E3498" s="92" t="s">
        <v>446</v>
      </c>
      <c r="F3498" t="s">
        <v>446</v>
      </c>
      <c r="G3498" t="s">
        <v>446</v>
      </c>
      <c r="H3498" t="s">
        <v>4930</v>
      </c>
      <c r="I3498">
        <v>0</v>
      </c>
      <c r="J3498" t="s">
        <v>97</v>
      </c>
      <c r="K3498">
        <v>0</v>
      </c>
      <c r="L3498">
        <v>0</v>
      </c>
      <c r="M3498" t="s">
        <v>11</v>
      </c>
    </row>
    <row r="3499" spans="1:13">
      <c r="A3499" s="93">
        <v>419183</v>
      </c>
      <c r="B3499" t="s">
        <v>4013</v>
      </c>
      <c r="C3499" t="s">
        <v>4919</v>
      </c>
      <c r="D3499" s="92" t="s">
        <v>446</v>
      </c>
      <c r="E3499" s="92" t="s">
        <v>446</v>
      </c>
      <c r="F3499" t="s">
        <v>446</v>
      </c>
      <c r="G3499" t="s">
        <v>446</v>
      </c>
      <c r="H3499" t="s">
        <v>4931</v>
      </c>
      <c r="I3499">
        <v>0</v>
      </c>
      <c r="J3499" t="s">
        <v>97</v>
      </c>
      <c r="K3499">
        <v>0</v>
      </c>
      <c r="L3499">
        <v>0</v>
      </c>
      <c r="M3499" t="s">
        <v>11</v>
      </c>
    </row>
    <row r="3500" spans="1:13">
      <c r="A3500" s="93">
        <v>419226</v>
      </c>
      <c r="B3500" t="s">
        <v>2915</v>
      </c>
      <c r="C3500" t="s">
        <v>4919</v>
      </c>
      <c r="D3500" s="92" t="s">
        <v>446</v>
      </c>
      <c r="E3500" s="92" t="s">
        <v>446</v>
      </c>
      <c r="F3500" t="s">
        <v>446</v>
      </c>
      <c r="G3500" t="s">
        <v>446</v>
      </c>
      <c r="H3500" t="s">
        <v>4932</v>
      </c>
      <c r="I3500">
        <v>0</v>
      </c>
      <c r="J3500" t="s">
        <v>97</v>
      </c>
      <c r="K3500">
        <v>0</v>
      </c>
      <c r="L3500">
        <v>0</v>
      </c>
      <c r="M3500" t="s">
        <v>11</v>
      </c>
    </row>
    <row r="3501" spans="1:13">
      <c r="A3501" s="93">
        <v>419244</v>
      </c>
      <c r="B3501" t="s">
        <v>4014</v>
      </c>
      <c r="C3501" t="s">
        <v>4919</v>
      </c>
      <c r="D3501" s="92" t="s">
        <v>446</v>
      </c>
      <c r="E3501" s="92" t="s">
        <v>446</v>
      </c>
      <c r="F3501" t="s">
        <v>446</v>
      </c>
      <c r="G3501" t="s">
        <v>446</v>
      </c>
      <c r="H3501" t="s">
        <v>4930</v>
      </c>
      <c r="I3501">
        <v>0</v>
      </c>
      <c r="J3501" t="s">
        <v>97</v>
      </c>
      <c r="K3501">
        <v>0</v>
      </c>
      <c r="L3501">
        <v>0</v>
      </c>
      <c r="M3501" t="s">
        <v>11</v>
      </c>
    </row>
    <row r="3502" spans="1:13">
      <c r="A3502" s="93">
        <v>419341</v>
      </c>
      <c r="B3502" t="s">
        <v>4015</v>
      </c>
      <c r="C3502" t="s">
        <v>4919</v>
      </c>
      <c r="D3502" s="92" t="s">
        <v>446</v>
      </c>
      <c r="E3502" s="92" t="s">
        <v>446</v>
      </c>
      <c r="F3502" t="s">
        <v>446</v>
      </c>
      <c r="G3502" t="s">
        <v>446</v>
      </c>
      <c r="H3502" t="s">
        <v>4930</v>
      </c>
      <c r="I3502">
        <v>0</v>
      </c>
      <c r="J3502" t="s">
        <v>97</v>
      </c>
      <c r="K3502">
        <v>0</v>
      </c>
      <c r="L3502">
        <v>0</v>
      </c>
      <c r="M3502" t="s">
        <v>11</v>
      </c>
    </row>
    <row r="3503" spans="1:13">
      <c r="A3503" s="93">
        <v>420024</v>
      </c>
      <c r="B3503" t="s">
        <v>4016</v>
      </c>
      <c r="C3503" t="s">
        <v>4923</v>
      </c>
      <c r="D3503" s="92" t="s">
        <v>446</v>
      </c>
      <c r="E3503" s="92" t="s">
        <v>446</v>
      </c>
      <c r="F3503" t="s">
        <v>446</v>
      </c>
      <c r="G3503" t="s">
        <v>446</v>
      </c>
      <c r="H3503" t="s">
        <v>4930</v>
      </c>
      <c r="I3503">
        <v>0</v>
      </c>
      <c r="J3503" t="s">
        <v>97</v>
      </c>
      <c r="K3503">
        <v>0</v>
      </c>
      <c r="L3503">
        <v>0</v>
      </c>
      <c r="M3503" t="s">
        <v>11</v>
      </c>
    </row>
    <row r="3504" spans="1:13">
      <c r="A3504" s="93">
        <v>420042</v>
      </c>
      <c r="B3504" t="s">
        <v>4017</v>
      </c>
      <c r="C3504" t="s">
        <v>4923</v>
      </c>
      <c r="D3504" s="92">
        <v>0.22</v>
      </c>
      <c r="E3504" s="92">
        <v>0.17</v>
      </c>
      <c r="F3504" t="s">
        <v>446</v>
      </c>
      <c r="G3504" t="s">
        <v>446</v>
      </c>
      <c r="H3504" t="s">
        <v>4932</v>
      </c>
      <c r="I3504">
        <v>0</v>
      </c>
      <c r="J3504" t="s">
        <v>97</v>
      </c>
      <c r="K3504">
        <v>0</v>
      </c>
      <c r="L3504">
        <v>0</v>
      </c>
      <c r="M3504" t="s">
        <v>11</v>
      </c>
    </row>
    <row r="3505" spans="1:13">
      <c r="A3505" s="93">
        <v>420246</v>
      </c>
      <c r="B3505" t="s">
        <v>4018</v>
      </c>
      <c r="C3505" t="s">
        <v>4924</v>
      </c>
      <c r="D3505" s="92" t="s">
        <v>446</v>
      </c>
      <c r="E3505" s="92" t="s">
        <v>446</v>
      </c>
      <c r="F3505" t="s">
        <v>446</v>
      </c>
      <c r="G3505" t="s">
        <v>446</v>
      </c>
      <c r="H3505" t="s">
        <v>4932</v>
      </c>
      <c r="I3505">
        <v>0</v>
      </c>
      <c r="J3505" t="s">
        <v>97</v>
      </c>
      <c r="K3505">
        <v>0</v>
      </c>
      <c r="L3505">
        <v>0</v>
      </c>
      <c r="M3505" t="s">
        <v>11</v>
      </c>
    </row>
    <row r="3506" spans="1:13">
      <c r="A3506" s="93">
        <v>420325</v>
      </c>
      <c r="B3506" t="s">
        <v>4019</v>
      </c>
      <c r="C3506" t="s">
        <v>4924</v>
      </c>
      <c r="D3506" s="92">
        <v>0.78</v>
      </c>
      <c r="E3506" s="92" t="s">
        <v>446</v>
      </c>
      <c r="F3506" t="s">
        <v>446</v>
      </c>
      <c r="G3506" t="s">
        <v>446</v>
      </c>
      <c r="H3506" t="s">
        <v>4931</v>
      </c>
      <c r="I3506">
        <v>0</v>
      </c>
      <c r="J3506" t="s">
        <v>97</v>
      </c>
      <c r="K3506">
        <v>0</v>
      </c>
      <c r="L3506">
        <v>0</v>
      </c>
      <c r="M3506" t="s">
        <v>11</v>
      </c>
    </row>
    <row r="3507" spans="1:13">
      <c r="A3507" s="93">
        <v>420343</v>
      </c>
      <c r="B3507" t="s">
        <v>4020</v>
      </c>
      <c r="C3507" t="s">
        <v>4919</v>
      </c>
      <c r="D3507" s="92" t="s">
        <v>446</v>
      </c>
      <c r="E3507" s="92" t="s">
        <v>446</v>
      </c>
      <c r="F3507" t="s">
        <v>446</v>
      </c>
      <c r="G3507" t="s">
        <v>446</v>
      </c>
      <c r="H3507" t="s">
        <v>4930</v>
      </c>
      <c r="I3507">
        <v>0</v>
      </c>
      <c r="J3507" t="s">
        <v>97</v>
      </c>
      <c r="K3507">
        <v>0</v>
      </c>
      <c r="L3507">
        <v>0</v>
      </c>
      <c r="M3507" t="s">
        <v>11</v>
      </c>
    </row>
    <row r="3508" spans="1:13">
      <c r="A3508" s="93">
        <v>420370</v>
      </c>
      <c r="B3508" t="s">
        <v>4021</v>
      </c>
      <c r="C3508" t="s">
        <v>4919</v>
      </c>
      <c r="D3508" s="92" t="s">
        <v>446</v>
      </c>
      <c r="E3508" s="92" t="s">
        <v>446</v>
      </c>
      <c r="F3508" t="s">
        <v>446</v>
      </c>
      <c r="G3508" t="s">
        <v>446</v>
      </c>
      <c r="H3508" t="s">
        <v>4930</v>
      </c>
      <c r="I3508">
        <v>0</v>
      </c>
      <c r="J3508" t="s">
        <v>97</v>
      </c>
      <c r="K3508">
        <v>0</v>
      </c>
      <c r="L3508">
        <v>0</v>
      </c>
      <c r="M3508" t="s">
        <v>11</v>
      </c>
    </row>
    <row r="3509" spans="1:13">
      <c r="A3509" s="93">
        <v>420398</v>
      </c>
      <c r="B3509" t="s">
        <v>4022</v>
      </c>
      <c r="C3509" t="s">
        <v>4919</v>
      </c>
      <c r="D3509" s="92">
        <v>0.42</v>
      </c>
      <c r="E3509" s="92">
        <v>0.4</v>
      </c>
      <c r="F3509" t="s">
        <v>446</v>
      </c>
      <c r="G3509" t="s">
        <v>446</v>
      </c>
      <c r="H3509" t="s">
        <v>4932</v>
      </c>
      <c r="I3509">
        <v>0</v>
      </c>
      <c r="J3509" t="s">
        <v>97</v>
      </c>
      <c r="K3509">
        <v>0</v>
      </c>
      <c r="L3509">
        <v>0</v>
      </c>
      <c r="M3509" t="s">
        <v>11</v>
      </c>
    </row>
    <row r="3510" spans="1:13">
      <c r="A3510" s="93">
        <v>420431</v>
      </c>
      <c r="B3510" t="s">
        <v>4023</v>
      </c>
      <c r="C3510" t="s">
        <v>4919</v>
      </c>
      <c r="D3510" s="92">
        <v>0.55</v>
      </c>
      <c r="E3510" s="92">
        <v>0.59</v>
      </c>
      <c r="F3510" t="s">
        <v>446</v>
      </c>
      <c r="G3510" t="s">
        <v>446</v>
      </c>
      <c r="H3510" t="s">
        <v>4932</v>
      </c>
      <c r="I3510">
        <v>0</v>
      </c>
      <c r="J3510" t="s">
        <v>97</v>
      </c>
      <c r="K3510">
        <v>0</v>
      </c>
      <c r="L3510">
        <v>0</v>
      </c>
      <c r="M3510" t="s">
        <v>11</v>
      </c>
    </row>
    <row r="3511" spans="1:13">
      <c r="A3511" s="93">
        <v>420440</v>
      </c>
      <c r="B3511" t="s">
        <v>4024</v>
      </c>
      <c r="C3511" t="s">
        <v>4919</v>
      </c>
      <c r="D3511" s="92">
        <v>0.39</v>
      </c>
      <c r="E3511" s="92">
        <v>0.22</v>
      </c>
      <c r="F3511" t="s">
        <v>446</v>
      </c>
      <c r="G3511" t="s">
        <v>446</v>
      </c>
      <c r="H3511" t="s">
        <v>4932</v>
      </c>
      <c r="I3511">
        <v>0</v>
      </c>
      <c r="J3511" t="s">
        <v>97</v>
      </c>
      <c r="K3511">
        <v>0</v>
      </c>
      <c r="L3511">
        <v>0</v>
      </c>
      <c r="M3511" t="s">
        <v>11</v>
      </c>
    </row>
    <row r="3512" spans="1:13">
      <c r="A3512" s="93">
        <v>420468</v>
      </c>
      <c r="B3512" t="s">
        <v>4025</v>
      </c>
      <c r="C3512" t="s">
        <v>4919</v>
      </c>
      <c r="D3512" s="92" t="s">
        <v>446</v>
      </c>
      <c r="E3512" s="92" t="s">
        <v>446</v>
      </c>
      <c r="F3512" t="s">
        <v>446</v>
      </c>
      <c r="G3512" t="s">
        <v>446</v>
      </c>
      <c r="H3512" t="s">
        <v>4932</v>
      </c>
      <c r="I3512">
        <v>0</v>
      </c>
      <c r="J3512" t="s">
        <v>97</v>
      </c>
      <c r="K3512">
        <v>0</v>
      </c>
      <c r="L3512">
        <v>0</v>
      </c>
      <c r="M3512" t="s">
        <v>11</v>
      </c>
    </row>
    <row r="3513" spans="1:13">
      <c r="A3513" s="93">
        <v>420538</v>
      </c>
      <c r="B3513" t="s">
        <v>4026</v>
      </c>
      <c r="C3513" t="s">
        <v>4919</v>
      </c>
      <c r="D3513" s="92">
        <v>0.52</v>
      </c>
      <c r="E3513" s="92">
        <v>0.58</v>
      </c>
      <c r="F3513" t="s">
        <v>446</v>
      </c>
      <c r="G3513" t="s">
        <v>446</v>
      </c>
      <c r="H3513" t="s">
        <v>4932</v>
      </c>
      <c r="I3513">
        <v>0</v>
      </c>
      <c r="J3513" t="s">
        <v>97</v>
      </c>
      <c r="K3513">
        <v>0</v>
      </c>
      <c r="L3513">
        <v>0</v>
      </c>
      <c r="M3513" t="s">
        <v>11</v>
      </c>
    </row>
    <row r="3514" spans="1:13">
      <c r="A3514" s="93">
        <v>420556</v>
      </c>
      <c r="B3514" t="s">
        <v>4027</v>
      </c>
      <c r="C3514" t="s">
        <v>4919</v>
      </c>
      <c r="D3514" s="92">
        <v>0.27</v>
      </c>
      <c r="E3514" s="92">
        <v>0.27</v>
      </c>
      <c r="F3514" t="s">
        <v>446</v>
      </c>
      <c r="G3514" t="s">
        <v>446</v>
      </c>
      <c r="H3514" t="s">
        <v>4932</v>
      </c>
      <c r="I3514">
        <v>0</v>
      </c>
      <c r="J3514" t="s">
        <v>97</v>
      </c>
      <c r="K3514">
        <v>0</v>
      </c>
      <c r="L3514">
        <v>0</v>
      </c>
      <c r="M3514" t="s">
        <v>11</v>
      </c>
    </row>
    <row r="3515" spans="1:13">
      <c r="A3515" s="93">
        <v>420705</v>
      </c>
      <c r="B3515" t="s">
        <v>4028</v>
      </c>
      <c r="C3515" t="s">
        <v>4924</v>
      </c>
      <c r="D3515" s="92" t="s">
        <v>446</v>
      </c>
      <c r="E3515" s="92" t="s">
        <v>446</v>
      </c>
      <c r="F3515" t="s">
        <v>446</v>
      </c>
      <c r="G3515" t="s">
        <v>446</v>
      </c>
      <c r="H3515" t="s">
        <v>4932</v>
      </c>
      <c r="I3515">
        <v>0</v>
      </c>
      <c r="J3515" t="s">
        <v>97</v>
      </c>
      <c r="K3515">
        <v>0</v>
      </c>
      <c r="L3515">
        <v>0</v>
      </c>
      <c r="M3515" t="s">
        <v>11</v>
      </c>
    </row>
    <row r="3516" spans="1:13">
      <c r="A3516" s="93">
        <v>420723</v>
      </c>
      <c r="B3516" t="s">
        <v>4029</v>
      </c>
      <c r="C3516" t="s">
        <v>4919</v>
      </c>
      <c r="D3516" s="92">
        <v>0.37</v>
      </c>
      <c r="E3516" s="92">
        <v>0.35</v>
      </c>
      <c r="F3516" t="s">
        <v>446</v>
      </c>
      <c r="G3516" t="s">
        <v>446</v>
      </c>
      <c r="H3516" t="s">
        <v>4932</v>
      </c>
      <c r="I3516">
        <v>0</v>
      </c>
      <c r="J3516" t="s">
        <v>97</v>
      </c>
      <c r="K3516">
        <v>0</v>
      </c>
      <c r="L3516">
        <v>0</v>
      </c>
      <c r="M3516" t="s">
        <v>11</v>
      </c>
    </row>
    <row r="3517" spans="1:13">
      <c r="A3517" s="93">
        <v>420981</v>
      </c>
      <c r="B3517" t="s">
        <v>4030</v>
      </c>
      <c r="C3517" t="s">
        <v>4926</v>
      </c>
      <c r="D3517" s="92" t="s">
        <v>446</v>
      </c>
      <c r="E3517" s="92" t="s">
        <v>446</v>
      </c>
      <c r="F3517" t="s">
        <v>446</v>
      </c>
      <c r="G3517" t="s">
        <v>446</v>
      </c>
      <c r="H3517" t="s">
        <v>4931</v>
      </c>
      <c r="I3517">
        <v>0</v>
      </c>
      <c r="J3517" t="s">
        <v>97</v>
      </c>
      <c r="K3517">
        <v>0</v>
      </c>
      <c r="L3517">
        <v>0</v>
      </c>
      <c r="M3517" t="s">
        <v>11</v>
      </c>
    </row>
    <row r="3518" spans="1:13">
      <c r="A3518" s="93">
        <v>421513</v>
      </c>
      <c r="B3518" t="s">
        <v>4031</v>
      </c>
      <c r="C3518" t="s">
        <v>4919</v>
      </c>
      <c r="D3518" s="92" t="s">
        <v>446</v>
      </c>
      <c r="E3518" s="92" t="s">
        <v>446</v>
      </c>
      <c r="F3518" t="s">
        <v>446</v>
      </c>
      <c r="G3518" t="s">
        <v>446</v>
      </c>
      <c r="H3518" t="s">
        <v>4930</v>
      </c>
      <c r="I3518">
        <v>0</v>
      </c>
      <c r="J3518" t="s">
        <v>97</v>
      </c>
      <c r="K3518">
        <v>0</v>
      </c>
      <c r="L3518">
        <v>0</v>
      </c>
      <c r="M3518" t="s">
        <v>11</v>
      </c>
    </row>
    <row r="3519" spans="1:13">
      <c r="A3519" s="93">
        <v>421832</v>
      </c>
      <c r="B3519" t="s">
        <v>4032</v>
      </c>
      <c r="C3519" t="s">
        <v>4924</v>
      </c>
      <c r="D3519" s="92">
        <v>0.38</v>
      </c>
      <c r="E3519" s="92">
        <v>0.3</v>
      </c>
      <c r="F3519" t="s">
        <v>446</v>
      </c>
      <c r="G3519" t="s">
        <v>446</v>
      </c>
      <c r="H3519" t="s">
        <v>4930</v>
      </c>
      <c r="I3519">
        <v>0</v>
      </c>
      <c r="J3519" t="s">
        <v>97</v>
      </c>
      <c r="K3519">
        <v>0</v>
      </c>
      <c r="L3519">
        <v>0</v>
      </c>
      <c r="M3519" t="s">
        <v>11</v>
      </c>
    </row>
    <row r="3520" spans="1:13">
      <c r="A3520" s="93">
        <v>421841</v>
      </c>
      <c r="B3520" t="s">
        <v>4033</v>
      </c>
      <c r="C3520" t="s">
        <v>4919</v>
      </c>
      <c r="D3520" s="92" t="s">
        <v>446</v>
      </c>
      <c r="E3520" s="92" t="s">
        <v>446</v>
      </c>
      <c r="F3520" t="s">
        <v>446</v>
      </c>
      <c r="G3520" t="s">
        <v>446</v>
      </c>
      <c r="H3520" t="s">
        <v>4930</v>
      </c>
      <c r="I3520">
        <v>0</v>
      </c>
      <c r="J3520" t="s">
        <v>97</v>
      </c>
      <c r="K3520">
        <v>0</v>
      </c>
      <c r="L3520">
        <v>0</v>
      </c>
      <c r="M3520" t="s">
        <v>11</v>
      </c>
    </row>
    <row r="3521" spans="1:13">
      <c r="A3521" s="93">
        <v>421878</v>
      </c>
      <c r="B3521" t="s">
        <v>4034</v>
      </c>
      <c r="C3521" t="s">
        <v>4923</v>
      </c>
      <c r="D3521" s="92">
        <v>0.49</v>
      </c>
      <c r="E3521" s="92">
        <v>0.46</v>
      </c>
      <c r="F3521" t="s">
        <v>446</v>
      </c>
      <c r="G3521" t="s">
        <v>446</v>
      </c>
      <c r="H3521" t="s">
        <v>4930</v>
      </c>
      <c r="I3521">
        <v>0</v>
      </c>
      <c r="J3521" t="s">
        <v>97</v>
      </c>
      <c r="K3521">
        <v>0</v>
      </c>
      <c r="L3521">
        <v>0</v>
      </c>
      <c r="M3521" t="s">
        <v>11</v>
      </c>
    </row>
    <row r="3522" spans="1:13">
      <c r="A3522" s="93">
        <v>422020</v>
      </c>
      <c r="B3522" t="s">
        <v>4035</v>
      </c>
      <c r="C3522" t="s">
        <v>4926</v>
      </c>
      <c r="D3522" s="92" t="s">
        <v>446</v>
      </c>
      <c r="E3522" s="92" t="s">
        <v>446</v>
      </c>
      <c r="F3522" t="s">
        <v>446</v>
      </c>
      <c r="G3522" t="s">
        <v>446</v>
      </c>
      <c r="H3522" t="s">
        <v>4930</v>
      </c>
      <c r="I3522">
        <v>0</v>
      </c>
      <c r="J3522" t="s">
        <v>97</v>
      </c>
      <c r="K3522">
        <v>0</v>
      </c>
      <c r="L3522">
        <v>0</v>
      </c>
      <c r="M3522" t="s">
        <v>11</v>
      </c>
    </row>
    <row r="3523" spans="1:13">
      <c r="A3523" s="93">
        <v>422695</v>
      </c>
      <c r="B3523" t="s">
        <v>4036</v>
      </c>
      <c r="C3523" t="s">
        <v>4924</v>
      </c>
      <c r="D3523" s="92" t="s">
        <v>446</v>
      </c>
      <c r="E3523" s="92" t="s">
        <v>446</v>
      </c>
      <c r="F3523" t="s">
        <v>446</v>
      </c>
      <c r="G3523" t="s">
        <v>446</v>
      </c>
      <c r="H3523" t="s">
        <v>4930</v>
      </c>
      <c r="I3523">
        <v>0</v>
      </c>
      <c r="J3523" t="s">
        <v>97</v>
      </c>
      <c r="K3523">
        <v>0</v>
      </c>
      <c r="L3523">
        <v>0</v>
      </c>
      <c r="M3523" t="s">
        <v>11</v>
      </c>
    </row>
    <row r="3524" spans="1:13">
      <c r="A3524" s="93">
        <v>422835</v>
      </c>
      <c r="B3524" t="s">
        <v>4037</v>
      </c>
      <c r="C3524" t="s">
        <v>4919</v>
      </c>
      <c r="D3524" s="92" t="s">
        <v>446</v>
      </c>
      <c r="E3524" s="92" t="s">
        <v>446</v>
      </c>
      <c r="F3524" t="s">
        <v>446</v>
      </c>
      <c r="G3524" t="s">
        <v>446</v>
      </c>
      <c r="H3524" t="s">
        <v>4930</v>
      </c>
      <c r="I3524">
        <v>0</v>
      </c>
      <c r="J3524" t="s">
        <v>97</v>
      </c>
      <c r="K3524">
        <v>0</v>
      </c>
      <c r="L3524">
        <v>0</v>
      </c>
      <c r="M3524" t="s">
        <v>11</v>
      </c>
    </row>
    <row r="3525" spans="1:13">
      <c r="A3525" s="93">
        <v>423120</v>
      </c>
      <c r="B3525" t="s">
        <v>4038</v>
      </c>
      <c r="C3525" t="s">
        <v>4926</v>
      </c>
      <c r="D3525" s="92" t="s">
        <v>446</v>
      </c>
      <c r="E3525" s="92" t="s">
        <v>446</v>
      </c>
      <c r="F3525" t="s">
        <v>446</v>
      </c>
      <c r="G3525" t="s">
        <v>446</v>
      </c>
      <c r="H3525" t="s">
        <v>4931</v>
      </c>
      <c r="I3525">
        <v>0</v>
      </c>
      <c r="J3525" t="s">
        <v>97</v>
      </c>
      <c r="K3525">
        <v>0</v>
      </c>
      <c r="L3525">
        <v>0</v>
      </c>
      <c r="M3525" t="s">
        <v>11</v>
      </c>
    </row>
    <row r="3526" spans="1:13">
      <c r="A3526" s="93">
        <v>423643</v>
      </c>
      <c r="B3526" t="s">
        <v>4039</v>
      </c>
      <c r="C3526" t="s">
        <v>4924</v>
      </c>
      <c r="D3526" s="92" t="s">
        <v>446</v>
      </c>
      <c r="E3526" s="92" t="s">
        <v>446</v>
      </c>
      <c r="F3526" t="s">
        <v>446</v>
      </c>
      <c r="G3526" t="s">
        <v>446</v>
      </c>
      <c r="H3526" t="s">
        <v>4932</v>
      </c>
      <c r="I3526">
        <v>0</v>
      </c>
      <c r="J3526" t="s">
        <v>97</v>
      </c>
      <c r="K3526">
        <v>0</v>
      </c>
      <c r="L3526">
        <v>0</v>
      </c>
      <c r="M3526" t="s">
        <v>11</v>
      </c>
    </row>
    <row r="3527" spans="1:13">
      <c r="A3527" s="93">
        <v>423652</v>
      </c>
      <c r="B3527" t="s">
        <v>4040</v>
      </c>
      <c r="C3527" t="s">
        <v>4919</v>
      </c>
      <c r="D3527" s="92">
        <v>0.28</v>
      </c>
      <c r="E3527" s="92">
        <v>0.24</v>
      </c>
      <c r="F3527" t="s">
        <v>446</v>
      </c>
      <c r="G3527" t="s">
        <v>446</v>
      </c>
      <c r="H3527" t="s">
        <v>4932</v>
      </c>
      <c r="I3527">
        <v>0</v>
      </c>
      <c r="J3527" t="s">
        <v>97</v>
      </c>
      <c r="K3527">
        <v>0</v>
      </c>
      <c r="L3527">
        <v>0</v>
      </c>
      <c r="M3527" t="s">
        <v>11</v>
      </c>
    </row>
    <row r="3528" spans="1:13">
      <c r="A3528" s="93">
        <v>425250</v>
      </c>
      <c r="B3528" t="s">
        <v>4041</v>
      </c>
      <c r="C3528" t="s">
        <v>4919</v>
      </c>
      <c r="D3528" s="92" t="s">
        <v>446</v>
      </c>
      <c r="E3528" s="92" t="s">
        <v>446</v>
      </c>
      <c r="F3528" t="s">
        <v>446</v>
      </c>
      <c r="G3528" t="s">
        <v>446</v>
      </c>
      <c r="H3528" t="s">
        <v>4930</v>
      </c>
      <c r="I3528">
        <v>0</v>
      </c>
      <c r="J3528" t="s">
        <v>97</v>
      </c>
      <c r="K3528">
        <v>0</v>
      </c>
      <c r="L3528">
        <v>0</v>
      </c>
      <c r="M3528" t="s">
        <v>11</v>
      </c>
    </row>
    <row r="3529" spans="1:13">
      <c r="A3529" s="93">
        <v>426314</v>
      </c>
      <c r="B3529" t="s">
        <v>4042</v>
      </c>
      <c r="C3529" t="s">
        <v>4924</v>
      </c>
      <c r="D3529" s="92">
        <v>0.24</v>
      </c>
      <c r="E3529" s="92">
        <v>0.17</v>
      </c>
      <c r="F3529" t="s">
        <v>446</v>
      </c>
      <c r="G3529" t="s">
        <v>446</v>
      </c>
      <c r="H3529" t="s">
        <v>4931</v>
      </c>
      <c r="I3529">
        <v>0</v>
      </c>
      <c r="J3529" t="s">
        <v>97</v>
      </c>
      <c r="K3529">
        <v>0</v>
      </c>
      <c r="L3529">
        <v>0</v>
      </c>
      <c r="M3529" t="s">
        <v>11</v>
      </c>
    </row>
    <row r="3530" spans="1:13">
      <c r="A3530" s="93">
        <v>427308</v>
      </c>
      <c r="B3530" t="s">
        <v>4043</v>
      </c>
      <c r="C3530" t="s">
        <v>4925</v>
      </c>
      <c r="D3530" s="92" t="s">
        <v>446</v>
      </c>
      <c r="E3530" s="92" t="s">
        <v>446</v>
      </c>
      <c r="F3530" t="s">
        <v>446</v>
      </c>
      <c r="G3530" t="s">
        <v>446</v>
      </c>
      <c r="H3530" t="s">
        <v>4930</v>
      </c>
      <c r="I3530">
        <v>0</v>
      </c>
      <c r="J3530" t="s">
        <v>97</v>
      </c>
      <c r="K3530">
        <v>0</v>
      </c>
      <c r="L3530">
        <v>0</v>
      </c>
      <c r="M3530" t="s">
        <v>11</v>
      </c>
    </row>
    <row r="3531" spans="1:13">
      <c r="A3531" s="93">
        <v>427973</v>
      </c>
      <c r="B3531" t="s">
        <v>4044</v>
      </c>
      <c r="C3531" t="s">
        <v>4919</v>
      </c>
      <c r="D3531" s="92" t="s">
        <v>446</v>
      </c>
      <c r="E3531" s="92" t="s">
        <v>446</v>
      </c>
      <c r="F3531" t="s">
        <v>446</v>
      </c>
      <c r="G3531" t="s">
        <v>446</v>
      </c>
      <c r="H3531" t="s">
        <v>4930</v>
      </c>
      <c r="I3531">
        <v>0</v>
      </c>
      <c r="J3531" t="s">
        <v>97</v>
      </c>
      <c r="K3531">
        <v>0</v>
      </c>
      <c r="L3531">
        <v>0</v>
      </c>
      <c r="M3531" t="s">
        <v>11</v>
      </c>
    </row>
    <row r="3532" spans="1:13">
      <c r="A3532" s="93">
        <v>427982</v>
      </c>
      <c r="B3532" t="s">
        <v>4045</v>
      </c>
      <c r="C3532" t="s">
        <v>4919</v>
      </c>
      <c r="D3532" s="92" t="s">
        <v>446</v>
      </c>
      <c r="E3532" s="92" t="s">
        <v>446</v>
      </c>
      <c r="F3532" t="s">
        <v>446</v>
      </c>
      <c r="G3532" t="s">
        <v>446</v>
      </c>
      <c r="H3532" t="s">
        <v>4930</v>
      </c>
      <c r="I3532">
        <v>0</v>
      </c>
      <c r="J3532" t="s">
        <v>97</v>
      </c>
      <c r="K3532">
        <v>0</v>
      </c>
      <c r="L3532">
        <v>0</v>
      </c>
      <c r="M3532" t="s">
        <v>11</v>
      </c>
    </row>
    <row r="3533" spans="1:13">
      <c r="A3533" s="93">
        <v>428000</v>
      </c>
      <c r="B3533" t="s">
        <v>4046</v>
      </c>
      <c r="C3533" t="s">
        <v>4919</v>
      </c>
      <c r="D3533" s="92" t="s">
        <v>446</v>
      </c>
      <c r="E3533" s="92" t="s">
        <v>446</v>
      </c>
      <c r="F3533" t="s">
        <v>446</v>
      </c>
      <c r="G3533" t="s">
        <v>446</v>
      </c>
      <c r="H3533" t="s">
        <v>4932</v>
      </c>
      <c r="I3533">
        <v>0</v>
      </c>
      <c r="J3533" t="s">
        <v>97</v>
      </c>
      <c r="K3533">
        <v>0</v>
      </c>
      <c r="L3533">
        <v>0</v>
      </c>
      <c r="M3533" t="s">
        <v>11</v>
      </c>
    </row>
    <row r="3534" spans="1:13">
      <c r="A3534" s="93">
        <v>428055</v>
      </c>
      <c r="B3534" t="s">
        <v>4047</v>
      </c>
      <c r="C3534" t="s">
        <v>4919</v>
      </c>
      <c r="D3534" s="92" t="s">
        <v>446</v>
      </c>
      <c r="E3534" s="92" t="s">
        <v>446</v>
      </c>
      <c r="F3534" t="s">
        <v>446</v>
      </c>
      <c r="G3534" t="s">
        <v>446</v>
      </c>
      <c r="H3534" t="s">
        <v>4931</v>
      </c>
      <c r="I3534">
        <v>0</v>
      </c>
      <c r="J3534" t="s">
        <v>97</v>
      </c>
      <c r="K3534">
        <v>0</v>
      </c>
      <c r="L3534">
        <v>0</v>
      </c>
      <c r="M3534" t="s">
        <v>11</v>
      </c>
    </row>
    <row r="3535" spans="1:13">
      <c r="A3535" s="93">
        <v>428170</v>
      </c>
      <c r="B3535" t="s">
        <v>4048</v>
      </c>
      <c r="C3535" t="s">
        <v>4919</v>
      </c>
      <c r="D3535" s="92" t="s">
        <v>446</v>
      </c>
      <c r="E3535" s="92" t="s">
        <v>446</v>
      </c>
      <c r="F3535" t="s">
        <v>446</v>
      </c>
      <c r="G3535" t="s">
        <v>446</v>
      </c>
      <c r="H3535" t="s">
        <v>4930</v>
      </c>
      <c r="I3535">
        <v>0</v>
      </c>
      <c r="J3535" t="s">
        <v>97</v>
      </c>
      <c r="K3535">
        <v>0</v>
      </c>
      <c r="L3535">
        <v>0</v>
      </c>
      <c r="M3535" t="s">
        <v>11</v>
      </c>
    </row>
    <row r="3536" spans="1:13">
      <c r="A3536" s="93">
        <v>428259</v>
      </c>
      <c r="B3536" t="s">
        <v>4049</v>
      </c>
      <c r="C3536" t="s">
        <v>4924</v>
      </c>
      <c r="D3536" s="92" t="s">
        <v>446</v>
      </c>
      <c r="E3536" s="92" t="s">
        <v>446</v>
      </c>
      <c r="F3536" t="s">
        <v>446</v>
      </c>
      <c r="G3536" t="s">
        <v>446</v>
      </c>
      <c r="H3536" t="s">
        <v>4932</v>
      </c>
      <c r="I3536">
        <v>0</v>
      </c>
      <c r="J3536" t="s">
        <v>97</v>
      </c>
      <c r="K3536">
        <v>0</v>
      </c>
      <c r="L3536">
        <v>0</v>
      </c>
      <c r="M3536" t="s">
        <v>11</v>
      </c>
    </row>
    <row r="3537" spans="1:13">
      <c r="A3537" s="93">
        <v>428392</v>
      </c>
      <c r="B3537" t="s">
        <v>4050</v>
      </c>
      <c r="C3537" t="s">
        <v>4919</v>
      </c>
      <c r="D3537" s="92">
        <v>0.37</v>
      </c>
      <c r="E3537" s="92">
        <v>0.45</v>
      </c>
      <c r="F3537" t="s">
        <v>446</v>
      </c>
      <c r="G3537" t="s">
        <v>446</v>
      </c>
      <c r="H3537" t="s">
        <v>4932</v>
      </c>
      <c r="I3537">
        <v>0</v>
      </c>
      <c r="J3537" t="s">
        <v>97</v>
      </c>
      <c r="K3537">
        <v>0</v>
      </c>
      <c r="L3537">
        <v>0</v>
      </c>
      <c r="M3537" t="s">
        <v>11</v>
      </c>
    </row>
    <row r="3538" spans="1:13">
      <c r="A3538" s="93">
        <v>429085</v>
      </c>
      <c r="B3538" t="s">
        <v>4051</v>
      </c>
      <c r="C3538" t="s">
        <v>4924</v>
      </c>
      <c r="D3538" s="92" t="s">
        <v>446</v>
      </c>
      <c r="E3538" s="92" t="s">
        <v>446</v>
      </c>
      <c r="F3538" t="s">
        <v>446</v>
      </c>
      <c r="G3538" t="s">
        <v>446</v>
      </c>
      <c r="H3538" t="s">
        <v>4932</v>
      </c>
      <c r="I3538">
        <v>0</v>
      </c>
      <c r="J3538" t="s">
        <v>97</v>
      </c>
      <c r="K3538">
        <v>0</v>
      </c>
      <c r="L3538">
        <v>0</v>
      </c>
      <c r="M3538" t="s">
        <v>11</v>
      </c>
    </row>
    <row r="3539" spans="1:13">
      <c r="A3539" s="93">
        <v>429094</v>
      </c>
      <c r="B3539" t="s">
        <v>4052</v>
      </c>
      <c r="C3539" t="s">
        <v>4924</v>
      </c>
      <c r="D3539" s="92" t="s">
        <v>446</v>
      </c>
      <c r="E3539" s="92" t="s">
        <v>446</v>
      </c>
      <c r="F3539" t="s">
        <v>446</v>
      </c>
      <c r="G3539" t="s">
        <v>446</v>
      </c>
      <c r="H3539" t="s">
        <v>4932</v>
      </c>
      <c r="I3539">
        <v>0</v>
      </c>
      <c r="J3539" t="s">
        <v>97</v>
      </c>
      <c r="K3539">
        <v>0</v>
      </c>
      <c r="L3539">
        <v>0</v>
      </c>
      <c r="M3539" t="s">
        <v>11</v>
      </c>
    </row>
    <row r="3540" spans="1:13">
      <c r="A3540" s="93">
        <v>429128</v>
      </c>
      <c r="B3540" t="s">
        <v>4053</v>
      </c>
      <c r="C3540" t="s">
        <v>4919</v>
      </c>
      <c r="D3540" s="92">
        <v>0.28</v>
      </c>
      <c r="E3540" s="92">
        <v>0.29</v>
      </c>
      <c r="F3540" t="s">
        <v>446</v>
      </c>
      <c r="G3540" t="s">
        <v>446</v>
      </c>
      <c r="H3540" t="s">
        <v>4927</v>
      </c>
      <c r="I3540">
        <v>1</v>
      </c>
      <c r="J3540" t="s">
        <v>97</v>
      </c>
      <c r="K3540">
        <v>0</v>
      </c>
      <c r="L3540">
        <v>0</v>
      </c>
      <c r="M3540" t="s">
        <v>11</v>
      </c>
    </row>
    <row r="3541" spans="1:13">
      <c r="A3541" s="93">
        <v>430184</v>
      </c>
      <c r="B3541" t="s">
        <v>4054</v>
      </c>
      <c r="C3541" t="s">
        <v>4923</v>
      </c>
      <c r="D3541" s="92">
        <v>0.22</v>
      </c>
      <c r="E3541" s="92">
        <v>0.2</v>
      </c>
      <c r="F3541" t="s">
        <v>446</v>
      </c>
      <c r="G3541" t="s">
        <v>446</v>
      </c>
      <c r="H3541" t="s">
        <v>4932</v>
      </c>
      <c r="I3541">
        <v>0</v>
      </c>
      <c r="J3541" t="s">
        <v>97</v>
      </c>
      <c r="K3541">
        <v>0</v>
      </c>
      <c r="L3541">
        <v>0</v>
      </c>
      <c r="M3541" t="s">
        <v>11</v>
      </c>
    </row>
    <row r="3542" spans="1:13">
      <c r="A3542" s="93">
        <v>430485</v>
      </c>
      <c r="B3542" t="s">
        <v>4055</v>
      </c>
      <c r="C3542" t="s">
        <v>4924</v>
      </c>
      <c r="D3542" s="92" t="s">
        <v>446</v>
      </c>
      <c r="E3542" s="92" t="s">
        <v>446</v>
      </c>
      <c r="F3542" t="s">
        <v>446</v>
      </c>
      <c r="G3542" t="s">
        <v>446</v>
      </c>
      <c r="H3542" t="s">
        <v>4932</v>
      </c>
      <c r="I3542">
        <v>0</v>
      </c>
      <c r="J3542" t="s">
        <v>97</v>
      </c>
      <c r="K3542">
        <v>0</v>
      </c>
      <c r="L3542">
        <v>0</v>
      </c>
      <c r="M3542" t="s">
        <v>11</v>
      </c>
    </row>
    <row r="3543" spans="1:13">
      <c r="A3543" s="93">
        <v>430670</v>
      </c>
      <c r="B3543" t="s">
        <v>4056</v>
      </c>
      <c r="C3543" t="s">
        <v>4924</v>
      </c>
      <c r="D3543" s="92">
        <v>0.48</v>
      </c>
      <c r="E3543" s="92">
        <v>0.48</v>
      </c>
      <c r="F3543" t="s">
        <v>446</v>
      </c>
      <c r="G3543" t="s">
        <v>446</v>
      </c>
      <c r="H3543" t="s">
        <v>4928</v>
      </c>
      <c r="I3543">
        <v>1</v>
      </c>
      <c r="J3543" t="s">
        <v>97</v>
      </c>
      <c r="K3543">
        <v>0</v>
      </c>
      <c r="L3543">
        <v>0</v>
      </c>
      <c r="M3543" t="s">
        <v>11</v>
      </c>
    </row>
    <row r="3544" spans="1:13">
      <c r="A3544" s="93">
        <v>430704</v>
      </c>
      <c r="B3544" t="s">
        <v>4057</v>
      </c>
      <c r="C3544" t="s">
        <v>4924</v>
      </c>
      <c r="D3544" s="92" t="s">
        <v>446</v>
      </c>
      <c r="E3544" s="92" t="s">
        <v>446</v>
      </c>
      <c r="F3544" t="s">
        <v>446</v>
      </c>
      <c r="G3544" t="s">
        <v>446</v>
      </c>
      <c r="H3544" t="s">
        <v>4932</v>
      </c>
      <c r="I3544">
        <v>0</v>
      </c>
      <c r="J3544" t="s">
        <v>97</v>
      </c>
      <c r="K3544">
        <v>0</v>
      </c>
      <c r="L3544">
        <v>0</v>
      </c>
      <c r="M3544" t="s">
        <v>11</v>
      </c>
    </row>
    <row r="3545" spans="1:13">
      <c r="A3545" s="93">
        <v>430795</v>
      </c>
      <c r="B3545" t="s">
        <v>4058</v>
      </c>
      <c r="C3545" t="s">
        <v>4919</v>
      </c>
      <c r="D3545" s="92" t="s">
        <v>446</v>
      </c>
      <c r="E3545" s="92" t="s">
        <v>446</v>
      </c>
      <c r="F3545" t="s">
        <v>446</v>
      </c>
      <c r="G3545" t="s">
        <v>446</v>
      </c>
      <c r="H3545" t="s">
        <v>4932</v>
      </c>
      <c r="I3545">
        <v>0</v>
      </c>
      <c r="J3545" t="s">
        <v>97</v>
      </c>
      <c r="K3545">
        <v>0</v>
      </c>
      <c r="L3545">
        <v>0</v>
      </c>
      <c r="M3545" t="s">
        <v>11</v>
      </c>
    </row>
    <row r="3546" spans="1:13">
      <c r="A3546" s="93">
        <v>430935</v>
      </c>
      <c r="B3546" t="s">
        <v>4059</v>
      </c>
      <c r="C3546" t="s">
        <v>4919</v>
      </c>
      <c r="D3546" s="92">
        <v>0.5600000000000001</v>
      </c>
      <c r="E3546" s="92">
        <v>0.5600000000000001</v>
      </c>
      <c r="F3546" t="s">
        <v>446</v>
      </c>
      <c r="G3546" t="s">
        <v>446</v>
      </c>
      <c r="H3546" t="s">
        <v>4927</v>
      </c>
      <c r="I3546">
        <v>1</v>
      </c>
      <c r="J3546" t="s">
        <v>97</v>
      </c>
      <c r="K3546">
        <v>0</v>
      </c>
      <c r="L3546">
        <v>0</v>
      </c>
      <c r="M3546" t="s">
        <v>11</v>
      </c>
    </row>
    <row r="3547" spans="1:13">
      <c r="A3547" s="93">
        <v>431600</v>
      </c>
      <c r="B3547" t="s">
        <v>4060</v>
      </c>
      <c r="C3547" t="s">
        <v>4925</v>
      </c>
      <c r="D3547" s="92" t="s">
        <v>446</v>
      </c>
      <c r="E3547" s="92" t="s">
        <v>446</v>
      </c>
      <c r="F3547" t="s">
        <v>446</v>
      </c>
      <c r="G3547" t="s">
        <v>446</v>
      </c>
      <c r="H3547" t="s">
        <v>4930</v>
      </c>
      <c r="I3547">
        <v>0</v>
      </c>
      <c r="J3547" t="s">
        <v>97</v>
      </c>
      <c r="K3547">
        <v>0</v>
      </c>
      <c r="L3547">
        <v>0</v>
      </c>
      <c r="M3547" t="s">
        <v>11</v>
      </c>
    </row>
    <row r="3548" spans="1:13">
      <c r="A3548" s="93">
        <v>431929</v>
      </c>
      <c r="B3548" t="s">
        <v>4061</v>
      </c>
      <c r="C3548" t="s">
        <v>4919</v>
      </c>
      <c r="D3548" s="92" t="s">
        <v>446</v>
      </c>
      <c r="E3548" s="92" t="s">
        <v>446</v>
      </c>
      <c r="F3548" t="s">
        <v>446</v>
      </c>
      <c r="G3548" t="s">
        <v>446</v>
      </c>
      <c r="H3548" t="s">
        <v>4932</v>
      </c>
      <c r="I3548">
        <v>0</v>
      </c>
      <c r="J3548" t="s">
        <v>97</v>
      </c>
      <c r="K3548">
        <v>0</v>
      </c>
      <c r="L3548">
        <v>0</v>
      </c>
      <c r="M3548" t="s">
        <v>11</v>
      </c>
    </row>
    <row r="3549" spans="1:13">
      <c r="A3549" s="93">
        <v>431983</v>
      </c>
      <c r="B3549" t="s">
        <v>4062</v>
      </c>
      <c r="C3549" t="s">
        <v>4924</v>
      </c>
      <c r="D3549" s="92">
        <v>0.67</v>
      </c>
      <c r="E3549" s="92" t="s">
        <v>446</v>
      </c>
      <c r="F3549" t="s">
        <v>446</v>
      </c>
      <c r="G3549" t="s">
        <v>446</v>
      </c>
      <c r="H3549" t="s">
        <v>4932</v>
      </c>
      <c r="I3549">
        <v>0</v>
      </c>
      <c r="J3549" t="s">
        <v>97</v>
      </c>
      <c r="K3549">
        <v>0</v>
      </c>
      <c r="L3549">
        <v>0</v>
      </c>
      <c r="M3549" t="s">
        <v>11</v>
      </c>
    </row>
    <row r="3550" spans="1:13">
      <c r="A3550" s="93">
        <v>432348</v>
      </c>
      <c r="B3550" t="s">
        <v>4063</v>
      </c>
      <c r="C3550" t="s">
        <v>4924</v>
      </c>
      <c r="D3550" s="92" t="s">
        <v>446</v>
      </c>
      <c r="E3550" s="92" t="s">
        <v>446</v>
      </c>
      <c r="F3550" t="s">
        <v>446</v>
      </c>
      <c r="G3550" t="s">
        <v>446</v>
      </c>
      <c r="H3550" t="s">
        <v>4932</v>
      </c>
      <c r="I3550">
        <v>0</v>
      </c>
      <c r="J3550" t="s">
        <v>97</v>
      </c>
      <c r="K3550">
        <v>0</v>
      </c>
      <c r="L3550">
        <v>0</v>
      </c>
      <c r="M3550" t="s">
        <v>11</v>
      </c>
    </row>
    <row r="3551" spans="1:13">
      <c r="A3551" s="93">
        <v>432384</v>
      </c>
      <c r="B3551" t="s">
        <v>4064</v>
      </c>
      <c r="C3551" t="s">
        <v>4923</v>
      </c>
      <c r="D3551" s="92" t="s">
        <v>446</v>
      </c>
      <c r="E3551" s="92" t="s">
        <v>446</v>
      </c>
      <c r="F3551" t="s">
        <v>446</v>
      </c>
      <c r="G3551" t="s">
        <v>446</v>
      </c>
      <c r="H3551" t="s">
        <v>4930</v>
      </c>
      <c r="I3551">
        <v>0</v>
      </c>
      <c r="J3551" t="s">
        <v>97</v>
      </c>
      <c r="K3551">
        <v>0</v>
      </c>
      <c r="L3551">
        <v>0</v>
      </c>
      <c r="M3551" t="s">
        <v>11</v>
      </c>
    </row>
    <row r="3552" spans="1:13">
      <c r="A3552" s="93">
        <v>432524</v>
      </c>
      <c r="B3552" t="s">
        <v>4065</v>
      </c>
      <c r="C3552" t="s">
        <v>4925</v>
      </c>
      <c r="D3552" s="92" t="s">
        <v>446</v>
      </c>
      <c r="E3552" s="92" t="s">
        <v>446</v>
      </c>
      <c r="F3552" t="s">
        <v>446</v>
      </c>
      <c r="G3552" t="s">
        <v>446</v>
      </c>
      <c r="H3552" t="s">
        <v>4930</v>
      </c>
      <c r="I3552">
        <v>0</v>
      </c>
      <c r="J3552" t="s">
        <v>97</v>
      </c>
      <c r="K3552">
        <v>0</v>
      </c>
      <c r="L3552">
        <v>0</v>
      </c>
      <c r="M3552" t="s">
        <v>11</v>
      </c>
    </row>
    <row r="3553" spans="1:13">
      <c r="A3553" s="93">
        <v>433004</v>
      </c>
      <c r="B3553" t="s">
        <v>4066</v>
      </c>
      <c r="C3553" t="s">
        <v>4923</v>
      </c>
      <c r="D3553" s="92">
        <v>0.38</v>
      </c>
      <c r="E3553" s="92" t="s">
        <v>446</v>
      </c>
      <c r="F3553" t="s">
        <v>446</v>
      </c>
      <c r="G3553" t="s">
        <v>446</v>
      </c>
      <c r="H3553" t="s">
        <v>4930</v>
      </c>
      <c r="I3553">
        <v>0</v>
      </c>
      <c r="J3553" t="s">
        <v>97</v>
      </c>
      <c r="K3553">
        <v>0</v>
      </c>
      <c r="L3553">
        <v>0</v>
      </c>
      <c r="M3553" t="s">
        <v>11</v>
      </c>
    </row>
    <row r="3554" spans="1:13">
      <c r="A3554" s="93">
        <v>433013</v>
      </c>
      <c r="B3554" t="s">
        <v>4067</v>
      </c>
      <c r="C3554" t="s">
        <v>4923</v>
      </c>
      <c r="D3554" s="92" t="s">
        <v>446</v>
      </c>
      <c r="E3554" s="92" t="s">
        <v>446</v>
      </c>
      <c r="F3554" t="s">
        <v>446</v>
      </c>
      <c r="G3554" t="s">
        <v>446</v>
      </c>
      <c r="H3554" t="s">
        <v>4930</v>
      </c>
      <c r="I3554">
        <v>0</v>
      </c>
      <c r="J3554" t="s">
        <v>97</v>
      </c>
      <c r="K3554">
        <v>0</v>
      </c>
      <c r="L3554">
        <v>0</v>
      </c>
      <c r="M3554" t="s">
        <v>11</v>
      </c>
    </row>
    <row r="3555" spans="1:13">
      <c r="A3555" s="93">
        <v>433068</v>
      </c>
      <c r="B3555" t="s">
        <v>4068</v>
      </c>
      <c r="C3555" t="s">
        <v>4919</v>
      </c>
      <c r="D3555" s="92" t="s">
        <v>446</v>
      </c>
      <c r="E3555" s="92" t="s">
        <v>446</v>
      </c>
      <c r="F3555" t="s">
        <v>446</v>
      </c>
      <c r="G3555" t="s">
        <v>446</v>
      </c>
      <c r="H3555" t="s">
        <v>4932</v>
      </c>
      <c r="I3555">
        <v>0</v>
      </c>
      <c r="J3555" t="s">
        <v>97</v>
      </c>
      <c r="K3555">
        <v>0</v>
      </c>
      <c r="L3555">
        <v>0</v>
      </c>
      <c r="M3555" t="s">
        <v>11</v>
      </c>
    </row>
    <row r="3556" spans="1:13">
      <c r="A3556" s="93">
        <v>433174</v>
      </c>
      <c r="B3556" t="s">
        <v>4069</v>
      </c>
      <c r="C3556" t="s">
        <v>4920</v>
      </c>
      <c r="D3556" s="92" t="s">
        <v>446</v>
      </c>
      <c r="E3556" s="92" t="s">
        <v>446</v>
      </c>
      <c r="F3556">
        <v>920</v>
      </c>
      <c r="G3556">
        <v>1015</v>
      </c>
      <c r="H3556" t="s">
        <v>4932</v>
      </c>
      <c r="I3556">
        <v>0</v>
      </c>
      <c r="J3556" t="s">
        <v>97</v>
      </c>
      <c r="K3556">
        <v>0</v>
      </c>
      <c r="L3556">
        <v>0</v>
      </c>
      <c r="M3556" t="s">
        <v>11</v>
      </c>
    </row>
    <row r="3557" spans="1:13">
      <c r="A3557" s="93">
        <v>433420</v>
      </c>
      <c r="B3557" t="s">
        <v>4070</v>
      </c>
      <c r="C3557" t="s">
        <v>4923</v>
      </c>
      <c r="D3557" s="92">
        <v>0.2</v>
      </c>
      <c r="E3557" s="92">
        <v>0.33</v>
      </c>
      <c r="F3557" t="s">
        <v>446</v>
      </c>
      <c r="G3557" t="s">
        <v>446</v>
      </c>
      <c r="H3557" t="s">
        <v>4930</v>
      </c>
      <c r="I3557">
        <v>0</v>
      </c>
      <c r="J3557" t="s">
        <v>97</v>
      </c>
      <c r="K3557">
        <v>0</v>
      </c>
      <c r="L3557">
        <v>0</v>
      </c>
      <c r="M3557" t="s">
        <v>11</v>
      </c>
    </row>
    <row r="3558" spans="1:13">
      <c r="A3558" s="93">
        <v>433536</v>
      </c>
      <c r="B3558" t="s">
        <v>4071</v>
      </c>
      <c r="C3558" t="s">
        <v>4924</v>
      </c>
      <c r="D3558" s="92">
        <v>0.32</v>
      </c>
      <c r="E3558" s="92">
        <v>0.25</v>
      </c>
      <c r="F3558" t="s">
        <v>446</v>
      </c>
      <c r="G3558" t="s">
        <v>446</v>
      </c>
      <c r="H3558" t="s">
        <v>4930</v>
      </c>
      <c r="I3558">
        <v>0</v>
      </c>
      <c r="J3558" t="s">
        <v>97</v>
      </c>
      <c r="K3558">
        <v>0</v>
      </c>
      <c r="L3558">
        <v>0</v>
      </c>
      <c r="M3558" t="s">
        <v>11</v>
      </c>
    </row>
    <row r="3559" spans="1:13">
      <c r="A3559" s="93">
        <v>433660</v>
      </c>
      <c r="B3559" t="s">
        <v>4072</v>
      </c>
      <c r="C3559" t="s">
        <v>4920</v>
      </c>
      <c r="D3559" s="92">
        <v>0.5600000000000001</v>
      </c>
      <c r="E3559" s="92">
        <v>0.5600000000000001</v>
      </c>
      <c r="F3559">
        <v>1010</v>
      </c>
      <c r="G3559">
        <v>1095</v>
      </c>
      <c r="H3559" t="s">
        <v>4932</v>
      </c>
      <c r="I3559">
        <v>0</v>
      </c>
      <c r="J3559" t="s">
        <v>97</v>
      </c>
      <c r="K3559">
        <v>0</v>
      </c>
      <c r="L3559">
        <v>0</v>
      </c>
      <c r="M3559" t="s">
        <v>11</v>
      </c>
    </row>
    <row r="3560" spans="1:13">
      <c r="A3560" s="93">
        <v>434016</v>
      </c>
      <c r="B3560" t="s">
        <v>4073</v>
      </c>
      <c r="C3560" t="s">
        <v>4919</v>
      </c>
      <c r="D3560" s="92" t="s">
        <v>446</v>
      </c>
      <c r="E3560" s="92" t="s">
        <v>446</v>
      </c>
      <c r="F3560" t="s">
        <v>446</v>
      </c>
      <c r="G3560" t="s">
        <v>446</v>
      </c>
      <c r="H3560" t="s">
        <v>4932</v>
      </c>
      <c r="I3560">
        <v>0</v>
      </c>
      <c r="J3560" t="s">
        <v>97</v>
      </c>
      <c r="K3560">
        <v>0</v>
      </c>
      <c r="L3560">
        <v>0</v>
      </c>
      <c r="M3560" t="s">
        <v>11</v>
      </c>
    </row>
    <row r="3561" spans="1:13">
      <c r="A3561" s="93">
        <v>434061</v>
      </c>
      <c r="B3561" t="s">
        <v>4074</v>
      </c>
      <c r="C3561" t="s">
        <v>4919</v>
      </c>
      <c r="D3561" s="92">
        <v>0.41</v>
      </c>
      <c r="E3561" s="92">
        <v>0.36</v>
      </c>
      <c r="F3561" t="s">
        <v>446</v>
      </c>
      <c r="G3561" t="s">
        <v>446</v>
      </c>
      <c r="H3561" t="s">
        <v>4932</v>
      </c>
      <c r="I3561">
        <v>0</v>
      </c>
      <c r="J3561" t="s">
        <v>97</v>
      </c>
      <c r="K3561">
        <v>0</v>
      </c>
      <c r="L3561">
        <v>0</v>
      </c>
      <c r="M3561" t="s">
        <v>11</v>
      </c>
    </row>
    <row r="3562" spans="1:13">
      <c r="A3562" s="93">
        <v>434140</v>
      </c>
      <c r="B3562" t="s">
        <v>4075</v>
      </c>
      <c r="C3562" t="s">
        <v>4919</v>
      </c>
      <c r="D3562" s="92">
        <v>0.6899999999999999</v>
      </c>
      <c r="E3562" s="92">
        <v>0.66</v>
      </c>
      <c r="F3562" t="s">
        <v>446</v>
      </c>
      <c r="G3562" t="s">
        <v>446</v>
      </c>
      <c r="H3562" t="s">
        <v>4930</v>
      </c>
      <c r="I3562">
        <v>0</v>
      </c>
      <c r="J3562" t="s">
        <v>97</v>
      </c>
      <c r="K3562">
        <v>0</v>
      </c>
      <c r="L3562">
        <v>0</v>
      </c>
      <c r="M3562" t="s">
        <v>11</v>
      </c>
    </row>
    <row r="3563" spans="1:13">
      <c r="A3563" s="93">
        <v>434159</v>
      </c>
      <c r="B3563" t="s">
        <v>4076</v>
      </c>
      <c r="C3563" t="s">
        <v>4919</v>
      </c>
      <c r="D3563" s="92" t="s">
        <v>446</v>
      </c>
      <c r="E3563" s="92" t="s">
        <v>446</v>
      </c>
      <c r="F3563" t="s">
        <v>446</v>
      </c>
      <c r="G3563" t="s">
        <v>446</v>
      </c>
      <c r="H3563" t="s">
        <v>4930</v>
      </c>
      <c r="I3563">
        <v>0</v>
      </c>
      <c r="J3563" t="s">
        <v>97</v>
      </c>
      <c r="K3563">
        <v>0</v>
      </c>
      <c r="L3563">
        <v>0</v>
      </c>
      <c r="M3563" t="s">
        <v>11</v>
      </c>
    </row>
    <row r="3564" spans="1:13">
      <c r="A3564" s="93">
        <v>434432</v>
      </c>
      <c r="B3564" t="s">
        <v>4077</v>
      </c>
      <c r="C3564" t="s">
        <v>4919</v>
      </c>
      <c r="D3564" s="92" t="s">
        <v>446</v>
      </c>
      <c r="E3564" s="92" t="s">
        <v>446</v>
      </c>
      <c r="F3564" t="s">
        <v>446</v>
      </c>
      <c r="G3564" t="s">
        <v>446</v>
      </c>
      <c r="H3564" t="s">
        <v>4930</v>
      </c>
      <c r="I3564">
        <v>0</v>
      </c>
      <c r="J3564" t="s">
        <v>97</v>
      </c>
      <c r="K3564">
        <v>0</v>
      </c>
      <c r="L3564">
        <v>0</v>
      </c>
      <c r="M3564" t="s">
        <v>11</v>
      </c>
    </row>
    <row r="3565" spans="1:13">
      <c r="A3565" s="93">
        <v>434441</v>
      </c>
      <c r="B3565" t="s">
        <v>4078</v>
      </c>
      <c r="C3565" t="s">
        <v>4924</v>
      </c>
      <c r="D3565" s="92" t="s">
        <v>446</v>
      </c>
      <c r="E3565" s="92" t="s">
        <v>446</v>
      </c>
      <c r="F3565" t="s">
        <v>446</v>
      </c>
      <c r="G3565" t="s">
        <v>446</v>
      </c>
      <c r="H3565" t="s">
        <v>4932</v>
      </c>
      <c r="I3565">
        <v>0</v>
      </c>
      <c r="J3565" t="s">
        <v>97</v>
      </c>
      <c r="K3565">
        <v>0</v>
      </c>
      <c r="L3565">
        <v>0</v>
      </c>
      <c r="M3565" t="s">
        <v>11</v>
      </c>
    </row>
    <row r="3566" spans="1:13">
      <c r="A3566" s="93">
        <v>434469</v>
      </c>
      <c r="B3566" t="s">
        <v>4079</v>
      </c>
      <c r="C3566" t="s">
        <v>4926</v>
      </c>
      <c r="D3566" s="92" t="s">
        <v>446</v>
      </c>
      <c r="E3566" s="92" t="s">
        <v>446</v>
      </c>
      <c r="F3566" t="s">
        <v>446</v>
      </c>
      <c r="G3566" t="s">
        <v>446</v>
      </c>
      <c r="H3566" t="s">
        <v>4930</v>
      </c>
      <c r="I3566">
        <v>0</v>
      </c>
      <c r="J3566" t="s">
        <v>97</v>
      </c>
      <c r="K3566">
        <v>0</v>
      </c>
      <c r="L3566">
        <v>0</v>
      </c>
      <c r="M3566" t="s">
        <v>11</v>
      </c>
    </row>
    <row r="3567" spans="1:13">
      <c r="A3567" s="93">
        <v>434539</v>
      </c>
      <c r="B3567" t="s">
        <v>4080</v>
      </c>
      <c r="C3567" t="s">
        <v>4923</v>
      </c>
      <c r="D3567" s="92" t="s">
        <v>446</v>
      </c>
      <c r="E3567" s="92" t="s">
        <v>446</v>
      </c>
      <c r="F3567" t="s">
        <v>446</v>
      </c>
      <c r="G3567" t="s">
        <v>446</v>
      </c>
      <c r="H3567" t="s">
        <v>4932</v>
      </c>
      <c r="I3567">
        <v>0</v>
      </c>
      <c r="J3567" t="s">
        <v>97</v>
      </c>
      <c r="K3567">
        <v>0</v>
      </c>
      <c r="L3567">
        <v>0</v>
      </c>
      <c r="M3567" t="s">
        <v>11</v>
      </c>
    </row>
    <row r="3568" spans="1:13">
      <c r="A3568" s="93">
        <v>434584</v>
      </c>
      <c r="B3568" t="s">
        <v>4081</v>
      </c>
      <c r="C3568" t="s">
        <v>4923</v>
      </c>
      <c r="D3568" s="92" t="s">
        <v>446</v>
      </c>
      <c r="E3568" s="92" t="s">
        <v>446</v>
      </c>
      <c r="F3568" t="s">
        <v>446</v>
      </c>
      <c r="G3568" t="s">
        <v>446</v>
      </c>
      <c r="H3568" t="s">
        <v>4932</v>
      </c>
      <c r="I3568">
        <v>0</v>
      </c>
      <c r="J3568" t="s">
        <v>97</v>
      </c>
      <c r="K3568">
        <v>0</v>
      </c>
      <c r="L3568">
        <v>0</v>
      </c>
      <c r="M3568" t="s">
        <v>11</v>
      </c>
    </row>
    <row r="3569" spans="1:13">
      <c r="A3569" s="93">
        <v>434672</v>
      </c>
      <c r="B3569" t="s">
        <v>4082</v>
      </c>
      <c r="C3569" t="s">
        <v>4919</v>
      </c>
      <c r="D3569" s="92">
        <v>0.28</v>
      </c>
      <c r="E3569" s="92">
        <v>0.24</v>
      </c>
      <c r="F3569" t="s">
        <v>446</v>
      </c>
      <c r="G3569" t="s">
        <v>446</v>
      </c>
      <c r="H3569" t="s">
        <v>4932</v>
      </c>
      <c r="I3569">
        <v>0</v>
      </c>
      <c r="J3569" t="s">
        <v>97</v>
      </c>
      <c r="K3569">
        <v>0</v>
      </c>
      <c r="L3569">
        <v>0</v>
      </c>
      <c r="M3569" t="s">
        <v>11</v>
      </c>
    </row>
    <row r="3570" spans="1:13">
      <c r="A3570" s="93">
        <v>434715</v>
      </c>
      <c r="B3570" t="s">
        <v>4083</v>
      </c>
      <c r="C3570" t="s">
        <v>4924</v>
      </c>
      <c r="D3570" s="92" t="s">
        <v>446</v>
      </c>
      <c r="E3570" s="92" t="s">
        <v>446</v>
      </c>
      <c r="F3570" t="s">
        <v>446</v>
      </c>
      <c r="G3570" t="s">
        <v>446</v>
      </c>
      <c r="H3570" t="s">
        <v>4932</v>
      </c>
      <c r="I3570">
        <v>0</v>
      </c>
      <c r="J3570" t="s">
        <v>97</v>
      </c>
      <c r="K3570">
        <v>0</v>
      </c>
      <c r="L3570">
        <v>0</v>
      </c>
      <c r="M3570" t="s">
        <v>11</v>
      </c>
    </row>
    <row r="3571" spans="1:13">
      <c r="A3571" s="93">
        <v>434751</v>
      </c>
      <c r="B3571" t="s">
        <v>4084</v>
      </c>
      <c r="C3571" t="s">
        <v>4919</v>
      </c>
      <c r="D3571" s="92" t="s">
        <v>446</v>
      </c>
      <c r="E3571" s="92" t="s">
        <v>446</v>
      </c>
      <c r="F3571" t="s">
        <v>446</v>
      </c>
      <c r="G3571" t="s">
        <v>446</v>
      </c>
      <c r="H3571" t="s">
        <v>4931</v>
      </c>
      <c r="I3571">
        <v>0</v>
      </c>
      <c r="J3571" t="s">
        <v>97</v>
      </c>
      <c r="K3571">
        <v>0</v>
      </c>
      <c r="L3571">
        <v>0</v>
      </c>
      <c r="M3571" t="s">
        <v>11</v>
      </c>
    </row>
    <row r="3572" spans="1:13">
      <c r="A3572" s="93">
        <v>434821</v>
      </c>
      <c r="B3572" t="s">
        <v>4085</v>
      </c>
      <c r="C3572" t="s">
        <v>4919</v>
      </c>
      <c r="D3572" s="92" t="s">
        <v>446</v>
      </c>
      <c r="E3572" s="92" t="s">
        <v>446</v>
      </c>
      <c r="F3572" t="s">
        <v>446</v>
      </c>
      <c r="G3572" t="s">
        <v>446</v>
      </c>
      <c r="H3572" t="s">
        <v>4930</v>
      </c>
      <c r="I3572">
        <v>0</v>
      </c>
      <c r="J3572" t="s">
        <v>97</v>
      </c>
      <c r="K3572">
        <v>0</v>
      </c>
      <c r="L3572">
        <v>0</v>
      </c>
      <c r="M3572" t="s">
        <v>11</v>
      </c>
    </row>
    <row r="3573" spans="1:13">
      <c r="A3573" s="93">
        <v>434830</v>
      </c>
      <c r="B3573" t="s">
        <v>4086</v>
      </c>
      <c r="C3573" t="s">
        <v>4919</v>
      </c>
      <c r="D3573" s="92" t="s">
        <v>446</v>
      </c>
      <c r="E3573" s="92" t="s">
        <v>446</v>
      </c>
      <c r="F3573" t="s">
        <v>446</v>
      </c>
      <c r="G3573" t="s">
        <v>446</v>
      </c>
      <c r="H3573" t="s">
        <v>4931</v>
      </c>
      <c r="I3573">
        <v>0</v>
      </c>
      <c r="J3573" t="s">
        <v>97</v>
      </c>
      <c r="K3573">
        <v>0</v>
      </c>
      <c r="L3573">
        <v>0</v>
      </c>
      <c r="M3573" t="s">
        <v>11</v>
      </c>
    </row>
    <row r="3574" spans="1:13">
      <c r="A3574" s="93">
        <v>434900</v>
      </c>
      <c r="B3574" t="s">
        <v>4087</v>
      </c>
      <c r="C3574" t="s">
        <v>4923</v>
      </c>
      <c r="D3574" s="92">
        <v>0.14</v>
      </c>
      <c r="E3574" s="92">
        <v>0.14</v>
      </c>
      <c r="F3574" t="s">
        <v>446</v>
      </c>
      <c r="G3574" t="s">
        <v>446</v>
      </c>
      <c r="H3574" t="s">
        <v>4931</v>
      </c>
      <c r="I3574">
        <v>0</v>
      </c>
      <c r="J3574" t="s">
        <v>97</v>
      </c>
      <c r="K3574">
        <v>0</v>
      </c>
      <c r="L3574">
        <v>0</v>
      </c>
      <c r="M3574" t="s">
        <v>11</v>
      </c>
    </row>
    <row r="3575" spans="1:13">
      <c r="A3575" s="93">
        <v>434937</v>
      </c>
      <c r="B3575" t="s">
        <v>4088</v>
      </c>
      <c r="C3575" t="s">
        <v>4923</v>
      </c>
      <c r="D3575" s="92">
        <v>0.31</v>
      </c>
      <c r="E3575" s="92" t="s">
        <v>446</v>
      </c>
      <c r="F3575" t="s">
        <v>446</v>
      </c>
      <c r="G3575" t="s">
        <v>446</v>
      </c>
      <c r="H3575" t="s">
        <v>4931</v>
      </c>
      <c r="I3575">
        <v>0</v>
      </c>
      <c r="J3575" t="s">
        <v>97</v>
      </c>
      <c r="K3575">
        <v>0</v>
      </c>
      <c r="L3575">
        <v>0</v>
      </c>
      <c r="M3575" t="s">
        <v>11</v>
      </c>
    </row>
    <row r="3576" spans="1:13">
      <c r="A3576" s="93">
        <v>435000</v>
      </c>
      <c r="B3576" t="s">
        <v>4089</v>
      </c>
      <c r="C3576" t="s">
        <v>4924</v>
      </c>
      <c r="D3576" s="92" t="s">
        <v>446</v>
      </c>
      <c r="E3576" s="92" t="s">
        <v>446</v>
      </c>
      <c r="F3576" t="s">
        <v>446</v>
      </c>
      <c r="G3576" t="s">
        <v>446</v>
      </c>
      <c r="H3576" t="s">
        <v>4932</v>
      </c>
      <c r="I3576">
        <v>0</v>
      </c>
      <c r="J3576" t="s">
        <v>97</v>
      </c>
      <c r="K3576">
        <v>0</v>
      </c>
      <c r="L3576">
        <v>0</v>
      </c>
      <c r="M3576" t="s">
        <v>11</v>
      </c>
    </row>
    <row r="3577" spans="1:13">
      <c r="A3577" s="93">
        <v>436100</v>
      </c>
      <c r="B3577" t="s">
        <v>4090</v>
      </c>
      <c r="C3577" t="s">
        <v>4919</v>
      </c>
      <c r="D3577" s="92" t="s">
        <v>446</v>
      </c>
      <c r="E3577" s="92" t="s">
        <v>446</v>
      </c>
      <c r="F3577" t="s">
        <v>446</v>
      </c>
      <c r="G3577" t="s">
        <v>446</v>
      </c>
      <c r="H3577" t="s">
        <v>4931</v>
      </c>
      <c r="I3577">
        <v>0</v>
      </c>
      <c r="J3577" t="s">
        <v>97</v>
      </c>
      <c r="K3577">
        <v>0</v>
      </c>
      <c r="L3577">
        <v>0</v>
      </c>
      <c r="M3577" t="s">
        <v>11</v>
      </c>
    </row>
    <row r="3578" spans="1:13">
      <c r="A3578" s="93">
        <v>436261</v>
      </c>
      <c r="B3578" t="s">
        <v>4091</v>
      </c>
      <c r="C3578" t="s">
        <v>4924</v>
      </c>
      <c r="D3578" s="92" t="s">
        <v>446</v>
      </c>
      <c r="E3578" s="92" t="s">
        <v>446</v>
      </c>
      <c r="F3578" t="s">
        <v>446</v>
      </c>
      <c r="G3578" t="s">
        <v>446</v>
      </c>
      <c r="H3578" t="s">
        <v>4932</v>
      </c>
      <c r="I3578">
        <v>0</v>
      </c>
      <c r="J3578" t="s">
        <v>97</v>
      </c>
      <c r="K3578">
        <v>0</v>
      </c>
      <c r="L3578">
        <v>0</v>
      </c>
      <c r="M3578" t="s">
        <v>11</v>
      </c>
    </row>
    <row r="3579" spans="1:13">
      <c r="A3579" s="93">
        <v>436304</v>
      </c>
      <c r="B3579" t="s">
        <v>4092</v>
      </c>
      <c r="C3579" t="s">
        <v>4919</v>
      </c>
      <c r="D3579" s="92">
        <v>0.28</v>
      </c>
      <c r="E3579" s="92">
        <v>0.21</v>
      </c>
      <c r="F3579" t="s">
        <v>446</v>
      </c>
      <c r="G3579" t="s">
        <v>446</v>
      </c>
      <c r="H3579" t="s">
        <v>4932</v>
      </c>
      <c r="I3579">
        <v>0</v>
      </c>
      <c r="J3579" t="s">
        <v>97</v>
      </c>
      <c r="K3579">
        <v>0</v>
      </c>
      <c r="L3579">
        <v>0</v>
      </c>
      <c r="M3579" t="s">
        <v>11</v>
      </c>
    </row>
    <row r="3580" spans="1:13">
      <c r="A3580" s="93">
        <v>436599</v>
      </c>
      <c r="B3580" t="s">
        <v>4093</v>
      </c>
      <c r="C3580" t="s">
        <v>4919</v>
      </c>
      <c r="D3580" s="92" t="s">
        <v>446</v>
      </c>
      <c r="E3580" s="92" t="s">
        <v>446</v>
      </c>
      <c r="F3580" t="s">
        <v>446</v>
      </c>
      <c r="G3580" t="s">
        <v>446</v>
      </c>
      <c r="H3580" t="s">
        <v>4930</v>
      </c>
      <c r="I3580">
        <v>0</v>
      </c>
      <c r="J3580" t="s">
        <v>97</v>
      </c>
      <c r="K3580">
        <v>0</v>
      </c>
      <c r="L3580">
        <v>0</v>
      </c>
      <c r="M3580" t="s">
        <v>11</v>
      </c>
    </row>
    <row r="3581" spans="1:13">
      <c r="A3581" s="93">
        <v>436614</v>
      </c>
      <c r="B3581" t="s">
        <v>4094</v>
      </c>
      <c r="C3581" t="s">
        <v>4923</v>
      </c>
      <c r="D3581" s="92">
        <v>0.76</v>
      </c>
      <c r="E3581" s="92">
        <v>1</v>
      </c>
      <c r="F3581" t="s">
        <v>446</v>
      </c>
      <c r="G3581" t="s">
        <v>446</v>
      </c>
      <c r="H3581" t="s">
        <v>4931</v>
      </c>
      <c r="I3581">
        <v>0</v>
      </c>
      <c r="J3581" t="s">
        <v>97</v>
      </c>
      <c r="K3581">
        <v>0</v>
      </c>
      <c r="L3581">
        <v>0</v>
      </c>
      <c r="M3581" t="s">
        <v>11</v>
      </c>
    </row>
    <row r="3582" spans="1:13">
      <c r="A3582" s="93">
        <v>436818</v>
      </c>
      <c r="B3582" t="s">
        <v>4095</v>
      </c>
      <c r="C3582" t="s">
        <v>4923</v>
      </c>
      <c r="D3582" s="92">
        <v>0.65</v>
      </c>
      <c r="E3582" s="92">
        <v>0.57</v>
      </c>
      <c r="F3582">
        <v>1010</v>
      </c>
      <c r="G3582">
        <v>1120</v>
      </c>
      <c r="H3582" t="s">
        <v>4932</v>
      </c>
      <c r="I3582">
        <v>0</v>
      </c>
      <c r="J3582" t="s">
        <v>97</v>
      </c>
      <c r="K3582">
        <v>0</v>
      </c>
      <c r="L3582">
        <v>0</v>
      </c>
      <c r="M3582" t="s">
        <v>11</v>
      </c>
    </row>
    <row r="3583" spans="1:13">
      <c r="A3583" s="93">
        <v>436827</v>
      </c>
      <c r="B3583" t="s">
        <v>4096</v>
      </c>
      <c r="C3583" t="s">
        <v>4923</v>
      </c>
      <c r="D3583" s="92">
        <v>0.6</v>
      </c>
      <c r="E3583" s="92">
        <v>0.57</v>
      </c>
      <c r="F3583">
        <v>1040</v>
      </c>
      <c r="G3583">
        <v>1150</v>
      </c>
      <c r="H3583" t="s">
        <v>4932</v>
      </c>
      <c r="I3583">
        <v>0</v>
      </c>
      <c r="J3583" t="s">
        <v>97</v>
      </c>
      <c r="K3583">
        <v>0</v>
      </c>
      <c r="L3583">
        <v>0</v>
      </c>
      <c r="M3583" t="s">
        <v>11</v>
      </c>
    </row>
    <row r="3584" spans="1:13">
      <c r="A3584" s="93">
        <v>436836</v>
      </c>
      <c r="B3584" t="s">
        <v>4097</v>
      </c>
      <c r="C3584" t="s">
        <v>4923</v>
      </c>
      <c r="D3584" s="92">
        <v>0.62</v>
      </c>
      <c r="E3584" s="92">
        <v>0.58</v>
      </c>
      <c r="F3584">
        <v>1040</v>
      </c>
      <c r="G3584">
        <v>1150</v>
      </c>
      <c r="H3584" t="s">
        <v>4932</v>
      </c>
      <c r="I3584">
        <v>0</v>
      </c>
      <c r="J3584" t="s">
        <v>97</v>
      </c>
      <c r="K3584">
        <v>0</v>
      </c>
      <c r="L3584">
        <v>0</v>
      </c>
      <c r="M3584" t="s">
        <v>11</v>
      </c>
    </row>
    <row r="3585" spans="1:13">
      <c r="A3585" s="93">
        <v>437097</v>
      </c>
      <c r="B3585" t="s">
        <v>4098</v>
      </c>
      <c r="C3585" t="s">
        <v>4923</v>
      </c>
      <c r="D3585" s="92">
        <v>0.33</v>
      </c>
      <c r="E3585" s="92">
        <v>0</v>
      </c>
      <c r="F3585" t="s">
        <v>446</v>
      </c>
      <c r="G3585" t="s">
        <v>446</v>
      </c>
      <c r="H3585" t="s">
        <v>4932</v>
      </c>
      <c r="I3585">
        <v>0</v>
      </c>
      <c r="J3585" t="s">
        <v>97</v>
      </c>
      <c r="K3585">
        <v>0</v>
      </c>
      <c r="L3585">
        <v>0</v>
      </c>
      <c r="M3585" t="s">
        <v>11</v>
      </c>
    </row>
    <row r="3586" spans="1:13">
      <c r="A3586" s="93">
        <v>437103</v>
      </c>
      <c r="B3586" t="s">
        <v>4099</v>
      </c>
      <c r="C3586" t="s">
        <v>4919</v>
      </c>
      <c r="D3586" s="92">
        <v>0.31</v>
      </c>
      <c r="E3586" s="92">
        <v>0.22</v>
      </c>
      <c r="F3586" t="s">
        <v>446</v>
      </c>
      <c r="G3586" t="s">
        <v>446</v>
      </c>
      <c r="H3586" t="s">
        <v>4932</v>
      </c>
      <c r="I3586">
        <v>0</v>
      </c>
      <c r="J3586" t="s">
        <v>97</v>
      </c>
      <c r="K3586">
        <v>0</v>
      </c>
      <c r="L3586">
        <v>0</v>
      </c>
      <c r="M3586" t="s">
        <v>11</v>
      </c>
    </row>
    <row r="3587" spans="1:13">
      <c r="A3587" s="93">
        <v>437237</v>
      </c>
      <c r="B3587" t="s">
        <v>4100</v>
      </c>
      <c r="C3587" t="s">
        <v>4925</v>
      </c>
      <c r="D3587" s="92" t="s">
        <v>446</v>
      </c>
      <c r="E3587" s="92" t="s">
        <v>446</v>
      </c>
      <c r="F3587" t="s">
        <v>446</v>
      </c>
      <c r="G3587" t="s">
        <v>446</v>
      </c>
      <c r="H3587" t="s">
        <v>4930</v>
      </c>
      <c r="I3587">
        <v>0</v>
      </c>
      <c r="J3587" t="s">
        <v>97</v>
      </c>
      <c r="K3587">
        <v>0</v>
      </c>
      <c r="L3587">
        <v>0</v>
      </c>
      <c r="M3587" t="s">
        <v>11</v>
      </c>
    </row>
    <row r="3588" spans="1:13">
      <c r="A3588" s="93">
        <v>437316</v>
      </c>
      <c r="B3588" t="s">
        <v>4101</v>
      </c>
      <c r="C3588" t="s">
        <v>4924</v>
      </c>
      <c r="D3588" s="92" t="s">
        <v>446</v>
      </c>
      <c r="E3588" s="92" t="s">
        <v>446</v>
      </c>
      <c r="F3588" t="s">
        <v>446</v>
      </c>
      <c r="G3588" t="s">
        <v>446</v>
      </c>
      <c r="H3588" t="s">
        <v>4932</v>
      </c>
      <c r="I3588">
        <v>0</v>
      </c>
      <c r="J3588" t="s">
        <v>97</v>
      </c>
      <c r="K3588">
        <v>0</v>
      </c>
      <c r="L3588">
        <v>0</v>
      </c>
      <c r="M3588" t="s">
        <v>11</v>
      </c>
    </row>
    <row r="3589" spans="1:13">
      <c r="A3589" s="93">
        <v>437325</v>
      </c>
      <c r="B3589" t="s">
        <v>4102</v>
      </c>
      <c r="C3589" t="s">
        <v>4924</v>
      </c>
      <c r="D3589" s="92" t="s">
        <v>446</v>
      </c>
      <c r="E3589" s="92" t="s">
        <v>446</v>
      </c>
      <c r="F3589" t="s">
        <v>446</v>
      </c>
      <c r="G3589" t="s">
        <v>446</v>
      </c>
      <c r="H3589" t="s">
        <v>4932</v>
      </c>
      <c r="I3589">
        <v>0</v>
      </c>
      <c r="J3589" t="s">
        <v>97</v>
      </c>
      <c r="K3589">
        <v>0</v>
      </c>
      <c r="L3589">
        <v>0</v>
      </c>
      <c r="M3589" t="s">
        <v>11</v>
      </c>
    </row>
    <row r="3590" spans="1:13">
      <c r="A3590" s="93">
        <v>437635</v>
      </c>
      <c r="B3590" t="s">
        <v>4103</v>
      </c>
      <c r="C3590" t="s">
        <v>4919</v>
      </c>
      <c r="D3590" s="92" t="s">
        <v>446</v>
      </c>
      <c r="E3590" s="92" t="s">
        <v>446</v>
      </c>
      <c r="F3590" t="s">
        <v>446</v>
      </c>
      <c r="G3590" t="s">
        <v>446</v>
      </c>
      <c r="H3590" t="s">
        <v>4930</v>
      </c>
      <c r="I3590">
        <v>0</v>
      </c>
      <c r="J3590" t="s">
        <v>97</v>
      </c>
      <c r="K3590">
        <v>0</v>
      </c>
      <c r="L3590">
        <v>0</v>
      </c>
      <c r="M3590" t="s">
        <v>11</v>
      </c>
    </row>
    <row r="3591" spans="1:13">
      <c r="A3591" s="93">
        <v>437705</v>
      </c>
      <c r="B3591" t="s">
        <v>4104</v>
      </c>
      <c r="C3591" t="s">
        <v>4919</v>
      </c>
      <c r="D3591" s="92" t="s">
        <v>446</v>
      </c>
      <c r="E3591" s="92" t="s">
        <v>446</v>
      </c>
      <c r="F3591" t="s">
        <v>446</v>
      </c>
      <c r="G3591" t="s">
        <v>446</v>
      </c>
      <c r="H3591" t="s">
        <v>4932</v>
      </c>
      <c r="I3591">
        <v>0</v>
      </c>
      <c r="J3591" t="s">
        <v>97</v>
      </c>
      <c r="K3591">
        <v>0</v>
      </c>
      <c r="L3591">
        <v>0</v>
      </c>
      <c r="M3591" t="s">
        <v>11</v>
      </c>
    </row>
    <row r="3592" spans="1:13">
      <c r="A3592" s="93">
        <v>437732</v>
      </c>
      <c r="B3592" t="s">
        <v>4105</v>
      </c>
      <c r="C3592" t="s">
        <v>4924</v>
      </c>
      <c r="D3592" s="92" t="s">
        <v>446</v>
      </c>
      <c r="E3592" s="92" t="s">
        <v>446</v>
      </c>
      <c r="F3592" t="s">
        <v>446</v>
      </c>
      <c r="G3592" t="s">
        <v>446</v>
      </c>
      <c r="H3592" t="s">
        <v>4930</v>
      </c>
      <c r="I3592">
        <v>0</v>
      </c>
      <c r="J3592" t="s">
        <v>97</v>
      </c>
      <c r="K3592">
        <v>0</v>
      </c>
      <c r="L3592">
        <v>0</v>
      </c>
      <c r="M3592" t="s">
        <v>11</v>
      </c>
    </row>
    <row r="3593" spans="1:13">
      <c r="A3593" s="93">
        <v>437750</v>
      </c>
      <c r="B3593" t="s">
        <v>4106</v>
      </c>
      <c r="C3593" t="s">
        <v>4919</v>
      </c>
      <c r="D3593" s="92" t="s">
        <v>446</v>
      </c>
      <c r="E3593" s="92" t="s">
        <v>446</v>
      </c>
      <c r="F3593" t="s">
        <v>446</v>
      </c>
      <c r="G3593" t="s">
        <v>446</v>
      </c>
      <c r="H3593" t="s">
        <v>4930</v>
      </c>
      <c r="I3593">
        <v>0</v>
      </c>
      <c r="J3593" t="s">
        <v>97</v>
      </c>
      <c r="K3593">
        <v>0</v>
      </c>
      <c r="L3593">
        <v>0</v>
      </c>
      <c r="M3593" t="s">
        <v>11</v>
      </c>
    </row>
    <row r="3594" spans="1:13">
      <c r="A3594" s="93">
        <v>437769</v>
      </c>
      <c r="B3594" t="s">
        <v>4107</v>
      </c>
      <c r="C3594" t="s">
        <v>4919</v>
      </c>
      <c r="D3594" s="92" t="s">
        <v>446</v>
      </c>
      <c r="E3594" s="92" t="s">
        <v>446</v>
      </c>
      <c r="F3594" t="s">
        <v>446</v>
      </c>
      <c r="G3594" t="s">
        <v>446</v>
      </c>
      <c r="H3594" t="s">
        <v>4930</v>
      </c>
      <c r="I3594">
        <v>0</v>
      </c>
      <c r="J3594" t="s">
        <v>97</v>
      </c>
      <c r="K3594">
        <v>0</v>
      </c>
      <c r="L3594">
        <v>0</v>
      </c>
      <c r="M3594" t="s">
        <v>11</v>
      </c>
    </row>
    <row r="3595" spans="1:13">
      <c r="A3595" s="93">
        <v>437936</v>
      </c>
      <c r="B3595" t="s">
        <v>4108</v>
      </c>
      <c r="C3595" t="s">
        <v>4919</v>
      </c>
      <c r="D3595" s="92" t="s">
        <v>446</v>
      </c>
      <c r="E3595" s="92" t="s">
        <v>446</v>
      </c>
      <c r="F3595" t="s">
        <v>446</v>
      </c>
      <c r="G3595" t="s">
        <v>446</v>
      </c>
      <c r="H3595" t="s">
        <v>4930</v>
      </c>
      <c r="I3595">
        <v>0</v>
      </c>
      <c r="J3595" t="s">
        <v>97</v>
      </c>
      <c r="K3595">
        <v>0</v>
      </c>
      <c r="L3595">
        <v>0</v>
      </c>
      <c r="M3595" t="s">
        <v>11</v>
      </c>
    </row>
    <row r="3596" spans="1:13">
      <c r="A3596" s="93">
        <v>438151</v>
      </c>
      <c r="B3596" t="s">
        <v>3520</v>
      </c>
      <c r="C3596" t="s">
        <v>4923</v>
      </c>
      <c r="D3596" s="92">
        <v>0.16</v>
      </c>
      <c r="E3596" s="92">
        <v>0.19</v>
      </c>
      <c r="F3596" t="s">
        <v>446</v>
      </c>
      <c r="G3596" t="s">
        <v>446</v>
      </c>
      <c r="H3596" t="s">
        <v>4932</v>
      </c>
      <c r="I3596">
        <v>0</v>
      </c>
      <c r="J3596" t="s">
        <v>97</v>
      </c>
      <c r="K3596">
        <v>0</v>
      </c>
      <c r="L3596">
        <v>0</v>
      </c>
      <c r="M3596" t="s">
        <v>11</v>
      </c>
    </row>
    <row r="3597" spans="1:13">
      <c r="A3597" s="93">
        <v>438179</v>
      </c>
      <c r="B3597" t="s">
        <v>4109</v>
      </c>
      <c r="C3597" t="s">
        <v>4923</v>
      </c>
      <c r="D3597" s="92" t="s">
        <v>446</v>
      </c>
      <c r="E3597" s="92" t="s">
        <v>446</v>
      </c>
      <c r="F3597" t="s">
        <v>446</v>
      </c>
      <c r="G3597" t="s">
        <v>446</v>
      </c>
      <c r="H3597" t="s">
        <v>4930</v>
      </c>
      <c r="I3597">
        <v>0</v>
      </c>
      <c r="J3597" t="s">
        <v>97</v>
      </c>
      <c r="K3597">
        <v>0</v>
      </c>
      <c r="L3597">
        <v>0</v>
      </c>
      <c r="M3597" t="s">
        <v>11</v>
      </c>
    </row>
    <row r="3598" spans="1:13">
      <c r="A3598" s="93">
        <v>438221</v>
      </c>
      <c r="B3598" t="s">
        <v>4110</v>
      </c>
      <c r="C3598" t="s">
        <v>4919</v>
      </c>
      <c r="D3598" s="92" t="s">
        <v>446</v>
      </c>
      <c r="E3598" s="92" t="s">
        <v>446</v>
      </c>
      <c r="F3598" t="s">
        <v>446</v>
      </c>
      <c r="G3598" t="s">
        <v>446</v>
      </c>
      <c r="H3598" t="s">
        <v>4930</v>
      </c>
      <c r="I3598">
        <v>0</v>
      </c>
      <c r="J3598" t="s">
        <v>97</v>
      </c>
      <c r="K3598">
        <v>0</v>
      </c>
      <c r="L3598">
        <v>0</v>
      </c>
      <c r="M3598" t="s">
        <v>11</v>
      </c>
    </row>
    <row r="3599" spans="1:13">
      <c r="A3599" s="93">
        <v>438258</v>
      </c>
      <c r="B3599" t="s">
        <v>4111</v>
      </c>
      <c r="C3599" t="s">
        <v>4919</v>
      </c>
      <c r="D3599" s="92">
        <v>0.5600000000000001</v>
      </c>
      <c r="E3599" s="92">
        <v>0.58</v>
      </c>
      <c r="F3599" t="s">
        <v>446</v>
      </c>
      <c r="G3599" t="s">
        <v>446</v>
      </c>
      <c r="H3599" t="s">
        <v>4930</v>
      </c>
      <c r="I3599">
        <v>0</v>
      </c>
      <c r="J3599" t="s">
        <v>97</v>
      </c>
      <c r="K3599">
        <v>0</v>
      </c>
      <c r="L3599">
        <v>0</v>
      </c>
      <c r="M3599" t="s">
        <v>11</v>
      </c>
    </row>
    <row r="3600" spans="1:13">
      <c r="A3600" s="93">
        <v>438498</v>
      </c>
      <c r="B3600" t="s">
        <v>4112</v>
      </c>
      <c r="C3600" t="s">
        <v>4923</v>
      </c>
      <c r="D3600" s="92">
        <v>1</v>
      </c>
      <c r="E3600" s="92">
        <v>1</v>
      </c>
      <c r="F3600" t="s">
        <v>446</v>
      </c>
      <c r="G3600" t="s">
        <v>446</v>
      </c>
      <c r="H3600" t="s">
        <v>4930</v>
      </c>
      <c r="I3600">
        <v>0</v>
      </c>
      <c r="J3600" t="s">
        <v>97</v>
      </c>
      <c r="K3600">
        <v>0</v>
      </c>
      <c r="L3600">
        <v>0</v>
      </c>
      <c r="M3600" t="s">
        <v>11</v>
      </c>
    </row>
    <row r="3601" spans="1:13">
      <c r="A3601" s="93">
        <v>438504</v>
      </c>
      <c r="B3601" t="s">
        <v>4113</v>
      </c>
      <c r="C3601" t="s">
        <v>4919</v>
      </c>
      <c r="D3601" s="92">
        <v>0.58</v>
      </c>
      <c r="E3601" s="92">
        <v>0.57</v>
      </c>
      <c r="F3601" t="s">
        <v>446</v>
      </c>
      <c r="G3601" t="s">
        <v>446</v>
      </c>
      <c r="H3601" t="s">
        <v>4930</v>
      </c>
      <c r="I3601">
        <v>0</v>
      </c>
      <c r="J3601" t="s">
        <v>97</v>
      </c>
      <c r="K3601">
        <v>0</v>
      </c>
      <c r="L3601">
        <v>0</v>
      </c>
      <c r="M3601" t="s">
        <v>11</v>
      </c>
    </row>
    <row r="3602" spans="1:13">
      <c r="A3602" s="93">
        <v>438586</v>
      </c>
      <c r="B3602" t="s">
        <v>4114</v>
      </c>
      <c r="C3602" t="s">
        <v>4923</v>
      </c>
      <c r="D3602" s="92">
        <v>0.27</v>
      </c>
      <c r="E3602" s="92">
        <v>0.25</v>
      </c>
      <c r="F3602" t="s">
        <v>446</v>
      </c>
      <c r="G3602" t="s">
        <v>446</v>
      </c>
      <c r="H3602" t="s">
        <v>4931</v>
      </c>
      <c r="I3602">
        <v>0</v>
      </c>
      <c r="J3602" t="s">
        <v>97</v>
      </c>
      <c r="K3602">
        <v>0</v>
      </c>
      <c r="L3602">
        <v>0</v>
      </c>
      <c r="M3602" t="s">
        <v>11</v>
      </c>
    </row>
    <row r="3603" spans="1:13">
      <c r="A3603" s="93">
        <v>438708</v>
      </c>
      <c r="B3603" t="s">
        <v>4115</v>
      </c>
      <c r="C3603" t="s">
        <v>4919</v>
      </c>
      <c r="D3603" s="92">
        <v>0.36</v>
      </c>
      <c r="E3603" s="92">
        <v>0.25</v>
      </c>
      <c r="F3603" t="s">
        <v>446</v>
      </c>
      <c r="G3603" t="s">
        <v>446</v>
      </c>
      <c r="H3603" t="s">
        <v>4932</v>
      </c>
      <c r="I3603">
        <v>0</v>
      </c>
      <c r="J3603" t="s">
        <v>97</v>
      </c>
      <c r="K3603">
        <v>0</v>
      </c>
      <c r="L3603">
        <v>0</v>
      </c>
      <c r="M3603" t="s">
        <v>11</v>
      </c>
    </row>
    <row r="3604" spans="1:13">
      <c r="A3604" s="93">
        <v>438735</v>
      </c>
      <c r="B3604" t="s">
        <v>4116</v>
      </c>
      <c r="C3604" t="s">
        <v>4919</v>
      </c>
      <c r="D3604" s="92" t="s">
        <v>446</v>
      </c>
      <c r="E3604" s="92" t="s">
        <v>446</v>
      </c>
      <c r="F3604" t="s">
        <v>446</v>
      </c>
      <c r="G3604" t="s">
        <v>446</v>
      </c>
      <c r="H3604" t="s">
        <v>4930</v>
      </c>
      <c r="I3604">
        <v>0</v>
      </c>
      <c r="J3604" t="s">
        <v>97</v>
      </c>
      <c r="K3604">
        <v>0</v>
      </c>
      <c r="L3604">
        <v>0</v>
      </c>
      <c r="M3604" t="s">
        <v>11</v>
      </c>
    </row>
    <row r="3605" spans="1:13">
      <c r="A3605" s="93">
        <v>438869</v>
      </c>
      <c r="B3605" t="s">
        <v>4117</v>
      </c>
      <c r="C3605" t="s">
        <v>4919</v>
      </c>
      <c r="D3605" s="92" t="s">
        <v>446</v>
      </c>
      <c r="E3605" s="92" t="s">
        <v>446</v>
      </c>
      <c r="F3605" t="s">
        <v>446</v>
      </c>
      <c r="G3605" t="s">
        <v>446</v>
      </c>
      <c r="H3605" t="s">
        <v>4932</v>
      </c>
      <c r="I3605">
        <v>0</v>
      </c>
      <c r="J3605" t="s">
        <v>97</v>
      </c>
      <c r="K3605">
        <v>0</v>
      </c>
      <c r="L3605">
        <v>0</v>
      </c>
      <c r="M3605" t="s">
        <v>11</v>
      </c>
    </row>
    <row r="3606" spans="1:13">
      <c r="A3606" s="93">
        <v>439020</v>
      </c>
      <c r="B3606" t="s">
        <v>4118</v>
      </c>
      <c r="C3606" t="s">
        <v>4924</v>
      </c>
      <c r="D3606" s="92" t="s">
        <v>446</v>
      </c>
      <c r="E3606" s="92" t="s">
        <v>446</v>
      </c>
      <c r="F3606" t="s">
        <v>446</v>
      </c>
      <c r="G3606" t="s">
        <v>446</v>
      </c>
      <c r="H3606" t="s">
        <v>4932</v>
      </c>
      <c r="I3606">
        <v>0</v>
      </c>
      <c r="J3606" t="s">
        <v>97</v>
      </c>
      <c r="K3606">
        <v>0</v>
      </c>
      <c r="L3606">
        <v>1</v>
      </c>
      <c r="M3606" t="s">
        <v>4935</v>
      </c>
    </row>
    <row r="3607" spans="1:13">
      <c r="A3607" s="93">
        <v>439118</v>
      </c>
      <c r="B3607" t="s">
        <v>4119</v>
      </c>
      <c r="C3607" t="s">
        <v>4919</v>
      </c>
      <c r="D3607" s="92" t="s">
        <v>446</v>
      </c>
      <c r="E3607" s="92" t="s">
        <v>446</v>
      </c>
      <c r="F3607" t="s">
        <v>446</v>
      </c>
      <c r="G3607" t="s">
        <v>446</v>
      </c>
      <c r="H3607" t="s">
        <v>4930</v>
      </c>
      <c r="I3607">
        <v>0</v>
      </c>
      <c r="J3607" t="s">
        <v>97</v>
      </c>
      <c r="K3607">
        <v>0</v>
      </c>
      <c r="L3607">
        <v>0</v>
      </c>
      <c r="M3607" t="s">
        <v>11</v>
      </c>
    </row>
    <row r="3608" spans="1:13">
      <c r="A3608" s="93">
        <v>439190</v>
      </c>
      <c r="B3608" t="s">
        <v>4120</v>
      </c>
      <c r="C3608" t="s">
        <v>4923</v>
      </c>
      <c r="D3608" s="92" t="s">
        <v>446</v>
      </c>
      <c r="E3608" s="92" t="s">
        <v>446</v>
      </c>
      <c r="F3608" t="s">
        <v>446</v>
      </c>
      <c r="G3608" t="s">
        <v>446</v>
      </c>
      <c r="H3608" t="s">
        <v>4932</v>
      </c>
      <c r="I3608">
        <v>0</v>
      </c>
      <c r="J3608" t="s">
        <v>97</v>
      </c>
      <c r="K3608">
        <v>0</v>
      </c>
      <c r="L3608">
        <v>0</v>
      </c>
      <c r="M3608" t="s">
        <v>11</v>
      </c>
    </row>
    <row r="3609" spans="1:13">
      <c r="A3609" s="93">
        <v>439288</v>
      </c>
      <c r="B3609" t="s">
        <v>4121</v>
      </c>
      <c r="C3609" t="s">
        <v>4924</v>
      </c>
      <c r="D3609" s="92">
        <v>0.53</v>
      </c>
      <c r="E3609" s="92">
        <v>0.55</v>
      </c>
      <c r="F3609" t="s">
        <v>446</v>
      </c>
      <c r="G3609" t="s">
        <v>446</v>
      </c>
      <c r="H3609" t="s">
        <v>4932</v>
      </c>
      <c r="I3609">
        <v>0</v>
      </c>
      <c r="J3609" t="s">
        <v>97</v>
      </c>
      <c r="K3609">
        <v>0</v>
      </c>
      <c r="L3609">
        <v>0</v>
      </c>
      <c r="M3609" t="s">
        <v>11</v>
      </c>
    </row>
    <row r="3610" spans="1:13">
      <c r="A3610" s="93">
        <v>439367</v>
      </c>
      <c r="B3610" t="s">
        <v>4122</v>
      </c>
      <c r="C3610" t="s">
        <v>4919</v>
      </c>
      <c r="D3610" s="92">
        <v>0.76</v>
      </c>
      <c r="E3610" s="92">
        <v>0.73</v>
      </c>
      <c r="F3610" t="s">
        <v>446</v>
      </c>
      <c r="G3610" t="s">
        <v>446</v>
      </c>
      <c r="H3610" t="s">
        <v>4930</v>
      </c>
      <c r="I3610">
        <v>0</v>
      </c>
      <c r="J3610" t="s">
        <v>97</v>
      </c>
      <c r="K3610">
        <v>0</v>
      </c>
      <c r="L3610">
        <v>0</v>
      </c>
      <c r="M3610" t="s">
        <v>11</v>
      </c>
    </row>
    <row r="3611" spans="1:13">
      <c r="A3611" s="93">
        <v>439446</v>
      </c>
      <c r="B3611" t="s">
        <v>4123</v>
      </c>
      <c r="C3611" t="s">
        <v>4924</v>
      </c>
      <c r="D3611" s="92" t="s">
        <v>446</v>
      </c>
      <c r="E3611" s="92" t="s">
        <v>446</v>
      </c>
      <c r="F3611" t="s">
        <v>446</v>
      </c>
      <c r="G3611" t="s">
        <v>446</v>
      </c>
      <c r="H3611" t="s">
        <v>4932</v>
      </c>
      <c r="I3611">
        <v>0</v>
      </c>
      <c r="J3611" t="s">
        <v>97</v>
      </c>
      <c r="K3611">
        <v>0</v>
      </c>
      <c r="L3611">
        <v>0</v>
      </c>
      <c r="M3611" t="s">
        <v>11</v>
      </c>
    </row>
    <row r="3612" spans="1:13">
      <c r="A3612" s="93">
        <v>439491</v>
      </c>
      <c r="B3612" t="s">
        <v>4124</v>
      </c>
      <c r="C3612" t="s">
        <v>4919</v>
      </c>
      <c r="D3612" s="92" t="s">
        <v>446</v>
      </c>
      <c r="E3612" s="92" t="s">
        <v>446</v>
      </c>
      <c r="F3612" t="s">
        <v>446</v>
      </c>
      <c r="G3612" t="s">
        <v>446</v>
      </c>
      <c r="H3612" t="s">
        <v>4930</v>
      </c>
      <c r="I3612">
        <v>0</v>
      </c>
      <c r="J3612" t="s">
        <v>97</v>
      </c>
      <c r="K3612">
        <v>0</v>
      </c>
      <c r="L3612">
        <v>0</v>
      </c>
      <c r="M3612" t="s">
        <v>11</v>
      </c>
    </row>
    <row r="3613" spans="1:13">
      <c r="A3613" s="93">
        <v>439507</v>
      </c>
      <c r="B3613" t="s">
        <v>4125</v>
      </c>
      <c r="C3613" t="s">
        <v>4919</v>
      </c>
      <c r="D3613" s="92" t="s">
        <v>446</v>
      </c>
      <c r="E3613" s="92" t="s">
        <v>446</v>
      </c>
      <c r="F3613" t="s">
        <v>446</v>
      </c>
      <c r="G3613" t="s">
        <v>446</v>
      </c>
      <c r="H3613" t="s">
        <v>4930</v>
      </c>
      <c r="I3613">
        <v>0</v>
      </c>
      <c r="J3613" t="s">
        <v>97</v>
      </c>
      <c r="K3613">
        <v>0</v>
      </c>
      <c r="L3613">
        <v>0</v>
      </c>
      <c r="M3613" t="s">
        <v>11</v>
      </c>
    </row>
    <row r="3614" spans="1:13">
      <c r="A3614" s="93">
        <v>439570</v>
      </c>
      <c r="B3614" t="s">
        <v>4126</v>
      </c>
      <c r="C3614" t="s">
        <v>4919</v>
      </c>
      <c r="D3614" s="92" t="s">
        <v>446</v>
      </c>
      <c r="E3614" s="92" t="s">
        <v>446</v>
      </c>
      <c r="F3614" t="s">
        <v>446</v>
      </c>
      <c r="G3614" t="s">
        <v>446</v>
      </c>
      <c r="H3614" t="s">
        <v>4930</v>
      </c>
      <c r="I3614">
        <v>0</v>
      </c>
      <c r="J3614" t="s">
        <v>97</v>
      </c>
      <c r="K3614">
        <v>0</v>
      </c>
      <c r="L3614">
        <v>0</v>
      </c>
      <c r="M3614" t="s">
        <v>11</v>
      </c>
    </row>
    <row r="3615" spans="1:13">
      <c r="A3615" s="93">
        <v>439701</v>
      </c>
      <c r="B3615" t="s">
        <v>4127</v>
      </c>
      <c r="C3615" t="s">
        <v>4920</v>
      </c>
      <c r="D3615" s="92">
        <v>0.21</v>
      </c>
      <c r="E3615" s="92">
        <v>0.14</v>
      </c>
      <c r="F3615">
        <v>870</v>
      </c>
      <c r="G3615">
        <v>1000</v>
      </c>
      <c r="H3615" t="s">
        <v>4930</v>
      </c>
      <c r="I3615">
        <v>0</v>
      </c>
      <c r="J3615" t="s">
        <v>97</v>
      </c>
      <c r="K3615">
        <v>0</v>
      </c>
      <c r="L3615">
        <v>0</v>
      </c>
      <c r="M3615" t="s">
        <v>11</v>
      </c>
    </row>
    <row r="3616" spans="1:13">
      <c r="A3616" s="93">
        <v>439738</v>
      </c>
      <c r="B3616" t="s">
        <v>4128</v>
      </c>
      <c r="C3616" t="s">
        <v>4919</v>
      </c>
      <c r="D3616" s="92" t="s">
        <v>446</v>
      </c>
      <c r="E3616" s="92" t="s">
        <v>446</v>
      </c>
      <c r="F3616" t="s">
        <v>446</v>
      </c>
      <c r="G3616" t="s">
        <v>446</v>
      </c>
      <c r="H3616" t="s">
        <v>4930</v>
      </c>
      <c r="I3616">
        <v>0</v>
      </c>
      <c r="J3616" t="s">
        <v>97</v>
      </c>
      <c r="K3616">
        <v>0</v>
      </c>
      <c r="L3616">
        <v>0</v>
      </c>
      <c r="M3616" t="s">
        <v>11</v>
      </c>
    </row>
    <row r="3617" spans="1:13">
      <c r="A3617" s="93">
        <v>439783</v>
      </c>
      <c r="B3617" t="s">
        <v>4129</v>
      </c>
      <c r="C3617" t="s">
        <v>4924</v>
      </c>
      <c r="D3617" s="92" t="s">
        <v>446</v>
      </c>
      <c r="E3617" s="92" t="s">
        <v>446</v>
      </c>
      <c r="F3617" t="s">
        <v>446</v>
      </c>
      <c r="G3617" t="s">
        <v>446</v>
      </c>
      <c r="H3617" t="s">
        <v>4932</v>
      </c>
      <c r="I3617">
        <v>0</v>
      </c>
      <c r="J3617" t="s">
        <v>97</v>
      </c>
      <c r="K3617">
        <v>0</v>
      </c>
      <c r="L3617">
        <v>0</v>
      </c>
      <c r="M3617" t="s">
        <v>11</v>
      </c>
    </row>
    <row r="3618" spans="1:13">
      <c r="A3618" s="93">
        <v>439792</v>
      </c>
      <c r="B3618" t="s">
        <v>4130</v>
      </c>
      <c r="C3618" t="s">
        <v>4919</v>
      </c>
      <c r="D3618" s="92" t="s">
        <v>446</v>
      </c>
      <c r="E3618" s="92" t="s">
        <v>446</v>
      </c>
      <c r="F3618" t="s">
        <v>446</v>
      </c>
      <c r="G3618" t="s">
        <v>446</v>
      </c>
      <c r="H3618" t="s">
        <v>4930</v>
      </c>
      <c r="I3618">
        <v>0</v>
      </c>
      <c r="J3618" t="s">
        <v>97</v>
      </c>
      <c r="K3618">
        <v>0</v>
      </c>
      <c r="L3618">
        <v>0</v>
      </c>
      <c r="M3618" t="s">
        <v>11</v>
      </c>
    </row>
    <row r="3619" spans="1:13">
      <c r="A3619" s="93">
        <v>439817</v>
      </c>
      <c r="B3619" t="s">
        <v>4131</v>
      </c>
      <c r="C3619" t="s">
        <v>4924</v>
      </c>
      <c r="D3619" s="92" t="s">
        <v>446</v>
      </c>
      <c r="E3619" s="92" t="s">
        <v>446</v>
      </c>
      <c r="F3619" t="s">
        <v>446</v>
      </c>
      <c r="G3619" t="s">
        <v>446</v>
      </c>
      <c r="H3619" t="s">
        <v>4932</v>
      </c>
      <c r="I3619">
        <v>0</v>
      </c>
      <c r="J3619" t="s">
        <v>97</v>
      </c>
      <c r="K3619">
        <v>0</v>
      </c>
      <c r="L3619">
        <v>0</v>
      </c>
      <c r="M3619" t="s">
        <v>11</v>
      </c>
    </row>
    <row r="3620" spans="1:13">
      <c r="A3620" s="93">
        <v>439862</v>
      </c>
      <c r="B3620" t="s">
        <v>4132</v>
      </c>
      <c r="C3620" t="s">
        <v>4924</v>
      </c>
      <c r="D3620" s="92">
        <v>0.26</v>
      </c>
      <c r="E3620" s="92" t="s">
        <v>446</v>
      </c>
      <c r="F3620" t="s">
        <v>446</v>
      </c>
      <c r="G3620" t="s">
        <v>446</v>
      </c>
      <c r="H3620" t="s">
        <v>4931</v>
      </c>
      <c r="I3620">
        <v>0</v>
      </c>
      <c r="J3620" t="s">
        <v>97</v>
      </c>
      <c r="K3620">
        <v>0</v>
      </c>
      <c r="L3620">
        <v>0</v>
      </c>
      <c r="M3620" t="s">
        <v>11</v>
      </c>
    </row>
    <row r="3621" spans="1:13">
      <c r="A3621" s="93">
        <v>439871</v>
      </c>
      <c r="B3621" t="s">
        <v>4133</v>
      </c>
      <c r="C3621" t="s">
        <v>4923</v>
      </c>
      <c r="D3621" s="92" t="s">
        <v>446</v>
      </c>
      <c r="E3621" s="92" t="s">
        <v>446</v>
      </c>
      <c r="F3621" t="s">
        <v>446</v>
      </c>
      <c r="G3621" t="s">
        <v>446</v>
      </c>
      <c r="H3621" t="s">
        <v>4930</v>
      </c>
      <c r="I3621">
        <v>0</v>
      </c>
      <c r="J3621" t="s">
        <v>97</v>
      </c>
      <c r="K3621">
        <v>0</v>
      </c>
      <c r="L3621">
        <v>0</v>
      </c>
      <c r="M3621" t="s">
        <v>11</v>
      </c>
    </row>
    <row r="3622" spans="1:13">
      <c r="A3622" s="93">
        <v>439899</v>
      </c>
      <c r="B3622" t="s">
        <v>4134</v>
      </c>
      <c r="C3622" t="s">
        <v>4919</v>
      </c>
      <c r="D3622" s="92">
        <v>0.49</v>
      </c>
      <c r="E3622" s="92">
        <v>0</v>
      </c>
      <c r="F3622" t="s">
        <v>446</v>
      </c>
      <c r="G3622" t="s">
        <v>446</v>
      </c>
      <c r="H3622" t="s">
        <v>4931</v>
      </c>
      <c r="I3622">
        <v>0</v>
      </c>
      <c r="J3622" t="s">
        <v>97</v>
      </c>
      <c r="K3622">
        <v>0</v>
      </c>
      <c r="L3622">
        <v>0</v>
      </c>
      <c r="M3622" t="s">
        <v>11</v>
      </c>
    </row>
    <row r="3623" spans="1:13">
      <c r="A3623" s="93">
        <v>439914</v>
      </c>
      <c r="B3623" t="s">
        <v>4135</v>
      </c>
      <c r="C3623" t="s">
        <v>4924</v>
      </c>
      <c r="D3623" s="92" t="s">
        <v>446</v>
      </c>
      <c r="E3623" s="92" t="s">
        <v>446</v>
      </c>
      <c r="F3623" t="s">
        <v>446</v>
      </c>
      <c r="G3623" t="s">
        <v>446</v>
      </c>
      <c r="H3623" t="s">
        <v>4932</v>
      </c>
      <c r="I3623">
        <v>0</v>
      </c>
      <c r="J3623" t="s">
        <v>97</v>
      </c>
      <c r="K3623">
        <v>0</v>
      </c>
      <c r="L3623">
        <v>0</v>
      </c>
      <c r="M3623" t="s">
        <v>11</v>
      </c>
    </row>
    <row r="3624" spans="1:13">
      <c r="A3624" s="93">
        <v>439969</v>
      </c>
      <c r="B3624" t="s">
        <v>4136</v>
      </c>
      <c r="C3624" t="s">
        <v>4923</v>
      </c>
      <c r="D3624" s="92">
        <v>0.31</v>
      </c>
      <c r="E3624" s="92">
        <v>0.4</v>
      </c>
      <c r="F3624" t="s">
        <v>446</v>
      </c>
      <c r="G3624" t="s">
        <v>446</v>
      </c>
      <c r="H3624" t="s">
        <v>4930</v>
      </c>
      <c r="I3624">
        <v>0</v>
      </c>
      <c r="J3624" t="s">
        <v>97</v>
      </c>
      <c r="K3624">
        <v>0</v>
      </c>
      <c r="L3624">
        <v>0</v>
      </c>
      <c r="M3624" t="s">
        <v>11</v>
      </c>
    </row>
    <row r="3625" spans="1:13">
      <c r="A3625" s="93">
        <v>440004</v>
      </c>
      <c r="B3625" t="s">
        <v>4137</v>
      </c>
      <c r="C3625" t="s">
        <v>4924</v>
      </c>
      <c r="D3625" s="92" t="s">
        <v>446</v>
      </c>
      <c r="E3625" s="92" t="s">
        <v>446</v>
      </c>
      <c r="F3625" t="s">
        <v>446</v>
      </c>
      <c r="G3625" t="s">
        <v>446</v>
      </c>
      <c r="H3625" t="s">
        <v>4932</v>
      </c>
      <c r="I3625">
        <v>0</v>
      </c>
      <c r="J3625" t="s">
        <v>97</v>
      </c>
      <c r="K3625">
        <v>0</v>
      </c>
      <c r="L3625">
        <v>0</v>
      </c>
      <c r="M3625" t="s">
        <v>11</v>
      </c>
    </row>
    <row r="3626" spans="1:13">
      <c r="A3626" s="93">
        <v>440031</v>
      </c>
      <c r="B3626" t="s">
        <v>4138</v>
      </c>
      <c r="C3626" t="s">
        <v>4924</v>
      </c>
      <c r="D3626" s="92" t="s">
        <v>446</v>
      </c>
      <c r="E3626" s="92" t="s">
        <v>446</v>
      </c>
      <c r="F3626" t="s">
        <v>446</v>
      </c>
      <c r="G3626" t="s">
        <v>446</v>
      </c>
      <c r="H3626" t="s">
        <v>4932</v>
      </c>
      <c r="I3626">
        <v>0</v>
      </c>
      <c r="J3626" t="s">
        <v>97</v>
      </c>
      <c r="K3626">
        <v>0</v>
      </c>
      <c r="L3626">
        <v>0</v>
      </c>
      <c r="M3626" t="s">
        <v>11</v>
      </c>
    </row>
    <row r="3627" spans="1:13">
      <c r="A3627" s="93">
        <v>440059</v>
      </c>
      <c r="B3627" t="s">
        <v>4139</v>
      </c>
      <c r="C3627" t="s">
        <v>4919</v>
      </c>
      <c r="D3627" s="92" t="s">
        <v>446</v>
      </c>
      <c r="E3627" s="92" t="s">
        <v>446</v>
      </c>
      <c r="F3627" t="s">
        <v>446</v>
      </c>
      <c r="G3627" t="s">
        <v>446</v>
      </c>
      <c r="H3627" t="s">
        <v>4930</v>
      </c>
      <c r="I3627">
        <v>0</v>
      </c>
      <c r="J3627" t="s">
        <v>97</v>
      </c>
      <c r="K3627">
        <v>0</v>
      </c>
      <c r="L3627">
        <v>0</v>
      </c>
      <c r="M3627" t="s">
        <v>11</v>
      </c>
    </row>
    <row r="3628" spans="1:13">
      <c r="A3628" s="93">
        <v>440262</v>
      </c>
      <c r="B3628" t="s">
        <v>4140</v>
      </c>
      <c r="C3628" t="s">
        <v>4919</v>
      </c>
      <c r="D3628" s="92" t="s">
        <v>446</v>
      </c>
      <c r="E3628" s="92" t="s">
        <v>446</v>
      </c>
      <c r="F3628" t="s">
        <v>446</v>
      </c>
      <c r="G3628" t="s">
        <v>446</v>
      </c>
      <c r="H3628" t="s">
        <v>4930</v>
      </c>
      <c r="I3628">
        <v>0</v>
      </c>
      <c r="J3628" t="s">
        <v>97</v>
      </c>
      <c r="K3628">
        <v>0</v>
      </c>
      <c r="L3628">
        <v>0</v>
      </c>
      <c r="M3628" t="s">
        <v>11</v>
      </c>
    </row>
    <row r="3629" spans="1:13">
      <c r="A3629" s="93">
        <v>440271</v>
      </c>
      <c r="B3629" t="s">
        <v>4141</v>
      </c>
      <c r="C3629" t="s">
        <v>4919</v>
      </c>
      <c r="D3629" s="92" t="s">
        <v>446</v>
      </c>
      <c r="E3629" s="92" t="s">
        <v>446</v>
      </c>
      <c r="F3629" t="s">
        <v>446</v>
      </c>
      <c r="G3629" t="s">
        <v>446</v>
      </c>
      <c r="H3629" t="s">
        <v>4930</v>
      </c>
      <c r="I3629">
        <v>0</v>
      </c>
      <c r="J3629" t="s">
        <v>97</v>
      </c>
      <c r="K3629">
        <v>0</v>
      </c>
      <c r="L3629">
        <v>0</v>
      </c>
      <c r="M3629" t="s">
        <v>11</v>
      </c>
    </row>
    <row r="3630" spans="1:13">
      <c r="A3630" s="93">
        <v>440396</v>
      </c>
      <c r="B3630" t="s">
        <v>4142</v>
      </c>
      <c r="C3630" t="s">
        <v>4924</v>
      </c>
      <c r="D3630" s="92">
        <v>0.58</v>
      </c>
      <c r="E3630" s="92">
        <v>1</v>
      </c>
      <c r="F3630" t="s">
        <v>446</v>
      </c>
      <c r="G3630" t="s">
        <v>446</v>
      </c>
      <c r="H3630" t="s">
        <v>4932</v>
      </c>
      <c r="I3630">
        <v>0</v>
      </c>
      <c r="J3630" t="s">
        <v>97</v>
      </c>
      <c r="K3630">
        <v>0</v>
      </c>
      <c r="L3630">
        <v>0</v>
      </c>
      <c r="M3630" t="s">
        <v>11</v>
      </c>
    </row>
    <row r="3631" spans="1:13">
      <c r="A3631" s="93">
        <v>440402</v>
      </c>
      <c r="B3631" t="s">
        <v>4143</v>
      </c>
      <c r="C3631" t="s">
        <v>4919</v>
      </c>
      <c r="D3631" s="92">
        <v>0.39</v>
      </c>
      <c r="E3631" s="92">
        <v>0.24</v>
      </c>
      <c r="F3631" t="s">
        <v>446</v>
      </c>
      <c r="G3631" t="s">
        <v>446</v>
      </c>
      <c r="H3631" t="s">
        <v>4932</v>
      </c>
      <c r="I3631">
        <v>0</v>
      </c>
      <c r="J3631" t="s">
        <v>97</v>
      </c>
      <c r="K3631">
        <v>0</v>
      </c>
      <c r="L3631">
        <v>0</v>
      </c>
      <c r="M3631" t="s">
        <v>11</v>
      </c>
    </row>
    <row r="3632" spans="1:13">
      <c r="A3632" s="93">
        <v>440651</v>
      </c>
      <c r="B3632" t="s">
        <v>4144</v>
      </c>
      <c r="C3632" t="s">
        <v>4923</v>
      </c>
      <c r="D3632" s="92">
        <v>0.35</v>
      </c>
      <c r="E3632" s="92">
        <v>0.35</v>
      </c>
      <c r="F3632" t="s">
        <v>446</v>
      </c>
      <c r="G3632" t="s">
        <v>446</v>
      </c>
      <c r="H3632" t="s">
        <v>4928</v>
      </c>
      <c r="I3632">
        <v>1</v>
      </c>
      <c r="J3632" t="s">
        <v>97</v>
      </c>
      <c r="K3632">
        <v>0</v>
      </c>
      <c r="L3632">
        <v>0</v>
      </c>
      <c r="M3632" t="s">
        <v>11</v>
      </c>
    </row>
    <row r="3633" spans="1:13">
      <c r="A3633" s="93">
        <v>440749</v>
      </c>
      <c r="B3633" t="s">
        <v>4145</v>
      </c>
      <c r="C3633" t="s">
        <v>4923</v>
      </c>
      <c r="D3633" s="92" t="s">
        <v>446</v>
      </c>
      <c r="E3633" s="92" t="s">
        <v>446</v>
      </c>
      <c r="F3633" t="s">
        <v>446</v>
      </c>
      <c r="G3633" t="s">
        <v>446</v>
      </c>
      <c r="H3633" t="s">
        <v>4932</v>
      </c>
      <c r="I3633">
        <v>0</v>
      </c>
      <c r="J3633" t="s">
        <v>97</v>
      </c>
      <c r="K3633">
        <v>0</v>
      </c>
      <c r="L3633">
        <v>0</v>
      </c>
      <c r="M3633" t="s">
        <v>11</v>
      </c>
    </row>
    <row r="3634" spans="1:13">
      <c r="A3634" s="93">
        <v>440776</v>
      </c>
      <c r="B3634" t="s">
        <v>3882</v>
      </c>
      <c r="C3634" t="s">
        <v>4919</v>
      </c>
      <c r="D3634" s="92" t="s">
        <v>446</v>
      </c>
      <c r="E3634" s="92" t="s">
        <v>446</v>
      </c>
      <c r="F3634" t="s">
        <v>446</v>
      </c>
      <c r="G3634" t="s">
        <v>446</v>
      </c>
      <c r="H3634" t="s">
        <v>4929</v>
      </c>
      <c r="I3634">
        <v>1</v>
      </c>
      <c r="J3634" t="s">
        <v>97</v>
      </c>
      <c r="K3634">
        <v>0</v>
      </c>
      <c r="L3634">
        <v>0</v>
      </c>
      <c r="M3634" t="s">
        <v>11</v>
      </c>
    </row>
    <row r="3635" spans="1:13">
      <c r="A3635" s="93">
        <v>440794</v>
      </c>
      <c r="B3635" t="s">
        <v>4146</v>
      </c>
      <c r="C3635" t="s">
        <v>4923</v>
      </c>
      <c r="D3635" s="92">
        <v>0.17</v>
      </c>
      <c r="E3635" s="92">
        <v>0.15</v>
      </c>
      <c r="F3635" t="s">
        <v>446</v>
      </c>
      <c r="G3635" t="s">
        <v>446</v>
      </c>
      <c r="H3635" t="s">
        <v>4930</v>
      </c>
      <c r="I3635">
        <v>0</v>
      </c>
      <c r="J3635" t="s">
        <v>97</v>
      </c>
      <c r="K3635">
        <v>0</v>
      </c>
      <c r="L3635">
        <v>0</v>
      </c>
      <c r="M3635" t="s">
        <v>11</v>
      </c>
    </row>
    <row r="3636" spans="1:13">
      <c r="A3636" s="93">
        <v>440819</v>
      </c>
      <c r="B3636" t="s">
        <v>4147</v>
      </c>
      <c r="C3636" t="s">
        <v>4919</v>
      </c>
      <c r="D3636" s="92" t="s">
        <v>446</v>
      </c>
      <c r="E3636" s="92" t="s">
        <v>446</v>
      </c>
      <c r="F3636" t="s">
        <v>446</v>
      </c>
      <c r="G3636" t="s">
        <v>446</v>
      </c>
      <c r="H3636" t="s">
        <v>4932</v>
      </c>
      <c r="I3636">
        <v>0</v>
      </c>
      <c r="J3636" t="s">
        <v>97</v>
      </c>
      <c r="K3636">
        <v>0</v>
      </c>
      <c r="L3636">
        <v>0</v>
      </c>
      <c r="M3636" t="s">
        <v>11</v>
      </c>
    </row>
    <row r="3637" spans="1:13">
      <c r="A3637" s="93">
        <v>440828</v>
      </c>
      <c r="B3637" t="s">
        <v>4148</v>
      </c>
      <c r="C3637" t="s">
        <v>4920</v>
      </c>
      <c r="D3637" s="92">
        <v>0.5</v>
      </c>
      <c r="E3637" s="92">
        <v>0</v>
      </c>
      <c r="F3637">
        <v>1100</v>
      </c>
      <c r="G3637">
        <v>1220</v>
      </c>
      <c r="H3637" t="s">
        <v>4932</v>
      </c>
      <c r="I3637">
        <v>0</v>
      </c>
      <c r="J3637" t="s">
        <v>97</v>
      </c>
      <c r="K3637">
        <v>0</v>
      </c>
      <c r="L3637">
        <v>0</v>
      </c>
      <c r="M3637" t="s">
        <v>11</v>
      </c>
    </row>
    <row r="3638" spans="1:13">
      <c r="A3638" s="93">
        <v>440916</v>
      </c>
      <c r="B3638" t="s">
        <v>4149</v>
      </c>
      <c r="C3638" t="s">
        <v>4924</v>
      </c>
      <c r="D3638" s="92" t="s">
        <v>446</v>
      </c>
      <c r="E3638" s="92" t="s">
        <v>446</v>
      </c>
      <c r="F3638" t="s">
        <v>446</v>
      </c>
      <c r="G3638" t="s">
        <v>446</v>
      </c>
      <c r="H3638" t="s">
        <v>4932</v>
      </c>
      <c r="I3638">
        <v>0</v>
      </c>
      <c r="J3638" t="s">
        <v>153</v>
      </c>
      <c r="K3638">
        <v>0</v>
      </c>
      <c r="L3638">
        <v>0</v>
      </c>
      <c r="M3638" t="s">
        <v>11</v>
      </c>
    </row>
    <row r="3639" spans="1:13">
      <c r="A3639" s="93">
        <v>441025</v>
      </c>
      <c r="B3639" t="s">
        <v>4150</v>
      </c>
      <c r="C3639" t="s">
        <v>4919</v>
      </c>
      <c r="D3639" s="92" t="s">
        <v>446</v>
      </c>
      <c r="E3639" s="92" t="s">
        <v>446</v>
      </c>
      <c r="F3639" t="s">
        <v>446</v>
      </c>
      <c r="G3639" t="s">
        <v>446</v>
      </c>
      <c r="H3639" t="s">
        <v>4930</v>
      </c>
      <c r="I3639">
        <v>0</v>
      </c>
      <c r="J3639" t="s">
        <v>97</v>
      </c>
      <c r="K3639">
        <v>0</v>
      </c>
      <c r="L3639">
        <v>0</v>
      </c>
      <c r="M3639" t="s">
        <v>11</v>
      </c>
    </row>
    <row r="3640" spans="1:13">
      <c r="A3640" s="93">
        <v>441052</v>
      </c>
      <c r="B3640" t="s">
        <v>4151</v>
      </c>
      <c r="C3640" t="s">
        <v>4919</v>
      </c>
      <c r="D3640" s="92" t="s">
        <v>446</v>
      </c>
      <c r="E3640" s="92" t="s">
        <v>446</v>
      </c>
      <c r="F3640" t="s">
        <v>446</v>
      </c>
      <c r="G3640" t="s">
        <v>446</v>
      </c>
      <c r="H3640" t="s">
        <v>4930</v>
      </c>
      <c r="I3640">
        <v>0</v>
      </c>
      <c r="J3640" t="s">
        <v>97</v>
      </c>
      <c r="K3640">
        <v>0</v>
      </c>
      <c r="L3640">
        <v>0</v>
      </c>
      <c r="M3640" t="s">
        <v>11</v>
      </c>
    </row>
    <row r="3641" spans="1:13">
      <c r="A3641" s="93">
        <v>441070</v>
      </c>
      <c r="B3641" t="s">
        <v>4152</v>
      </c>
      <c r="C3641" t="s">
        <v>4919</v>
      </c>
      <c r="D3641" s="92">
        <v>0.32</v>
      </c>
      <c r="E3641" s="92" t="s">
        <v>446</v>
      </c>
      <c r="F3641" t="s">
        <v>446</v>
      </c>
      <c r="G3641" t="s">
        <v>446</v>
      </c>
      <c r="H3641" t="s">
        <v>4932</v>
      </c>
      <c r="I3641">
        <v>0</v>
      </c>
      <c r="J3641" t="s">
        <v>97</v>
      </c>
      <c r="K3641">
        <v>0</v>
      </c>
      <c r="L3641">
        <v>0</v>
      </c>
      <c r="M3641" t="s">
        <v>11</v>
      </c>
    </row>
    <row r="3642" spans="1:13">
      <c r="A3642" s="93">
        <v>441104</v>
      </c>
      <c r="B3642" t="s">
        <v>4153</v>
      </c>
      <c r="C3642" t="s">
        <v>4924</v>
      </c>
      <c r="D3642" s="92" t="s">
        <v>446</v>
      </c>
      <c r="E3642" s="92" t="s">
        <v>446</v>
      </c>
      <c r="F3642" t="s">
        <v>446</v>
      </c>
      <c r="G3642" t="s">
        <v>446</v>
      </c>
      <c r="H3642" t="s">
        <v>4932</v>
      </c>
      <c r="I3642">
        <v>0</v>
      </c>
      <c r="J3642" t="s">
        <v>97</v>
      </c>
      <c r="K3642">
        <v>0</v>
      </c>
      <c r="L3642">
        <v>0</v>
      </c>
      <c r="M3642" t="s">
        <v>11</v>
      </c>
    </row>
    <row r="3643" spans="1:13">
      <c r="A3643" s="93">
        <v>441131</v>
      </c>
      <c r="B3643" t="s">
        <v>4154</v>
      </c>
      <c r="C3643" t="s">
        <v>4924</v>
      </c>
      <c r="D3643" s="92" t="s">
        <v>446</v>
      </c>
      <c r="E3643" s="92" t="s">
        <v>446</v>
      </c>
      <c r="F3643" t="s">
        <v>446</v>
      </c>
      <c r="G3643" t="s">
        <v>446</v>
      </c>
      <c r="H3643" t="s">
        <v>4932</v>
      </c>
      <c r="I3643">
        <v>0</v>
      </c>
      <c r="J3643" t="s">
        <v>97</v>
      </c>
      <c r="K3643">
        <v>0</v>
      </c>
      <c r="L3643">
        <v>0</v>
      </c>
      <c r="M3643" t="s">
        <v>11</v>
      </c>
    </row>
    <row r="3644" spans="1:13">
      <c r="A3644" s="93">
        <v>441168</v>
      </c>
      <c r="B3644" t="s">
        <v>4155</v>
      </c>
      <c r="C3644" t="s">
        <v>4919</v>
      </c>
      <c r="D3644" s="92" t="s">
        <v>446</v>
      </c>
      <c r="E3644" s="92" t="s">
        <v>446</v>
      </c>
      <c r="F3644" t="s">
        <v>446</v>
      </c>
      <c r="G3644" t="s">
        <v>446</v>
      </c>
      <c r="H3644" t="s">
        <v>4930</v>
      </c>
      <c r="I3644">
        <v>0</v>
      </c>
      <c r="J3644" t="s">
        <v>97</v>
      </c>
      <c r="K3644">
        <v>0</v>
      </c>
      <c r="L3644">
        <v>0</v>
      </c>
      <c r="M3644" t="s">
        <v>11</v>
      </c>
    </row>
    <row r="3645" spans="1:13">
      <c r="A3645" s="93">
        <v>441229</v>
      </c>
      <c r="B3645" t="s">
        <v>4156</v>
      </c>
      <c r="C3645" t="s">
        <v>4923</v>
      </c>
      <c r="D3645" s="92">
        <v>0.71</v>
      </c>
      <c r="E3645" s="92">
        <v>0.7</v>
      </c>
      <c r="F3645" t="s">
        <v>446</v>
      </c>
      <c r="G3645" t="s">
        <v>446</v>
      </c>
      <c r="H3645" t="s">
        <v>4930</v>
      </c>
      <c r="I3645">
        <v>0</v>
      </c>
      <c r="J3645" t="s">
        <v>97</v>
      </c>
      <c r="K3645">
        <v>0</v>
      </c>
      <c r="L3645">
        <v>0</v>
      </c>
      <c r="M3645" t="s">
        <v>11</v>
      </c>
    </row>
    <row r="3646" spans="1:13">
      <c r="A3646" s="93">
        <v>441238</v>
      </c>
      <c r="B3646" t="s">
        <v>4157</v>
      </c>
      <c r="C3646" t="s">
        <v>4924</v>
      </c>
      <c r="D3646" s="92" t="s">
        <v>446</v>
      </c>
      <c r="E3646" s="92" t="s">
        <v>446</v>
      </c>
      <c r="F3646" t="s">
        <v>446</v>
      </c>
      <c r="G3646" t="s">
        <v>446</v>
      </c>
      <c r="H3646" t="s">
        <v>4932</v>
      </c>
      <c r="I3646">
        <v>0</v>
      </c>
      <c r="J3646" t="s">
        <v>97</v>
      </c>
      <c r="K3646">
        <v>0</v>
      </c>
      <c r="L3646">
        <v>0</v>
      </c>
      <c r="M3646" t="s">
        <v>11</v>
      </c>
    </row>
    <row r="3647" spans="1:13">
      <c r="A3647" s="93">
        <v>441371</v>
      </c>
      <c r="B3647" t="s">
        <v>4158</v>
      </c>
      <c r="C3647" t="s">
        <v>4919</v>
      </c>
      <c r="D3647" s="92" t="s">
        <v>446</v>
      </c>
      <c r="E3647" s="92" t="s">
        <v>446</v>
      </c>
      <c r="F3647" t="s">
        <v>446</v>
      </c>
      <c r="G3647" t="s">
        <v>446</v>
      </c>
      <c r="H3647" t="s">
        <v>4930</v>
      </c>
      <c r="I3647">
        <v>0</v>
      </c>
      <c r="J3647" t="s">
        <v>97</v>
      </c>
      <c r="K3647">
        <v>0</v>
      </c>
      <c r="L3647">
        <v>0</v>
      </c>
      <c r="M3647" t="s">
        <v>11</v>
      </c>
    </row>
    <row r="3648" spans="1:13">
      <c r="A3648" s="93">
        <v>441423</v>
      </c>
      <c r="B3648" t="s">
        <v>4159</v>
      </c>
      <c r="C3648" t="s">
        <v>4919</v>
      </c>
      <c r="D3648" s="92">
        <v>0.76</v>
      </c>
      <c r="E3648" s="92">
        <v>0.76</v>
      </c>
      <c r="F3648" t="s">
        <v>446</v>
      </c>
      <c r="G3648" t="s">
        <v>446</v>
      </c>
      <c r="H3648" t="s">
        <v>4930</v>
      </c>
      <c r="I3648">
        <v>0</v>
      </c>
      <c r="J3648" t="s">
        <v>97</v>
      </c>
      <c r="K3648">
        <v>0</v>
      </c>
      <c r="L3648">
        <v>0</v>
      </c>
      <c r="M3648" t="s">
        <v>11</v>
      </c>
    </row>
    <row r="3649" spans="1:13">
      <c r="A3649" s="93">
        <v>441487</v>
      </c>
      <c r="B3649" t="s">
        <v>4160</v>
      </c>
      <c r="C3649" t="s">
        <v>4925</v>
      </c>
      <c r="D3649" s="92" t="s">
        <v>446</v>
      </c>
      <c r="E3649" s="92" t="s">
        <v>446</v>
      </c>
      <c r="F3649" t="s">
        <v>446</v>
      </c>
      <c r="G3649" t="s">
        <v>446</v>
      </c>
      <c r="H3649" t="s">
        <v>4930</v>
      </c>
      <c r="I3649">
        <v>0</v>
      </c>
      <c r="J3649" t="s">
        <v>97</v>
      </c>
      <c r="K3649">
        <v>0</v>
      </c>
      <c r="L3649">
        <v>0</v>
      </c>
      <c r="M3649" t="s">
        <v>11</v>
      </c>
    </row>
    <row r="3650" spans="1:13">
      <c r="A3650" s="93">
        <v>441496</v>
      </c>
      <c r="B3650" t="s">
        <v>4161</v>
      </c>
      <c r="C3650" t="s">
        <v>4919</v>
      </c>
      <c r="D3650" s="92" t="s">
        <v>446</v>
      </c>
      <c r="E3650" s="92" t="s">
        <v>446</v>
      </c>
      <c r="F3650" t="s">
        <v>446</v>
      </c>
      <c r="G3650" t="s">
        <v>446</v>
      </c>
      <c r="H3650" t="s">
        <v>4930</v>
      </c>
      <c r="I3650">
        <v>0</v>
      </c>
      <c r="J3650" t="s">
        <v>97</v>
      </c>
      <c r="K3650">
        <v>0</v>
      </c>
      <c r="L3650">
        <v>0</v>
      </c>
      <c r="M3650" t="s">
        <v>11</v>
      </c>
    </row>
    <row r="3651" spans="1:13">
      <c r="A3651" s="93">
        <v>441609</v>
      </c>
      <c r="B3651" t="s">
        <v>4162</v>
      </c>
      <c r="C3651" t="s">
        <v>4924</v>
      </c>
      <c r="D3651" s="92" t="s">
        <v>446</v>
      </c>
      <c r="E3651" s="92" t="s">
        <v>446</v>
      </c>
      <c r="F3651" t="s">
        <v>446</v>
      </c>
      <c r="G3651" t="s">
        <v>446</v>
      </c>
      <c r="H3651" t="s">
        <v>4932</v>
      </c>
      <c r="I3651">
        <v>0</v>
      </c>
      <c r="J3651" t="s">
        <v>97</v>
      </c>
      <c r="K3651">
        <v>0</v>
      </c>
      <c r="L3651">
        <v>0</v>
      </c>
      <c r="M3651" t="s">
        <v>11</v>
      </c>
    </row>
    <row r="3652" spans="1:13">
      <c r="A3652" s="93">
        <v>441636</v>
      </c>
      <c r="B3652" t="s">
        <v>4163</v>
      </c>
      <c r="C3652" t="s">
        <v>4924</v>
      </c>
      <c r="D3652" s="92" t="s">
        <v>446</v>
      </c>
      <c r="E3652" s="92" t="s">
        <v>446</v>
      </c>
      <c r="F3652" t="s">
        <v>446</v>
      </c>
      <c r="G3652" t="s">
        <v>446</v>
      </c>
      <c r="H3652" t="s">
        <v>4930</v>
      </c>
      <c r="I3652">
        <v>0</v>
      </c>
      <c r="J3652" t="s">
        <v>97</v>
      </c>
      <c r="K3652">
        <v>0</v>
      </c>
      <c r="L3652">
        <v>0</v>
      </c>
      <c r="M3652" t="s">
        <v>11</v>
      </c>
    </row>
    <row r="3653" spans="1:13">
      <c r="A3653" s="93">
        <v>441645</v>
      </c>
      <c r="B3653" t="s">
        <v>4164</v>
      </c>
      <c r="C3653" t="s">
        <v>4919</v>
      </c>
      <c r="D3653" s="92" t="s">
        <v>446</v>
      </c>
      <c r="E3653" s="92" t="s">
        <v>446</v>
      </c>
      <c r="F3653" t="s">
        <v>446</v>
      </c>
      <c r="G3653" t="s">
        <v>446</v>
      </c>
      <c r="H3653" t="s">
        <v>4931</v>
      </c>
      <c r="I3653">
        <v>0</v>
      </c>
      <c r="J3653" t="s">
        <v>97</v>
      </c>
      <c r="K3653">
        <v>0</v>
      </c>
      <c r="L3653">
        <v>0</v>
      </c>
      <c r="M3653" t="s">
        <v>11</v>
      </c>
    </row>
    <row r="3654" spans="1:13">
      <c r="A3654" s="93">
        <v>441690</v>
      </c>
      <c r="B3654" t="s">
        <v>4165</v>
      </c>
      <c r="C3654" t="s">
        <v>4923</v>
      </c>
      <c r="D3654" s="92">
        <v>0.23</v>
      </c>
      <c r="E3654" s="92">
        <v>0.23</v>
      </c>
      <c r="F3654" t="s">
        <v>446</v>
      </c>
      <c r="G3654" t="s">
        <v>446</v>
      </c>
      <c r="H3654" t="s">
        <v>4931</v>
      </c>
      <c r="I3654">
        <v>0</v>
      </c>
      <c r="J3654" t="s">
        <v>97</v>
      </c>
      <c r="K3654">
        <v>0</v>
      </c>
      <c r="L3654">
        <v>0</v>
      </c>
      <c r="M3654" t="s">
        <v>11</v>
      </c>
    </row>
    <row r="3655" spans="1:13">
      <c r="A3655" s="93">
        <v>441742</v>
      </c>
      <c r="B3655" t="s">
        <v>4166</v>
      </c>
      <c r="C3655" t="s">
        <v>4919</v>
      </c>
      <c r="D3655" s="92" t="s">
        <v>446</v>
      </c>
      <c r="E3655" s="92" t="s">
        <v>446</v>
      </c>
      <c r="F3655" t="s">
        <v>446</v>
      </c>
      <c r="G3655" t="s">
        <v>446</v>
      </c>
      <c r="H3655" t="s">
        <v>4930</v>
      </c>
      <c r="I3655">
        <v>0</v>
      </c>
      <c r="J3655" t="s">
        <v>97</v>
      </c>
      <c r="K3655">
        <v>0</v>
      </c>
      <c r="L3655">
        <v>0</v>
      </c>
      <c r="M3655" t="s">
        <v>11</v>
      </c>
    </row>
    <row r="3656" spans="1:13">
      <c r="A3656" s="93">
        <v>441760</v>
      </c>
      <c r="B3656" t="s">
        <v>4167</v>
      </c>
      <c r="C3656" t="s">
        <v>4919</v>
      </c>
      <c r="D3656" s="92">
        <v>0.36</v>
      </c>
      <c r="E3656" s="92">
        <v>0.27</v>
      </c>
      <c r="F3656" t="s">
        <v>446</v>
      </c>
      <c r="G3656" t="s">
        <v>446</v>
      </c>
      <c r="H3656" t="s">
        <v>4932</v>
      </c>
      <c r="I3656">
        <v>0</v>
      </c>
      <c r="J3656" t="s">
        <v>97</v>
      </c>
      <c r="K3656">
        <v>0</v>
      </c>
      <c r="L3656">
        <v>0</v>
      </c>
      <c r="M3656" t="s">
        <v>11</v>
      </c>
    </row>
    <row r="3657" spans="1:13">
      <c r="A3657" s="93">
        <v>441788</v>
      </c>
      <c r="B3657" t="s">
        <v>4168</v>
      </c>
      <c r="C3657" t="s">
        <v>4919</v>
      </c>
      <c r="D3657" s="92" t="s">
        <v>446</v>
      </c>
      <c r="E3657" s="92" t="s">
        <v>446</v>
      </c>
      <c r="F3657" t="s">
        <v>446</v>
      </c>
      <c r="G3657" t="s">
        <v>446</v>
      </c>
      <c r="H3657" t="s">
        <v>4930</v>
      </c>
      <c r="I3657">
        <v>0</v>
      </c>
      <c r="J3657" t="s">
        <v>97</v>
      </c>
      <c r="K3657">
        <v>0</v>
      </c>
      <c r="L3657">
        <v>0</v>
      </c>
      <c r="M3657" t="s">
        <v>11</v>
      </c>
    </row>
    <row r="3658" spans="1:13">
      <c r="A3658" s="93">
        <v>441858</v>
      </c>
      <c r="B3658" t="s">
        <v>4169</v>
      </c>
      <c r="C3658" t="s">
        <v>4925</v>
      </c>
      <c r="D3658" s="92" t="s">
        <v>446</v>
      </c>
      <c r="E3658" s="92" t="s">
        <v>446</v>
      </c>
      <c r="F3658" t="s">
        <v>446</v>
      </c>
      <c r="G3658" t="s">
        <v>446</v>
      </c>
      <c r="H3658" t="s">
        <v>4932</v>
      </c>
      <c r="I3658">
        <v>0</v>
      </c>
      <c r="J3658" t="s">
        <v>97</v>
      </c>
      <c r="K3658">
        <v>0</v>
      </c>
      <c r="L3658">
        <v>0</v>
      </c>
      <c r="M3658" t="s">
        <v>11</v>
      </c>
    </row>
    <row r="3659" spans="1:13">
      <c r="A3659" s="93">
        <v>441900</v>
      </c>
      <c r="B3659" t="s">
        <v>4170</v>
      </c>
      <c r="C3659" t="s">
        <v>4924</v>
      </c>
      <c r="D3659" s="92">
        <v>0.25</v>
      </c>
      <c r="E3659" s="92">
        <v>0.22</v>
      </c>
      <c r="F3659" t="s">
        <v>446</v>
      </c>
      <c r="G3659" t="s">
        <v>446</v>
      </c>
      <c r="H3659" t="s">
        <v>4932</v>
      </c>
      <c r="I3659">
        <v>0</v>
      </c>
      <c r="J3659" t="s">
        <v>97</v>
      </c>
      <c r="K3659">
        <v>0</v>
      </c>
      <c r="L3659">
        <v>0</v>
      </c>
      <c r="M3659" t="s">
        <v>11</v>
      </c>
    </row>
    <row r="3660" spans="1:13">
      <c r="A3660" s="93">
        <v>441937</v>
      </c>
      <c r="B3660" t="s">
        <v>4171</v>
      </c>
      <c r="C3660" t="s">
        <v>4924</v>
      </c>
      <c r="D3660" s="92">
        <v>0.5600000000000001</v>
      </c>
      <c r="E3660" s="92">
        <v>0.53</v>
      </c>
      <c r="F3660" t="s">
        <v>446</v>
      </c>
      <c r="G3660" t="s">
        <v>446</v>
      </c>
      <c r="H3660" t="s">
        <v>4932</v>
      </c>
      <c r="I3660">
        <v>0</v>
      </c>
      <c r="J3660" t="s">
        <v>97</v>
      </c>
      <c r="K3660">
        <v>0</v>
      </c>
      <c r="L3660">
        <v>0</v>
      </c>
      <c r="M3660" t="s">
        <v>11</v>
      </c>
    </row>
    <row r="3661" spans="1:13">
      <c r="A3661" s="93">
        <v>441982</v>
      </c>
      <c r="B3661" t="s">
        <v>4172</v>
      </c>
      <c r="C3661" t="s">
        <v>4921</v>
      </c>
      <c r="D3661" s="92">
        <v>0.96</v>
      </c>
      <c r="E3661" s="92">
        <v>1</v>
      </c>
      <c r="F3661">
        <v>1490</v>
      </c>
      <c r="G3661">
        <v>1535</v>
      </c>
      <c r="H3661" t="s">
        <v>4927</v>
      </c>
      <c r="I3661">
        <v>1</v>
      </c>
      <c r="J3661" t="s">
        <v>97</v>
      </c>
      <c r="K3661">
        <v>0</v>
      </c>
      <c r="L3661">
        <v>0</v>
      </c>
      <c r="M3661" t="s">
        <v>11</v>
      </c>
    </row>
    <row r="3662" spans="1:13">
      <c r="A3662" s="93">
        <v>442064</v>
      </c>
      <c r="B3662" t="s">
        <v>4173</v>
      </c>
      <c r="C3662" t="s">
        <v>4924</v>
      </c>
      <c r="D3662" s="92" t="s">
        <v>446</v>
      </c>
      <c r="E3662" s="92" t="s">
        <v>446</v>
      </c>
      <c r="F3662" t="s">
        <v>446</v>
      </c>
      <c r="G3662" t="s">
        <v>446</v>
      </c>
      <c r="H3662" t="s">
        <v>4932</v>
      </c>
      <c r="I3662">
        <v>0</v>
      </c>
      <c r="J3662" t="s">
        <v>97</v>
      </c>
      <c r="K3662">
        <v>0</v>
      </c>
      <c r="L3662">
        <v>0</v>
      </c>
      <c r="M3662" t="s">
        <v>11</v>
      </c>
    </row>
    <row r="3663" spans="1:13">
      <c r="A3663" s="93">
        <v>442134</v>
      </c>
      <c r="B3663" t="s">
        <v>4174</v>
      </c>
      <c r="C3663" t="s">
        <v>4919</v>
      </c>
      <c r="D3663" s="92">
        <v>0.7</v>
      </c>
      <c r="E3663" s="92">
        <v>0.68</v>
      </c>
      <c r="F3663" t="s">
        <v>446</v>
      </c>
      <c r="G3663" t="s">
        <v>446</v>
      </c>
      <c r="H3663" t="s">
        <v>4930</v>
      </c>
      <c r="I3663">
        <v>0</v>
      </c>
      <c r="J3663" t="s">
        <v>97</v>
      </c>
      <c r="K3663">
        <v>0</v>
      </c>
      <c r="L3663">
        <v>0</v>
      </c>
      <c r="M3663" t="s">
        <v>11</v>
      </c>
    </row>
    <row r="3664" spans="1:13">
      <c r="A3664" s="93">
        <v>442161</v>
      </c>
      <c r="B3664" t="s">
        <v>4175</v>
      </c>
      <c r="C3664" t="s">
        <v>4924</v>
      </c>
      <c r="D3664" s="92">
        <v>0.13</v>
      </c>
      <c r="E3664" s="92">
        <v>0.18</v>
      </c>
      <c r="F3664" t="s">
        <v>446</v>
      </c>
      <c r="G3664" t="s">
        <v>446</v>
      </c>
      <c r="H3664" t="s">
        <v>4932</v>
      </c>
      <c r="I3664">
        <v>0</v>
      </c>
      <c r="J3664" t="s">
        <v>97</v>
      </c>
      <c r="K3664">
        <v>0</v>
      </c>
      <c r="L3664">
        <v>1</v>
      </c>
      <c r="M3664" t="s">
        <v>4935</v>
      </c>
    </row>
    <row r="3665" spans="1:13">
      <c r="A3665" s="93">
        <v>442213</v>
      </c>
      <c r="B3665" t="s">
        <v>4176</v>
      </c>
      <c r="C3665" t="s">
        <v>4925</v>
      </c>
      <c r="D3665" s="92" t="s">
        <v>446</v>
      </c>
      <c r="E3665" s="92" t="s">
        <v>446</v>
      </c>
      <c r="F3665" t="s">
        <v>446</v>
      </c>
      <c r="G3665" t="s">
        <v>446</v>
      </c>
      <c r="H3665" t="s">
        <v>4932</v>
      </c>
      <c r="I3665">
        <v>0</v>
      </c>
      <c r="J3665" t="s">
        <v>97</v>
      </c>
      <c r="K3665">
        <v>0</v>
      </c>
      <c r="L3665">
        <v>0</v>
      </c>
      <c r="M3665" t="s">
        <v>11</v>
      </c>
    </row>
    <row r="3666" spans="1:13">
      <c r="A3666" s="93">
        <v>442295</v>
      </c>
      <c r="B3666" t="s">
        <v>4177</v>
      </c>
      <c r="C3666" t="s">
        <v>4924</v>
      </c>
      <c r="D3666" s="92" t="s">
        <v>446</v>
      </c>
      <c r="E3666" s="92" t="s">
        <v>446</v>
      </c>
      <c r="F3666" t="s">
        <v>446</v>
      </c>
      <c r="G3666" t="s">
        <v>446</v>
      </c>
      <c r="H3666" t="s">
        <v>4932</v>
      </c>
      <c r="I3666">
        <v>0</v>
      </c>
      <c r="J3666" t="s">
        <v>97</v>
      </c>
      <c r="K3666">
        <v>0</v>
      </c>
      <c r="L3666">
        <v>0</v>
      </c>
      <c r="M3666" t="s">
        <v>11</v>
      </c>
    </row>
    <row r="3667" spans="1:13">
      <c r="A3667" s="93">
        <v>442356</v>
      </c>
      <c r="B3667" t="s">
        <v>4178</v>
      </c>
      <c r="C3667" t="s">
        <v>4924</v>
      </c>
      <c r="D3667" s="92">
        <v>1</v>
      </c>
      <c r="E3667" s="92" t="s">
        <v>446</v>
      </c>
      <c r="F3667" t="s">
        <v>446</v>
      </c>
      <c r="G3667" t="s">
        <v>446</v>
      </c>
      <c r="H3667" t="s">
        <v>4930</v>
      </c>
      <c r="I3667">
        <v>0</v>
      </c>
      <c r="J3667" t="s">
        <v>97</v>
      </c>
      <c r="K3667">
        <v>0</v>
      </c>
      <c r="L3667">
        <v>0</v>
      </c>
      <c r="M3667" t="s">
        <v>11</v>
      </c>
    </row>
    <row r="3668" spans="1:13">
      <c r="A3668" s="93">
        <v>442383</v>
      </c>
      <c r="B3668" t="s">
        <v>4179</v>
      </c>
      <c r="C3668" t="s">
        <v>4919</v>
      </c>
      <c r="D3668" s="92" t="s">
        <v>446</v>
      </c>
      <c r="E3668" s="92" t="s">
        <v>446</v>
      </c>
      <c r="F3668" t="s">
        <v>446</v>
      </c>
      <c r="G3668" t="s">
        <v>446</v>
      </c>
      <c r="H3668" t="s">
        <v>4931</v>
      </c>
      <c r="I3668">
        <v>0</v>
      </c>
      <c r="J3668" t="s">
        <v>97</v>
      </c>
      <c r="K3668">
        <v>0</v>
      </c>
      <c r="L3668">
        <v>0</v>
      </c>
      <c r="M3668" t="s">
        <v>11</v>
      </c>
    </row>
    <row r="3669" spans="1:13">
      <c r="A3669" s="93">
        <v>442392</v>
      </c>
      <c r="B3669" t="s">
        <v>4180</v>
      </c>
      <c r="C3669" t="s">
        <v>4924</v>
      </c>
      <c r="D3669" s="92" t="s">
        <v>446</v>
      </c>
      <c r="E3669" s="92" t="s">
        <v>446</v>
      </c>
      <c r="F3669" t="s">
        <v>446</v>
      </c>
      <c r="G3669" t="s">
        <v>446</v>
      </c>
      <c r="H3669" t="s">
        <v>4932</v>
      </c>
      <c r="I3669">
        <v>0</v>
      </c>
      <c r="J3669" t="s">
        <v>97</v>
      </c>
      <c r="K3669">
        <v>0</v>
      </c>
      <c r="L3669">
        <v>0</v>
      </c>
      <c r="M3669" t="s">
        <v>11</v>
      </c>
    </row>
    <row r="3670" spans="1:13">
      <c r="A3670" s="93">
        <v>442426</v>
      </c>
      <c r="B3670" t="s">
        <v>4181</v>
      </c>
      <c r="C3670" t="s">
        <v>4924</v>
      </c>
      <c r="D3670" s="92" t="s">
        <v>446</v>
      </c>
      <c r="E3670" s="92" t="s">
        <v>446</v>
      </c>
      <c r="F3670" t="s">
        <v>446</v>
      </c>
      <c r="G3670" t="s">
        <v>446</v>
      </c>
      <c r="H3670" t="s">
        <v>4930</v>
      </c>
      <c r="I3670">
        <v>0</v>
      </c>
      <c r="J3670" t="s">
        <v>97</v>
      </c>
      <c r="K3670">
        <v>0</v>
      </c>
      <c r="L3670">
        <v>0</v>
      </c>
      <c r="M3670" t="s">
        <v>11</v>
      </c>
    </row>
    <row r="3671" spans="1:13">
      <c r="A3671" s="93">
        <v>442435</v>
      </c>
      <c r="B3671" t="s">
        <v>4182</v>
      </c>
      <c r="C3671" t="s">
        <v>4919</v>
      </c>
      <c r="D3671" s="92" t="s">
        <v>446</v>
      </c>
      <c r="E3671" s="92" t="s">
        <v>446</v>
      </c>
      <c r="F3671" t="s">
        <v>446</v>
      </c>
      <c r="G3671" t="s">
        <v>446</v>
      </c>
      <c r="H3671" t="s">
        <v>4931</v>
      </c>
      <c r="I3671">
        <v>0</v>
      </c>
      <c r="J3671" t="s">
        <v>97</v>
      </c>
      <c r="K3671">
        <v>0</v>
      </c>
      <c r="L3671">
        <v>0</v>
      </c>
      <c r="M3671" t="s">
        <v>11</v>
      </c>
    </row>
    <row r="3672" spans="1:13">
      <c r="A3672" s="93">
        <v>442444</v>
      </c>
      <c r="B3672" t="s">
        <v>4183</v>
      </c>
      <c r="C3672" t="s">
        <v>4926</v>
      </c>
      <c r="D3672" s="92">
        <v>0.66</v>
      </c>
      <c r="E3672" s="92">
        <v>0.65</v>
      </c>
      <c r="F3672" t="s">
        <v>446</v>
      </c>
      <c r="G3672" t="s">
        <v>446</v>
      </c>
      <c r="H3672" t="s">
        <v>4930</v>
      </c>
      <c r="I3672">
        <v>0</v>
      </c>
      <c r="J3672" t="s">
        <v>97</v>
      </c>
      <c r="K3672">
        <v>0</v>
      </c>
      <c r="L3672">
        <v>0</v>
      </c>
      <c r="M3672" t="s">
        <v>11</v>
      </c>
    </row>
    <row r="3673" spans="1:13">
      <c r="A3673" s="93">
        <v>442523</v>
      </c>
      <c r="B3673" t="s">
        <v>4184</v>
      </c>
      <c r="C3673" t="s">
        <v>4919</v>
      </c>
      <c r="D3673" s="92" t="s">
        <v>446</v>
      </c>
      <c r="E3673" s="92" t="s">
        <v>446</v>
      </c>
      <c r="F3673" t="s">
        <v>446</v>
      </c>
      <c r="G3673" t="s">
        <v>446</v>
      </c>
      <c r="H3673" t="s">
        <v>4931</v>
      </c>
      <c r="I3673">
        <v>0</v>
      </c>
      <c r="J3673" t="s">
        <v>97</v>
      </c>
      <c r="K3673">
        <v>0</v>
      </c>
      <c r="L3673">
        <v>0</v>
      </c>
      <c r="M3673" t="s">
        <v>11</v>
      </c>
    </row>
    <row r="3674" spans="1:13">
      <c r="A3674" s="93">
        <v>442569</v>
      </c>
      <c r="B3674" t="s">
        <v>4185</v>
      </c>
      <c r="C3674" t="s">
        <v>4923</v>
      </c>
      <c r="D3674" s="92">
        <v>0.19</v>
      </c>
      <c r="E3674" s="92">
        <v>0.14</v>
      </c>
      <c r="F3674" t="s">
        <v>446</v>
      </c>
      <c r="G3674" t="s">
        <v>446</v>
      </c>
      <c r="H3674" t="s">
        <v>4931</v>
      </c>
      <c r="I3674">
        <v>0</v>
      </c>
      <c r="J3674" t="s">
        <v>97</v>
      </c>
      <c r="K3674">
        <v>0</v>
      </c>
      <c r="L3674">
        <v>0</v>
      </c>
      <c r="M3674" t="s">
        <v>11</v>
      </c>
    </row>
    <row r="3675" spans="1:13">
      <c r="A3675" s="93">
        <v>442602</v>
      </c>
      <c r="B3675" t="s">
        <v>4186</v>
      </c>
      <c r="C3675" t="s">
        <v>4919</v>
      </c>
      <c r="D3675" s="92" t="s">
        <v>446</v>
      </c>
      <c r="E3675" s="92" t="s">
        <v>446</v>
      </c>
      <c r="F3675" t="s">
        <v>446</v>
      </c>
      <c r="G3675" t="s">
        <v>446</v>
      </c>
      <c r="H3675" t="s">
        <v>4930</v>
      </c>
      <c r="I3675">
        <v>0</v>
      </c>
      <c r="J3675" t="s">
        <v>97</v>
      </c>
      <c r="K3675">
        <v>0</v>
      </c>
      <c r="L3675">
        <v>0</v>
      </c>
      <c r="M3675" t="s">
        <v>11</v>
      </c>
    </row>
    <row r="3676" spans="1:13">
      <c r="A3676" s="93">
        <v>442611</v>
      </c>
      <c r="B3676" t="s">
        <v>4187</v>
      </c>
      <c r="C3676" t="s">
        <v>4919</v>
      </c>
      <c r="D3676" s="92">
        <v>0.58</v>
      </c>
      <c r="E3676" s="92">
        <v>0.45</v>
      </c>
      <c r="F3676" t="s">
        <v>446</v>
      </c>
      <c r="G3676" t="s">
        <v>446</v>
      </c>
      <c r="H3676" t="s">
        <v>4930</v>
      </c>
      <c r="I3676">
        <v>0</v>
      </c>
      <c r="J3676" t="s">
        <v>97</v>
      </c>
      <c r="K3676">
        <v>0</v>
      </c>
      <c r="L3676">
        <v>0</v>
      </c>
      <c r="M3676" t="s">
        <v>11</v>
      </c>
    </row>
    <row r="3677" spans="1:13">
      <c r="A3677" s="93">
        <v>442639</v>
      </c>
      <c r="B3677" t="s">
        <v>4188</v>
      </c>
      <c r="C3677" t="s">
        <v>4923</v>
      </c>
      <c r="D3677" s="92">
        <v>0.64</v>
      </c>
      <c r="E3677" s="92">
        <v>0.5</v>
      </c>
      <c r="F3677" t="s">
        <v>446</v>
      </c>
      <c r="G3677" t="s">
        <v>446</v>
      </c>
      <c r="H3677" t="s">
        <v>4932</v>
      </c>
      <c r="I3677">
        <v>0</v>
      </c>
      <c r="J3677" t="s">
        <v>97</v>
      </c>
      <c r="K3677">
        <v>0</v>
      </c>
      <c r="L3677">
        <v>0</v>
      </c>
      <c r="M3677" t="s">
        <v>11</v>
      </c>
    </row>
    <row r="3678" spans="1:13">
      <c r="A3678" s="93">
        <v>442781</v>
      </c>
      <c r="B3678" t="s">
        <v>4189</v>
      </c>
      <c r="C3678" t="s">
        <v>4919</v>
      </c>
      <c r="D3678" s="92" t="s">
        <v>446</v>
      </c>
      <c r="E3678" s="92" t="s">
        <v>446</v>
      </c>
      <c r="F3678" t="s">
        <v>446</v>
      </c>
      <c r="G3678" t="s">
        <v>446</v>
      </c>
      <c r="H3678" t="s">
        <v>4932</v>
      </c>
      <c r="I3678">
        <v>0</v>
      </c>
      <c r="J3678" t="s">
        <v>97</v>
      </c>
      <c r="K3678">
        <v>0</v>
      </c>
      <c r="L3678">
        <v>0</v>
      </c>
      <c r="M3678" t="s">
        <v>11</v>
      </c>
    </row>
    <row r="3679" spans="1:13">
      <c r="A3679" s="93">
        <v>442806</v>
      </c>
      <c r="B3679" t="s">
        <v>4190</v>
      </c>
      <c r="C3679" t="s">
        <v>4924</v>
      </c>
      <c r="D3679" s="92" t="s">
        <v>446</v>
      </c>
      <c r="E3679" s="92" t="s">
        <v>446</v>
      </c>
      <c r="F3679" t="s">
        <v>446</v>
      </c>
      <c r="G3679" t="s">
        <v>446</v>
      </c>
      <c r="H3679" t="s">
        <v>4932</v>
      </c>
      <c r="I3679">
        <v>0</v>
      </c>
      <c r="J3679" t="s">
        <v>97</v>
      </c>
      <c r="K3679">
        <v>0</v>
      </c>
      <c r="L3679">
        <v>0</v>
      </c>
      <c r="M3679" t="s">
        <v>11</v>
      </c>
    </row>
    <row r="3680" spans="1:13">
      <c r="A3680" s="93">
        <v>442842</v>
      </c>
      <c r="B3680" t="s">
        <v>4191</v>
      </c>
      <c r="C3680" t="s">
        <v>4923</v>
      </c>
      <c r="D3680" s="92" t="s">
        <v>446</v>
      </c>
      <c r="E3680" s="92" t="s">
        <v>446</v>
      </c>
      <c r="F3680" t="s">
        <v>446</v>
      </c>
      <c r="G3680" t="s">
        <v>446</v>
      </c>
      <c r="H3680" t="s">
        <v>4930</v>
      </c>
      <c r="I3680">
        <v>0</v>
      </c>
      <c r="J3680" t="s">
        <v>97</v>
      </c>
      <c r="K3680">
        <v>0</v>
      </c>
      <c r="L3680">
        <v>1</v>
      </c>
      <c r="M3680" t="s">
        <v>4935</v>
      </c>
    </row>
    <row r="3681" spans="1:13">
      <c r="A3681" s="93">
        <v>442879</v>
      </c>
      <c r="B3681" t="s">
        <v>4192</v>
      </c>
      <c r="C3681" t="s">
        <v>4919</v>
      </c>
      <c r="D3681" s="92" t="s">
        <v>446</v>
      </c>
      <c r="E3681" s="92" t="s">
        <v>446</v>
      </c>
      <c r="F3681" t="s">
        <v>446</v>
      </c>
      <c r="G3681" t="s">
        <v>446</v>
      </c>
      <c r="H3681" t="s">
        <v>4930</v>
      </c>
      <c r="I3681">
        <v>0</v>
      </c>
      <c r="J3681" t="s">
        <v>97</v>
      </c>
      <c r="K3681">
        <v>0</v>
      </c>
      <c r="L3681">
        <v>0</v>
      </c>
      <c r="M3681" t="s">
        <v>11</v>
      </c>
    </row>
    <row r="3682" spans="1:13">
      <c r="A3682" s="93">
        <v>442930</v>
      </c>
      <c r="B3682" t="s">
        <v>4193</v>
      </c>
      <c r="C3682" t="s">
        <v>4923</v>
      </c>
      <c r="D3682" s="92">
        <v>0.44</v>
      </c>
      <c r="E3682" s="92">
        <v>0.57</v>
      </c>
      <c r="F3682" t="s">
        <v>446</v>
      </c>
      <c r="G3682" t="s">
        <v>446</v>
      </c>
      <c r="H3682" t="s">
        <v>4930</v>
      </c>
      <c r="I3682">
        <v>0</v>
      </c>
      <c r="J3682" t="s">
        <v>97</v>
      </c>
      <c r="K3682">
        <v>0</v>
      </c>
      <c r="L3682">
        <v>0</v>
      </c>
      <c r="M3682" t="s">
        <v>11</v>
      </c>
    </row>
    <row r="3683" spans="1:13">
      <c r="A3683" s="93">
        <v>442949</v>
      </c>
      <c r="B3683" t="s">
        <v>4194</v>
      </c>
      <c r="C3683" t="s">
        <v>4924</v>
      </c>
      <c r="D3683" s="92" t="s">
        <v>446</v>
      </c>
      <c r="E3683" s="92" t="s">
        <v>446</v>
      </c>
      <c r="F3683" t="s">
        <v>446</v>
      </c>
      <c r="G3683" t="s">
        <v>446</v>
      </c>
      <c r="H3683" t="s">
        <v>4932</v>
      </c>
      <c r="I3683">
        <v>0</v>
      </c>
      <c r="J3683" t="s">
        <v>97</v>
      </c>
      <c r="K3683">
        <v>0</v>
      </c>
      <c r="L3683">
        <v>0</v>
      </c>
      <c r="M3683" t="s">
        <v>11</v>
      </c>
    </row>
    <row r="3684" spans="1:13">
      <c r="A3684" s="93">
        <v>443030</v>
      </c>
      <c r="B3684" t="s">
        <v>4195</v>
      </c>
      <c r="C3684" t="s">
        <v>4924</v>
      </c>
      <c r="D3684" s="92" t="s">
        <v>446</v>
      </c>
      <c r="E3684" s="92" t="s">
        <v>446</v>
      </c>
      <c r="F3684" t="s">
        <v>446</v>
      </c>
      <c r="G3684" t="s">
        <v>446</v>
      </c>
      <c r="H3684" t="s">
        <v>4932</v>
      </c>
      <c r="I3684">
        <v>0</v>
      </c>
      <c r="J3684" t="s">
        <v>97</v>
      </c>
      <c r="K3684">
        <v>0</v>
      </c>
      <c r="L3684">
        <v>1</v>
      </c>
      <c r="M3684" t="s">
        <v>4935</v>
      </c>
    </row>
    <row r="3685" spans="1:13">
      <c r="A3685" s="93">
        <v>443049</v>
      </c>
      <c r="B3685" t="s">
        <v>4196</v>
      </c>
      <c r="C3685" t="s">
        <v>4923</v>
      </c>
      <c r="D3685" s="92">
        <v>0.32</v>
      </c>
      <c r="E3685" s="92">
        <v>0</v>
      </c>
      <c r="F3685" t="s">
        <v>446</v>
      </c>
      <c r="G3685" t="s">
        <v>446</v>
      </c>
      <c r="H3685" t="s">
        <v>4930</v>
      </c>
      <c r="I3685">
        <v>0</v>
      </c>
      <c r="J3685" t="s">
        <v>97</v>
      </c>
      <c r="K3685">
        <v>0</v>
      </c>
      <c r="L3685">
        <v>0</v>
      </c>
      <c r="M3685" t="s">
        <v>11</v>
      </c>
    </row>
    <row r="3686" spans="1:13">
      <c r="A3686" s="93">
        <v>443058</v>
      </c>
      <c r="B3686" t="s">
        <v>4197</v>
      </c>
      <c r="C3686" t="s">
        <v>4924</v>
      </c>
      <c r="D3686" s="92">
        <v>0.5</v>
      </c>
      <c r="E3686" s="92" t="s">
        <v>446</v>
      </c>
      <c r="F3686" t="s">
        <v>446</v>
      </c>
      <c r="G3686" t="s">
        <v>446</v>
      </c>
      <c r="H3686" t="s">
        <v>4932</v>
      </c>
      <c r="I3686">
        <v>0</v>
      </c>
      <c r="J3686" t="s">
        <v>97</v>
      </c>
      <c r="K3686">
        <v>0</v>
      </c>
      <c r="L3686">
        <v>0</v>
      </c>
      <c r="M3686" t="s">
        <v>11</v>
      </c>
    </row>
    <row r="3687" spans="1:13">
      <c r="A3687" s="93">
        <v>443076</v>
      </c>
      <c r="B3687" t="s">
        <v>4198</v>
      </c>
      <c r="C3687" t="s">
        <v>4924</v>
      </c>
      <c r="D3687" s="92" t="s">
        <v>446</v>
      </c>
      <c r="E3687" s="92" t="s">
        <v>446</v>
      </c>
      <c r="F3687" t="s">
        <v>446</v>
      </c>
      <c r="G3687" t="s">
        <v>446</v>
      </c>
      <c r="H3687" t="s">
        <v>4932</v>
      </c>
      <c r="I3687">
        <v>0</v>
      </c>
      <c r="J3687" t="s">
        <v>97</v>
      </c>
      <c r="K3687">
        <v>0</v>
      </c>
      <c r="L3687">
        <v>0</v>
      </c>
      <c r="M3687" t="s">
        <v>11</v>
      </c>
    </row>
    <row r="3688" spans="1:13">
      <c r="A3688" s="93">
        <v>443128</v>
      </c>
      <c r="B3688" t="s">
        <v>4199</v>
      </c>
      <c r="C3688" t="s">
        <v>4924</v>
      </c>
      <c r="D3688" s="92" t="s">
        <v>446</v>
      </c>
      <c r="E3688" s="92" t="s">
        <v>446</v>
      </c>
      <c r="F3688" t="s">
        <v>446</v>
      </c>
      <c r="G3688" t="s">
        <v>446</v>
      </c>
      <c r="H3688" t="s">
        <v>4932</v>
      </c>
      <c r="I3688">
        <v>0</v>
      </c>
      <c r="J3688" t="s">
        <v>97</v>
      </c>
      <c r="K3688">
        <v>0</v>
      </c>
      <c r="L3688">
        <v>0</v>
      </c>
      <c r="M3688" t="s">
        <v>11</v>
      </c>
    </row>
    <row r="3689" spans="1:13">
      <c r="A3689" s="93">
        <v>443261</v>
      </c>
      <c r="B3689" t="s">
        <v>4200</v>
      </c>
      <c r="C3689" t="s">
        <v>4919</v>
      </c>
      <c r="D3689" s="92" t="s">
        <v>446</v>
      </c>
      <c r="E3689" s="92" t="s">
        <v>446</v>
      </c>
      <c r="F3689" t="s">
        <v>446</v>
      </c>
      <c r="G3689" t="s">
        <v>446</v>
      </c>
      <c r="H3689" t="s">
        <v>4930</v>
      </c>
      <c r="I3689">
        <v>0</v>
      </c>
      <c r="J3689" t="s">
        <v>97</v>
      </c>
      <c r="K3689">
        <v>0</v>
      </c>
      <c r="L3689">
        <v>0</v>
      </c>
      <c r="M3689" t="s">
        <v>11</v>
      </c>
    </row>
    <row r="3690" spans="1:13">
      <c r="A3690" s="93">
        <v>443331</v>
      </c>
      <c r="B3690" t="s">
        <v>4201</v>
      </c>
      <c r="C3690" t="s">
        <v>4923</v>
      </c>
      <c r="D3690" s="92">
        <v>0.46</v>
      </c>
      <c r="E3690" s="92">
        <v>1</v>
      </c>
      <c r="F3690" t="s">
        <v>446</v>
      </c>
      <c r="G3690" t="s">
        <v>446</v>
      </c>
      <c r="H3690" t="s">
        <v>4930</v>
      </c>
      <c r="I3690">
        <v>0</v>
      </c>
      <c r="J3690" t="s">
        <v>97</v>
      </c>
      <c r="K3690">
        <v>0</v>
      </c>
      <c r="L3690">
        <v>0</v>
      </c>
      <c r="M3690" t="s">
        <v>11</v>
      </c>
    </row>
    <row r="3691" spans="1:13">
      <c r="A3691" s="93">
        <v>443340</v>
      </c>
      <c r="B3691" t="s">
        <v>4202</v>
      </c>
      <c r="C3691" t="s">
        <v>4923</v>
      </c>
      <c r="D3691" s="92">
        <v>0.5600000000000001</v>
      </c>
      <c r="E3691" s="92">
        <v>0.5</v>
      </c>
      <c r="F3691" t="s">
        <v>446</v>
      </c>
      <c r="G3691" t="s">
        <v>446</v>
      </c>
      <c r="H3691" t="s">
        <v>4932</v>
      </c>
      <c r="I3691">
        <v>0</v>
      </c>
      <c r="J3691" t="s">
        <v>97</v>
      </c>
      <c r="K3691">
        <v>0</v>
      </c>
      <c r="L3691">
        <v>0</v>
      </c>
      <c r="M3691" t="s">
        <v>11</v>
      </c>
    </row>
    <row r="3692" spans="1:13">
      <c r="A3692" s="93">
        <v>443377</v>
      </c>
      <c r="B3692" t="s">
        <v>4203</v>
      </c>
      <c r="C3692" t="s">
        <v>4919</v>
      </c>
      <c r="D3692" s="92" t="s">
        <v>446</v>
      </c>
      <c r="E3692" s="92" t="s">
        <v>446</v>
      </c>
      <c r="F3692" t="s">
        <v>446</v>
      </c>
      <c r="G3692" t="s">
        <v>446</v>
      </c>
      <c r="H3692" t="s">
        <v>4930</v>
      </c>
      <c r="I3692">
        <v>0</v>
      </c>
      <c r="J3692" t="s">
        <v>97</v>
      </c>
      <c r="K3692">
        <v>0</v>
      </c>
      <c r="L3692">
        <v>0</v>
      </c>
      <c r="M3692" t="s">
        <v>11</v>
      </c>
    </row>
    <row r="3693" spans="1:13">
      <c r="A3693" s="93">
        <v>443410</v>
      </c>
      <c r="B3693" t="s">
        <v>4204</v>
      </c>
      <c r="C3693" t="s">
        <v>4917</v>
      </c>
      <c r="D3693" s="92">
        <v>0.55</v>
      </c>
      <c r="E3693" s="92">
        <v>0.5600000000000001</v>
      </c>
      <c r="F3693">
        <v>1180</v>
      </c>
      <c r="G3693">
        <v>1285</v>
      </c>
      <c r="H3693" t="s">
        <v>4930</v>
      </c>
      <c r="I3693">
        <v>0</v>
      </c>
      <c r="J3693" t="s">
        <v>97</v>
      </c>
      <c r="K3693">
        <v>0</v>
      </c>
      <c r="L3693">
        <v>0</v>
      </c>
      <c r="M3693" t="s">
        <v>11</v>
      </c>
    </row>
    <row r="3694" spans="1:13">
      <c r="A3694" s="93">
        <v>443492</v>
      </c>
      <c r="B3694" t="s">
        <v>4205</v>
      </c>
      <c r="C3694" t="s">
        <v>4919</v>
      </c>
      <c r="D3694" s="92">
        <v>0.33</v>
      </c>
      <c r="E3694" s="92">
        <v>0.18</v>
      </c>
      <c r="F3694" t="s">
        <v>446</v>
      </c>
      <c r="G3694" t="s">
        <v>446</v>
      </c>
      <c r="H3694" t="s">
        <v>4932</v>
      </c>
      <c r="I3694">
        <v>0</v>
      </c>
      <c r="J3694" t="s">
        <v>97</v>
      </c>
      <c r="K3694">
        <v>0</v>
      </c>
      <c r="L3694">
        <v>0</v>
      </c>
      <c r="M3694" t="s">
        <v>11</v>
      </c>
    </row>
    <row r="3695" spans="1:13">
      <c r="A3695" s="93">
        <v>443562</v>
      </c>
      <c r="B3695" t="s">
        <v>4206</v>
      </c>
      <c r="C3695" t="s">
        <v>4923</v>
      </c>
      <c r="D3695" s="92">
        <v>0.24</v>
      </c>
      <c r="E3695" s="92">
        <v>0.24</v>
      </c>
      <c r="F3695" t="s">
        <v>446</v>
      </c>
      <c r="G3695" t="s">
        <v>446</v>
      </c>
      <c r="H3695" t="s">
        <v>4927</v>
      </c>
      <c r="I3695">
        <v>1</v>
      </c>
      <c r="J3695" t="s">
        <v>97</v>
      </c>
      <c r="K3695">
        <v>0</v>
      </c>
      <c r="L3695">
        <v>0</v>
      </c>
      <c r="M3695" t="s">
        <v>11</v>
      </c>
    </row>
    <row r="3696" spans="1:13">
      <c r="A3696" s="93">
        <v>443571</v>
      </c>
      <c r="B3696" t="s">
        <v>4207</v>
      </c>
      <c r="C3696" t="s">
        <v>4919</v>
      </c>
      <c r="D3696" s="92" t="s">
        <v>446</v>
      </c>
      <c r="E3696" s="92" t="s">
        <v>446</v>
      </c>
      <c r="F3696" t="s">
        <v>446</v>
      </c>
      <c r="G3696" t="s">
        <v>446</v>
      </c>
      <c r="H3696" t="s">
        <v>4930</v>
      </c>
      <c r="I3696">
        <v>0</v>
      </c>
      <c r="J3696" t="s">
        <v>97</v>
      </c>
      <c r="K3696">
        <v>0</v>
      </c>
      <c r="L3696">
        <v>0</v>
      </c>
      <c r="M3696" t="s">
        <v>11</v>
      </c>
    </row>
    <row r="3697" spans="1:13">
      <c r="A3697" s="93">
        <v>443599</v>
      </c>
      <c r="B3697" t="s">
        <v>4208</v>
      </c>
      <c r="C3697" t="s">
        <v>4924</v>
      </c>
      <c r="D3697" s="92" t="s">
        <v>446</v>
      </c>
      <c r="E3697" s="92" t="s">
        <v>446</v>
      </c>
      <c r="F3697" t="s">
        <v>446</v>
      </c>
      <c r="G3697" t="s">
        <v>446</v>
      </c>
      <c r="H3697" t="s">
        <v>4930</v>
      </c>
      <c r="I3697">
        <v>0</v>
      </c>
      <c r="J3697" t="s">
        <v>97</v>
      </c>
      <c r="K3697">
        <v>0</v>
      </c>
      <c r="L3697">
        <v>0</v>
      </c>
      <c r="M3697" t="s">
        <v>11</v>
      </c>
    </row>
    <row r="3698" spans="1:13">
      <c r="A3698" s="93">
        <v>443650</v>
      </c>
      <c r="B3698" t="s">
        <v>4209</v>
      </c>
      <c r="C3698" t="s">
        <v>4919</v>
      </c>
      <c r="D3698" s="92" t="s">
        <v>446</v>
      </c>
      <c r="E3698" s="92" t="s">
        <v>446</v>
      </c>
      <c r="F3698" t="s">
        <v>446</v>
      </c>
      <c r="G3698" t="s">
        <v>446</v>
      </c>
      <c r="H3698" t="s">
        <v>4930</v>
      </c>
      <c r="I3698">
        <v>0</v>
      </c>
      <c r="J3698" t="s">
        <v>97</v>
      </c>
      <c r="K3698">
        <v>0</v>
      </c>
      <c r="L3698">
        <v>0</v>
      </c>
      <c r="M3698" t="s">
        <v>11</v>
      </c>
    </row>
    <row r="3699" spans="1:13">
      <c r="A3699" s="93">
        <v>443696</v>
      </c>
      <c r="B3699" t="s">
        <v>3882</v>
      </c>
      <c r="C3699" t="s">
        <v>4919</v>
      </c>
      <c r="D3699" s="92" t="s">
        <v>446</v>
      </c>
      <c r="E3699" s="92" t="s">
        <v>446</v>
      </c>
      <c r="F3699" t="s">
        <v>446</v>
      </c>
      <c r="G3699" t="s">
        <v>446</v>
      </c>
      <c r="H3699" t="s">
        <v>4931</v>
      </c>
      <c r="I3699">
        <v>0</v>
      </c>
      <c r="J3699" t="s">
        <v>97</v>
      </c>
      <c r="K3699">
        <v>0</v>
      </c>
      <c r="L3699">
        <v>0</v>
      </c>
      <c r="M3699" t="s">
        <v>11</v>
      </c>
    </row>
    <row r="3700" spans="1:13">
      <c r="A3700" s="93">
        <v>443702</v>
      </c>
      <c r="B3700" t="s">
        <v>4210</v>
      </c>
      <c r="C3700" t="s">
        <v>4924</v>
      </c>
      <c r="D3700" s="92" t="s">
        <v>446</v>
      </c>
      <c r="E3700" s="92" t="s">
        <v>446</v>
      </c>
      <c r="F3700" t="s">
        <v>446</v>
      </c>
      <c r="G3700" t="s">
        <v>446</v>
      </c>
      <c r="H3700" t="s">
        <v>4932</v>
      </c>
      <c r="I3700">
        <v>0</v>
      </c>
      <c r="J3700" t="s">
        <v>97</v>
      </c>
      <c r="K3700">
        <v>0</v>
      </c>
      <c r="L3700">
        <v>1</v>
      </c>
      <c r="M3700" t="s">
        <v>4935</v>
      </c>
    </row>
    <row r="3701" spans="1:13">
      <c r="A3701" s="93">
        <v>443748</v>
      </c>
      <c r="B3701" t="s">
        <v>4211</v>
      </c>
      <c r="C3701" t="s">
        <v>4919</v>
      </c>
      <c r="D3701" s="92" t="s">
        <v>446</v>
      </c>
      <c r="E3701" s="92" t="s">
        <v>446</v>
      </c>
      <c r="F3701" t="s">
        <v>446</v>
      </c>
      <c r="G3701" t="s">
        <v>446</v>
      </c>
      <c r="H3701" t="s">
        <v>4930</v>
      </c>
      <c r="I3701">
        <v>0</v>
      </c>
      <c r="J3701" t="s">
        <v>97</v>
      </c>
      <c r="K3701">
        <v>0</v>
      </c>
      <c r="L3701">
        <v>0</v>
      </c>
      <c r="M3701" t="s">
        <v>11</v>
      </c>
    </row>
    <row r="3702" spans="1:13">
      <c r="A3702" s="93">
        <v>443766</v>
      </c>
      <c r="B3702" t="s">
        <v>4212</v>
      </c>
      <c r="C3702" t="s">
        <v>4923</v>
      </c>
      <c r="D3702" s="92" t="s">
        <v>446</v>
      </c>
      <c r="E3702" s="92" t="s">
        <v>446</v>
      </c>
      <c r="F3702" t="s">
        <v>446</v>
      </c>
      <c r="G3702" t="s">
        <v>446</v>
      </c>
      <c r="H3702" t="s">
        <v>4930</v>
      </c>
      <c r="I3702">
        <v>0</v>
      </c>
      <c r="J3702" t="s">
        <v>97</v>
      </c>
      <c r="K3702">
        <v>0</v>
      </c>
      <c r="L3702">
        <v>0</v>
      </c>
      <c r="M3702" t="s">
        <v>11</v>
      </c>
    </row>
    <row r="3703" spans="1:13">
      <c r="A3703" s="93">
        <v>443784</v>
      </c>
      <c r="B3703" t="s">
        <v>4213</v>
      </c>
      <c r="C3703" t="s">
        <v>4923</v>
      </c>
      <c r="D3703" s="92">
        <v>1</v>
      </c>
      <c r="E3703" s="92">
        <v>1</v>
      </c>
      <c r="F3703" t="s">
        <v>446</v>
      </c>
      <c r="G3703" t="s">
        <v>446</v>
      </c>
      <c r="H3703" t="s">
        <v>4932</v>
      </c>
      <c r="I3703">
        <v>0</v>
      </c>
      <c r="J3703" t="s">
        <v>97</v>
      </c>
      <c r="K3703">
        <v>0</v>
      </c>
      <c r="L3703">
        <v>0</v>
      </c>
      <c r="M3703" t="s">
        <v>11</v>
      </c>
    </row>
    <row r="3704" spans="1:13">
      <c r="A3704" s="93">
        <v>444051</v>
      </c>
      <c r="B3704" t="s">
        <v>4214</v>
      </c>
      <c r="C3704" t="s">
        <v>4919</v>
      </c>
      <c r="D3704" s="92" t="s">
        <v>446</v>
      </c>
      <c r="E3704" s="92" t="s">
        <v>446</v>
      </c>
      <c r="F3704" t="s">
        <v>446</v>
      </c>
      <c r="G3704" t="s">
        <v>446</v>
      </c>
      <c r="H3704" t="s">
        <v>4931</v>
      </c>
      <c r="I3704">
        <v>0</v>
      </c>
      <c r="J3704" t="s">
        <v>97</v>
      </c>
      <c r="K3704">
        <v>0</v>
      </c>
      <c r="L3704">
        <v>0</v>
      </c>
      <c r="M3704" t="s">
        <v>11</v>
      </c>
    </row>
    <row r="3705" spans="1:13">
      <c r="A3705" s="93">
        <v>444088</v>
      </c>
      <c r="B3705" t="s">
        <v>4215</v>
      </c>
      <c r="C3705" t="s">
        <v>4923</v>
      </c>
      <c r="D3705" s="92">
        <v>0.55</v>
      </c>
      <c r="E3705" s="92">
        <v>0.49</v>
      </c>
      <c r="F3705" t="s">
        <v>446</v>
      </c>
      <c r="G3705" t="s">
        <v>446</v>
      </c>
      <c r="H3705" t="s">
        <v>4930</v>
      </c>
      <c r="I3705">
        <v>0</v>
      </c>
      <c r="J3705" t="s">
        <v>97</v>
      </c>
      <c r="K3705">
        <v>0</v>
      </c>
      <c r="L3705">
        <v>0</v>
      </c>
      <c r="M3705" t="s">
        <v>11</v>
      </c>
    </row>
    <row r="3706" spans="1:13">
      <c r="A3706" s="93">
        <v>444103</v>
      </c>
      <c r="B3706" t="s">
        <v>4216</v>
      </c>
      <c r="C3706" t="s">
        <v>4924</v>
      </c>
      <c r="D3706" s="92" t="s">
        <v>446</v>
      </c>
      <c r="E3706" s="92" t="s">
        <v>446</v>
      </c>
      <c r="F3706" t="s">
        <v>446</v>
      </c>
      <c r="G3706" t="s">
        <v>446</v>
      </c>
      <c r="H3706" t="s">
        <v>4932</v>
      </c>
      <c r="I3706">
        <v>0</v>
      </c>
      <c r="J3706" t="s">
        <v>97</v>
      </c>
      <c r="K3706">
        <v>0</v>
      </c>
      <c r="L3706">
        <v>0</v>
      </c>
      <c r="M3706" t="s">
        <v>11</v>
      </c>
    </row>
    <row r="3707" spans="1:13">
      <c r="A3707" s="93">
        <v>444130</v>
      </c>
      <c r="B3707" t="s">
        <v>4217</v>
      </c>
      <c r="C3707" t="s">
        <v>4924</v>
      </c>
      <c r="D3707" s="92" t="s">
        <v>446</v>
      </c>
      <c r="E3707" s="92" t="s">
        <v>446</v>
      </c>
      <c r="F3707" t="s">
        <v>446</v>
      </c>
      <c r="G3707" t="s">
        <v>446</v>
      </c>
      <c r="H3707" t="s">
        <v>4932</v>
      </c>
      <c r="I3707">
        <v>0</v>
      </c>
      <c r="J3707" t="s">
        <v>97</v>
      </c>
      <c r="K3707">
        <v>0</v>
      </c>
      <c r="L3707">
        <v>0</v>
      </c>
      <c r="M3707" t="s">
        <v>11</v>
      </c>
    </row>
    <row r="3708" spans="1:13">
      <c r="A3708" s="93">
        <v>444255</v>
      </c>
      <c r="B3708" t="s">
        <v>4218</v>
      </c>
      <c r="C3708" t="s">
        <v>4923</v>
      </c>
      <c r="D3708" s="92">
        <v>0.14</v>
      </c>
      <c r="E3708" s="92">
        <v>0.08</v>
      </c>
      <c r="F3708" t="s">
        <v>446</v>
      </c>
      <c r="G3708" t="s">
        <v>446</v>
      </c>
      <c r="H3708" t="s">
        <v>4930</v>
      </c>
      <c r="I3708">
        <v>0</v>
      </c>
      <c r="J3708" t="s">
        <v>97</v>
      </c>
      <c r="K3708">
        <v>0</v>
      </c>
      <c r="L3708">
        <v>0</v>
      </c>
      <c r="M3708" t="s">
        <v>11</v>
      </c>
    </row>
    <row r="3709" spans="1:13">
      <c r="A3709" s="93">
        <v>444316</v>
      </c>
      <c r="B3709" t="s">
        <v>4219</v>
      </c>
      <c r="C3709" t="s">
        <v>4919</v>
      </c>
      <c r="D3709" s="92">
        <v>0.75</v>
      </c>
      <c r="E3709" s="92">
        <v>0.72</v>
      </c>
      <c r="F3709" t="s">
        <v>446</v>
      </c>
      <c r="G3709" t="s">
        <v>446</v>
      </c>
      <c r="H3709" t="s">
        <v>4932</v>
      </c>
      <c r="I3709">
        <v>0</v>
      </c>
      <c r="J3709" t="s">
        <v>97</v>
      </c>
      <c r="K3709">
        <v>0</v>
      </c>
      <c r="L3709">
        <v>0</v>
      </c>
      <c r="M3709" t="s">
        <v>11</v>
      </c>
    </row>
    <row r="3710" spans="1:13">
      <c r="A3710" s="93">
        <v>444325</v>
      </c>
      <c r="B3710" t="s">
        <v>4220</v>
      </c>
      <c r="C3710" t="s">
        <v>4923</v>
      </c>
      <c r="D3710" s="92" t="s">
        <v>446</v>
      </c>
      <c r="E3710" s="92" t="s">
        <v>446</v>
      </c>
      <c r="F3710" t="s">
        <v>446</v>
      </c>
      <c r="G3710" t="s">
        <v>446</v>
      </c>
      <c r="H3710" t="s">
        <v>4930</v>
      </c>
      <c r="I3710">
        <v>0</v>
      </c>
      <c r="J3710" t="s">
        <v>97</v>
      </c>
      <c r="K3710">
        <v>0</v>
      </c>
      <c r="L3710">
        <v>0</v>
      </c>
      <c r="M3710" t="s">
        <v>11</v>
      </c>
    </row>
    <row r="3711" spans="1:13">
      <c r="A3711" s="93">
        <v>444334</v>
      </c>
      <c r="B3711" t="s">
        <v>4221</v>
      </c>
      <c r="C3711" t="s">
        <v>4919</v>
      </c>
      <c r="D3711" s="92" t="s">
        <v>446</v>
      </c>
      <c r="E3711" s="92" t="s">
        <v>446</v>
      </c>
      <c r="F3711" t="s">
        <v>446</v>
      </c>
      <c r="G3711" t="s">
        <v>446</v>
      </c>
      <c r="H3711" t="s">
        <v>4930</v>
      </c>
      <c r="I3711">
        <v>0</v>
      </c>
      <c r="J3711" t="s">
        <v>97</v>
      </c>
      <c r="K3711">
        <v>0</v>
      </c>
      <c r="L3711">
        <v>0</v>
      </c>
      <c r="M3711" t="s">
        <v>11</v>
      </c>
    </row>
    <row r="3712" spans="1:13">
      <c r="A3712" s="93">
        <v>444343</v>
      </c>
      <c r="B3712" t="s">
        <v>4222</v>
      </c>
      <c r="C3712" t="s">
        <v>4919</v>
      </c>
      <c r="D3712" s="92" t="s">
        <v>446</v>
      </c>
      <c r="E3712" s="92" t="s">
        <v>446</v>
      </c>
      <c r="F3712" t="s">
        <v>446</v>
      </c>
      <c r="G3712" t="s">
        <v>446</v>
      </c>
      <c r="H3712" t="s">
        <v>4930</v>
      </c>
      <c r="I3712">
        <v>0</v>
      </c>
      <c r="J3712" t="s">
        <v>97</v>
      </c>
      <c r="K3712">
        <v>0</v>
      </c>
      <c r="L3712">
        <v>0</v>
      </c>
      <c r="M3712" t="s">
        <v>11</v>
      </c>
    </row>
    <row r="3713" spans="1:13">
      <c r="A3713" s="93">
        <v>444361</v>
      </c>
      <c r="B3713" t="s">
        <v>4223</v>
      </c>
      <c r="C3713" t="s">
        <v>4919</v>
      </c>
      <c r="D3713" s="92" t="s">
        <v>446</v>
      </c>
      <c r="E3713" s="92" t="s">
        <v>446</v>
      </c>
      <c r="F3713" t="s">
        <v>446</v>
      </c>
      <c r="G3713" t="s">
        <v>446</v>
      </c>
      <c r="H3713" t="s">
        <v>4931</v>
      </c>
      <c r="I3713">
        <v>0</v>
      </c>
      <c r="J3713" t="s">
        <v>97</v>
      </c>
      <c r="K3713">
        <v>0</v>
      </c>
      <c r="L3713">
        <v>0</v>
      </c>
      <c r="M3713" t="s">
        <v>11</v>
      </c>
    </row>
    <row r="3714" spans="1:13">
      <c r="A3714" s="93">
        <v>444398</v>
      </c>
      <c r="B3714" t="s">
        <v>4224</v>
      </c>
      <c r="C3714" t="s">
        <v>4923</v>
      </c>
      <c r="D3714" s="92">
        <v>0.33</v>
      </c>
      <c r="E3714" s="92">
        <v>0.33</v>
      </c>
      <c r="F3714" t="s">
        <v>446</v>
      </c>
      <c r="G3714" t="s">
        <v>446</v>
      </c>
      <c r="H3714" t="s">
        <v>4929</v>
      </c>
      <c r="I3714">
        <v>1</v>
      </c>
      <c r="J3714" t="s">
        <v>97</v>
      </c>
      <c r="K3714">
        <v>0</v>
      </c>
      <c r="L3714">
        <v>0</v>
      </c>
      <c r="M3714" t="s">
        <v>11</v>
      </c>
    </row>
    <row r="3715" spans="1:13">
      <c r="A3715" s="93">
        <v>444413</v>
      </c>
      <c r="B3715" t="s">
        <v>4225</v>
      </c>
      <c r="C3715" t="s">
        <v>4924</v>
      </c>
      <c r="D3715" s="92">
        <v>0.28</v>
      </c>
      <c r="E3715" s="92" t="s">
        <v>446</v>
      </c>
      <c r="F3715" t="s">
        <v>446</v>
      </c>
      <c r="G3715" t="s">
        <v>446</v>
      </c>
      <c r="H3715" t="s">
        <v>4931</v>
      </c>
      <c r="I3715">
        <v>0</v>
      </c>
      <c r="J3715" t="s">
        <v>97</v>
      </c>
      <c r="K3715">
        <v>0</v>
      </c>
      <c r="L3715">
        <v>0</v>
      </c>
      <c r="M3715" t="s">
        <v>11</v>
      </c>
    </row>
    <row r="3716" spans="1:13">
      <c r="A3716" s="93">
        <v>444556</v>
      </c>
      <c r="B3716" t="s">
        <v>4226</v>
      </c>
      <c r="C3716" t="s">
        <v>4919</v>
      </c>
      <c r="D3716" s="92" t="s">
        <v>446</v>
      </c>
      <c r="E3716" s="92" t="s">
        <v>446</v>
      </c>
      <c r="F3716" t="s">
        <v>446</v>
      </c>
      <c r="G3716" t="s">
        <v>446</v>
      </c>
      <c r="H3716" t="s">
        <v>4930</v>
      </c>
      <c r="I3716">
        <v>0</v>
      </c>
      <c r="J3716" t="s">
        <v>97</v>
      </c>
      <c r="K3716">
        <v>0</v>
      </c>
      <c r="L3716">
        <v>0</v>
      </c>
      <c r="M3716" t="s">
        <v>11</v>
      </c>
    </row>
    <row r="3717" spans="1:13">
      <c r="A3717" s="93">
        <v>444565</v>
      </c>
      <c r="B3717" t="s">
        <v>4227</v>
      </c>
      <c r="C3717" t="s">
        <v>4919</v>
      </c>
      <c r="D3717" s="92" t="s">
        <v>446</v>
      </c>
      <c r="E3717" s="92" t="s">
        <v>446</v>
      </c>
      <c r="F3717" t="s">
        <v>446</v>
      </c>
      <c r="G3717" t="s">
        <v>446</v>
      </c>
      <c r="H3717" t="s">
        <v>4930</v>
      </c>
      <c r="I3717">
        <v>0</v>
      </c>
      <c r="J3717" t="s">
        <v>97</v>
      </c>
      <c r="K3717">
        <v>0</v>
      </c>
      <c r="L3717">
        <v>0</v>
      </c>
      <c r="M3717" t="s">
        <v>11</v>
      </c>
    </row>
    <row r="3718" spans="1:13">
      <c r="A3718" s="93">
        <v>444699</v>
      </c>
      <c r="B3718" t="s">
        <v>4228</v>
      </c>
      <c r="C3718" t="s">
        <v>4924</v>
      </c>
      <c r="D3718" s="92" t="s">
        <v>446</v>
      </c>
      <c r="E3718" s="92" t="s">
        <v>446</v>
      </c>
      <c r="F3718" t="s">
        <v>446</v>
      </c>
      <c r="G3718" t="s">
        <v>446</v>
      </c>
      <c r="H3718" t="s">
        <v>4932</v>
      </c>
      <c r="I3718">
        <v>0</v>
      </c>
      <c r="J3718" t="s">
        <v>97</v>
      </c>
      <c r="K3718">
        <v>0</v>
      </c>
      <c r="L3718">
        <v>0</v>
      </c>
      <c r="M3718" t="s">
        <v>11</v>
      </c>
    </row>
    <row r="3719" spans="1:13">
      <c r="A3719" s="93">
        <v>444714</v>
      </c>
      <c r="B3719" t="s">
        <v>4229</v>
      </c>
      <c r="C3719" t="s">
        <v>4919</v>
      </c>
      <c r="D3719" s="92" t="s">
        <v>446</v>
      </c>
      <c r="E3719" s="92" t="s">
        <v>446</v>
      </c>
      <c r="F3719" t="s">
        <v>446</v>
      </c>
      <c r="G3719" t="s">
        <v>446</v>
      </c>
      <c r="H3719" t="s">
        <v>4930</v>
      </c>
      <c r="I3719">
        <v>0</v>
      </c>
      <c r="J3719" t="s">
        <v>97</v>
      </c>
      <c r="K3719">
        <v>0</v>
      </c>
      <c r="L3719">
        <v>0</v>
      </c>
      <c r="M3719" t="s">
        <v>11</v>
      </c>
    </row>
    <row r="3720" spans="1:13">
      <c r="A3720" s="93">
        <v>444778</v>
      </c>
      <c r="B3720" t="s">
        <v>4230</v>
      </c>
      <c r="C3720" t="s">
        <v>4923</v>
      </c>
      <c r="D3720" s="92">
        <v>0.33</v>
      </c>
      <c r="E3720" s="92">
        <v>0.33</v>
      </c>
      <c r="F3720" t="s">
        <v>446</v>
      </c>
      <c r="G3720" t="s">
        <v>446</v>
      </c>
      <c r="H3720" t="s">
        <v>4932</v>
      </c>
      <c r="I3720">
        <v>0</v>
      </c>
      <c r="J3720" t="s">
        <v>97</v>
      </c>
      <c r="K3720">
        <v>0</v>
      </c>
      <c r="L3720">
        <v>0</v>
      </c>
      <c r="M3720" t="s">
        <v>11</v>
      </c>
    </row>
    <row r="3721" spans="1:13">
      <c r="A3721" s="93">
        <v>444787</v>
      </c>
      <c r="B3721" t="s">
        <v>4231</v>
      </c>
      <c r="C3721" t="s">
        <v>4923</v>
      </c>
      <c r="D3721" s="92" t="s">
        <v>446</v>
      </c>
      <c r="E3721" s="92" t="s">
        <v>446</v>
      </c>
      <c r="F3721" t="s">
        <v>446</v>
      </c>
      <c r="G3721" t="s">
        <v>446</v>
      </c>
      <c r="H3721" t="s">
        <v>4930</v>
      </c>
      <c r="I3721">
        <v>0</v>
      </c>
      <c r="J3721" t="s">
        <v>97</v>
      </c>
      <c r="K3721">
        <v>0</v>
      </c>
      <c r="L3721">
        <v>0</v>
      </c>
      <c r="M3721" t="s">
        <v>11</v>
      </c>
    </row>
    <row r="3722" spans="1:13">
      <c r="A3722" s="93">
        <v>444811</v>
      </c>
      <c r="B3722" t="s">
        <v>4232</v>
      </c>
      <c r="C3722" t="s">
        <v>4919</v>
      </c>
      <c r="D3722" s="92" t="s">
        <v>446</v>
      </c>
      <c r="E3722" s="92" t="s">
        <v>446</v>
      </c>
      <c r="F3722" t="s">
        <v>446</v>
      </c>
      <c r="G3722" t="s">
        <v>446</v>
      </c>
      <c r="H3722" t="s">
        <v>4930</v>
      </c>
      <c r="I3722">
        <v>0</v>
      </c>
      <c r="J3722" t="s">
        <v>97</v>
      </c>
      <c r="K3722">
        <v>0</v>
      </c>
      <c r="L3722">
        <v>0</v>
      </c>
      <c r="M3722" t="s">
        <v>11</v>
      </c>
    </row>
    <row r="3723" spans="1:13">
      <c r="A3723" s="93">
        <v>444866</v>
      </c>
      <c r="B3723" t="s">
        <v>4233</v>
      </c>
      <c r="C3723" t="s">
        <v>4919</v>
      </c>
      <c r="D3723" s="92" t="s">
        <v>446</v>
      </c>
      <c r="E3723" s="92" t="s">
        <v>446</v>
      </c>
      <c r="F3723" t="s">
        <v>446</v>
      </c>
      <c r="G3723" t="s">
        <v>446</v>
      </c>
      <c r="H3723" t="s">
        <v>4930</v>
      </c>
      <c r="I3723">
        <v>0</v>
      </c>
      <c r="J3723" t="s">
        <v>97</v>
      </c>
      <c r="K3723">
        <v>0</v>
      </c>
      <c r="L3723">
        <v>0</v>
      </c>
      <c r="M3723" t="s">
        <v>11</v>
      </c>
    </row>
    <row r="3724" spans="1:13">
      <c r="A3724" s="93">
        <v>444954</v>
      </c>
      <c r="B3724" t="s">
        <v>4234</v>
      </c>
      <c r="C3724" t="s">
        <v>4919</v>
      </c>
      <c r="D3724" s="92">
        <v>0.33</v>
      </c>
      <c r="E3724" s="92">
        <v>0.14</v>
      </c>
      <c r="F3724" t="s">
        <v>446</v>
      </c>
      <c r="G3724" t="s">
        <v>446</v>
      </c>
      <c r="H3724" t="s">
        <v>4932</v>
      </c>
      <c r="I3724">
        <v>0</v>
      </c>
      <c r="J3724" t="s">
        <v>97</v>
      </c>
      <c r="K3724">
        <v>0</v>
      </c>
      <c r="L3724">
        <v>0</v>
      </c>
      <c r="M3724" t="s">
        <v>11</v>
      </c>
    </row>
    <row r="3725" spans="1:13">
      <c r="A3725" s="93">
        <v>445054</v>
      </c>
      <c r="B3725" t="s">
        <v>4235</v>
      </c>
      <c r="C3725" t="s">
        <v>4924</v>
      </c>
      <c r="D3725" s="92" t="s">
        <v>446</v>
      </c>
      <c r="E3725" s="92" t="s">
        <v>446</v>
      </c>
      <c r="F3725" t="s">
        <v>446</v>
      </c>
      <c r="G3725" t="s">
        <v>446</v>
      </c>
      <c r="H3725" t="s">
        <v>4932</v>
      </c>
      <c r="I3725">
        <v>0</v>
      </c>
      <c r="J3725" t="s">
        <v>97</v>
      </c>
      <c r="K3725">
        <v>0</v>
      </c>
      <c r="L3725">
        <v>1</v>
      </c>
      <c r="M3725" t="s">
        <v>4935</v>
      </c>
    </row>
    <row r="3726" spans="1:13">
      <c r="A3726" s="93">
        <v>445133</v>
      </c>
      <c r="B3726" t="s">
        <v>4236</v>
      </c>
      <c r="C3726" t="s">
        <v>4923</v>
      </c>
      <c r="D3726" s="92">
        <v>0.38</v>
      </c>
      <c r="E3726" s="92">
        <v>0.42</v>
      </c>
      <c r="F3726" t="s">
        <v>446</v>
      </c>
      <c r="G3726" t="s">
        <v>446</v>
      </c>
      <c r="H3726" t="s">
        <v>4931</v>
      </c>
      <c r="I3726">
        <v>0</v>
      </c>
      <c r="J3726" t="s">
        <v>97</v>
      </c>
      <c r="K3726">
        <v>0</v>
      </c>
      <c r="L3726">
        <v>0</v>
      </c>
      <c r="M3726" t="s">
        <v>11</v>
      </c>
    </row>
    <row r="3727" spans="1:13">
      <c r="A3727" s="93">
        <v>445188</v>
      </c>
      <c r="B3727" t="s">
        <v>4237</v>
      </c>
      <c r="C3727" t="s">
        <v>4920</v>
      </c>
      <c r="D3727" s="92">
        <v>0.72</v>
      </c>
      <c r="E3727" s="92">
        <v>0.68</v>
      </c>
      <c r="F3727" t="s">
        <v>446</v>
      </c>
      <c r="G3727" t="s">
        <v>446</v>
      </c>
      <c r="H3727" t="s">
        <v>4932</v>
      </c>
      <c r="I3727">
        <v>0</v>
      </c>
      <c r="J3727" t="s">
        <v>97</v>
      </c>
      <c r="K3727">
        <v>0</v>
      </c>
      <c r="L3727">
        <v>0</v>
      </c>
      <c r="M3727" t="s">
        <v>11</v>
      </c>
    </row>
    <row r="3728" spans="1:13">
      <c r="A3728" s="93">
        <v>445203</v>
      </c>
      <c r="B3728" t="s">
        <v>4238</v>
      </c>
      <c r="C3728" t="s">
        <v>4923</v>
      </c>
      <c r="D3728" s="92">
        <v>0.7</v>
      </c>
      <c r="E3728" s="92">
        <v>0.68</v>
      </c>
      <c r="F3728" t="s">
        <v>446</v>
      </c>
      <c r="G3728" t="s">
        <v>446</v>
      </c>
      <c r="H3728" t="s">
        <v>4930</v>
      </c>
      <c r="I3728">
        <v>0</v>
      </c>
      <c r="J3728" t="s">
        <v>97</v>
      </c>
      <c r="K3728">
        <v>0</v>
      </c>
      <c r="L3728">
        <v>0</v>
      </c>
      <c r="M3728" t="s">
        <v>11</v>
      </c>
    </row>
    <row r="3729" spans="1:13">
      <c r="A3729" s="93">
        <v>445230</v>
      </c>
      <c r="B3729" t="s">
        <v>4239</v>
      </c>
      <c r="C3729" t="s">
        <v>4919</v>
      </c>
      <c r="D3729" s="92" t="s">
        <v>446</v>
      </c>
      <c r="E3729" s="92" t="s">
        <v>446</v>
      </c>
      <c r="F3729" t="s">
        <v>446</v>
      </c>
      <c r="G3729" t="s">
        <v>446</v>
      </c>
      <c r="H3729" t="s">
        <v>4930</v>
      </c>
      <c r="I3729">
        <v>0</v>
      </c>
      <c r="J3729" t="s">
        <v>97</v>
      </c>
      <c r="K3729">
        <v>0</v>
      </c>
      <c r="L3729">
        <v>0</v>
      </c>
      <c r="M3729" t="s">
        <v>11</v>
      </c>
    </row>
    <row r="3730" spans="1:13">
      <c r="A3730" s="93">
        <v>445249</v>
      </c>
      <c r="B3730" t="s">
        <v>4240</v>
      </c>
      <c r="C3730" t="s">
        <v>4919</v>
      </c>
      <c r="D3730" s="92" t="s">
        <v>446</v>
      </c>
      <c r="E3730" s="92" t="s">
        <v>446</v>
      </c>
      <c r="F3730" t="s">
        <v>446</v>
      </c>
      <c r="G3730" t="s">
        <v>446</v>
      </c>
      <c r="H3730" t="s">
        <v>4930</v>
      </c>
      <c r="I3730">
        <v>0</v>
      </c>
      <c r="J3730" t="s">
        <v>97</v>
      </c>
      <c r="K3730">
        <v>0</v>
      </c>
      <c r="L3730">
        <v>0</v>
      </c>
      <c r="M3730" t="s">
        <v>11</v>
      </c>
    </row>
    <row r="3731" spans="1:13">
      <c r="A3731" s="93">
        <v>445267</v>
      </c>
      <c r="B3731" t="s">
        <v>4241</v>
      </c>
      <c r="C3731" t="s">
        <v>4924</v>
      </c>
      <c r="D3731" s="92" t="s">
        <v>446</v>
      </c>
      <c r="E3731" s="92" t="s">
        <v>446</v>
      </c>
      <c r="F3731" t="s">
        <v>446</v>
      </c>
      <c r="G3731" t="s">
        <v>446</v>
      </c>
      <c r="H3731" t="s">
        <v>4930</v>
      </c>
      <c r="I3731">
        <v>0</v>
      </c>
      <c r="J3731" t="s">
        <v>97</v>
      </c>
      <c r="K3731">
        <v>0</v>
      </c>
      <c r="L3731">
        <v>0</v>
      </c>
      <c r="M3731" t="s">
        <v>11</v>
      </c>
    </row>
    <row r="3732" spans="1:13">
      <c r="A3732" s="93">
        <v>445300</v>
      </c>
      <c r="B3732" t="s">
        <v>4242</v>
      </c>
      <c r="C3732" t="s">
        <v>4924</v>
      </c>
      <c r="D3732" s="92">
        <v>0.18</v>
      </c>
      <c r="E3732" s="92">
        <v>0.21</v>
      </c>
      <c r="F3732" t="s">
        <v>446</v>
      </c>
      <c r="G3732" t="s">
        <v>446</v>
      </c>
      <c r="H3732" t="s">
        <v>4932</v>
      </c>
      <c r="I3732">
        <v>0</v>
      </c>
      <c r="J3732" t="s">
        <v>97</v>
      </c>
      <c r="K3732">
        <v>0</v>
      </c>
      <c r="L3732">
        <v>0</v>
      </c>
      <c r="M3732" t="s">
        <v>11</v>
      </c>
    </row>
    <row r="3733" spans="1:13">
      <c r="A3733" s="93">
        <v>445364</v>
      </c>
      <c r="B3733" t="s">
        <v>4243</v>
      </c>
      <c r="C3733" t="s">
        <v>4919</v>
      </c>
      <c r="D3733" s="92" t="s">
        <v>446</v>
      </c>
      <c r="E3733" s="92" t="s">
        <v>446</v>
      </c>
      <c r="F3733" t="s">
        <v>446</v>
      </c>
      <c r="G3733" t="s">
        <v>446</v>
      </c>
      <c r="H3733" t="s">
        <v>4930</v>
      </c>
      <c r="I3733">
        <v>0</v>
      </c>
      <c r="J3733" t="s">
        <v>97</v>
      </c>
      <c r="K3733">
        <v>0</v>
      </c>
      <c r="L3733">
        <v>0</v>
      </c>
      <c r="M3733" t="s">
        <v>11</v>
      </c>
    </row>
    <row r="3734" spans="1:13">
      <c r="A3734" s="93">
        <v>445461</v>
      </c>
      <c r="B3734" t="s">
        <v>4244</v>
      </c>
      <c r="C3734" t="s">
        <v>4919</v>
      </c>
      <c r="D3734" s="92" t="s">
        <v>446</v>
      </c>
      <c r="E3734" s="92" t="s">
        <v>446</v>
      </c>
      <c r="F3734" t="s">
        <v>446</v>
      </c>
      <c r="G3734" t="s">
        <v>446</v>
      </c>
      <c r="H3734" t="s">
        <v>4930</v>
      </c>
      <c r="I3734">
        <v>0</v>
      </c>
      <c r="J3734" t="s">
        <v>97</v>
      </c>
      <c r="K3734">
        <v>0</v>
      </c>
      <c r="L3734">
        <v>0</v>
      </c>
      <c r="M3734" t="s">
        <v>11</v>
      </c>
    </row>
    <row r="3735" spans="1:13">
      <c r="A3735" s="93">
        <v>445692</v>
      </c>
      <c r="B3735" t="s">
        <v>4245</v>
      </c>
      <c r="C3735" t="s">
        <v>4924</v>
      </c>
      <c r="D3735" s="92">
        <v>0.58</v>
      </c>
      <c r="E3735" s="92">
        <v>0.61</v>
      </c>
      <c r="F3735" t="s">
        <v>446</v>
      </c>
      <c r="G3735" t="s">
        <v>446</v>
      </c>
      <c r="H3735" t="s">
        <v>4930</v>
      </c>
      <c r="I3735">
        <v>0</v>
      </c>
      <c r="J3735" t="s">
        <v>97</v>
      </c>
      <c r="K3735">
        <v>0</v>
      </c>
      <c r="L3735">
        <v>0</v>
      </c>
      <c r="M3735" t="s">
        <v>11</v>
      </c>
    </row>
    <row r="3736" spans="1:13">
      <c r="A3736" s="93">
        <v>445708</v>
      </c>
      <c r="B3736" t="s">
        <v>4246</v>
      </c>
      <c r="C3736" t="s">
        <v>4924</v>
      </c>
      <c r="D3736" s="92">
        <v>0.44</v>
      </c>
      <c r="E3736" s="92">
        <v>0.36</v>
      </c>
      <c r="F3736" t="s">
        <v>446</v>
      </c>
      <c r="G3736" t="s">
        <v>446</v>
      </c>
      <c r="H3736" t="s">
        <v>4930</v>
      </c>
      <c r="I3736">
        <v>0</v>
      </c>
      <c r="J3736" t="s">
        <v>97</v>
      </c>
      <c r="K3736">
        <v>0</v>
      </c>
      <c r="L3736">
        <v>0</v>
      </c>
      <c r="M3736" t="s">
        <v>11</v>
      </c>
    </row>
    <row r="3737" spans="1:13">
      <c r="A3737" s="93">
        <v>445735</v>
      </c>
      <c r="B3737" t="s">
        <v>4247</v>
      </c>
      <c r="C3737" t="s">
        <v>4924</v>
      </c>
      <c r="D3737" s="92" t="s">
        <v>446</v>
      </c>
      <c r="E3737" s="92" t="s">
        <v>446</v>
      </c>
      <c r="F3737" t="s">
        <v>446</v>
      </c>
      <c r="G3737" t="s">
        <v>446</v>
      </c>
      <c r="H3737" t="s">
        <v>4932</v>
      </c>
      <c r="I3737">
        <v>0</v>
      </c>
      <c r="J3737" t="s">
        <v>97</v>
      </c>
      <c r="K3737">
        <v>0</v>
      </c>
      <c r="L3737">
        <v>0</v>
      </c>
      <c r="M3737" t="s">
        <v>11</v>
      </c>
    </row>
    <row r="3738" spans="1:13">
      <c r="A3738" s="93">
        <v>445744</v>
      </c>
      <c r="B3738" t="s">
        <v>4248</v>
      </c>
      <c r="C3738" t="s">
        <v>4919</v>
      </c>
      <c r="D3738" s="92" t="s">
        <v>446</v>
      </c>
      <c r="E3738" s="92" t="s">
        <v>446</v>
      </c>
      <c r="F3738" t="s">
        <v>446</v>
      </c>
      <c r="G3738" t="s">
        <v>446</v>
      </c>
      <c r="H3738" t="s">
        <v>4930</v>
      </c>
      <c r="I3738">
        <v>0</v>
      </c>
      <c r="J3738" t="s">
        <v>97</v>
      </c>
      <c r="K3738">
        <v>0</v>
      </c>
      <c r="L3738">
        <v>0</v>
      </c>
      <c r="M3738" t="s">
        <v>11</v>
      </c>
    </row>
    <row r="3739" spans="1:13">
      <c r="A3739" s="93">
        <v>445762</v>
      </c>
      <c r="B3739" t="s">
        <v>4249</v>
      </c>
      <c r="C3739" t="s">
        <v>4919</v>
      </c>
      <c r="D3739" s="92" t="s">
        <v>446</v>
      </c>
      <c r="E3739" s="92" t="s">
        <v>446</v>
      </c>
      <c r="F3739" t="s">
        <v>446</v>
      </c>
      <c r="G3739" t="s">
        <v>446</v>
      </c>
      <c r="H3739" t="s">
        <v>4930</v>
      </c>
      <c r="I3739">
        <v>0</v>
      </c>
      <c r="J3739" t="s">
        <v>97</v>
      </c>
      <c r="K3739">
        <v>0</v>
      </c>
      <c r="L3739">
        <v>0</v>
      </c>
      <c r="M3739" t="s">
        <v>11</v>
      </c>
    </row>
    <row r="3740" spans="1:13">
      <c r="A3740" s="93">
        <v>445799</v>
      </c>
      <c r="B3740" t="s">
        <v>4250</v>
      </c>
      <c r="C3740" t="s">
        <v>4919</v>
      </c>
      <c r="D3740" s="92">
        <v>0.64</v>
      </c>
      <c r="E3740" s="92">
        <v>0.49</v>
      </c>
      <c r="F3740" t="s">
        <v>446</v>
      </c>
      <c r="G3740" t="s">
        <v>446</v>
      </c>
      <c r="H3740" t="s">
        <v>4930</v>
      </c>
      <c r="I3740">
        <v>0</v>
      </c>
      <c r="J3740" t="s">
        <v>97</v>
      </c>
      <c r="K3740">
        <v>0</v>
      </c>
      <c r="L3740">
        <v>0</v>
      </c>
      <c r="M3740" t="s">
        <v>11</v>
      </c>
    </row>
    <row r="3741" spans="1:13">
      <c r="A3741" s="93">
        <v>445869</v>
      </c>
      <c r="B3741" t="s">
        <v>4251</v>
      </c>
      <c r="C3741" t="s">
        <v>4924</v>
      </c>
      <c r="D3741" s="92" t="s">
        <v>446</v>
      </c>
      <c r="E3741" s="92" t="s">
        <v>446</v>
      </c>
      <c r="F3741" t="s">
        <v>446</v>
      </c>
      <c r="G3741" t="s">
        <v>446</v>
      </c>
      <c r="H3741" t="s">
        <v>4932</v>
      </c>
      <c r="I3741">
        <v>0</v>
      </c>
      <c r="J3741" t="s">
        <v>97</v>
      </c>
      <c r="K3741">
        <v>0</v>
      </c>
      <c r="L3741">
        <v>0</v>
      </c>
      <c r="M3741" t="s">
        <v>11</v>
      </c>
    </row>
    <row r="3742" spans="1:13">
      <c r="A3742" s="93">
        <v>445948</v>
      </c>
      <c r="B3742" t="s">
        <v>4252</v>
      </c>
      <c r="C3742" t="s">
        <v>4919</v>
      </c>
      <c r="D3742" s="92" t="s">
        <v>446</v>
      </c>
      <c r="E3742" s="92" t="s">
        <v>446</v>
      </c>
      <c r="F3742" t="s">
        <v>446</v>
      </c>
      <c r="G3742" t="s">
        <v>446</v>
      </c>
      <c r="H3742" t="s">
        <v>4930</v>
      </c>
      <c r="I3742">
        <v>0</v>
      </c>
      <c r="J3742" t="s">
        <v>97</v>
      </c>
      <c r="K3742">
        <v>0</v>
      </c>
      <c r="L3742">
        <v>0</v>
      </c>
      <c r="M3742" t="s">
        <v>11</v>
      </c>
    </row>
    <row r="3743" spans="1:13">
      <c r="A3743" s="93">
        <v>446002</v>
      </c>
      <c r="B3743" t="s">
        <v>4253</v>
      </c>
      <c r="C3743" t="s">
        <v>4924</v>
      </c>
      <c r="D3743" s="92" t="s">
        <v>446</v>
      </c>
      <c r="E3743" s="92" t="s">
        <v>446</v>
      </c>
      <c r="F3743" t="s">
        <v>446</v>
      </c>
      <c r="G3743" t="s">
        <v>446</v>
      </c>
      <c r="H3743" t="s">
        <v>4932</v>
      </c>
      <c r="I3743">
        <v>0</v>
      </c>
      <c r="J3743" t="s">
        <v>97</v>
      </c>
      <c r="K3743">
        <v>0</v>
      </c>
      <c r="L3743">
        <v>0</v>
      </c>
      <c r="M3743" t="s">
        <v>11</v>
      </c>
    </row>
    <row r="3744" spans="1:13">
      <c r="A3744" s="93">
        <v>446039</v>
      </c>
      <c r="B3744" t="s">
        <v>4254</v>
      </c>
      <c r="C3744" t="s">
        <v>4924</v>
      </c>
      <c r="D3744" s="92" t="s">
        <v>446</v>
      </c>
      <c r="E3744" s="92" t="s">
        <v>446</v>
      </c>
      <c r="F3744" t="s">
        <v>446</v>
      </c>
      <c r="G3744" t="s">
        <v>446</v>
      </c>
      <c r="H3744" t="s">
        <v>4932</v>
      </c>
      <c r="I3744">
        <v>0</v>
      </c>
      <c r="J3744" t="s">
        <v>97</v>
      </c>
      <c r="K3744">
        <v>0</v>
      </c>
      <c r="L3744">
        <v>0</v>
      </c>
      <c r="M3744" t="s">
        <v>11</v>
      </c>
    </row>
    <row r="3745" spans="1:13">
      <c r="A3745" s="93">
        <v>446048</v>
      </c>
      <c r="B3745" t="s">
        <v>4255</v>
      </c>
      <c r="C3745" t="s">
        <v>4923</v>
      </c>
      <c r="D3745" s="92">
        <v>0.57</v>
      </c>
      <c r="E3745" s="92">
        <v>0.49</v>
      </c>
      <c r="F3745" t="s">
        <v>446</v>
      </c>
      <c r="G3745" t="s">
        <v>446</v>
      </c>
      <c r="H3745" t="s">
        <v>4930</v>
      </c>
      <c r="I3745">
        <v>0</v>
      </c>
      <c r="J3745" t="s">
        <v>97</v>
      </c>
      <c r="K3745">
        <v>0</v>
      </c>
      <c r="L3745">
        <v>0</v>
      </c>
      <c r="M3745" t="s">
        <v>11</v>
      </c>
    </row>
    <row r="3746" spans="1:13">
      <c r="A3746" s="93">
        <v>446109</v>
      </c>
      <c r="B3746" t="s">
        <v>4256</v>
      </c>
      <c r="C3746" t="s">
        <v>4923</v>
      </c>
      <c r="D3746" s="92" t="s">
        <v>446</v>
      </c>
      <c r="E3746" s="92" t="s">
        <v>446</v>
      </c>
      <c r="F3746" t="s">
        <v>446</v>
      </c>
      <c r="G3746" t="s">
        <v>446</v>
      </c>
      <c r="H3746" t="s">
        <v>4930</v>
      </c>
      <c r="I3746">
        <v>0</v>
      </c>
      <c r="J3746" t="s">
        <v>97</v>
      </c>
      <c r="K3746">
        <v>0</v>
      </c>
      <c r="L3746">
        <v>0</v>
      </c>
      <c r="M3746" t="s">
        <v>11</v>
      </c>
    </row>
    <row r="3747" spans="1:13">
      <c r="A3747" s="93">
        <v>446118</v>
      </c>
      <c r="B3747" t="s">
        <v>4257</v>
      </c>
      <c r="C3747" t="s">
        <v>4919</v>
      </c>
      <c r="D3747" s="92" t="s">
        <v>446</v>
      </c>
      <c r="E3747" s="92" t="s">
        <v>446</v>
      </c>
      <c r="F3747" t="s">
        <v>446</v>
      </c>
      <c r="G3747" t="s">
        <v>446</v>
      </c>
      <c r="H3747" t="s">
        <v>4930</v>
      </c>
      <c r="I3747">
        <v>0</v>
      </c>
      <c r="J3747" t="s">
        <v>97</v>
      </c>
      <c r="K3747">
        <v>0</v>
      </c>
      <c r="L3747">
        <v>0</v>
      </c>
      <c r="M3747" t="s">
        <v>11</v>
      </c>
    </row>
    <row r="3748" spans="1:13">
      <c r="A3748" s="93">
        <v>446127</v>
      </c>
      <c r="B3748" t="s">
        <v>4258</v>
      </c>
      <c r="C3748" t="s">
        <v>4919</v>
      </c>
      <c r="D3748" s="92">
        <v>0.72</v>
      </c>
      <c r="E3748" s="92">
        <v>0.61</v>
      </c>
      <c r="F3748" t="s">
        <v>446</v>
      </c>
      <c r="G3748" t="s">
        <v>446</v>
      </c>
      <c r="H3748" t="s">
        <v>4930</v>
      </c>
      <c r="I3748">
        <v>0</v>
      </c>
      <c r="J3748" t="s">
        <v>97</v>
      </c>
      <c r="K3748">
        <v>0</v>
      </c>
      <c r="L3748">
        <v>0</v>
      </c>
      <c r="M3748" t="s">
        <v>11</v>
      </c>
    </row>
    <row r="3749" spans="1:13">
      <c r="A3749" s="93">
        <v>446136</v>
      </c>
      <c r="B3749" t="s">
        <v>4259</v>
      </c>
      <c r="C3749" t="s">
        <v>4919</v>
      </c>
      <c r="D3749" s="92">
        <v>0.72</v>
      </c>
      <c r="E3749" s="92">
        <v>0.53</v>
      </c>
      <c r="F3749" t="s">
        <v>446</v>
      </c>
      <c r="G3749" t="s">
        <v>446</v>
      </c>
      <c r="H3749" t="s">
        <v>4932</v>
      </c>
      <c r="I3749">
        <v>0</v>
      </c>
      <c r="J3749" t="s">
        <v>97</v>
      </c>
      <c r="K3749">
        <v>0</v>
      </c>
      <c r="L3749">
        <v>0</v>
      </c>
      <c r="M3749" t="s">
        <v>11</v>
      </c>
    </row>
    <row r="3750" spans="1:13">
      <c r="A3750" s="93">
        <v>446163</v>
      </c>
      <c r="B3750" t="s">
        <v>4260</v>
      </c>
      <c r="C3750" t="s">
        <v>4919</v>
      </c>
      <c r="D3750" s="92">
        <v>0.78</v>
      </c>
      <c r="E3750" s="92">
        <v>0.78</v>
      </c>
      <c r="F3750" t="s">
        <v>446</v>
      </c>
      <c r="G3750" t="s">
        <v>446</v>
      </c>
      <c r="H3750" t="s">
        <v>4931</v>
      </c>
      <c r="I3750">
        <v>0</v>
      </c>
      <c r="J3750" t="s">
        <v>97</v>
      </c>
      <c r="K3750">
        <v>0</v>
      </c>
      <c r="L3750">
        <v>0</v>
      </c>
      <c r="M3750" t="s">
        <v>11</v>
      </c>
    </row>
    <row r="3751" spans="1:13">
      <c r="A3751" s="93">
        <v>446224</v>
      </c>
      <c r="B3751" t="s">
        <v>4261</v>
      </c>
      <c r="C3751" t="s">
        <v>4924</v>
      </c>
      <c r="D3751" s="92" t="s">
        <v>446</v>
      </c>
      <c r="E3751" s="92" t="s">
        <v>446</v>
      </c>
      <c r="F3751" t="s">
        <v>446</v>
      </c>
      <c r="G3751" t="s">
        <v>446</v>
      </c>
      <c r="H3751" t="s">
        <v>4932</v>
      </c>
      <c r="I3751">
        <v>0</v>
      </c>
      <c r="J3751" t="s">
        <v>97</v>
      </c>
      <c r="K3751">
        <v>0</v>
      </c>
      <c r="L3751">
        <v>0</v>
      </c>
      <c r="M3751" t="s">
        <v>11</v>
      </c>
    </row>
    <row r="3752" spans="1:13">
      <c r="A3752" s="93">
        <v>446233</v>
      </c>
      <c r="B3752" t="s">
        <v>4262</v>
      </c>
      <c r="C3752" t="s">
        <v>4924</v>
      </c>
      <c r="D3752" s="92">
        <v>0.25</v>
      </c>
      <c r="E3752" s="92">
        <v>0.2</v>
      </c>
      <c r="F3752" t="s">
        <v>446</v>
      </c>
      <c r="G3752" t="s">
        <v>446</v>
      </c>
      <c r="H3752" t="s">
        <v>4930</v>
      </c>
      <c r="I3752">
        <v>0</v>
      </c>
      <c r="J3752" t="s">
        <v>97</v>
      </c>
      <c r="K3752">
        <v>0</v>
      </c>
      <c r="L3752">
        <v>0</v>
      </c>
      <c r="M3752" t="s">
        <v>11</v>
      </c>
    </row>
    <row r="3753" spans="1:13">
      <c r="A3753" s="93">
        <v>446303</v>
      </c>
      <c r="B3753" t="s">
        <v>4263</v>
      </c>
      <c r="C3753" t="s">
        <v>4925</v>
      </c>
      <c r="D3753" s="92" t="s">
        <v>446</v>
      </c>
      <c r="E3753" s="92" t="s">
        <v>446</v>
      </c>
      <c r="F3753" t="s">
        <v>446</v>
      </c>
      <c r="G3753" t="s">
        <v>446</v>
      </c>
      <c r="H3753" t="s">
        <v>4930</v>
      </c>
      <c r="I3753">
        <v>0</v>
      </c>
      <c r="J3753" t="s">
        <v>97</v>
      </c>
      <c r="K3753">
        <v>0</v>
      </c>
      <c r="L3753">
        <v>0</v>
      </c>
      <c r="M3753" t="s">
        <v>11</v>
      </c>
    </row>
    <row r="3754" spans="1:13">
      <c r="A3754" s="93">
        <v>446385</v>
      </c>
      <c r="B3754" t="s">
        <v>4264</v>
      </c>
      <c r="C3754" t="s">
        <v>4924</v>
      </c>
      <c r="D3754" s="92">
        <v>0.54</v>
      </c>
      <c r="E3754" s="92">
        <v>0</v>
      </c>
      <c r="F3754" t="s">
        <v>446</v>
      </c>
      <c r="G3754" t="s">
        <v>446</v>
      </c>
      <c r="H3754" t="s">
        <v>4930</v>
      </c>
      <c r="I3754">
        <v>0</v>
      </c>
      <c r="J3754" t="s">
        <v>97</v>
      </c>
      <c r="K3754">
        <v>0</v>
      </c>
      <c r="L3754">
        <v>0</v>
      </c>
      <c r="M3754" t="s">
        <v>11</v>
      </c>
    </row>
    <row r="3755" spans="1:13">
      <c r="A3755" s="93">
        <v>446394</v>
      </c>
      <c r="B3755" t="s">
        <v>4265</v>
      </c>
      <c r="C3755" t="s">
        <v>4923</v>
      </c>
      <c r="D3755" s="92">
        <v>1</v>
      </c>
      <c r="E3755" s="92">
        <v>1</v>
      </c>
      <c r="F3755" t="s">
        <v>446</v>
      </c>
      <c r="G3755" t="s">
        <v>446</v>
      </c>
      <c r="H3755" t="s">
        <v>4932</v>
      </c>
      <c r="I3755">
        <v>0</v>
      </c>
      <c r="J3755" t="s">
        <v>97</v>
      </c>
      <c r="K3755">
        <v>0</v>
      </c>
      <c r="L3755">
        <v>0</v>
      </c>
      <c r="M3755" t="s">
        <v>11</v>
      </c>
    </row>
    <row r="3756" spans="1:13">
      <c r="A3756" s="93">
        <v>446525</v>
      </c>
      <c r="B3756" t="s">
        <v>4266</v>
      </c>
      <c r="C3756" t="s">
        <v>4923</v>
      </c>
      <c r="D3756" s="92" t="s">
        <v>446</v>
      </c>
      <c r="E3756" s="92" t="s">
        <v>446</v>
      </c>
      <c r="F3756" t="s">
        <v>446</v>
      </c>
      <c r="G3756" t="s">
        <v>446</v>
      </c>
      <c r="H3756" t="s">
        <v>4931</v>
      </c>
      <c r="I3756">
        <v>0</v>
      </c>
      <c r="J3756" t="s">
        <v>97</v>
      </c>
      <c r="K3756">
        <v>0</v>
      </c>
      <c r="L3756">
        <v>0</v>
      </c>
      <c r="M3756" t="s">
        <v>11</v>
      </c>
    </row>
    <row r="3757" spans="1:13">
      <c r="A3757" s="93">
        <v>446552</v>
      </c>
      <c r="B3757" t="s">
        <v>4267</v>
      </c>
      <c r="C3757" t="s">
        <v>4919</v>
      </c>
      <c r="D3757" s="92" t="s">
        <v>446</v>
      </c>
      <c r="E3757" s="92" t="s">
        <v>446</v>
      </c>
      <c r="F3757" t="s">
        <v>446</v>
      </c>
      <c r="G3757" t="s">
        <v>446</v>
      </c>
      <c r="H3757" t="s">
        <v>4930</v>
      </c>
      <c r="I3757">
        <v>0</v>
      </c>
      <c r="J3757" t="s">
        <v>97</v>
      </c>
      <c r="K3757">
        <v>0</v>
      </c>
      <c r="L3757">
        <v>0</v>
      </c>
      <c r="M3757" t="s">
        <v>11</v>
      </c>
    </row>
    <row r="3758" spans="1:13">
      <c r="A3758" s="93">
        <v>446561</v>
      </c>
      <c r="B3758" t="s">
        <v>4268</v>
      </c>
      <c r="C3758" t="s">
        <v>4924</v>
      </c>
      <c r="D3758" s="92">
        <v>0.96</v>
      </c>
      <c r="E3758" s="92">
        <v>1</v>
      </c>
      <c r="F3758" t="s">
        <v>446</v>
      </c>
      <c r="G3758" t="s">
        <v>446</v>
      </c>
      <c r="H3758" t="s">
        <v>4930</v>
      </c>
      <c r="I3758">
        <v>0</v>
      </c>
      <c r="J3758" t="s">
        <v>97</v>
      </c>
      <c r="K3758">
        <v>0</v>
      </c>
      <c r="L3758">
        <v>0</v>
      </c>
      <c r="M3758" t="s">
        <v>11</v>
      </c>
    </row>
    <row r="3759" spans="1:13">
      <c r="A3759" s="93">
        <v>446589</v>
      </c>
      <c r="B3759" t="s">
        <v>4269</v>
      </c>
      <c r="C3759" t="s">
        <v>4919</v>
      </c>
      <c r="D3759" s="92" t="s">
        <v>446</v>
      </c>
      <c r="E3759" s="92" t="s">
        <v>446</v>
      </c>
      <c r="F3759" t="s">
        <v>446</v>
      </c>
      <c r="G3759" t="s">
        <v>446</v>
      </c>
      <c r="H3759" t="s">
        <v>4930</v>
      </c>
      <c r="I3759">
        <v>0</v>
      </c>
      <c r="J3759" t="s">
        <v>97</v>
      </c>
      <c r="K3759">
        <v>0</v>
      </c>
      <c r="L3759">
        <v>0</v>
      </c>
      <c r="M3759" t="s">
        <v>11</v>
      </c>
    </row>
    <row r="3760" spans="1:13">
      <c r="A3760" s="93">
        <v>446598</v>
      </c>
      <c r="B3760" t="s">
        <v>4270</v>
      </c>
      <c r="C3760" t="s">
        <v>4919</v>
      </c>
      <c r="D3760" s="92" t="s">
        <v>446</v>
      </c>
      <c r="E3760" s="92" t="s">
        <v>446</v>
      </c>
      <c r="F3760" t="s">
        <v>446</v>
      </c>
      <c r="G3760" t="s">
        <v>446</v>
      </c>
      <c r="H3760" t="s">
        <v>4930</v>
      </c>
      <c r="I3760">
        <v>0</v>
      </c>
      <c r="J3760" t="s">
        <v>97</v>
      </c>
      <c r="K3760">
        <v>0</v>
      </c>
      <c r="L3760">
        <v>0</v>
      </c>
      <c r="M3760" t="s">
        <v>11</v>
      </c>
    </row>
    <row r="3761" spans="1:13">
      <c r="A3761" s="93">
        <v>446604</v>
      </c>
      <c r="B3761" t="s">
        <v>4271</v>
      </c>
      <c r="C3761" t="s">
        <v>4923</v>
      </c>
      <c r="D3761" s="92">
        <v>0.73</v>
      </c>
      <c r="E3761" s="92">
        <v>0</v>
      </c>
      <c r="F3761" t="s">
        <v>446</v>
      </c>
      <c r="G3761" t="s">
        <v>446</v>
      </c>
      <c r="H3761" t="s">
        <v>4931</v>
      </c>
      <c r="I3761">
        <v>0</v>
      </c>
      <c r="J3761" t="s">
        <v>97</v>
      </c>
      <c r="K3761">
        <v>0</v>
      </c>
      <c r="L3761">
        <v>0</v>
      </c>
      <c r="M3761" t="s">
        <v>11</v>
      </c>
    </row>
    <row r="3762" spans="1:13">
      <c r="A3762" s="93">
        <v>446613</v>
      </c>
      <c r="B3762" t="s">
        <v>4272</v>
      </c>
      <c r="C3762" t="s">
        <v>4923</v>
      </c>
      <c r="D3762" s="92" t="s">
        <v>446</v>
      </c>
      <c r="E3762" s="92" t="s">
        <v>446</v>
      </c>
      <c r="F3762" t="s">
        <v>446</v>
      </c>
      <c r="G3762" t="s">
        <v>446</v>
      </c>
      <c r="H3762" t="s">
        <v>4932</v>
      </c>
      <c r="I3762">
        <v>0</v>
      </c>
      <c r="J3762" t="s">
        <v>97</v>
      </c>
      <c r="K3762">
        <v>0</v>
      </c>
      <c r="L3762">
        <v>0</v>
      </c>
      <c r="M3762" t="s">
        <v>11</v>
      </c>
    </row>
    <row r="3763" spans="1:13">
      <c r="A3763" s="93">
        <v>446640</v>
      </c>
      <c r="B3763" t="s">
        <v>4273</v>
      </c>
      <c r="C3763" t="s">
        <v>4923</v>
      </c>
      <c r="D3763" s="92">
        <v>0.29</v>
      </c>
      <c r="E3763" s="92">
        <v>0.2</v>
      </c>
      <c r="F3763" t="s">
        <v>446</v>
      </c>
      <c r="G3763" t="s">
        <v>446</v>
      </c>
      <c r="H3763" t="s">
        <v>4931</v>
      </c>
      <c r="I3763">
        <v>0</v>
      </c>
      <c r="J3763" t="s">
        <v>97</v>
      </c>
      <c r="K3763">
        <v>0</v>
      </c>
      <c r="L3763">
        <v>0</v>
      </c>
      <c r="M3763" t="s">
        <v>11</v>
      </c>
    </row>
    <row r="3764" spans="1:13">
      <c r="A3764" s="93">
        <v>446774</v>
      </c>
      <c r="B3764" t="s">
        <v>4274</v>
      </c>
      <c r="C3764" t="s">
        <v>4919</v>
      </c>
      <c r="D3764" s="92">
        <v>0.41</v>
      </c>
      <c r="E3764" s="92">
        <v>0.26</v>
      </c>
      <c r="F3764" t="s">
        <v>446</v>
      </c>
      <c r="G3764" t="s">
        <v>446</v>
      </c>
      <c r="H3764" t="s">
        <v>4932</v>
      </c>
      <c r="I3764">
        <v>0</v>
      </c>
      <c r="J3764" t="s">
        <v>97</v>
      </c>
      <c r="K3764">
        <v>0</v>
      </c>
      <c r="L3764">
        <v>0</v>
      </c>
      <c r="M3764" t="s">
        <v>11</v>
      </c>
    </row>
    <row r="3765" spans="1:13">
      <c r="A3765" s="93">
        <v>447014</v>
      </c>
      <c r="B3765" t="s">
        <v>4275</v>
      </c>
      <c r="C3765" t="s">
        <v>4923</v>
      </c>
      <c r="D3765" s="92" t="s">
        <v>446</v>
      </c>
      <c r="E3765" s="92" t="s">
        <v>446</v>
      </c>
      <c r="F3765" t="s">
        <v>446</v>
      </c>
      <c r="G3765" t="s">
        <v>446</v>
      </c>
      <c r="H3765" t="s">
        <v>4930</v>
      </c>
      <c r="I3765">
        <v>0</v>
      </c>
      <c r="J3765" t="s">
        <v>97</v>
      </c>
      <c r="K3765">
        <v>0</v>
      </c>
      <c r="L3765">
        <v>0</v>
      </c>
      <c r="M3765" t="s">
        <v>11</v>
      </c>
    </row>
    <row r="3766" spans="1:13">
      <c r="A3766" s="93">
        <v>447050</v>
      </c>
      <c r="B3766" t="s">
        <v>4276</v>
      </c>
      <c r="C3766" t="s">
        <v>4923</v>
      </c>
      <c r="D3766" s="92" t="s">
        <v>446</v>
      </c>
      <c r="E3766" s="92" t="s">
        <v>446</v>
      </c>
      <c r="F3766" t="s">
        <v>446</v>
      </c>
      <c r="G3766" t="s">
        <v>446</v>
      </c>
      <c r="H3766" t="s">
        <v>4931</v>
      </c>
      <c r="I3766">
        <v>0</v>
      </c>
      <c r="J3766" t="s">
        <v>97</v>
      </c>
      <c r="K3766">
        <v>0</v>
      </c>
      <c r="L3766">
        <v>0</v>
      </c>
      <c r="M3766" t="s">
        <v>11</v>
      </c>
    </row>
    <row r="3767" spans="1:13">
      <c r="A3767" s="93">
        <v>447263</v>
      </c>
      <c r="B3767" t="s">
        <v>4277</v>
      </c>
      <c r="C3767" t="s">
        <v>4924</v>
      </c>
      <c r="D3767" s="92">
        <v>1</v>
      </c>
      <c r="E3767" s="92">
        <v>1</v>
      </c>
      <c r="F3767" t="s">
        <v>446</v>
      </c>
      <c r="G3767" t="s">
        <v>446</v>
      </c>
      <c r="H3767" t="s">
        <v>4930</v>
      </c>
      <c r="I3767">
        <v>0</v>
      </c>
      <c r="J3767" t="s">
        <v>97</v>
      </c>
      <c r="K3767">
        <v>0</v>
      </c>
      <c r="L3767">
        <v>0</v>
      </c>
      <c r="M3767" t="s">
        <v>11</v>
      </c>
    </row>
    <row r="3768" spans="1:13">
      <c r="A3768" s="93">
        <v>447421</v>
      </c>
      <c r="B3768" t="s">
        <v>4278</v>
      </c>
      <c r="C3768" t="s">
        <v>4923</v>
      </c>
      <c r="D3768" s="92">
        <v>0.68</v>
      </c>
      <c r="E3768" s="92">
        <v>0.79</v>
      </c>
      <c r="F3768" t="s">
        <v>446</v>
      </c>
      <c r="G3768" t="s">
        <v>446</v>
      </c>
      <c r="H3768" t="s">
        <v>4930</v>
      </c>
      <c r="I3768">
        <v>0</v>
      </c>
      <c r="J3768" t="s">
        <v>97</v>
      </c>
      <c r="K3768">
        <v>0</v>
      </c>
      <c r="L3768">
        <v>0</v>
      </c>
      <c r="M3768" t="s">
        <v>11</v>
      </c>
    </row>
    <row r="3769" spans="1:13">
      <c r="A3769" s="93">
        <v>447458</v>
      </c>
      <c r="B3769" t="s">
        <v>4279</v>
      </c>
      <c r="C3769" t="s">
        <v>4923</v>
      </c>
      <c r="D3769" s="92">
        <v>0.48</v>
      </c>
      <c r="E3769" s="92">
        <v>0.29</v>
      </c>
      <c r="F3769" t="s">
        <v>446</v>
      </c>
      <c r="G3769" t="s">
        <v>446</v>
      </c>
      <c r="H3769" t="s">
        <v>4930</v>
      </c>
      <c r="I3769">
        <v>0</v>
      </c>
      <c r="J3769" t="s">
        <v>97</v>
      </c>
      <c r="K3769">
        <v>0</v>
      </c>
      <c r="L3769">
        <v>0</v>
      </c>
      <c r="M3769" t="s">
        <v>11</v>
      </c>
    </row>
    <row r="3770" spans="1:13">
      <c r="A3770" s="93">
        <v>447582</v>
      </c>
      <c r="B3770" t="s">
        <v>4280</v>
      </c>
      <c r="C3770" t="s">
        <v>4919</v>
      </c>
      <c r="D3770" s="92">
        <v>0.21</v>
      </c>
      <c r="E3770" s="92">
        <v>0.09</v>
      </c>
      <c r="F3770" t="s">
        <v>446</v>
      </c>
      <c r="G3770" t="s">
        <v>446</v>
      </c>
      <c r="H3770" t="s">
        <v>4932</v>
      </c>
      <c r="I3770">
        <v>0</v>
      </c>
      <c r="J3770" t="s">
        <v>97</v>
      </c>
      <c r="K3770">
        <v>0</v>
      </c>
      <c r="L3770">
        <v>0</v>
      </c>
      <c r="M3770" t="s">
        <v>11</v>
      </c>
    </row>
    <row r="3771" spans="1:13">
      <c r="A3771" s="93">
        <v>447591</v>
      </c>
      <c r="B3771" t="s">
        <v>4281</v>
      </c>
      <c r="C3771" t="s">
        <v>4919</v>
      </c>
      <c r="D3771" s="92" t="s">
        <v>446</v>
      </c>
      <c r="E3771" s="92" t="s">
        <v>446</v>
      </c>
      <c r="F3771" t="s">
        <v>446</v>
      </c>
      <c r="G3771" t="s">
        <v>446</v>
      </c>
      <c r="H3771" t="s">
        <v>4930</v>
      </c>
      <c r="I3771">
        <v>0</v>
      </c>
      <c r="J3771" t="s">
        <v>97</v>
      </c>
      <c r="K3771">
        <v>0</v>
      </c>
      <c r="L3771">
        <v>0</v>
      </c>
      <c r="M3771" t="s">
        <v>11</v>
      </c>
    </row>
    <row r="3772" spans="1:13">
      <c r="A3772" s="93">
        <v>447689</v>
      </c>
      <c r="B3772" t="s">
        <v>4282</v>
      </c>
      <c r="C3772" t="s">
        <v>4923</v>
      </c>
      <c r="D3772" s="92">
        <v>0.21</v>
      </c>
      <c r="E3772" s="92">
        <v>0.18</v>
      </c>
      <c r="F3772">
        <v>940</v>
      </c>
      <c r="G3772">
        <v>1055</v>
      </c>
      <c r="H3772" t="s">
        <v>4932</v>
      </c>
      <c r="I3772">
        <v>0</v>
      </c>
      <c r="J3772" t="s">
        <v>97</v>
      </c>
      <c r="K3772">
        <v>0</v>
      </c>
      <c r="L3772">
        <v>0</v>
      </c>
      <c r="M3772" t="s">
        <v>11</v>
      </c>
    </row>
    <row r="3773" spans="1:13">
      <c r="A3773" s="93">
        <v>447698</v>
      </c>
      <c r="B3773" t="s">
        <v>4283</v>
      </c>
      <c r="C3773" t="s">
        <v>4924</v>
      </c>
      <c r="D3773" s="92" t="s">
        <v>446</v>
      </c>
      <c r="E3773" s="92" t="s">
        <v>446</v>
      </c>
      <c r="F3773" t="s">
        <v>446</v>
      </c>
      <c r="G3773" t="s">
        <v>446</v>
      </c>
      <c r="H3773" t="s">
        <v>4932</v>
      </c>
      <c r="I3773">
        <v>0</v>
      </c>
      <c r="J3773" t="s">
        <v>97</v>
      </c>
      <c r="K3773">
        <v>0</v>
      </c>
      <c r="L3773">
        <v>0</v>
      </c>
      <c r="M3773" t="s">
        <v>11</v>
      </c>
    </row>
    <row r="3774" spans="1:13">
      <c r="A3774" s="93">
        <v>447713</v>
      </c>
      <c r="B3774" t="s">
        <v>4284</v>
      </c>
      <c r="C3774" t="s">
        <v>4919</v>
      </c>
      <c r="D3774" s="92">
        <v>0.8</v>
      </c>
      <c r="E3774" s="92">
        <v>0.65</v>
      </c>
      <c r="F3774" t="s">
        <v>446</v>
      </c>
      <c r="G3774" t="s">
        <v>446</v>
      </c>
      <c r="H3774" t="s">
        <v>4932</v>
      </c>
      <c r="I3774">
        <v>0</v>
      </c>
      <c r="J3774" t="s">
        <v>97</v>
      </c>
      <c r="K3774">
        <v>0</v>
      </c>
      <c r="L3774">
        <v>0</v>
      </c>
      <c r="M3774" t="s">
        <v>11</v>
      </c>
    </row>
    <row r="3775" spans="1:13">
      <c r="A3775" s="93">
        <v>447759</v>
      </c>
      <c r="B3775" t="s">
        <v>4285</v>
      </c>
      <c r="C3775" t="s">
        <v>4919</v>
      </c>
      <c r="D3775" s="92" t="s">
        <v>446</v>
      </c>
      <c r="E3775" s="92" t="s">
        <v>446</v>
      </c>
      <c r="F3775" t="s">
        <v>446</v>
      </c>
      <c r="G3775" t="s">
        <v>446</v>
      </c>
      <c r="H3775" t="s">
        <v>4930</v>
      </c>
      <c r="I3775">
        <v>0</v>
      </c>
      <c r="J3775" t="s">
        <v>97</v>
      </c>
      <c r="K3775">
        <v>0</v>
      </c>
      <c r="L3775">
        <v>0</v>
      </c>
      <c r="M3775" t="s">
        <v>11</v>
      </c>
    </row>
    <row r="3776" spans="1:13">
      <c r="A3776" s="93">
        <v>447768</v>
      </c>
      <c r="B3776" t="s">
        <v>4286</v>
      </c>
      <c r="C3776" t="s">
        <v>4919</v>
      </c>
      <c r="D3776" s="92" t="s">
        <v>446</v>
      </c>
      <c r="E3776" s="92" t="s">
        <v>446</v>
      </c>
      <c r="F3776" t="s">
        <v>446</v>
      </c>
      <c r="G3776" t="s">
        <v>446</v>
      </c>
      <c r="H3776" t="s">
        <v>4930</v>
      </c>
      <c r="I3776">
        <v>0</v>
      </c>
      <c r="J3776" t="s">
        <v>97</v>
      </c>
      <c r="K3776">
        <v>0</v>
      </c>
      <c r="L3776">
        <v>0</v>
      </c>
      <c r="M3776" t="s">
        <v>11</v>
      </c>
    </row>
    <row r="3777" spans="1:13">
      <c r="A3777" s="93">
        <v>447777</v>
      </c>
      <c r="B3777" t="s">
        <v>4287</v>
      </c>
      <c r="C3777" t="s">
        <v>4919</v>
      </c>
      <c r="D3777" s="92" t="s">
        <v>446</v>
      </c>
      <c r="E3777" s="92" t="s">
        <v>446</v>
      </c>
      <c r="F3777" t="s">
        <v>446</v>
      </c>
      <c r="G3777" t="s">
        <v>446</v>
      </c>
      <c r="H3777" t="s">
        <v>4930</v>
      </c>
      <c r="I3777">
        <v>0</v>
      </c>
      <c r="J3777" t="s">
        <v>97</v>
      </c>
      <c r="K3777">
        <v>0</v>
      </c>
      <c r="L3777">
        <v>0</v>
      </c>
      <c r="M3777" t="s">
        <v>11</v>
      </c>
    </row>
    <row r="3778" spans="1:13">
      <c r="A3778" s="93">
        <v>447801</v>
      </c>
      <c r="B3778" t="s">
        <v>4288</v>
      </c>
      <c r="C3778" t="s">
        <v>4924</v>
      </c>
      <c r="D3778" s="92" t="s">
        <v>446</v>
      </c>
      <c r="E3778" s="92" t="s">
        <v>446</v>
      </c>
      <c r="F3778" t="s">
        <v>446</v>
      </c>
      <c r="G3778" t="s">
        <v>446</v>
      </c>
      <c r="H3778" t="s">
        <v>4932</v>
      </c>
      <c r="I3778">
        <v>0</v>
      </c>
      <c r="J3778" t="s">
        <v>97</v>
      </c>
      <c r="K3778">
        <v>0</v>
      </c>
      <c r="L3778">
        <v>0</v>
      </c>
      <c r="M3778" t="s">
        <v>11</v>
      </c>
    </row>
    <row r="3779" spans="1:13">
      <c r="A3779" s="93">
        <v>447847</v>
      </c>
      <c r="B3779" t="s">
        <v>4289</v>
      </c>
      <c r="C3779" t="s">
        <v>4919</v>
      </c>
      <c r="D3779" s="92" t="s">
        <v>446</v>
      </c>
      <c r="E3779" s="92" t="s">
        <v>446</v>
      </c>
      <c r="F3779" t="s">
        <v>446</v>
      </c>
      <c r="G3779" t="s">
        <v>446</v>
      </c>
      <c r="H3779" t="s">
        <v>4930</v>
      </c>
      <c r="I3779">
        <v>0</v>
      </c>
      <c r="J3779" t="s">
        <v>97</v>
      </c>
      <c r="K3779">
        <v>0</v>
      </c>
      <c r="L3779">
        <v>0</v>
      </c>
      <c r="M3779" t="s">
        <v>11</v>
      </c>
    </row>
    <row r="3780" spans="1:13">
      <c r="A3780" s="93">
        <v>447935</v>
      </c>
      <c r="B3780" t="s">
        <v>4290</v>
      </c>
      <c r="C3780" t="s">
        <v>4919</v>
      </c>
      <c r="D3780" s="92" t="s">
        <v>446</v>
      </c>
      <c r="E3780" s="92" t="s">
        <v>446</v>
      </c>
      <c r="F3780" t="s">
        <v>446</v>
      </c>
      <c r="G3780" t="s">
        <v>446</v>
      </c>
      <c r="H3780" t="s">
        <v>4930</v>
      </c>
      <c r="I3780">
        <v>0</v>
      </c>
      <c r="J3780" t="s">
        <v>97</v>
      </c>
      <c r="K3780">
        <v>0</v>
      </c>
      <c r="L3780">
        <v>0</v>
      </c>
      <c r="M3780" t="s">
        <v>11</v>
      </c>
    </row>
    <row r="3781" spans="1:13">
      <c r="A3781" s="93">
        <v>447953</v>
      </c>
      <c r="B3781" t="s">
        <v>4291</v>
      </c>
      <c r="C3781" t="s">
        <v>4924</v>
      </c>
      <c r="D3781" s="92">
        <v>0.38</v>
      </c>
      <c r="E3781" s="92">
        <v>0.33</v>
      </c>
      <c r="F3781" t="s">
        <v>446</v>
      </c>
      <c r="G3781" t="s">
        <v>446</v>
      </c>
      <c r="H3781" t="s">
        <v>4930</v>
      </c>
      <c r="I3781">
        <v>0</v>
      </c>
      <c r="J3781" t="s">
        <v>97</v>
      </c>
      <c r="K3781">
        <v>0</v>
      </c>
      <c r="L3781">
        <v>0</v>
      </c>
      <c r="M3781" t="s">
        <v>11</v>
      </c>
    </row>
    <row r="3782" spans="1:13">
      <c r="A3782" s="93">
        <v>447999</v>
      </c>
      <c r="B3782" t="s">
        <v>4292</v>
      </c>
      <c r="C3782" t="s">
        <v>4919</v>
      </c>
      <c r="D3782" s="92" t="s">
        <v>446</v>
      </c>
      <c r="E3782" s="92" t="s">
        <v>446</v>
      </c>
      <c r="F3782" t="s">
        <v>446</v>
      </c>
      <c r="G3782" t="s">
        <v>446</v>
      </c>
      <c r="H3782" t="s">
        <v>4930</v>
      </c>
      <c r="I3782">
        <v>0</v>
      </c>
      <c r="J3782" t="s">
        <v>97</v>
      </c>
      <c r="K3782">
        <v>0</v>
      </c>
      <c r="L3782">
        <v>0</v>
      </c>
      <c r="M3782" t="s">
        <v>11</v>
      </c>
    </row>
    <row r="3783" spans="1:13">
      <c r="A3783" s="93">
        <v>448026</v>
      </c>
      <c r="B3783" t="s">
        <v>4293</v>
      </c>
      <c r="C3783" t="s">
        <v>4919</v>
      </c>
      <c r="D3783" s="92" t="s">
        <v>446</v>
      </c>
      <c r="E3783" s="92" t="s">
        <v>446</v>
      </c>
      <c r="F3783" t="s">
        <v>446</v>
      </c>
      <c r="G3783" t="s">
        <v>446</v>
      </c>
      <c r="H3783" t="s">
        <v>4931</v>
      </c>
      <c r="I3783">
        <v>0</v>
      </c>
      <c r="J3783" t="s">
        <v>97</v>
      </c>
      <c r="K3783">
        <v>0</v>
      </c>
      <c r="L3783">
        <v>0</v>
      </c>
      <c r="M3783" t="s">
        <v>11</v>
      </c>
    </row>
    <row r="3784" spans="1:13">
      <c r="A3784" s="93">
        <v>448239</v>
      </c>
      <c r="B3784" t="s">
        <v>4294</v>
      </c>
      <c r="C3784" t="s">
        <v>4924</v>
      </c>
      <c r="D3784" s="92" t="s">
        <v>446</v>
      </c>
      <c r="E3784" s="92" t="s">
        <v>446</v>
      </c>
      <c r="F3784" t="s">
        <v>446</v>
      </c>
      <c r="G3784" t="s">
        <v>446</v>
      </c>
      <c r="H3784" t="s">
        <v>4932</v>
      </c>
      <c r="I3784">
        <v>0</v>
      </c>
      <c r="J3784" t="s">
        <v>97</v>
      </c>
      <c r="K3784">
        <v>0</v>
      </c>
      <c r="L3784">
        <v>0</v>
      </c>
      <c r="M3784" t="s">
        <v>11</v>
      </c>
    </row>
    <row r="3785" spans="1:13">
      <c r="A3785" s="93">
        <v>448354</v>
      </c>
      <c r="B3785" t="s">
        <v>4295</v>
      </c>
      <c r="C3785" t="s">
        <v>4923</v>
      </c>
      <c r="D3785" s="92">
        <v>0.74</v>
      </c>
      <c r="E3785" s="92">
        <v>0.72</v>
      </c>
      <c r="F3785" t="s">
        <v>446</v>
      </c>
      <c r="G3785" t="s">
        <v>446</v>
      </c>
      <c r="H3785" t="s">
        <v>4930</v>
      </c>
      <c r="I3785">
        <v>0</v>
      </c>
      <c r="J3785" t="s">
        <v>97</v>
      </c>
      <c r="K3785">
        <v>0</v>
      </c>
      <c r="L3785">
        <v>0</v>
      </c>
      <c r="M3785" t="s">
        <v>11</v>
      </c>
    </row>
    <row r="3786" spans="1:13">
      <c r="A3786" s="93">
        <v>448372</v>
      </c>
      <c r="B3786" t="s">
        <v>4296</v>
      </c>
      <c r="C3786" t="s">
        <v>4926</v>
      </c>
      <c r="D3786" s="92" t="s">
        <v>446</v>
      </c>
      <c r="E3786" s="92" t="s">
        <v>446</v>
      </c>
      <c r="F3786" t="s">
        <v>446</v>
      </c>
      <c r="G3786" t="s">
        <v>446</v>
      </c>
      <c r="H3786" t="s">
        <v>4932</v>
      </c>
      <c r="I3786">
        <v>0</v>
      </c>
      <c r="J3786" t="s">
        <v>97</v>
      </c>
      <c r="K3786">
        <v>0</v>
      </c>
      <c r="L3786">
        <v>0</v>
      </c>
      <c r="M3786" t="s">
        <v>11</v>
      </c>
    </row>
    <row r="3787" spans="1:13">
      <c r="A3787" s="93">
        <v>448433</v>
      </c>
      <c r="B3787" t="s">
        <v>4297</v>
      </c>
      <c r="C3787" t="s">
        <v>4919</v>
      </c>
      <c r="D3787" s="92">
        <v>0.62</v>
      </c>
      <c r="E3787" s="92">
        <v>0.63</v>
      </c>
      <c r="F3787" t="s">
        <v>446</v>
      </c>
      <c r="G3787" t="s">
        <v>446</v>
      </c>
      <c r="H3787" t="s">
        <v>4930</v>
      </c>
      <c r="I3787">
        <v>0</v>
      </c>
      <c r="J3787" t="s">
        <v>97</v>
      </c>
      <c r="K3787">
        <v>0</v>
      </c>
      <c r="L3787">
        <v>0</v>
      </c>
      <c r="M3787" t="s">
        <v>11</v>
      </c>
    </row>
    <row r="3788" spans="1:13">
      <c r="A3788" s="93">
        <v>448594</v>
      </c>
      <c r="B3788" t="s">
        <v>4298</v>
      </c>
      <c r="C3788" t="s">
        <v>4919</v>
      </c>
      <c r="D3788" s="92">
        <v>0.4</v>
      </c>
      <c r="E3788" s="92">
        <v>0.38</v>
      </c>
      <c r="F3788" t="s">
        <v>446</v>
      </c>
      <c r="G3788" t="s">
        <v>446</v>
      </c>
      <c r="H3788" t="s">
        <v>4932</v>
      </c>
      <c r="I3788">
        <v>0</v>
      </c>
      <c r="J3788" t="s">
        <v>97</v>
      </c>
      <c r="K3788">
        <v>0</v>
      </c>
      <c r="L3788">
        <v>0</v>
      </c>
      <c r="M3788" t="s">
        <v>11</v>
      </c>
    </row>
    <row r="3789" spans="1:13">
      <c r="A3789" s="93">
        <v>448600</v>
      </c>
      <c r="B3789" t="s">
        <v>4299</v>
      </c>
      <c r="C3789" t="s">
        <v>4919</v>
      </c>
      <c r="D3789" s="92" t="s">
        <v>446</v>
      </c>
      <c r="E3789" s="92" t="s">
        <v>446</v>
      </c>
      <c r="F3789" t="s">
        <v>446</v>
      </c>
      <c r="G3789" t="s">
        <v>446</v>
      </c>
      <c r="H3789" t="s">
        <v>4930</v>
      </c>
      <c r="I3789">
        <v>0</v>
      </c>
      <c r="J3789" t="s">
        <v>97</v>
      </c>
      <c r="K3789">
        <v>0</v>
      </c>
      <c r="L3789">
        <v>0</v>
      </c>
      <c r="M3789" t="s">
        <v>11</v>
      </c>
    </row>
    <row r="3790" spans="1:13">
      <c r="A3790" s="93">
        <v>448619</v>
      </c>
      <c r="B3790" t="s">
        <v>4300</v>
      </c>
      <c r="C3790" t="s">
        <v>4919</v>
      </c>
      <c r="D3790" s="92" t="s">
        <v>446</v>
      </c>
      <c r="E3790" s="92" t="s">
        <v>446</v>
      </c>
      <c r="F3790" t="s">
        <v>446</v>
      </c>
      <c r="G3790" t="s">
        <v>446</v>
      </c>
      <c r="H3790" t="s">
        <v>4930</v>
      </c>
      <c r="I3790">
        <v>0</v>
      </c>
      <c r="J3790" t="s">
        <v>97</v>
      </c>
      <c r="K3790">
        <v>0</v>
      </c>
      <c r="L3790">
        <v>0</v>
      </c>
      <c r="M3790" t="s">
        <v>11</v>
      </c>
    </row>
    <row r="3791" spans="1:13">
      <c r="A3791" s="93">
        <v>448691</v>
      </c>
      <c r="B3791" t="s">
        <v>4301</v>
      </c>
      <c r="C3791" t="s">
        <v>4924</v>
      </c>
      <c r="D3791" s="92" t="s">
        <v>446</v>
      </c>
      <c r="E3791" s="92" t="s">
        <v>446</v>
      </c>
      <c r="F3791" t="s">
        <v>446</v>
      </c>
      <c r="G3791" t="s">
        <v>446</v>
      </c>
      <c r="H3791" t="s">
        <v>4932</v>
      </c>
      <c r="I3791">
        <v>0</v>
      </c>
      <c r="J3791" t="s">
        <v>97</v>
      </c>
      <c r="K3791">
        <v>0</v>
      </c>
      <c r="L3791">
        <v>0</v>
      </c>
      <c r="M3791" t="s">
        <v>11</v>
      </c>
    </row>
    <row r="3792" spans="1:13">
      <c r="A3792" s="93">
        <v>448770</v>
      </c>
      <c r="B3792" t="s">
        <v>4302</v>
      </c>
      <c r="C3792" t="s">
        <v>4919</v>
      </c>
      <c r="D3792" s="92" t="s">
        <v>446</v>
      </c>
      <c r="E3792" s="92" t="s">
        <v>446</v>
      </c>
      <c r="F3792" t="s">
        <v>446</v>
      </c>
      <c r="G3792" t="s">
        <v>446</v>
      </c>
      <c r="H3792" t="s">
        <v>4931</v>
      </c>
      <c r="I3792">
        <v>0</v>
      </c>
      <c r="J3792" t="s">
        <v>97</v>
      </c>
      <c r="K3792">
        <v>0</v>
      </c>
      <c r="L3792">
        <v>0</v>
      </c>
      <c r="M3792" t="s">
        <v>11</v>
      </c>
    </row>
    <row r="3793" spans="1:13">
      <c r="A3793" s="93">
        <v>448859</v>
      </c>
      <c r="B3793" t="s">
        <v>4303</v>
      </c>
      <c r="C3793" t="s">
        <v>4919</v>
      </c>
      <c r="D3793" s="92" t="s">
        <v>446</v>
      </c>
      <c r="E3793" s="92" t="s">
        <v>446</v>
      </c>
      <c r="F3793" t="s">
        <v>446</v>
      </c>
      <c r="G3793" t="s">
        <v>446</v>
      </c>
      <c r="H3793" t="s">
        <v>4930</v>
      </c>
      <c r="I3793">
        <v>0</v>
      </c>
      <c r="J3793" t="s">
        <v>97</v>
      </c>
      <c r="K3793">
        <v>0</v>
      </c>
      <c r="L3793">
        <v>0</v>
      </c>
      <c r="M3793" t="s">
        <v>11</v>
      </c>
    </row>
    <row r="3794" spans="1:13">
      <c r="A3794" s="93">
        <v>449038</v>
      </c>
      <c r="B3794" t="s">
        <v>4304</v>
      </c>
      <c r="C3794" t="s">
        <v>4923</v>
      </c>
      <c r="D3794" s="92">
        <v>0.3</v>
      </c>
      <c r="E3794" s="92">
        <v>0.29</v>
      </c>
      <c r="F3794" t="s">
        <v>446</v>
      </c>
      <c r="G3794" t="s">
        <v>446</v>
      </c>
      <c r="H3794" t="s">
        <v>4930</v>
      </c>
      <c r="I3794">
        <v>0</v>
      </c>
      <c r="J3794" t="s">
        <v>97</v>
      </c>
      <c r="K3794">
        <v>0</v>
      </c>
      <c r="L3794">
        <v>0</v>
      </c>
      <c r="M3794" t="s">
        <v>11</v>
      </c>
    </row>
    <row r="3795" spans="1:13">
      <c r="A3795" s="93">
        <v>449074</v>
      </c>
      <c r="B3795" t="s">
        <v>4305</v>
      </c>
      <c r="C3795" t="s">
        <v>4919</v>
      </c>
      <c r="D3795" s="92" t="s">
        <v>446</v>
      </c>
      <c r="E3795" s="92" t="s">
        <v>446</v>
      </c>
      <c r="F3795" t="s">
        <v>446</v>
      </c>
      <c r="G3795" t="s">
        <v>446</v>
      </c>
      <c r="H3795" t="s">
        <v>4930</v>
      </c>
      <c r="I3795">
        <v>0</v>
      </c>
      <c r="J3795" t="s">
        <v>97</v>
      </c>
      <c r="K3795">
        <v>0</v>
      </c>
      <c r="L3795">
        <v>0</v>
      </c>
      <c r="M3795" t="s">
        <v>11</v>
      </c>
    </row>
    <row r="3796" spans="1:13">
      <c r="A3796" s="93">
        <v>449083</v>
      </c>
      <c r="B3796" t="s">
        <v>4306</v>
      </c>
      <c r="C3796" t="s">
        <v>4919</v>
      </c>
      <c r="D3796" s="92" t="s">
        <v>446</v>
      </c>
      <c r="E3796" s="92" t="s">
        <v>446</v>
      </c>
      <c r="F3796" t="s">
        <v>446</v>
      </c>
      <c r="G3796" t="s">
        <v>446</v>
      </c>
      <c r="H3796" t="s">
        <v>4931</v>
      </c>
      <c r="I3796">
        <v>0</v>
      </c>
      <c r="J3796" t="s">
        <v>97</v>
      </c>
      <c r="K3796">
        <v>0</v>
      </c>
      <c r="L3796">
        <v>0</v>
      </c>
      <c r="M3796" t="s">
        <v>11</v>
      </c>
    </row>
    <row r="3797" spans="1:13">
      <c r="A3797" s="93">
        <v>449092</v>
      </c>
      <c r="B3797" t="s">
        <v>4307</v>
      </c>
      <c r="C3797" t="s">
        <v>4919</v>
      </c>
      <c r="D3797" s="92" t="s">
        <v>446</v>
      </c>
      <c r="E3797" s="92" t="s">
        <v>446</v>
      </c>
      <c r="F3797" t="s">
        <v>446</v>
      </c>
      <c r="G3797" t="s">
        <v>446</v>
      </c>
      <c r="H3797" t="s">
        <v>4931</v>
      </c>
      <c r="I3797">
        <v>0</v>
      </c>
      <c r="J3797" t="s">
        <v>97</v>
      </c>
      <c r="K3797">
        <v>0</v>
      </c>
      <c r="L3797">
        <v>0</v>
      </c>
      <c r="M3797" t="s">
        <v>11</v>
      </c>
    </row>
    <row r="3798" spans="1:13">
      <c r="A3798" s="93">
        <v>449135</v>
      </c>
      <c r="B3798" t="s">
        <v>4308</v>
      </c>
      <c r="C3798" t="s">
        <v>4923</v>
      </c>
      <c r="D3798" s="92">
        <v>0.15</v>
      </c>
      <c r="E3798" s="92">
        <v>0.15</v>
      </c>
      <c r="F3798" t="s">
        <v>446</v>
      </c>
      <c r="G3798" t="s">
        <v>446</v>
      </c>
      <c r="H3798" t="s">
        <v>4931</v>
      </c>
      <c r="I3798">
        <v>0</v>
      </c>
      <c r="J3798" t="s">
        <v>97</v>
      </c>
      <c r="K3798">
        <v>0</v>
      </c>
      <c r="L3798">
        <v>0</v>
      </c>
      <c r="M3798" t="s">
        <v>11</v>
      </c>
    </row>
    <row r="3799" spans="1:13">
      <c r="A3799" s="93">
        <v>449250</v>
      </c>
      <c r="B3799" t="s">
        <v>4309</v>
      </c>
      <c r="C3799" t="s">
        <v>4919</v>
      </c>
      <c r="D3799" s="92" t="s">
        <v>446</v>
      </c>
      <c r="E3799" s="92" t="s">
        <v>446</v>
      </c>
      <c r="F3799" t="s">
        <v>446</v>
      </c>
      <c r="G3799" t="s">
        <v>446</v>
      </c>
      <c r="H3799" t="s">
        <v>4930</v>
      </c>
      <c r="I3799">
        <v>0</v>
      </c>
      <c r="J3799" t="s">
        <v>97</v>
      </c>
      <c r="K3799">
        <v>0</v>
      </c>
      <c r="L3799">
        <v>0</v>
      </c>
      <c r="M3799" t="s">
        <v>11</v>
      </c>
    </row>
    <row r="3800" spans="1:13">
      <c r="A3800" s="93">
        <v>449348</v>
      </c>
      <c r="B3800" t="s">
        <v>4310</v>
      </c>
      <c r="C3800" t="s">
        <v>4923</v>
      </c>
      <c r="D3800" s="92" t="s">
        <v>446</v>
      </c>
      <c r="E3800" s="92" t="s">
        <v>446</v>
      </c>
      <c r="F3800" t="s">
        <v>446</v>
      </c>
      <c r="G3800" t="s">
        <v>446</v>
      </c>
      <c r="H3800" t="s">
        <v>4932</v>
      </c>
      <c r="I3800">
        <v>0</v>
      </c>
      <c r="J3800" t="s">
        <v>97</v>
      </c>
      <c r="K3800">
        <v>0</v>
      </c>
      <c r="L3800">
        <v>0</v>
      </c>
      <c r="M3800" t="s">
        <v>11</v>
      </c>
    </row>
    <row r="3801" spans="1:13">
      <c r="A3801" s="93">
        <v>449384</v>
      </c>
      <c r="B3801" t="s">
        <v>4311</v>
      </c>
      <c r="C3801" t="s">
        <v>4924</v>
      </c>
      <c r="D3801" s="92" t="s">
        <v>446</v>
      </c>
      <c r="E3801" s="92" t="s">
        <v>446</v>
      </c>
      <c r="F3801" t="s">
        <v>446</v>
      </c>
      <c r="G3801" t="s">
        <v>446</v>
      </c>
      <c r="H3801" t="s">
        <v>4930</v>
      </c>
      <c r="I3801">
        <v>0</v>
      </c>
      <c r="J3801" t="s">
        <v>97</v>
      </c>
      <c r="K3801">
        <v>0</v>
      </c>
      <c r="L3801">
        <v>0</v>
      </c>
      <c r="M3801" t="s">
        <v>11</v>
      </c>
    </row>
    <row r="3802" spans="1:13">
      <c r="A3802" s="93">
        <v>449445</v>
      </c>
      <c r="B3802" t="s">
        <v>4312</v>
      </c>
      <c r="C3802" t="s">
        <v>4919</v>
      </c>
      <c r="D3802" s="92" t="s">
        <v>446</v>
      </c>
      <c r="E3802" s="92" t="s">
        <v>446</v>
      </c>
      <c r="F3802" t="s">
        <v>446</v>
      </c>
      <c r="G3802" t="s">
        <v>446</v>
      </c>
      <c r="H3802" t="s">
        <v>4930</v>
      </c>
      <c r="I3802">
        <v>0</v>
      </c>
      <c r="J3802" t="s">
        <v>97</v>
      </c>
      <c r="K3802">
        <v>0</v>
      </c>
      <c r="L3802">
        <v>0</v>
      </c>
      <c r="M3802" t="s">
        <v>11</v>
      </c>
    </row>
    <row r="3803" spans="1:13">
      <c r="A3803" s="93">
        <v>449481</v>
      </c>
      <c r="B3803" t="s">
        <v>4313</v>
      </c>
      <c r="C3803" t="s">
        <v>4924</v>
      </c>
      <c r="D3803" s="92" t="s">
        <v>446</v>
      </c>
      <c r="E3803" s="92" t="s">
        <v>446</v>
      </c>
      <c r="F3803" t="s">
        <v>446</v>
      </c>
      <c r="G3803" t="s">
        <v>446</v>
      </c>
      <c r="H3803" t="s">
        <v>4932</v>
      </c>
      <c r="I3803">
        <v>0</v>
      </c>
      <c r="J3803" t="s">
        <v>97</v>
      </c>
      <c r="K3803">
        <v>0</v>
      </c>
      <c r="L3803">
        <v>0</v>
      </c>
      <c r="M3803" t="s">
        <v>11</v>
      </c>
    </row>
    <row r="3804" spans="1:13">
      <c r="A3804" s="93">
        <v>449506</v>
      </c>
      <c r="B3804" t="s">
        <v>4314</v>
      </c>
      <c r="C3804" t="s">
        <v>4925</v>
      </c>
      <c r="D3804" s="92" t="s">
        <v>446</v>
      </c>
      <c r="E3804" s="92" t="s">
        <v>446</v>
      </c>
      <c r="F3804" t="s">
        <v>446</v>
      </c>
      <c r="G3804" t="s">
        <v>446</v>
      </c>
      <c r="H3804" t="s">
        <v>4932</v>
      </c>
      <c r="I3804">
        <v>0</v>
      </c>
      <c r="J3804" t="s">
        <v>97</v>
      </c>
      <c r="K3804">
        <v>0</v>
      </c>
      <c r="L3804">
        <v>0</v>
      </c>
      <c r="M3804" t="s">
        <v>11</v>
      </c>
    </row>
    <row r="3805" spans="1:13">
      <c r="A3805" s="93">
        <v>449524</v>
      </c>
      <c r="B3805" t="s">
        <v>4315</v>
      </c>
      <c r="C3805" t="s">
        <v>4919</v>
      </c>
      <c r="D3805" s="92" t="s">
        <v>446</v>
      </c>
      <c r="E3805" s="92" t="s">
        <v>446</v>
      </c>
      <c r="F3805" t="s">
        <v>446</v>
      </c>
      <c r="G3805" t="s">
        <v>446</v>
      </c>
      <c r="H3805" t="s">
        <v>4930</v>
      </c>
      <c r="I3805">
        <v>0</v>
      </c>
      <c r="J3805" t="s">
        <v>97</v>
      </c>
      <c r="K3805">
        <v>0</v>
      </c>
      <c r="L3805">
        <v>0</v>
      </c>
      <c r="M3805" t="s">
        <v>11</v>
      </c>
    </row>
    <row r="3806" spans="1:13">
      <c r="A3806" s="93">
        <v>449612</v>
      </c>
      <c r="B3806" t="s">
        <v>4316</v>
      </c>
      <c r="C3806" t="s">
        <v>4925</v>
      </c>
      <c r="D3806" s="92" t="s">
        <v>446</v>
      </c>
      <c r="E3806" s="92" t="s">
        <v>446</v>
      </c>
      <c r="F3806" t="s">
        <v>446</v>
      </c>
      <c r="G3806" t="s">
        <v>446</v>
      </c>
      <c r="H3806" t="s">
        <v>4930</v>
      </c>
      <c r="I3806">
        <v>0</v>
      </c>
      <c r="J3806" t="s">
        <v>97</v>
      </c>
      <c r="K3806">
        <v>0</v>
      </c>
      <c r="L3806">
        <v>0</v>
      </c>
      <c r="M3806" t="s">
        <v>11</v>
      </c>
    </row>
    <row r="3807" spans="1:13">
      <c r="A3807" s="93">
        <v>449658</v>
      </c>
      <c r="B3807" t="s">
        <v>4317</v>
      </c>
      <c r="C3807" t="s">
        <v>4924</v>
      </c>
      <c r="D3807" s="92">
        <v>0.33</v>
      </c>
      <c r="E3807" s="92" t="s">
        <v>446</v>
      </c>
      <c r="F3807" t="s">
        <v>446</v>
      </c>
      <c r="G3807" t="s">
        <v>446</v>
      </c>
      <c r="H3807" t="s">
        <v>4932</v>
      </c>
      <c r="I3807">
        <v>0</v>
      </c>
      <c r="J3807" t="s">
        <v>97</v>
      </c>
      <c r="K3807">
        <v>0</v>
      </c>
      <c r="L3807">
        <v>0</v>
      </c>
      <c r="M3807" t="s">
        <v>11</v>
      </c>
    </row>
    <row r="3808" spans="1:13">
      <c r="A3808" s="93">
        <v>449676</v>
      </c>
      <c r="B3808" t="s">
        <v>4318</v>
      </c>
      <c r="C3808" t="s">
        <v>4919</v>
      </c>
      <c r="D3808" s="92" t="s">
        <v>446</v>
      </c>
      <c r="E3808" s="92" t="s">
        <v>446</v>
      </c>
      <c r="F3808" t="s">
        <v>446</v>
      </c>
      <c r="G3808" t="s">
        <v>446</v>
      </c>
      <c r="H3808" t="s">
        <v>4930</v>
      </c>
      <c r="I3808">
        <v>0</v>
      </c>
      <c r="J3808" t="s">
        <v>97</v>
      </c>
      <c r="K3808">
        <v>0</v>
      </c>
      <c r="L3808">
        <v>0</v>
      </c>
      <c r="M3808" t="s">
        <v>11</v>
      </c>
    </row>
    <row r="3809" spans="1:13">
      <c r="A3809" s="93">
        <v>449728</v>
      </c>
      <c r="B3809" t="s">
        <v>4290</v>
      </c>
      <c r="C3809" t="s">
        <v>4919</v>
      </c>
      <c r="D3809" s="92" t="s">
        <v>446</v>
      </c>
      <c r="E3809" s="92" t="s">
        <v>446</v>
      </c>
      <c r="F3809" t="s">
        <v>446</v>
      </c>
      <c r="G3809" t="s">
        <v>446</v>
      </c>
      <c r="H3809" t="s">
        <v>4930</v>
      </c>
      <c r="I3809">
        <v>0</v>
      </c>
      <c r="J3809" t="s">
        <v>97</v>
      </c>
      <c r="K3809">
        <v>0</v>
      </c>
      <c r="L3809">
        <v>0</v>
      </c>
      <c r="M3809" t="s">
        <v>11</v>
      </c>
    </row>
    <row r="3810" spans="1:13">
      <c r="A3810" s="93">
        <v>449764</v>
      </c>
      <c r="B3810" t="s">
        <v>4319</v>
      </c>
      <c r="C3810" t="s">
        <v>4923</v>
      </c>
      <c r="D3810" s="92">
        <v>0.27</v>
      </c>
      <c r="E3810" s="92">
        <v>0.18</v>
      </c>
      <c r="F3810">
        <v>600</v>
      </c>
      <c r="G3810">
        <v>925</v>
      </c>
      <c r="H3810" t="s">
        <v>4930</v>
      </c>
      <c r="I3810">
        <v>0</v>
      </c>
      <c r="J3810" t="s">
        <v>97</v>
      </c>
      <c r="K3810">
        <v>0</v>
      </c>
      <c r="L3810">
        <v>0</v>
      </c>
      <c r="M3810" t="s">
        <v>11</v>
      </c>
    </row>
    <row r="3811" spans="1:13">
      <c r="A3811" s="93">
        <v>449834</v>
      </c>
      <c r="B3811" t="s">
        <v>4320</v>
      </c>
      <c r="C3811" t="s">
        <v>4924</v>
      </c>
      <c r="D3811" s="92" t="s">
        <v>446</v>
      </c>
      <c r="E3811" s="92" t="s">
        <v>446</v>
      </c>
      <c r="F3811" t="s">
        <v>446</v>
      </c>
      <c r="G3811" t="s">
        <v>446</v>
      </c>
      <c r="H3811" t="s">
        <v>4932</v>
      </c>
      <c r="I3811">
        <v>0</v>
      </c>
      <c r="J3811" t="s">
        <v>97</v>
      </c>
      <c r="K3811">
        <v>0</v>
      </c>
      <c r="L3811">
        <v>0</v>
      </c>
      <c r="M3811" t="s">
        <v>11</v>
      </c>
    </row>
    <row r="3812" spans="1:13">
      <c r="A3812" s="93">
        <v>449861</v>
      </c>
      <c r="B3812" t="s">
        <v>4321</v>
      </c>
      <c r="C3812" t="s">
        <v>4925</v>
      </c>
      <c r="D3812" s="92" t="s">
        <v>446</v>
      </c>
      <c r="E3812" s="92" t="s">
        <v>446</v>
      </c>
      <c r="F3812" t="s">
        <v>446</v>
      </c>
      <c r="G3812" t="s">
        <v>446</v>
      </c>
      <c r="H3812" t="s">
        <v>4930</v>
      </c>
      <c r="I3812">
        <v>0</v>
      </c>
      <c r="J3812" t="s">
        <v>97</v>
      </c>
      <c r="K3812">
        <v>0</v>
      </c>
      <c r="L3812">
        <v>0</v>
      </c>
      <c r="M3812" t="s">
        <v>11</v>
      </c>
    </row>
    <row r="3813" spans="1:13">
      <c r="A3813" s="93">
        <v>449870</v>
      </c>
      <c r="B3813" t="s">
        <v>4322</v>
      </c>
      <c r="C3813" t="s">
        <v>4923</v>
      </c>
      <c r="D3813" s="92">
        <v>0.26</v>
      </c>
      <c r="E3813" s="92">
        <v>0.15</v>
      </c>
      <c r="F3813" t="s">
        <v>446</v>
      </c>
      <c r="G3813" t="s">
        <v>446</v>
      </c>
      <c r="H3813" t="s">
        <v>4931</v>
      </c>
      <c r="I3813">
        <v>0</v>
      </c>
      <c r="J3813" t="s">
        <v>97</v>
      </c>
      <c r="K3813">
        <v>0</v>
      </c>
      <c r="L3813">
        <v>0</v>
      </c>
      <c r="M3813" t="s">
        <v>11</v>
      </c>
    </row>
    <row r="3814" spans="1:13">
      <c r="A3814" s="93">
        <v>449889</v>
      </c>
      <c r="B3814" t="s">
        <v>4323</v>
      </c>
      <c r="C3814" t="s">
        <v>4924</v>
      </c>
      <c r="D3814" s="92" t="s">
        <v>446</v>
      </c>
      <c r="E3814" s="92" t="s">
        <v>446</v>
      </c>
      <c r="F3814" t="s">
        <v>446</v>
      </c>
      <c r="G3814" t="s">
        <v>446</v>
      </c>
      <c r="H3814" t="s">
        <v>4932</v>
      </c>
      <c r="I3814">
        <v>0</v>
      </c>
      <c r="J3814" t="s">
        <v>97</v>
      </c>
      <c r="K3814">
        <v>0</v>
      </c>
      <c r="L3814">
        <v>0</v>
      </c>
      <c r="M3814" t="s">
        <v>11</v>
      </c>
    </row>
    <row r="3815" spans="1:13">
      <c r="A3815" s="93">
        <v>449898</v>
      </c>
      <c r="B3815" t="s">
        <v>4324</v>
      </c>
      <c r="C3815" t="s">
        <v>4923</v>
      </c>
      <c r="D3815" s="92">
        <v>0.16</v>
      </c>
      <c r="E3815" s="92">
        <v>0.12</v>
      </c>
      <c r="F3815" t="s">
        <v>446</v>
      </c>
      <c r="G3815" t="s">
        <v>446</v>
      </c>
      <c r="H3815" t="s">
        <v>4930</v>
      </c>
      <c r="I3815">
        <v>0</v>
      </c>
      <c r="J3815" t="s">
        <v>97</v>
      </c>
      <c r="K3815">
        <v>0</v>
      </c>
      <c r="L3815">
        <v>0</v>
      </c>
      <c r="M3815" t="s">
        <v>11</v>
      </c>
    </row>
    <row r="3816" spans="1:13">
      <c r="A3816" s="93">
        <v>449922</v>
      </c>
      <c r="B3816" t="s">
        <v>4325</v>
      </c>
      <c r="C3816" t="s">
        <v>4924</v>
      </c>
      <c r="D3816" s="92" t="s">
        <v>446</v>
      </c>
      <c r="E3816" s="92" t="s">
        <v>446</v>
      </c>
      <c r="F3816" t="s">
        <v>446</v>
      </c>
      <c r="G3816" t="s">
        <v>446</v>
      </c>
      <c r="H3816" t="s">
        <v>4932</v>
      </c>
      <c r="I3816">
        <v>0</v>
      </c>
      <c r="J3816" t="s">
        <v>97</v>
      </c>
      <c r="K3816">
        <v>0</v>
      </c>
      <c r="L3816">
        <v>0</v>
      </c>
      <c r="M3816" t="s">
        <v>11</v>
      </c>
    </row>
    <row r="3817" spans="1:13">
      <c r="A3817" s="93">
        <v>449931</v>
      </c>
      <c r="B3817" t="s">
        <v>4326</v>
      </c>
      <c r="C3817" t="s">
        <v>4924</v>
      </c>
      <c r="D3817" s="92">
        <v>1</v>
      </c>
      <c r="E3817" s="92">
        <v>1</v>
      </c>
      <c r="F3817" t="s">
        <v>446</v>
      </c>
      <c r="G3817" t="s">
        <v>446</v>
      </c>
      <c r="H3817" t="s">
        <v>4932</v>
      </c>
      <c r="I3817">
        <v>0</v>
      </c>
      <c r="J3817" t="s">
        <v>97</v>
      </c>
      <c r="K3817">
        <v>0</v>
      </c>
      <c r="L3817">
        <v>0</v>
      </c>
      <c r="M3817" t="s">
        <v>11</v>
      </c>
    </row>
    <row r="3818" spans="1:13">
      <c r="A3818" s="93">
        <v>449968</v>
      </c>
      <c r="B3818" t="s">
        <v>4327</v>
      </c>
      <c r="C3818" t="s">
        <v>4919</v>
      </c>
      <c r="D3818" s="92" t="s">
        <v>446</v>
      </c>
      <c r="E3818" s="92" t="s">
        <v>446</v>
      </c>
      <c r="F3818" t="s">
        <v>446</v>
      </c>
      <c r="G3818" t="s">
        <v>446</v>
      </c>
      <c r="H3818" t="s">
        <v>4930</v>
      </c>
      <c r="I3818">
        <v>0</v>
      </c>
      <c r="J3818" t="s">
        <v>97</v>
      </c>
      <c r="K3818">
        <v>0</v>
      </c>
      <c r="L3818">
        <v>0</v>
      </c>
      <c r="M3818" t="s">
        <v>11</v>
      </c>
    </row>
    <row r="3819" spans="1:13">
      <c r="A3819" s="93">
        <v>450058</v>
      </c>
      <c r="B3819" t="s">
        <v>4328</v>
      </c>
      <c r="C3819" t="s">
        <v>4919</v>
      </c>
      <c r="D3819" s="92" t="s">
        <v>446</v>
      </c>
      <c r="E3819" s="92" t="s">
        <v>446</v>
      </c>
      <c r="F3819" t="s">
        <v>446</v>
      </c>
      <c r="G3819" t="s">
        <v>446</v>
      </c>
      <c r="H3819" t="s">
        <v>4930</v>
      </c>
      <c r="I3819">
        <v>0</v>
      </c>
      <c r="J3819" t="s">
        <v>97</v>
      </c>
      <c r="K3819">
        <v>0</v>
      </c>
      <c r="L3819">
        <v>0</v>
      </c>
      <c r="M3819" t="s">
        <v>11</v>
      </c>
    </row>
    <row r="3820" spans="1:13">
      <c r="A3820" s="93">
        <v>450067</v>
      </c>
      <c r="B3820" t="s">
        <v>4329</v>
      </c>
      <c r="C3820" t="s">
        <v>4919</v>
      </c>
      <c r="D3820" s="92" t="s">
        <v>446</v>
      </c>
      <c r="E3820" s="92" t="s">
        <v>446</v>
      </c>
      <c r="F3820" t="s">
        <v>446</v>
      </c>
      <c r="G3820" t="s">
        <v>446</v>
      </c>
      <c r="H3820" t="s">
        <v>4930</v>
      </c>
      <c r="I3820">
        <v>0</v>
      </c>
      <c r="J3820" t="s">
        <v>97</v>
      </c>
      <c r="K3820">
        <v>0</v>
      </c>
      <c r="L3820">
        <v>0</v>
      </c>
      <c r="M3820" t="s">
        <v>11</v>
      </c>
    </row>
    <row r="3821" spans="1:13">
      <c r="A3821" s="93">
        <v>450128</v>
      </c>
      <c r="B3821" t="s">
        <v>4330</v>
      </c>
      <c r="C3821" t="s">
        <v>4919</v>
      </c>
      <c r="D3821" s="92" t="s">
        <v>446</v>
      </c>
      <c r="E3821" s="92" t="s">
        <v>446</v>
      </c>
      <c r="F3821" t="s">
        <v>446</v>
      </c>
      <c r="G3821" t="s">
        <v>446</v>
      </c>
      <c r="H3821" t="s">
        <v>4930</v>
      </c>
      <c r="I3821">
        <v>0</v>
      </c>
      <c r="J3821" t="s">
        <v>97</v>
      </c>
      <c r="K3821">
        <v>0</v>
      </c>
      <c r="L3821">
        <v>0</v>
      </c>
      <c r="M3821" t="s">
        <v>11</v>
      </c>
    </row>
    <row r="3822" spans="1:13">
      <c r="A3822" s="93">
        <v>450298</v>
      </c>
      <c r="B3822" t="s">
        <v>4331</v>
      </c>
      <c r="C3822" t="s">
        <v>4923</v>
      </c>
      <c r="D3822" s="92">
        <v>1</v>
      </c>
      <c r="E3822" s="92" t="s">
        <v>446</v>
      </c>
      <c r="F3822" t="s">
        <v>446</v>
      </c>
      <c r="G3822" t="s">
        <v>446</v>
      </c>
      <c r="H3822" t="s">
        <v>4932</v>
      </c>
      <c r="I3822">
        <v>0</v>
      </c>
      <c r="J3822" t="s">
        <v>97</v>
      </c>
      <c r="K3822">
        <v>0</v>
      </c>
      <c r="L3822">
        <v>0</v>
      </c>
      <c r="M3822" t="s">
        <v>11</v>
      </c>
    </row>
    <row r="3823" spans="1:13">
      <c r="A3823" s="93">
        <v>450304</v>
      </c>
      <c r="B3823" t="s">
        <v>4332</v>
      </c>
      <c r="C3823" t="s">
        <v>4924</v>
      </c>
      <c r="D3823" s="92" t="s">
        <v>446</v>
      </c>
      <c r="E3823" s="92" t="s">
        <v>446</v>
      </c>
      <c r="F3823" t="s">
        <v>446</v>
      </c>
      <c r="G3823" t="s">
        <v>446</v>
      </c>
      <c r="H3823" t="s">
        <v>4932</v>
      </c>
      <c r="I3823">
        <v>0</v>
      </c>
      <c r="J3823" t="s">
        <v>97</v>
      </c>
      <c r="K3823">
        <v>0</v>
      </c>
      <c r="L3823">
        <v>0</v>
      </c>
      <c r="M3823" t="s">
        <v>11</v>
      </c>
    </row>
    <row r="3824" spans="1:13">
      <c r="A3824" s="93">
        <v>450377</v>
      </c>
      <c r="B3824" t="s">
        <v>4333</v>
      </c>
      <c r="C3824" t="s">
        <v>4923</v>
      </c>
      <c r="D3824" s="92" t="s">
        <v>446</v>
      </c>
      <c r="E3824" s="92" t="s">
        <v>446</v>
      </c>
      <c r="F3824" t="s">
        <v>446</v>
      </c>
      <c r="G3824" t="s">
        <v>446</v>
      </c>
      <c r="H3824" t="s">
        <v>4930</v>
      </c>
      <c r="I3824">
        <v>0</v>
      </c>
      <c r="J3824" t="s">
        <v>97</v>
      </c>
      <c r="K3824">
        <v>0</v>
      </c>
      <c r="L3824">
        <v>0</v>
      </c>
      <c r="M3824" t="s">
        <v>11</v>
      </c>
    </row>
    <row r="3825" spans="1:13">
      <c r="A3825" s="93">
        <v>450395</v>
      </c>
      <c r="B3825" t="s">
        <v>4334</v>
      </c>
      <c r="C3825" t="s">
        <v>4919</v>
      </c>
      <c r="D3825" s="92" t="s">
        <v>446</v>
      </c>
      <c r="E3825" s="92" t="s">
        <v>446</v>
      </c>
      <c r="F3825" t="s">
        <v>446</v>
      </c>
      <c r="G3825" t="s">
        <v>446</v>
      </c>
      <c r="H3825" t="s">
        <v>4930</v>
      </c>
      <c r="I3825">
        <v>0</v>
      </c>
      <c r="J3825" t="s">
        <v>97</v>
      </c>
      <c r="K3825">
        <v>0</v>
      </c>
      <c r="L3825">
        <v>0</v>
      </c>
      <c r="M3825" t="s">
        <v>11</v>
      </c>
    </row>
    <row r="3826" spans="1:13">
      <c r="A3826" s="93">
        <v>450571</v>
      </c>
      <c r="B3826" t="s">
        <v>4335</v>
      </c>
      <c r="C3826" t="s">
        <v>4923</v>
      </c>
      <c r="D3826" s="92">
        <v>0.5</v>
      </c>
      <c r="E3826" s="92" t="s">
        <v>446</v>
      </c>
      <c r="F3826" t="s">
        <v>446</v>
      </c>
      <c r="G3826" t="s">
        <v>446</v>
      </c>
      <c r="H3826" t="s">
        <v>4930</v>
      </c>
      <c r="I3826">
        <v>0</v>
      </c>
      <c r="J3826" t="s">
        <v>97</v>
      </c>
      <c r="K3826">
        <v>0</v>
      </c>
      <c r="L3826">
        <v>0</v>
      </c>
      <c r="M3826" t="s">
        <v>11</v>
      </c>
    </row>
    <row r="3827" spans="1:13">
      <c r="A3827" s="93">
        <v>450696</v>
      </c>
      <c r="B3827" t="s">
        <v>4336</v>
      </c>
      <c r="C3827" t="s">
        <v>4919</v>
      </c>
      <c r="D3827" s="92" t="s">
        <v>446</v>
      </c>
      <c r="E3827" s="92" t="s">
        <v>446</v>
      </c>
      <c r="F3827" t="s">
        <v>446</v>
      </c>
      <c r="G3827" t="s">
        <v>446</v>
      </c>
      <c r="H3827" t="s">
        <v>4930</v>
      </c>
      <c r="I3827">
        <v>0</v>
      </c>
      <c r="J3827" t="s">
        <v>97</v>
      </c>
      <c r="K3827">
        <v>0</v>
      </c>
      <c r="L3827">
        <v>0</v>
      </c>
      <c r="M3827" t="s">
        <v>11</v>
      </c>
    </row>
    <row r="3828" spans="1:13">
      <c r="A3828" s="93">
        <v>450702</v>
      </c>
      <c r="B3828" t="s">
        <v>4337</v>
      </c>
      <c r="C3828" t="s">
        <v>4919</v>
      </c>
      <c r="D3828" s="92">
        <v>0.58</v>
      </c>
      <c r="E3828" s="92">
        <v>0.5</v>
      </c>
      <c r="F3828" t="s">
        <v>446</v>
      </c>
      <c r="G3828" t="s">
        <v>446</v>
      </c>
      <c r="H3828" t="s">
        <v>4930</v>
      </c>
      <c r="I3828">
        <v>0</v>
      </c>
      <c r="J3828" t="s">
        <v>97</v>
      </c>
      <c r="K3828">
        <v>0</v>
      </c>
      <c r="L3828">
        <v>0</v>
      </c>
      <c r="M3828" t="s">
        <v>11</v>
      </c>
    </row>
    <row r="3829" spans="1:13">
      <c r="A3829" s="93">
        <v>450960</v>
      </c>
      <c r="B3829" t="s">
        <v>4338</v>
      </c>
      <c r="C3829" t="s">
        <v>4919</v>
      </c>
      <c r="D3829" s="92" t="s">
        <v>446</v>
      </c>
      <c r="E3829" s="92" t="s">
        <v>446</v>
      </c>
      <c r="F3829" t="s">
        <v>446</v>
      </c>
      <c r="G3829" t="s">
        <v>446</v>
      </c>
      <c r="H3829" t="s">
        <v>4930</v>
      </c>
      <c r="I3829">
        <v>0</v>
      </c>
      <c r="J3829" t="s">
        <v>97</v>
      </c>
      <c r="K3829">
        <v>0</v>
      </c>
      <c r="L3829">
        <v>0</v>
      </c>
      <c r="M3829" t="s">
        <v>11</v>
      </c>
    </row>
    <row r="3830" spans="1:13">
      <c r="A3830" s="93">
        <v>451079</v>
      </c>
      <c r="B3830" t="s">
        <v>4339</v>
      </c>
      <c r="C3830" t="s">
        <v>4924</v>
      </c>
      <c r="D3830" s="92" t="s">
        <v>446</v>
      </c>
      <c r="E3830" s="92" t="s">
        <v>446</v>
      </c>
      <c r="F3830" t="s">
        <v>446</v>
      </c>
      <c r="G3830" t="s">
        <v>446</v>
      </c>
      <c r="H3830" t="s">
        <v>4932</v>
      </c>
      <c r="I3830">
        <v>0</v>
      </c>
      <c r="J3830" t="s">
        <v>97</v>
      </c>
      <c r="K3830">
        <v>0</v>
      </c>
      <c r="L3830">
        <v>0</v>
      </c>
      <c r="M3830" t="s">
        <v>11</v>
      </c>
    </row>
    <row r="3831" spans="1:13">
      <c r="A3831" s="93">
        <v>451103</v>
      </c>
      <c r="B3831" t="s">
        <v>4340</v>
      </c>
      <c r="C3831" t="s">
        <v>4923</v>
      </c>
      <c r="D3831" s="92" t="s">
        <v>446</v>
      </c>
      <c r="E3831" s="92" t="s">
        <v>446</v>
      </c>
      <c r="F3831" t="s">
        <v>446</v>
      </c>
      <c r="G3831" t="s">
        <v>446</v>
      </c>
      <c r="H3831" t="s">
        <v>4930</v>
      </c>
      <c r="I3831">
        <v>0</v>
      </c>
      <c r="J3831" t="s">
        <v>97</v>
      </c>
      <c r="K3831">
        <v>0</v>
      </c>
      <c r="L3831">
        <v>0</v>
      </c>
      <c r="M3831" t="s">
        <v>11</v>
      </c>
    </row>
    <row r="3832" spans="1:13">
      <c r="A3832" s="93">
        <v>451228</v>
      </c>
      <c r="B3832" t="s">
        <v>4341</v>
      </c>
      <c r="C3832" t="s">
        <v>4926</v>
      </c>
      <c r="D3832" s="92" t="s">
        <v>446</v>
      </c>
      <c r="E3832" s="92" t="s">
        <v>446</v>
      </c>
      <c r="F3832" t="s">
        <v>446</v>
      </c>
      <c r="G3832" t="s">
        <v>446</v>
      </c>
      <c r="H3832" t="s">
        <v>4930</v>
      </c>
      <c r="I3832">
        <v>0</v>
      </c>
      <c r="J3832" t="s">
        <v>97</v>
      </c>
      <c r="K3832">
        <v>0</v>
      </c>
      <c r="L3832">
        <v>0</v>
      </c>
      <c r="M3832" t="s">
        <v>11</v>
      </c>
    </row>
    <row r="3833" spans="1:13">
      <c r="A3833" s="93">
        <v>451352</v>
      </c>
      <c r="B3833" t="s">
        <v>4342</v>
      </c>
      <c r="C3833" t="s">
        <v>4926</v>
      </c>
      <c r="D3833" s="92" t="s">
        <v>446</v>
      </c>
      <c r="E3833" s="92" t="s">
        <v>446</v>
      </c>
      <c r="F3833" t="s">
        <v>446</v>
      </c>
      <c r="G3833" t="s">
        <v>446</v>
      </c>
      <c r="H3833" t="s">
        <v>4930</v>
      </c>
      <c r="I3833">
        <v>0</v>
      </c>
      <c r="J3833" t="s">
        <v>97</v>
      </c>
      <c r="K3833">
        <v>0</v>
      </c>
      <c r="L3833">
        <v>0</v>
      </c>
      <c r="M3833" t="s">
        <v>11</v>
      </c>
    </row>
    <row r="3834" spans="1:13">
      <c r="A3834" s="93">
        <v>451370</v>
      </c>
      <c r="B3834" t="s">
        <v>4343</v>
      </c>
      <c r="C3834" t="s">
        <v>4924</v>
      </c>
      <c r="D3834" s="92">
        <v>0.16</v>
      </c>
      <c r="E3834" s="92" t="s">
        <v>446</v>
      </c>
      <c r="F3834" t="s">
        <v>446</v>
      </c>
      <c r="G3834" t="s">
        <v>446</v>
      </c>
      <c r="H3834" t="s">
        <v>4930</v>
      </c>
      <c r="I3834">
        <v>0</v>
      </c>
      <c r="J3834" t="s">
        <v>97</v>
      </c>
      <c r="K3834">
        <v>0</v>
      </c>
      <c r="L3834">
        <v>0</v>
      </c>
      <c r="M3834" t="s">
        <v>11</v>
      </c>
    </row>
    <row r="3835" spans="1:13">
      <c r="A3835" s="93">
        <v>451398</v>
      </c>
      <c r="B3835" t="s">
        <v>4344</v>
      </c>
      <c r="C3835" t="s">
        <v>4924</v>
      </c>
      <c r="D3835" s="92">
        <v>0.17</v>
      </c>
      <c r="E3835" s="92" t="s">
        <v>446</v>
      </c>
      <c r="F3835" t="s">
        <v>446</v>
      </c>
      <c r="G3835" t="s">
        <v>446</v>
      </c>
      <c r="H3835" t="s">
        <v>4931</v>
      </c>
      <c r="I3835">
        <v>0</v>
      </c>
      <c r="J3835" t="s">
        <v>97</v>
      </c>
      <c r="K3835">
        <v>0</v>
      </c>
      <c r="L3835">
        <v>0</v>
      </c>
      <c r="M3835" t="s">
        <v>11</v>
      </c>
    </row>
    <row r="3836" spans="1:13">
      <c r="A3836" s="93">
        <v>451404</v>
      </c>
      <c r="B3836" t="s">
        <v>4345</v>
      </c>
      <c r="C3836" t="s">
        <v>4924</v>
      </c>
      <c r="D3836" s="92">
        <v>0.34</v>
      </c>
      <c r="E3836" s="92" t="s">
        <v>446</v>
      </c>
      <c r="F3836" t="s">
        <v>446</v>
      </c>
      <c r="G3836" t="s">
        <v>446</v>
      </c>
      <c r="H3836" t="s">
        <v>4931</v>
      </c>
      <c r="I3836">
        <v>0</v>
      </c>
      <c r="J3836" t="s">
        <v>97</v>
      </c>
      <c r="K3836">
        <v>0</v>
      </c>
      <c r="L3836">
        <v>0</v>
      </c>
      <c r="M3836" t="s">
        <v>11</v>
      </c>
    </row>
    <row r="3837" spans="1:13">
      <c r="A3837" s="93">
        <v>451413</v>
      </c>
      <c r="B3837" t="s">
        <v>4346</v>
      </c>
      <c r="C3837" t="s">
        <v>4919</v>
      </c>
      <c r="D3837" s="92" t="s">
        <v>446</v>
      </c>
      <c r="E3837" s="92" t="s">
        <v>446</v>
      </c>
      <c r="F3837" t="s">
        <v>446</v>
      </c>
      <c r="G3837" t="s">
        <v>446</v>
      </c>
      <c r="H3837" t="s">
        <v>4932</v>
      </c>
      <c r="I3837">
        <v>0</v>
      </c>
      <c r="J3837" t="s">
        <v>97</v>
      </c>
      <c r="K3837">
        <v>0</v>
      </c>
      <c r="L3837">
        <v>0</v>
      </c>
      <c r="M3837" t="s">
        <v>11</v>
      </c>
    </row>
    <row r="3838" spans="1:13">
      <c r="A3838" s="93">
        <v>451477</v>
      </c>
      <c r="B3838" t="s">
        <v>4347</v>
      </c>
      <c r="C3838" t="s">
        <v>4919</v>
      </c>
      <c r="D3838" s="92" t="s">
        <v>446</v>
      </c>
      <c r="E3838" s="92" t="s">
        <v>446</v>
      </c>
      <c r="F3838" t="s">
        <v>446</v>
      </c>
      <c r="G3838" t="s">
        <v>446</v>
      </c>
      <c r="H3838" t="s">
        <v>4930</v>
      </c>
      <c r="I3838">
        <v>0</v>
      </c>
      <c r="J3838" t="s">
        <v>97</v>
      </c>
      <c r="K3838">
        <v>0</v>
      </c>
      <c r="L3838">
        <v>0</v>
      </c>
      <c r="M3838" t="s">
        <v>11</v>
      </c>
    </row>
    <row r="3839" spans="1:13">
      <c r="A3839" s="93">
        <v>451510</v>
      </c>
      <c r="B3839" t="s">
        <v>4348</v>
      </c>
      <c r="C3839" t="s">
        <v>4924</v>
      </c>
      <c r="D3839" s="92" t="s">
        <v>446</v>
      </c>
      <c r="E3839" s="92" t="s">
        <v>446</v>
      </c>
      <c r="F3839" t="s">
        <v>446</v>
      </c>
      <c r="G3839" t="s">
        <v>446</v>
      </c>
      <c r="H3839" t="s">
        <v>4932</v>
      </c>
      <c r="I3839">
        <v>0</v>
      </c>
      <c r="J3839" t="s">
        <v>97</v>
      </c>
      <c r="K3839">
        <v>0</v>
      </c>
      <c r="L3839">
        <v>0</v>
      </c>
      <c r="M3839" t="s">
        <v>11</v>
      </c>
    </row>
    <row r="3840" spans="1:13">
      <c r="A3840" s="93">
        <v>451556</v>
      </c>
      <c r="B3840" t="s">
        <v>4349</v>
      </c>
      <c r="C3840" t="s">
        <v>4923</v>
      </c>
      <c r="D3840" s="92">
        <v>0.62</v>
      </c>
      <c r="E3840" s="92">
        <v>0.62</v>
      </c>
      <c r="F3840" t="s">
        <v>446</v>
      </c>
      <c r="G3840" t="s">
        <v>446</v>
      </c>
      <c r="H3840" t="s">
        <v>4930</v>
      </c>
      <c r="I3840">
        <v>0</v>
      </c>
      <c r="J3840" t="s">
        <v>97</v>
      </c>
      <c r="K3840">
        <v>0</v>
      </c>
      <c r="L3840">
        <v>0</v>
      </c>
      <c r="M3840" t="s">
        <v>11</v>
      </c>
    </row>
    <row r="3841" spans="1:13">
      <c r="A3841" s="93">
        <v>451741</v>
      </c>
      <c r="B3841" t="s">
        <v>4350</v>
      </c>
      <c r="C3841" t="s">
        <v>4923</v>
      </c>
      <c r="D3841" s="92">
        <v>0.31</v>
      </c>
      <c r="E3841" s="92">
        <v>0.31</v>
      </c>
      <c r="F3841" t="s">
        <v>446</v>
      </c>
      <c r="G3841" t="s">
        <v>446</v>
      </c>
      <c r="H3841" t="s">
        <v>4928</v>
      </c>
      <c r="I3841">
        <v>1</v>
      </c>
      <c r="J3841" t="s">
        <v>97</v>
      </c>
      <c r="K3841">
        <v>0</v>
      </c>
      <c r="L3841">
        <v>0</v>
      </c>
      <c r="M3841" t="s">
        <v>11</v>
      </c>
    </row>
    <row r="3842" spans="1:13">
      <c r="A3842" s="93">
        <v>451750</v>
      </c>
      <c r="B3842" t="s">
        <v>4351</v>
      </c>
      <c r="C3842" t="s">
        <v>4923</v>
      </c>
      <c r="D3842" s="92">
        <v>0.33</v>
      </c>
      <c r="E3842" s="92">
        <v>0.33</v>
      </c>
      <c r="F3842" t="s">
        <v>446</v>
      </c>
      <c r="G3842" t="s">
        <v>446</v>
      </c>
      <c r="H3842" t="s">
        <v>4930</v>
      </c>
      <c r="I3842">
        <v>0</v>
      </c>
      <c r="J3842" t="s">
        <v>97</v>
      </c>
      <c r="K3842">
        <v>0</v>
      </c>
      <c r="L3842">
        <v>0</v>
      </c>
      <c r="M3842" t="s">
        <v>11</v>
      </c>
    </row>
    <row r="3843" spans="1:13">
      <c r="A3843" s="93">
        <v>451820</v>
      </c>
      <c r="B3843" t="s">
        <v>4352</v>
      </c>
      <c r="C3843" t="s">
        <v>4923</v>
      </c>
      <c r="D3843" s="92">
        <v>0.24</v>
      </c>
      <c r="E3843" s="92">
        <v>0.27</v>
      </c>
      <c r="F3843" t="s">
        <v>446</v>
      </c>
      <c r="G3843" t="s">
        <v>446</v>
      </c>
      <c r="H3843" t="s">
        <v>4930</v>
      </c>
      <c r="I3843">
        <v>0</v>
      </c>
      <c r="J3843" t="s">
        <v>97</v>
      </c>
      <c r="K3843">
        <v>0</v>
      </c>
      <c r="L3843">
        <v>0</v>
      </c>
      <c r="M3843" t="s">
        <v>11</v>
      </c>
    </row>
    <row r="3844" spans="1:13">
      <c r="A3844" s="93">
        <v>451857</v>
      </c>
      <c r="B3844" t="s">
        <v>4353</v>
      </c>
      <c r="C3844" t="s">
        <v>4919</v>
      </c>
      <c r="D3844" s="92" t="s">
        <v>446</v>
      </c>
      <c r="E3844" s="92" t="s">
        <v>446</v>
      </c>
      <c r="F3844" t="s">
        <v>446</v>
      </c>
      <c r="G3844" t="s">
        <v>446</v>
      </c>
      <c r="H3844" t="s">
        <v>4930</v>
      </c>
      <c r="I3844">
        <v>0</v>
      </c>
      <c r="J3844" t="s">
        <v>97</v>
      </c>
      <c r="K3844">
        <v>0</v>
      </c>
      <c r="L3844">
        <v>0</v>
      </c>
      <c r="M3844" t="s">
        <v>11</v>
      </c>
    </row>
    <row r="3845" spans="1:13">
      <c r="A3845" s="93">
        <v>451866</v>
      </c>
      <c r="B3845" t="s">
        <v>4354</v>
      </c>
      <c r="C3845" t="s">
        <v>4923</v>
      </c>
      <c r="D3845" s="92">
        <v>0.62</v>
      </c>
      <c r="E3845" s="92">
        <v>0.67</v>
      </c>
      <c r="F3845" t="s">
        <v>446</v>
      </c>
      <c r="G3845" t="s">
        <v>446</v>
      </c>
      <c r="H3845" t="s">
        <v>4930</v>
      </c>
      <c r="I3845">
        <v>0</v>
      </c>
      <c r="J3845" t="s">
        <v>97</v>
      </c>
      <c r="K3845">
        <v>0</v>
      </c>
      <c r="L3845">
        <v>0</v>
      </c>
      <c r="M3845" t="s">
        <v>11</v>
      </c>
    </row>
    <row r="3846" spans="1:13">
      <c r="A3846" s="93">
        <v>451927</v>
      </c>
      <c r="B3846" t="s">
        <v>4355</v>
      </c>
      <c r="C3846" t="s">
        <v>4923</v>
      </c>
      <c r="D3846" s="92">
        <v>0.65</v>
      </c>
      <c r="E3846" s="92">
        <v>0.67</v>
      </c>
      <c r="F3846">
        <v>1170</v>
      </c>
      <c r="G3846">
        <v>1290</v>
      </c>
      <c r="H3846" t="s">
        <v>4932</v>
      </c>
      <c r="I3846">
        <v>0</v>
      </c>
      <c r="J3846" t="s">
        <v>97</v>
      </c>
      <c r="K3846">
        <v>0</v>
      </c>
      <c r="L3846">
        <v>0</v>
      </c>
      <c r="M3846" t="s">
        <v>11</v>
      </c>
    </row>
    <row r="3847" spans="1:13">
      <c r="A3847" s="93">
        <v>452009</v>
      </c>
      <c r="B3847" t="s">
        <v>4356</v>
      </c>
      <c r="C3847" t="s">
        <v>4919</v>
      </c>
      <c r="D3847" s="92" t="s">
        <v>446</v>
      </c>
      <c r="E3847" s="92" t="s">
        <v>446</v>
      </c>
      <c r="F3847" t="s">
        <v>446</v>
      </c>
      <c r="G3847" t="s">
        <v>446</v>
      </c>
      <c r="H3847" t="s">
        <v>4931</v>
      </c>
      <c r="I3847">
        <v>0</v>
      </c>
      <c r="J3847" t="s">
        <v>97</v>
      </c>
      <c r="K3847">
        <v>0</v>
      </c>
      <c r="L3847">
        <v>0</v>
      </c>
      <c r="M3847" t="s">
        <v>11</v>
      </c>
    </row>
    <row r="3848" spans="1:13">
      <c r="A3848" s="93">
        <v>452081</v>
      </c>
      <c r="B3848" t="s">
        <v>4357</v>
      </c>
      <c r="C3848" t="s">
        <v>4919</v>
      </c>
      <c r="D3848" s="92" t="s">
        <v>446</v>
      </c>
      <c r="E3848" s="92" t="s">
        <v>446</v>
      </c>
      <c r="F3848" t="s">
        <v>446</v>
      </c>
      <c r="G3848" t="s">
        <v>446</v>
      </c>
      <c r="H3848" t="s">
        <v>4930</v>
      </c>
      <c r="I3848">
        <v>0</v>
      </c>
      <c r="J3848" t="s">
        <v>97</v>
      </c>
      <c r="K3848">
        <v>0</v>
      </c>
      <c r="L3848">
        <v>0</v>
      </c>
      <c r="M3848" t="s">
        <v>11</v>
      </c>
    </row>
    <row r="3849" spans="1:13">
      <c r="A3849" s="93">
        <v>452106</v>
      </c>
      <c r="B3849" t="s">
        <v>4358</v>
      </c>
      <c r="C3849" t="s">
        <v>4919</v>
      </c>
      <c r="D3849" s="92" t="s">
        <v>446</v>
      </c>
      <c r="E3849" s="92" t="s">
        <v>446</v>
      </c>
      <c r="F3849" t="s">
        <v>446</v>
      </c>
      <c r="G3849" t="s">
        <v>446</v>
      </c>
      <c r="H3849" t="s">
        <v>4932</v>
      </c>
      <c r="I3849">
        <v>0</v>
      </c>
      <c r="J3849" t="s">
        <v>97</v>
      </c>
      <c r="K3849">
        <v>0</v>
      </c>
      <c r="L3849">
        <v>0</v>
      </c>
      <c r="M3849" t="s">
        <v>11</v>
      </c>
    </row>
    <row r="3850" spans="1:13">
      <c r="A3850" s="93">
        <v>452124</v>
      </c>
      <c r="B3850" t="s">
        <v>4359</v>
      </c>
      <c r="C3850" t="s">
        <v>4919</v>
      </c>
      <c r="D3850" s="92" t="s">
        <v>446</v>
      </c>
      <c r="E3850" s="92" t="s">
        <v>446</v>
      </c>
      <c r="F3850" t="s">
        <v>446</v>
      </c>
      <c r="G3850" t="s">
        <v>446</v>
      </c>
      <c r="H3850" t="s">
        <v>4930</v>
      </c>
      <c r="I3850">
        <v>0</v>
      </c>
      <c r="J3850" t="s">
        <v>97</v>
      </c>
      <c r="K3850">
        <v>0</v>
      </c>
      <c r="L3850">
        <v>0</v>
      </c>
      <c r="M3850" t="s">
        <v>11</v>
      </c>
    </row>
    <row r="3851" spans="1:13">
      <c r="A3851" s="93">
        <v>452373</v>
      </c>
      <c r="B3851" t="s">
        <v>4360</v>
      </c>
      <c r="C3851" t="s">
        <v>4919</v>
      </c>
      <c r="D3851" s="92" t="s">
        <v>446</v>
      </c>
      <c r="E3851" s="92" t="s">
        <v>446</v>
      </c>
      <c r="F3851" t="s">
        <v>446</v>
      </c>
      <c r="G3851" t="s">
        <v>446</v>
      </c>
      <c r="H3851" t="s">
        <v>4930</v>
      </c>
      <c r="I3851">
        <v>0</v>
      </c>
      <c r="J3851" t="s">
        <v>97</v>
      </c>
      <c r="K3851">
        <v>0</v>
      </c>
      <c r="L3851">
        <v>0</v>
      </c>
      <c r="M3851" t="s">
        <v>11</v>
      </c>
    </row>
    <row r="3852" spans="1:13">
      <c r="A3852" s="93">
        <v>452948</v>
      </c>
      <c r="B3852" t="s">
        <v>4361</v>
      </c>
      <c r="C3852" t="s">
        <v>4923</v>
      </c>
      <c r="D3852" s="92" t="s">
        <v>446</v>
      </c>
      <c r="E3852" s="92" t="s">
        <v>446</v>
      </c>
      <c r="F3852" t="s">
        <v>446</v>
      </c>
      <c r="G3852" t="s">
        <v>446</v>
      </c>
      <c r="H3852" t="s">
        <v>4930</v>
      </c>
      <c r="I3852">
        <v>0</v>
      </c>
      <c r="J3852" t="s">
        <v>97</v>
      </c>
      <c r="K3852">
        <v>0</v>
      </c>
      <c r="L3852">
        <v>0</v>
      </c>
      <c r="M3852" t="s">
        <v>11</v>
      </c>
    </row>
    <row r="3853" spans="1:13">
      <c r="A3853" s="93">
        <v>453163</v>
      </c>
      <c r="B3853" t="s">
        <v>4362</v>
      </c>
      <c r="C3853" t="s">
        <v>4923</v>
      </c>
      <c r="D3853" s="92">
        <v>0.5</v>
      </c>
      <c r="E3853" s="92">
        <v>1</v>
      </c>
      <c r="F3853" t="s">
        <v>446</v>
      </c>
      <c r="G3853" t="s">
        <v>446</v>
      </c>
      <c r="H3853" t="s">
        <v>4930</v>
      </c>
      <c r="I3853">
        <v>0</v>
      </c>
      <c r="J3853" t="s">
        <v>97</v>
      </c>
      <c r="K3853">
        <v>0</v>
      </c>
      <c r="L3853">
        <v>0</v>
      </c>
      <c r="M3853" t="s">
        <v>11</v>
      </c>
    </row>
    <row r="3854" spans="1:13">
      <c r="A3854" s="93">
        <v>453215</v>
      </c>
      <c r="B3854" t="s">
        <v>4363</v>
      </c>
      <c r="C3854" t="s">
        <v>4923</v>
      </c>
      <c r="D3854" s="92">
        <v>1</v>
      </c>
      <c r="E3854" s="92" t="s">
        <v>446</v>
      </c>
      <c r="F3854" t="s">
        <v>446</v>
      </c>
      <c r="G3854" t="s">
        <v>446</v>
      </c>
      <c r="H3854" t="s">
        <v>4932</v>
      </c>
      <c r="I3854">
        <v>0</v>
      </c>
      <c r="J3854" t="s">
        <v>97</v>
      </c>
      <c r="K3854">
        <v>0</v>
      </c>
      <c r="L3854">
        <v>0</v>
      </c>
      <c r="M3854" t="s">
        <v>11</v>
      </c>
    </row>
    <row r="3855" spans="1:13">
      <c r="A3855" s="93">
        <v>453792</v>
      </c>
      <c r="B3855" t="s">
        <v>4364</v>
      </c>
      <c r="C3855" t="s">
        <v>4919</v>
      </c>
      <c r="D3855" s="92" t="s">
        <v>446</v>
      </c>
      <c r="E3855" s="92" t="s">
        <v>446</v>
      </c>
      <c r="F3855" t="s">
        <v>446</v>
      </c>
      <c r="G3855" t="s">
        <v>446</v>
      </c>
      <c r="H3855" t="s">
        <v>4931</v>
      </c>
      <c r="I3855">
        <v>0</v>
      </c>
      <c r="J3855" t="s">
        <v>97</v>
      </c>
      <c r="K3855">
        <v>0</v>
      </c>
      <c r="L3855">
        <v>0</v>
      </c>
      <c r="M3855" t="s">
        <v>11</v>
      </c>
    </row>
    <row r="3856" spans="1:13">
      <c r="A3856" s="93">
        <v>454184</v>
      </c>
      <c r="B3856" t="s">
        <v>4365</v>
      </c>
      <c r="C3856" t="s">
        <v>4916</v>
      </c>
      <c r="D3856" s="92">
        <v>0.54</v>
      </c>
      <c r="E3856" s="92">
        <v>0.34</v>
      </c>
      <c r="F3856">
        <v>1140</v>
      </c>
      <c r="G3856">
        <v>1265</v>
      </c>
      <c r="H3856" t="s">
        <v>4930</v>
      </c>
      <c r="I3856">
        <v>0</v>
      </c>
      <c r="J3856" t="s">
        <v>97</v>
      </c>
      <c r="K3856">
        <v>0</v>
      </c>
      <c r="L3856">
        <v>0</v>
      </c>
      <c r="M3856" t="s">
        <v>11</v>
      </c>
    </row>
    <row r="3857" spans="1:13">
      <c r="A3857" s="93">
        <v>454236</v>
      </c>
      <c r="B3857" t="s">
        <v>4366</v>
      </c>
      <c r="C3857" t="s">
        <v>4924</v>
      </c>
      <c r="D3857" s="92">
        <v>0.37</v>
      </c>
      <c r="E3857" s="92">
        <v>0.25</v>
      </c>
      <c r="F3857" t="s">
        <v>446</v>
      </c>
      <c r="G3857" t="s">
        <v>446</v>
      </c>
      <c r="H3857" t="s">
        <v>4930</v>
      </c>
      <c r="I3857">
        <v>0</v>
      </c>
      <c r="J3857" t="s">
        <v>97</v>
      </c>
      <c r="K3857">
        <v>0</v>
      </c>
      <c r="L3857">
        <v>0</v>
      </c>
      <c r="M3857" t="s">
        <v>11</v>
      </c>
    </row>
    <row r="3858" spans="1:13">
      <c r="A3858" s="93">
        <v>454245</v>
      </c>
      <c r="B3858" t="s">
        <v>4367</v>
      </c>
      <c r="C3858" t="s">
        <v>4924</v>
      </c>
      <c r="D3858" s="92">
        <v>0.5</v>
      </c>
      <c r="E3858" s="92">
        <v>0.5</v>
      </c>
      <c r="F3858" t="s">
        <v>446</v>
      </c>
      <c r="G3858" t="s">
        <v>446</v>
      </c>
      <c r="H3858" t="s">
        <v>4930</v>
      </c>
      <c r="I3858">
        <v>0</v>
      </c>
      <c r="J3858" t="s">
        <v>97</v>
      </c>
      <c r="K3858">
        <v>0</v>
      </c>
      <c r="L3858">
        <v>0</v>
      </c>
      <c r="M3858" t="s">
        <v>11</v>
      </c>
    </row>
    <row r="3859" spans="1:13">
      <c r="A3859" s="93">
        <v>454306</v>
      </c>
      <c r="B3859" t="s">
        <v>4368</v>
      </c>
      <c r="C3859" t="s">
        <v>4919</v>
      </c>
      <c r="D3859" s="92">
        <v>0.59</v>
      </c>
      <c r="E3859" s="92">
        <v>0.54</v>
      </c>
      <c r="F3859" t="s">
        <v>446</v>
      </c>
      <c r="G3859" t="s">
        <v>446</v>
      </c>
      <c r="H3859" t="s">
        <v>4932</v>
      </c>
      <c r="I3859">
        <v>0</v>
      </c>
      <c r="J3859" t="s">
        <v>97</v>
      </c>
      <c r="K3859">
        <v>0</v>
      </c>
      <c r="L3859">
        <v>0</v>
      </c>
      <c r="M3859" t="s">
        <v>11</v>
      </c>
    </row>
    <row r="3860" spans="1:13">
      <c r="A3860" s="93">
        <v>454458</v>
      </c>
      <c r="B3860" t="s">
        <v>4369</v>
      </c>
      <c r="C3860" t="s">
        <v>4919</v>
      </c>
      <c r="D3860" s="92" t="s">
        <v>446</v>
      </c>
      <c r="E3860" s="92" t="s">
        <v>446</v>
      </c>
      <c r="F3860" t="s">
        <v>446</v>
      </c>
      <c r="G3860" t="s">
        <v>446</v>
      </c>
      <c r="H3860" t="s">
        <v>4930</v>
      </c>
      <c r="I3860">
        <v>0</v>
      </c>
      <c r="J3860" t="s">
        <v>97</v>
      </c>
      <c r="K3860">
        <v>0</v>
      </c>
      <c r="L3860">
        <v>0</v>
      </c>
      <c r="M3860" t="s">
        <v>11</v>
      </c>
    </row>
    <row r="3861" spans="1:13">
      <c r="A3861" s="93">
        <v>454537</v>
      </c>
      <c r="B3861" t="s">
        <v>4370</v>
      </c>
      <c r="C3861" t="s">
        <v>4919</v>
      </c>
      <c r="D3861" s="92" t="s">
        <v>446</v>
      </c>
      <c r="E3861" s="92" t="s">
        <v>446</v>
      </c>
      <c r="F3861" t="s">
        <v>446</v>
      </c>
      <c r="G3861" t="s">
        <v>446</v>
      </c>
      <c r="H3861" t="s">
        <v>4931</v>
      </c>
      <c r="I3861">
        <v>0</v>
      </c>
      <c r="J3861" t="s">
        <v>97</v>
      </c>
      <c r="K3861">
        <v>0</v>
      </c>
      <c r="L3861">
        <v>0</v>
      </c>
      <c r="M3861" t="s">
        <v>11</v>
      </c>
    </row>
    <row r="3862" spans="1:13">
      <c r="A3862" s="93">
        <v>454582</v>
      </c>
      <c r="B3862" t="s">
        <v>4371</v>
      </c>
      <c r="C3862" t="s">
        <v>4923</v>
      </c>
      <c r="D3862" s="92" t="s">
        <v>446</v>
      </c>
      <c r="E3862" s="92" t="s">
        <v>446</v>
      </c>
      <c r="F3862" t="s">
        <v>446</v>
      </c>
      <c r="G3862" t="s">
        <v>446</v>
      </c>
      <c r="H3862" t="s">
        <v>4932</v>
      </c>
      <c r="I3862">
        <v>0</v>
      </c>
      <c r="J3862" t="s">
        <v>97</v>
      </c>
      <c r="K3862">
        <v>0</v>
      </c>
      <c r="L3862">
        <v>0</v>
      </c>
      <c r="M3862" t="s">
        <v>11</v>
      </c>
    </row>
    <row r="3863" spans="1:13">
      <c r="A3863" s="93">
        <v>454616</v>
      </c>
      <c r="B3863" t="s">
        <v>4372</v>
      </c>
      <c r="C3863" t="s">
        <v>4923</v>
      </c>
      <c r="D3863" s="92" t="s">
        <v>446</v>
      </c>
      <c r="E3863" s="92" t="s">
        <v>446</v>
      </c>
      <c r="F3863" t="s">
        <v>446</v>
      </c>
      <c r="G3863" t="s">
        <v>446</v>
      </c>
      <c r="H3863" t="s">
        <v>4930</v>
      </c>
      <c r="I3863">
        <v>0</v>
      </c>
      <c r="J3863" t="s">
        <v>97</v>
      </c>
      <c r="K3863">
        <v>0</v>
      </c>
      <c r="L3863">
        <v>0</v>
      </c>
      <c r="M3863" t="s">
        <v>11</v>
      </c>
    </row>
    <row r="3864" spans="1:13">
      <c r="A3864" s="93">
        <v>454689</v>
      </c>
      <c r="B3864" t="s">
        <v>4373</v>
      </c>
      <c r="C3864" t="s">
        <v>4924</v>
      </c>
      <c r="D3864" s="92" t="s">
        <v>446</v>
      </c>
      <c r="E3864" s="92" t="s">
        <v>446</v>
      </c>
      <c r="F3864" t="s">
        <v>446</v>
      </c>
      <c r="G3864" t="s">
        <v>446</v>
      </c>
      <c r="H3864" t="s">
        <v>4932</v>
      </c>
      <c r="I3864">
        <v>0</v>
      </c>
      <c r="J3864" t="s">
        <v>97</v>
      </c>
      <c r="K3864">
        <v>0</v>
      </c>
      <c r="L3864">
        <v>0</v>
      </c>
      <c r="M3864" t="s">
        <v>11</v>
      </c>
    </row>
    <row r="3865" spans="1:13">
      <c r="A3865" s="93">
        <v>454698</v>
      </c>
      <c r="B3865" t="s">
        <v>4374</v>
      </c>
      <c r="C3865" t="s">
        <v>4919</v>
      </c>
      <c r="D3865" s="92" t="s">
        <v>446</v>
      </c>
      <c r="E3865" s="92" t="s">
        <v>446</v>
      </c>
      <c r="F3865" t="s">
        <v>446</v>
      </c>
      <c r="G3865" t="s">
        <v>446</v>
      </c>
      <c r="H3865" t="s">
        <v>4930</v>
      </c>
      <c r="I3865">
        <v>0</v>
      </c>
      <c r="J3865" t="s">
        <v>97</v>
      </c>
      <c r="K3865">
        <v>0</v>
      </c>
      <c r="L3865">
        <v>0</v>
      </c>
      <c r="M3865" t="s">
        <v>11</v>
      </c>
    </row>
    <row r="3866" spans="1:13">
      <c r="A3866" s="93">
        <v>454786</v>
      </c>
      <c r="B3866" t="s">
        <v>4375</v>
      </c>
      <c r="C3866" t="s">
        <v>4923</v>
      </c>
      <c r="D3866" s="92" t="s">
        <v>446</v>
      </c>
      <c r="E3866" s="92" t="s">
        <v>446</v>
      </c>
      <c r="F3866" t="s">
        <v>446</v>
      </c>
      <c r="G3866" t="s">
        <v>446</v>
      </c>
      <c r="H3866" t="s">
        <v>4931</v>
      </c>
      <c r="I3866">
        <v>0</v>
      </c>
      <c r="J3866" t="s">
        <v>97</v>
      </c>
      <c r="K3866">
        <v>0</v>
      </c>
      <c r="L3866">
        <v>0</v>
      </c>
      <c r="M3866" t="s">
        <v>11</v>
      </c>
    </row>
    <row r="3867" spans="1:13">
      <c r="A3867" s="93">
        <v>454810</v>
      </c>
      <c r="B3867" t="s">
        <v>4376</v>
      </c>
      <c r="C3867" t="s">
        <v>4919</v>
      </c>
      <c r="D3867" s="92">
        <v>0.48</v>
      </c>
      <c r="E3867" s="92">
        <v>0.46</v>
      </c>
      <c r="F3867" t="s">
        <v>446</v>
      </c>
      <c r="G3867" t="s">
        <v>446</v>
      </c>
      <c r="H3867" t="s">
        <v>4931</v>
      </c>
      <c r="I3867">
        <v>0</v>
      </c>
      <c r="J3867" t="s">
        <v>97</v>
      </c>
      <c r="K3867">
        <v>0</v>
      </c>
      <c r="L3867">
        <v>0</v>
      </c>
      <c r="M3867" t="s">
        <v>11</v>
      </c>
    </row>
    <row r="3868" spans="1:13">
      <c r="A3868" s="93">
        <v>454829</v>
      </c>
      <c r="B3868" t="s">
        <v>4377</v>
      </c>
      <c r="C3868" t="s">
        <v>4923</v>
      </c>
      <c r="D3868" s="92" t="s">
        <v>446</v>
      </c>
      <c r="E3868" s="92" t="s">
        <v>446</v>
      </c>
      <c r="F3868" t="s">
        <v>446</v>
      </c>
      <c r="G3868" t="s">
        <v>446</v>
      </c>
      <c r="H3868" t="s">
        <v>4931</v>
      </c>
      <c r="I3868">
        <v>0</v>
      </c>
      <c r="J3868" t="s">
        <v>97</v>
      </c>
      <c r="K3868">
        <v>0</v>
      </c>
      <c r="L3868">
        <v>0</v>
      </c>
      <c r="M3868" t="s">
        <v>11</v>
      </c>
    </row>
    <row r="3869" spans="1:13">
      <c r="A3869" s="93">
        <v>454838</v>
      </c>
      <c r="B3869" t="s">
        <v>4378</v>
      </c>
      <c r="C3869" t="s">
        <v>4924</v>
      </c>
      <c r="D3869" s="92" t="s">
        <v>446</v>
      </c>
      <c r="E3869" s="92" t="s">
        <v>446</v>
      </c>
      <c r="F3869" t="s">
        <v>446</v>
      </c>
      <c r="G3869" t="s">
        <v>446</v>
      </c>
      <c r="H3869" t="s">
        <v>4932</v>
      </c>
      <c r="I3869">
        <v>0</v>
      </c>
      <c r="J3869" t="s">
        <v>97</v>
      </c>
      <c r="K3869">
        <v>0</v>
      </c>
      <c r="L3869">
        <v>0</v>
      </c>
      <c r="M3869" t="s">
        <v>11</v>
      </c>
    </row>
    <row r="3870" spans="1:13">
      <c r="A3870" s="93">
        <v>454856</v>
      </c>
      <c r="B3870" t="s">
        <v>4379</v>
      </c>
      <c r="C3870" t="s">
        <v>4924</v>
      </c>
      <c r="D3870" s="92" t="s">
        <v>446</v>
      </c>
      <c r="E3870" s="92" t="s">
        <v>446</v>
      </c>
      <c r="F3870" t="s">
        <v>446</v>
      </c>
      <c r="G3870" t="s">
        <v>446</v>
      </c>
      <c r="H3870" t="s">
        <v>4932</v>
      </c>
      <c r="I3870">
        <v>0</v>
      </c>
      <c r="J3870" t="s">
        <v>97</v>
      </c>
      <c r="K3870">
        <v>0</v>
      </c>
      <c r="L3870">
        <v>0</v>
      </c>
      <c r="M3870" t="s">
        <v>11</v>
      </c>
    </row>
    <row r="3871" spans="1:13">
      <c r="A3871" s="93">
        <v>454865</v>
      </c>
      <c r="B3871" t="s">
        <v>4380</v>
      </c>
      <c r="C3871" t="s">
        <v>4923</v>
      </c>
      <c r="D3871" s="92" t="s">
        <v>446</v>
      </c>
      <c r="E3871" s="92" t="s">
        <v>446</v>
      </c>
      <c r="F3871" t="s">
        <v>446</v>
      </c>
      <c r="G3871" t="s">
        <v>446</v>
      </c>
      <c r="H3871" t="s">
        <v>4930</v>
      </c>
      <c r="I3871">
        <v>0</v>
      </c>
      <c r="J3871" t="s">
        <v>97</v>
      </c>
      <c r="K3871">
        <v>0</v>
      </c>
      <c r="L3871">
        <v>0</v>
      </c>
      <c r="M3871" t="s">
        <v>11</v>
      </c>
    </row>
    <row r="3872" spans="1:13">
      <c r="A3872" s="93">
        <v>454935</v>
      </c>
      <c r="B3872" t="s">
        <v>4381</v>
      </c>
      <c r="C3872" t="s">
        <v>4919</v>
      </c>
      <c r="D3872" s="92" t="s">
        <v>446</v>
      </c>
      <c r="E3872" s="92" t="s">
        <v>446</v>
      </c>
      <c r="F3872" t="s">
        <v>446</v>
      </c>
      <c r="G3872" t="s">
        <v>446</v>
      </c>
      <c r="H3872" t="s">
        <v>4928</v>
      </c>
      <c r="I3872">
        <v>1</v>
      </c>
      <c r="J3872" t="s">
        <v>97</v>
      </c>
      <c r="K3872">
        <v>0</v>
      </c>
      <c r="L3872">
        <v>0</v>
      </c>
      <c r="M3872" t="s">
        <v>11</v>
      </c>
    </row>
    <row r="3873" spans="1:13">
      <c r="A3873" s="93">
        <v>455099</v>
      </c>
      <c r="B3873" t="s">
        <v>4382</v>
      </c>
      <c r="C3873" t="s">
        <v>4924</v>
      </c>
      <c r="D3873" s="92" t="s">
        <v>446</v>
      </c>
      <c r="E3873" s="92" t="s">
        <v>446</v>
      </c>
      <c r="F3873" t="s">
        <v>446</v>
      </c>
      <c r="G3873" t="s">
        <v>446</v>
      </c>
      <c r="H3873" t="s">
        <v>4932</v>
      </c>
      <c r="I3873">
        <v>0</v>
      </c>
      <c r="J3873" t="s">
        <v>97</v>
      </c>
      <c r="K3873">
        <v>0</v>
      </c>
      <c r="L3873">
        <v>0</v>
      </c>
      <c r="M3873" t="s">
        <v>11</v>
      </c>
    </row>
    <row r="3874" spans="1:13">
      <c r="A3874" s="93">
        <v>455114</v>
      </c>
      <c r="B3874" t="s">
        <v>4383</v>
      </c>
      <c r="C3874" t="s">
        <v>4919</v>
      </c>
      <c r="D3874" s="92">
        <v>0.3</v>
      </c>
      <c r="E3874" s="92">
        <v>0.25</v>
      </c>
      <c r="F3874" t="s">
        <v>446</v>
      </c>
      <c r="G3874" t="s">
        <v>446</v>
      </c>
      <c r="H3874" t="s">
        <v>4932</v>
      </c>
      <c r="I3874">
        <v>0</v>
      </c>
      <c r="J3874" t="s">
        <v>97</v>
      </c>
      <c r="K3874">
        <v>0</v>
      </c>
      <c r="L3874">
        <v>0</v>
      </c>
      <c r="M3874" t="s">
        <v>11</v>
      </c>
    </row>
    <row r="3875" spans="1:13">
      <c r="A3875" s="93">
        <v>455178</v>
      </c>
      <c r="B3875" t="s">
        <v>4384</v>
      </c>
      <c r="C3875" t="s">
        <v>4924</v>
      </c>
      <c r="D3875" s="92" t="s">
        <v>446</v>
      </c>
      <c r="E3875" s="92" t="s">
        <v>446</v>
      </c>
      <c r="F3875" t="s">
        <v>446</v>
      </c>
      <c r="G3875" t="s">
        <v>446</v>
      </c>
      <c r="H3875" t="s">
        <v>4932</v>
      </c>
      <c r="I3875">
        <v>0</v>
      </c>
      <c r="J3875" t="s">
        <v>97</v>
      </c>
      <c r="K3875">
        <v>0</v>
      </c>
      <c r="L3875">
        <v>0</v>
      </c>
      <c r="M3875" t="s">
        <v>11</v>
      </c>
    </row>
    <row r="3876" spans="1:13">
      <c r="A3876" s="93">
        <v>455196</v>
      </c>
      <c r="B3876" t="s">
        <v>4385</v>
      </c>
      <c r="C3876" t="s">
        <v>4925</v>
      </c>
      <c r="D3876" s="92" t="s">
        <v>446</v>
      </c>
      <c r="E3876" s="92" t="s">
        <v>446</v>
      </c>
      <c r="F3876" t="s">
        <v>446</v>
      </c>
      <c r="G3876" t="s">
        <v>446</v>
      </c>
      <c r="H3876" t="s">
        <v>4930</v>
      </c>
      <c r="I3876">
        <v>0</v>
      </c>
      <c r="J3876" t="s">
        <v>97</v>
      </c>
      <c r="K3876">
        <v>0</v>
      </c>
      <c r="L3876">
        <v>0</v>
      </c>
      <c r="M3876" t="s">
        <v>11</v>
      </c>
    </row>
    <row r="3877" spans="1:13">
      <c r="A3877" s="93">
        <v>455202</v>
      </c>
      <c r="B3877" t="s">
        <v>4386</v>
      </c>
      <c r="C3877" t="s">
        <v>4919</v>
      </c>
      <c r="D3877" s="92" t="s">
        <v>446</v>
      </c>
      <c r="E3877" s="92" t="s">
        <v>446</v>
      </c>
      <c r="F3877" t="s">
        <v>446</v>
      </c>
      <c r="G3877" t="s">
        <v>446</v>
      </c>
      <c r="H3877" t="s">
        <v>4932</v>
      </c>
      <c r="I3877">
        <v>0</v>
      </c>
      <c r="J3877" t="s">
        <v>97</v>
      </c>
      <c r="K3877">
        <v>0</v>
      </c>
      <c r="L3877">
        <v>0</v>
      </c>
      <c r="M3877" t="s">
        <v>11</v>
      </c>
    </row>
    <row r="3878" spans="1:13">
      <c r="A3878" s="93">
        <v>455257</v>
      </c>
      <c r="B3878" t="s">
        <v>4387</v>
      </c>
      <c r="C3878" t="s">
        <v>4924</v>
      </c>
      <c r="D3878" s="92">
        <v>0.51</v>
      </c>
      <c r="E3878" s="92" t="s">
        <v>446</v>
      </c>
      <c r="F3878" t="s">
        <v>446</v>
      </c>
      <c r="G3878" t="s">
        <v>446</v>
      </c>
      <c r="H3878" t="s">
        <v>4930</v>
      </c>
      <c r="I3878">
        <v>0</v>
      </c>
      <c r="J3878" t="s">
        <v>97</v>
      </c>
      <c r="K3878">
        <v>0</v>
      </c>
      <c r="L3878">
        <v>0</v>
      </c>
      <c r="M3878" t="s">
        <v>11</v>
      </c>
    </row>
    <row r="3879" spans="1:13">
      <c r="A3879" s="93">
        <v>455336</v>
      </c>
      <c r="B3879" t="s">
        <v>4388</v>
      </c>
      <c r="C3879" t="s">
        <v>4919</v>
      </c>
      <c r="D3879" s="92" t="s">
        <v>446</v>
      </c>
      <c r="E3879" s="92" t="s">
        <v>446</v>
      </c>
      <c r="F3879" t="s">
        <v>446</v>
      </c>
      <c r="G3879" t="s">
        <v>446</v>
      </c>
      <c r="H3879" t="s">
        <v>4930</v>
      </c>
      <c r="I3879">
        <v>0</v>
      </c>
      <c r="J3879" t="s">
        <v>97</v>
      </c>
      <c r="K3879">
        <v>0</v>
      </c>
      <c r="L3879">
        <v>0</v>
      </c>
      <c r="M3879" t="s">
        <v>11</v>
      </c>
    </row>
    <row r="3880" spans="1:13">
      <c r="A3880" s="93">
        <v>455406</v>
      </c>
      <c r="B3880" t="s">
        <v>4389</v>
      </c>
      <c r="C3880" t="s">
        <v>4924</v>
      </c>
      <c r="D3880" s="92" t="s">
        <v>446</v>
      </c>
      <c r="E3880" s="92" t="s">
        <v>446</v>
      </c>
      <c r="F3880" t="s">
        <v>446</v>
      </c>
      <c r="G3880" t="s">
        <v>446</v>
      </c>
      <c r="H3880" t="s">
        <v>4932</v>
      </c>
      <c r="I3880">
        <v>0</v>
      </c>
      <c r="J3880" t="s">
        <v>97</v>
      </c>
      <c r="K3880">
        <v>0</v>
      </c>
      <c r="L3880">
        <v>0</v>
      </c>
      <c r="M3880" t="s">
        <v>11</v>
      </c>
    </row>
    <row r="3881" spans="1:13">
      <c r="A3881" s="93">
        <v>455433</v>
      </c>
      <c r="B3881" t="s">
        <v>4390</v>
      </c>
      <c r="C3881" t="s">
        <v>4924</v>
      </c>
      <c r="D3881" s="92" t="s">
        <v>446</v>
      </c>
      <c r="E3881" s="92" t="s">
        <v>446</v>
      </c>
      <c r="F3881" t="s">
        <v>446</v>
      </c>
      <c r="G3881" t="s">
        <v>446</v>
      </c>
      <c r="H3881" t="s">
        <v>4932</v>
      </c>
      <c r="I3881">
        <v>0</v>
      </c>
      <c r="J3881" t="s">
        <v>97</v>
      </c>
      <c r="K3881">
        <v>0</v>
      </c>
      <c r="L3881">
        <v>0</v>
      </c>
      <c r="M3881" t="s">
        <v>11</v>
      </c>
    </row>
    <row r="3882" spans="1:13">
      <c r="A3882" s="93">
        <v>455479</v>
      </c>
      <c r="B3882" t="s">
        <v>4391</v>
      </c>
      <c r="C3882" t="s">
        <v>4919</v>
      </c>
      <c r="D3882" s="92" t="s">
        <v>446</v>
      </c>
      <c r="E3882" s="92" t="s">
        <v>446</v>
      </c>
      <c r="F3882" t="s">
        <v>446</v>
      </c>
      <c r="G3882" t="s">
        <v>446</v>
      </c>
      <c r="H3882" t="s">
        <v>4930</v>
      </c>
      <c r="I3882">
        <v>0</v>
      </c>
      <c r="J3882" t="s">
        <v>97</v>
      </c>
      <c r="K3882">
        <v>0</v>
      </c>
      <c r="L3882">
        <v>0</v>
      </c>
      <c r="M3882" t="s">
        <v>11</v>
      </c>
    </row>
    <row r="3883" spans="1:13">
      <c r="A3883" s="93">
        <v>455512</v>
      </c>
      <c r="B3883" t="s">
        <v>4392</v>
      </c>
      <c r="C3883" t="s">
        <v>4919</v>
      </c>
      <c r="D3883" s="92">
        <v>0.29</v>
      </c>
      <c r="E3883" s="92">
        <v>0.28</v>
      </c>
      <c r="F3883" t="s">
        <v>446</v>
      </c>
      <c r="G3883" t="s">
        <v>446</v>
      </c>
      <c r="H3883" t="s">
        <v>4932</v>
      </c>
      <c r="I3883">
        <v>0</v>
      </c>
      <c r="J3883" t="s">
        <v>97</v>
      </c>
      <c r="K3883">
        <v>0</v>
      </c>
      <c r="L3883">
        <v>0</v>
      </c>
      <c r="M3883" t="s">
        <v>11</v>
      </c>
    </row>
    <row r="3884" spans="1:13">
      <c r="A3884" s="93">
        <v>455628</v>
      </c>
      <c r="B3884" t="s">
        <v>4393</v>
      </c>
      <c r="C3884" t="s">
        <v>4919</v>
      </c>
      <c r="D3884" s="92" t="s">
        <v>446</v>
      </c>
      <c r="E3884" s="92" t="s">
        <v>446</v>
      </c>
      <c r="F3884" t="s">
        <v>446</v>
      </c>
      <c r="G3884" t="s">
        <v>446</v>
      </c>
      <c r="H3884" t="s">
        <v>4930</v>
      </c>
      <c r="I3884">
        <v>0</v>
      </c>
      <c r="J3884" t="s">
        <v>97</v>
      </c>
      <c r="K3884">
        <v>0</v>
      </c>
      <c r="L3884">
        <v>0</v>
      </c>
      <c r="M3884" t="s">
        <v>11</v>
      </c>
    </row>
    <row r="3885" spans="1:13">
      <c r="A3885" s="93">
        <v>455664</v>
      </c>
      <c r="B3885" t="s">
        <v>4394</v>
      </c>
      <c r="C3885" t="s">
        <v>4924</v>
      </c>
      <c r="D3885" s="92" t="s">
        <v>446</v>
      </c>
      <c r="E3885" s="92" t="s">
        <v>446</v>
      </c>
      <c r="F3885" t="s">
        <v>446</v>
      </c>
      <c r="G3885" t="s">
        <v>446</v>
      </c>
      <c r="H3885" t="s">
        <v>4930</v>
      </c>
      <c r="I3885">
        <v>0</v>
      </c>
      <c r="J3885" t="s">
        <v>97</v>
      </c>
      <c r="K3885">
        <v>0</v>
      </c>
      <c r="L3885">
        <v>0</v>
      </c>
      <c r="M3885" t="s">
        <v>11</v>
      </c>
    </row>
    <row r="3886" spans="1:13">
      <c r="A3886" s="93">
        <v>455707</v>
      </c>
      <c r="B3886" t="s">
        <v>4395</v>
      </c>
      <c r="C3886" t="s">
        <v>4919</v>
      </c>
      <c r="D3886" s="92" t="s">
        <v>446</v>
      </c>
      <c r="E3886" s="92" t="s">
        <v>446</v>
      </c>
      <c r="F3886" t="s">
        <v>446</v>
      </c>
      <c r="G3886" t="s">
        <v>446</v>
      </c>
      <c r="H3886" t="s">
        <v>4932</v>
      </c>
      <c r="I3886">
        <v>0</v>
      </c>
      <c r="J3886" t="s">
        <v>97</v>
      </c>
      <c r="K3886">
        <v>0</v>
      </c>
      <c r="L3886">
        <v>0</v>
      </c>
      <c r="M3886" t="s">
        <v>11</v>
      </c>
    </row>
    <row r="3887" spans="1:13">
      <c r="A3887" s="93">
        <v>455770</v>
      </c>
      <c r="B3887" t="s">
        <v>4396</v>
      </c>
      <c r="C3887" t="s">
        <v>4924</v>
      </c>
      <c r="D3887" s="92">
        <v>0.39</v>
      </c>
      <c r="E3887" s="92">
        <v>0.19</v>
      </c>
      <c r="F3887" t="s">
        <v>446</v>
      </c>
      <c r="G3887" t="s">
        <v>446</v>
      </c>
      <c r="H3887" t="s">
        <v>4930</v>
      </c>
      <c r="I3887">
        <v>0</v>
      </c>
      <c r="J3887" t="s">
        <v>97</v>
      </c>
      <c r="K3887">
        <v>0</v>
      </c>
      <c r="L3887">
        <v>0</v>
      </c>
      <c r="M3887" t="s">
        <v>11</v>
      </c>
    </row>
    <row r="3888" spans="1:13">
      <c r="A3888" s="93">
        <v>455804</v>
      </c>
      <c r="B3888" t="s">
        <v>4397</v>
      </c>
      <c r="C3888" t="s">
        <v>4924</v>
      </c>
      <c r="D3888" s="92" t="s">
        <v>446</v>
      </c>
      <c r="E3888" s="92" t="s">
        <v>446</v>
      </c>
      <c r="F3888" t="s">
        <v>446</v>
      </c>
      <c r="G3888" t="s">
        <v>446</v>
      </c>
      <c r="H3888" t="s">
        <v>4932</v>
      </c>
      <c r="I3888">
        <v>0</v>
      </c>
      <c r="J3888" t="s">
        <v>97</v>
      </c>
      <c r="K3888">
        <v>0</v>
      </c>
      <c r="L3888">
        <v>0</v>
      </c>
      <c r="M3888" t="s">
        <v>11</v>
      </c>
    </row>
    <row r="3889" spans="1:13">
      <c r="A3889" s="93">
        <v>455813</v>
      </c>
      <c r="B3889" t="s">
        <v>4398</v>
      </c>
      <c r="C3889" t="s">
        <v>4924</v>
      </c>
      <c r="D3889" s="92" t="s">
        <v>446</v>
      </c>
      <c r="E3889" s="92" t="s">
        <v>446</v>
      </c>
      <c r="F3889" t="s">
        <v>446</v>
      </c>
      <c r="G3889" t="s">
        <v>446</v>
      </c>
      <c r="H3889" t="s">
        <v>4932</v>
      </c>
      <c r="I3889">
        <v>0</v>
      </c>
      <c r="J3889" t="s">
        <v>97</v>
      </c>
      <c r="K3889">
        <v>0</v>
      </c>
      <c r="L3889">
        <v>0</v>
      </c>
      <c r="M3889" t="s">
        <v>11</v>
      </c>
    </row>
    <row r="3890" spans="1:13">
      <c r="A3890" s="93">
        <v>455868</v>
      </c>
      <c r="B3890" t="s">
        <v>4399</v>
      </c>
      <c r="C3890" t="s">
        <v>4919</v>
      </c>
      <c r="D3890" s="92" t="s">
        <v>446</v>
      </c>
      <c r="E3890" s="92" t="s">
        <v>446</v>
      </c>
      <c r="F3890" t="s">
        <v>446</v>
      </c>
      <c r="G3890" t="s">
        <v>446</v>
      </c>
      <c r="H3890" t="s">
        <v>4930</v>
      </c>
      <c r="I3890">
        <v>0</v>
      </c>
      <c r="J3890" t="s">
        <v>97</v>
      </c>
      <c r="K3890">
        <v>0</v>
      </c>
      <c r="L3890">
        <v>0</v>
      </c>
      <c r="M3890" t="s">
        <v>11</v>
      </c>
    </row>
    <row r="3891" spans="1:13">
      <c r="A3891" s="93">
        <v>455956</v>
      </c>
      <c r="B3891" t="s">
        <v>4400</v>
      </c>
      <c r="C3891" t="s">
        <v>4919</v>
      </c>
      <c r="D3891" s="92" t="s">
        <v>446</v>
      </c>
      <c r="E3891" s="92" t="s">
        <v>446</v>
      </c>
      <c r="F3891" t="s">
        <v>446</v>
      </c>
      <c r="G3891" t="s">
        <v>446</v>
      </c>
      <c r="H3891" t="s">
        <v>4932</v>
      </c>
      <c r="I3891">
        <v>0</v>
      </c>
      <c r="J3891" t="s">
        <v>97</v>
      </c>
      <c r="K3891">
        <v>0</v>
      </c>
      <c r="L3891">
        <v>0</v>
      </c>
      <c r="M3891" t="s">
        <v>11</v>
      </c>
    </row>
    <row r="3892" spans="1:13">
      <c r="A3892" s="93">
        <v>455983</v>
      </c>
      <c r="B3892" t="s">
        <v>1315</v>
      </c>
      <c r="C3892" t="s">
        <v>4919</v>
      </c>
      <c r="D3892" s="92">
        <v>0.6899999999999999</v>
      </c>
      <c r="E3892" s="92">
        <v>0.62</v>
      </c>
      <c r="F3892" t="s">
        <v>446</v>
      </c>
      <c r="G3892" t="s">
        <v>446</v>
      </c>
      <c r="H3892" t="s">
        <v>4931</v>
      </c>
      <c r="I3892">
        <v>0</v>
      </c>
      <c r="J3892" t="s">
        <v>97</v>
      </c>
      <c r="K3892">
        <v>0</v>
      </c>
      <c r="L3892">
        <v>0</v>
      </c>
      <c r="M3892" t="s">
        <v>11</v>
      </c>
    </row>
    <row r="3893" spans="1:13">
      <c r="A3893" s="93">
        <v>455992</v>
      </c>
      <c r="B3893" t="s">
        <v>4401</v>
      </c>
      <c r="C3893" t="s">
        <v>4924</v>
      </c>
      <c r="D3893" s="92" t="s">
        <v>446</v>
      </c>
      <c r="E3893" s="92" t="s">
        <v>446</v>
      </c>
      <c r="F3893" t="s">
        <v>446</v>
      </c>
      <c r="G3893" t="s">
        <v>446</v>
      </c>
      <c r="H3893" t="s">
        <v>4932</v>
      </c>
      <c r="I3893">
        <v>0</v>
      </c>
      <c r="J3893" t="s">
        <v>97</v>
      </c>
      <c r="K3893">
        <v>0</v>
      </c>
      <c r="L3893">
        <v>0</v>
      </c>
      <c r="M3893" t="s">
        <v>11</v>
      </c>
    </row>
    <row r="3894" spans="1:13">
      <c r="A3894" s="93">
        <v>456038</v>
      </c>
      <c r="B3894" t="s">
        <v>4402</v>
      </c>
      <c r="C3894" t="s">
        <v>4919</v>
      </c>
      <c r="D3894" s="92">
        <v>0.73</v>
      </c>
      <c r="E3894" s="92">
        <v>0.74</v>
      </c>
      <c r="F3894" t="s">
        <v>446</v>
      </c>
      <c r="G3894" t="s">
        <v>446</v>
      </c>
      <c r="H3894" t="s">
        <v>4930</v>
      </c>
      <c r="I3894">
        <v>0</v>
      </c>
      <c r="J3894" t="s">
        <v>97</v>
      </c>
      <c r="K3894">
        <v>0</v>
      </c>
      <c r="L3894">
        <v>0</v>
      </c>
      <c r="M3894" t="s">
        <v>11</v>
      </c>
    </row>
    <row r="3895" spans="1:13">
      <c r="A3895" s="93">
        <v>456153</v>
      </c>
      <c r="B3895" t="s">
        <v>4403</v>
      </c>
      <c r="C3895" t="s">
        <v>4919</v>
      </c>
      <c r="D3895" s="92" t="s">
        <v>446</v>
      </c>
      <c r="E3895" s="92" t="s">
        <v>446</v>
      </c>
      <c r="F3895" t="s">
        <v>446</v>
      </c>
      <c r="G3895" t="s">
        <v>446</v>
      </c>
      <c r="H3895" t="s">
        <v>4930</v>
      </c>
      <c r="I3895">
        <v>0</v>
      </c>
      <c r="J3895" t="s">
        <v>97</v>
      </c>
      <c r="K3895">
        <v>0</v>
      </c>
      <c r="L3895">
        <v>0</v>
      </c>
      <c r="M3895" t="s">
        <v>11</v>
      </c>
    </row>
    <row r="3896" spans="1:13">
      <c r="A3896" s="93">
        <v>456205</v>
      </c>
      <c r="B3896" t="s">
        <v>4404</v>
      </c>
      <c r="C3896" t="s">
        <v>4919</v>
      </c>
      <c r="D3896" s="92" t="s">
        <v>446</v>
      </c>
      <c r="E3896" s="92" t="s">
        <v>446</v>
      </c>
      <c r="F3896" t="s">
        <v>446</v>
      </c>
      <c r="G3896" t="s">
        <v>446</v>
      </c>
      <c r="H3896" t="s">
        <v>4930</v>
      </c>
      <c r="I3896">
        <v>0</v>
      </c>
      <c r="J3896" t="s">
        <v>97</v>
      </c>
      <c r="K3896">
        <v>0</v>
      </c>
      <c r="L3896">
        <v>0</v>
      </c>
      <c r="M3896" t="s">
        <v>11</v>
      </c>
    </row>
    <row r="3897" spans="1:13">
      <c r="A3897" s="93">
        <v>456214</v>
      </c>
      <c r="B3897" t="s">
        <v>4405</v>
      </c>
      <c r="C3897" t="s">
        <v>4926</v>
      </c>
      <c r="D3897" s="92" t="s">
        <v>446</v>
      </c>
      <c r="E3897" s="92" t="s">
        <v>446</v>
      </c>
      <c r="F3897" t="s">
        <v>446</v>
      </c>
      <c r="G3897" t="s">
        <v>446</v>
      </c>
      <c r="H3897" t="s">
        <v>4930</v>
      </c>
      <c r="I3897">
        <v>0</v>
      </c>
      <c r="J3897" t="s">
        <v>97</v>
      </c>
      <c r="K3897">
        <v>0</v>
      </c>
      <c r="L3897">
        <v>0</v>
      </c>
      <c r="M3897" t="s">
        <v>11</v>
      </c>
    </row>
    <row r="3898" spans="1:13">
      <c r="A3898" s="93">
        <v>456287</v>
      </c>
      <c r="B3898" t="s">
        <v>4406</v>
      </c>
      <c r="C3898" t="s">
        <v>4919</v>
      </c>
      <c r="D3898" s="92" t="s">
        <v>446</v>
      </c>
      <c r="E3898" s="92" t="s">
        <v>446</v>
      </c>
      <c r="F3898" t="s">
        <v>446</v>
      </c>
      <c r="G3898" t="s">
        <v>446</v>
      </c>
      <c r="H3898" t="s">
        <v>4931</v>
      </c>
      <c r="I3898">
        <v>0</v>
      </c>
      <c r="J3898" t="s">
        <v>97</v>
      </c>
      <c r="K3898">
        <v>0</v>
      </c>
      <c r="L3898">
        <v>0</v>
      </c>
      <c r="M3898" t="s">
        <v>11</v>
      </c>
    </row>
    <row r="3899" spans="1:13">
      <c r="A3899" s="93">
        <v>456454</v>
      </c>
      <c r="B3899" t="s">
        <v>4407</v>
      </c>
      <c r="C3899" t="s">
        <v>4919</v>
      </c>
      <c r="D3899" s="92" t="s">
        <v>446</v>
      </c>
      <c r="E3899" s="92" t="s">
        <v>446</v>
      </c>
      <c r="F3899" t="s">
        <v>446</v>
      </c>
      <c r="G3899" t="s">
        <v>446</v>
      </c>
      <c r="H3899" t="s">
        <v>4930</v>
      </c>
      <c r="I3899">
        <v>0</v>
      </c>
      <c r="J3899" t="s">
        <v>97</v>
      </c>
      <c r="K3899">
        <v>0</v>
      </c>
      <c r="L3899">
        <v>0</v>
      </c>
      <c r="M3899" t="s">
        <v>11</v>
      </c>
    </row>
    <row r="3900" spans="1:13">
      <c r="A3900" s="93">
        <v>456481</v>
      </c>
      <c r="B3900" t="s">
        <v>4408</v>
      </c>
      <c r="C3900" t="s">
        <v>4923</v>
      </c>
      <c r="D3900" s="92">
        <v>1</v>
      </c>
      <c r="E3900" s="92">
        <v>1</v>
      </c>
      <c r="F3900" t="s">
        <v>446</v>
      </c>
      <c r="G3900" t="s">
        <v>446</v>
      </c>
      <c r="H3900" t="s">
        <v>4930</v>
      </c>
      <c r="I3900">
        <v>0</v>
      </c>
      <c r="J3900" t="s">
        <v>97</v>
      </c>
      <c r="K3900">
        <v>0</v>
      </c>
      <c r="L3900">
        <v>0</v>
      </c>
      <c r="M3900" t="s">
        <v>11</v>
      </c>
    </row>
    <row r="3901" spans="1:13">
      <c r="A3901" s="93">
        <v>456490</v>
      </c>
      <c r="B3901" t="s">
        <v>4409</v>
      </c>
      <c r="C3901" t="s">
        <v>4923</v>
      </c>
      <c r="D3901" s="92">
        <v>0.67</v>
      </c>
      <c r="E3901" s="92">
        <v>0.67</v>
      </c>
      <c r="F3901" t="s">
        <v>446</v>
      </c>
      <c r="G3901" t="s">
        <v>446</v>
      </c>
      <c r="H3901" t="s">
        <v>4930</v>
      </c>
      <c r="I3901">
        <v>0</v>
      </c>
      <c r="J3901" t="s">
        <v>97</v>
      </c>
      <c r="K3901">
        <v>0</v>
      </c>
      <c r="L3901">
        <v>0</v>
      </c>
      <c r="M3901" t="s">
        <v>11</v>
      </c>
    </row>
    <row r="3902" spans="1:13">
      <c r="A3902" s="93">
        <v>456506</v>
      </c>
      <c r="B3902" t="s">
        <v>4410</v>
      </c>
      <c r="C3902" t="s">
        <v>4919</v>
      </c>
      <c r="D3902" s="92" t="s">
        <v>446</v>
      </c>
      <c r="E3902" s="92" t="s">
        <v>446</v>
      </c>
      <c r="F3902" t="s">
        <v>446</v>
      </c>
      <c r="G3902" t="s">
        <v>446</v>
      </c>
      <c r="H3902" t="s">
        <v>4930</v>
      </c>
      <c r="I3902">
        <v>0</v>
      </c>
      <c r="J3902" t="s">
        <v>97</v>
      </c>
      <c r="K3902">
        <v>0</v>
      </c>
      <c r="L3902">
        <v>0</v>
      </c>
      <c r="M3902" t="s">
        <v>11</v>
      </c>
    </row>
    <row r="3903" spans="1:13">
      <c r="A3903" s="93">
        <v>456542</v>
      </c>
      <c r="B3903" t="s">
        <v>4411</v>
      </c>
      <c r="C3903" t="s">
        <v>4924</v>
      </c>
      <c r="D3903" s="92" t="s">
        <v>446</v>
      </c>
      <c r="E3903" s="92" t="s">
        <v>446</v>
      </c>
      <c r="F3903" t="s">
        <v>446</v>
      </c>
      <c r="G3903" t="s">
        <v>446</v>
      </c>
      <c r="H3903" t="s">
        <v>4932</v>
      </c>
      <c r="I3903">
        <v>0</v>
      </c>
      <c r="J3903" t="s">
        <v>97</v>
      </c>
      <c r="K3903">
        <v>0</v>
      </c>
      <c r="L3903">
        <v>0</v>
      </c>
      <c r="M3903" t="s">
        <v>11</v>
      </c>
    </row>
    <row r="3904" spans="1:13">
      <c r="A3904" s="93">
        <v>456551</v>
      </c>
      <c r="B3904" t="s">
        <v>4412</v>
      </c>
      <c r="C3904" t="s">
        <v>4919</v>
      </c>
      <c r="D3904" s="92" t="s">
        <v>446</v>
      </c>
      <c r="E3904" s="92" t="s">
        <v>446</v>
      </c>
      <c r="F3904" t="s">
        <v>446</v>
      </c>
      <c r="G3904" t="s">
        <v>446</v>
      </c>
      <c r="H3904" t="s">
        <v>4931</v>
      </c>
      <c r="I3904">
        <v>0</v>
      </c>
      <c r="J3904" t="s">
        <v>97</v>
      </c>
      <c r="K3904">
        <v>0</v>
      </c>
      <c r="L3904">
        <v>0</v>
      </c>
      <c r="M3904" t="s">
        <v>11</v>
      </c>
    </row>
    <row r="3905" spans="1:13">
      <c r="A3905" s="93">
        <v>456579</v>
      </c>
      <c r="B3905" t="s">
        <v>4413</v>
      </c>
      <c r="C3905" t="s">
        <v>4919</v>
      </c>
      <c r="D3905" s="92" t="s">
        <v>446</v>
      </c>
      <c r="E3905" s="92" t="s">
        <v>446</v>
      </c>
      <c r="F3905" t="s">
        <v>446</v>
      </c>
      <c r="G3905" t="s">
        <v>446</v>
      </c>
      <c r="H3905" t="s">
        <v>4930</v>
      </c>
      <c r="I3905">
        <v>0</v>
      </c>
      <c r="J3905" t="s">
        <v>97</v>
      </c>
      <c r="K3905">
        <v>0</v>
      </c>
      <c r="L3905">
        <v>0</v>
      </c>
      <c r="M3905" t="s">
        <v>11</v>
      </c>
    </row>
    <row r="3906" spans="1:13">
      <c r="A3906" s="93">
        <v>456621</v>
      </c>
      <c r="B3906" t="s">
        <v>4414</v>
      </c>
      <c r="C3906" t="s">
        <v>4923</v>
      </c>
      <c r="D3906" s="92" t="s">
        <v>446</v>
      </c>
      <c r="E3906" s="92" t="s">
        <v>446</v>
      </c>
      <c r="F3906" t="s">
        <v>446</v>
      </c>
      <c r="G3906" t="s">
        <v>446</v>
      </c>
      <c r="H3906" t="s">
        <v>4930</v>
      </c>
      <c r="I3906">
        <v>0</v>
      </c>
      <c r="J3906" t="s">
        <v>97</v>
      </c>
      <c r="K3906">
        <v>0</v>
      </c>
      <c r="L3906">
        <v>0</v>
      </c>
      <c r="M3906" t="s">
        <v>11</v>
      </c>
    </row>
    <row r="3907" spans="1:13">
      <c r="A3907" s="93">
        <v>456852</v>
      </c>
      <c r="B3907" t="s">
        <v>4415</v>
      </c>
      <c r="C3907" t="s">
        <v>4926</v>
      </c>
      <c r="D3907" s="92">
        <v>0.66</v>
      </c>
      <c r="E3907" s="92">
        <v>0.67</v>
      </c>
      <c r="F3907" t="s">
        <v>446</v>
      </c>
      <c r="G3907" t="s">
        <v>446</v>
      </c>
      <c r="H3907" t="s">
        <v>4930</v>
      </c>
      <c r="I3907">
        <v>0</v>
      </c>
      <c r="J3907" t="s">
        <v>97</v>
      </c>
      <c r="K3907">
        <v>0</v>
      </c>
      <c r="L3907">
        <v>0</v>
      </c>
      <c r="M3907" t="s">
        <v>11</v>
      </c>
    </row>
    <row r="3908" spans="1:13">
      <c r="A3908" s="93">
        <v>456959</v>
      </c>
      <c r="B3908" t="s">
        <v>4416</v>
      </c>
      <c r="C3908" t="s">
        <v>4916</v>
      </c>
      <c r="D3908" s="92">
        <v>0.54</v>
      </c>
      <c r="E3908" s="92">
        <v>0.37</v>
      </c>
      <c r="F3908">
        <v>1110</v>
      </c>
      <c r="G3908">
        <v>1225</v>
      </c>
      <c r="H3908" t="s">
        <v>4932</v>
      </c>
      <c r="I3908">
        <v>0</v>
      </c>
      <c r="J3908" t="s">
        <v>97</v>
      </c>
      <c r="K3908">
        <v>0</v>
      </c>
      <c r="L3908">
        <v>0</v>
      </c>
      <c r="M3908" t="s">
        <v>11</v>
      </c>
    </row>
    <row r="3909" spans="1:13">
      <c r="A3909" s="93">
        <v>456968</v>
      </c>
      <c r="B3909" t="s">
        <v>4417</v>
      </c>
      <c r="C3909" t="s">
        <v>4919</v>
      </c>
      <c r="D3909" s="92" t="s">
        <v>446</v>
      </c>
      <c r="E3909" s="92" t="s">
        <v>446</v>
      </c>
      <c r="F3909" t="s">
        <v>446</v>
      </c>
      <c r="G3909" t="s">
        <v>446</v>
      </c>
      <c r="H3909" t="s">
        <v>4930</v>
      </c>
      <c r="I3909">
        <v>0</v>
      </c>
      <c r="J3909" t="s">
        <v>97</v>
      </c>
      <c r="K3909">
        <v>0</v>
      </c>
      <c r="L3909">
        <v>0</v>
      </c>
      <c r="M3909" t="s">
        <v>11</v>
      </c>
    </row>
    <row r="3910" spans="1:13">
      <c r="A3910" s="93">
        <v>456977</v>
      </c>
      <c r="B3910" t="s">
        <v>4418</v>
      </c>
      <c r="C3910" t="s">
        <v>4919</v>
      </c>
      <c r="D3910" s="92" t="s">
        <v>446</v>
      </c>
      <c r="E3910" s="92" t="s">
        <v>446</v>
      </c>
      <c r="F3910" t="s">
        <v>446</v>
      </c>
      <c r="G3910" t="s">
        <v>446</v>
      </c>
      <c r="H3910" t="s">
        <v>4930</v>
      </c>
      <c r="I3910">
        <v>0</v>
      </c>
      <c r="J3910" t="s">
        <v>97</v>
      </c>
      <c r="K3910">
        <v>0</v>
      </c>
      <c r="L3910">
        <v>0</v>
      </c>
      <c r="M3910" t="s">
        <v>11</v>
      </c>
    </row>
    <row r="3911" spans="1:13">
      <c r="A3911" s="93">
        <v>457086</v>
      </c>
      <c r="B3911" t="s">
        <v>4419</v>
      </c>
      <c r="C3911" t="s">
        <v>4923</v>
      </c>
      <c r="D3911" s="92" t="s">
        <v>446</v>
      </c>
      <c r="E3911" s="92" t="s">
        <v>446</v>
      </c>
      <c r="F3911" t="s">
        <v>446</v>
      </c>
      <c r="G3911" t="s">
        <v>446</v>
      </c>
      <c r="H3911" t="s">
        <v>4931</v>
      </c>
      <c r="I3911">
        <v>0</v>
      </c>
      <c r="J3911" t="s">
        <v>97</v>
      </c>
      <c r="K3911">
        <v>0</v>
      </c>
      <c r="L3911">
        <v>0</v>
      </c>
      <c r="M3911" t="s">
        <v>11</v>
      </c>
    </row>
    <row r="3912" spans="1:13">
      <c r="A3912" s="93">
        <v>457101</v>
      </c>
      <c r="B3912" t="s">
        <v>4420</v>
      </c>
      <c r="C3912" t="s">
        <v>4919</v>
      </c>
      <c r="D3912" s="92" t="s">
        <v>446</v>
      </c>
      <c r="E3912" s="92" t="s">
        <v>446</v>
      </c>
      <c r="F3912" t="s">
        <v>446</v>
      </c>
      <c r="G3912" t="s">
        <v>446</v>
      </c>
      <c r="H3912" t="s">
        <v>4930</v>
      </c>
      <c r="I3912">
        <v>0</v>
      </c>
      <c r="J3912" t="s">
        <v>97</v>
      </c>
      <c r="K3912">
        <v>0</v>
      </c>
      <c r="L3912">
        <v>0</v>
      </c>
      <c r="M3912" t="s">
        <v>11</v>
      </c>
    </row>
    <row r="3913" spans="1:13">
      <c r="A3913" s="93">
        <v>457110</v>
      </c>
      <c r="B3913" t="s">
        <v>4421</v>
      </c>
      <c r="C3913" t="s">
        <v>4919</v>
      </c>
      <c r="D3913" s="92" t="s">
        <v>446</v>
      </c>
      <c r="E3913" s="92" t="s">
        <v>446</v>
      </c>
      <c r="F3913" t="s">
        <v>446</v>
      </c>
      <c r="G3913" t="s">
        <v>446</v>
      </c>
      <c r="H3913" t="s">
        <v>4930</v>
      </c>
      <c r="I3913">
        <v>0</v>
      </c>
      <c r="J3913" t="s">
        <v>97</v>
      </c>
      <c r="K3913">
        <v>0</v>
      </c>
      <c r="L3913">
        <v>0</v>
      </c>
      <c r="M3913" t="s">
        <v>11</v>
      </c>
    </row>
    <row r="3914" spans="1:13">
      <c r="A3914" s="93">
        <v>457129</v>
      </c>
      <c r="B3914" t="s">
        <v>4422</v>
      </c>
      <c r="C3914" t="s">
        <v>4924</v>
      </c>
      <c r="D3914" s="92">
        <v>0.5</v>
      </c>
      <c r="E3914" s="92">
        <v>0.5</v>
      </c>
      <c r="F3914" t="s">
        <v>446</v>
      </c>
      <c r="G3914" t="s">
        <v>446</v>
      </c>
      <c r="H3914" t="s">
        <v>4930</v>
      </c>
      <c r="I3914">
        <v>0</v>
      </c>
      <c r="J3914" t="s">
        <v>97</v>
      </c>
      <c r="K3914">
        <v>0</v>
      </c>
      <c r="L3914">
        <v>0</v>
      </c>
      <c r="M3914" t="s">
        <v>11</v>
      </c>
    </row>
    <row r="3915" spans="1:13">
      <c r="A3915" s="93">
        <v>457226</v>
      </c>
      <c r="B3915" t="s">
        <v>4423</v>
      </c>
      <c r="C3915" t="s">
        <v>4923</v>
      </c>
      <c r="D3915" s="92">
        <v>1</v>
      </c>
      <c r="E3915" s="92">
        <v>1</v>
      </c>
      <c r="F3915" t="s">
        <v>446</v>
      </c>
      <c r="G3915" t="s">
        <v>446</v>
      </c>
      <c r="H3915" t="s">
        <v>4931</v>
      </c>
      <c r="I3915">
        <v>0</v>
      </c>
      <c r="J3915" t="s">
        <v>97</v>
      </c>
      <c r="K3915">
        <v>0</v>
      </c>
      <c r="L3915">
        <v>0</v>
      </c>
      <c r="M3915" t="s">
        <v>11</v>
      </c>
    </row>
    <row r="3916" spans="1:13">
      <c r="A3916" s="93">
        <v>457271</v>
      </c>
      <c r="B3916" t="s">
        <v>4424</v>
      </c>
      <c r="C3916" t="s">
        <v>4924</v>
      </c>
      <c r="D3916" s="92" t="s">
        <v>446</v>
      </c>
      <c r="E3916" s="92" t="s">
        <v>446</v>
      </c>
      <c r="F3916" t="s">
        <v>446</v>
      </c>
      <c r="G3916" t="s">
        <v>446</v>
      </c>
      <c r="H3916" t="s">
        <v>4932</v>
      </c>
      <c r="I3916">
        <v>0</v>
      </c>
      <c r="J3916" t="s">
        <v>97</v>
      </c>
      <c r="K3916">
        <v>0</v>
      </c>
      <c r="L3916">
        <v>0</v>
      </c>
      <c r="M3916" t="s">
        <v>11</v>
      </c>
    </row>
    <row r="3917" spans="1:13">
      <c r="A3917" s="93">
        <v>457299</v>
      </c>
      <c r="B3917" t="s">
        <v>4425</v>
      </c>
      <c r="C3917" t="s">
        <v>4923</v>
      </c>
      <c r="D3917" s="92">
        <v>0.71</v>
      </c>
      <c r="E3917" s="92" t="s">
        <v>446</v>
      </c>
      <c r="F3917" t="s">
        <v>446</v>
      </c>
      <c r="G3917" t="s">
        <v>446</v>
      </c>
      <c r="H3917" t="s">
        <v>4930</v>
      </c>
      <c r="I3917">
        <v>0</v>
      </c>
      <c r="J3917" t="s">
        <v>97</v>
      </c>
      <c r="K3917">
        <v>0</v>
      </c>
      <c r="L3917">
        <v>0</v>
      </c>
      <c r="M3917" t="s">
        <v>11</v>
      </c>
    </row>
    <row r="3918" spans="1:13">
      <c r="A3918" s="93">
        <v>457350</v>
      </c>
      <c r="B3918" t="s">
        <v>4426</v>
      </c>
      <c r="C3918" t="s">
        <v>4919</v>
      </c>
      <c r="D3918" s="92" t="s">
        <v>446</v>
      </c>
      <c r="E3918" s="92" t="s">
        <v>446</v>
      </c>
      <c r="F3918" t="s">
        <v>446</v>
      </c>
      <c r="G3918" t="s">
        <v>446</v>
      </c>
      <c r="H3918" t="s">
        <v>4932</v>
      </c>
      <c r="I3918">
        <v>0</v>
      </c>
      <c r="J3918" t="s">
        <v>97</v>
      </c>
      <c r="K3918">
        <v>0</v>
      </c>
      <c r="L3918">
        <v>0</v>
      </c>
      <c r="M3918" t="s">
        <v>11</v>
      </c>
    </row>
    <row r="3919" spans="1:13">
      <c r="A3919" s="93">
        <v>457387</v>
      </c>
      <c r="B3919" t="s">
        <v>4427</v>
      </c>
      <c r="C3919" t="s">
        <v>4919</v>
      </c>
      <c r="D3919" s="92" t="s">
        <v>446</v>
      </c>
      <c r="E3919" s="92" t="s">
        <v>446</v>
      </c>
      <c r="F3919" t="s">
        <v>446</v>
      </c>
      <c r="G3919" t="s">
        <v>446</v>
      </c>
      <c r="H3919" t="s">
        <v>4932</v>
      </c>
      <c r="I3919">
        <v>0</v>
      </c>
      <c r="J3919" t="s">
        <v>97</v>
      </c>
      <c r="K3919">
        <v>0</v>
      </c>
      <c r="L3919">
        <v>0</v>
      </c>
      <c r="M3919" t="s">
        <v>11</v>
      </c>
    </row>
    <row r="3920" spans="1:13">
      <c r="A3920" s="93">
        <v>457402</v>
      </c>
      <c r="B3920" t="s">
        <v>4428</v>
      </c>
      <c r="C3920" t="s">
        <v>4923</v>
      </c>
      <c r="D3920" s="92" t="s">
        <v>446</v>
      </c>
      <c r="E3920" s="92" t="s">
        <v>446</v>
      </c>
      <c r="F3920" t="s">
        <v>446</v>
      </c>
      <c r="G3920" t="s">
        <v>446</v>
      </c>
      <c r="H3920" t="s">
        <v>4931</v>
      </c>
      <c r="I3920">
        <v>0</v>
      </c>
      <c r="J3920" t="s">
        <v>97</v>
      </c>
      <c r="K3920">
        <v>0</v>
      </c>
      <c r="L3920">
        <v>0</v>
      </c>
      <c r="M3920" t="s">
        <v>11</v>
      </c>
    </row>
    <row r="3921" spans="1:13">
      <c r="A3921" s="93">
        <v>457411</v>
      </c>
      <c r="B3921" t="s">
        <v>4429</v>
      </c>
      <c r="C3921" t="s">
        <v>4919</v>
      </c>
      <c r="D3921" s="92" t="s">
        <v>446</v>
      </c>
      <c r="E3921" s="92" t="s">
        <v>446</v>
      </c>
      <c r="F3921" t="s">
        <v>446</v>
      </c>
      <c r="G3921" t="s">
        <v>446</v>
      </c>
      <c r="H3921" t="s">
        <v>4930</v>
      </c>
      <c r="I3921">
        <v>0</v>
      </c>
      <c r="J3921" t="s">
        <v>97</v>
      </c>
      <c r="K3921">
        <v>0</v>
      </c>
      <c r="L3921">
        <v>0</v>
      </c>
      <c r="M3921" t="s">
        <v>11</v>
      </c>
    </row>
    <row r="3922" spans="1:13">
      <c r="A3922" s="93">
        <v>457484</v>
      </c>
      <c r="B3922" t="s">
        <v>4430</v>
      </c>
      <c r="C3922" t="s">
        <v>4924</v>
      </c>
      <c r="D3922" s="92">
        <v>0.38</v>
      </c>
      <c r="E3922" s="92">
        <v>0.5</v>
      </c>
      <c r="F3922" t="s">
        <v>446</v>
      </c>
      <c r="G3922" t="s">
        <v>446</v>
      </c>
      <c r="H3922" t="s">
        <v>4930</v>
      </c>
      <c r="I3922">
        <v>0</v>
      </c>
      <c r="J3922" t="s">
        <v>97</v>
      </c>
      <c r="K3922">
        <v>0</v>
      </c>
      <c r="L3922">
        <v>0</v>
      </c>
      <c r="M3922" t="s">
        <v>11</v>
      </c>
    </row>
    <row r="3923" spans="1:13">
      <c r="A3923" s="93">
        <v>457527</v>
      </c>
      <c r="B3923" t="s">
        <v>4431</v>
      </c>
      <c r="C3923" t="s">
        <v>4923</v>
      </c>
      <c r="D3923" s="92" t="s">
        <v>446</v>
      </c>
      <c r="E3923" s="92" t="s">
        <v>446</v>
      </c>
      <c r="F3923" t="s">
        <v>446</v>
      </c>
      <c r="G3923" t="s">
        <v>446</v>
      </c>
      <c r="H3923" t="s">
        <v>4931</v>
      </c>
      <c r="I3923">
        <v>0</v>
      </c>
      <c r="J3923" t="s">
        <v>97</v>
      </c>
      <c r="K3923">
        <v>0</v>
      </c>
      <c r="L3923">
        <v>1</v>
      </c>
      <c r="M3923" t="s">
        <v>4935</v>
      </c>
    </row>
    <row r="3924" spans="1:13">
      <c r="A3924" s="93">
        <v>457536</v>
      </c>
      <c r="B3924" t="s">
        <v>4432</v>
      </c>
      <c r="C3924" t="s">
        <v>4919</v>
      </c>
      <c r="D3924" s="92" t="s">
        <v>446</v>
      </c>
      <c r="E3924" s="92" t="s">
        <v>446</v>
      </c>
      <c r="F3924" t="s">
        <v>446</v>
      </c>
      <c r="G3924" t="s">
        <v>446</v>
      </c>
      <c r="H3924" t="s">
        <v>4931</v>
      </c>
      <c r="I3924">
        <v>0</v>
      </c>
      <c r="J3924" t="s">
        <v>97</v>
      </c>
      <c r="K3924">
        <v>0</v>
      </c>
      <c r="L3924">
        <v>1</v>
      </c>
      <c r="M3924" t="s">
        <v>4935</v>
      </c>
    </row>
    <row r="3925" spans="1:13">
      <c r="A3925" s="93">
        <v>457651</v>
      </c>
      <c r="B3925" t="s">
        <v>4433</v>
      </c>
      <c r="C3925" t="s">
        <v>4919</v>
      </c>
      <c r="D3925" s="92" t="s">
        <v>446</v>
      </c>
      <c r="E3925" s="92" t="s">
        <v>446</v>
      </c>
      <c r="F3925" t="s">
        <v>446</v>
      </c>
      <c r="G3925" t="s">
        <v>446</v>
      </c>
      <c r="H3925" t="s">
        <v>4932</v>
      </c>
      <c r="I3925">
        <v>0</v>
      </c>
      <c r="J3925" t="s">
        <v>97</v>
      </c>
      <c r="K3925">
        <v>0</v>
      </c>
      <c r="L3925">
        <v>0</v>
      </c>
      <c r="M3925" t="s">
        <v>11</v>
      </c>
    </row>
    <row r="3926" spans="1:13">
      <c r="A3926" s="93">
        <v>457679</v>
      </c>
      <c r="B3926" t="s">
        <v>4434</v>
      </c>
      <c r="C3926" t="s">
        <v>4919</v>
      </c>
      <c r="D3926" s="92" t="s">
        <v>446</v>
      </c>
      <c r="E3926" s="92" t="s">
        <v>446</v>
      </c>
      <c r="F3926" t="s">
        <v>446</v>
      </c>
      <c r="G3926" t="s">
        <v>446</v>
      </c>
      <c r="H3926" t="s">
        <v>4932</v>
      </c>
      <c r="I3926">
        <v>0</v>
      </c>
      <c r="J3926" t="s">
        <v>97</v>
      </c>
      <c r="K3926">
        <v>0</v>
      </c>
      <c r="L3926">
        <v>0</v>
      </c>
      <c r="M3926" t="s">
        <v>11</v>
      </c>
    </row>
    <row r="3927" spans="1:13">
      <c r="A3927" s="93">
        <v>457697</v>
      </c>
      <c r="B3927" t="s">
        <v>4435</v>
      </c>
      <c r="C3927" t="s">
        <v>4923</v>
      </c>
      <c r="D3927" s="92" t="s">
        <v>446</v>
      </c>
      <c r="E3927" s="92" t="s">
        <v>446</v>
      </c>
      <c r="F3927" t="s">
        <v>446</v>
      </c>
      <c r="G3927" t="s">
        <v>446</v>
      </c>
      <c r="H3927" t="s">
        <v>4931</v>
      </c>
      <c r="I3927">
        <v>0</v>
      </c>
      <c r="J3927" t="s">
        <v>97</v>
      </c>
      <c r="K3927">
        <v>0</v>
      </c>
      <c r="L3927">
        <v>0</v>
      </c>
      <c r="M3927" t="s">
        <v>11</v>
      </c>
    </row>
    <row r="3928" spans="1:13">
      <c r="A3928" s="93">
        <v>457800</v>
      </c>
      <c r="B3928" t="s">
        <v>4436</v>
      </c>
      <c r="C3928" t="s">
        <v>4919</v>
      </c>
      <c r="D3928" s="92" t="s">
        <v>446</v>
      </c>
      <c r="E3928" s="92" t="s">
        <v>446</v>
      </c>
      <c r="F3928" t="s">
        <v>446</v>
      </c>
      <c r="G3928" t="s">
        <v>446</v>
      </c>
      <c r="H3928" t="s">
        <v>4930</v>
      </c>
      <c r="I3928">
        <v>0</v>
      </c>
      <c r="J3928" t="s">
        <v>97</v>
      </c>
      <c r="K3928">
        <v>0</v>
      </c>
      <c r="L3928">
        <v>0</v>
      </c>
      <c r="M3928" t="s">
        <v>11</v>
      </c>
    </row>
    <row r="3929" spans="1:13">
      <c r="A3929" s="93">
        <v>457916</v>
      </c>
      <c r="B3929" t="s">
        <v>4437</v>
      </c>
      <c r="C3929" t="s">
        <v>4919</v>
      </c>
      <c r="D3929" s="92" t="s">
        <v>446</v>
      </c>
      <c r="E3929" s="92" t="s">
        <v>446</v>
      </c>
      <c r="F3929" t="s">
        <v>446</v>
      </c>
      <c r="G3929" t="s">
        <v>446</v>
      </c>
      <c r="H3929" t="s">
        <v>4931</v>
      </c>
      <c r="I3929">
        <v>0</v>
      </c>
      <c r="J3929" t="s">
        <v>97</v>
      </c>
      <c r="K3929">
        <v>0</v>
      </c>
      <c r="L3929">
        <v>0</v>
      </c>
      <c r="M3929" t="s">
        <v>11</v>
      </c>
    </row>
    <row r="3930" spans="1:13">
      <c r="A3930" s="93">
        <v>457925</v>
      </c>
      <c r="B3930" t="s">
        <v>4438</v>
      </c>
      <c r="C3930" t="s">
        <v>4925</v>
      </c>
      <c r="D3930" s="92" t="s">
        <v>446</v>
      </c>
      <c r="E3930" s="92" t="s">
        <v>446</v>
      </c>
      <c r="F3930" t="s">
        <v>446</v>
      </c>
      <c r="G3930" t="s">
        <v>446</v>
      </c>
      <c r="H3930" t="s">
        <v>4930</v>
      </c>
      <c r="I3930">
        <v>0</v>
      </c>
      <c r="J3930" t="s">
        <v>97</v>
      </c>
      <c r="K3930">
        <v>0</v>
      </c>
      <c r="L3930">
        <v>0</v>
      </c>
      <c r="M3930" t="s">
        <v>11</v>
      </c>
    </row>
    <row r="3931" spans="1:13">
      <c r="A3931" s="93">
        <v>458034</v>
      </c>
      <c r="B3931" t="s">
        <v>4439</v>
      </c>
      <c r="C3931" t="s">
        <v>4919</v>
      </c>
      <c r="D3931" s="92" t="s">
        <v>446</v>
      </c>
      <c r="E3931" s="92" t="s">
        <v>446</v>
      </c>
      <c r="F3931" t="s">
        <v>446</v>
      </c>
      <c r="G3931" t="s">
        <v>446</v>
      </c>
      <c r="H3931" t="s">
        <v>4932</v>
      </c>
      <c r="I3931">
        <v>0</v>
      </c>
      <c r="J3931" t="s">
        <v>97</v>
      </c>
      <c r="K3931">
        <v>0</v>
      </c>
      <c r="L3931">
        <v>0</v>
      </c>
      <c r="M3931" t="s">
        <v>11</v>
      </c>
    </row>
    <row r="3932" spans="1:13">
      <c r="A3932" s="93">
        <v>458113</v>
      </c>
      <c r="B3932" t="s">
        <v>4440</v>
      </c>
      <c r="C3932" t="s">
        <v>4923</v>
      </c>
      <c r="D3932" s="92">
        <v>1</v>
      </c>
      <c r="E3932" s="92">
        <v>1</v>
      </c>
      <c r="F3932" t="s">
        <v>446</v>
      </c>
      <c r="G3932" t="s">
        <v>446</v>
      </c>
      <c r="H3932" t="s">
        <v>4929</v>
      </c>
      <c r="I3932">
        <v>1</v>
      </c>
      <c r="J3932" t="s">
        <v>97</v>
      </c>
      <c r="K3932">
        <v>0</v>
      </c>
      <c r="L3932">
        <v>0</v>
      </c>
      <c r="M3932" t="s">
        <v>11</v>
      </c>
    </row>
    <row r="3933" spans="1:13">
      <c r="A3933" s="93">
        <v>458140</v>
      </c>
      <c r="B3933" t="s">
        <v>4441</v>
      </c>
      <c r="C3933" t="s">
        <v>4919</v>
      </c>
      <c r="D3933" s="92" t="s">
        <v>446</v>
      </c>
      <c r="E3933" s="92" t="s">
        <v>446</v>
      </c>
      <c r="F3933" t="s">
        <v>446</v>
      </c>
      <c r="G3933" t="s">
        <v>446</v>
      </c>
      <c r="H3933" t="s">
        <v>4930</v>
      </c>
      <c r="I3933">
        <v>0</v>
      </c>
      <c r="J3933" t="s">
        <v>97</v>
      </c>
      <c r="K3933">
        <v>0</v>
      </c>
      <c r="L3933">
        <v>0</v>
      </c>
      <c r="M3933" t="s">
        <v>11</v>
      </c>
    </row>
    <row r="3934" spans="1:13">
      <c r="A3934" s="93">
        <v>458168</v>
      </c>
      <c r="B3934" t="s">
        <v>4442</v>
      </c>
      <c r="C3934" t="s">
        <v>4919</v>
      </c>
      <c r="D3934" s="92" t="s">
        <v>446</v>
      </c>
      <c r="E3934" s="92" t="s">
        <v>446</v>
      </c>
      <c r="F3934" t="s">
        <v>446</v>
      </c>
      <c r="G3934" t="s">
        <v>446</v>
      </c>
      <c r="H3934" t="s">
        <v>4931</v>
      </c>
      <c r="I3934">
        <v>0</v>
      </c>
      <c r="J3934" t="s">
        <v>97</v>
      </c>
      <c r="K3934">
        <v>0</v>
      </c>
      <c r="L3934">
        <v>0</v>
      </c>
      <c r="M3934" t="s">
        <v>11</v>
      </c>
    </row>
    <row r="3935" spans="1:13">
      <c r="A3935" s="93">
        <v>458210</v>
      </c>
      <c r="B3935" t="s">
        <v>4443</v>
      </c>
      <c r="C3935" t="s">
        <v>4923</v>
      </c>
      <c r="D3935" s="92">
        <v>0.6</v>
      </c>
      <c r="E3935" s="92">
        <v>0.6</v>
      </c>
      <c r="F3935" t="s">
        <v>446</v>
      </c>
      <c r="G3935" t="s">
        <v>446</v>
      </c>
      <c r="H3935" t="s">
        <v>4932</v>
      </c>
      <c r="I3935">
        <v>0</v>
      </c>
      <c r="J3935" t="s">
        <v>97</v>
      </c>
      <c r="K3935">
        <v>0</v>
      </c>
      <c r="L3935">
        <v>0</v>
      </c>
      <c r="M3935" t="s">
        <v>11</v>
      </c>
    </row>
    <row r="3936" spans="1:13">
      <c r="A3936" s="93">
        <v>458229</v>
      </c>
      <c r="B3936" t="s">
        <v>4444</v>
      </c>
      <c r="C3936" t="s">
        <v>4923</v>
      </c>
      <c r="D3936" s="92">
        <v>0.55</v>
      </c>
      <c r="E3936" s="92">
        <v>0.6</v>
      </c>
      <c r="F3936" t="s">
        <v>446</v>
      </c>
      <c r="G3936" t="s">
        <v>446</v>
      </c>
      <c r="H3936" t="s">
        <v>4930</v>
      </c>
      <c r="I3936">
        <v>0</v>
      </c>
      <c r="J3936" t="s">
        <v>97</v>
      </c>
      <c r="K3936">
        <v>0</v>
      </c>
      <c r="L3936">
        <v>0</v>
      </c>
      <c r="M3936" t="s">
        <v>11</v>
      </c>
    </row>
    <row r="3937" spans="1:13">
      <c r="A3937" s="93">
        <v>458405</v>
      </c>
      <c r="B3937" t="s">
        <v>4445</v>
      </c>
      <c r="C3937" t="s">
        <v>4919</v>
      </c>
      <c r="D3937" s="92" t="s">
        <v>446</v>
      </c>
      <c r="E3937" s="92" t="s">
        <v>446</v>
      </c>
      <c r="F3937" t="s">
        <v>446</v>
      </c>
      <c r="G3937" t="s">
        <v>446</v>
      </c>
      <c r="H3937" t="s">
        <v>4930</v>
      </c>
      <c r="I3937">
        <v>0</v>
      </c>
      <c r="J3937" t="s">
        <v>97</v>
      </c>
      <c r="K3937">
        <v>0</v>
      </c>
      <c r="L3937">
        <v>0</v>
      </c>
      <c r="M3937" t="s">
        <v>11</v>
      </c>
    </row>
    <row r="3938" spans="1:13">
      <c r="A3938" s="93">
        <v>458441</v>
      </c>
      <c r="B3938" t="s">
        <v>4446</v>
      </c>
      <c r="C3938" t="s">
        <v>4919</v>
      </c>
      <c r="D3938" s="92" t="s">
        <v>446</v>
      </c>
      <c r="E3938" s="92" t="s">
        <v>446</v>
      </c>
      <c r="F3938" t="s">
        <v>446</v>
      </c>
      <c r="G3938" t="s">
        <v>446</v>
      </c>
      <c r="H3938" t="s">
        <v>4930</v>
      </c>
      <c r="I3938">
        <v>0</v>
      </c>
      <c r="J3938" t="s">
        <v>97</v>
      </c>
      <c r="K3938">
        <v>0</v>
      </c>
      <c r="L3938">
        <v>0</v>
      </c>
      <c r="M3938" t="s">
        <v>11</v>
      </c>
    </row>
    <row r="3939" spans="1:13">
      <c r="A3939" s="93">
        <v>458496</v>
      </c>
      <c r="B3939" t="s">
        <v>4447</v>
      </c>
      <c r="C3939" t="s">
        <v>4923</v>
      </c>
      <c r="D3939" s="92">
        <v>0.47</v>
      </c>
      <c r="E3939" s="92">
        <v>0.42</v>
      </c>
      <c r="F3939" t="s">
        <v>446</v>
      </c>
      <c r="G3939" t="s">
        <v>446</v>
      </c>
      <c r="H3939" t="s">
        <v>4930</v>
      </c>
      <c r="I3939">
        <v>0</v>
      </c>
      <c r="J3939" t="s">
        <v>97</v>
      </c>
      <c r="K3939">
        <v>0</v>
      </c>
      <c r="L3939">
        <v>0</v>
      </c>
      <c r="M3939" t="s">
        <v>11</v>
      </c>
    </row>
    <row r="3940" spans="1:13">
      <c r="A3940" s="93">
        <v>458575</v>
      </c>
      <c r="B3940" t="s">
        <v>4448</v>
      </c>
      <c r="C3940" t="s">
        <v>4924</v>
      </c>
      <c r="D3940" s="92">
        <v>0.58</v>
      </c>
      <c r="E3940" s="92">
        <v>0</v>
      </c>
      <c r="F3940" t="s">
        <v>446</v>
      </c>
      <c r="G3940" t="s">
        <v>446</v>
      </c>
      <c r="H3940" t="s">
        <v>4932</v>
      </c>
      <c r="I3940">
        <v>0</v>
      </c>
      <c r="J3940" t="s">
        <v>97</v>
      </c>
      <c r="K3940">
        <v>0</v>
      </c>
      <c r="L3940">
        <v>0</v>
      </c>
      <c r="M3940" t="s">
        <v>11</v>
      </c>
    </row>
    <row r="3941" spans="1:13">
      <c r="A3941" s="93">
        <v>458681</v>
      </c>
      <c r="B3941" t="s">
        <v>4449</v>
      </c>
      <c r="C3941" t="s">
        <v>4919</v>
      </c>
      <c r="D3941" s="92" t="s">
        <v>446</v>
      </c>
      <c r="E3941" s="92" t="s">
        <v>446</v>
      </c>
      <c r="F3941" t="s">
        <v>446</v>
      </c>
      <c r="G3941" t="s">
        <v>446</v>
      </c>
      <c r="H3941" t="s">
        <v>4930</v>
      </c>
      <c r="I3941">
        <v>0</v>
      </c>
      <c r="J3941" t="s">
        <v>97</v>
      </c>
      <c r="K3941">
        <v>0</v>
      </c>
      <c r="L3941">
        <v>0</v>
      </c>
      <c r="M3941" t="s">
        <v>11</v>
      </c>
    </row>
    <row r="3942" spans="1:13">
      <c r="A3942" s="93">
        <v>458885</v>
      </c>
      <c r="B3942" t="s">
        <v>4450</v>
      </c>
      <c r="C3942" t="s">
        <v>4923</v>
      </c>
      <c r="D3942" s="92">
        <v>1</v>
      </c>
      <c r="E3942" s="92" t="s">
        <v>446</v>
      </c>
      <c r="F3942" t="s">
        <v>446</v>
      </c>
      <c r="G3942" t="s">
        <v>446</v>
      </c>
      <c r="H3942" t="s">
        <v>4930</v>
      </c>
      <c r="I3942">
        <v>0</v>
      </c>
      <c r="J3942" t="s">
        <v>97</v>
      </c>
      <c r="K3942">
        <v>0</v>
      </c>
      <c r="L3942">
        <v>0</v>
      </c>
      <c r="M3942" t="s">
        <v>11</v>
      </c>
    </row>
    <row r="3943" spans="1:13">
      <c r="A3943" s="93">
        <v>458919</v>
      </c>
      <c r="B3943" t="s">
        <v>4451</v>
      </c>
      <c r="C3943" t="s">
        <v>4923</v>
      </c>
      <c r="D3943" s="92">
        <v>0.09</v>
      </c>
      <c r="E3943" s="92">
        <v>0</v>
      </c>
      <c r="F3943" t="s">
        <v>446</v>
      </c>
      <c r="G3943" t="s">
        <v>446</v>
      </c>
      <c r="H3943" t="s">
        <v>4930</v>
      </c>
      <c r="I3943">
        <v>0</v>
      </c>
      <c r="J3943" t="s">
        <v>97</v>
      </c>
      <c r="K3943">
        <v>0</v>
      </c>
      <c r="L3943">
        <v>0</v>
      </c>
      <c r="M3943" t="s">
        <v>11</v>
      </c>
    </row>
    <row r="3944" spans="1:13">
      <c r="A3944" s="93">
        <v>458955</v>
      </c>
      <c r="B3944" t="s">
        <v>4452</v>
      </c>
      <c r="C3944" t="s">
        <v>4923</v>
      </c>
      <c r="D3944" s="92" t="s">
        <v>446</v>
      </c>
      <c r="E3944" s="92" t="s">
        <v>446</v>
      </c>
      <c r="F3944" t="s">
        <v>446</v>
      </c>
      <c r="G3944" t="s">
        <v>446</v>
      </c>
      <c r="H3944" t="s">
        <v>4932</v>
      </c>
      <c r="I3944">
        <v>0</v>
      </c>
      <c r="J3944" t="s">
        <v>97</v>
      </c>
      <c r="K3944">
        <v>0</v>
      </c>
      <c r="L3944">
        <v>0</v>
      </c>
      <c r="M3944" t="s">
        <v>11</v>
      </c>
    </row>
    <row r="3945" spans="1:13">
      <c r="A3945" s="93">
        <v>458964</v>
      </c>
      <c r="B3945" t="s">
        <v>4453</v>
      </c>
      <c r="C3945" t="s">
        <v>4923</v>
      </c>
      <c r="D3945" s="92">
        <v>0.5</v>
      </c>
      <c r="E3945" s="92" t="s">
        <v>446</v>
      </c>
      <c r="F3945" t="s">
        <v>446</v>
      </c>
      <c r="G3945" t="s">
        <v>446</v>
      </c>
      <c r="H3945" t="s">
        <v>4930</v>
      </c>
      <c r="I3945">
        <v>0</v>
      </c>
      <c r="J3945" t="s">
        <v>97</v>
      </c>
      <c r="K3945">
        <v>0</v>
      </c>
      <c r="L3945">
        <v>0</v>
      </c>
      <c r="M3945" t="s">
        <v>11</v>
      </c>
    </row>
    <row r="3946" spans="1:13">
      <c r="A3946" s="93">
        <v>458973</v>
      </c>
      <c r="B3946" t="s">
        <v>4454</v>
      </c>
      <c r="C3946" t="s">
        <v>4923</v>
      </c>
      <c r="D3946" s="92">
        <v>0.17</v>
      </c>
      <c r="E3946" s="92">
        <v>0.25</v>
      </c>
      <c r="F3946" t="s">
        <v>446</v>
      </c>
      <c r="G3946" t="s">
        <v>446</v>
      </c>
      <c r="H3946" t="s">
        <v>4930</v>
      </c>
      <c r="I3946">
        <v>0</v>
      </c>
      <c r="J3946" t="s">
        <v>97</v>
      </c>
      <c r="K3946">
        <v>0</v>
      </c>
      <c r="L3946">
        <v>0</v>
      </c>
      <c r="M3946" t="s">
        <v>11</v>
      </c>
    </row>
    <row r="3947" spans="1:13">
      <c r="A3947" s="93">
        <v>458982</v>
      </c>
      <c r="B3947" t="s">
        <v>4455</v>
      </c>
      <c r="C3947" t="s">
        <v>4923</v>
      </c>
      <c r="D3947" s="92">
        <v>0.22</v>
      </c>
      <c r="E3947" s="92">
        <v>0.18</v>
      </c>
      <c r="F3947" t="s">
        <v>446</v>
      </c>
      <c r="G3947" t="s">
        <v>446</v>
      </c>
      <c r="H3947" t="s">
        <v>4930</v>
      </c>
      <c r="I3947">
        <v>0</v>
      </c>
      <c r="J3947" t="s">
        <v>97</v>
      </c>
      <c r="K3947">
        <v>0</v>
      </c>
      <c r="L3947">
        <v>0</v>
      </c>
      <c r="M3947" t="s">
        <v>11</v>
      </c>
    </row>
    <row r="3948" spans="1:13">
      <c r="A3948" s="93">
        <v>459204</v>
      </c>
      <c r="B3948" t="s">
        <v>4456</v>
      </c>
      <c r="C3948" t="s">
        <v>4923</v>
      </c>
      <c r="D3948" s="92">
        <v>1</v>
      </c>
      <c r="E3948" s="92" t="s">
        <v>446</v>
      </c>
      <c r="F3948" t="s">
        <v>446</v>
      </c>
      <c r="G3948" t="s">
        <v>446</v>
      </c>
      <c r="H3948" t="s">
        <v>4930</v>
      </c>
      <c r="I3948">
        <v>0</v>
      </c>
      <c r="J3948" t="s">
        <v>97</v>
      </c>
      <c r="K3948">
        <v>0</v>
      </c>
      <c r="L3948">
        <v>0</v>
      </c>
      <c r="M3948" t="s">
        <v>11</v>
      </c>
    </row>
    <row r="3949" spans="1:13">
      <c r="A3949" s="93">
        <v>459213</v>
      </c>
      <c r="B3949" t="s">
        <v>4457</v>
      </c>
      <c r="C3949" t="s">
        <v>4923</v>
      </c>
      <c r="D3949" s="92" t="s">
        <v>446</v>
      </c>
      <c r="E3949" s="92" t="s">
        <v>446</v>
      </c>
      <c r="F3949" t="s">
        <v>446</v>
      </c>
      <c r="G3949" t="s">
        <v>446</v>
      </c>
      <c r="H3949" t="s">
        <v>4930</v>
      </c>
      <c r="I3949">
        <v>0</v>
      </c>
      <c r="J3949" t="s">
        <v>97</v>
      </c>
      <c r="K3949">
        <v>0</v>
      </c>
      <c r="L3949">
        <v>0</v>
      </c>
      <c r="M3949" t="s">
        <v>11</v>
      </c>
    </row>
    <row r="3950" spans="1:13">
      <c r="A3950" s="93">
        <v>459259</v>
      </c>
      <c r="B3950" t="s">
        <v>4458</v>
      </c>
      <c r="C3950" t="s">
        <v>4923</v>
      </c>
      <c r="D3950" s="92">
        <v>0.16</v>
      </c>
      <c r="E3950" s="92">
        <v>0.15</v>
      </c>
      <c r="F3950" t="s">
        <v>446</v>
      </c>
      <c r="G3950" t="s">
        <v>446</v>
      </c>
      <c r="H3950" t="s">
        <v>4932</v>
      </c>
      <c r="I3950">
        <v>0</v>
      </c>
      <c r="J3950" t="s">
        <v>97</v>
      </c>
      <c r="K3950">
        <v>0</v>
      </c>
      <c r="L3950">
        <v>0</v>
      </c>
      <c r="M3950" t="s">
        <v>11</v>
      </c>
    </row>
    <row r="3951" spans="1:13">
      <c r="A3951" s="93">
        <v>459268</v>
      </c>
      <c r="B3951" t="s">
        <v>4459</v>
      </c>
      <c r="C3951" t="s">
        <v>4923</v>
      </c>
      <c r="D3951" s="92">
        <v>0.5</v>
      </c>
      <c r="E3951" s="92">
        <v>1</v>
      </c>
      <c r="F3951" t="s">
        <v>446</v>
      </c>
      <c r="G3951" t="s">
        <v>446</v>
      </c>
      <c r="H3951" t="s">
        <v>4930</v>
      </c>
      <c r="I3951">
        <v>0</v>
      </c>
      <c r="J3951" t="s">
        <v>97</v>
      </c>
      <c r="K3951">
        <v>0</v>
      </c>
      <c r="L3951">
        <v>0</v>
      </c>
      <c r="M3951" t="s">
        <v>11</v>
      </c>
    </row>
    <row r="3952" spans="1:13">
      <c r="A3952" s="93">
        <v>459310</v>
      </c>
      <c r="B3952" t="s">
        <v>4460</v>
      </c>
      <c r="C3952" t="s">
        <v>4919</v>
      </c>
      <c r="D3952" s="92" t="s">
        <v>446</v>
      </c>
      <c r="E3952" s="92" t="s">
        <v>446</v>
      </c>
      <c r="F3952" t="s">
        <v>446</v>
      </c>
      <c r="G3952" t="s">
        <v>446</v>
      </c>
      <c r="H3952" t="s">
        <v>4930</v>
      </c>
      <c r="I3952">
        <v>0</v>
      </c>
      <c r="J3952" t="s">
        <v>97</v>
      </c>
      <c r="K3952">
        <v>0</v>
      </c>
      <c r="L3952">
        <v>0</v>
      </c>
      <c r="M3952" t="s">
        <v>11</v>
      </c>
    </row>
    <row r="3953" spans="1:13">
      <c r="A3953" s="93">
        <v>459329</v>
      </c>
      <c r="B3953" t="s">
        <v>4461</v>
      </c>
      <c r="C3953" t="s">
        <v>4919</v>
      </c>
      <c r="D3953" s="92" t="s">
        <v>446</v>
      </c>
      <c r="E3953" s="92" t="s">
        <v>446</v>
      </c>
      <c r="F3953" t="s">
        <v>446</v>
      </c>
      <c r="G3953" t="s">
        <v>446</v>
      </c>
      <c r="H3953" t="s">
        <v>4932</v>
      </c>
      <c r="I3953">
        <v>0</v>
      </c>
      <c r="J3953" t="s">
        <v>97</v>
      </c>
      <c r="K3953">
        <v>0</v>
      </c>
      <c r="L3953">
        <v>0</v>
      </c>
      <c r="M3953" t="s">
        <v>11</v>
      </c>
    </row>
    <row r="3954" spans="1:13">
      <c r="A3954" s="93">
        <v>459417</v>
      </c>
      <c r="B3954" t="s">
        <v>4462</v>
      </c>
      <c r="C3954" t="s">
        <v>4918</v>
      </c>
      <c r="D3954" s="92">
        <v>0.73</v>
      </c>
      <c r="E3954" s="92">
        <v>0</v>
      </c>
      <c r="F3954">
        <v>850</v>
      </c>
      <c r="G3954">
        <v>1005</v>
      </c>
      <c r="H3954" t="s">
        <v>4930</v>
      </c>
      <c r="I3954">
        <v>0</v>
      </c>
      <c r="J3954" t="s">
        <v>97</v>
      </c>
      <c r="K3954">
        <v>0</v>
      </c>
      <c r="L3954">
        <v>0</v>
      </c>
      <c r="M3954" t="s">
        <v>11</v>
      </c>
    </row>
    <row r="3955" spans="1:13">
      <c r="A3955" s="93">
        <v>459514</v>
      </c>
      <c r="B3955" t="s">
        <v>4463</v>
      </c>
      <c r="C3955" t="s">
        <v>4919</v>
      </c>
      <c r="D3955" s="92" t="s">
        <v>446</v>
      </c>
      <c r="E3955" s="92" t="s">
        <v>446</v>
      </c>
      <c r="F3955" t="s">
        <v>446</v>
      </c>
      <c r="G3955" t="s">
        <v>446</v>
      </c>
      <c r="H3955" t="s">
        <v>4929</v>
      </c>
      <c r="I3955">
        <v>1</v>
      </c>
      <c r="J3955" t="s">
        <v>97</v>
      </c>
      <c r="K3955">
        <v>0</v>
      </c>
      <c r="L3955">
        <v>0</v>
      </c>
      <c r="M3955" t="s">
        <v>11</v>
      </c>
    </row>
    <row r="3956" spans="1:13">
      <c r="A3956" s="93">
        <v>459550</v>
      </c>
      <c r="B3956" t="s">
        <v>4464</v>
      </c>
      <c r="C3956" t="s">
        <v>4919</v>
      </c>
      <c r="D3956" s="92" t="s">
        <v>446</v>
      </c>
      <c r="E3956" s="92" t="s">
        <v>446</v>
      </c>
      <c r="F3956" t="s">
        <v>446</v>
      </c>
      <c r="G3956" t="s">
        <v>446</v>
      </c>
      <c r="H3956" t="s">
        <v>4930</v>
      </c>
      <c r="I3956">
        <v>0</v>
      </c>
      <c r="J3956" t="s">
        <v>97</v>
      </c>
      <c r="K3956">
        <v>0</v>
      </c>
      <c r="L3956">
        <v>0</v>
      </c>
      <c r="M3956" t="s">
        <v>11</v>
      </c>
    </row>
    <row r="3957" spans="1:13">
      <c r="A3957" s="93">
        <v>459727</v>
      </c>
      <c r="B3957" t="s">
        <v>4465</v>
      </c>
      <c r="C3957" t="s">
        <v>4923</v>
      </c>
      <c r="D3957" s="92">
        <v>0.63</v>
      </c>
      <c r="E3957" s="92">
        <v>1</v>
      </c>
      <c r="F3957" t="s">
        <v>446</v>
      </c>
      <c r="G3957" t="s">
        <v>446</v>
      </c>
      <c r="H3957" t="s">
        <v>4930</v>
      </c>
      <c r="I3957">
        <v>0</v>
      </c>
      <c r="J3957" t="s">
        <v>97</v>
      </c>
      <c r="K3957">
        <v>0</v>
      </c>
      <c r="L3957">
        <v>0</v>
      </c>
      <c r="M3957" t="s">
        <v>11</v>
      </c>
    </row>
    <row r="3958" spans="1:13">
      <c r="A3958" s="93">
        <v>459736</v>
      </c>
      <c r="B3958" t="s">
        <v>4466</v>
      </c>
      <c r="C3958" t="s">
        <v>4924</v>
      </c>
      <c r="D3958" s="92" t="s">
        <v>446</v>
      </c>
      <c r="E3958" s="92" t="s">
        <v>446</v>
      </c>
      <c r="F3958" t="s">
        <v>446</v>
      </c>
      <c r="G3958" t="s">
        <v>446</v>
      </c>
      <c r="H3958" t="s">
        <v>4932</v>
      </c>
      <c r="I3958">
        <v>0</v>
      </c>
      <c r="J3958" t="s">
        <v>97</v>
      </c>
      <c r="K3958">
        <v>0</v>
      </c>
      <c r="L3958">
        <v>0</v>
      </c>
      <c r="M3958" t="s">
        <v>11</v>
      </c>
    </row>
    <row r="3959" spans="1:13">
      <c r="A3959" s="93">
        <v>459745</v>
      </c>
      <c r="B3959" t="s">
        <v>4467</v>
      </c>
      <c r="C3959" t="s">
        <v>4924</v>
      </c>
      <c r="D3959" s="92" t="s">
        <v>446</v>
      </c>
      <c r="E3959" s="92" t="s">
        <v>446</v>
      </c>
      <c r="F3959" t="s">
        <v>446</v>
      </c>
      <c r="G3959" t="s">
        <v>446</v>
      </c>
      <c r="H3959" t="s">
        <v>4932</v>
      </c>
      <c r="I3959">
        <v>0</v>
      </c>
      <c r="J3959" t="s">
        <v>97</v>
      </c>
      <c r="K3959">
        <v>0</v>
      </c>
      <c r="L3959">
        <v>0</v>
      </c>
      <c r="M3959" t="s">
        <v>11</v>
      </c>
    </row>
    <row r="3960" spans="1:13">
      <c r="A3960" s="93">
        <v>459824</v>
      </c>
      <c r="B3960" t="s">
        <v>4468</v>
      </c>
      <c r="C3960" t="s">
        <v>4924</v>
      </c>
      <c r="D3960" s="92" t="s">
        <v>446</v>
      </c>
      <c r="E3960" s="92" t="s">
        <v>446</v>
      </c>
      <c r="F3960" t="s">
        <v>446</v>
      </c>
      <c r="G3960" t="s">
        <v>446</v>
      </c>
      <c r="H3960" t="s">
        <v>4932</v>
      </c>
      <c r="I3960">
        <v>0</v>
      </c>
      <c r="J3960" t="s">
        <v>97</v>
      </c>
      <c r="K3960">
        <v>0</v>
      </c>
      <c r="L3960">
        <v>0</v>
      </c>
      <c r="M3960" t="s">
        <v>11</v>
      </c>
    </row>
    <row r="3961" spans="1:13">
      <c r="A3961" s="93">
        <v>459851</v>
      </c>
      <c r="B3961" t="s">
        <v>4469</v>
      </c>
      <c r="C3961" t="s">
        <v>4924</v>
      </c>
      <c r="D3961" s="92">
        <v>0.31</v>
      </c>
      <c r="E3961" s="92">
        <v>0.2</v>
      </c>
      <c r="F3961" t="s">
        <v>446</v>
      </c>
      <c r="G3961" t="s">
        <v>446</v>
      </c>
      <c r="H3961" t="s">
        <v>4930</v>
      </c>
      <c r="I3961">
        <v>0</v>
      </c>
      <c r="J3961" t="s">
        <v>97</v>
      </c>
      <c r="K3961">
        <v>0</v>
      </c>
      <c r="L3961">
        <v>0</v>
      </c>
      <c r="M3961" t="s">
        <v>11</v>
      </c>
    </row>
    <row r="3962" spans="1:13">
      <c r="A3962" s="93">
        <v>459949</v>
      </c>
      <c r="B3962" t="s">
        <v>4470</v>
      </c>
      <c r="C3962" t="s">
        <v>4918</v>
      </c>
      <c r="D3962" s="92" t="s">
        <v>446</v>
      </c>
      <c r="E3962" s="92" t="s">
        <v>446</v>
      </c>
      <c r="F3962">
        <v>920</v>
      </c>
      <c r="G3962">
        <v>1030</v>
      </c>
      <c r="H3962" t="s">
        <v>4932</v>
      </c>
      <c r="I3962">
        <v>0</v>
      </c>
      <c r="J3962" t="s">
        <v>97</v>
      </c>
      <c r="K3962">
        <v>0</v>
      </c>
      <c r="L3962">
        <v>0</v>
      </c>
      <c r="M3962" t="s">
        <v>11</v>
      </c>
    </row>
    <row r="3963" spans="1:13">
      <c r="A3963" s="93">
        <v>459958</v>
      </c>
      <c r="B3963" t="s">
        <v>4471</v>
      </c>
      <c r="C3963" t="s">
        <v>4919</v>
      </c>
      <c r="D3963" s="92" t="s">
        <v>446</v>
      </c>
      <c r="E3963" s="92" t="s">
        <v>446</v>
      </c>
      <c r="F3963" t="s">
        <v>446</v>
      </c>
      <c r="G3963" t="s">
        <v>446</v>
      </c>
      <c r="H3963" t="s">
        <v>4930</v>
      </c>
      <c r="I3963">
        <v>0</v>
      </c>
      <c r="J3963" t="s">
        <v>97</v>
      </c>
      <c r="K3963">
        <v>0</v>
      </c>
      <c r="L3963">
        <v>0</v>
      </c>
      <c r="M3963" t="s">
        <v>11</v>
      </c>
    </row>
    <row r="3964" spans="1:13">
      <c r="A3964" s="93">
        <v>460020</v>
      </c>
      <c r="B3964" t="s">
        <v>4472</v>
      </c>
      <c r="C3964" t="s">
        <v>4919</v>
      </c>
      <c r="D3964" s="92" t="s">
        <v>446</v>
      </c>
      <c r="E3964" s="92" t="s">
        <v>446</v>
      </c>
      <c r="F3964" t="s">
        <v>446</v>
      </c>
      <c r="G3964" t="s">
        <v>446</v>
      </c>
      <c r="H3964" t="s">
        <v>4930</v>
      </c>
      <c r="I3964">
        <v>0</v>
      </c>
      <c r="J3964" t="s">
        <v>97</v>
      </c>
      <c r="K3964">
        <v>0</v>
      </c>
      <c r="L3964">
        <v>0</v>
      </c>
      <c r="M3964" t="s">
        <v>11</v>
      </c>
    </row>
    <row r="3965" spans="1:13">
      <c r="A3965" s="93">
        <v>460109</v>
      </c>
      <c r="B3965" t="s">
        <v>4473</v>
      </c>
      <c r="C3965" t="s">
        <v>4919</v>
      </c>
      <c r="D3965" s="92" t="s">
        <v>446</v>
      </c>
      <c r="E3965" s="92" t="s">
        <v>446</v>
      </c>
      <c r="F3965" t="s">
        <v>446</v>
      </c>
      <c r="G3965" t="s">
        <v>446</v>
      </c>
      <c r="H3965" t="s">
        <v>4930</v>
      </c>
      <c r="I3965">
        <v>0</v>
      </c>
      <c r="J3965" t="s">
        <v>97</v>
      </c>
      <c r="K3965">
        <v>0</v>
      </c>
      <c r="L3965">
        <v>0</v>
      </c>
      <c r="M3965" t="s">
        <v>11</v>
      </c>
    </row>
    <row r="3966" spans="1:13">
      <c r="A3966" s="93">
        <v>460136</v>
      </c>
      <c r="B3966" t="s">
        <v>4474</v>
      </c>
      <c r="C3966" t="s">
        <v>4919</v>
      </c>
      <c r="D3966" s="92" t="s">
        <v>446</v>
      </c>
      <c r="E3966" s="92" t="s">
        <v>446</v>
      </c>
      <c r="F3966" t="s">
        <v>446</v>
      </c>
      <c r="G3966" t="s">
        <v>446</v>
      </c>
      <c r="H3966" t="s">
        <v>4930</v>
      </c>
      <c r="I3966">
        <v>0</v>
      </c>
      <c r="J3966" t="s">
        <v>97</v>
      </c>
      <c r="K3966">
        <v>0</v>
      </c>
      <c r="L3966">
        <v>0</v>
      </c>
      <c r="M3966" t="s">
        <v>11</v>
      </c>
    </row>
    <row r="3967" spans="1:13">
      <c r="A3967" s="93">
        <v>460181</v>
      </c>
      <c r="B3967" t="s">
        <v>4475</v>
      </c>
      <c r="C3967" t="s">
        <v>4925</v>
      </c>
      <c r="D3967" s="92" t="s">
        <v>446</v>
      </c>
      <c r="E3967" s="92" t="s">
        <v>446</v>
      </c>
      <c r="F3967" t="s">
        <v>446</v>
      </c>
      <c r="G3967" t="s">
        <v>446</v>
      </c>
      <c r="H3967" t="s">
        <v>4930</v>
      </c>
      <c r="I3967">
        <v>0</v>
      </c>
      <c r="J3967" t="s">
        <v>97</v>
      </c>
      <c r="K3967">
        <v>0</v>
      </c>
      <c r="L3967">
        <v>0</v>
      </c>
      <c r="M3967" t="s">
        <v>11</v>
      </c>
    </row>
    <row r="3968" spans="1:13">
      <c r="A3968" s="93">
        <v>460190</v>
      </c>
      <c r="B3968" t="s">
        <v>4476</v>
      </c>
      <c r="C3968" t="s">
        <v>4925</v>
      </c>
      <c r="D3968" s="92" t="s">
        <v>446</v>
      </c>
      <c r="E3968" s="92" t="s">
        <v>446</v>
      </c>
      <c r="F3968" t="s">
        <v>446</v>
      </c>
      <c r="G3968" t="s">
        <v>446</v>
      </c>
      <c r="H3968" t="s">
        <v>4930</v>
      </c>
      <c r="I3968">
        <v>0</v>
      </c>
      <c r="J3968" t="s">
        <v>97</v>
      </c>
      <c r="K3968">
        <v>0</v>
      </c>
      <c r="L3968">
        <v>0</v>
      </c>
      <c r="M3968" t="s">
        <v>11</v>
      </c>
    </row>
    <row r="3969" spans="1:13">
      <c r="A3969" s="93">
        <v>460206</v>
      </c>
      <c r="B3969" t="s">
        <v>4477</v>
      </c>
      <c r="C3969" t="s">
        <v>4919</v>
      </c>
      <c r="D3969" s="92" t="s">
        <v>446</v>
      </c>
      <c r="E3969" s="92" t="s">
        <v>446</v>
      </c>
      <c r="F3969" t="s">
        <v>446</v>
      </c>
      <c r="G3969" t="s">
        <v>446</v>
      </c>
      <c r="H3969" t="s">
        <v>4930</v>
      </c>
      <c r="I3969">
        <v>0</v>
      </c>
      <c r="J3969" t="s">
        <v>97</v>
      </c>
      <c r="K3969">
        <v>0</v>
      </c>
      <c r="L3969">
        <v>0</v>
      </c>
      <c r="M3969" t="s">
        <v>11</v>
      </c>
    </row>
    <row r="3970" spans="1:13">
      <c r="A3970" s="93">
        <v>460349</v>
      </c>
      <c r="B3970" t="s">
        <v>4478</v>
      </c>
      <c r="C3970" t="s">
        <v>4924</v>
      </c>
      <c r="D3970" s="92" t="s">
        <v>446</v>
      </c>
      <c r="E3970" s="92" t="s">
        <v>446</v>
      </c>
      <c r="F3970" t="s">
        <v>446</v>
      </c>
      <c r="G3970" t="s">
        <v>446</v>
      </c>
      <c r="H3970" t="s">
        <v>4930</v>
      </c>
      <c r="I3970">
        <v>0</v>
      </c>
      <c r="J3970" t="s">
        <v>97</v>
      </c>
      <c r="K3970">
        <v>0</v>
      </c>
      <c r="L3970">
        <v>0</v>
      </c>
      <c r="M3970" t="s">
        <v>11</v>
      </c>
    </row>
    <row r="3971" spans="1:13">
      <c r="A3971" s="93">
        <v>460376</v>
      </c>
      <c r="B3971" t="s">
        <v>4479</v>
      </c>
      <c r="C3971" t="s">
        <v>4924</v>
      </c>
      <c r="D3971" s="92">
        <v>0.16</v>
      </c>
      <c r="E3971" s="92" t="s">
        <v>446</v>
      </c>
      <c r="F3971" t="s">
        <v>446</v>
      </c>
      <c r="G3971" t="s">
        <v>446</v>
      </c>
      <c r="H3971" t="s">
        <v>4932</v>
      </c>
      <c r="I3971">
        <v>0</v>
      </c>
      <c r="J3971" t="s">
        <v>97</v>
      </c>
      <c r="K3971">
        <v>0</v>
      </c>
      <c r="L3971">
        <v>0</v>
      </c>
      <c r="M3971" t="s">
        <v>11</v>
      </c>
    </row>
    <row r="3972" spans="1:13">
      <c r="A3972" s="93">
        <v>460385</v>
      </c>
      <c r="B3972" t="s">
        <v>4480</v>
      </c>
      <c r="C3972" t="s">
        <v>4925</v>
      </c>
      <c r="D3972" s="92">
        <v>0.88</v>
      </c>
      <c r="E3972" s="92">
        <v>0.75</v>
      </c>
      <c r="F3972" t="s">
        <v>446</v>
      </c>
      <c r="G3972" t="s">
        <v>446</v>
      </c>
      <c r="H3972" t="s">
        <v>4930</v>
      </c>
      <c r="I3972">
        <v>0</v>
      </c>
      <c r="J3972" t="s">
        <v>97</v>
      </c>
      <c r="K3972">
        <v>0</v>
      </c>
      <c r="L3972">
        <v>0</v>
      </c>
      <c r="M3972" t="s">
        <v>11</v>
      </c>
    </row>
    <row r="3973" spans="1:13">
      <c r="A3973" s="93">
        <v>460394</v>
      </c>
      <c r="B3973" t="s">
        <v>4481</v>
      </c>
      <c r="C3973" t="s">
        <v>4919</v>
      </c>
      <c r="D3973" s="92">
        <v>0.26</v>
      </c>
      <c r="E3973" s="92">
        <v>0.25</v>
      </c>
      <c r="F3973" t="s">
        <v>446</v>
      </c>
      <c r="G3973" t="s">
        <v>446</v>
      </c>
      <c r="H3973" t="s">
        <v>4932</v>
      </c>
      <c r="I3973">
        <v>0</v>
      </c>
      <c r="J3973" t="s">
        <v>97</v>
      </c>
      <c r="K3973">
        <v>0</v>
      </c>
      <c r="L3973">
        <v>0</v>
      </c>
      <c r="M3973" t="s">
        <v>11</v>
      </c>
    </row>
    <row r="3974" spans="1:13">
      <c r="A3974" s="93">
        <v>460464</v>
      </c>
      <c r="B3974" t="s">
        <v>4482</v>
      </c>
      <c r="C3974" t="s">
        <v>4919</v>
      </c>
      <c r="D3974" s="92">
        <v>0.36</v>
      </c>
      <c r="E3974" s="92">
        <v>0.32</v>
      </c>
      <c r="F3974" t="s">
        <v>446</v>
      </c>
      <c r="G3974" t="s">
        <v>446</v>
      </c>
      <c r="H3974" t="s">
        <v>4932</v>
      </c>
      <c r="I3974">
        <v>0</v>
      </c>
      <c r="J3974" t="s">
        <v>97</v>
      </c>
      <c r="K3974">
        <v>0</v>
      </c>
      <c r="L3974">
        <v>0</v>
      </c>
      <c r="M3974" t="s">
        <v>11</v>
      </c>
    </row>
    <row r="3975" spans="1:13">
      <c r="A3975" s="93">
        <v>460543</v>
      </c>
      <c r="B3975" t="s">
        <v>4483</v>
      </c>
      <c r="C3975" t="s">
        <v>4919</v>
      </c>
      <c r="D3975" s="92">
        <v>0.63</v>
      </c>
      <c r="E3975" s="92">
        <v>0.65</v>
      </c>
      <c r="F3975" t="s">
        <v>446</v>
      </c>
      <c r="G3975" t="s">
        <v>446</v>
      </c>
      <c r="H3975" t="s">
        <v>4930</v>
      </c>
      <c r="I3975">
        <v>0</v>
      </c>
      <c r="J3975" t="s">
        <v>97</v>
      </c>
      <c r="K3975">
        <v>0</v>
      </c>
      <c r="L3975">
        <v>0</v>
      </c>
      <c r="M3975" t="s">
        <v>11</v>
      </c>
    </row>
    <row r="3976" spans="1:13">
      <c r="A3976" s="93">
        <v>460677</v>
      </c>
      <c r="B3976" t="s">
        <v>3801</v>
      </c>
      <c r="C3976" t="s">
        <v>4919</v>
      </c>
      <c r="D3976" s="92">
        <v>0.47</v>
      </c>
      <c r="E3976" s="92">
        <v>0.47</v>
      </c>
      <c r="F3976" t="s">
        <v>446</v>
      </c>
      <c r="G3976" t="s">
        <v>446</v>
      </c>
      <c r="H3976" t="s">
        <v>4931</v>
      </c>
      <c r="I3976">
        <v>0</v>
      </c>
      <c r="J3976" t="s">
        <v>97</v>
      </c>
      <c r="K3976">
        <v>0</v>
      </c>
      <c r="L3976">
        <v>0</v>
      </c>
      <c r="M3976" t="s">
        <v>11</v>
      </c>
    </row>
    <row r="3977" spans="1:13">
      <c r="A3977" s="93">
        <v>460738</v>
      </c>
      <c r="B3977" t="s">
        <v>4484</v>
      </c>
      <c r="C3977" t="s">
        <v>4924</v>
      </c>
      <c r="D3977" s="92" t="s">
        <v>446</v>
      </c>
      <c r="E3977" s="92" t="s">
        <v>446</v>
      </c>
      <c r="F3977" t="s">
        <v>446</v>
      </c>
      <c r="G3977" t="s">
        <v>446</v>
      </c>
      <c r="H3977" t="s">
        <v>4932</v>
      </c>
      <c r="I3977">
        <v>0</v>
      </c>
      <c r="J3977" t="s">
        <v>97</v>
      </c>
      <c r="K3977">
        <v>0</v>
      </c>
      <c r="L3977">
        <v>0</v>
      </c>
      <c r="M3977" t="s">
        <v>11</v>
      </c>
    </row>
    <row r="3978" spans="1:13">
      <c r="A3978" s="93">
        <v>460756</v>
      </c>
      <c r="B3978" t="s">
        <v>4485</v>
      </c>
      <c r="C3978" t="s">
        <v>4919</v>
      </c>
      <c r="D3978" s="92" t="s">
        <v>446</v>
      </c>
      <c r="E3978" s="92" t="s">
        <v>446</v>
      </c>
      <c r="F3978" t="s">
        <v>446</v>
      </c>
      <c r="G3978" t="s">
        <v>446</v>
      </c>
      <c r="H3978" t="s">
        <v>4930</v>
      </c>
      <c r="I3978">
        <v>0</v>
      </c>
      <c r="J3978" t="s">
        <v>97</v>
      </c>
      <c r="K3978">
        <v>0</v>
      </c>
      <c r="L3978">
        <v>0</v>
      </c>
      <c r="M3978" t="s">
        <v>11</v>
      </c>
    </row>
    <row r="3979" spans="1:13">
      <c r="A3979" s="93">
        <v>460817</v>
      </c>
      <c r="B3979" t="s">
        <v>4486</v>
      </c>
      <c r="C3979" t="s">
        <v>4919</v>
      </c>
      <c r="D3979" s="92" t="s">
        <v>446</v>
      </c>
      <c r="E3979" s="92" t="s">
        <v>446</v>
      </c>
      <c r="F3979" t="s">
        <v>446</v>
      </c>
      <c r="G3979" t="s">
        <v>446</v>
      </c>
      <c r="H3979" t="s">
        <v>4930</v>
      </c>
      <c r="I3979">
        <v>0</v>
      </c>
      <c r="J3979" t="s">
        <v>97</v>
      </c>
      <c r="K3979">
        <v>0</v>
      </c>
      <c r="L3979">
        <v>0</v>
      </c>
      <c r="M3979" t="s">
        <v>11</v>
      </c>
    </row>
    <row r="3980" spans="1:13">
      <c r="A3980" s="93">
        <v>460826</v>
      </c>
      <c r="B3980" t="s">
        <v>4487</v>
      </c>
      <c r="C3980" t="s">
        <v>4919</v>
      </c>
      <c r="D3980" s="92" t="s">
        <v>446</v>
      </c>
      <c r="E3980" s="92" t="s">
        <v>446</v>
      </c>
      <c r="F3980" t="s">
        <v>446</v>
      </c>
      <c r="G3980" t="s">
        <v>446</v>
      </c>
      <c r="H3980" t="s">
        <v>4930</v>
      </c>
      <c r="I3980">
        <v>0</v>
      </c>
      <c r="J3980" t="s">
        <v>97</v>
      </c>
      <c r="K3980">
        <v>0</v>
      </c>
      <c r="L3980">
        <v>0</v>
      </c>
      <c r="M3980" t="s">
        <v>11</v>
      </c>
    </row>
    <row r="3981" spans="1:13">
      <c r="A3981" s="93">
        <v>460835</v>
      </c>
      <c r="B3981" t="s">
        <v>4488</v>
      </c>
      <c r="C3981" t="s">
        <v>4919</v>
      </c>
      <c r="D3981" s="92" t="s">
        <v>446</v>
      </c>
      <c r="E3981" s="92" t="s">
        <v>446</v>
      </c>
      <c r="F3981" t="s">
        <v>446</v>
      </c>
      <c r="G3981" t="s">
        <v>446</v>
      </c>
      <c r="H3981" t="s">
        <v>4930</v>
      </c>
      <c r="I3981">
        <v>0</v>
      </c>
      <c r="J3981" t="s">
        <v>97</v>
      </c>
      <c r="K3981">
        <v>0</v>
      </c>
      <c r="L3981">
        <v>0</v>
      </c>
      <c r="M3981" t="s">
        <v>11</v>
      </c>
    </row>
    <row r="3982" spans="1:13">
      <c r="A3982" s="93">
        <v>460862</v>
      </c>
      <c r="B3982" t="s">
        <v>4489</v>
      </c>
      <c r="C3982" t="s">
        <v>4919</v>
      </c>
      <c r="D3982" s="92" t="s">
        <v>446</v>
      </c>
      <c r="E3982" s="92" t="s">
        <v>446</v>
      </c>
      <c r="F3982" t="s">
        <v>446</v>
      </c>
      <c r="G3982" t="s">
        <v>446</v>
      </c>
      <c r="H3982" t="s">
        <v>4931</v>
      </c>
      <c r="I3982">
        <v>0</v>
      </c>
      <c r="J3982" t="s">
        <v>97</v>
      </c>
      <c r="K3982">
        <v>0</v>
      </c>
      <c r="L3982">
        <v>0</v>
      </c>
      <c r="M3982" t="s">
        <v>11</v>
      </c>
    </row>
    <row r="3983" spans="1:13">
      <c r="A3983" s="93">
        <v>460871</v>
      </c>
      <c r="B3983" t="s">
        <v>4490</v>
      </c>
      <c r="C3983" t="s">
        <v>4924</v>
      </c>
      <c r="D3983" s="92">
        <v>0.38</v>
      </c>
      <c r="E3983" s="92">
        <v>0.5</v>
      </c>
      <c r="F3983" t="s">
        <v>446</v>
      </c>
      <c r="G3983" t="s">
        <v>446</v>
      </c>
      <c r="H3983" t="s">
        <v>4932</v>
      </c>
      <c r="I3983">
        <v>0</v>
      </c>
      <c r="J3983" t="s">
        <v>97</v>
      </c>
      <c r="K3983">
        <v>0</v>
      </c>
      <c r="L3983">
        <v>0</v>
      </c>
      <c r="M3983" t="s">
        <v>11</v>
      </c>
    </row>
    <row r="3984" spans="1:13">
      <c r="A3984" s="93">
        <v>460899</v>
      </c>
      <c r="B3984" t="s">
        <v>3520</v>
      </c>
      <c r="C3984" t="s">
        <v>4923</v>
      </c>
      <c r="D3984" s="92">
        <v>0.17</v>
      </c>
      <c r="E3984" s="92">
        <v>0</v>
      </c>
      <c r="F3984" t="s">
        <v>446</v>
      </c>
      <c r="G3984" t="s">
        <v>446</v>
      </c>
      <c r="H3984" t="s">
        <v>4932</v>
      </c>
      <c r="I3984">
        <v>0</v>
      </c>
      <c r="J3984" t="s">
        <v>97</v>
      </c>
      <c r="K3984">
        <v>0</v>
      </c>
      <c r="L3984">
        <v>0</v>
      </c>
      <c r="M3984" t="s">
        <v>11</v>
      </c>
    </row>
    <row r="3985" spans="1:13">
      <c r="A3985" s="93">
        <v>461014</v>
      </c>
      <c r="B3985" t="s">
        <v>4491</v>
      </c>
      <c r="C3985" t="s">
        <v>4919</v>
      </c>
      <c r="D3985" s="92" t="s">
        <v>446</v>
      </c>
      <c r="E3985" s="92" t="s">
        <v>446</v>
      </c>
      <c r="F3985" t="s">
        <v>446</v>
      </c>
      <c r="G3985" t="s">
        <v>446</v>
      </c>
      <c r="H3985" t="s">
        <v>4930</v>
      </c>
      <c r="I3985">
        <v>0</v>
      </c>
      <c r="J3985" t="s">
        <v>97</v>
      </c>
      <c r="K3985">
        <v>0</v>
      </c>
      <c r="L3985">
        <v>0</v>
      </c>
      <c r="M3985" t="s">
        <v>11</v>
      </c>
    </row>
    <row r="3986" spans="1:13">
      <c r="A3986" s="93">
        <v>461023</v>
      </c>
      <c r="B3986" t="s">
        <v>4492</v>
      </c>
      <c r="C3986" t="s">
        <v>4923</v>
      </c>
      <c r="D3986" s="92">
        <v>0.21</v>
      </c>
      <c r="E3986" s="92">
        <v>0</v>
      </c>
      <c r="F3986" t="s">
        <v>446</v>
      </c>
      <c r="G3986" t="s">
        <v>446</v>
      </c>
      <c r="H3986" t="s">
        <v>4930</v>
      </c>
      <c r="I3986">
        <v>0</v>
      </c>
      <c r="J3986" t="s">
        <v>97</v>
      </c>
      <c r="K3986">
        <v>0</v>
      </c>
      <c r="L3986">
        <v>0</v>
      </c>
      <c r="M3986" t="s">
        <v>11</v>
      </c>
    </row>
    <row r="3987" spans="1:13">
      <c r="A3987" s="93">
        <v>461032</v>
      </c>
      <c r="B3987" t="s">
        <v>4493</v>
      </c>
      <c r="C3987" t="s">
        <v>4923</v>
      </c>
      <c r="D3987" s="92">
        <v>1</v>
      </c>
      <c r="E3987" s="92">
        <v>1</v>
      </c>
      <c r="F3987" t="s">
        <v>446</v>
      </c>
      <c r="G3987" t="s">
        <v>446</v>
      </c>
      <c r="H3987" t="s">
        <v>4930</v>
      </c>
      <c r="I3987">
        <v>0</v>
      </c>
      <c r="J3987" t="s">
        <v>97</v>
      </c>
      <c r="K3987">
        <v>0</v>
      </c>
      <c r="L3987">
        <v>0</v>
      </c>
      <c r="M3987" t="s">
        <v>11</v>
      </c>
    </row>
    <row r="3988" spans="1:13">
      <c r="A3988" s="93">
        <v>461111</v>
      </c>
      <c r="B3988" t="s">
        <v>4494</v>
      </c>
      <c r="C3988" t="s">
        <v>4919</v>
      </c>
      <c r="D3988" s="92" t="s">
        <v>446</v>
      </c>
      <c r="E3988" s="92" t="s">
        <v>446</v>
      </c>
      <c r="F3988" t="s">
        <v>446</v>
      </c>
      <c r="G3988" t="s">
        <v>446</v>
      </c>
      <c r="H3988" t="s">
        <v>4931</v>
      </c>
      <c r="I3988">
        <v>0</v>
      </c>
      <c r="J3988" t="s">
        <v>97</v>
      </c>
      <c r="K3988">
        <v>0</v>
      </c>
      <c r="L3988">
        <v>0</v>
      </c>
      <c r="M3988" t="s">
        <v>11</v>
      </c>
    </row>
    <row r="3989" spans="1:13">
      <c r="A3989" s="93">
        <v>461120</v>
      </c>
      <c r="B3989" t="s">
        <v>4495</v>
      </c>
      <c r="C3989" t="s">
        <v>4924</v>
      </c>
      <c r="D3989" s="92" t="s">
        <v>446</v>
      </c>
      <c r="E3989" s="92" t="s">
        <v>446</v>
      </c>
      <c r="F3989" t="s">
        <v>446</v>
      </c>
      <c r="G3989" t="s">
        <v>446</v>
      </c>
      <c r="H3989" t="s">
        <v>4932</v>
      </c>
      <c r="I3989">
        <v>0</v>
      </c>
      <c r="J3989" t="s">
        <v>97</v>
      </c>
      <c r="K3989">
        <v>0</v>
      </c>
      <c r="L3989">
        <v>0</v>
      </c>
      <c r="M3989" t="s">
        <v>11</v>
      </c>
    </row>
    <row r="3990" spans="1:13">
      <c r="A3990" s="93">
        <v>461139</v>
      </c>
      <c r="B3990" t="s">
        <v>4496</v>
      </c>
      <c r="C3990" t="s">
        <v>4924</v>
      </c>
      <c r="D3990" s="92" t="s">
        <v>446</v>
      </c>
      <c r="E3990" s="92" t="s">
        <v>446</v>
      </c>
      <c r="F3990" t="s">
        <v>446</v>
      </c>
      <c r="G3990" t="s">
        <v>446</v>
      </c>
      <c r="H3990" t="s">
        <v>4932</v>
      </c>
      <c r="I3990">
        <v>0</v>
      </c>
      <c r="J3990" t="s">
        <v>97</v>
      </c>
      <c r="K3990">
        <v>0</v>
      </c>
      <c r="L3990">
        <v>0</v>
      </c>
      <c r="M3990" t="s">
        <v>11</v>
      </c>
    </row>
    <row r="3991" spans="1:13">
      <c r="A3991" s="93">
        <v>461148</v>
      </c>
      <c r="B3991" t="s">
        <v>4497</v>
      </c>
      <c r="C3991" t="s">
        <v>4923</v>
      </c>
      <c r="D3991" s="92">
        <v>0.46</v>
      </c>
      <c r="E3991" s="92">
        <v>0.38</v>
      </c>
      <c r="F3991" t="s">
        <v>446</v>
      </c>
      <c r="G3991" t="s">
        <v>446</v>
      </c>
      <c r="H3991" t="s">
        <v>4930</v>
      </c>
      <c r="I3991">
        <v>0</v>
      </c>
      <c r="J3991" t="s">
        <v>97</v>
      </c>
      <c r="K3991">
        <v>0</v>
      </c>
      <c r="L3991">
        <v>0</v>
      </c>
      <c r="M3991" t="s">
        <v>11</v>
      </c>
    </row>
    <row r="3992" spans="1:13">
      <c r="A3992" s="93">
        <v>461218</v>
      </c>
      <c r="B3992" t="s">
        <v>4498</v>
      </c>
      <c r="C3992" t="s">
        <v>4919</v>
      </c>
      <c r="D3992" s="92" t="s">
        <v>446</v>
      </c>
      <c r="E3992" s="92" t="s">
        <v>446</v>
      </c>
      <c r="F3992" t="s">
        <v>446</v>
      </c>
      <c r="G3992" t="s">
        <v>446</v>
      </c>
      <c r="H3992" t="s">
        <v>4930</v>
      </c>
      <c r="I3992">
        <v>0</v>
      </c>
      <c r="J3992" t="s">
        <v>97</v>
      </c>
      <c r="K3992">
        <v>0</v>
      </c>
      <c r="L3992">
        <v>0</v>
      </c>
      <c r="M3992" t="s">
        <v>11</v>
      </c>
    </row>
    <row r="3993" spans="1:13">
      <c r="A3993" s="93">
        <v>461245</v>
      </c>
      <c r="B3993" t="s">
        <v>4499</v>
      </c>
      <c r="C3993" t="s">
        <v>4919</v>
      </c>
      <c r="D3993" s="92" t="s">
        <v>446</v>
      </c>
      <c r="E3993" s="92" t="s">
        <v>446</v>
      </c>
      <c r="F3993" t="s">
        <v>446</v>
      </c>
      <c r="G3993" t="s">
        <v>446</v>
      </c>
      <c r="H3993" t="s">
        <v>4932</v>
      </c>
      <c r="I3993">
        <v>0</v>
      </c>
      <c r="J3993" t="s">
        <v>97</v>
      </c>
      <c r="K3993">
        <v>0</v>
      </c>
      <c r="L3993">
        <v>0</v>
      </c>
      <c r="M3993" t="s">
        <v>11</v>
      </c>
    </row>
    <row r="3994" spans="1:13">
      <c r="A3994" s="93">
        <v>461254</v>
      </c>
      <c r="B3994" t="s">
        <v>4500</v>
      </c>
      <c r="C3994" t="s">
        <v>4919</v>
      </c>
      <c r="D3994" s="92" t="s">
        <v>446</v>
      </c>
      <c r="E3994" s="92" t="s">
        <v>446</v>
      </c>
      <c r="F3994" t="s">
        <v>446</v>
      </c>
      <c r="G3994" t="s">
        <v>446</v>
      </c>
      <c r="H3994" t="s">
        <v>4931</v>
      </c>
      <c r="I3994">
        <v>0</v>
      </c>
      <c r="J3994" t="s">
        <v>97</v>
      </c>
      <c r="K3994">
        <v>0</v>
      </c>
      <c r="L3994">
        <v>0</v>
      </c>
      <c r="M3994" t="s">
        <v>11</v>
      </c>
    </row>
    <row r="3995" spans="1:13">
      <c r="A3995" s="93">
        <v>461263</v>
      </c>
      <c r="B3995" t="s">
        <v>4501</v>
      </c>
      <c r="C3995" t="s">
        <v>4919</v>
      </c>
      <c r="D3995" s="92">
        <v>0.74</v>
      </c>
      <c r="E3995" s="92">
        <v>0.38</v>
      </c>
      <c r="F3995" t="s">
        <v>446</v>
      </c>
      <c r="G3995" t="s">
        <v>446</v>
      </c>
      <c r="H3995" t="s">
        <v>4930</v>
      </c>
      <c r="I3995">
        <v>0</v>
      </c>
      <c r="J3995" t="s">
        <v>97</v>
      </c>
      <c r="K3995">
        <v>0</v>
      </c>
      <c r="L3995">
        <v>0</v>
      </c>
      <c r="M3995" t="s">
        <v>11</v>
      </c>
    </row>
    <row r="3996" spans="1:13">
      <c r="A3996" s="93">
        <v>461281</v>
      </c>
      <c r="B3996" t="s">
        <v>4502</v>
      </c>
      <c r="C3996" t="s">
        <v>4923</v>
      </c>
      <c r="D3996" s="92" t="s">
        <v>446</v>
      </c>
      <c r="E3996" s="92" t="s">
        <v>446</v>
      </c>
      <c r="F3996" t="s">
        <v>446</v>
      </c>
      <c r="G3996" t="s">
        <v>446</v>
      </c>
      <c r="H3996" t="s">
        <v>4932</v>
      </c>
      <c r="I3996">
        <v>0</v>
      </c>
      <c r="J3996" t="s">
        <v>97</v>
      </c>
      <c r="K3996">
        <v>0</v>
      </c>
      <c r="L3996">
        <v>0</v>
      </c>
      <c r="M3996" t="s">
        <v>11</v>
      </c>
    </row>
    <row r="3997" spans="1:13">
      <c r="A3997" s="93">
        <v>461315</v>
      </c>
      <c r="B3997" t="s">
        <v>4503</v>
      </c>
      <c r="C3997" t="s">
        <v>4919</v>
      </c>
      <c r="D3997" s="92" t="s">
        <v>446</v>
      </c>
      <c r="E3997" s="92" t="s">
        <v>446</v>
      </c>
      <c r="F3997" t="s">
        <v>446</v>
      </c>
      <c r="G3997" t="s">
        <v>446</v>
      </c>
      <c r="H3997" t="s">
        <v>4932</v>
      </c>
      <c r="I3997">
        <v>0</v>
      </c>
      <c r="J3997" t="s">
        <v>97</v>
      </c>
      <c r="K3997">
        <v>0</v>
      </c>
      <c r="L3997">
        <v>0</v>
      </c>
      <c r="M3997" t="s">
        <v>11</v>
      </c>
    </row>
    <row r="3998" spans="1:13">
      <c r="A3998" s="93">
        <v>461324</v>
      </c>
      <c r="B3998" t="s">
        <v>4504</v>
      </c>
      <c r="C3998" t="s">
        <v>4919</v>
      </c>
      <c r="D3998" s="92" t="s">
        <v>446</v>
      </c>
      <c r="E3998" s="92" t="s">
        <v>446</v>
      </c>
      <c r="F3998" t="s">
        <v>446</v>
      </c>
      <c r="G3998" t="s">
        <v>446</v>
      </c>
      <c r="H3998" t="s">
        <v>4932</v>
      </c>
      <c r="I3998">
        <v>0</v>
      </c>
      <c r="J3998" t="s">
        <v>97</v>
      </c>
      <c r="K3998">
        <v>0</v>
      </c>
      <c r="L3998">
        <v>0</v>
      </c>
      <c r="M3998" t="s">
        <v>11</v>
      </c>
    </row>
    <row r="3999" spans="1:13">
      <c r="A3999" s="93">
        <v>461485</v>
      </c>
      <c r="B3999" t="s">
        <v>4505</v>
      </c>
      <c r="C3999" t="s">
        <v>4924</v>
      </c>
      <c r="D3999" s="92" t="s">
        <v>446</v>
      </c>
      <c r="E3999" s="92" t="s">
        <v>446</v>
      </c>
      <c r="F3999" t="s">
        <v>446</v>
      </c>
      <c r="G3999" t="s">
        <v>446</v>
      </c>
      <c r="H3999" t="s">
        <v>4932</v>
      </c>
      <c r="I3999">
        <v>0</v>
      </c>
      <c r="J3999" t="s">
        <v>97</v>
      </c>
      <c r="K3999">
        <v>0</v>
      </c>
      <c r="L3999">
        <v>0</v>
      </c>
      <c r="M3999" t="s">
        <v>11</v>
      </c>
    </row>
    <row r="4000" spans="1:13">
      <c r="A4000" s="93">
        <v>461528</v>
      </c>
      <c r="B4000" t="s">
        <v>4506</v>
      </c>
      <c r="C4000" t="s">
        <v>4924</v>
      </c>
      <c r="D4000" s="92">
        <v>0.38</v>
      </c>
      <c r="E4000" s="92">
        <v>0.6</v>
      </c>
      <c r="F4000" t="s">
        <v>446</v>
      </c>
      <c r="G4000" t="s">
        <v>446</v>
      </c>
      <c r="H4000" t="s">
        <v>4931</v>
      </c>
      <c r="I4000">
        <v>0</v>
      </c>
      <c r="J4000" t="s">
        <v>97</v>
      </c>
      <c r="K4000">
        <v>0</v>
      </c>
      <c r="L4000">
        <v>0</v>
      </c>
      <c r="M4000" t="s">
        <v>11</v>
      </c>
    </row>
    <row r="4001" spans="1:13">
      <c r="A4001" s="93">
        <v>461573</v>
      </c>
      <c r="B4001" t="s">
        <v>4507</v>
      </c>
      <c r="C4001" t="s">
        <v>4919</v>
      </c>
      <c r="D4001" s="92" t="s">
        <v>446</v>
      </c>
      <c r="E4001" s="92" t="s">
        <v>446</v>
      </c>
      <c r="F4001" t="s">
        <v>446</v>
      </c>
      <c r="G4001" t="s">
        <v>446</v>
      </c>
      <c r="H4001" t="s">
        <v>4930</v>
      </c>
      <c r="I4001">
        <v>0</v>
      </c>
      <c r="J4001" t="s">
        <v>97</v>
      </c>
      <c r="K4001">
        <v>0</v>
      </c>
      <c r="L4001">
        <v>0</v>
      </c>
      <c r="M4001" t="s">
        <v>11</v>
      </c>
    </row>
    <row r="4002" spans="1:13">
      <c r="A4002" s="93">
        <v>461591</v>
      </c>
      <c r="B4002" t="s">
        <v>4508</v>
      </c>
      <c r="C4002" t="s">
        <v>4919</v>
      </c>
      <c r="D4002" s="92" t="s">
        <v>446</v>
      </c>
      <c r="E4002" s="92" t="s">
        <v>446</v>
      </c>
      <c r="F4002" t="s">
        <v>446</v>
      </c>
      <c r="G4002" t="s">
        <v>446</v>
      </c>
      <c r="H4002" t="s">
        <v>4930</v>
      </c>
      <c r="I4002">
        <v>0</v>
      </c>
      <c r="J4002" t="s">
        <v>97</v>
      </c>
      <c r="K4002">
        <v>0</v>
      </c>
      <c r="L4002">
        <v>0</v>
      </c>
      <c r="M4002" t="s">
        <v>11</v>
      </c>
    </row>
    <row r="4003" spans="1:13">
      <c r="A4003" s="93">
        <v>461643</v>
      </c>
      <c r="B4003" t="s">
        <v>4509</v>
      </c>
      <c r="C4003" t="s">
        <v>4924</v>
      </c>
      <c r="D4003" s="92" t="s">
        <v>446</v>
      </c>
      <c r="E4003" s="92" t="s">
        <v>446</v>
      </c>
      <c r="F4003" t="s">
        <v>446</v>
      </c>
      <c r="G4003" t="s">
        <v>446</v>
      </c>
      <c r="H4003" t="s">
        <v>4932</v>
      </c>
      <c r="I4003">
        <v>0</v>
      </c>
      <c r="J4003" t="s">
        <v>97</v>
      </c>
      <c r="K4003">
        <v>0</v>
      </c>
      <c r="L4003">
        <v>0</v>
      </c>
      <c r="M4003" t="s">
        <v>11</v>
      </c>
    </row>
    <row r="4004" spans="1:13">
      <c r="A4004" s="93">
        <v>461689</v>
      </c>
      <c r="B4004" t="s">
        <v>4510</v>
      </c>
      <c r="C4004" t="s">
        <v>4919</v>
      </c>
      <c r="D4004" s="92" t="s">
        <v>446</v>
      </c>
      <c r="E4004" s="92" t="s">
        <v>446</v>
      </c>
      <c r="F4004" t="s">
        <v>446</v>
      </c>
      <c r="G4004" t="s">
        <v>446</v>
      </c>
      <c r="H4004" t="s">
        <v>4930</v>
      </c>
      <c r="I4004">
        <v>0</v>
      </c>
      <c r="J4004" t="s">
        <v>97</v>
      </c>
      <c r="K4004">
        <v>0</v>
      </c>
      <c r="L4004">
        <v>0</v>
      </c>
      <c r="M4004" t="s">
        <v>11</v>
      </c>
    </row>
    <row r="4005" spans="1:13">
      <c r="A4005" s="93">
        <v>461759</v>
      </c>
      <c r="B4005" t="s">
        <v>4511</v>
      </c>
      <c r="C4005" t="s">
        <v>4923</v>
      </c>
      <c r="D4005" s="92">
        <v>0.45</v>
      </c>
      <c r="E4005" s="92">
        <v>0.5</v>
      </c>
      <c r="F4005">
        <v>760</v>
      </c>
      <c r="G4005">
        <v>805</v>
      </c>
      <c r="H4005" t="s">
        <v>4931</v>
      </c>
      <c r="I4005">
        <v>0</v>
      </c>
      <c r="J4005" t="s">
        <v>153</v>
      </c>
      <c r="K4005">
        <v>0</v>
      </c>
      <c r="L4005">
        <v>0</v>
      </c>
      <c r="M4005" t="s">
        <v>11</v>
      </c>
    </row>
    <row r="4006" spans="1:13">
      <c r="A4006" s="93">
        <v>461795</v>
      </c>
      <c r="B4006" t="s">
        <v>4512</v>
      </c>
      <c r="C4006" t="s">
        <v>4923</v>
      </c>
      <c r="D4006" s="92">
        <v>0.41</v>
      </c>
      <c r="E4006" s="92">
        <v>0.28</v>
      </c>
      <c r="F4006" t="s">
        <v>446</v>
      </c>
      <c r="G4006" t="s">
        <v>446</v>
      </c>
      <c r="H4006" t="s">
        <v>4931</v>
      </c>
      <c r="I4006">
        <v>0</v>
      </c>
      <c r="J4006" t="s">
        <v>97</v>
      </c>
      <c r="K4006">
        <v>0</v>
      </c>
      <c r="L4006">
        <v>0</v>
      </c>
      <c r="M4006" t="s">
        <v>11</v>
      </c>
    </row>
    <row r="4007" spans="1:13">
      <c r="A4007" s="93">
        <v>461847</v>
      </c>
      <c r="B4007" t="s">
        <v>4513</v>
      </c>
      <c r="C4007" t="s">
        <v>4924</v>
      </c>
      <c r="D4007" s="92">
        <v>0.14</v>
      </c>
      <c r="E4007" s="92" t="s">
        <v>446</v>
      </c>
      <c r="F4007" t="s">
        <v>446</v>
      </c>
      <c r="G4007" t="s">
        <v>446</v>
      </c>
      <c r="H4007" t="s">
        <v>4932</v>
      </c>
      <c r="I4007">
        <v>0</v>
      </c>
      <c r="J4007" t="s">
        <v>97</v>
      </c>
      <c r="K4007">
        <v>0</v>
      </c>
      <c r="L4007">
        <v>0</v>
      </c>
      <c r="M4007" t="s">
        <v>11</v>
      </c>
    </row>
    <row r="4008" spans="1:13">
      <c r="A4008" s="93">
        <v>461865</v>
      </c>
      <c r="B4008" t="s">
        <v>4514</v>
      </c>
      <c r="C4008" t="s">
        <v>4919</v>
      </c>
      <c r="D4008" s="92" t="s">
        <v>446</v>
      </c>
      <c r="E4008" s="92" t="s">
        <v>446</v>
      </c>
      <c r="F4008" t="s">
        <v>446</v>
      </c>
      <c r="G4008" t="s">
        <v>446</v>
      </c>
      <c r="H4008" t="s">
        <v>4932</v>
      </c>
      <c r="I4008">
        <v>0</v>
      </c>
      <c r="J4008" t="s">
        <v>97</v>
      </c>
      <c r="K4008">
        <v>0</v>
      </c>
      <c r="L4008">
        <v>0</v>
      </c>
      <c r="M4008" t="s">
        <v>11</v>
      </c>
    </row>
    <row r="4009" spans="1:13">
      <c r="A4009" s="93">
        <v>461883</v>
      </c>
      <c r="B4009" t="s">
        <v>4515</v>
      </c>
      <c r="C4009" t="s">
        <v>4923</v>
      </c>
      <c r="D4009" s="92">
        <v>0.3</v>
      </c>
      <c r="E4009" s="92">
        <v>0</v>
      </c>
      <c r="F4009" t="s">
        <v>446</v>
      </c>
      <c r="G4009" t="s">
        <v>446</v>
      </c>
      <c r="H4009" t="s">
        <v>4932</v>
      </c>
      <c r="I4009">
        <v>0</v>
      </c>
      <c r="J4009" t="s">
        <v>97</v>
      </c>
      <c r="K4009">
        <v>0</v>
      </c>
      <c r="L4009">
        <v>0</v>
      </c>
      <c r="M4009" t="s">
        <v>11</v>
      </c>
    </row>
    <row r="4010" spans="1:13">
      <c r="A4010" s="93">
        <v>461953</v>
      </c>
      <c r="B4010" t="s">
        <v>4516</v>
      </c>
      <c r="C4010" t="s">
        <v>4919</v>
      </c>
      <c r="D4010" s="92" t="s">
        <v>446</v>
      </c>
      <c r="E4010" s="92" t="s">
        <v>446</v>
      </c>
      <c r="F4010" t="s">
        <v>446</v>
      </c>
      <c r="G4010" t="s">
        <v>446</v>
      </c>
      <c r="H4010" t="s">
        <v>4930</v>
      </c>
      <c r="I4010">
        <v>0</v>
      </c>
      <c r="J4010" t="s">
        <v>97</v>
      </c>
      <c r="K4010">
        <v>0</v>
      </c>
      <c r="L4010">
        <v>0</v>
      </c>
      <c r="M4010" t="s">
        <v>11</v>
      </c>
    </row>
    <row r="4011" spans="1:13">
      <c r="A4011" s="93">
        <v>461999</v>
      </c>
      <c r="B4011" t="s">
        <v>4517</v>
      </c>
      <c r="C4011" t="s">
        <v>4919</v>
      </c>
      <c r="D4011" s="92" t="s">
        <v>446</v>
      </c>
      <c r="E4011" s="92" t="s">
        <v>446</v>
      </c>
      <c r="F4011" t="s">
        <v>446</v>
      </c>
      <c r="G4011" t="s">
        <v>446</v>
      </c>
      <c r="H4011" t="s">
        <v>4930</v>
      </c>
      <c r="I4011">
        <v>0</v>
      </c>
      <c r="J4011" t="s">
        <v>97</v>
      </c>
      <c r="K4011">
        <v>0</v>
      </c>
      <c r="L4011">
        <v>0</v>
      </c>
      <c r="M4011" t="s">
        <v>11</v>
      </c>
    </row>
    <row r="4012" spans="1:13">
      <c r="A4012" s="93">
        <v>462044</v>
      </c>
      <c r="B4012" t="s">
        <v>4518</v>
      </c>
      <c r="C4012" t="s">
        <v>4924</v>
      </c>
      <c r="D4012" s="92" t="s">
        <v>446</v>
      </c>
      <c r="E4012" s="92" t="s">
        <v>446</v>
      </c>
      <c r="F4012" t="s">
        <v>446</v>
      </c>
      <c r="G4012" t="s">
        <v>446</v>
      </c>
      <c r="H4012" t="s">
        <v>4932</v>
      </c>
      <c r="I4012">
        <v>0</v>
      </c>
      <c r="J4012" t="s">
        <v>97</v>
      </c>
      <c r="K4012">
        <v>0</v>
      </c>
      <c r="L4012">
        <v>0</v>
      </c>
      <c r="M4012" t="s">
        <v>11</v>
      </c>
    </row>
    <row r="4013" spans="1:13">
      <c r="A4013" s="93">
        <v>462354</v>
      </c>
      <c r="B4013" t="s">
        <v>4519</v>
      </c>
      <c r="C4013" t="s">
        <v>4920</v>
      </c>
      <c r="D4013" s="92">
        <v>0.59</v>
      </c>
      <c r="E4013" s="92">
        <v>0.5600000000000001</v>
      </c>
      <c r="F4013">
        <v>1070</v>
      </c>
      <c r="G4013">
        <v>1180</v>
      </c>
      <c r="H4013" t="s">
        <v>4930</v>
      </c>
      <c r="I4013">
        <v>0</v>
      </c>
      <c r="J4013" t="s">
        <v>97</v>
      </c>
      <c r="K4013">
        <v>0</v>
      </c>
      <c r="L4013">
        <v>0</v>
      </c>
      <c r="M4013" t="s">
        <v>11</v>
      </c>
    </row>
    <row r="4014" spans="1:13">
      <c r="A4014" s="93">
        <v>463056</v>
      </c>
      <c r="B4014" t="s">
        <v>4520</v>
      </c>
      <c r="C4014" t="s">
        <v>4923</v>
      </c>
      <c r="D4014" s="92">
        <v>0.63</v>
      </c>
      <c r="E4014" s="92">
        <v>0.5</v>
      </c>
      <c r="F4014">
        <v>1020</v>
      </c>
      <c r="G4014">
        <v>1115</v>
      </c>
      <c r="H4014" t="s">
        <v>4932</v>
      </c>
      <c r="I4014">
        <v>0</v>
      </c>
      <c r="J4014" t="s">
        <v>97</v>
      </c>
      <c r="K4014">
        <v>0</v>
      </c>
      <c r="L4014">
        <v>0</v>
      </c>
      <c r="M4014" t="s">
        <v>11</v>
      </c>
    </row>
    <row r="4015" spans="1:13">
      <c r="A4015" s="93">
        <v>464226</v>
      </c>
      <c r="B4015" t="s">
        <v>4521</v>
      </c>
      <c r="C4015" t="s">
        <v>4918</v>
      </c>
      <c r="D4015" s="92" t="s">
        <v>446</v>
      </c>
      <c r="E4015" s="92" t="s">
        <v>446</v>
      </c>
      <c r="F4015">
        <v>860</v>
      </c>
      <c r="G4015">
        <v>975</v>
      </c>
      <c r="H4015" t="s">
        <v>4930</v>
      </c>
      <c r="I4015">
        <v>0</v>
      </c>
      <c r="J4015" t="s">
        <v>97</v>
      </c>
      <c r="K4015">
        <v>0</v>
      </c>
      <c r="L4015">
        <v>0</v>
      </c>
      <c r="M4015" t="s">
        <v>11</v>
      </c>
    </row>
    <row r="4016" spans="1:13">
      <c r="A4016" s="93">
        <v>465812</v>
      </c>
      <c r="B4016" t="s">
        <v>4522</v>
      </c>
      <c r="C4016" t="s">
        <v>4923</v>
      </c>
      <c r="D4016" s="92">
        <v>0.12</v>
      </c>
      <c r="E4016" s="92">
        <v>0.1</v>
      </c>
      <c r="F4016" t="s">
        <v>446</v>
      </c>
      <c r="G4016" t="s">
        <v>446</v>
      </c>
      <c r="H4016" t="s">
        <v>4932</v>
      </c>
      <c r="I4016">
        <v>0</v>
      </c>
      <c r="J4016" t="s">
        <v>97</v>
      </c>
      <c r="K4016">
        <v>0</v>
      </c>
      <c r="L4016">
        <v>0</v>
      </c>
      <c r="M4016" t="s">
        <v>11</v>
      </c>
    </row>
    <row r="4017" spans="1:13">
      <c r="A4017" s="93">
        <v>466921</v>
      </c>
      <c r="B4017" t="s">
        <v>4523</v>
      </c>
      <c r="C4017" t="s">
        <v>4924</v>
      </c>
      <c r="D4017" s="92">
        <v>0.75</v>
      </c>
      <c r="E4017" s="92" t="s">
        <v>446</v>
      </c>
      <c r="F4017" t="s">
        <v>446</v>
      </c>
      <c r="G4017" t="s">
        <v>446</v>
      </c>
      <c r="H4017" t="s">
        <v>4930</v>
      </c>
      <c r="I4017">
        <v>0</v>
      </c>
      <c r="J4017" t="s">
        <v>97</v>
      </c>
      <c r="K4017">
        <v>0</v>
      </c>
      <c r="L4017">
        <v>0</v>
      </c>
      <c r="M4017" t="s">
        <v>11</v>
      </c>
    </row>
    <row r="4018" spans="1:13">
      <c r="A4018" s="93">
        <v>466930</v>
      </c>
      <c r="B4018" t="s">
        <v>4524</v>
      </c>
      <c r="C4018" t="s">
        <v>4924</v>
      </c>
      <c r="D4018" s="92">
        <v>1</v>
      </c>
      <c r="E4018" s="92">
        <v>1</v>
      </c>
      <c r="F4018" t="s">
        <v>446</v>
      </c>
      <c r="G4018" t="s">
        <v>446</v>
      </c>
      <c r="H4018" t="s">
        <v>4930</v>
      </c>
      <c r="I4018">
        <v>0</v>
      </c>
      <c r="J4018" t="s">
        <v>97</v>
      </c>
      <c r="K4018">
        <v>0</v>
      </c>
      <c r="L4018">
        <v>0</v>
      </c>
      <c r="M4018" t="s">
        <v>11</v>
      </c>
    </row>
    <row r="4019" spans="1:13">
      <c r="A4019" s="93">
        <v>467368</v>
      </c>
      <c r="B4019" t="s">
        <v>4525</v>
      </c>
      <c r="C4019" t="s">
        <v>4919</v>
      </c>
      <c r="D4019" s="92" t="s">
        <v>446</v>
      </c>
      <c r="E4019" s="92" t="s">
        <v>446</v>
      </c>
      <c r="F4019" t="s">
        <v>446</v>
      </c>
      <c r="G4019" t="s">
        <v>446</v>
      </c>
      <c r="H4019" t="s">
        <v>4930</v>
      </c>
      <c r="I4019">
        <v>0</v>
      </c>
      <c r="J4019" t="s">
        <v>97</v>
      </c>
      <c r="K4019">
        <v>0</v>
      </c>
      <c r="L4019">
        <v>0</v>
      </c>
      <c r="M4019" t="s">
        <v>11</v>
      </c>
    </row>
    <row r="4020" spans="1:13">
      <c r="A4020" s="93">
        <v>468246</v>
      </c>
      <c r="B4020" t="s">
        <v>4526</v>
      </c>
      <c r="C4020" t="s">
        <v>4919</v>
      </c>
      <c r="D4020" s="92" t="s">
        <v>446</v>
      </c>
      <c r="E4020" s="92" t="s">
        <v>446</v>
      </c>
      <c r="F4020" t="s">
        <v>446</v>
      </c>
      <c r="G4020" t="s">
        <v>446</v>
      </c>
      <c r="H4020" t="s">
        <v>4930</v>
      </c>
      <c r="I4020">
        <v>0</v>
      </c>
      <c r="J4020" t="s">
        <v>97</v>
      </c>
      <c r="K4020">
        <v>0</v>
      </c>
      <c r="L4020">
        <v>0</v>
      </c>
      <c r="M4020" t="s">
        <v>11</v>
      </c>
    </row>
    <row r="4021" spans="1:13">
      <c r="A4021" s="93">
        <v>468255</v>
      </c>
      <c r="B4021" t="s">
        <v>4527</v>
      </c>
      <c r="C4021" t="s">
        <v>4919</v>
      </c>
      <c r="D4021" s="92" t="s">
        <v>446</v>
      </c>
      <c r="E4021" s="92" t="s">
        <v>446</v>
      </c>
      <c r="F4021" t="s">
        <v>446</v>
      </c>
      <c r="G4021" t="s">
        <v>446</v>
      </c>
      <c r="H4021" t="s">
        <v>4930</v>
      </c>
      <c r="I4021">
        <v>0</v>
      </c>
      <c r="J4021" t="s">
        <v>97</v>
      </c>
      <c r="K4021">
        <v>0</v>
      </c>
      <c r="L4021">
        <v>0</v>
      </c>
      <c r="M4021" t="s">
        <v>11</v>
      </c>
    </row>
    <row r="4022" spans="1:13">
      <c r="A4022" s="93">
        <v>469416</v>
      </c>
      <c r="B4022" t="s">
        <v>4528</v>
      </c>
      <c r="C4022" t="s">
        <v>4923</v>
      </c>
      <c r="D4022" s="92">
        <v>0.23</v>
      </c>
      <c r="E4022" s="92">
        <v>0.23</v>
      </c>
      <c r="F4022" t="s">
        <v>446</v>
      </c>
      <c r="G4022" t="s">
        <v>446</v>
      </c>
      <c r="H4022" t="s">
        <v>4927</v>
      </c>
      <c r="I4022">
        <v>1</v>
      </c>
      <c r="J4022" t="s">
        <v>97</v>
      </c>
      <c r="K4022">
        <v>0</v>
      </c>
      <c r="L4022">
        <v>0</v>
      </c>
      <c r="M4022" t="s">
        <v>11</v>
      </c>
    </row>
    <row r="4023" spans="1:13">
      <c r="A4023" s="93">
        <v>469629</v>
      </c>
      <c r="B4023" t="s">
        <v>4529</v>
      </c>
      <c r="C4023" t="s">
        <v>4919</v>
      </c>
      <c r="D4023" s="92" t="s">
        <v>446</v>
      </c>
      <c r="E4023" s="92" t="s">
        <v>446</v>
      </c>
      <c r="F4023" t="s">
        <v>446</v>
      </c>
      <c r="G4023" t="s">
        <v>446</v>
      </c>
      <c r="H4023" t="s">
        <v>4930</v>
      </c>
      <c r="I4023">
        <v>0</v>
      </c>
      <c r="J4023" t="s">
        <v>97</v>
      </c>
      <c r="K4023">
        <v>0</v>
      </c>
      <c r="L4023">
        <v>0</v>
      </c>
      <c r="M4023" t="s">
        <v>11</v>
      </c>
    </row>
    <row r="4024" spans="1:13">
      <c r="A4024" s="93">
        <v>469638</v>
      </c>
      <c r="B4024" t="s">
        <v>4530</v>
      </c>
      <c r="C4024" t="s">
        <v>4919</v>
      </c>
      <c r="D4024" s="92" t="s">
        <v>446</v>
      </c>
      <c r="E4024" s="92" t="s">
        <v>446</v>
      </c>
      <c r="F4024" t="s">
        <v>446</v>
      </c>
      <c r="G4024" t="s">
        <v>446</v>
      </c>
      <c r="H4024" t="s">
        <v>4932</v>
      </c>
      <c r="I4024">
        <v>0</v>
      </c>
      <c r="J4024" t="s">
        <v>97</v>
      </c>
      <c r="K4024">
        <v>0</v>
      </c>
      <c r="L4024">
        <v>0</v>
      </c>
      <c r="M4024" t="s">
        <v>11</v>
      </c>
    </row>
    <row r="4025" spans="1:13">
      <c r="A4025" s="93">
        <v>470047</v>
      </c>
      <c r="B4025" t="s">
        <v>4531</v>
      </c>
      <c r="C4025" t="s">
        <v>4919</v>
      </c>
      <c r="D4025" s="92" t="s">
        <v>446</v>
      </c>
      <c r="E4025" s="92" t="s">
        <v>446</v>
      </c>
      <c r="F4025" t="s">
        <v>446</v>
      </c>
      <c r="G4025" t="s">
        <v>446</v>
      </c>
      <c r="H4025" t="s">
        <v>4932</v>
      </c>
      <c r="I4025">
        <v>0</v>
      </c>
      <c r="J4025" t="s">
        <v>97</v>
      </c>
      <c r="K4025">
        <v>0</v>
      </c>
      <c r="L4025">
        <v>0</v>
      </c>
      <c r="M4025" t="s">
        <v>11</v>
      </c>
    </row>
    <row r="4026" spans="1:13">
      <c r="A4026" s="93">
        <v>474863</v>
      </c>
      <c r="B4026" t="s">
        <v>4532</v>
      </c>
      <c r="C4026" t="s">
        <v>4923</v>
      </c>
      <c r="D4026" s="92">
        <v>0.36</v>
      </c>
      <c r="E4026" s="92">
        <v>0.33</v>
      </c>
      <c r="F4026" t="s">
        <v>446</v>
      </c>
      <c r="G4026" t="s">
        <v>446</v>
      </c>
      <c r="H4026" t="s">
        <v>4930</v>
      </c>
      <c r="I4026">
        <v>0</v>
      </c>
      <c r="J4026" t="s">
        <v>97</v>
      </c>
      <c r="K4026">
        <v>0</v>
      </c>
      <c r="L4026">
        <v>0</v>
      </c>
      <c r="M4026" t="s">
        <v>11</v>
      </c>
    </row>
    <row r="4027" spans="1:13">
      <c r="A4027" s="93">
        <v>474890</v>
      </c>
      <c r="B4027" t="s">
        <v>4533</v>
      </c>
      <c r="C4027" t="s">
        <v>4923</v>
      </c>
      <c r="D4027" s="92">
        <v>0.5</v>
      </c>
      <c r="E4027" s="92">
        <v>0.25</v>
      </c>
      <c r="F4027" t="s">
        <v>446</v>
      </c>
      <c r="G4027" t="s">
        <v>446</v>
      </c>
      <c r="H4027" t="s">
        <v>4932</v>
      </c>
      <c r="I4027">
        <v>0</v>
      </c>
      <c r="J4027" t="s">
        <v>97</v>
      </c>
      <c r="K4027">
        <v>0</v>
      </c>
      <c r="L4027">
        <v>0</v>
      </c>
      <c r="M4027" t="s">
        <v>11</v>
      </c>
    </row>
    <row r="4028" spans="1:13">
      <c r="A4028" s="93">
        <v>475015</v>
      </c>
      <c r="B4028" t="s">
        <v>4534</v>
      </c>
      <c r="C4028" t="s">
        <v>4919</v>
      </c>
      <c r="D4028" s="92" t="s">
        <v>446</v>
      </c>
      <c r="E4028" s="92" t="s">
        <v>446</v>
      </c>
      <c r="F4028" t="s">
        <v>446</v>
      </c>
      <c r="G4028" t="s">
        <v>446</v>
      </c>
      <c r="H4028" t="s">
        <v>4931</v>
      </c>
      <c r="I4028">
        <v>0</v>
      </c>
      <c r="J4028" t="s">
        <v>97</v>
      </c>
      <c r="K4028">
        <v>0</v>
      </c>
      <c r="L4028">
        <v>0</v>
      </c>
      <c r="M4028" t="s">
        <v>11</v>
      </c>
    </row>
    <row r="4029" spans="1:13">
      <c r="A4029" s="93">
        <v>475060</v>
      </c>
      <c r="B4029" t="s">
        <v>4535</v>
      </c>
      <c r="C4029" t="s">
        <v>4919</v>
      </c>
      <c r="D4029" s="92" t="s">
        <v>446</v>
      </c>
      <c r="E4029" s="92" t="s">
        <v>446</v>
      </c>
      <c r="F4029" t="s">
        <v>446</v>
      </c>
      <c r="G4029" t="s">
        <v>446</v>
      </c>
      <c r="H4029" t="s">
        <v>4930</v>
      </c>
      <c r="I4029">
        <v>0</v>
      </c>
      <c r="J4029" t="s">
        <v>97</v>
      </c>
      <c r="K4029">
        <v>0</v>
      </c>
      <c r="L4029">
        <v>0</v>
      </c>
      <c r="M4029" t="s">
        <v>11</v>
      </c>
    </row>
    <row r="4030" spans="1:13">
      <c r="A4030" s="93">
        <v>475121</v>
      </c>
      <c r="B4030" t="s">
        <v>4536</v>
      </c>
      <c r="C4030" t="s">
        <v>4923</v>
      </c>
      <c r="D4030" s="92">
        <v>0.04</v>
      </c>
      <c r="E4030" s="92">
        <v>0.03</v>
      </c>
      <c r="F4030" t="s">
        <v>446</v>
      </c>
      <c r="G4030" t="s">
        <v>446</v>
      </c>
      <c r="H4030" t="s">
        <v>4930</v>
      </c>
      <c r="I4030">
        <v>0</v>
      </c>
      <c r="J4030" t="s">
        <v>97</v>
      </c>
      <c r="K4030">
        <v>0</v>
      </c>
      <c r="L4030">
        <v>0</v>
      </c>
      <c r="M4030" t="s">
        <v>11</v>
      </c>
    </row>
    <row r="4031" spans="1:13">
      <c r="A4031" s="93">
        <v>475130</v>
      </c>
      <c r="B4031" t="s">
        <v>4537</v>
      </c>
      <c r="C4031" t="s">
        <v>4919</v>
      </c>
      <c r="D4031" s="92" t="s">
        <v>446</v>
      </c>
      <c r="E4031" s="92" t="s">
        <v>446</v>
      </c>
      <c r="F4031" t="s">
        <v>446</v>
      </c>
      <c r="G4031" t="s">
        <v>446</v>
      </c>
      <c r="H4031" t="s">
        <v>4932</v>
      </c>
      <c r="I4031">
        <v>0</v>
      </c>
      <c r="J4031" t="s">
        <v>97</v>
      </c>
      <c r="K4031">
        <v>0</v>
      </c>
      <c r="L4031">
        <v>0</v>
      </c>
      <c r="M4031" t="s">
        <v>11</v>
      </c>
    </row>
    <row r="4032" spans="1:13">
      <c r="A4032" s="93">
        <v>475176</v>
      </c>
      <c r="B4032" t="s">
        <v>4538</v>
      </c>
      <c r="C4032" t="s">
        <v>4926</v>
      </c>
      <c r="D4032" s="92">
        <v>0.64</v>
      </c>
      <c r="E4032" s="92">
        <v>0.65</v>
      </c>
      <c r="F4032" t="s">
        <v>446</v>
      </c>
      <c r="G4032" t="s">
        <v>446</v>
      </c>
      <c r="H4032" t="s">
        <v>4930</v>
      </c>
      <c r="I4032">
        <v>0</v>
      </c>
      <c r="J4032" t="s">
        <v>97</v>
      </c>
      <c r="K4032">
        <v>0</v>
      </c>
      <c r="L4032">
        <v>0</v>
      </c>
      <c r="M4032" t="s">
        <v>11</v>
      </c>
    </row>
    <row r="4033" spans="1:13">
      <c r="A4033" s="93">
        <v>475200</v>
      </c>
      <c r="B4033" t="s">
        <v>4539</v>
      </c>
      <c r="C4033" t="s">
        <v>4924</v>
      </c>
      <c r="D4033" s="92" t="s">
        <v>446</v>
      </c>
      <c r="E4033" s="92" t="s">
        <v>446</v>
      </c>
      <c r="F4033" t="s">
        <v>446</v>
      </c>
      <c r="G4033" t="s">
        <v>446</v>
      </c>
      <c r="H4033" t="s">
        <v>4932</v>
      </c>
      <c r="I4033">
        <v>0</v>
      </c>
      <c r="J4033" t="s">
        <v>97</v>
      </c>
      <c r="K4033">
        <v>0</v>
      </c>
      <c r="L4033">
        <v>0</v>
      </c>
      <c r="M4033" t="s">
        <v>11</v>
      </c>
    </row>
    <row r="4034" spans="1:13">
      <c r="A4034" s="93">
        <v>475228</v>
      </c>
      <c r="B4034" t="s">
        <v>4540</v>
      </c>
      <c r="C4034" t="s">
        <v>4924</v>
      </c>
      <c r="D4034" s="92" t="s">
        <v>446</v>
      </c>
      <c r="E4034" s="92" t="s">
        <v>446</v>
      </c>
      <c r="F4034" t="s">
        <v>446</v>
      </c>
      <c r="G4034" t="s">
        <v>446</v>
      </c>
      <c r="H4034" t="s">
        <v>4932</v>
      </c>
      <c r="I4034">
        <v>0</v>
      </c>
      <c r="J4034" t="s">
        <v>97</v>
      </c>
      <c r="K4034">
        <v>0</v>
      </c>
      <c r="L4034">
        <v>0</v>
      </c>
      <c r="M4034" t="s">
        <v>11</v>
      </c>
    </row>
    <row r="4035" spans="1:13">
      <c r="A4035" s="93">
        <v>475237</v>
      </c>
      <c r="B4035" t="s">
        <v>4541</v>
      </c>
      <c r="C4035" t="s">
        <v>4923</v>
      </c>
      <c r="D4035" s="92" t="s">
        <v>446</v>
      </c>
      <c r="E4035" s="92" t="s">
        <v>446</v>
      </c>
      <c r="F4035" t="s">
        <v>446</v>
      </c>
      <c r="G4035" t="s">
        <v>446</v>
      </c>
      <c r="H4035" t="s">
        <v>4932</v>
      </c>
      <c r="I4035">
        <v>0</v>
      </c>
      <c r="J4035" t="s">
        <v>97</v>
      </c>
      <c r="K4035">
        <v>0</v>
      </c>
      <c r="L4035">
        <v>0</v>
      </c>
      <c r="M4035" t="s">
        <v>11</v>
      </c>
    </row>
    <row r="4036" spans="1:13">
      <c r="A4036" s="93">
        <v>475273</v>
      </c>
      <c r="B4036" t="s">
        <v>4542</v>
      </c>
      <c r="C4036" t="s">
        <v>4924</v>
      </c>
      <c r="D4036" s="92" t="s">
        <v>446</v>
      </c>
      <c r="E4036" s="92" t="s">
        <v>446</v>
      </c>
      <c r="F4036" t="s">
        <v>446</v>
      </c>
      <c r="G4036" t="s">
        <v>446</v>
      </c>
      <c r="H4036" t="s">
        <v>4932</v>
      </c>
      <c r="I4036">
        <v>0</v>
      </c>
      <c r="J4036" t="s">
        <v>97</v>
      </c>
      <c r="K4036">
        <v>0</v>
      </c>
      <c r="L4036">
        <v>0</v>
      </c>
      <c r="M4036" t="s">
        <v>11</v>
      </c>
    </row>
    <row r="4037" spans="1:13">
      <c r="A4037" s="93">
        <v>475398</v>
      </c>
      <c r="B4037" t="s">
        <v>4543</v>
      </c>
      <c r="C4037" t="s">
        <v>4923</v>
      </c>
      <c r="D4037" s="92" t="s">
        <v>446</v>
      </c>
      <c r="E4037" s="92" t="s">
        <v>446</v>
      </c>
      <c r="F4037" t="s">
        <v>446</v>
      </c>
      <c r="G4037" t="s">
        <v>446</v>
      </c>
      <c r="H4037" t="s">
        <v>4930</v>
      </c>
      <c r="I4037">
        <v>0</v>
      </c>
      <c r="J4037" t="s">
        <v>97</v>
      </c>
      <c r="K4037">
        <v>0</v>
      </c>
      <c r="L4037">
        <v>0</v>
      </c>
      <c r="M4037" t="s">
        <v>11</v>
      </c>
    </row>
    <row r="4038" spans="1:13">
      <c r="A4038" s="93">
        <v>475422</v>
      </c>
      <c r="B4038" t="s">
        <v>4544</v>
      </c>
      <c r="C4038" t="s">
        <v>4919</v>
      </c>
      <c r="D4038" s="92" t="s">
        <v>446</v>
      </c>
      <c r="E4038" s="92" t="s">
        <v>446</v>
      </c>
      <c r="F4038" t="s">
        <v>446</v>
      </c>
      <c r="G4038" t="s">
        <v>446</v>
      </c>
      <c r="H4038" t="s">
        <v>4932</v>
      </c>
      <c r="I4038">
        <v>0</v>
      </c>
      <c r="J4038" t="s">
        <v>97</v>
      </c>
      <c r="K4038">
        <v>0</v>
      </c>
      <c r="L4038">
        <v>0</v>
      </c>
      <c r="M4038" t="s">
        <v>11</v>
      </c>
    </row>
    <row r="4039" spans="1:13">
      <c r="A4039" s="93">
        <v>475477</v>
      </c>
      <c r="B4039" t="s">
        <v>4545</v>
      </c>
      <c r="C4039" t="s">
        <v>4919</v>
      </c>
      <c r="D4039" s="92" t="s">
        <v>446</v>
      </c>
      <c r="E4039" s="92" t="s">
        <v>446</v>
      </c>
      <c r="F4039" t="s">
        <v>446</v>
      </c>
      <c r="G4039" t="s">
        <v>446</v>
      </c>
      <c r="H4039" t="s">
        <v>4930</v>
      </c>
      <c r="I4039">
        <v>0</v>
      </c>
      <c r="J4039" t="s">
        <v>97</v>
      </c>
      <c r="K4039">
        <v>0</v>
      </c>
      <c r="L4039">
        <v>0</v>
      </c>
      <c r="M4039" t="s">
        <v>11</v>
      </c>
    </row>
    <row r="4040" spans="1:13">
      <c r="A4040" s="93">
        <v>475495</v>
      </c>
      <c r="B4040" t="s">
        <v>4546</v>
      </c>
      <c r="C4040" t="s">
        <v>4924</v>
      </c>
      <c r="D4040" s="92" t="s">
        <v>446</v>
      </c>
      <c r="E4040" s="92" t="s">
        <v>446</v>
      </c>
      <c r="F4040" t="s">
        <v>446</v>
      </c>
      <c r="G4040" t="s">
        <v>446</v>
      </c>
      <c r="H4040" t="s">
        <v>4932</v>
      </c>
      <c r="I4040">
        <v>0</v>
      </c>
      <c r="J4040" t="s">
        <v>97</v>
      </c>
      <c r="K4040">
        <v>0</v>
      </c>
      <c r="L4040">
        <v>0</v>
      </c>
      <c r="M4040" t="s">
        <v>11</v>
      </c>
    </row>
    <row r="4041" spans="1:13">
      <c r="A4041" s="93">
        <v>475565</v>
      </c>
      <c r="B4041" t="s">
        <v>4547</v>
      </c>
      <c r="C4041" t="s">
        <v>4919</v>
      </c>
      <c r="D4041" s="92">
        <v>0.46</v>
      </c>
      <c r="E4041" s="92">
        <v>0.43</v>
      </c>
      <c r="F4041" t="s">
        <v>446</v>
      </c>
      <c r="G4041" t="s">
        <v>446</v>
      </c>
      <c r="H4041" t="s">
        <v>4932</v>
      </c>
      <c r="I4041">
        <v>0</v>
      </c>
      <c r="J4041" t="s">
        <v>97</v>
      </c>
      <c r="K4041">
        <v>0</v>
      </c>
      <c r="L4041">
        <v>0</v>
      </c>
      <c r="M4041" t="s">
        <v>11</v>
      </c>
    </row>
    <row r="4042" spans="1:13">
      <c r="A4042" s="93">
        <v>475608</v>
      </c>
      <c r="B4042" t="s">
        <v>4548</v>
      </c>
      <c r="C4042" t="s">
        <v>4923</v>
      </c>
      <c r="D4042" s="92">
        <v>0.41</v>
      </c>
      <c r="E4042" s="92">
        <v>0.17</v>
      </c>
      <c r="F4042">
        <v>1090</v>
      </c>
      <c r="G4042">
        <v>1120</v>
      </c>
      <c r="H4042" t="s">
        <v>4931</v>
      </c>
      <c r="I4042">
        <v>0</v>
      </c>
      <c r="J4042" t="s">
        <v>97</v>
      </c>
      <c r="K4042">
        <v>0</v>
      </c>
      <c r="L4042">
        <v>0</v>
      </c>
      <c r="M4042" t="s">
        <v>11</v>
      </c>
    </row>
    <row r="4043" spans="1:13">
      <c r="A4043" s="93">
        <v>475635</v>
      </c>
      <c r="B4043" t="s">
        <v>4549</v>
      </c>
      <c r="C4043" t="s">
        <v>4924</v>
      </c>
      <c r="D4043" s="92">
        <v>0.67</v>
      </c>
      <c r="E4043" s="92">
        <v>1</v>
      </c>
      <c r="F4043" t="s">
        <v>446</v>
      </c>
      <c r="G4043" t="s">
        <v>446</v>
      </c>
      <c r="H4043" t="s">
        <v>4932</v>
      </c>
      <c r="I4043">
        <v>0</v>
      </c>
      <c r="J4043" t="s">
        <v>97</v>
      </c>
      <c r="K4043">
        <v>0</v>
      </c>
      <c r="L4043">
        <v>0</v>
      </c>
      <c r="M4043" t="s">
        <v>11</v>
      </c>
    </row>
    <row r="4044" spans="1:13">
      <c r="A4044" s="93">
        <v>475714</v>
      </c>
      <c r="B4044" t="s">
        <v>4550</v>
      </c>
      <c r="C4044" t="s">
        <v>4919</v>
      </c>
      <c r="D4044" s="92">
        <v>0.5600000000000001</v>
      </c>
      <c r="E4044" s="92">
        <v>0.53</v>
      </c>
      <c r="F4044" t="s">
        <v>446</v>
      </c>
      <c r="G4044" t="s">
        <v>446</v>
      </c>
      <c r="H4044" t="s">
        <v>4932</v>
      </c>
      <c r="I4044">
        <v>0</v>
      </c>
      <c r="J4044" t="s">
        <v>97</v>
      </c>
      <c r="K4044">
        <v>0</v>
      </c>
      <c r="L4044">
        <v>0</v>
      </c>
      <c r="M4044" t="s">
        <v>11</v>
      </c>
    </row>
    <row r="4045" spans="1:13">
      <c r="A4045" s="93">
        <v>475732</v>
      </c>
      <c r="B4045" t="s">
        <v>4551</v>
      </c>
      <c r="C4045" t="s">
        <v>4924</v>
      </c>
      <c r="D4045" s="92">
        <v>0.4</v>
      </c>
      <c r="E4045" s="92">
        <v>0.25</v>
      </c>
      <c r="F4045" t="s">
        <v>446</v>
      </c>
      <c r="G4045" t="s">
        <v>446</v>
      </c>
      <c r="H4045" t="s">
        <v>4930</v>
      </c>
      <c r="I4045">
        <v>0</v>
      </c>
      <c r="J4045" t="s">
        <v>97</v>
      </c>
      <c r="K4045">
        <v>0</v>
      </c>
      <c r="L4045">
        <v>0</v>
      </c>
      <c r="M4045" t="s">
        <v>11</v>
      </c>
    </row>
    <row r="4046" spans="1:13">
      <c r="A4046" s="93">
        <v>475741</v>
      </c>
      <c r="B4046" t="s">
        <v>4552</v>
      </c>
      <c r="C4046" t="s">
        <v>4924</v>
      </c>
      <c r="D4046" s="92">
        <v>0.25</v>
      </c>
      <c r="E4046" s="92">
        <v>0.5</v>
      </c>
      <c r="F4046" t="s">
        <v>446</v>
      </c>
      <c r="G4046" t="s">
        <v>446</v>
      </c>
      <c r="H4046" t="s">
        <v>4930</v>
      </c>
      <c r="I4046">
        <v>0</v>
      </c>
      <c r="J4046" t="s">
        <v>97</v>
      </c>
      <c r="K4046">
        <v>0</v>
      </c>
      <c r="L4046">
        <v>0</v>
      </c>
      <c r="M4046" t="s">
        <v>11</v>
      </c>
    </row>
    <row r="4047" spans="1:13">
      <c r="A4047" s="93">
        <v>475750</v>
      </c>
      <c r="B4047" t="s">
        <v>4553</v>
      </c>
      <c r="C4047" t="s">
        <v>4919</v>
      </c>
      <c r="D4047" s="92" t="s">
        <v>446</v>
      </c>
      <c r="E4047" s="92" t="s">
        <v>446</v>
      </c>
      <c r="F4047" t="s">
        <v>446</v>
      </c>
      <c r="G4047" t="s">
        <v>446</v>
      </c>
      <c r="H4047" t="s">
        <v>4932</v>
      </c>
      <c r="I4047">
        <v>0</v>
      </c>
      <c r="J4047" t="s">
        <v>97</v>
      </c>
      <c r="K4047">
        <v>0</v>
      </c>
      <c r="L4047">
        <v>0</v>
      </c>
      <c r="M4047" t="s">
        <v>11</v>
      </c>
    </row>
    <row r="4048" spans="1:13">
      <c r="A4048" s="93">
        <v>475839</v>
      </c>
      <c r="B4048" t="s">
        <v>4554</v>
      </c>
      <c r="C4048" t="s">
        <v>4919</v>
      </c>
      <c r="D4048" s="92">
        <v>0.5</v>
      </c>
      <c r="E4048" s="92">
        <v>0</v>
      </c>
      <c r="F4048" t="s">
        <v>446</v>
      </c>
      <c r="G4048" t="s">
        <v>446</v>
      </c>
      <c r="H4048" t="s">
        <v>4931</v>
      </c>
      <c r="I4048">
        <v>0</v>
      </c>
      <c r="J4048" t="s">
        <v>97</v>
      </c>
      <c r="K4048">
        <v>0</v>
      </c>
      <c r="L4048">
        <v>0</v>
      </c>
      <c r="M4048" t="s">
        <v>11</v>
      </c>
    </row>
    <row r="4049" spans="1:13">
      <c r="A4049" s="93">
        <v>476355</v>
      </c>
      <c r="B4049" t="s">
        <v>4555</v>
      </c>
      <c r="C4049" t="s">
        <v>4919</v>
      </c>
      <c r="D4049" s="92" t="s">
        <v>446</v>
      </c>
      <c r="E4049" s="92" t="s">
        <v>446</v>
      </c>
      <c r="F4049" t="s">
        <v>446</v>
      </c>
      <c r="G4049" t="s">
        <v>446</v>
      </c>
      <c r="H4049" t="s">
        <v>4932</v>
      </c>
      <c r="I4049">
        <v>0</v>
      </c>
      <c r="J4049" t="s">
        <v>97</v>
      </c>
      <c r="K4049">
        <v>0</v>
      </c>
      <c r="L4049">
        <v>0</v>
      </c>
      <c r="M4049" t="s">
        <v>11</v>
      </c>
    </row>
    <row r="4050" spans="1:13">
      <c r="A4050" s="93">
        <v>476601</v>
      </c>
      <c r="B4050" t="s">
        <v>4556</v>
      </c>
      <c r="C4050" t="s">
        <v>4924</v>
      </c>
      <c r="D4050" s="92">
        <v>0.47</v>
      </c>
      <c r="E4050" s="92" t="s">
        <v>446</v>
      </c>
      <c r="F4050" t="s">
        <v>446</v>
      </c>
      <c r="G4050" t="s">
        <v>446</v>
      </c>
      <c r="H4050" t="s">
        <v>4931</v>
      </c>
      <c r="I4050">
        <v>0</v>
      </c>
      <c r="J4050" t="s">
        <v>97</v>
      </c>
      <c r="K4050">
        <v>0</v>
      </c>
      <c r="L4050">
        <v>0</v>
      </c>
      <c r="M4050" t="s">
        <v>11</v>
      </c>
    </row>
    <row r="4051" spans="1:13">
      <c r="A4051" s="93">
        <v>476629</v>
      </c>
      <c r="B4051" t="s">
        <v>4557</v>
      </c>
      <c r="C4051" t="s">
        <v>4919</v>
      </c>
      <c r="D4051" s="92" t="s">
        <v>446</v>
      </c>
      <c r="E4051" s="92" t="s">
        <v>446</v>
      </c>
      <c r="F4051" t="s">
        <v>446</v>
      </c>
      <c r="G4051" t="s">
        <v>446</v>
      </c>
      <c r="H4051" t="s">
        <v>4931</v>
      </c>
      <c r="I4051">
        <v>0</v>
      </c>
      <c r="J4051" t="s">
        <v>97</v>
      </c>
      <c r="K4051">
        <v>0</v>
      </c>
      <c r="L4051">
        <v>0</v>
      </c>
      <c r="M4051" t="s">
        <v>11</v>
      </c>
    </row>
    <row r="4052" spans="1:13">
      <c r="A4052" s="93">
        <v>476683</v>
      </c>
      <c r="B4052" t="s">
        <v>4558</v>
      </c>
      <c r="C4052" t="s">
        <v>4925</v>
      </c>
      <c r="D4052" s="92" t="s">
        <v>446</v>
      </c>
      <c r="E4052" s="92" t="s">
        <v>446</v>
      </c>
      <c r="F4052" t="s">
        <v>446</v>
      </c>
      <c r="G4052" t="s">
        <v>446</v>
      </c>
      <c r="H4052" t="s">
        <v>4930</v>
      </c>
      <c r="I4052">
        <v>0</v>
      </c>
      <c r="J4052" t="s">
        <v>97</v>
      </c>
      <c r="K4052">
        <v>0</v>
      </c>
      <c r="L4052">
        <v>0</v>
      </c>
      <c r="M4052" t="s">
        <v>11</v>
      </c>
    </row>
    <row r="4053" spans="1:13">
      <c r="A4053" s="93">
        <v>476692</v>
      </c>
      <c r="B4053" t="s">
        <v>4559</v>
      </c>
      <c r="C4053" t="s">
        <v>4924</v>
      </c>
      <c r="D4053" s="92">
        <v>0.17</v>
      </c>
      <c r="E4053" s="92" t="s">
        <v>446</v>
      </c>
      <c r="F4053" t="s">
        <v>446</v>
      </c>
      <c r="G4053" t="s">
        <v>446</v>
      </c>
      <c r="H4053" t="s">
        <v>4931</v>
      </c>
      <c r="I4053">
        <v>0</v>
      </c>
      <c r="J4053" t="s">
        <v>97</v>
      </c>
      <c r="K4053">
        <v>0</v>
      </c>
      <c r="L4053">
        <v>0</v>
      </c>
      <c r="M4053" t="s">
        <v>11</v>
      </c>
    </row>
    <row r="4054" spans="1:13">
      <c r="A4054" s="93">
        <v>476717</v>
      </c>
      <c r="B4054" t="s">
        <v>4560</v>
      </c>
      <c r="C4054" t="s">
        <v>4923</v>
      </c>
      <c r="D4054" s="92">
        <v>0.5</v>
      </c>
      <c r="E4054" s="92" t="s">
        <v>446</v>
      </c>
      <c r="F4054" t="s">
        <v>446</v>
      </c>
      <c r="G4054" t="s">
        <v>446</v>
      </c>
      <c r="H4054" t="s">
        <v>4931</v>
      </c>
      <c r="I4054">
        <v>0</v>
      </c>
      <c r="J4054" t="s">
        <v>97</v>
      </c>
      <c r="K4054">
        <v>0</v>
      </c>
      <c r="L4054">
        <v>0</v>
      </c>
      <c r="M4054" t="s">
        <v>11</v>
      </c>
    </row>
    <row r="4055" spans="1:13">
      <c r="A4055" s="93">
        <v>476726</v>
      </c>
      <c r="B4055" t="s">
        <v>4561</v>
      </c>
      <c r="C4055" t="s">
        <v>4919</v>
      </c>
      <c r="D4055" s="92" t="s">
        <v>446</v>
      </c>
      <c r="E4055" s="92" t="s">
        <v>446</v>
      </c>
      <c r="F4055" t="s">
        <v>446</v>
      </c>
      <c r="G4055" t="s">
        <v>446</v>
      </c>
      <c r="H4055" t="s">
        <v>4930</v>
      </c>
      <c r="I4055">
        <v>0</v>
      </c>
      <c r="J4055" t="s">
        <v>97</v>
      </c>
      <c r="K4055">
        <v>0</v>
      </c>
      <c r="L4055">
        <v>0</v>
      </c>
      <c r="M4055" t="s">
        <v>11</v>
      </c>
    </row>
    <row r="4056" spans="1:13">
      <c r="A4056" s="93">
        <v>476939</v>
      </c>
      <c r="B4056" t="s">
        <v>4562</v>
      </c>
      <c r="C4056" t="s">
        <v>4919</v>
      </c>
      <c r="D4056" s="92" t="s">
        <v>446</v>
      </c>
      <c r="E4056" s="92" t="s">
        <v>446</v>
      </c>
      <c r="F4056" t="s">
        <v>446</v>
      </c>
      <c r="G4056" t="s">
        <v>446</v>
      </c>
      <c r="H4056" t="s">
        <v>4932</v>
      </c>
      <c r="I4056">
        <v>0</v>
      </c>
      <c r="J4056" t="s">
        <v>97</v>
      </c>
      <c r="K4056">
        <v>0</v>
      </c>
      <c r="L4056">
        <v>0</v>
      </c>
      <c r="M4056" t="s">
        <v>11</v>
      </c>
    </row>
    <row r="4057" spans="1:13">
      <c r="A4057" s="93">
        <v>476948</v>
      </c>
      <c r="B4057" t="s">
        <v>4563</v>
      </c>
      <c r="C4057" t="s">
        <v>4919</v>
      </c>
      <c r="D4057" s="92" t="s">
        <v>446</v>
      </c>
      <c r="E4057" s="92" t="s">
        <v>446</v>
      </c>
      <c r="F4057" t="s">
        <v>446</v>
      </c>
      <c r="G4057" t="s">
        <v>446</v>
      </c>
      <c r="H4057" t="s">
        <v>4930</v>
      </c>
      <c r="I4057">
        <v>0</v>
      </c>
      <c r="J4057" t="s">
        <v>97</v>
      </c>
      <c r="K4057">
        <v>0</v>
      </c>
      <c r="L4057">
        <v>0</v>
      </c>
      <c r="M4057" t="s">
        <v>11</v>
      </c>
    </row>
    <row r="4058" spans="1:13">
      <c r="A4058" s="93">
        <v>476975</v>
      </c>
      <c r="B4058" t="s">
        <v>4564</v>
      </c>
      <c r="C4058" t="s">
        <v>4924</v>
      </c>
      <c r="D4058" s="92" t="s">
        <v>446</v>
      </c>
      <c r="E4058" s="92" t="s">
        <v>446</v>
      </c>
      <c r="F4058">
        <v>890</v>
      </c>
      <c r="G4058">
        <v>930</v>
      </c>
      <c r="H4058" t="s">
        <v>4932</v>
      </c>
      <c r="I4058">
        <v>0</v>
      </c>
      <c r="J4058" t="s">
        <v>97</v>
      </c>
      <c r="K4058">
        <v>0</v>
      </c>
      <c r="L4058">
        <v>0</v>
      </c>
      <c r="M4058" t="s">
        <v>11</v>
      </c>
    </row>
    <row r="4059" spans="1:13">
      <c r="A4059" s="93">
        <v>477039</v>
      </c>
      <c r="B4059" t="s">
        <v>4565</v>
      </c>
      <c r="C4059" t="s">
        <v>4923</v>
      </c>
      <c r="D4059" s="92">
        <v>1</v>
      </c>
      <c r="E4059" s="92" t="s">
        <v>446</v>
      </c>
      <c r="F4059" t="s">
        <v>446</v>
      </c>
      <c r="G4059" t="s">
        <v>446</v>
      </c>
      <c r="H4059" t="s">
        <v>4930</v>
      </c>
      <c r="I4059">
        <v>0</v>
      </c>
      <c r="J4059" t="s">
        <v>97</v>
      </c>
      <c r="K4059">
        <v>0</v>
      </c>
      <c r="L4059">
        <v>0</v>
      </c>
      <c r="M4059" t="s">
        <v>11</v>
      </c>
    </row>
    <row r="4060" spans="1:13">
      <c r="A4060" s="93">
        <v>478634</v>
      </c>
      <c r="B4060" t="s">
        <v>4566</v>
      </c>
      <c r="C4060" t="s">
        <v>4923</v>
      </c>
      <c r="D4060" s="92">
        <v>0.67</v>
      </c>
      <c r="E4060" s="92">
        <v>0.83</v>
      </c>
      <c r="F4060" t="s">
        <v>446</v>
      </c>
      <c r="G4060" t="s">
        <v>446</v>
      </c>
      <c r="H4060" t="s">
        <v>4932</v>
      </c>
      <c r="I4060">
        <v>0</v>
      </c>
      <c r="J4060" t="s">
        <v>97</v>
      </c>
      <c r="K4060">
        <v>0</v>
      </c>
      <c r="L4060">
        <v>0</v>
      </c>
      <c r="M4060" t="s">
        <v>11</v>
      </c>
    </row>
    <row r="4061" spans="1:13">
      <c r="A4061" s="93">
        <v>478953</v>
      </c>
      <c r="B4061" t="s">
        <v>4567</v>
      </c>
      <c r="C4061" t="s">
        <v>4926</v>
      </c>
      <c r="D4061" s="92" t="s">
        <v>446</v>
      </c>
      <c r="E4061" s="92" t="s">
        <v>446</v>
      </c>
      <c r="F4061" t="s">
        <v>446</v>
      </c>
      <c r="G4061" t="s">
        <v>446</v>
      </c>
      <c r="H4061" t="s">
        <v>4930</v>
      </c>
      <c r="I4061">
        <v>0</v>
      </c>
      <c r="J4061" t="s">
        <v>97</v>
      </c>
      <c r="K4061">
        <v>0</v>
      </c>
      <c r="L4061">
        <v>0</v>
      </c>
      <c r="M4061" t="s">
        <v>11</v>
      </c>
    </row>
    <row r="4062" spans="1:13">
      <c r="A4062" s="93">
        <v>479248</v>
      </c>
      <c r="B4062" t="s">
        <v>1315</v>
      </c>
      <c r="C4062" t="s">
        <v>4919</v>
      </c>
      <c r="D4062" s="92">
        <v>0.6899999999999999</v>
      </c>
      <c r="E4062" s="92">
        <v>0.66</v>
      </c>
      <c r="F4062" t="s">
        <v>446</v>
      </c>
      <c r="G4062" t="s">
        <v>446</v>
      </c>
      <c r="H4062" t="s">
        <v>4932</v>
      </c>
      <c r="I4062">
        <v>0</v>
      </c>
      <c r="J4062" t="s">
        <v>97</v>
      </c>
      <c r="K4062">
        <v>0</v>
      </c>
      <c r="L4062">
        <v>0</v>
      </c>
      <c r="M4062" t="s">
        <v>11</v>
      </c>
    </row>
    <row r="4063" spans="1:13">
      <c r="A4063" s="93">
        <v>479965</v>
      </c>
      <c r="B4063" t="s">
        <v>4568</v>
      </c>
      <c r="C4063" t="s">
        <v>4919</v>
      </c>
      <c r="D4063" s="92" t="s">
        <v>446</v>
      </c>
      <c r="E4063" s="92" t="s">
        <v>446</v>
      </c>
      <c r="F4063" t="s">
        <v>446</v>
      </c>
      <c r="G4063" t="s">
        <v>446</v>
      </c>
      <c r="H4063" t="s">
        <v>4932</v>
      </c>
      <c r="I4063">
        <v>0</v>
      </c>
      <c r="J4063" t="s">
        <v>97</v>
      </c>
      <c r="K4063">
        <v>0</v>
      </c>
      <c r="L4063">
        <v>0</v>
      </c>
      <c r="M4063" t="s">
        <v>11</v>
      </c>
    </row>
    <row r="4064" spans="1:13">
      <c r="A4064" s="93">
        <v>480028</v>
      </c>
      <c r="B4064" t="s">
        <v>4569</v>
      </c>
      <c r="C4064" t="s">
        <v>4926</v>
      </c>
      <c r="D4064" s="92" t="s">
        <v>446</v>
      </c>
      <c r="E4064" s="92" t="s">
        <v>446</v>
      </c>
      <c r="F4064" t="s">
        <v>446</v>
      </c>
      <c r="G4064" t="s">
        <v>446</v>
      </c>
      <c r="H4064" t="s">
        <v>4930</v>
      </c>
      <c r="I4064">
        <v>0</v>
      </c>
      <c r="J4064" t="s">
        <v>97</v>
      </c>
      <c r="K4064">
        <v>0</v>
      </c>
      <c r="L4064">
        <v>0</v>
      </c>
      <c r="M4064" t="s">
        <v>11</v>
      </c>
    </row>
    <row r="4065" spans="1:13">
      <c r="A4065" s="93">
        <v>480073</v>
      </c>
      <c r="B4065" t="s">
        <v>4570</v>
      </c>
      <c r="C4065" t="s">
        <v>4923</v>
      </c>
      <c r="D4065" s="92">
        <v>0.2</v>
      </c>
      <c r="E4065" s="92">
        <v>0.18</v>
      </c>
      <c r="F4065" t="s">
        <v>446</v>
      </c>
      <c r="G4065" t="s">
        <v>446</v>
      </c>
      <c r="H4065" t="s">
        <v>4930</v>
      </c>
      <c r="I4065">
        <v>0</v>
      </c>
      <c r="J4065" t="s">
        <v>97</v>
      </c>
      <c r="K4065">
        <v>0</v>
      </c>
      <c r="L4065">
        <v>0</v>
      </c>
      <c r="M4065" t="s">
        <v>11</v>
      </c>
    </row>
    <row r="4066" spans="1:13">
      <c r="A4066" s="93">
        <v>480091</v>
      </c>
      <c r="B4066" t="s">
        <v>4571</v>
      </c>
      <c r="C4066" t="s">
        <v>4923</v>
      </c>
      <c r="D4066" s="92">
        <v>1</v>
      </c>
      <c r="E4066" s="92" t="s">
        <v>446</v>
      </c>
      <c r="F4066" t="s">
        <v>446</v>
      </c>
      <c r="G4066" t="s">
        <v>446</v>
      </c>
      <c r="H4066" t="s">
        <v>4931</v>
      </c>
      <c r="I4066">
        <v>0</v>
      </c>
      <c r="J4066" t="s">
        <v>97</v>
      </c>
      <c r="K4066">
        <v>0</v>
      </c>
      <c r="L4066">
        <v>0</v>
      </c>
      <c r="M4066" t="s">
        <v>11</v>
      </c>
    </row>
    <row r="4067" spans="1:13">
      <c r="A4067" s="93">
        <v>480189</v>
      </c>
      <c r="B4067" t="s">
        <v>4572</v>
      </c>
      <c r="C4067" t="s">
        <v>4919</v>
      </c>
      <c r="D4067" s="92">
        <v>0.67</v>
      </c>
      <c r="E4067" s="92">
        <v>0.59</v>
      </c>
      <c r="F4067" t="s">
        <v>446</v>
      </c>
      <c r="G4067" t="s">
        <v>446</v>
      </c>
      <c r="H4067" t="s">
        <v>4932</v>
      </c>
      <c r="I4067">
        <v>0</v>
      </c>
      <c r="J4067" t="s">
        <v>97</v>
      </c>
      <c r="K4067">
        <v>0</v>
      </c>
      <c r="L4067">
        <v>0</v>
      </c>
      <c r="M4067" t="s">
        <v>11</v>
      </c>
    </row>
    <row r="4068" spans="1:13">
      <c r="A4068" s="93">
        <v>480198</v>
      </c>
      <c r="B4068" t="s">
        <v>4573</v>
      </c>
      <c r="C4068" t="s">
        <v>4923</v>
      </c>
      <c r="D4068" s="92">
        <v>1</v>
      </c>
      <c r="E4068" s="92" t="s">
        <v>446</v>
      </c>
      <c r="F4068" t="s">
        <v>446</v>
      </c>
      <c r="G4068" t="s">
        <v>446</v>
      </c>
      <c r="H4068" t="s">
        <v>4932</v>
      </c>
      <c r="I4068">
        <v>0</v>
      </c>
      <c r="J4068" t="s">
        <v>97</v>
      </c>
      <c r="K4068">
        <v>0</v>
      </c>
      <c r="L4068">
        <v>0</v>
      </c>
      <c r="M4068" t="s">
        <v>11</v>
      </c>
    </row>
    <row r="4069" spans="1:13">
      <c r="A4069" s="93">
        <v>480204</v>
      </c>
      <c r="B4069" t="s">
        <v>4574</v>
      </c>
      <c r="C4069" t="s">
        <v>4923</v>
      </c>
      <c r="D4069" s="92" t="s">
        <v>446</v>
      </c>
      <c r="E4069" s="92" t="s">
        <v>446</v>
      </c>
      <c r="F4069" t="s">
        <v>446</v>
      </c>
      <c r="G4069" t="s">
        <v>446</v>
      </c>
      <c r="H4069" t="s">
        <v>4930</v>
      </c>
      <c r="I4069">
        <v>0</v>
      </c>
      <c r="J4069" t="s">
        <v>97</v>
      </c>
      <c r="K4069">
        <v>0</v>
      </c>
      <c r="L4069">
        <v>0</v>
      </c>
      <c r="M4069" t="s">
        <v>11</v>
      </c>
    </row>
    <row r="4070" spans="1:13">
      <c r="A4070" s="93">
        <v>480499</v>
      </c>
      <c r="B4070" t="s">
        <v>4575</v>
      </c>
      <c r="C4070" t="s">
        <v>4924</v>
      </c>
      <c r="D4070" s="92" t="s">
        <v>446</v>
      </c>
      <c r="E4070" s="92" t="s">
        <v>446</v>
      </c>
      <c r="F4070" t="s">
        <v>446</v>
      </c>
      <c r="G4070" t="s">
        <v>446</v>
      </c>
      <c r="H4070" t="s">
        <v>4932</v>
      </c>
      <c r="I4070">
        <v>0</v>
      </c>
      <c r="J4070" t="s">
        <v>97</v>
      </c>
      <c r="K4070">
        <v>0</v>
      </c>
      <c r="L4070">
        <v>0</v>
      </c>
      <c r="M4070" t="s">
        <v>11</v>
      </c>
    </row>
    <row r="4071" spans="1:13">
      <c r="A4071" s="93">
        <v>480569</v>
      </c>
      <c r="B4071" t="s">
        <v>4576</v>
      </c>
      <c r="C4071" t="s">
        <v>4924</v>
      </c>
      <c r="D4071" s="92" t="s">
        <v>446</v>
      </c>
      <c r="E4071" s="92" t="s">
        <v>446</v>
      </c>
      <c r="F4071">
        <v>960</v>
      </c>
      <c r="G4071">
        <v>1050</v>
      </c>
      <c r="H4071" t="s">
        <v>4930</v>
      </c>
      <c r="I4071">
        <v>0</v>
      </c>
      <c r="J4071" t="s">
        <v>97</v>
      </c>
      <c r="K4071">
        <v>0</v>
      </c>
      <c r="L4071">
        <v>0</v>
      </c>
      <c r="M4071" t="s">
        <v>11</v>
      </c>
    </row>
    <row r="4072" spans="1:13">
      <c r="A4072" s="93">
        <v>480657</v>
      </c>
      <c r="B4072" t="s">
        <v>4577</v>
      </c>
      <c r="C4072" t="s">
        <v>4923</v>
      </c>
      <c r="D4072" s="92">
        <v>0.25</v>
      </c>
      <c r="E4072" s="92">
        <v>0</v>
      </c>
      <c r="F4072" t="s">
        <v>446</v>
      </c>
      <c r="G4072" t="s">
        <v>446</v>
      </c>
      <c r="H4072" t="s">
        <v>4930</v>
      </c>
      <c r="I4072">
        <v>0</v>
      </c>
      <c r="J4072" t="s">
        <v>97</v>
      </c>
      <c r="K4072">
        <v>0</v>
      </c>
      <c r="L4072">
        <v>0</v>
      </c>
      <c r="M4072" t="s">
        <v>11</v>
      </c>
    </row>
    <row r="4073" spans="1:13">
      <c r="A4073" s="93">
        <v>480727</v>
      </c>
      <c r="B4073" t="s">
        <v>4578</v>
      </c>
      <c r="C4073" t="s">
        <v>4919</v>
      </c>
      <c r="D4073" s="92" t="s">
        <v>446</v>
      </c>
      <c r="E4073" s="92" t="s">
        <v>446</v>
      </c>
      <c r="F4073" t="s">
        <v>446</v>
      </c>
      <c r="G4073" t="s">
        <v>446</v>
      </c>
      <c r="H4073" t="s">
        <v>4930</v>
      </c>
      <c r="I4073">
        <v>0</v>
      </c>
      <c r="J4073" t="s">
        <v>97</v>
      </c>
      <c r="K4073">
        <v>0</v>
      </c>
      <c r="L4073">
        <v>0</v>
      </c>
      <c r="M4073" t="s">
        <v>11</v>
      </c>
    </row>
    <row r="4074" spans="1:13">
      <c r="A4074" s="93">
        <v>480781</v>
      </c>
      <c r="B4074" t="s">
        <v>4579</v>
      </c>
      <c r="C4074" t="s">
        <v>4924</v>
      </c>
      <c r="D4074" s="92">
        <v>0.39</v>
      </c>
      <c r="E4074" s="92">
        <v>0.31</v>
      </c>
      <c r="F4074" t="s">
        <v>446</v>
      </c>
      <c r="G4074" t="s">
        <v>446</v>
      </c>
      <c r="H4074" t="s">
        <v>4931</v>
      </c>
      <c r="I4074">
        <v>0</v>
      </c>
      <c r="J4074" t="s">
        <v>97</v>
      </c>
      <c r="K4074">
        <v>0</v>
      </c>
      <c r="L4074">
        <v>0</v>
      </c>
      <c r="M4074" t="s">
        <v>11</v>
      </c>
    </row>
    <row r="4075" spans="1:13">
      <c r="A4075" s="93">
        <v>480790</v>
      </c>
      <c r="B4075" t="s">
        <v>4580</v>
      </c>
      <c r="C4075" t="s">
        <v>4924</v>
      </c>
      <c r="D4075" s="92" t="s">
        <v>446</v>
      </c>
      <c r="E4075" s="92" t="s">
        <v>446</v>
      </c>
      <c r="F4075" t="s">
        <v>446</v>
      </c>
      <c r="G4075" t="s">
        <v>446</v>
      </c>
      <c r="H4075" t="s">
        <v>4932</v>
      </c>
      <c r="I4075">
        <v>0</v>
      </c>
      <c r="J4075" t="s">
        <v>97</v>
      </c>
      <c r="K4075">
        <v>0</v>
      </c>
      <c r="L4075">
        <v>0</v>
      </c>
      <c r="M4075" t="s">
        <v>11</v>
      </c>
    </row>
    <row r="4076" spans="1:13">
      <c r="A4076" s="93">
        <v>480824</v>
      </c>
      <c r="B4076" t="s">
        <v>4581</v>
      </c>
      <c r="C4076" t="s">
        <v>4919</v>
      </c>
      <c r="D4076" s="92" t="s">
        <v>446</v>
      </c>
      <c r="E4076" s="92" t="s">
        <v>446</v>
      </c>
      <c r="F4076" t="s">
        <v>446</v>
      </c>
      <c r="G4076" t="s">
        <v>446</v>
      </c>
      <c r="H4076" t="s">
        <v>4930</v>
      </c>
      <c r="I4076">
        <v>0</v>
      </c>
      <c r="J4076" t="s">
        <v>97</v>
      </c>
      <c r="K4076">
        <v>0</v>
      </c>
      <c r="L4076">
        <v>0</v>
      </c>
      <c r="M4076" t="s">
        <v>11</v>
      </c>
    </row>
    <row r="4077" spans="1:13">
      <c r="A4077" s="93">
        <v>480833</v>
      </c>
      <c r="B4077" t="s">
        <v>4582</v>
      </c>
      <c r="C4077" t="s">
        <v>4919</v>
      </c>
      <c r="D4077" s="92" t="s">
        <v>446</v>
      </c>
      <c r="E4077" s="92" t="s">
        <v>446</v>
      </c>
      <c r="F4077" t="s">
        <v>446</v>
      </c>
      <c r="G4077" t="s">
        <v>446</v>
      </c>
      <c r="H4077" t="s">
        <v>4930</v>
      </c>
      <c r="I4077">
        <v>0</v>
      </c>
      <c r="J4077" t="s">
        <v>97</v>
      </c>
      <c r="K4077">
        <v>0</v>
      </c>
      <c r="L4077">
        <v>0</v>
      </c>
      <c r="M4077" t="s">
        <v>11</v>
      </c>
    </row>
    <row r="4078" spans="1:13">
      <c r="A4078" s="93">
        <v>480851</v>
      </c>
      <c r="B4078" t="s">
        <v>4583</v>
      </c>
      <c r="C4078" t="s">
        <v>4919</v>
      </c>
      <c r="D4078" s="92" t="s">
        <v>446</v>
      </c>
      <c r="E4078" s="92" t="s">
        <v>446</v>
      </c>
      <c r="F4078" t="s">
        <v>446</v>
      </c>
      <c r="G4078" t="s">
        <v>446</v>
      </c>
      <c r="H4078" t="s">
        <v>4930</v>
      </c>
      <c r="I4078">
        <v>0</v>
      </c>
      <c r="J4078" t="s">
        <v>97</v>
      </c>
      <c r="K4078">
        <v>0</v>
      </c>
      <c r="L4078">
        <v>0</v>
      </c>
      <c r="M4078" t="s">
        <v>11</v>
      </c>
    </row>
    <row r="4079" spans="1:13">
      <c r="A4079" s="93">
        <v>480912</v>
      </c>
      <c r="B4079" t="s">
        <v>4584</v>
      </c>
      <c r="C4079" t="s">
        <v>4924</v>
      </c>
      <c r="D4079" s="92">
        <v>1</v>
      </c>
      <c r="E4079" s="92">
        <v>1</v>
      </c>
      <c r="F4079" t="s">
        <v>446</v>
      </c>
      <c r="G4079" t="s">
        <v>446</v>
      </c>
      <c r="H4079" t="s">
        <v>4932</v>
      </c>
      <c r="I4079">
        <v>0</v>
      </c>
      <c r="J4079" t="s">
        <v>97</v>
      </c>
      <c r="K4079">
        <v>0</v>
      </c>
      <c r="L4079">
        <v>0</v>
      </c>
      <c r="M4079" t="s">
        <v>11</v>
      </c>
    </row>
    <row r="4080" spans="1:13">
      <c r="A4080" s="93">
        <v>480967</v>
      </c>
      <c r="B4080" t="s">
        <v>4585</v>
      </c>
      <c r="C4080" t="s">
        <v>4919</v>
      </c>
      <c r="D4080" s="92">
        <v>0.27</v>
      </c>
      <c r="E4080" s="92">
        <v>0.4</v>
      </c>
      <c r="F4080" t="s">
        <v>446</v>
      </c>
      <c r="G4080" t="s">
        <v>446</v>
      </c>
      <c r="H4080" t="s">
        <v>4932</v>
      </c>
      <c r="I4080">
        <v>0</v>
      </c>
      <c r="J4080" t="s">
        <v>97</v>
      </c>
      <c r="K4080">
        <v>0</v>
      </c>
      <c r="L4080">
        <v>0</v>
      </c>
      <c r="M4080" t="s">
        <v>11</v>
      </c>
    </row>
    <row r="4081" spans="1:13">
      <c r="A4081" s="93">
        <v>480985</v>
      </c>
      <c r="B4081" t="s">
        <v>4586</v>
      </c>
      <c r="C4081" t="s">
        <v>4924</v>
      </c>
      <c r="D4081" s="92" t="s">
        <v>446</v>
      </c>
      <c r="E4081" s="92" t="s">
        <v>446</v>
      </c>
      <c r="F4081" t="s">
        <v>446</v>
      </c>
      <c r="G4081" t="s">
        <v>446</v>
      </c>
      <c r="H4081" t="s">
        <v>4930</v>
      </c>
      <c r="I4081">
        <v>0</v>
      </c>
      <c r="J4081" t="s">
        <v>97</v>
      </c>
      <c r="K4081">
        <v>0</v>
      </c>
      <c r="L4081">
        <v>0</v>
      </c>
      <c r="M4081" t="s">
        <v>11</v>
      </c>
    </row>
    <row r="4082" spans="1:13">
      <c r="A4082" s="93">
        <v>481030</v>
      </c>
      <c r="B4082" t="s">
        <v>4587</v>
      </c>
      <c r="C4082" t="s">
        <v>4924</v>
      </c>
      <c r="D4082" s="92" t="s">
        <v>446</v>
      </c>
      <c r="E4082" s="92" t="s">
        <v>446</v>
      </c>
      <c r="F4082" t="s">
        <v>446</v>
      </c>
      <c r="G4082" t="s">
        <v>446</v>
      </c>
      <c r="H4082" t="s">
        <v>4932</v>
      </c>
      <c r="I4082">
        <v>0</v>
      </c>
      <c r="J4082" t="s">
        <v>97</v>
      </c>
      <c r="K4082">
        <v>0</v>
      </c>
      <c r="L4082">
        <v>0</v>
      </c>
      <c r="M4082" t="s">
        <v>11</v>
      </c>
    </row>
    <row r="4083" spans="1:13">
      <c r="A4083" s="93">
        <v>481058</v>
      </c>
      <c r="B4083" t="s">
        <v>4588</v>
      </c>
      <c r="C4083" t="s">
        <v>4924</v>
      </c>
      <c r="D4083" s="92">
        <v>0.65</v>
      </c>
      <c r="E4083" s="92" t="s">
        <v>446</v>
      </c>
      <c r="F4083" t="s">
        <v>446</v>
      </c>
      <c r="G4083" t="s">
        <v>446</v>
      </c>
      <c r="H4083" t="s">
        <v>4931</v>
      </c>
      <c r="I4083">
        <v>0</v>
      </c>
      <c r="J4083" t="s">
        <v>97</v>
      </c>
      <c r="K4083">
        <v>0</v>
      </c>
      <c r="L4083">
        <v>0</v>
      </c>
      <c r="M4083" t="s">
        <v>11</v>
      </c>
    </row>
    <row r="4084" spans="1:13">
      <c r="A4084" s="93">
        <v>481094</v>
      </c>
      <c r="B4084" t="s">
        <v>4589</v>
      </c>
      <c r="C4084" t="s">
        <v>4924</v>
      </c>
      <c r="D4084" s="92" t="s">
        <v>446</v>
      </c>
      <c r="E4084" s="92" t="s">
        <v>446</v>
      </c>
      <c r="F4084" t="s">
        <v>446</v>
      </c>
      <c r="G4084" t="s">
        <v>446</v>
      </c>
      <c r="H4084" t="s">
        <v>4932</v>
      </c>
      <c r="I4084">
        <v>0</v>
      </c>
      <c r="J4084" t="s">
        <v>97</v>
      </c>
      <c r="K4084">
        <v>0</v>
      </c>
      <c r="L4084">
        <v>0</v>
      </c>
      <c r="M4084" t="s">
        <v>11</v>
      </c>
    </row>
    <row r="4085" spans="1:13">
      <c r="A4085" s="93">
        <v>481137</v>
      </c>
      <c r="B4085" t="s">
        <v>4590</v>
      </c>
      <c r="C4085" t="s">
        <v>4919</v>
      </c>
      <c r="D4085" s="92" t="s">
        <v>446</v>
      </c>
      <c r="E4085" s="92" t="s">
        <v>446</v>
      </c>
      <c r="F4085" t="s">
        <v>446</v>
      </c>
      <c r="G4085" t="s">
        <v>446</v>
      </c>
      <c r="H4085" t="s">
        <v>4930</v>
      </c>
      <c r="I4085">
        <v>0</v>
      </c>
      <c r="J4085" t="s">
        <v>97</v>
      </c>
      <c r="K4085">
        <v>0</v>
      </c>
      <c r="L4085">
        <v>0</v>
      </c>
      <c r="M4085" t="s">
        <v>11</v>
      </c>
    </row>
    <row r="4086" spans="1:13">
      <c r="A4086" s="93">
        <v>481155</v>
      </c>
      <c r="B4086" t="s">
        <v>4591</v>
      </c>
      <c r="C4086" t="s">
        <v>4919</v>
      </c>
      <c r="D4086" s="92" t="s">
        <v>446</v>
      </c>
      <c r="E4086" s="92" t="s">
        <v>446</v>
      </c>
      <c r="F4086" t="s">
        <v>446</v>
      </c>
      <c r="G4086" t="s">
        <v>446</v>
      </c>
      <c r="H4086" t="s">
        <v>4930</v>
      </c>
      <c r="I4086">
        <v>0</v>
      </c>
      <c r="J4086" t="s">
        <v>97</v>
      </c>
      <c r="K4086">
        <v>0</v>
      </c>
      <c r="L4086">
        <v>0</v>
      </c>
      <c r="M4086" t="s">
        <v>11</v>
      </c>
    </row>
    <row r="4087" spans="1:13">
      <c r="A4087" s="93">
        <v>481225</v>
      </c>
      <c r="B4087" t="s">
        <v>4592</v>
      </c>
      <c r="C4087" t="s">
        <v>4924</v>
      </c>
      <c r="D4087" s="92">
        <v>1</v>
      </c>
      <c r="E4087" s="92">
        <v>1</v>
      </c>
      <c r="F4087" t="s">
        <v>446</v>
      </c>
      <c r="G4087" t="s">
        <v>446</v>
      </c>
      <c r="H4087" t="s">
        <v>4932</v>
      </c>
      <c r="I4087">
        <v>0</v>
      </c>
      <c r="J4087" t="s">
        <v>97</v>
      </c>
      <c r="K4087">
        <v>0</v>
      </c>
      <c r="L4087">
        <v>0</v>
      </c>
      <c r="M4087" t="s">
        <v>11</v>
      </c>
    </row>
    <row r="4088" spans="1:13">
      <c r="A4088" s="93">
        <v>481252</v>
      </c>
      <c r="B4088" t="s">
        <v>4593</v>
      </c>
      <c r="C4088" t="s">
        <v>4919</v>
      </c>
      <c r="D4088" s="92" t="s">
        <v>446</v>
      </c>
      <c r="E4088" s="92" t="s">
        <v>446</v>
      </c>
      <c r="F4088" t="s">
        <v>446</v>
      </c>
      <c r="G4088" t="s">
        <v>446</v>
      </c>
      <c r="H4088" t="s">
        <v>4930</v>
      </c>
      <c r="I4088">
        <v>0</v>
      </c>
      <c r="J4088" t="s">
        <v>97</v>
      </c>
      <c r="K4088">
        <v>0</v>
      </c>
      <c r="L4088">
        <v>0</v>
      </c>
      <c r="M4088" t="s">
        <v>11</v>
      </c>
    </row>
    <row r="4089" spans="1:13">
      <c r="A4089" s="93">
        <v>481401</v>
      </c>
      <c r="B4089" t="s">
        <v>4594</v>
      </c>
      <c r="C4089" t="s">
        <v>4923</v>
      </c>
      <c r="D4089" s="92" t="s">
        <v>446</v>
      </c>
      <c r="E4089" s="92" t="s">
        <v>446</v>
      </c>
      <c r="F4089" t="s">
        <v>446</v>
      </c>
      <c r="G4089" t="s">
        <v>446</v>
      </c>
      <c r="H4089" t="s">
        <v>4932</v>
      </c>
      <c r="I4089">
        <v>0</v>
      </c>
      <c r="J4089" t="s">
        <v>97</v>
      </c>
      <c r="K4089">
        <v>0</v>
      </c>
      <c r="L4089">
        <v>0</v>
      </c>
      <c r="M4089" t="s">
        <v>11</v>
      </c>
    </row>
    <row r="4090" spans="1:13">
      <c r="A4090" s="93">
        <v>481410</v>
      </c>
      <c r="B4090" t="s">
        <v>4595</v>
      </c>
      <c r="C4090" t="s">
        <v>4924</v>
      </c>
      <c r="D4090" s="92">
        <v>0.39</v>
      </c>
      <c r="E4090" s="92" t="s">
        <v>446</v>
      </c>
      <c r="F4090" t="s">
        <v>446</v>
      </c>
      <c r="G4090" t="s">
        <v>446</v>
      </c>
      <c r="H4090" t="s">
        <v>4931</v>
      </c>
      <c r="I4090">
        <v>0</v>
      </c>
      <c r="J4090" t="s">
        <v>97</v>
      </c>
      <c r="K4090">
        <v>0</v>
      </c>
      <c r="L4090">
        <v>0</v>
      </c>
      <c r="M4090" t="s">
        <v>11</v>
      </c>
    </row>
    <row r="4091" spans="1:13">
      <c r="A4091" s="93">
        <v>481438</v>
      </c>
      <c r="B4091" t="s">
        <v>4596</v>
      </c>
      <c r="C4091" t="s">
        <v>4924</v>
      </c>
      <c r="D4091" s="92">
        <v>0.27</v>
      </c>
      <c r="E4091" s="92" t="s">
        <v>446</v>
      </c>
      <c r="F4091" t="s">
        <v>446</v>
      </c>
      <c r="G4091" t="s">
        <v>446</v>
      </c>
      <c r="H4091" t="s">
        <v>4931</v>
      </c>
      <c r="I4091">
        <v>0</v>
      </c>
      <c r="J4091" t="s">
        <v>97</v>
      </c>
      <c r="K4091">
        <v>0</v>
      </c>
      <c r="L4091">
        <v>0</v>
      </c>
      <c r="M4091" t="s">
        <v>11</v>
      </c>
    </row>
    <row r="4092" spans="1:13">
      <c r="A4092" s="93">
        <v>481465</v>
      </c>
      <c r="B4092" t="s">
        <v>4263</v>
      </c>
      <c r="C4092" t="s">
        <v>4919</v>
      </c>
      <c r="D4092" s="92" t="s">
        <v>446</v>
      </c>
      <c r="E4092" s="92" t="s">
        <v>446</v>
      </c>
      <c r="F4092" t="s">
        <v>446</v>
      </c>
      <c r="G4092" t="s">
        <v>446</v>
      </c>
      <c r="H4092" t="s">
        <v>4930</v>
      </c>
      <c r="I4092">
        <v>0</v>
      </c>
      <c r="J4092" t="s">
        <v>97</v>
      </c>
      <c r="K4092">
        <v>0</v>
      </c>
      <c r="L4092">
        <v>0</v>
      </c>
      <c r="M4092" t="s">
        <v>11</v>
      </c>
    </row>
    <row r="4093" spans="1:13">
      <c r="A4093" s="93">
        <v>481535</v>
      </c>
      <c r="B4093" t="s">
        <v>4597</v>
      </c>
      <c r="C4093" t="s">
        <v>4926</v>
      </c>
      <c r="D4093" s="92" t="s">
        <v>446</v>
      </c>
      <c r="E4093" s="92" t="s">
        <v>446</v>
      </c>
      <c r="F4093" t="s">
        <v>446</v>
      </c>
      <c r="G4093" t="s">
        <v>446</v>
      </c>
      <c r="H4093" t="s">
        <v>4932</v>
      </c>
      <c r="I4093">
        <v>0</v>
      </c>
      <c r="J4093" t="s">
        <v>97</v>
      </c>
      <c r="K4093">
        <v>0</v>
      </c>
      <c r="L4093">
        <v>0</v>
      </c>
      <c r="M4093" t="s">
        <v>11</v>
      </c>
    </row>
    <row r="4094" spans="1:13">
      <c r="A4094" s="93">
        <v>481720</v>
      </c>
      <c r="B4094" t="s">
        <v>4598</v>
      </c>
      <c r="C4094" t="s">
        <v>4924</v>
      </c>
      <c r="D4094" s="92">
        <v>0.13</v>
      </c>
      <c r="E4094" s="92">
        <v>0.18</v>
      </c>
      <c r="F4094" t="s">
        <v>446</v>
      </c>
      <c r="G4094" t="s">
        <v>446</v>
      </c>
      <c r="H4094" t="s">
        <v>4932</v>
      </c>
      <c r="I4094">
        <v>0</v>
      </c>
      <c r="J4094" t="s">
        <v>97</v>
      </c>
      <c r="K4094">
        <v>0</v>
      </c>
      <c r="L4094">
        <v>0</v>
      </c>
      <c r="M4094" t="s">
        <v>11</v>
      </c>
    </row>
    <row r="4095" spans="1:13">
      <c r="A4095" s="93">
        <v>481775</v>
      </c>
      <c r="B4095" t="s">
        <v>4599</v>
      </c>
      <c r="C4095" t="s">
        <v>4926</v>
      </c>
      <c r="D4095" s="92" t="s">
        <v>446</v>
      </c>
      <c r="E4095" s="92" t="s">
        <v>446</v>
      </c>
      <c r="F4095" t="s">
        <v>446</v>
      </c>
      <c r="G4095" t="s">
        <v>446</v>
      </c>
      <c r="H4095" t="s">
        <v>4930</v>
      </c>
      <c r="I4095">
        <v>0</v>
      </c>
      <c r="J4095" t="s">
        <v>97</v>
      </c>
      <c r="K4095">
        <v>0</v>
      </c>
      <c r="L4095">
        <v>0</v>
      </c>
      <c r="M4095" t="s">
        <v>11</v>
      </c>
    </row>
    <row r="4096" spans="1:13">
      <c r="A4096" s="93">
        <v>482149</v>
      </c>
      <c r="B4096" t="s">
        <v>4600</v>
      </c>
      <c r="C4096" t="s">
        <v>4920</v>
      </c>
      <c r="D4096" s="92">
        <v>0.46</v>
      </c>
      <c r="E4096" s="92">
        <v>0.44</v>
      </c>
      <c r="F4096">
        <v>1080</v>
      </c>
      <c r="G4096">
        <v>1190</v>
      </c>
      <c r="H4096" t="s">
        <v>4932</v>
      </c>
      <c r="I4096">
        <v>0</v>
      </c>
      <c r="J4096" t="s">
        <v>97</v>
      </c>
      <c r="K4096">
        <v>0</v>
      </c>
      <c r="L4096">
        <v>0</v>
      </c>
      <c r="M4096" t="s">
        <v>11</v>
      </c>
    </row>
    <row r="4097" spans="1:13">
      <c r="A4097" s="93">
        <v>482158</v>
      </c>
      <c r="B4097" t="s">
        <v>4601</v>
      </c>
      <c r="C4097" t="s">
        <v>4923</v>
      </c>
      <c r="D4097" s="92">
        <v>0.27</v>
      </c>
      <c r="E4097" s="92">
        <v>0.2</v>
      </c>
      <c r="F4097">
        <v>940</v>
      </c>
      <c r="G4097">
        <v>1050</v>
      </c>
      <c r="H4097" t="s">
        <v>4932</v>
      </c>
      <c r="I4097">
        <v>0</v>
      </c>
      <c r="J4097" t="s">
        <v>97</v>
      </c>
      <c r="K4097">
        <v>0</v>
      </c>
      <c r="L4097">
        <v>0</v>
      </c>
      <c r="M4097" t="s">
        <v>11</v>
      </c>
    </row>
    <row r="4098" spans="1:13">
      <c r="A4098" s="93">
        <v>482185</v>
      </c>
      <c r="B4098" t="s">
        <v>4602</v>
      </c>
      <c r="C4098" t="s">
        <v>4919</v>
      </c>
      <c r="D4098" s="92" t="s">
        <v>446</v>
      </c>
      <c r="E4098" s="92" t="s">
        <v>446</v>
      </c>
      <c r="F4098" t="s">
        <v>446</v>
      </c>
      <c r="G4098" t="s">
        <v>446</v>
      </c>
      <c r="H4098" t="s">
        <v>4930</v>
      </c>
      <c r="I4098">
        <v>0</v>
      </c>
      <c r="J4098" t="s">
        <v>97</v>
      </c>
      <c r="K4098">
        <v>0</v>
      </c>
      <c r="L4098">
        <v>0</v>
      </c>
      <c r="M4098" t="s">
        <v>11</v>
      </c>
    </row>
    <row r="4099" spans="1:13">
      <c r="A4099" s="93">
        <v>482228</v>
      </c>
      <c r="B4099" t="s">
        <v>4603</v>
      </c>
      <c r="C4099" t="s">
        <v>4924</v>
      </c>
      <c r="D4099" s="92">
        <v>0.33</v>
      </c>
      <c r="E4099" s="92">
        <v>0</v>
      </c>
      <c r="F4099" t="s">
        <v>446</v>
      </c>
      <c r="G4099" t="s">
        <v>446</v>
      </c>
      <c r="H4099" t="s">
        <v>4932</v>
      </c>
      <c r="I4099">
        <v>0</v>
      </c>
      <c r="J4099" t="s">
        <v>97</v>
      </c>
      <c r="K4099">
        <v>0</v>
      </c>
      <c r="L4099">
        <v>0</v>
      </c>
      <c r="M4099" t="s">
        <v>11</v>
      </c>
    </row>
    <row r="4100" spans="1:13">
      <c r="A4100" s="93">
        <v>482255</v>
      </c>
      <c r="B4100" t="s">
        <v>4604</v>
      </c>
      <c r="C4100" t="s">
        <v>4919</v>
      </c>
      <c r="D4100" s="92" t="s">
        <v>446</v>
      </c>
      <c r="E4100" s="92" t="s">
        <v>446</v>
      </c>
      <c r="F4100" t="s">
        <v>446</v>
      </c>
      <c r="G4100" t="s">
        <v>446</v>
      </c>
      <c r="H4100" t="s">
        <v>4930</v>
      </c>
      <c r="I4100">
        <v>0</v>
      </c>
      <c r="J4100" t="s">
        <v>97</v>
      </c>
      <c r="K4100">
        <v>0</v>
      </c>
      <c r="L4100">
        <v>0</v>
      </c>
      <c r="M4100" t="s">
        <v>11</v>
      </c>
    </row>
    <row r="4101" spans="1:13">
      <c r="A4101" s="93">
        <v>482325</v>
      </c>
      <c r="B4101" t="s">
        <v>4605</v>
      </c>
      <c r="C4101" t="s">
        <v>4923</v>
      </c>
      <c r="D4101" s="92" t="s">
        <v>446</v>
      </c>
      <c r="E4101" s="92" t="s">
        <v>446</v>
      </c>
      <c r="F4101" t="s">
        <v>446</v>
      </c>
      <c r="G4101" t="s">
        <v>446</v>
      </c>
      <c r="H4101" t="s">
        <v>4932</v>
      </c>
      <c r="I4101">
        <v>0</v>
      </c>
      <c r="J4101" t="s">
        <v>97</v>
      </c>
      <c r="K4101">
        <v>0</v>
      </c>
      <c r="L4101">
        <v>0</v>
      </c>
      <c r="M4101" t="s">
        <v>11</v>
      </c>
    </row>
    <row r="4102" spans="1:13">
      <c r="A4102" s="93">
        <v>482413</v>
      </c>
      <c r="B4102" t="s">
        <v>4606</v>
      </c>
      <c r="C4102" t="s">
        <v>4924</v>
      </c>
      <c r="D4102" s="92">
        <v>0.25</v>
      </c>
      <c r="E4102" s="92">
        <v>0.19</v>
      </c>
      <c r="F4102" t="s">
        <v>446</v>
      </c>
      <c r="G4102" t="s">
        <v>446</v>
      </c>
      <c r="H4102" t="s">
        <v>4930</v>
      </c>
      <c r="I4102">
        <v>0</v>
      </c>
      <c r="J4102" t="s">
        <v>97</v>
      </c>
      <c r="K4102">
        <v>0</v>
      </c>
      <c r="L4102">
        <v>0</v>
      </c>
      <c r="M4102" t="s">
        <v>11</v>
      </c>
    </row>
    <row r="4103" spans="1:13">
      <c r="A4103" s="93">
        <v>482422</v>
      </c>
      <c r="B4103" t="s">
        <v>4607</v>
      </c>
      <c r="C4103" t="s">
        <v>4924</v>
      </c>
      <c r="D4103" s="92">
        <v>0.27</v>
      </c>
      <c r="E4103" s="92">
        <v>0.31</v>
      </c>
      <c r="F4103" t="s">
        <v>446</v>
      </c>
      <c r="G4103" t="s">
        <v>446</v>
      </c>
      <c r="H4103" t="s">
        <v>4930</v>
      </c>
      <c r="I4103">
        <v>0</v>
      </c>
      <c r="J4103" t="s">
        <v>97</v>
      </c>
      <c r="K4103">
        <v>0</v>
      </c>
      <c r="L4103">
        <v>0</v>
      </c>
      <c r="M4103" t="s">
        <v>11</v>
      </c>
    </row>
    <row r="4104" spans="1:13">
      <c r="A4104" s="93">
        <v>482431</v>
      </c>
      <c r="B4104" t="s">
        <v>4608</v>
      </c>
      <c r="C4104" t="s">
        <v>4924</v>
      </c>
      <c r="D4104" s="92">
        <v>0.23</v>
      </c>
      <c r="E4104" s="92">
        <v>0.22</v>
      </c>
      <c r="F4104" t="s">
        <v>446</v>
      </c>
      <c r="G4104" t="s">
        <v>446</v>
      </c>
      <c r="H4104" t="s">
        <v>4930</v>
      </c>
      <c r="I4104">
        <v>0</v>
      </c>
      <c r="J4104" t="s">
        <v>97</v>
      </c>
      <c r="K4104">
        <v>0</v>
      </c>
      <c r="L4104">
        <v>0</v>
      </c>
      <c r="M4104" t="s">
        <v>11</v>
      </c>
    </row>
    <row r="4105" spans="1:13">
      <c r="A4105" s="93">
        <v>482440</v>
      </c>
      <c r="B4105" t="s">
        <v>4609</v>
      </c>
      <c r="C4105" t="s">
        <v>4924</v>
      </c>
      <c r="D4105" s="92">
        <v>0.26</v>
      </c>
      <c r="E4105" s="92">
        <v>0.22</v>
      </c>
      <c r="F4105" t="s">
        <v>446</v>
      </c>
      <c r="G4105" t="s">
        <v>446</v>
      </c>
      <c r="H4105" t="s">
        <v>4932</v>
      </c>
      <c r="I4105">
        <v>0</v>
      </c>
      <c r="J4105" t="s">
        <v>97</v>
      </c>
      <c r="K4105">
        <v>0</v>
      </c>
      <c r="L4105">
        <v>0</v>
      </c>
      <c r="M4105" t="s">
        <v>11</v>
      </c>
    </row>
    <row r="4106" spans="1:13">
      <c r="A4106" s="93">
        <v>482459</v>
      </c>
      <c r="B4106" t="s">
        <v>4610</v>
      </c>
      <c r="C4106" t="s">
        <v>4924</v>
      </c>
      <c r="D4106" s="92">
        <v>0.23</v>
      </c>
      <c r="E4106" s="92">
        <v>0.25</v>
      </c>
      <c r="F4106" t="s">
        <v>446</v>
      </c>
      <c r="G4106" t="s">
        <v>446</v>
      </c>
      <c r="H4106" t="s">
        <v>4930</v>
      </c>
      <c r="I4106">
        <v>0</v>
      </c>
      <c r="J4106" t="s">
        <v>97</v>
      </c>
      <c r="K4106">
        <v>0</v>
      </c>
      <c r="L4106">
        <v>0</v>
      </c>
      <c r="M4106" t="s">
        <v>11</v>
      </c>
    </row>
    <row r="4107" spans="1:13">
      <c r="A4107" s="93">
        <v>482468</v>
      </c>
      <c r="B4107" t="s">
        <v>4611</v>
      </c>
      <c r="C4107" t="s">
        <v>4924</v>
      </c>
      <c r="D4107" s="92">
        <v>0.16</v>
      </c>
      <c r="E4107" s="92">
        <v>0.16</v>
      </c>
      <c r="F4107" t="s">
        <v>446</v>
      </c>
      <c r="G4107" t="s">
        <v>446</v>
      </c>
      <c r="H4107" t="s">
        <v>4930</v>
      </c>
      <c r="I4107">
        <v>0</v>
      </c>
      <c r="J4107" t="s">
        <v>97</v>
      </c>
      <c r="K4107">
        <v>0</v>
      </c>
      <c r="L4107">
        <v>0</v>
      </c>
      <c r="M4107" t="s">
        <v>11</v>
      </c>
    </row>
    <row r="4108" spans="1:13">
      <c r="A4108" s="93">
        <v>482477</v>
      </c>
      <c r="B4108" t="s">
        <v>4612</v>
      </c>
      <c r="C4108" t="s">
        <v>4924</v>
      </c>
      <c r="D4108" s="92">
        <v>0.26</v>
      </c>
      <c r="E4108" s="92">
        <v>0.25</v>
      </c>
      <c r="F4108" t="s">
        <v>446</v>
      </c>
      <c r="G4108" t="s">
        <v>446</v>
      </c>
      <c r="H4108" t="s">
        <v>4930</v>
      </c>
      <c r="I4108">
        <v>0</v>
      </c>
      <c r="J4108" t="s">
        <v>97</v>
      </c>
      <c r="K4108">
        <v>0</v>
      </c>
      <c r="L4108">
        <v>1</v>
      </c>
      <c r="M4108" t="s">
        <v>4935</v>
      </c>
    </row>
    <row r="4109" spans="1:13">
      <c r="A4109" s="93">
        <v>482486</v>
      </c>
      <c r="B4109" t="s">
        <v>4613</v>
      </c>
      <c r="C4109" t="s">
        <v>4924</v>
      </c>
      <c r="D4109" s="92">
        <v>0.17</v>
      </c>
      <c r="E4109" s="92">
        <v>0</v>
      </c>
      <c r="F4109" t="s">
        <v>446</v>
      </c>
      <c r="G4109" t="s">
        <v>446</v>
      </c>
      <c r="H4109" t="s">
        <v>4930</v>
      </c>
      <c r="I4109">
        <v>0</v>
      </c>
      <c r="J4109" t="s">
        <v>97</v>
      </c>
      <c r="K4109">
        <v>0</v>
      </c>
      <c r="L4109">
        <v>0</v>
      </c>
      <c r="M4109" t="s">
        <v>11</v>
      </c>
    </row>
    <row r="4110" spans="1:13">
      <c r="A4110" s="93">
        <v>482538</v>
      </c>
      <c r="B4110" t="s">
        <v>4614</v>
      </c>
      <c r="C4110" t="s">
        <v>4924</v>
      </c>
      <c r="D4110" s="92">
        <v>0.26</v>
      </c>
      <c r="E4110" s="92">
        <v>0</v>
      </c>
      <c r="F4110" t="s">
        <v>446</v>
      </c>
      <c r="G4110" t="s">
        <v>446</v>
      </c>
      <c r="H4110" t="s">
        <v>4932</v>
      </c>
      <c r="I4110">
        <v>0</v>
      </c>
      <c r="J4110" t="s">
        <v>97</v>
      </c>
      <c r="K4110">
        <v>0</v>
      </c>
      <c r="L4110">
        <v>0</v>
      </c>
      <c r="M4110" t="s">
        <v>11</v>
      </c>
    </row>
    <row r="4111" spans="1:13">
      <c r="A4111" s="93">
        <v>482547</v>
      </c>
      <c r="B4111" t="s">
        <v>4615</v>
      </c>
      <c r="C4111" t="s">
        <v>4924</v>
      </c>
      <c r="D4111" s="92">
        <v>0.33</v>
      </c>
      <c r="E4111" s="92">
        <v>1</v>
      </c>
      <c r="F4111" t="s">
        <v>446</v>
      </c>
      <c r="G4111" t="s">
        <v>446</v>
      </c>
      <c r="H4111" t="s">
        <v>4932</v>
      </c>
      <c r="I4111">
        <v>0</v>
      </c>
      <c r="J4111" t="s">
        <v>97</v>
      </c>
      <c r="K4111">
        <v>0</v>
      </c>
      <c r="L4111">
        <v>0</v>
      </c>
      <c r="M4111" t="s">
        <v>11</v>
      </c>
    </row>
    <row r="4112" spans="1:13">
      <c r="A4112" s="93">
        <v>482556</v>
      </c>
      <c r="B4112" t="s">
        <v>4616</v>
      </c>
      <c r="C4112" t="s">
        <v>4924</v>
      </c>
      <c r="D4112" s="92">
        <v>0.26</v>
      </c>
      <c r="E4112" s="92">
        <v>0.17</v>
      </c>
      <c r="F4112" t="s">
        <v>446</v>
      </c>
      <c r="G4112" t="s">
        <v>446</v>
      </c>
      <c r="H4112" t="s">
        <v>4930</v>
      </c>
      <c r="I4112">
        <v>0</v>
      </c>
      <c r="J4112" t="s">
        <v>97</v>
      </c>
      <c r="K4112">
        <v>0</v>
      </c>
      <c r="L4112">
        <v>0</v>
      </c>
      <c r="M4112" t="s">
        <v>11</v>
      </c>
    </row>
    <row r="4113" spans="1:13">
      <c r="A4113" s="93">
        <v>482565</v>
      </c>
      <c r="B4113" t="s">
        <v>4617</v>
      </c>
      <c r="C4113" t="s">
        <v>4924</v>
      </c>
      <c r="D4113" s="92">
        <v>0.25</v>
      </c>
      <c r="E4113" s="92">
        <v>0</v>
      </c>
      <c r="F4113" t="s">
        <v>446</v>
      </c>
      <c r="G4113" t="s">
        <v>446</v>
      </c>
      <c r="H4113" t="s">
        <v>4932</v>
      </c>
      <c r="I4113">
        <v>0</v>
      </c>
      <c r="J4113" t="s">
        <v>97</v>
      </c>
      <c r="K4113">
        <v>0</v>
      </c>
      <c r="L4113">
        <v>0</v>
      </c>
      <c r="M4113" t="s">
        <v>11</v>
      </c>
    </row>
    <row r="4114" spans="1:13">
      <c r="A4114" s="93">
        <v>482574</v>
      </c>
      <c r="B4114" t="s">
        <v>4618</v>
      </c>
      <c r="C4114" t="s">
        <v>4924</v>
      </c>
      <c r="D4114" s="92">
        <v>0.26</v>
      </c>
      <c r="E4114" s="92">
        <v>0.31</v>
      </c>
      <c r="F4114" t="s">
        <v>446</v>
      </c>
      <c r="G4114" t="s">
        <v>446</v>
      </c>
      <c r="H4114" t="s">
        <v>4930</v>
      </c>
      <c r="I4114">
        <v>0</v>
      </c>
      <c r="J4114" t="s">
        <v>97</v>
      </c>
      <c r="K4114">
        <v>0</v>
      </c>
      <c r="L4114">
        <v>0</v>
      </c>
      <c r="M4114" t="s">
        <v>11</v>
      </c>
    </row>
    <row r="4115" spans="1:13">
      <c r="A4115" s="93">
        <v>482608</v>
      </c>
      <c r="B4115" t="s">
        <v>4619</v>
      </c>
      <c r="C4115" t="s">
        <v>4924</v>
      </c>
      <c r="D4115" s="92">
        <v>0.16</v>
      </c>
      <c r="E4115" s="92">
        <v>0.22</v>
      </c>
      <c r="F4115" t="s">
        <v>446</v>
      </c>
      <c r="G4115" t="s">
        <v>446</v>
      </c>
      <c r="H4115" t="s">
        <v>4932</v>
      </c>
      <c r="I4115">
        <v>0</v>
      </c>
      <c r="J4115" t="s">
        <v>97</v>
      </c>
      <c r="K4115">
        <v>0</v>
      </c>
      <c r="L4115">
        <v>0</v>
      </c>
      <c r="M4115" t="s">
        <v>11</v>
      </c>
    </row>
    <row r="4116" spans="1:13">
      <c r="A4116" s="93">
        <v>482617</v>
      </c>
      <c r="B4116" t="s">
        <v>4620</v>
      </c>
      <c r="C4116" t="s">
        <v>4924</v>
      </c>
      <c r="D4116" s="92">
        <v>0.25</v>
      </c>
      <c r="E4116" s="92">
        <v>0.33</v>
      </c>
      <c r="F4116" t="s">
        <v>446</v>
      </c>
      <c r="G4116" t="s">
        <v>446</v>
      </c>
      <c r="H4116" t="s">
        <v>4932</v>
      </c>
      <c r="I4116">
        <v>0</v>
      </c>
      <c r="J4116" t="s">
        <v>97</v>
      </c>
      <c r="K4116">
        <v>0</v>
      </c>
      <c r="L4116">
        <v>0</v>
      </c>
      <c r="M4116" t="s">
        <v>11</v>
      </c>
    </row>
    <row r="4117" spans="1:13">
      <c r="A4117" s="93">
        <v>482635</v>
      </c>
      <c r="B4117" t="s">
        <v>4621</v>
      </c>
      <c r="C4117" t="s">
        <v>4924</v>
      </c>
      <c r="D4117" s="92">
        <v>0.17</v>
      </c>
      <c r="E4117" s="92">
        <v>0.09</v>
      </c>
      <c r="F4117" t="s">
        <v>446</v>
      </c>
      <c r="G4117" t="s">
        <v>446</v>
      </c>
      <c r="H4117" t="s">
        <v>4930</v>
      </c>
      <c r="I4117">
        <v>0</v>
      </c>
      <c r="J4117" t="s">
        <v>97</v>
      </c>
      <c r="K4117">
        <v>0</v>
      </c>
      <c r="L4117">
        <v>0</v>
      </c>
      <c r="M4117" t="s">
        <v>11</v>
      </c>
    </row>
    <row r="4118" spans="1:13">
      <c r="A4118" s="93">
        <v>482653</v>
      </c>
      <c r="B4118" t="s">
        <v>4622</v>
      </c>
      <c r="C4118" t="s">
        <v>4924</v>
      </c>
      <c r="D4118" s="92">
        <v>0.25</v>
      </c>
      <c r="E4118" s="92">
        <v>0</v>
      </c>
      <c r="F4118" t="s">
        <v>446</v>
      </c>
      <c r="G4118" t="s">
        <v>446</v>
      </c>
      <c r="H4118" t="s">
        <v>4932</v>
      </c>
      <c r="I4118">
        <v>0</v>
      </c>
      <c r="J4118" t="s">
        <v>97</v>
      </c>
      <c r="K4118">
        <v>0</v>
      </c>
      <c r="L4118">
        <v>0</v>
      </c>
      <c r="M4118" t="s">
        <v>11</v>
      </c>
    </row>
    <row r="4119" spans="1:13">
      <c r="A4119" s="93">
        <v>482680</v>
      </c>
      <c r="B4119" t="s">
        <v>4623</v>
      </c>
      <c r="C4119" t="s">
        <v>4920</v>
      </c>
      <c r="D4119" s="92">
        <v>0.46</v>
      </c>
      <c r="E4119" s="92">
        <v>0.4</v>
      </c>
      <c r="F4119">
        <v>1040</v>
      </c>
      <c r="G4119">
        <v>1130</v>
      </c>
      <c r="H4119" t="s">
        <v>4932</v>
      </c>
      <c r="I4119">
        <v>0</v>
      </c>
      <c r="J4119" t="s">
        <v>97</v>
      </c>
      <c r="K4119">
        <v>0</v>
      </c>
      <c r="L4119">
        <v>0</v>
      </c>
      <c r="M4119" t="s">
        <v>11</v>
      </c>
    </row>
    <row r="4120" spans="1:13">
      <c r="A4120" s="93">
        <v>482699</v>
      </c>
      <c r="B4120" t="s">
        <v>4624</v>
      </c>
      <c r="C4120" t="s">
        <v>4923</v>
      </c>
      <c r="D4120" s="92" t="s">
        <v>446</v>
      </c>
      <c r="E4120" s="92" t="s">
        <v>446</v>
      </c>
      <c r="F4120" t="s">
        <v>446</v>
      </c>
      <c r="G4120" t="s">
        <v>446</v>
      </c>
      <c r="H4120" t="s">
        <v>4932</v>
      </c>
      <c r="I4120">
        <v>0</v>
      </c>
      <c r="J4120" t="s">
        <v>97</v>
      </c>
      <c r="K4120">
        <v>0</v>
      </c>
      <c r="L4120">
        <v>0</v>
      </c>
      <c r="M4120" t="s">
        <v>11</v>
      </c>
    </row>
    <row r="4121" spans="1:13">
      <c r="A4121" s="93">
        <v>482705</v>
      </c>
      <c r="B4121" t="s">
        <v>4625</v>
      </c>
      <c r="C4121" t="s">
        <v>4924</v>
      </c>
      <c r="D4121" s="92" t="s">
        <v>446</v>
      </c>
      <c r="E4121" s="92" t="s">
        <v>446</v>
      </c>
      <c r="F4121" t="s">
        <v>446</v>
      </c>
      <c r="G4121" t="s">
        <v>446</v>
      </c>
      <c r="H4121" t="s">
        <v>4932</v>
      </c>
      <c r="I4121">
        <v>0</v>
      </c>
      <c r="J4121" t="s">
        <v>97</v>
      </c>
      <c r="K4121">
        <v>0</v>
      </c>
      <c r="L4121">
        <v>0</v>
      </c>
      <c r="M4121" t="s">
        <v>11</v>
      </c>
    </row>
    <row r="4122" spans="1:13">
      <c r="A4122" s="93">
        <v>482936</v>
      </c>
      <c r="B4122" t="s">
        <v>4626</v>
      </c>
      <c r="C4122" t="s">
        <v>4917</v>
      </c>
      <c r="D4122" s="92">
        <v>0.53</v>
      </c>
      <c r="E4122" s="92">
        <v>0.47</v>
      </c>
      <c r="F4122">
        <v>1180</v>
      </c>
      <c r="G4122">
        <v>1275</v>
      </c>
      <c r="H4122" t="s">
        <v>4932</v>
      </c>
      <c r="I4122">
        <v>0</v>
      </c>
      <c r="J4122" t="s">
        <v>97</v>
      </c>
      <c r="K4122">
        <v>0</v>
      </c>
      <c r="L4122">
        <v>0</v>
      </c>
      <c r="M4122" t="s">
        <v>11</v>
      </c>
    </row>
    <row r="4123" spans="1:13">
      <c r="A4123" s="93">
        <v>482990</v>
      </c>
      <c r="B4123" t="s">
        <v>4627</v>
      </c>
      <c r="C4123" t="s">
        <v>4919</v>
      </c>
      <c r="D4123" s="92" t="s">
        <v>446</v>
      </c>
      <c r="E4123" s="92" t="s">
        <v>446</v>
      </c>
      <c r="F4123" t="s">
        <v>446</v>
      </c>
      <c r="G4123" t="s">
        <v>446</v>
      </c>
      <c r="H4123" t="s">
        <v>4930</v>
      </c>
      <c r="I4123">
        <v>0</v>
      </c>
      <c r="J4123" t="s">
        <v>97</v>
      </c>
      <c r="K4123">
        <v>0</v>
      </c>
      <c r="L4123">
        <v>0</v>
      </c>
      <c r="M4123" t="s">
        <v>11</v>
      </c>
    </row>
    <row r="4124" spans="1:13">
      <c r="A4124" s="93">
        <v>483018</v>
      </c>
      <c r="B4124" t="s">
        <v>4628</v>
      </c>
      <c r="C4124" t="s">
        <v>4924</v>
      </c>
      <c r="D4124" s="92">
        <v>0.62</v>
      </c>
      <c r="E4124" s="92">
        <v>0.5</v>
      </c>
      <c r="F4124">
        <v>1010</v>
      </c>
      <c r="G4124">
        <v>1125</v>
      </c>
      <c r="H4124" t="s">
        <v>4930</v>
      </c>
      <c r="I4124">
        <v>0</v>
      </c>
      <c r="J4124" t="s">
        <v>97</v>
      </c>
      <c r="K4124">
        <v>0</v>
      </c>
      <c r="L4124">
        <v>0</v>
      </c>
      <c r="M4124" t="s">
        <v>11</v>
      </c>
    </row>
    <row r="4125" spans="1:13">
      <c r="A4125" s="93">
        <v>483036</v>
      </c>
      <c r="B4125" t="s">
        <v>4629</v>
      </c>
      <c r="C4125" t="s">
        <v>4924</v>
      </c>
      <c r="D4125" s="92" t="s">
        <v>446</v>
      </c>
      <c r="E4125" s="92" t="s">
        <v>446</v>
      </c>
      <c r="F4125" t="s">
        <v>446</v>
      </c>
      <c r="G4125" t="s">
        <v>446</v>
      </c>
      <c r="H4125" t="s">
        <v>4932</v>
      </c>
      <c r="I4125">
        <v>0</v>
      </c>
      <c r="J4125" t="s">
        <v>97</v>
      </c>
      <c r="K4125">
        <v>0</v>
      </c>
      <c r="L4125">
        <v>0</v>
      </c>
      <c r="M4125" t="s">
        <v>11</v>
      </c>
    </row>
    <row r="4126" spans="1:13">
      <c r="A4126" s="93">
        <v>483045</v>
      </c>
      <c r="B4126" t="s">
        <v>4630</v>
      </c>
      <c r="C4126" t="s">
        <v>4919</v>
      </c>
      <c r="D4126" s="92">
        <v>0.39</v>
      </c>
      <c r="E4126" s="92">
        <v>0.32</v>
      </c>
      <c r="F4126" t="s">
        <v>446</v>
      </c>
      <c r="G4126" t="s">
        <v>446</v>
      </c>
      <c r="H4126" t="s">
        <v>4932</v>
      </c>
      <c r="I4126">
        <v>0</v>
      </c>
      <c r="J4126" t="s">
        <v>97</v>
      </c>
      <c r="K4126">
        <v>0</v>
      </c>
      <c r="L4126">
        <v>0</v>
      </c>
      <c r="M4126" t="s">
        <v>11</v>
      </c>
    </row>
    <row r="4127" spans="1:13">
      <c r="A4127" s="93">
        <v>483124</v>
      </c>
      <c r="B4127" t="s">
        <v>4631</v>
      </c>
      <c r="C4127" t="s">
        <v>4924</v>
      </c>
      <c r="D4127" s="92">
        <v>0.08</v>
      </c>
      <c r="E4127" s="92">
        <v>0.05</v>
      </c>
      <c r="F4127" t="s">
        <v>446</v>
      </c>
      <c r="G4127" t="s">
        <v>446</v>
      </c>
      <c r="H4127" t="s">
        <v>4932</v>
      </c>
      <c r="I4127">
        <v>0</v>
      </c>
      <c r="J4127" t="s">
        <v>97</v>
      </c>
      <c r="K4127">
        <v>0</v>
      </c>
      <c r="L4127">
        <v>0</v>
      </c>
      <c r="M4127" t="s">
        <v>11</v>
      </c>
    </row>
    <row r="4128" spans="1:13">
      <c r="A4128" s="93">
        <v>483212</v>
      </c>
      <c r="B4128" t="s">
        <v>4632</v>
      </c>
      <c r="C4128" t="s">
        <v>4919</v>
      </c>
      <c r="D4128" s="92">
        <v>0.25</v>
      </c>
      <c r="E4128" s="92">
        <v>0.21</v>
      </c>
      <c r="F4128" t="s">
        <v>446</v>
      </c>
      <c r="G4128" t="s">
        <v>446</v>
      </c>
      <c r="H4128" t="s">
        <v>4932</v>
      </c>
      <c r="I4128">
        <v>0</v>
      </c>
      <c r="J4128" t="s">
        <v>97</v>
      </c>
      <c r="K4128">
        <v>0</v>
      </c>
      <c r="L4128">
        <v>0</v>
      </c>
      <c r="M4128" t="s">
        <v>11</v>
      </c>
    </row>
    <row r="4129" spans="1:13">
      <c r="A4129" s="93">
        <v>483221</v>
      </c>
      <c r="B4129" t="s">
        <v>4633</v>
      </c>
      <c r="C4129" t="s">
        <v>4919</v>
      </c>
      <c r="D4129" s="92">
        <v>1</v>
      </c>
      <c r="E4129" s="92" t="s">
        <v>446</v>
      </c>
      <c r="F4129" t="s">
        <v>446</v>
      </c>
      <c r="G4129" t="s">
        <v>446</v>
      </c>
      <c r="H4129" t="s">
        <v>4932</v>
      </c>
      <c r="I4129">
        <v>0</v>
      </c>
      <c r="J4129" t="s">
        <v>97</v>
      </c>
      <c r="K4129">
        <v>0</v>
      </c>
      <c r="L4129">
        <v>0</v>
      </c>
      <c r="M4129" t="s">
        <v>11</v>
      </c>
    </row>
    <row r="4130" spans="1:13">
      <c r="A4130" s="93">
        <v>483373</v>
      </c>
      <c r="B4130" t="s">
        <v>4634</v>
      </c>
      <c r="C4130" t="s">
        <v>4926</v>
      </c>
      <c r="D4130" s="92">
        <v>0.59</v>
      </c>
      <c r="E4130" s="92">
        <v>0.5600000000000001</v>
      </c>
      <c r="F4130" t="s">
        <v>446</v>
      </c>
      <c r="G4130" t="s">
        <v>446</v>
      </c>
      <c r="H4130" t="s">
        <v>4930</v>
      </c>
      <c r="I4130">
        <v>0</v>
      </c>
      <c r="J4130" t="s">
        <v>97</v>
      </c>
      <c r="K4130">
        <v>0</v>
      </c>
      <c r="L4130">
        <v>0</v>
      </c>
      <c r="M4130" t="s">
        <v>11</v>
      </c>
    </row>
    <row r="4131" spans="1:13">
      <c r="A4131" s="93">
        <v>483595</v>
      </c>
      <c r="B4131" t="s">
        <v>4635</v>
      </c>
      <c r="C4131" t="s">
        <v>4923</v>
      </c>
      <c r="D4131" s="92" t="s">
        <v>446</v>
      </c>
      <c r="E4131" s="92" t="s">
        <v>446</v>
      </c>
      <c r="F4131" t="s">
        <v>446</v>
      </c>
      <c r="G4131" t="s">
        <v>446</v>
      </c>
      <c r="H4131" t="s">
        <v>4931</v>
      </c>
      <c r="I4131">
        <v>0</v>
      </c>
      <c r="J4131" t="s">
        <v>97</v>
      </c>
      <c r="K4131">
        <v>0</v>
      </c>
      <c r="L4131">
        <v>0</v>
      </c>
      <c r="M4131" t="s">
        <v>11</v>
      </c>
    </row>
    <row r="4132" spans="1:13">
      <c r="A4132" s="93">
        <v>483647</v>
      </c>
      <c r="B4132" t="s">
        <v>4636</v>
      </c>
      <c r="C4132" t="s">
        <v>4926</v>
      </c>
      <c r="D4132" s="92" t="s">
        <v>446</v>
      </c>
      <c r="E4132" s="92" t="s">
        <v>446</v>
      </c>
      <c r="F4132" t="s">
        <v>446</v>
      </c>
      <c r="G4132" t="s">
        <v>446</v>
      </c>
      <c r="H4132" t="s">
        <v>4930</v>
      </c>
      <c r="I4132">
        <v>0</v>
      </c>
      <c r="J4132" t="s">
        <v>97</v>
      </c>
      <c r="K4132">
        <v>0</v>
      </c>
      <c r="L4132">
        <v>0</v>
      </c>
      <c r="M4132" t="s">
        <v>11</v>
      </c>
    </row>
    <row r="4133" spans="1:13">
      <c r="A4133" s="93">
        <v>483780</v>
      </c>
      <c r="B4133" t="s">
        <v>4637</v>
      </c>
      <c r="C4133" t="s">
        <v>4923</v>
      </c>
      <c r="D4133" s="92">
        <v>0.58</v>
      </c>
      <c r="E4133" s="92">
        <v>1</v>
      </c>
      <c r="F4133" t="s">
        <v>446</v>
      </c>
      <c r="G4133" t="s">
        <v>446</v>
      </c>
      <c r="H4133" t="s">
        <v>4930</v>
      </c>
      <c r="I4133">
        <v>0</v>
      </c>
      <c r="J4133" t="s">
        <v>97</v>
      </c>
      <c r="K4133">
        <v>0</v>
      </c>
      <c r="L4133">
        <v>0</v>
      </c>
      <c r="M4133" t="s">
        <v>11</v>
      </c>
    </row>
    <row r="4134" spans="1:13">
      <c r="A4134" s="93">
        <v>483814</v>
      </c>
      <c r="B4134" t="s">
        <v>4638</v>
      </c>
      <c r="C4134" t="s">
        <v>4925</v>
      </c>
      <c r="D4134" s="92" t="s">
        <v>446</v>
      </c>
      <c r="E4134" s="92" t="s">
        <v>446</v>
      </c>
      <c r="F4134" t="s">
        <v>446</v>
      </c>
      <c r="G4134" t="s">
        <v>446</v>
      </c>
      <c r="H4134" t="s">
        <v>4930</v>
      </c>
      <c r="I4134">
        <v>0</v>
      </c>
      <c r="J4134" t="s">
        <v>97</v>
      </c>
      <c r="K4134">
        <v>0</v>
      </c>
      <c r="L4134">
        <v>0</v>
      </c>
      <c r="M4134" t="s">
        <v>11</v>
      </c>
    </row>
    <row r="4135" spans="1:13">
      <c r="A4135" s="93">
        <v>483920</v>
      </c>
      <c r="B4135" t="s">
        <v>4639</v>
      </c>
      <c r="C4135" t="s">
        <v>4919</v>
      </c>
      <c r="D4135" s="92" t="s">
        <v>446</v>
      </c>
      <c r="E4135" s="92" t="s">
        <v>446</v>
      </c>
      <c r="F4135" t="s">
        <v>446</v>
      </c>
      <c r="G4135" t="s">
        <v>446</v>
      </c>
      <c r="H4135" t="s">
        <v>4931</v>
      </c>
      <c r="I4135">
        <v>0</v>
      </c>
      <c r="J4135" t="s">
        <v>97</v>
      </c>
      <c r="K4135">
        <v>0</v>
      </c>
      <c r="L4135">
        <v>0</v>
      </c>
      <c r="M4135" t="s">
        <v>11</v>
      </c>
    </row>
    <row r="4136" spans="1:13">
      <c r="A4136" s="93">
        <v>483975</v>
      </c>
      <c r="B4136" t="s">
        <v>4640</v>
      </c>
      <c r="C4136" t="s">
        <v>4924</v>
      </c>
      <c r="D4136" s="92" t="s">
        <v>446</v>
      </c>
      <c r="E4136" s="92" t="s">
        <v>446</v>
      </c>
      <c r="F4136" t="s">
        <v>446</v>
      </c>
      <c r="G4136" t="s">
        <v>446</v>
      </c>
      <c r="H4136" t="s">
        <v>4932</v>
      </c>
      <c r="I4136">
        <v>0</v>
      </c>
      <c r="J4136" t="s">
        <v>97</v>
      </c>
      <c r="K4136">
        <v>0</v>
      </c>
      <c r="L4136">
        <v>0</v>
      </c>
      <c r="M4136" t="s">
        <v>11</v>
      </c>
    </row>
    <row r="4137" spans="1:13">
      <c r="A4137" s="93">
        <v>484002</v>
      </c>
      <c r="B4137" t="s">
        <v>4641</v>
      </c>
      <c r="C4137" t="s">
        <v>4919</v>
      </c>
      <c r="D4137" s="92" t="s">
        <v>446</v>
      </c>
      <c r="E4137" s="92" t="s">
        <v>446</v>
      </c>
      <c r="F4137" t="s">
        <v>446</v>
      </c>
      <c r="G4137" t="s">
        <v>446</v>
      </c>
      <c r="H4137" t="s">
        <v>4930</v>
      </c>
      <c r="I4137">
        <v>0</v>
      </c>
      <c r="J4137" t="s">
        <v>97</v>
      </c>
      <c r="K4137">
        <v>0</v>
      </c>
      <c r="L4137">
        <v>0</v>
      </c>
      <c r="M4137" t="s">
        <v>11</v>
      </c>
    </row>
    <row r="4138" spans="1:13">
      <c r="A4138" s="93">
        <v>484066</v>
      </c>
      <c r="B4138" t="s">
        <v>4642</v>
      </c>
      <c r="C4138" t="s">
        <v>4919</v>
      </c>
      <c r="D4138" s="92" t="s">
        <v>446</v>
      </c>
      <c r="E4138" s="92" t="s">
        <v>446</v>
      </c>
      <c r="F4138" t="s">
        <v>446</v>
      </c>
      <c r="G4138" t="s">
        <v>446</v>
      </c>
      <c r="H4138" t="s">
        <v>4930</v>
      </c>
      <c r="I4138">
        <v>0</v>
      </c>
      <c r="J4138" t="s">
        <v>97</v>
      </c>
      <c r="K4138">
        <v>0</v>
      </c>
      <c r="L4138">
        <v>0</v>
      </c>
      <c r="M4138" t="s">
        <v>11</v>
      </c>
    </row>
    <row r="4139" spans="1:13">
      <c r="A4139" s="93">
        <v>484233</v>
      </c>
      <c r="B4139" t="s">
        <v>4643</v>
      </c>
      <c r="C4139" t="s">
        <v>4919</v>
      </c>
      <c r="D4139" s="92" t="s">
        <v>446</v>
      </c>
      <c r="E4139" s="92" t="s">
        <v>446</v>
      </c>
      <c r="F4139" t="s">
        <v>446</v>
      </c>
      <c r="G4139" t="s">
        <v>446</v>
      </c>
      <c r="H4139" t="s">
        <v>4932</v>
      </c>
      <c r="I4139">
        <v>0</v>
      </c>
      <c r="J4139" t="s">
        <v>97</v>
      </c>
      <c r="K4139">
        <v>0</v>
      </c>
      <c r="L4139">
        <v>0</v>
      </c>
      <c r="M4139" t="s">
        <v>11</v>
      </c>
    </row>
    <row r="4140" spans="1:13">
      <c r="A4140" s="93">
        <v>484367</v>
      </c>
      <c r="B4140" t="s">
        <v>4644</v>
      </c>
      <c r="C4140" t="s">
        <v>4919</v>
      </c>
      <c r="D4140" s="92" t="s">
        <v>446</v>
      </c>
      <c r="E4140" s="92" t="s">
        <v>446</v>
      </c>
      <c r="F4140" t="s">
        <v>446</v>
      </c>
      <c r="G4140" t="s">
        <v>446</v>
      </c>
      <c r="H4140" t="s">
        <v>4930</v>
      </c>
      <c r="I4140">
        <v>0</v>
      </c>
      <c r="J4140" t="s">
        <v>97</v>
      </c>
      <c r="K4140">
        <v>0</v>
      </c>
      <c r="L4140">
        <v>0</v>
      </c>
      <c r="M4140" t="s">
        <v>11</v>
      </c>
    </row>
    <row r="4141" spans="1:13">
      <c r="A4141" s="93">
        <v>484376</v>
      </c>
      <c r="B4141" t="s">
        <v>4645</v>
      </c>
      <c r="C4141" t="s">
        <v>4919</v>
      </c>
      <c r="D4141" s="92" t="s">
        <v>446</v>
      </c>
      <c r="E4141" s="92" t="s">
        <v>446</v>
      </c>
      <c r="F4141" t="s">
        <v>446</v>
      </c>
      <c r="G4141" t="s">
        <v>446</v>
      </c>
      <c r="H4141" t="s">
        <v>4930</v>
      </c>
      <c r="I4141">
        <v>0</v>
      </c>
      <c r="J4141" t="s">
        <v>97</v>
      </c>
      <c r="K4141">
        <v>0</v>
      </c>
      <c r="L4141">
        <v>0</v>
      </c>
      <c r="M4141" t="s">
        <v>11</v>
      </c>
    </row>
    <row r="4142" spans="1:13">
      <c r="A4142" s="93">
        <v>484473</v>
      </c>
      <c r="B4142" t="s">
        <v>4646</v>
      </c>
      <c r="C4142" t="s">
        <v>4916</v>
      </c>
      <c r="D4142" s="92">
        <v>0.5</v>
      </c>
      <c r="E4142" s="92">
        <v>0.4</v>
      </c>
      <c r="F4142">
        <v>1230</v>
      </c>
      <c r="G4142">
        <v>1300</v>
      </c>
      <c r="H4142" t="s">
        <v>4932</v>
      </c>
      <c r="I4142">
        <v>0</v>
      </c>
      <c r="J4142" t="s">
        <v>97</v>
      </c>
      <c r="K4142">
        <v>0</v>
      </c>
      <c r="L4142">
        <v>0</v>
      </c>
      <c r="M4142" t="s">
        <v>11</v>
      </c>
    </row>
    <row r="4143" spans="1:13">
      <c r="A4143" s="93">
        <v>484613</v>
      </c>
      <c r="B4143" t="s">
        <v>4647</v>
      </c>
      <c r="C4143" t="s">
        <v>4923</v>
      </c>
      <c r="D4143" s="92">
        <v>0.09</v>
      </c>
      <c r="E4143" s="92">
        <v>0.11</v>
      </c>
      <c r="F4143" t="s">
        <v>446</v>
      </c>
      <c r="G4143" t="s">
        <v>446</v>
      </c>
      <c r="H4143" t="s">
        <v>4931</v>
      </c>
      <c r="I4143">
        <v>0</v>
      </c>
      <c r="J4143" t="s">
        <v>97</v>
      </c>
      <c r="K4143">
        <v>0</v>
      </c>
      <c r="L4143">
        <v>0</v>
      </c>
      <c r="M4143" t="s">
        <v>11</v>
      </c>
    </row>
    <row r="4144" spans="1:13">
      <c r="A4144" s="93">
        <v>484631</v>
      </c>
      <c r="B4144" t="s">
        <v>4648</v>
      </c>
      <c r="C4144" t="s">
        <v>4923</v>
      </c>
      <c r="D4144" s="92">
        <v>0.22</v>
      </c>
      <c r="E4144" s="92">
        <v>0.22</v>
      </c>
      <c r="F4144" t="s">
        <v>446</v>
      </c>
      <c r="G4144" t="s">
        <v>446</v>
      </c>
      <c r="H4144" t="s">
        <v>4931</v>
      </c>
      <c r="I4144">
        <v>0</v>
      </c>
      <c r="J4144" t="s">
        <v>97</v>
      </c>
      <c r="K4144">
        <v>0</v>
      </c>
      <c r="L4144">
        <v>0</v>
      </c>
      <c r="M4144" t="s">
        <v>11</v>
      </c>
    </row>
    <row r="4145" spans="1:13">
      <c r="A4145" s="93">
        <v>484668</v>
      </c>
      <c r="B4145" t="s">
        <v>4649</v>
      </c>
      <c r="C4145" t="s">
        <v>4924</v>
      </c>
      <c r="D4145" s="92">
        <v>0.11</v>
      </c>
      <c r="E4145" s="92">
        <v>0</v>
      </c>
      <c r="F4145" t="s">
        <v>446</v>
      </c>
      <c r="G4145" t="s">
        <v>446</v>
      </c>
      <c r="H4145" t="s">
        <v>4932</v>
      </c>
      <c r="I4145">
        <v>0</v>
      </c>
      <c r="J4145" t="s">
        <v>97</v>
      </c>
      <c r="K4145">
        <v>0</v>
      </c>
      <c r="L4145">
        <v>0</v>
      </c>
      <c r="M4145" t="s">
        <v>11</v>
      </c>
    </row>
    <row r="4146" spans="1:13">
      <c r="A4146" s="93">
        <v>484677</v>
      </c>
      <c r="B4146" t="s">
        <v>4650</v>
      </c>
      <c r="C4146" t="s">
        <v>4924</v>
      </c>
      <c r="D4146" s="92">
        <v>0.12</v>
      </c>
      <c r="E4146" s="92">
        <v>0.15</v>
      </c>
      <c r="F4146" t="s">
        <v>446</v>
      </c>
      <c r="G4146" t="s">
        <v>446</v>
      </c>
      <c r="H4146" t="s">
        <v>4932</v>
      </c>
      <c r="I4146">
        <v>0</v>
      </c>
      <c r="J4146" t="s">
        <v>97</v>
      </c>
      <c r="K4146">
        <v>0</v>
      </c>
      <c r="L4146">
        <v>0</v>
      </c>
      <c r="M4146" t="s">
        <v>11</v>
      </c>
    </row>
    <row r="4147" spans="1:13">
      <c r="A4147" s="93">
        <v>484710</v>
      </c>
      <c r="B4147" t="s">
        <v>4651</v>
      </c>
      <c r="C4147" t="s">
        <v>4923</v>
      </c>
      <c r="D4147" s="92">
        <v>0.18</v>
      </c>
      <c r="E4147" s="92">
        <v>0.14</v>
      </c>
      <c r="F4147" t="s">
        <v>446</v>
      </c>
      <c r="G4147" t="s">
        <v>446</v>
      </c>
      <c r="H4147" t="s">
        <v>4932</v>
      </c>
      <c r="I4147">
        <v>0</v>
      </c>
      <c r="J4147" t="s">
        <v>97</v>
      </c>
      <c r="K4147">
        <v>0</v>
      </c>
      <c r="L4147">
        <v>0</v>
      </c>
      <c r="M4147" t="s">
        <v>11</v>
      </c>
    </row>
    <row r="4148" spans="1:13">
      <c r="A4148" s="93">
        <v>484756</v>
      </c>
      <c r="B4148" t="s">
        <v>4652</v>
      </c>
      <c r="C4148" t="s">
        <v>4923</v>
      </c>
      <c r="D4148" s="92">
        <v>0.17</v>
      </c>
      <c r="E4148" s="92">
        <v>0.21</v>
      </c>
      <c r="F4148" t="s">
        <v>446</v>
      </c>
      <c r="G4148" t="s">
        <v>446</v>
      </c>
      <c r="H4148" t="s">
        <v>4931</v>
      </c>
      <c r="I4148">
        <v>0</v>
      </c>
      <c r="J4148" t="s">
        <v>97</v>
      </c>
      <c r="K4148">
        <v>0</v>
      </c>
      <c r="L4148">
        <v>0</v>
      </c>
      <c r="M4148" t="s">
        <v>11</v>
      </c>
    </row>
    <row r="4149" spans="1:13">
      <c r="A4149" s="93">
        <v>484835</v>
      </c>
      <c r="B4149" t="s">
        <v>4653</v>
      </c>
      <c r="C4149" t="s">
        <v>4923</v>
      </c>
      <c r="D4149" s="92">
        <v>0.51</v>
      </c>
      <c r="E4149" s="92">
        <v>0.51</v>
      </c>
      <c r="F4149" t="s">
        <v>446</v>
      </c>
      <c r="G4149" t="s">
        <v>446</v>
      </c>
      <c r="H4149" t="s">
        <v>4928</v>
      </c>
      <c r="I4149">
        <v>1</v>
      </c>
      <c r="J4149" t="s">
        <v>97</v>
      </c>
      <c r="K4149">
        <v>0</v>
      </c>
      <c r="L4149">
        <v>0</v>
      </c>
      <c r="M4149" t="s">
        <v>11</v>
      </c>
    </row>
    <row r="4150" spans="1:13">
      <c r="A4150" s="93">
        <v>484844</v>
      </c>
      <c r="B4150" t="s">
        <v>4654</v>
      </c>
      <c r="C4150" t="s">
        <v>4926</v>
      </c>
      <c r="D4150" s="92">
        <v>0.8100000000000001</v>
      </c>
      <c r="E4150" s="92" t="s">
        <v>446</v>
      </c>
      <c r="F4150" t="s">
        <v>446</v>
      </c>
      <c r="G4150" t="s">
        <v>446</v>
      </c>
      <c r="H4150" t="s">
        <v>4932</v>
      </c>
      <c r="I4150">
        <v>0</v>
      </c>
      <c r="J4150" t="s">
        <v>97</v>
      </c>
      <c r="K4150">
        <v>0</v>
      </c>
      <c r="L4150">
        <v>0</v>
      </c>
      <c r="M4150" t="s">
        <v>11</v>
      </c>
    </row>
    <row r="4151" spans="1:13">
      <c r="A4151" s="93">
        <v>484862</v>
      </c>
      <c r="B4151" t="s">
        <v>4655</v>
      </c>
      <c r="C4151" t="s">
        <v>4924</v>
      </c>
      <c r="D4151" s="92" t="s">
        <v>446</v>
      </c>
      <c r="E4151" s="92" t="s">
        <v>446</v>
      </c>
      <c r="F4151" t="s">
        <v>446</v>
      </c>
      <c r="G4151" t="s">
        <v>446</v>
      </c>
      <c r="H4151" t="s">
        <v>4932</v>
      </c>
      <c r="I4151">
        <v>0</v>
      </c>
      <c r="J4151" t="s">
        <v>97</v>
      </c>
      <c r="K4151">
        <v>0</v>
      </c>
      <c r="L4151">
        <v>0</v>
      </c>
      <c r="M4151" t="s">
        <v>11</v>
      </c>
    </row>
    <row r="4152" spans="1:13">
      <c r="A4152" s="93">
        <v>484871</v>
      </c>
      <c r="B4152" t="s">
        <v>4656</v>
      </c>
      <c r="C4152" t="s">
        <v>4923</v>
      </c>
      <c r="D4152" s="92">
        <v>0.51</v>
      </c>
      <c r="E4152" s="92" t="s">
        <v>446</v>
      </c>
      <c r="F4152" t="s">
        <v>446</v>
      </c>
      <c r="G4152" t="s">
        <v>446</v>
      </c>
      <c r="H4152" t="s">
        <v>4931</v>
      </c>
      <c r="I4152">
        <v>0</v>
      </c>
      <c r="J4152" t="s">
        <v>97</v>
      </c>
      <c r="K4152">
        <v>0</v>
      </c>
      <c r="L4152">
        <v>0</v>
      </c>
      <c r="M4152" t="s">
        <v>11</v>
      </c>
    </row>
    <row r="4153" spans="1:13">
      <c r="A4153" s="93">
        <v>484905</v>
      </c>
      <c r="B4153" t="s">
        <v>4657</v>
      </c>
      <c r="C4153" t="s">
        <v>4918</v>
      </c>
      <c r="D4153" s="92">
        <v>0.31</v>
      </c>
      <c r="E4153" s="92">
        <v>0.32</v>
      </c>
      <c r="F4153">
        <v>860</v>
      </c>
      <c r="G4153">
        <v>940</v>
      </c>
      <c r="H4153" t="s">
        <v>4932</v>
      </c>
      <c r="I4153">
        <v>0</v>
      </c>
      <c r="J4153" t="s">
        <v>97</v>
      </c>
      <c r="K4153">
        <v>0</v>
      </c>
      <c r="L4153">
        <v>0</v>
      </c>
      <c r="M4153" t="s">
        <v>11</v>
      </c>
    </row>
    <row r="4154" spans="1:13">
      <c r="A4154" s="93">
        <v>484932</v>
      </c>
      <c r="B4154" t="s">
        <v>4658</v>
      </c>
      <c r="C4154" t="s">
        <v>4919</v>
      </c>
      <c r="D4154" s="92">
        <v>0.33</v>
      </c>
      <c r="E4154" s="92">
        <v>0.24</v>
      </c>
      <c r="F4154" t="s">
        <v>446</v>
      </c>
      <c r="G4154" t="s">
        <v>446</v>
      </c>
      <c r="H4154" t="s">
        <v>4932</v>
      </c>
      <c r="I4154">
        <v>0</v>
      </c>
      <c r="J4154" t="s">
        <v>97</v>
      </c>
      <c r="K4154">
        <v>0</v>
      </c>
      <c r="L4154">
        <v>0</v>
      </c>
      <c r="M4154" t="s">
        <v>11</v>
      </c>
    </row>
    <row r="4155" spans="1:13">
      <c r="A4155" s="93">
        <v>484950</v>
      </c>
      <c r="B4155" t="s">
        <v>4659</v>
      </c>
      <c r="C4155" t="s">
        <v>4919</v>
      </c>
      <c r="D4155" s="92" t="s">
        <v>446</v>
      </c>
      <c r="E4155" s="92" t="s">
        <v>446</v>
      </c>
      <c r="F4155" t="s">
        <v>446</v>
      </c>
      <c r="G4155" t="s">
        <v>446</v>
      </c>
      <c r="H4155" t="s">
        <v>4930</v>
      </c>
      <c r="I4155">
        <v>0</v>
      </c>
      <c r="J4155" t="s">
        <v>97</v>
      </c>
      <c r="K4155">
        <v>0</v>
      </c>
      <c r="L4155">
        <v>0</v>
      </c>
      <c r="M4155" t="s">
        <v>11</v>
      </c>
    </row>
    <row r="4156" spans="1:13">
      <c r="A4156" s="93">
        <v>485111</v>
      </c>
      <c r="B4156" t="s">
        <v>4660</v>
      </c>
      <c r="C4156" t="s">
        <v>4923</v>
      </c>
      <c r="D4156" s="92" t="s">
        <v>446</v>
      </c>
      <c r="E4156" s="92" t="s">
        <v>446</v>
      </c>
      <c r="F4156" t="s">
        <v>446</v>
      </c>
      <c r="G4156" t="s">
        <v>446</v>
      </c>
      <c r="H4156" t="s">
        <v>4932</v>
      </c>
      <c r="I4156">
        <v>0</v>
      </c>
      <c r="J4156" t="s">
        <v>97</v>
      </c>
      <c r="K4156">
        <v>0</v>
      </c>
      <c r="L4156">
        <v>0</v>
      </c>
      <c r="M4156" t="s">
        <v>11</v>
      </c>
    </row>
    <row r="4157" spans="1:13">
      <c r="A4157" s="93">
        <v>485263</v>
      </c>
      <c r="B4157" t="s">
        <v>4566</v>
      </c>
      <c r="C4157" t="s">
        <v>4923</v>
      </c>
      <c r="D4157" s="92">
        <v>0.51</v>
      </c>
      <c r="E4157" s="92">
        <v>0.54</v>
      </c>
      <c r="F4157" t="s">
        <v>446</v>
      </c>
      <c r="G4157" t="s">
        <v>446</v>
      </c>
      <c r="H4157" t="s">
        <v>4932</v>
      </c>
      <c r="I4157">
        <v>0</v>
      </c>
      <c r="J4157" t="s">
        <v>97</v>
      </c>
      <c r="K4157">
        <v>0</v>
      </c>
      <c r="L4157">
        <v>0</v>
      </c>
      <c r="M4157" t="s">
        <v>11</v>
      </c>
    </row>
    <row r="4158" spans="1:13">
      <c r="A4158" s="93">
        <v>485272</v>
      </c>
      <c r="B4158" t="s">
        <v>4661</v>
      </c>
      <c r="C4158" t="s">
        <v>4923</v>
      </c>
      <c r="D4158" s="92" t="s">
        <v>446</v>
      </c>
      <c r="E4158" s="92" t="s">
        <v>446</v>
      </c>
      <c r="F4158" t="s">
        <v>446</v>
      </c>
      <c r="G4158" t="s">
        <v>446</v>
      </c>
      <c r="H4158" t="s">
        <v>4930</v>
      </c>
      <c r="I4158">
        <v>0</v>
      </c>
      <c r="J4158" t="s">
        <v>97</v>
      </c>
      <c r="K4158">
        <v>0</v>
      </c>
      <c r="L4158">
        <v>0</v>
      </c>
      <c r="M4158" t="s">
        <v>11</v>
      </c>
    </row>
    <row r="4159" spans="1:13">
      <c r="A4159" s="93">
        <v>485403</v>
      </c>
      <c r="B4159" t="s">
        <v>4662</v>
      </c>
      <c r="C4159" t="s">
        <v>4924</v>
      </c>
      <c r="D4159" s="92" t="s">
        <v>446</v>
      </c>
      <c r="E4159" s="92" t="s">
        <v>446</v>
      </c>
      <c r="F4159" t="s">
        <v>446</v>
      </c>
      <c r="G4159" t="s">
        <v>446</v>
      </c>
      <c r="H4159" t="s">
        <v>4932</v>
      </c>
      <c r="I4159">
        <v>0</v>
      </c>
      <c r="J4159" t="s">
        <v>97</v>
      </c>
      <c r="K4159">
        <v>0</v>
      </c>
      <c r="L4159">
        <v>0</v>
      </c>
      <c r="M4159" t="s">
        <v>11</v>
      </c>
    </row>
    <row r="4160" spans="1:13">
      <c r="A4160" s="93">
        <v>485458</v>
      </c>
      <c r="B4160" t="s">
        <v>4663</v>
      </c>
      <c r="C4160" t="s">
        <v>4919</v>
      </c>
      <c r="D4160" s="92">
        <v>0.48</v>
      </c>
      <c r="E4160" s="92">
        <v>0.42</v>
      </c>
      <c r="F4160" t="s">
        <v>446</v>
      </c>
      <c r="G4160" t="s">
        <v>446</v>
      </c>
      <c r="H4160" t="s">
        <v>4932</v>
      </c>
      <c r="I4160">
        <v>0</v>
      </c>
      <c r="J4160" t="s">
        <v>97</v>
      </c>
      <c r="K4160">
        <v>0</v>
      </c>
      <c r="L4160">
        <v>0</v>
      </c>
      <c r="M4160" t="s">
        <v>11</v>
      </c>
    </row>
    <row r="4161" spans="1:13">
      <c r="A4161" s="93">
        <v>485519</v>
      </c>
      <c r="B4161" t="s">
        <v>4664</v>
      </c>
      <c r="C4161" t="s">
        <v>4919</v>
      </c>
      <c r="D4161" s="92" t="s">
        <v>446</v>
      </c>
      <c r="E4161" s="92" t="s">
        <v>446</v>
      </c>
      <c r="F4161" t="s">
        <v>446</v>
      </c>
      <c r="G4161" t="s">
        <v>446</v>
      </c>
      <c r="H4161" t="s">
        <v>4931</v>
      </c>
      <c r="I4161">
        <v>0</v>
      </c>
      <c r="J4161" t="s">
        <v>97</v>
      </c>
      <c r="K4161">
        <v>0</v>
      </c>
      <c r="L4161">
        <v>0</v>
      </c>
      <c r="M4161" t="s">
        <v>11</v>
      </c>
    </row>
    <row r="4162" spans="1:13">
      <c r="A4162" s="93">
        <v>485537</v>
      </c>
      <c r="B4162" t="s">
        <v>4665</v>
      </c>
      <c r="C4162" t="s">
        <v>4924</v>
      </c>
      <c r="D4162" s="92" t="s">
        <v>446</v>
      </c>
      <c r="E4162" s="92" t="s">
        <v>446</v>
      </c>
      <c r="F4162" t="s">
        <v>446</v>
      </c>
      <c r="G4162" t="s">
        <v>446</v>
      </c>
      <c r="H4162" t="s">
        <v>4932</v>
      </c>
      <c r="I4162">
        <v>0</v>
      </c>
      <c r="J4162" t="s">
        <v>97</v>
      </c>
      <c r="K4162">
        <v>0</v>
      </c>
      <c r="L4162">
        <v>0</v>
      </c>
      <c r="M4162" t="s">
        <v>11</v>
      </c>
    </row>
    <row r="4163" spans="1:13">
      <c r="A4163" s="93">
        <v>485546</v>
      </c>
      <c r="B4163" t="s">
        <v>4666</v>
      </c>
      <c r="C4163" t="s">
        <v>4923</v>
      </c>
      <c r="D4163" s="92">
        <v>1</v>
      </c>
      <c r="E4163" s="92">
        <v>1</v>
      </c>
      <c r="F4163" t="s">
        <v>446</v>
      </c>
      <c r="G4163" t="s">
        <v>446</v>
      </c>
      <c r="H4163" t="s">
        <v>4932</v>
      </c>
      <c r="I4163">
        <v>0</v>
      </c>
      <c r="J4163" t="s">
        <v>97</v>
      </c>
      <c r="K4163">
        <v>0</v>
      </c>
      <c r="L4163">
        <v>0</v>
      </c>
      <c r="M4163" t="s">
        <v>11</v>
      </c>
    </row>
    <row r="4164" spans="1:13">
      <c r="A4164" s="93">
        <v>485564</v>
      </c>
      <c r="B4164" t="s">
        <v>4667</v>
      </c>
      <c r="C4164" t="s">
        <v>4926</v>
      </c>
      <c r="D4164" s="92" t="s">
        <v>446</v>
      </c>
      <c r="E4164" s="92" t="s">
        <v>446</v>
      </c>
      <c r="F4164" t="s">
        <v>446</v>
      </c>
      <c r="G4164" t="s">
        <v>446</v>
      </c>
      <c r="H4164" t="s">
        <v>4932</v>
      </c>
      <c r="I4164">
        <v>0</v>
      </c>
      <c r="J4164" t="s">
        <v>97</v>
      </c>
      <c r="K4164">
        <v>0</v>
      </c>
      <c r="L4164">
        <v>0</v>
      </c>
      <c r="M4164" t="s">
        <v>11</v>
      </c>
    </row>
    <row r="4165" spans="1:13">
      <c r="A4165" s="93">
        <v>485698</v>
      </c>
      <c r="B4165" t="s">
        <v>4668</v>
      </c>
      <c r="C4165" t="s">
        <v>4923</v>
      </c>
      <c r="D4165" s="92">
        <v>0.47</v>
      </c>
      <c r="E4165" s="92">
        <v>0</v>
      </c>
      <c r="F4165">
        <v>1030</v>
      </c>
      <c r="G4165">
        <v>1120</v>
      </c>
      <c r="H4165" t="s">
        <v>4932</v>
      </c>
      <c r="I4165">
        <v>0</v>
      </c>
      <c r="J4165" t="s">
        <v>97</v>
      </c>
      <c r="K4165">
        <v>0</v>
      </c>
      <c r="L4165">
        <v>0</v>
      </c>
      <c r="M4165" t="s">
        <v>11</v>
      </c>
    </row>
    <row r="4166" spans="1:13">
      <c r="A4166" s="93">
        <v>485768</v>
      </c>
      <c r="B4166" t="s">
        <v>4669</v>
      </c>
      <c r="C4166" t="s">
        <v>4923</v>
      </c>
      <c r="D4166" s="92">
        <v>0.61</v>
      </c>
      <c r="E4166" s="92">
        <v>0.41</v>
      </c>
      <c r="F4166" t="s">
        <v>446</v>
      </c>
      <c r="G4166" t="s">
        <v>446</v>
      </c>
      <c r="H4166" t="s">
        <v>4930</v>
      </c>
      <c r="I4166">
        <v>0</v>
      </c>
      <c r="J4166" t="s">
        <v>97</v>
      </c>
      <c r="K4166">
        <v>0</v>
      </c>
      <c r="L4166">
        <v>0</v>
      </c>
      <c r="M4166" t="s">
        <v>11</v>
      </c>
    </row>
    <row r="4167" spans="1:13">
      <c r="A4167" s="93">
        <v>485856</v>
      </c>
      <c r="B4167" t="s">
        <v>4670</v>
      </c>
      <c r="C4167" t="s">
        <v>4925</v>
      </c>
      <c r="D4167" s="92" t="s">
        <v>446</v>
      </c>
      <c r="E4167" s="92" t="s">
        <v>446</v>
      </c>
      <c r="F4167" t="s">
        <v>446</v>
      </c>
      <c r="G4167" t="s">
        <v>446</v>
      </c>
      <c r="H4167" t="s">
        <v>4932</v>
      </c>
      <c r="I4167">
        <v>0</v>
      </c>
      <c r="J4167" t="s">
        <v>97</v>
      </c>
      <c r="K4167">
        <v>0</v>
      </c>
      <c r="L4167">
        <v>0</v>
      </c>
      <c r="M4167" t="s">
        <v>11</v>
      </c>
    </row>
    <row r="4168" spans="1:13">
      <c r="A4168" s="93">
        <v>485908</v>
      </c>
      <c r="B4168" t="s">
        <v>4671</v>
      </c>
      <c r="C4168" t="s">
        <v>4924</v>
      </c>
      <c r="D4168" s="92" t="s">
        <v>446</v>
      </c>
      <c r="E4168" s="92" t="s">
        <v>446</v>
      </c>
      <c r="F4168" t="s">
        <v>446</v>
      </c>
      <c r="G4168" t="s">
        <v>446</v>
      </c>
      <c r="H4168" t="s">
        <v>4932</v>
      </c>
      <c r="I4168">
        <v>0</v>
      </c>
      <c r="J4168" t="s">
        <v>97</v>
      </c>
      <c r="K4168">
        <v>0</v>
      </c>
      <c r="L4168">
        <v>0</v>
      </c>
      <c r="M4168" t="s">
        <v>11</v>
      </c>
    </row>
    <row r="4169" spans="1:13">
      <c r="A4169" s="93">
        <v>485953</v>
      </c>
      <c r="B4169" t="s">
        <v>4672</v>
      </c>
      <c r="C4169" t="s">
        <v>4926</v>
      </c>
      <c r="D4169" s="92" t="s">
        <v>446</v>
      </c>
      <c r="E4169" s="92" t="s">
        <v>446</v>
      </c>
      <c r="F4169" t="s">
        <v>446</v>
      </c>
      <c r="G4169" t="s">
        <v>446</v>
      </c>
      <c r="H4169" t="s">
        <v>4930</v>
      </c>
      <c r="I4169">
        <v>0</v>
      </c>
      <c r="J4169" t="s">
        <v>97</v>
      </c>
      <c r="K4169">
        <v>0</v>
      </c>
      <c r="L4169">
        <v>0</v>
      </c>
      <c r="M4169" t="s">
        <v>11</v>
      </c>
    </row>
    <row r="4170" spans="1:13">
      <c r="A4170" s="93">
        <v>485999</v>
      </c>
      <c r="B4170" t="s">
        <v>4673</v>
      </c>
      <c r="C4170" t="s">
        <v>4924</v>
      </c>
      <c r="D4170" s="92">
        <v>0.23</v>
      </c>
      <c r="E4170" s="92" t="s">
        <v>446</v>
      </c>
      <c r="F4170" t="s">
        <v>446</v>
      </c>
      <c r="G4170" t="s">
        <v>446</v>
      </c>
      <c r="H4170" t="s">
        <v>4927</v>
      </c>
      <c r="I4170">
        <v>1</v>
      </c>
      <c r="J4170" t="s">
        <v>97</v>
      </c>
      <c r="K4170">
        <v>0</v>
      </c>
      <c r="L4170">
        <v>0</v>
      </c>
      <c r="M4170" t="s">
        <v>11</v>
      </c>
    </row>
    <row r="4171" spans="1:13">
      <c r="A4171" s="93">
        <v>486017</v>
      </c>
      <c r="B4171" t="s">
        <v>4674</v>
      </c>
      <c r="C4171" t="s">
        <v>4924</v>
      </c>
      <c r="D4171" s="92">
        <v>0.33</v>
      </c>
      <c r="E4171" s="92" t="s">
        <v>446</v>
      </c>
      <c r="F4171" t="s">
        <v>446</v>
      </c>
      <c r="G4171" t="s">
        <v>446</v>
      </c>
      <c r="H4171" t="s">
        <v>4932</v>
      </c>
      <c r="I4171">
        <v>0</v>
      </c>
      <c r="J4171" t="s">
        <v>97</v>
      </c>
      <c r="K4171">
        <v>0</v>
      </c>
      <c r="L4171">
        <v>0</v>
      </c>
      <c r="M4171" t="s">
        <v>11</v>
      </c>
    </row>
    <row r="4172" spans="1:13">
      <c r="A4172" s="93">
        <v>486026</v>
      </c>
      <c r="B4172" t="s">
        <v>4675</v>
      </c>
      <c r="C4172" t="s">
        <v>4924</v>
      </c>
      <c r="D4172" s="92">
        <v>0.1</v>
      </c>
      <c r="E4172" s="92" t="s">
        <v>446</v>
      </c>
      <c r="F4172" t="s">
        <v>446</v>
      </c>
      <c r="G4172" t="s">
        <v>446</v>
      </c>
      <c r="H4172" t="s">
        <v>4931</v>
      </c>
      <c r="I4172">
        <v>0</v>
      </c>
      <c r="J4172" t="s">
        <v>97</v>
      </c>
      <c r="K4172">
        <v>0</v>
      </c>
      <c r="L4172">
        <v>0</v>
      </c>
      <c r="M4172" t="s">
        <v>11</v>
      </c>
    </row>
    <row r="4173" spans="1:13">
      <c r="A4173" s="93">
        <v>486053</v>
      </c>
      <c r="B4173" t="s">
        <v>4676</v>
      </c>
      <c r="C4173" t="s">
        <v>4920</v>
      </c>
      <c r="D4173" s="92">
        <v>0.6</v>
      </c>
      <c r="E4173" s="92" t="s">
        <v>446</v>
      </c>
      <c r="F4173" t="s">
        <v>446</v>
      </c>
      <c r="G4173" t="s">
        <v>446</v>
      </c>
      <c r="H4173" t="s">
        <v>4932</v>
      </c>
      <c r="I4173">
        <v>0</v>
      </c>
      <c r="J4173" t="s">
        <v>97</v>
      </c>
      <c r="K4173">
        <v>0</v>
      </c>
      <c r="L4173">
        <v>0</v>
      </c>
      <c r="M4173" t="s">
        <v>11</v>
      </c>
    </row>
    <row r="4174" spans="1:13">
      <c r="A4174" s="93">
        <v>486080</v>
      </c>
      <c r="B4174" t="s">
        <v>4677</v>
      </c>
      <c r="C4174" t="s">
        <v>4924</v>
      </c>
      <c r="D4174" s="92" t="s">
        <v>446</v>
      </c>
      <c r="E4174" s="92" t="s">
        <v>446</v>
      </c>
      <c r="F4174" t="s">
        <v>446</v>
      </c>
      <c r="G4174" t="s">
        <v>446</v>
      </c>
      <c r="H4174" t="s">
        <v>4932</v>
      </c>
      <c r="I4174">
        <v>0</v>
      </c>
      <c r="J4174" t="s">
        <v>97</v>
      </c>
      <c r="K4174">
        <v>0</v>
      </c>
      <c r="L4174">
        <v>0</v>
      </c>
      <c r="M4174" t="s">
        <v>11</v>
      </c>
    </row>
    <row r="4175" spans="1:13">
      <c r="A4175" s="93">
        <v>486123</v>
      </c>
      <c r="B4175" t="s">
        <v>4678</v>
      </c>
      <c r="C4175" t="s">
        <v>4919</v>
      </c>
      <c r="D4175" s="92" t="s">
        <v>446</v>
      </c>
      <c r="E4175" s="92" t="s">
        <v>446</v>
      </c>
      <c r="F4175" t="s">
        <v>446</v>
      </c>
      <c r="G4175" t="s">
        <v>446</v>
      </c>
      <c r="H4175" t="s">
        <v>4930</v>
      </c>
      <c r="I4175">
        <v>0</v>
      </c>
      <c r="J4175" t="s">
        <v>97</v>
      </c>
      <c r="K4175">
        <v>0</v>
      </c>
      <c r="L4175">
        <v>0</v>
      </c>
      <c r="M4175" t="s">
        <v>11</v>
      </c>
    </row>
    <row r="4176" spans="1:13">
      <c r="A4176" s="93">
        <v>486196</v>
      </c>
      <c r="B4176" t="s">
        <v>4679</v>
      </c>
      <c r="C4176" t="s">
        <v>4924</v>
      </c>
      <c r="D4176" s="92">
        <v>0.02</v>
      </c>
      <c r="E4176" s="92" t="s">
        <v>446</v>
      </c>
      <c r="F4176" t="s">
        <v>446</v>
      </c>
      <c r="G4176" t="s">
        <v>446</v>
      </c>
      <c r="H4176" t="s">
        <v>4931</v>
      </c>
      <c r="I4176">
        <v>0</v>
      </c>
      <c r="J4176" t="s">
        <v>97</v>
      </c>
      <c r="K4176">
        <v>0</v>
      </c>
      <c r="L4176">
        <v>0</v>
      </c>
      <c r="M4176" t="s">
        <v>11</v>
      </c>
    </row>
    <row r="4177" spans="1:13">
      <c r="A4177" s="93">
        <v>486239</v>
      </c>
      <c r="B4177" t="s">
        <v>4680</v>
      </c>
      <c r="C4177" t="s">
        <v>4923</v>
      </c>
      <c r="D4177" s="92">
        <v>1</v>
      </c>
      <c r="E4177" s="92">
        <v>1</v>
      </c>
      <c r="F4177" t="s">
        <v>446</v>
      </c>
      <c r="G4177" t="s">
        <v>446</v>
      </c>
      <c r="H4177" t="s">
        <v>4929</v>
      </c>
      <c r="I4177">
        <v>1</v>
      </c>
      <c r="J4177" t="s">
        <v>97</v>
      </c>
      <c r="K4177">
        <v>0</v>
      </c>
      <c r="L4177">
        <v>0</v>
      </c>
      <c r="M4177" t="s">
        <v>11</v>
      </c>
    </row>
    <row r="4178" spans="1:13">
      <c r="A4178" s="93">
        <v>486257</v>
      </c>
      <c r="B4178" t="s">
        <v>4681</v>
      </c>
      <c r="C4178" t="s">
        <v>4919</v>
      </c>
      <c r="D4178" s="92">
        <v>0.41</v>
      </c>
      <c r="E4178" s="92">
        <v>0.5</v>
      </c>
      <c r="F4178" t="s">
        <v>446</v>
      </c>
      <c r="G4178" t="s">
        <v>446</v>
      </c>
      <c r="H4178" t="s">
        <v>4930</v>
      </c>
      <c r="I4178">
        <v>0</v>
      </c>
      <c r="J4178" t="s">
        <v>97</v>
      </c>
      <c r="K4178">
        <v>0</v>
      </c>
      <c r="L4178">
        <v>0</v>
      </c>
      <c r="M4178" t="s">
        <v>11</v>
      </c>
    </row>
    <row r="4179" spans="1:13">
      <c r="A4179" s="93">
        <v>486284</v>
      </c>
      <c r="B4179" t="s">
        <v>4682</v>
      </c>
      <c r="C4179" t="s">
        <v>4924</v>
      </c>
      <c r="D4179" s="92">
        <v>0.37</v>
      </c>
      <c r="E4179" s="92">
        <v>0.2</v>
      </c>
      <c r="F4179" t="s">
        <v>446</v>
      </c>
      <c r="G4179" t="s">
        <v>446</v>
      </c>
      <c r="H4179" t="s">
        <v>4930</v>
      </c>
      <c r="I4179">
        <v>0</v>
      </c>
      <c r="J4179" t="s">
        <v>97</v>
      </c>
      <c r="K4179">
        <v>0</v>
      </c>
      <c r="L4179">
        <v>0</v>
      </c>
      <c r="M4179" t="s">
        <v>11</v>
      </c>
    </row>
    <row r="4180" spans="1:13">
      <c r="A4180" s="93">
        <v>486354</v>
      </c>
      <c r="B4180" t="s">
        <v>4683</v>
      </c>
      <c r="C4180" t="s">
        <v>4923</v>
      </c>
      <c r="D4180" s="92">
        <v>1</v>
      </c>
      <c r="E4180" s="92">
        <v>1</v>
      </c>
      <c r="F4180" t="s">
        <v>446</v>
      </c>
      <c r="G4180" t="s">
        <v>446</v>
      </c>
      <c r="H4180" t="s">
        <v>4932</v>
      </c>
      <c r="I4180">
        <v>0</v>
      </c>
      <c r="J4180" t="s">
        <v>97</v>
      </c>
      <c r="K4180">
        <v>0</v>
      </c>
      <c r="L4180">
        <v>0</v>
      </c>
      <c r="M4180" t="s">
        <v>11</v>
      </c>
    </row>
    <row r="4181" spans="1:13">
      <c r="A4181" s="93">
        <v>486372</v>
      </c>
      <c r="B4181" t="s">
        <v>4684</v>
      </c>
      <c r="C4181" t="s">
        <v>4919</v>
      </c>
      <c r="D4181" s="92" t="s">
        <v>446</v>
      </c>
      <c r="E4181" s="92" t="s">
        <v>446</v>
      </c>
      <c r="F4181" t="s">
        <v>446</v>
      </c>
      <c r="G4181" t="s">
        <v>446</v>
      </c>
      <c r="H4181" t="s">
        <v>4930</v>
      </c>
      <c r="I4181">
        <v>0</v>
      </c>
      <c r="J4181" t="s">
        <v>97</v>
      </c>
      <c r="K4181">
        <v>0</v>
      </c>
      <c r="L4181">
        <v>0</v>
      </c>
      <c r="M4181" t="s">
        <v>11</v>
      </c>
    </row>
    <row r="4182" spans="1:13">
      <c r="A4182" s="93">
        <v>486381</v>
      </c>
      <c r="B4182" t="s">
        <v>4685</v>
      </c>
      <c r="C4182" t="s">
        <v>4919</v>
      </c>
      <c r="D4182" s="92" t="s">
        <v>446</v>
      </c>
      <c r="E4182" s="92" t="s">
        <v>446</v>
      </c>
      <c r="F4182" t="s">
        <v>446</v>
      </c>
      <c r="G4182" t="s">
        <v>446</v>
      </c>
      <c r="H4182" t="s">
        <v>4930</v>
      </c>
      <c r="I4182">
        <v>0</v>
      </c>
      <c r="J4182" t="s">
        <v>97</v>
      </c>
      <c r="K4182">
        <v>0</v>
      </c>
      <c r="L4182">
        <v>0</v>
      </c>
      <c r="M4182" t="s">
        <v>11</v>
      </c>
    </row>
    <row r="4183" spans="1:13">
      <c r="A4183" s="93">
        <v>486424</v>
      </c>
      <c r="B4183" t="s">
        <v>4686</v>
      </c>
      <c r="C4183" t="s">
        <v>4919</v>
      </c>
      <c r="D4183" s="92" t="s">
        <v>446</v>
      </c>
      <c r="E4183" s="92" t="s">
        <v>446</v>
      </c>
      <c r="F4183" t="s">
        <v>446</v>
      </c>
      <c r="G4183" t="s">
        <v>446</v>
      </c>
      <c r="H4183" t="s">
        <v>4930</v>
      </c>
      <c r="I4183">
        <v>0</v>
      </c>
      <c r="J4183" t="s">
        <v>97</v>
      </c>
      <c r="K4183">
        <v>0</v>
      </c>
      <c r="L4183">
        <v>0</v>
      </c>
      <c r="M4183" t="s">
        <v>11</v>
      </c>
    </row>
    <row r="4184" spans="1:13">
      <c r="A4184" s="93">
        <v>486433</v>
      </c>
      <c r="B4184" t="s">
        <v>4687</v>
      </c>
      <c r="C4184" t="s">
        <v>4924</v>
      </c>
      <c r="D4184" s="92" t="s">
        <v>446</v>
      </c>
      <c r="E4184" s="92" t="s">
        <v>446</v>
      </c>
      <c r="F4184" t="s">
        <v>446</v>
      </c>
      <c r="G4184" t="s">
        <v>446</v>
      </c>
      <c r="H4184" t="s">
        <v>4932</v>
      </c>
      <c r="I4184">
        <v>0</v>
      </c>
      <c r="J4184" t="s">
        <v>97</v>
      </c>
      <c r="K4184">
        <v>0</v>
      </c>
      <c r="L4184">
        <v>0</v>
      </c>
      <c r="M4184" t="s">
        <v>11</v>
      </c>
    </row>
    <row r="4185" spans="1:13">
      <c r="A4185" s="93">
        <v>486460</v>
      </c>
      <c r="B4185" t="s">
        <v>4688</v>
      </c>
      <c r="C4185" t="s">
        <v>4924</v>
      </c>
      <c r="D4185" s="92" t="s">
        <v>446</v>
      </c>
      <c r="E4185" s="92" t="s">
        <v>446</v>
      </c>
      <c r="F4185" t="s">
        <v>446</v>
      </c>
      <c r="G4185" t="s">
        <v>446</v>
      </c>
      <c r="H4185" t="s">
        <v>4932</v>
      </c>
      <c r="I4185">
        <v>0</v>
      </c>
      <c r="J4185" t="s">
        <v>97</v>
      </c>
      <c r="K4185">
        <v>0</v>
      </c>
      <c r="L4185">
        <v>0</v>
      </c>
      <c r="M4185" t="s">
        <v>11</v>
      </c>
    </row>
    <row r="4186" spans="1:13">
      <c r="A4186" s="93">
        <v>486488</v>
      </c>
      <c r="B4186" t="s">
        <v>4689</v>
      </c>
      <c r="C4186" t="s">
        <v>4924</v>
      </c>
      <c r="D4186" s="92">
        <v>1</v>
      </c>
      <c r="E4186" s="92" t="s">
        <v>446</v>
      </c>
      <c r="F4186" t="s">
        <v>446</v>
      </c>
      <c r="G4186" t="s">
        <v>446</v>
      </c>
      <c r="H4186" t="s">
        <v>4932</v>
      </c>
      <c r="I4186">
        <v>0</v>
      </c>
      <c r="J4186" t="s">
        <v>97</v>
      </c>
      <c r="K4186">
        <v>0</v>
      </c>
      <c r="L4186">
        <v>0</v>
      </c>
      <c r="M4186" t="s">
        <v>11</v>
      </c>
    </row>
    <row r="4187" spans="1:13">
      <c r="A4187" s="93">
        <v>486558</v>
      </c>
      <c r="B4187" t="s">
        <v>4690</v>
      </c>
      <c r="C4187" t="s">
        <v>4919</v>
      </c>
      <c r="D4187" s="92" t="s">
        <v>446</v>
      </c>
      <c r="E4187" s="92" t="s">
        <v>446</v>
      </c>
      <c r="F4187" t="s">
        <v>446</v>
      </c>
      <c r="G4187" t="s">
        <v>446</v>
      </c>
      <c r="H4187" t="s">
        <v>4930</v>
      </c>
      <c r="I4187">
        <v>0</v>
      </c>
      <c r="J4187" t="s">
        <v>97</v>
      </c>
      <c r="K4187">
        <v>0</v>
      </c>
      <c r="L4187">
        <v>0</v>
      </c>
      <c r="M4187" t="s">
        <v>11</v>
      </c>
    </row>
    <row r="4188" spans="1:13">
      <c r="A4188" s="93">
        <v>486594</v>
      </c>
      <c r="B4188" t="s">
        <v>4691</v>
      </c>
      <c r="C4188" t="s">
        <v>4919</v>
      </c>
      <c r="D4188" s="92" t="s">
        <v>446</v>
      </c>
      <c r="E4188" s="92" t="s">
        <v>446</v>
      </c>
      <c r="F4188" t="s">
        <v>446</v>
      </c>
      <c r="G4188" t="s">
        <v>446</v>
      </c>
      <c r="H4188" t="s">
        <v>4931</v>
      </c>
      <c r="I4188">
        <v>0</v>
      </c>
      <c r="J4188" t="s">
        <v>97</v>
      </c>
      <c r="K4188">
        <v>0</v>
      </c>
      <c r="L4188">
        <v>0</v>
      </c>
      <c r="M4188" t="s">
        <v>11</v>
      </c>
    </row>
    <row r="4189" spans="1:13">
      <c r="A4189" s="93">
        <v>486813</v>
      </c>
      <c r="B4189" t="s">
        <v>4692</v>
      </c>
      <c r="C4189" t="s">
        <v>4919</v>
      </c>
      <c r="D4189" s="92">
        <v>0.59</v>
      </c>
      <c r="E4189" s="92">
        <v>0.59</v>
      </c>
      <c r="F4189" t="s">
        <v>446</v>
      </c>
      <c r="G4189" t="s">
        <v>446</v>
      </c>
      <c r="H4189" t="s">
        <v>4930</v>
      </c>
      <c r="I4189">
        <v>0</v>
      </c>
      <c r="J4189" t="s">
        <v>97</v>
      </c>
      <c r="K4189">
        <v>0</v>
      </c>
      <c r="L4189">
        <v>0</v>
      </c>
      <c r="M4189" t="s">
        <v>11</v>
      </c>
    </row>
    <row r="4190" spans="1:13">
      <c r="A4190" s="93">
        <v>486822</v>
      </c>
      <c r="B4190" t="s">
        <v>4693</v>
      </c>
      <c r="C4190" t="s">
        <v>4919</v>
      </c>
      <c r="D4190" s="92">
        <v>0.67</v>
      </c>
      <c r="E4190" s="92">
        <v>0.63</v>
      </c>
      <c r="F4190" t="s">
        <v>446</v>
      </c>
      <c r="G4190" t="s">
        <v>446</v>
      </c>
      <c r="H4190" t="s">
        <v>4930</v>
      </c>
      <c r="I4190">
        <v>0</v>
      </c>
      <c r="J4190" t="s">
        <v>97</v>
      </c>
      <c r="K4190">
        <v>0</v>
      </c>
      <c r="L4190">
        <v>0</v>
      </c>
      <c r="M4190" t="s">
        <v>11</v>
      </c>
    </row>
    <row r="4191" spans="1:13">
      <c r="A4191" s="93">
        <v>486840</v>
      </c>
      <c r="B4191" t="s">
        <v>4694</v>
      </c>
      <c r="C4191" t="s">
        <v>4916</v>
      </c>
      <c r="D4191" s="92">
        <v>0.49</v>
      </c>
      <c r="E4191" s="92">
        <v>0.48</v>
      </c>
      <c r="F4191">
        <v>1050</v>
      </c>
      <c r="G4191">
        <v>1150</v>
      </c>
      <c r="H4191" t="s">
        <v>4932</v>
      </c>
      <c r="I4191">
        <v>0</v>
      </c>
      <c r="J4191" t="s">
        <v>97</v>
      </c>
      <c r="K4191">
        <v>0</v>
      </c>
      <c r="L4191">
        <v>0</v>
      </c>
      <c r="M4191" t="s">
        <v>11</v>
      </c>
    </row>
    <row r="4192" spans="1:13">
      <c r="A4192" s="93">
        <v>486859</v>
      </c>
      <c r="B4192" t="s">
        <v>4695</v>
      </c>
      <c r="C4192" t="s">
        <v>4919</v>
      </c>
      <c r="D4192" s="92" t="s">
        <v>446</v>
      </c>
      <c r="E4192" s="92" t="s">
        <v>446</v>
      </c>
      <c r="F4192" t="s">
        <v>446</v>
      </c>
      <c r="G4192" t="s">
        <v>446</v>
      </c>
      <c r="H4192" t="s">
        <v>4930</v>
      </c>
      <c r="I4192">
        <v>0</v>
      </c>
      <c r="J4192" t="s">
        <v>97</v>
      </c>
      <c r="K4192">
        <v>0</v>
      </c>
      <c r="L4192">
        <v>0</v>
      </c>
      <c r="M4192" t="s">
        <v>11</v>
      </c>
    </row>
    <row r="4193" spans="1:13">
      <c r="A4193" s="93">
        <v>486901</v>
      </c>
      <c r="B4193" t="s">
        <v>4696</v>
      </c>
      <c r="C4193" t="s">
        <v>4920</v>
      </c>
      <c r="D4193" s="92">
        <v>0.66</v>
      </c>
      <c r="E4193" s="92">
        <v>0.72</v>
      </c>
      <c r="F4193">
        <v>1080</v>
      </c>
      <c r="G4193">
        <v>1210</v>
      </c>
      <c r="H4193" t="s">
        <v>4931</v>
      </c>
      <c r="I4193">
        <v>0</v>
      </c>
      <c r="J4193" t="s">
        <v>97</v>
      </c>
      <c r="K4193">
        <v>0</v>
      </c>
      <c r="L4193">
        <v>0</v>
      </c>
      <c r="M4193" t="s">
        <v>11</v>
      </c>
    </row>
    <row r="4194" spans="1:13">
      <c r="A4194" s="93">
        <v>486938</v>
      </c>
      <c r="B4194" t="s">
        <v>4697</v>
      </c>
      <c r="C4194" t="s">
        <v>4924</v>
      </c>
      <c r="D4194" s="92" t="s">
        <v>446</v>
      </c>
      <c r="E4194" s="92" t="s">
        <v>446</v>
      </c>
      <c r="F4194" t="s">
        <v>446</v>
      </c>
      <c r="G4194" t="s">
        <v>446</v>
      </c>
      <c r="H4194" t="s">
        <v>4930</v>
      </c>
      <c r="I4194">
        <v>0</v>
      </c>
      <c r="J4194" t="s">
        <v>97</v>
      </c>
      <c r="K4194">
        <v>0</v>
      </c>
      <c r="L4194">
        <v>0</v>
      </c>
      <c r="M4194" t="s">
        <v>11</v>
      </c>
    </row>
    <row r="4195" spans="1:13">
      <c r="A4195" s="93">
        <v>486947</v>
      </c>
      <c r="B4195" t="s">
        <v>4698</v>
      </c>
      <c r="C4195" t="s">
        <v>4924</v>
      </c>
      <c r="D4195" s="92" t="s">
        <v>446</v>
      </c>
      <c r="E4195" s="92" t="s">
        <v>446</v>
      </c>
      <c r="F4195" t="s">
        <v>446</v>
      </c>
      <c r="G4195" t="s">
        <v>446</v>
      </c>
      <c r="H4195" t="s">
        <v>4932</v>
      </c>
      <c r="I4195">
        <v>0</v>
      </c>
      <c r="J4195" t="s">
        <v>97</v>
      </c>
      <c r="K4195">
        <v>0</v>
      </c>
      <c r="L4195">
        <v>0</v>
      </c>
      <c r="M4195" t="s">
        <v>11</v>
      </c>
    </row>
    <row r="4196" spans="1:13">
      <c r="A4196" s="93">
        <v>486956</v>
      </c>
      <c r="B4196" t="s">
        <v>4699</v>
      </c>
      <c r="C4196" t="s">
        <v>4924</v>
      </c>
      <c r="D4196" s="92">
        <v>1</v>
      </c>
      <c r="E4196" s="92" t="s">
        <v>446</v>
      </c>
      <c r="F4196" t="s">
        <v>446</v>
      </c>
      <c r="G4196" t="s">
        <v>446</v>
      </c>
      <c r="H4196" t="s">
        <v>4930</v>
      </c>
      <c r="I4196">
        <v>0</v>
      </c>
      <c r="J4196" t="s">
        <v>97</v>
      </c>
      <c r="K4196">
        <v>0</v>
      </c>
      <c r="L4196">
        <v>0</v>
      </c>
      <c r="M4196" t="s">
        <v>11</v>
      </c>
    </row>
    <row r="4197" spans="1:13">
      <c r="A4197" s="93">
        <v>486965</v>
      </c>
      <c r="B4197" t="s">
        <v>4700</v>
      </c>
      <c r="C4197" t="s">
        <v>4924</v>
      </c>
      <c r="D4197" s="92">
        <v>0.48</v>
      </c>
      <c r="E4197" s="92">
        <v>0.8</v>
      </c>
      <c r="F4197" t="s">
        <v>446</v>
      </c>
      <c r="G4197" t="s">
        <v>446</v>
      </c>
      <c r="H4197" t="s">
        <v>4930</v>
      </c>
      <c r="I4197">
        <v>0</v>
      </c>
      <c r="J4197" t="s">
        <v>97</v>
      </c>
      <c r="K4197">
        <v>0</v>
      </c>
      <c r="L4197">
        <v>0</v>
      </c>
      <c r="M4197" t="s">
        <v>11</v>
      </c>
    </row>
    <row r="4198" spans="1:13">
      <c r="A4198" s="93">
        <v>487010</v>
      </c>
      <c r="B4198" t="s">
        <v>4701</v>
      </c>
      <c r="C4198" t="s">
        <v>4924</v>
      </c>
      <c r="D4198" s="92" t="s">
        <v>446</v>
      </c>
      <c r="E4198" s="92" t="s">
        <v>446</v>
      </c>
      <c r="F4198" t="s">
        <v>446</v>
      </c>
      <c r="G4198" t="s">
        <v>446</v>
      </c>
      <c r="H4198" t="s">
        <v>4932</v>
      </c>
      <c r="I4198">
        <v>0</v>
      </c>
      <c r="J4198" t="s">
        <v>97</v>
      </c>
      <c r="K4198">
        <v>0</v>
      </c>
      <c r="L4198">
        <v>0</v>
      </c>
      <c r="M4198" t="s">
        <v>11</v>
      </c>
    </row>
    <row r="4199" spans="1:13">
      <c r="A4199" s="93">
        <v>487092</v>
      </c>
      <c r="B4199" t="s">
        <v>4702</v>
      </c>
      <c r="C4199" t="s">
        <v>4925</v>
      </c>
      <c r="D4199" s="92" t="s">
        <v>446</v>
      </c>
      <c r="E4199" s="92" t="s">
        <v>446</v>
      </c>
      <c r="F4199">
        <v>1420</v>
      </c>
      <c r="G4199">
        <v>1480</v>
      </c>
      <c r="H4199" t="s">
        <v>4930</v>
      </c>
      <c r="I4199">
        <v>0</v>
      </c>
      <c r="J4199" t="s">
        <v>97</v>
      </c>
      <c r="K4199">
        <v>0</v>
      </c>
      <c r="L4199">
        <v>0</v>
      </c>
      <c r="M4199" t="s">
        <v>11</v>
      </c>
    </row>
    <row r="4200" spans="1:13">
      <c r="A4200" s="93">
        <v>487153</v>
      </c>
      <c r="B4200" t="s">
        <v>4703</v>
      </c>
      <c r="C4200" t="s">
        <v>4924</v>
      </c>
      <c r="D4200" s="92" t="s">
        <v>446</v>
      </c>
      <c r="E4200" s="92" t="s">
        <v>446</v>
      </c>
      <c r="F4200" t="s">
        <v>446</v>
      </c>
      <c r="G4200" t="s">
        <v>446</v>
      </c>
      <c r="H4200" t="s">
        <v>4932</v>
      </c>
      <c r="I4200">
        <v>0</v>
      </c>
      <c r="J4200" t="s">
        <v>97</v>
      </c>
      <c r="K4200">
        <v>0</v>
      </c>
      <c r="L4200">
        <v>0</v>
      </c>
      <c r="M4200" t="s">
        <v>11</v>
      </c>
    </row>
    <row r="4201" spans="1:13">
      <c r="A4201" s="93">
        <v>487162</v>
      </c>
      <c r="B4201" t="s">
        <v>4704</v>
      </c>
      <c r="C4201" t="s">
        <v>4919</v>
      </c>
      <c r="D4201" s="92">
        <v>0.35</v>
      </c>
      <c r="E4201" s="92">
        <v>0.34</v>
      </c>
      <c r="F4201" t="s">
        <v>446</v>
      </c>
      <c r="G4201" t="s">
        <v>446</v>
      </c>
      <c r="H4201" t="s">
        <v>4932</v>
      </c>
      <c r="I4201">
        <v>0</v>
      </c>
      <c r="J4201" t="s">
        <v>97</v>
      </c>
      <c r="K4201">
        <v>0</v>
      </c>
      <c r="L4201">
        <v>0</v>
      </c>
      <c r="M4201" t="s">
        <v>11</v>
      </c>
    </row>
    <row r="4202" spans="1:13">
      <c r="A4202" s="93">
        <v>487296</v>
      </c>
      <c r="B4202" t="s">
        <v>4705</v>
      </c>
      <c r="C4202" t="s">
        <v>4924</v>
      </c>
      <c r="D4202" s="92" t="s">
        <v>446</v>
      </c>
      <c r="E4202" s="92" t="s">
        <v>446</v>
      </c>
      <c r="F4202" t="s">
        <v>446</v>
      </c>
      <c r="G4202" t="s">
        <v>446</v>
      </c>
      <c r="H4202" t="s">
        <v>4932</v>
      </c>
      <c r="I4202">
        <v>0</v>
      </c>
      <c r="J4202" t="s">
        <v>97</v>
      </c>
      <c r="K4202">
        <v>0</v>
      </c>
      <c r="L4202">
        <v>0</v>
      </c>
      <c r="M4202" t="s">
        <v>11</v>
      </c>
    </row>
    <row r="4203" spans="1:13">
      <c r="A4203" s="93">
        <v>487302</v>
      </c>
      <c r="B4203" t="s">
        <v>4706</v>
      </c>
      <c r="C4203" t="s">
        <v>4919</v>
      </c>
      <c r="D4203" s="92" t="s">
        <v>446</v>
      </c>
      <c r="E4203" s="92" t="s">
        <v>446</v>
      </c>
      <c r="F4203" t="s">
        <v>446</v>
      </c>
      <c r="G4203" t="s">
        <v>446</v>
      </c>
      <c r="H4203" t="s">
        <v>4930</v>
      </c>
      <c r="I4203">
        <v>0</v>
      </c>
      <c r="J4203" t="s">
        <v>97</v>
      </c>
      <c r="K4203">
        <v>0</v>
      </c>
      <c r="L4203">
        <v>0</v>
      </c>
      <c r="M4203" t="s">
        <v>11</v>
      </c>
    </row>
    <row r="4204" spans="1:13">
      <c r="A4204" s="93">
        <v>487311</v>
      </c>
      <c r="B4204" t="s">
        <v>4707</v>
      </c>
      <c r="C4204" t="s">
        <v>4919</v>
      </c>
      <c r="D4204" s="92" t="s">
        <v>446</v>
      </c>
      <c r="E4204" s="92" t="s">
        <v>446</v>
      </c>
      <c r="F4204" t="s">
        <v>446</v>
      </c>
      <c r="G4204" t="s">
        <v>446</v>
      </c>
      <c r="H4204" t="s">
        <v>4930</v>
      </c>
      <c r="I4204">
        <v>0</v>
      </c>
      <c r="J4204" t="s">
        <v>97</v>
      </c>
      <c r="K4204">
        <v>0</v>
      </c>
      <c r="L4204">
        <v>0</v>
      </c>
      <c r="M4204" t="s">
        <v>11</v>
      </c>
    </row>
    <row r="4205" spans="1:13">
      <c r="A4205" s="93">
        <v>487320</v>
      </c>
      <c r="B4205" t="s">
        <v>4708</v>
      </c>
      <c r="C4205" t="s">
        <v>4919</v>
      </c>
      <c r="D4205" s="92">
        <v>0.44</v>
      </c>
      <c r="E4205" s="92">
        <v>0.42</v>
      </c>
      <c r="F4205" t="s">
        <v>446</v>
      </c>
      <c r="G4205" t="s">
        <v>446</v>
      </c>
      <c r="H4205" t="s">
        <v>4932</v>
      </c>
      <c r="I4205">
        <v>0</v>
      </c>
      <c r="J4205" t="s">
        <v>97</v>
      </c>
      <c r="K4205">
        <v>0</v>
      </c>
      <c r="L4205">
        <v>0</v>
      </c>
      <c r="M4205" t="s">
        <v>11</v>
      </c>
    </row>
    <row r="4206" spans="1:13">
      <c r="A4206" s="93">
        <v>487375</v>
      </c>
      <c r="B4206" t="s">
        <v>4709</v>
      </c>
      <c r="C4206" t="s">
        <v>4924</v>
      </c>
      <c r="D4206" s="92" t="s">
        <v>446</v>
      </c>
      <c r="E4206" s="92" t="s">
        <v>446</v>
      </c>
      <c r="F4206" t="s">
        <v>446</v>
      </c>
      <c r="G4206" t="s">
        <v>446</v>
      </c>
      <c r="H4206" t="s">
        <v>4930</v>
      </c>
      <c r="I4206">
        <v>0</v>
      </c>
      <c r="J4206" t="s">
        <v>97</v>
      </c>
      <c r="K4206">
        <v>0</v>
      </c>
      <c r="L4206">
        <v>0</v>
      </c>
      <c r="M4206" t="s">
        <v>11</v>
      </c>
    </row>
    <row r="4207" spans="1:13">
      <c r="A4207" s="93">
        <v>487384</v>
      </c>
      <c r="B4207" t="s">
        <v>4710</v>
      </c>
      <c r="C4207" t="s">
        <v>4919</v>
      </c>
      <c r="D4207" s="92">
        <v>0.58</v>
      </c>
      <c r="E4207" s="92">
        <v>0.58</v>
      </c>
      <c r="F4207" t="s">
        <v>446</v>
      </c>
      <c r="G4207" t="s">
        <v>446</v>
      </c>
      <c r="H4207" t="s">
        <v>4930</v>
      </c>
      <c r="I4207">
        <v>0</v>
      </c>
      <c r="J4207" t="s">
        <v>97</v>
      </c>
      <c r="K4207">
        <v>0</v>
      </c>
      <c r="L4207">
        <v>0</v>
      </c>
      <c r="M4207" t="s">
        <v>11</v>
      </c>
    </row>
    <row r="4208" spans="1:13">
      <c r="A4208" s="93">
        <v>487393</v>
      </c>
      <c r="B4208" t="s">
        <v>4711</v>
      </c>
      <c r="C4208" t="s">
        <v>4919</v>
      </c>
      <c r="D4208" s="92">
        <v>0.57</v>
      </c>
      <c r="E4208" s="92">
        <v>0.57</v>
      </c>
      <c r="F4208" t="s">
        <v>446</v>
      </c>
      <c r="G4208" t="s">
        <v>446</v>
      </c>
      <c r="H4208" t="s">
        <v>4930</v>
      </c>
      <c r="I4208">
        <v>0</v>
      </c>
      <c r="J4208" t="s">
        <v>97</v>
      </c>
      <c r="K4208">
        <v>0</v>
      </c>
      <c r="L4208">
        <v>0</v>
      </c>
      <c r="M4208" t="s">
        <v>11</v>
      </c>
    </row>
    <row r="4209" spans="1:13">
      <c r="A4209" s="93">
        <v>487409</v>
      </c>
      <c r="B4209" t="s">
        <v>4712</v>
      </c>
      <c r="C4209" t="s">
        <v>4919</v>
      </c>
      <c r="D4209" s="92">
        <v>0.55</v>
      </c>
      <c r="E4209" s="92">
        <v>0.55</v>
      </c>
      <c r="F4209" t="s">
        <v>446</v>
      </c>
      <c r="G4209" t="s">
        <v>446</v>
      </c>
      <c r="H4209" t="s">
        <v>4930</v>
      </c>
      <c r="I4209">
        <v>0</v>
      </c>
      <c r="J4209" t="s">
        <v>97</v>
      </c>
      <c r="K4209">
        <v>0</v>
      </c>
      <c r="L4209">
        <v>0</v>
      </c>
      <c r="M4209" t="s">
        <v>11</v>
      </c>
    </row>
    <row r="4210" spans="1:13">
      <c r="A4210" s="93">
        <v>487418</v>
      </c>
      <c r="B4210" t="s">
        <v>4713</v>
      </c>
      <c r="C4210" t="s">
        <v>4919</v>
      </c>
      <c r="D4210" s="92">
        <v>0.48</v>
      </c>
      <c r="E4210" s="92">
        <v>0.48</v>
      </c>
      <c r="F4210" t="s">
        <v>446</v>
      </c>
      <c r="G4210" t="s">
        <v>446</v>
      </c>
      <c r="H4210" t="s">
        <v>4930</v>
      </c>
      <c r="I4210">
        <v>0</v>
      </c>
      <c r="J4210" t="s">
        <v>97</v>
      </c>
      <c r="K4210">
        <v>0</v>
      </c>
      <c r="L4210">
        <v>0</v>
      </c>
      <c r="M4210" t="s">
        <v>11</v>
      </c>
    </row>
    <row r="4211" spans="1:13">
      <c r="A4211" s="93">
        <v>487427</v>
      </c>
      <c r="B4211" t="s">
        <v>4714</v>
      </c>
      <c r="C4211" t="s">
        <v>4919</v>
      </c>
      <c r="D4211" s="92">
        <v>0.45</v>
      </c>
      <c r="E4211" s="92">
        <v>0.45</v>
      </c>
      <c r="F4211" t="s">
        <v>446</v>
      </c>
      <c r="G4211" t="s">
        <v>446</v>
      </c>
      <c r="H4211" t="s">
        <v>4930</v>
      </c>
      <c r="I4211">
        <v>0</v>
      </c>
      <c r="J4211" t="s">
        <v>97</v>
      </c>
      <c r="K4211">
        <v>0</v>
      </c>
      <c r="L4211">
        <v>0</v>
      </c>
      <c r="M4211" t="s">
        <v>11</v>
      </c>
    </row>
    <row r="4212" spans="1:13">
      <c r="A4212" s="93">
        <v>487436</v>
      </c>
      <c r="B4212" t="s">
        <v>4715</v>
      </c>
      <c r="C4212" t="s">
        <v>4919</v>
      </c>
      <c r="D4212" s="92" t="s">
        <v>446</v>
      </c>
      <c r="E4212" s="92" t="s">
        <v>446</v>
      </c>
      <c r="F4212" t="s">
        <v>446</v>
      </c>
      <c r="G4212" t="s">
        <v>446</v>
      </c>
      <c r="H4212" t="s">
        <v>4930</v>
      </c>
      <c r="I4212">
        <v>0</v>
      </c>
      <c r="J4212" t="s">
        <v>97</v>
      </c>
      <c r="K4212">
        <v>0</v>
      </c>
      <c r="L4212">
        <v>0</v>
      </c>
      <c r="M4212" t="s">
        <v>11</v>
      </c>
    </row>
    <row r="4213" spans="1:13">
      <c r="A4213" s="93">
        <v>487445</v>
      </c>
      <c r="B4213" t="s">
        <v>4716</v>
      </c>
      <c r="C4213" t="s">
        <v>4919</v>
      </c>
      <c r="D4213" s="92">
        <v>0.58</v>
      </c>
      <c r="E4213" s="92">
        <v>0.59</v>
      </c>
      <c r="F4213" t="s">
        <v>446</v>
      </c>
      <c r="G4213" t="s">
        <v>446</v>
      </c>
      <c r="H4213" t="s">
        <v>4930</v>
      </c>
      <c r="I4213">
        <v>0</v>
      </c>
      <c r="J4213" t="s">
        <v>97</v>
      </c>
      <c r="K4213">
        <v>0</v>
      </c>
      <c r="L4213">
        <v>0</v>
      </c>
      <c r="M4213" t="s">
        <v>11</v>
      </c>
    </row>
    <row r="4214" spans="1:13">
      <c r="A4214" s="93">
        <v>487454</v>
      </c>
      <c r="B4214" t="s">
        <v>4717</v>
      </c>
      <c r="C4214" t="s">
        <v>4919</v>
      </c>
      <c r="D4214" s="92">
        <v>0.57</v>
      </c>
      <c r="E4214" s="92">
        <v>0.57</v>
      </c>
      <c r="F4214" t="s">
        <v>446</v>
      </c>
      <c r="G4214" t="s">
        <v>446</v>
      </c>
      <c r="H4214" t="s">
        <v>4930</v>
      </c>
      <c r="I4214">
        <v>0</v>
      </c>
      <c r="J4214" t="s">
        <v>97</v>
      </c>
      <c r="K4214">
        <v>0</v>
      </c>
      <c r="L4214">
        <v>0</v>
      </c>
      <c r="M4214" t="s">
        <v>11</v>
      </c>
    </row>
    <row r="4215" spans="1:13">
      <c r="A4215" s="93">
        <v>487472</v>
      </c>
      <c r="B4215" t="s">
        <v>4718</v>
      </c>
      <c r="C4215" t="s">
        <v>4919</v>
      </c>
      <c r="D4215" s="92">
        <v>0.45</v>
      </c>
      <c r="E4215" s="92">
        <v>0.44</v>
      </c>
      <c r="F4215" t="s">
        <v>446</v>
      </c>
      <c r="G4215" t="s">
        <v>446</v>
      </c>
      <c r="H4215" t="s">
        <v>4930</v>
      </c>
      <c r="I4215">
        <v>0</v>
      </c>
      <c r="J4215" t="s">
        <v>97</v>
      </c>
      <c r="K4215">
        <v>0</v>
      </c>
      <c r="L4215">
        <v>0</v>
      </c>
      <c r="M4215" t="s">
        <v>11</v>
      </c>
    </row>
    <row r="4216" spans="1:13">
      <c r="A4216" s="93">
        <v>487490</v>
      </c>
      <c r="B4216" t="s">
        <v>4719</v>
      </c>
      <c r="C4216" t="s">
        <v>4919</v>
      </c>
      <c r="D4216" s="92" t="s">
        <v>446</v>
      </c>
      <c r="E4216" s="92" t="s">
        <v>446</v>
      </c>
      <c r="F4216" t="s">
        <v>446</v>
      </c>
      <c r="G4216" t="s">
        <v>446</v>
      </c>
      <c r="H4216" t="s">
        <v>4930</v>
      </c>
      <c r="I4216">
        <v>0</v>
      </c>
      <c r="J4216" t="s">
        <v>97</v>
      </c>
      <c r="K4216">
        <v>0</v>
      </c>
      <c r="L4216">
        <v>0</v>
      </c>
      <c r="M4216" t="s">
        <v>11</v>
      </c>
    </row>
    <row r="4217" spans="1:13">
      <c r="A4217" s="93">
        <v>487524</v>
      </c>
      <c r="B4217" t="s">
        <v>4720</v>
      </c>
      <c r="C4217" t="s">
        <v>4918</v>
      </c>
      <c r="D4217" s="92">
        <v>0.5600000000000001</v>
      </c>
      <c r="E4217" s="92">
        <v>0.41</v>
      </c>
      <c r="F4217" t="s">
        <v>446</v>
      </c>
      <c r="G4217" t="s">
        <v>446</v>
      </c>
      <c r="H4217" t="s">
        <v>4931</v>
      </c>
      <c r="I4217">
        <v>0</v>
      </c>
      <c r="J4217" t="s">
        <v>97</v>
      </c>
      <c r="K4217">
        <v>0</v>
      </c>
      <c r="L4217">
        <v>0</v>
      </c>
      <c r="M4217" t="s">
        <v>11</v>
      </c>
    </row>
    <row r="4218" spans="1:13">
      <c r="A4218" s="93">
        <v>487588</v>
      </c>
      <c r="B4218" t="s">
        <v>4721</v>
      </c>
      <c r="C4218" t="s">
        <v>4919</v>
      </c>
      <c r="D4218" s="92" t="s">
        <v>446</v>
      </c>
      <c r="E4218" s="92" t="s">
        <v>446</v>
      </c>
      <c r="F4218" t="s">
        <v>446</v>
      </c>
      <c r="G4218" t="s">
        <v>446</v>
      </c>
      <c r="H4218" t="s">
        <v>4930</v>
      </c>
      <c r="I4218">
        <v>0</v>
      </c>
      <c r="J4218" t="s">
        <v>97</v>
      </c>
      <c r="K4218">
        <v>0</v>
      </c>
      <c r="L4218">
        <v>0</v>
      </c>
      <c r="M4218" t="s">
        <v>11</v>
      </c>
    </row>
    <row r="4219" spans="1:13">
      <c r="A4219" s="93">
        <v>487597</v>
      </c>
      <c r="B4219" t="s">
        <v>4722</v>
      </c>
      <c r="C4219" t="s">
        <v>4919</v>
      </c>
      <c r="D4219" s="92">
        <v>0.57</v>
      </c>
      <c r="E4219" s="92">
        <v>0.55</v>
      </c>
      <c r="F4219" t="s">
        <v>446</v>
      </c>
      <c r="G4219" t="s">
        <v>446</v>
      </c>
      <c r="H4219" t="s">
        <v>4930</v>
      </c>
      <c r="I4219">
        <v>0</v>
      </c>
      <c r="J4219" t="s">
        <v>97</v>
      </c>
      <c r="K4219">
        <v>0</v>
      </c>
      <c r="L4219">
        <v>0</v>
      </c>
      <c r="M4219" t="s">
        <v>11</v>
      </c>
    </row>
    <row r="4220" spans="1:13">
      <c r="A4220" s="93">
        <v>487603</v>
      </c>
      <c r="B4220" t="s">
        <v>4723</v>
      </c>
      <c r="C4220" t="s">
        <v>4923</v>
      </c>
      <c r="D4220" s="92">
        <v>0.4</v>
      </c>
      <c r="E4220" s="92">
        <v>0.33</v>
      </c>
      <c r="F4220" t="s">
        <v>446</v>
      </c>
      <c r="G4220" t="s">
        <v>446</v>
      </c>
      <c r="H4220" t="s">
        <v>4930</v>
      </c>
      <c r="I4220">
        <v>0</v>
      </c>
      <c r="J4220" t="s">
        <v>97</v>
      </c>
      <c r="K4220">
        <v>0</v>
      </c>
      <c r="L4220">
        <v>0</v>
      </c>
      <c r="M4220" t="s">
        <v>11</v>
      </c>
    </row>
    <row r="4221" spans="1:13">
      <c r="A4221" s="93">
        <v>487649</v>
      </c>
      <c r="B4221" t="s">
        <v>4724</v>
      </c>
      <c r="C4221" t="s">
        <v>4924</v>
      </c>
      <c r="D4221" s="92" t="s">
        <v>446</v>
      </c>
      <c r="E4221" s="92" t="s">
        <v>446</v>
      </c>
      <c r="F4221" t="s">
        <v>446</v>
      </c>
      <c r="G4221" t="s">
        <v>446</v>
      </c>
      <c r="H4221" t="s">
        <v>4932</v>
      </c>
      <c r="I4221">
        <v>0</v>
      </c>
      <c r="J4221" t="s">
        <v>97</v>
      </c>
      <c r="K4221">
        <v>0</v>
      </c>
      <c r="L4221">
        <v>0</v>
      </c>
      <c r="M4221" t="s">
        <v>11</v>
      </c>
    </row>
    <row r="4222" spans="1:13">
      <c r="A4222" s="93">
        <v>487658</v>
      </c>
      <c r="B4222" t="s">
        <v>4602</v>
      </c>
      <c r="C4222" t="s">
        <v>4925</v>
      </c>
      <c r="D4222" s="92" t="s">
        <v>446</v>
      </c>
      <c r="E4222" s="92" t="s">
        <v>446</v>
      </c>
      <c r="F4222" t="s">
        <v>446</v>
      </c>
      <c r="G4222" t="s">
        <v>446</v>
      </c>
      <c r="H4222" t="s">
        <v>4930</v>
      </c>
      <c r="I4222">
        <v>0</v>
      </c>
      <c r="J4222" t="s">
        <v>97</v>
      </c>
      <c r="K4222">
        <v>0</v>
      </c>
      <c r="L4222">
        <v>0</v>
      </c>
      <c r="M4222" t="s">
        <v>11</v>
      </c>
    </row>
    <row r="4223" spans="1:13">
      <c r="A4223" s="93">
        <v>487746</v>
      </c>
      <c r="B4223" t="s">
        <v>4725</v>
      </c>
      <c r="C4223" t="s">
        <v>4924</v>
      </c>
      <c r="D4223" s="92">
        <v>0.38</v>
      </c>
      <c r="E4223" s="92" t="s">
        <v>446</v>
      </c>
      <c r="F4223" t="s">
        <v>446</v>
      </c>
      <c r="G4223" t="s">
        <v>446</v>
      </c>
      <c r="H4223" t="s">
        <v>4932</v>
      </c>
      <c r="I4223">
        <v>0</v>
      </c>
      <c r="J4223" t="s">
        <v>97</v>
      </c>
      <c r="K4223">
        <v>0</v>
      </c>
      <c r="L4223">
        <v>0</v>
      </c>
      <c r="M4223" t="s">
        <v>11</v>
      </c>
    </row>
    <row r="4224" spans="1:13">
      <c r="A4224" s="93">
        <v>487861</v>
      </c>
      <c r="B4224" t="s">
        <v>4726</v>
      </c>
      <c r="C4224" t="s">
        <v>4919</v>
      </c>
      <c r="D4224" s="92">
        <v>0.97</v>
      </c>
      <c r="E4224" s="92">
        <v>0.98</v>
      </c>
      <c r="F4224" t="s">
        <v>446</v>
      </c>
      <c r="G4224" t="s">
        <v>446</v>
      </c>
      <c r="H4224" t="s">
        <v>4930</v>
      </c>
      <c r="I4224">
        <v>0</v>
      </c>
      <c r="J4224" t="s">
        <v>97</v>
      </c>
      <c r="K4224">
        <v>0</v>
      </c>
      <c r="L4224">
        <v>0</v>
      </c>
      <c r="M4224" t="s">
        <v>11</v>
      </c>
    </row>
    <row r="4225" spans="1:13">
      <c r="A4225" s="93">
        <v>487977</v>
      </c>
      <c r="B4225" t="s">
        <v>4727</v>
      </c>
      <c r="C4225" t="s">
        <v>4919</v>
      </c>
      <c r="D4225" s="92" t="s">
        <v>446</v>
      </c>
      <c r="E4225" s="92" t="s">
        <v>446</v>
      </c>
      <c r="F4225" t="s">
        <v>446</v>
      </c>
      <c r="G4225" t="s">
        <v>446</v>
      </c>
      <c r="H4225" t="s">
        <v>4931</v>
      </c>
      <c r="I4225">
        <v>0</v>
      </c>
      <c r="J4225" t="s">
        <v>97</v>
      </c>
      <c r="K4225">
        <v>0</v>
      </c>
      <c r="L4225">
        <v>0</v>
      </c>
      <c r="M4225" t="s">
        <v>11</v>
      </c>
    </row>
    <row r="4226" spans="1:13">
      <c r="A4226" s="93">
        <v>487995</v>
      </c>
      <c r="B4226" t="s">
        <v>4728</v>
      </c>
      <c r="C4226" t="s">
        <v>4924</v>
      </c>
      <c r="D4226" s="92" t="s">
        <v>446</v>
      </c>
      <c r="E4226" s="92" t="s">
        <v>446</v>
      </c>
      <c r="F4226" t="s">
        <v>446</v>
      </c>
      <c r="G4226" t="s">
        <v>446</v>
      </c>
      <c r="H4226" t="s">
        <v>4932</v>
      </c>
      <c r="I4226">
        <v>0</v>
      </c>
      <c r="J4226" t="s">
        <v>97</v>
      </c>
      <c r="K4226">
        <v>0</v>
      </c>
      <c r="L4226">
        <v>0</v>
      </c>
      <c r="M4226" t="s">
        <v>11</v>
      </c>
    </row>
    <row r="4227" spans="1:13">
      <c r="A4227" s="93">
        <v>488004</v>
      </c>
      <c r="B4227" t="s">
        <v>4729</v>
      </c>
      <c r="C4227" t="s">
        <v>4924</v>
      </c>
      <c r="D4227" s="92" t="s">
        <v>446</v>
      </c>
      <c r="E4227" s="92" t="s">
        <v>446</v>
      </c>
      <c r="F4227" t="s">
        <v>446</v>
      </c>
      <c r="G4227" t="s">
        <v>446</v>
      </c>
      <c r="H4227" t="s">
        <v>4932</v>
      </c>
      <c r="I4227">
        <v>0</v>
      </c>
      <c r="J4227" t="s">
        <v>97</v>
      </c>
      <c r="K4227">
        <v>0</v>
      </c>
      <c r="L4227">
        <v>0</v>
      </c>
      <c r="M4227" t="s">
        <v>11</v>
      </c>
    </row>
    <row r="4228" spans="1:13">
      <c r="A4228" s="93">
        <v>488031</v>
      </c>
      <c r="B4228" t="s">
        <v>4730</v>
      </c>
      <c r="C4228" t="s">
        <v>4923</v>
      </c>
      <c r="D4228" s="92" t="s">
        <v>446</v>
      </c>
      <c r="E4228" s="92" t="s">
        <v>446</v>
      </c>
      <c r="F4228" t="s">
        <v>446</v>
      </c>
      <c r="G4228" t="s">
        <v>446</v>
      </c>
      <c r="H4228" t="s">
        <v>4932</v>
      </c>
      <c r="I4228">
        <v>0</v>
      </c>
      <c r="J4228" t="s">
        <v>97</v>
      </c>
      <c r="K4228">
        <v>0</v>
      </c>
      <c r="L4228">
        <v>0</v>
      </c>
      <c r="M4228" t="s">
        <v>11</v>
      </c>
    </row>
    <row r="4229" spans="1:13">
      <c r="A4229" s="93">
        <v>488059</v>
      </c>
      <c r="B4229" t="s">
        <v>4731</v>
      </c>
      <c r="C4229" t="s">
        <v>4919</v>
      </c>
      <c r="D4229" s="92" t="s">
        <v>446</v>
      </c>
      <c r="E4229" s="92" t="s">
        <v>446</v>
      </c>
      <c r="F4229" t="s">
        <v>446</v>
      </c>
      <c r="G4229" t="s">
        <v>446</v>
      </c>
      <c r="H4229" t="s">
        <v>4930</v>
      </c>
      <c r="I4229">
        <v>0</v>
      </c>
      <c r="J4229" t="s">
        <v>97</v>
      </c>
      <c r="K4229">
        <v>0</v>
      </c>
      <c r="L4229">
        <v>0</v>
      </c>
      <c r="M4229" t="s">
        <v>11</v>
      </c>
    </row>
    <row r="4230" spans="1:13">
      <c r="A4230" s="93">
        <v>488068</v>
      </c>
      <c r="B4230" t="s">
        <v>4732</v>
      </c>
      <c r="C4230" t="s">
        <v>4923</v>
      </c>
      <c r="D4230" s="92" t="s">
        <v>446</v>
      </c>
      <c r="E4230" s="92" t="s">
        <v>446</v>
      </c>
      <c r="F4230" t="s">
        <v>446</v>
      </c>
      <c r="G4230" t="s">
        <v>446</v>
      </c>
      <c r="H4230" t="s">
        <v>4930</v>
      </c>
      <c r="I4230">
        <v>0</v>
      </c>
      <c r="J4230" t="s">
        <v>97</v>
      </c>
      <c r="K4230">
        <v>0</v>
      </c>
      <c r="L4230">
        <v>0</v>
      </c>
      <c r="M4230" t="s">
        <v>11</v>
      </c>
    </row>
    <row r="4231" spans="1:13">
      <c r="A4231" s="93">
        <v>488077</v>
      </c>
      <c r="B4231" t="s">
        <v>4733</v>
      </c>
      <c r="C4231" t="s">
        <v>4919</v>
      </c>
      <c r="D4231" s="92" t="s">
        <v>446</v>
      </c>
      <c r="E4231" s="92" t="s">
        <v>446</v>
      </c>
      <c r="F4231" t="s">
        <v>446</v>
      </c>
      <c r="G4231" t="s">
        <v>446</v>
      </c>
      <c r="H4231" t="s">
        <v>4930</v>
      </c>
      <c r="I4231">
        <v>0</v>
      </c>
      <c r="J4231" t="s">
        <v>97</v>
      </c>
      <c r="K4231">
        <v>0</v>
      </c>
      <c r="L4231">
        <v>0</v>
      </c>
      <c r="M4231" t="s">
        <v>11</v>
      </c>
    </row>
    <row r="4232" spans="1:13">
      <c r="A4232" s="93">
        <v>488101</v>
      </c>
      <c r="B4232" t="s">
        <v>4734</v>
      </c>
      <c r="C4232" t="s">
        <v>4923</v>
      </c>
      <c r="D4232" s="92">
        <v>0.48</v>
      </c>
      <c r="E4232" s="92" t="s">
        <v>446</v>
      </c>
      <c r="F4232" t="s">
        <v>446</v>
      </c>
      <c r="G4232" t="s">
        <v>446</v>
      </c>
      <c r="H4232" t="s">
        <v>4928</v>
      </c>
      <c r="I4232">
        <v>1</v>
      </c>
      <c r="J4232" t="s">
        <v>97</v>
      </c>
      <c r="K4232">
        <v>0</v>
      </c>
      <c r="L4232">
        <v>0</v>
      </c>
      <c r="M4232" t="s">
        <v>11</v>
      </c>
    </row>
    <row r="4233" spans="1:13">
      <c r="A4233" s="93">
        <v>488305</v>
      </c>
      <c r="B4233" t="s">
        <v>4735</v>
      </c>
      <c r="C4233" t="s">
        <v>4919</v>
      </c>
      <c r="D4233" s="92">
        <v>0.7</v>
      </c>
      <c r="E4233" s="92">
        <v>0.6</v>
      </c>
      <c r="F4233" t="s">
        <v>446</v>
      </c>
      <c r="G4233" t="s">
        <v>446</v>
      </c>
      <c r="H4233" t="s">
        <v>4931</v>
      </c>
      <c r="I4233">
        <v>0</v>
      </c>
      <c r="J4233" t="s">
        <v>97</v>
      </c>
      <c r="K4233">
        <v>0</v>
      </c>
      <c r="L4233">
        <v>0</v>
      </c>
      <c r="M4233" t="s">
        <v>11</v>
      </c>
    </row>
    <row r="4234" spans="1:13">
      <c r="A4234" s="93">
        <v>488314</v>
      </c>
      <c r="B4234" t="s">
        <v>4736</v>
      </c>
      <c r="C4234" t="s">
        <v>4924</v>
      </c>
      <c r="D4234" s="92">
        <v>0.25</v>
      </c>
      <c r="E4234" s="92" t="s">
        <v>446</v>
      </c>
      <c r="F4234" t="s">
        <v>446</v>
      </c>
      <c r="G4234" t="s">
        <v>446</v>
      </c>
      <c r="H4234" t="s">
        <v>4931</v>
      </c>
      <c r="I4234">
        <v>0</v>
      </c>
      <c r="J4234" t="s">
        <v>97</v>
      </c>
      <c r="K4234">
        <v>0</v>
      </c>
      <c r="L4234">
        <v>0</v>
      </c>
      <c r="M4234" t="s">
        <v>11</v>
      </c>
    </row>
    <row r="4235" spans="1:13">
      <c r="A4235" s="93">
        <v>488332</v>
      </c>
      <c r="B4235" t="s">
        <v>4737</v>
      </c>
      <c r="C4235" t="s">
        <v>4919</v>
      </c>
      <c r="D4235" s="92">
        <v>0.54</v>
      </c>
      <c r="E4235" s="92">
        <v>0.54</v>
      </c>
      <c r="F4235" t="s">
        <v>446</v>
      </c>
      <c r="G4235" t="s">
        <v>446</v>
      </c>
      <c r="H4235" t="s">
        <v>4932</v>
      </c>
      <c r="I4235">
        <v>0</v>
      </c>
      <c r="J4235" t="s">
        <v>97</v>
      </c>
      <c r="K4235">
        <v>0</v>
      </c>
      <c r="L4235">
        <v>0</v>
      </c>
      <c r="M4235" t="s">
        <v>11</v>
      </c>
    </row>
    <row r="4236" spans="1:13">
      <c r="A4236" s="93">
        <v>488350</v>
      </c>
      <c r="B4236" t="s">
        <v>4738</v>
      </c>
      <c r="C4236" t="s">
        <v>4924</v>
      </c>
      <c r="D4236" s="92">
        <v>0.16</v>
      </c>
      <c r="E4236" s="92" t="s">
        <v>446</v>
      </c>
      <c r="F4236" t="s">
        <v>446</v>
      </c>
      <c r="G4236" t="s">
        <v>446</v>
      </c>
      <c r="H4236" t="s">
        <v>4931</v>
      </c>
      <c r="I4236">
        <v>0</v>
      </c>
      <c r="J4236" t="s">
        <v>97</v>
      </c>
      <c r="K4236">
        <v>0</v>
      </c>
      <c r="L4236">
        <v>0</v>
      </c>
      <c r="M4236" t="s">
        <v>11</v>
      </c>
    </row>
    <row r="4237" spans="1:13">
      <c r="A4237" s="93">
        <v>488387</v>
      </c>
      <c r="B4237" t="s">
        <v>4739</v>
      </c>
      <c r="C4237" t="s">
        <v>4924</v>
      </c>
      <c r="D4237" s="92" t="s">
        <v>446</v>
      </c>
      <c r="E4237" s="92" t="s">
        <v>446</v>
      </c>
      <c r="F4237" t="s">
        <v>446</v>
      </c>
      <c r="G4237" t="s">
        <v>446</v>
      </c>
      <c r="H4237" t="s">
        <v>4932</v>
      </c>
      <c r="I4237">
        <v>0</v>
      </c>
      <c r="J4237" t="s">
        <v>97</v>
      </c>
      <c r="K4237">
        <v>0</v>
      </c>
      <c r="L4237">
        <v>0</v>
      </c>
      <c r="M4237" t="s">
        <v>11</v>
      </c>
    </row>
    <row r="4238" spans="1:13">
      <c r="A4238" s="93">
        <v>488448</v>
      </c>
      <c r="B4238" t="s">
        <v>4740</v>
      </c>
      <c r="C4238" t="s">
        <v>4923</v>
      </c>
      <c r="D4238" s="92" t="s">
        <v>446</v>
      </c>
      <c r="E4238" s="92" t="s">
        <v>446</v>
      </c>
      <c r="F4238" t="s">
        <v>446</v>
      </c>
      <c r="G4238" t="s">
        <v>446</v>
      </c>
      <c r="H4238" t="s">
        <v>4930</v>
      </c>
      <c r="I4238">
        <v>0</v>
      </c>
      <c r="J4238" t="s">
        <v>97</v>
      </c>
      <c r="K4238">
        <v>0</v>
      </c>
      <c r="L4238">
        <v>0</v>
      </c>
      <c r="M4238" t="s">
        <v>11</v>
      </c>
    </row>
    <row r="4239" spans="1:13">
      <c r="A4239" s="93">
        <v>488527</v>
      </c>
      <c r="B4239" t="s">
        <v>4741</v>
      </c>
      <c r="C4239" t="s">
        <v>4924</v>
      </c>
      <c r="D4239" s="92" t="s">
        <v>446</v>
      </c>
      <c r="E4239" s="92" t="s">
        <v>446</v>
      </c>
      <c r="F4239" t="s">
        <v>446</v>
      </c>
      <c r="G4239" t="s">
        <v>446</v>
      </c>
      <c r="H4239" t="s">
        <v>4932</v>
      </c>
      <c r="I4239">
        <v>0</v>
      </c>
      <c r="J4239" t="s">
        <v>97</v>
      </c>
      <c r="K4239">
        <v>0</v>
      </c>
      <c r="L4239">
        <v>0</v>
      </c>
      <c r="M4239" t="s">
        <v>11</v>
      </c>
    </row>
    <row r="4240" spans="1:13">
      <c r="A4240" s="93">
        <v>488554</v>
      </c>
      <c r="B4240" t="s">
        <v>4742</v>
      </c>
      <c r="C4240" t="s">
        <v>4924</v>
      </c>
      <c r="D4240" s="92" t="s">
        <v>446</v>
      </c>
      <c r="E4240" s="92" t="s">
        <v>446</v>
      </c>
      <c r="F4240" t="s">
        <v>446</v>
      </c>
      <c r="G4240" t="s">
        <v>446</v>
      </c>
      <c r="H4240" t="s">
        <v>4932</v>
      </c>
      <c r="I4240">
        <v>0</v>
      </c>
      <c r="J4240" t="s">
        <v>97</v>
      </c>
      <c r="K4240">
        <v>0</v>
      </c>
      <c r="L4240">
        <v>0</v>
      </c>
      <c r="M4240" t="s">
        <v>11</v>
      </c>
    </row>
    <row r="4241" spans="1:13">
      <c r="A4241" s="93">
        <v>488563</v>
      </c>
      <c r="B4241" t="s">
        <v>4743</v>
      </c>
      <c r="C4241" t="s">
        <v>4926</v>
      </c>
      <c r="D4241" s="92" t="s">
        <v>446</v>
      </c>
      <c r="E4241" s="92" t="s">
        <v>446</v>
      </c>
      <c r="F4241" t="s">
        <v>446</v>
      </c>
      <c r="G4241" t="s">
        <v>446</v>
      </c>
      <c r="H4241" t="s">
        <v>4932</v>
      </c>
      <c r="I4241">
        <v>0</v>
      </c>
      <c r="J4241" t="s">
        <v>97</v>
      </c>
      <c r="K4241">
        <v>0</v>
      </c>
      <c r="L4241">
        <v>0</v>
      </c>
      <c r="M4241" t="s">
        <v>11</v>
      </c>
    </row>
    <row r="4242" spans="1:13">
      <c r="A4242" s="93">
        <v>488572</v>
      </c>
      <c r="B4242" t="s">
        <v>4744</v>
      </c>
      <c r="C4242" t="s">
        <v>4924</v>
      </c>
      <c r="D4242" s="92" t="s">
        <v>446</v>
      </c>
      <c r="E4242" s="92" t="s">
        <v>446</v>
      </c>
      <c r="F4242" t="s">
        <v>446</v>
      </c>
      <c r="G4242" t="s">
        <v>446</v>
      </c>
      <c r="H4242" t="s">
        <v>4932</v>
      </c>
      <c r="I4242">
        <v>0</v>
      </c>
      <c r="J4242" t="s">
        <v>97</v>
      </c>
      <c r="K4242">
        <v>0</v>
      </c>
      <c r="L4242">
        <v>0</v>
      </c>
      <c r="M4242" t="s">
        <v>11</v>
      </c>
    </row>
    <row r="4243" spans="1:13">
      <c r="A4243" s="93">
        <v>488679</v>
      </c>
      <c r="B4243" t="s">
        <v>4745</v>
      </c>
      <c r="C4243" t="s">
        <v>4923</v>
      </c>
      <c r="D4243" s="92" t="s">
        <v>446</v>
      </c>
      <c r="E4243" s="92" t="s">
        <v>446</v>
      </c>
      <c r="F4243" t="s">
        <v>446</v>
      </c>
      <c r="G4243" t="s">
        <v>446</v>
      </c>
      <c r="H4243" t="s">
        <v>4930</v>
      </c>
      <c r="I4243">
        <v>0</v>
      </c>
      <c r="J4243" t="s">
        <v>97</v>
      </c>
      <c r="K4243">
        <v>0</v>
      </c>
      <c r="L4243">
        <v>0</v>
      </c>
      <c r="M4243" t="s">
        <v>11</v>
      </c>
    </row>
    <row r="4244" spans="1:13">
      <c r="A4244" s="93">
        <v>488730</v>
      </c>
      <c r="B4244" t="s">
        <v>4746</v>
      </c>
      <c r="C4244" t="s">
        <v>4919</v>
      </c>
      <c r="D4244" s="92" t="s">
        <v>446</v>
      </c>
      <c r="E4244" s="92" t="s">
        <v>446</v>
      </c>
      <c r="F4244" t="s">
        <v>446</v>
      </c>
      <c r="G4244" t="s">
        <v>446</v>
      </c>
      <c r="H4244" t="s">
        <v>4932</v>
      </c>
      <c r="I4244">
        <v>0</v>
      </c>
      <c r="J4244" t="s">
        <v>97</v>
      </c>
      <c r="K4244">
        <v>0</v>
      </c>
      <c r="L4244">
        <v>0</v>
      </c>
      <c r="M4244" t="s">
        <v>11</v>
      </c>
    </row>
    <row r="4245" spans="1:13">
      <c r="A4245" s="93">
        <v>488776</v>
      </c>
      <c r="B4245" t="s">
        <v>4747</v>
      </c>
      <c r="C4245" t="s">
        <v>4924</v>
      </c>
      <c r="D4245" s="92" t="s">
        <v>446</v>
      </c>
      <c r="E4245" s="92" t="s">
        <v>446</v>
      </c>
      <c r="F4245" t="s">
        <v>446</v>
      </c>
      <c r="G4245" t="s">
        <v>446</v>
      </c>
      <c r="H4245" t="s">
        <v>4932</v>
      </c>
      <c r="I4245">
        <v>0</v>
      </c>
      <c r="J4245" t="s">
        <v>97</v>
      </c>
      <c r="K4245">
        <v>0</v>
      </c>
      <c r="L4245">
        <v>0</v>
      </c>
      <c r="M4245" t="s">
        <v>11</v>
      </c>
    </row>
    <row r="4246" spans="1:13">
      <c r="A4246" s="93">
        <v>488785</v>
      </c>
      <c r="B4246" t="s">
        <v>4748</v>
      </c>
      <c r="C4246" t="s">
        <v>4923</v>
      </c>
      <c r="D4246" s="92">
        <v>0.07000000000000001</v>
      </c>
      <c r="E4246" s="92">
        <v>0</v>
      </c>
      <c r="F4246" t="s">
        <v>446</v>
      </c>
      <c r="G4246" t="s">
        <v>446</v>
      </c>
      <c r="H4246" t="s">
        <v>4930</v>
      </c>
      <c r="I4246">
        <v>0</v>
      </c>
      <c r="J4246" t="s">
        <v>97</v>
      </c>
      <c r="K4246">
        <v>0</v>
      </c>
      <c r="L4246">
        <v>0</v>
      </c>
      <c r="M4246" t="s">
        <v>11</v>
      </c>
    </row>
    <row r="4247" spans="1:13">
      <c r="A4247" s="93">
        <v>488800</v>
      </c>
      <c r="B4247" t="s">
        <v>4749</v>
      </c>
      <c r="C4247" t="s">
        <v>4924</v>
      </c>
      <c r="D4247" s="92" t="s">
        <v>446</v>
      </c>
      <c r="E4247" s="92" t="s">
        <v>446</v>
      </c>
      <c r="F4247" t="s">
        <v>446</v>
      </c>
      <c r="G4247" t="s">
        <v>446</v>
      </c>
      <c r="H4247" t="s">
        <v>4932</v>
      </c>
      <c r="I4247">
        <v>0</v>
      </c>
      <c r="J4247" t="s">
        <v>97</v>
      </c>
      <c r="K4247">
        <v>0</v>
      </c>
      <c r="L4247">
        <v>0</v>
      </c>
      <c r="M4247" t="s">
        <v>11</v>
      </c>
    </row>
    <row r="4248" spans="1:13">
      <c r="A4248" s="93">
        <v>488846</v>
      </c>
      <c r="B4248" t="s">
        <v>4750</v>
      </c>
      <c r="C4248" t="s">
        <v>4923</v>
      </c>
      <c r="D4248" s="92">
        <v>0.16</v>
      </c>
      <c r="E4248" s="92">
        <v>0</v>
      </c>
      <c r="F4248" t="s">
        <v>446</v>
      </c>
      <c r="G4248" t="s">
        <v>446</v>
      </c>
      <c r="H4248" t="s">
        <v>4932</v>
      </c>
      <c r="I4248">
        <v>0</v>
      </c>
      <c r="J4248" t="s">
        <v>97</v>
      </c>
      <c r="K4248">
        <v>0</v>
      </c>
      <c r="L4248">
        <v>0</v>
      </c>
      <c r="M4248" t="s">
        <v>11</v>
      </c>
    </row>
    <row r="4249" spans="1:13">
      <c r="A4249" s="93">
        <v>488907</v>
      </c>
      <c r="B4249" t="s">
        <v>4751</v>
      </c>
      <c r="C4249" t="s">
        <v>4924</v>
      </c>
      <c r="D4249" s="92" t="s">
        <v>446</v>
      </c>
      <c r="E4249" s="92" t="s">
        <v>446</v>
      </c>
      <c r="F4249" t="s">
        <v>446</v>
      </c>
      <c r="G4249" t="s">
        <v>446</v>
      </c>
      <c r="H4249" t="s">
        <v>4932</v>
      </c>
      <c r="I4249">
        <v>0</v>
      </c>
      <c r="J4249" t="s">
        <v>97</v>
      </c>
      <c r="K4249">
        <v>0</v>
      </c>
      <c r="L4249">
        <v>0</v>
      </c>
      <c r="M4249" t="s">
        <v>11</v>
      </c>
    </row>
    <row r="4250" spans="1:13">
      <c r="A4250" s="93">
        <v>488934</v>
      </c>
      <c r="B4250" t="s">
        <v>4752</v>
      </c>
      <c r="C4250" t="s">
        <v>4919</v>
      </c>
      <c r="D4250" s="92" t="s">
        <v>446</v>
      </c>
      <c r="E4250" s="92" t="s">
        <v>446</v>
      </c>
      <c r="F4250" t="s">
        <v>446</v>
      </c>
      <c r="G4250" t="s">
        <v>446</v>
      </c>
      <c r="H4250" t="s">
        <v>4932</v>
      </c>
      <c r="I4250">
        <v>0</v>
      </c>
      <c r="J4250" t="s">
        <v>97</v>
      </c>
      <c r="K4250">
        <v>0</v>
      </c>
      <c r="L4250">
        <v>0</v>
      </c>
      <c r="M4250" t="s">
        <v>11</v>
      </c>
    </row>
    <row r="4251" spans="1:13">
      <c r="A4251" s="93">
        <v>489201</v>
      </c>
      <c r="B4251" t="s">
        <v>1008</v>
      </c>
      <c r="C4251" t="s">
        <v>4919</v>
      </c>
      <c r="D4251" s="92">
        <v>0.4</v>
      </c>
      <c r="E4251" s="92">
        <v>0.31</v>
      </c>
      <c r="F4251" t="s">
        <v>446</v>
      </c>
      <c r="G4251" t="s">
        <v>446</v>
      </c>
      <c r="H4251" t="s">
        <v>4932</v>
      </c>
      <c r="I4251">
        <v>0</v>
      </c>
      <c r="J4251" t="s">
        <v>97</v>
      </c>
      <c r="K4251">
        <v>0</v>
      </c>
      <c r="L4251">
        <v>0</v>
      </c>
      <c r="M4251" t="s">
        <v>11</v>
      </c>
    </row>
    <row r="4252" spans="1:13">
      <c r="A4252" s="93">
        <v>489283</v>
      </c>
      <c r="B4252" t="s">
        <v>4753</v>
      </c>
      <c r="C4252" t="s">
        <v>4919</v>
      </c>
      <c r="D4252" s="92" t="s">
        <v>446</v>
      </c>
      <c r="E4252" s="92" t="s">
        <v>446</v>
      </c>
      <c r="F4252" t="s">
        <v>446</v>
      </c>
      <c r="G4252" t="s">
        <v>446</v>
      </c>
      <c r="H4252" t="s">
        <v>4930</v>
      </c>
      <c r="I4252">
        <v>0</v>
      </c>
      <c r="J4252" t="s">
        <v>97</v>
      </c>
      <c r="K4252">
        <v>0</v>
      </c>
      <c r="L4252">
        <v>0</v>
      </c>
      <c r="M4252" t="s">
        <v>11</v>
      </c>
    </row>
    <row r="4253" spans="1:13">
      <c r="A4253" s="93">
        <v>489335</v>
      </c>
      <c r="B4253" t="s">
        <v>4754</v>
      </c>
      <c r="C4253" t="s">
        <v>4924</v>
      </c>
      <c r="D4253" s="92" t="s">
        <v>446</v>
      </c>
      <c r="E4253" s="92" t="s">
        <v>446</v>
      </c>
      <c r="F4253" t="s">
        <v>446</v>
      </c>
      <c r="G4253" t="s">
        <v>446</v>
      </c>
      <c r="H4253" t="s">
        <v>4932</v>
      </c>
      <c r="I4253">
        <v>0</v>
      </c>
      <c r="J4253" t="s">
        <v>97</v>
      </c>
      <c r="K4253">
        <v>0</v>
      </c>
      <c r="L4253">
        <v>0</v>
      </c>
      <c r="M4253" t="s">
        <v>11</v>
      </c>
    </row>
    <row r="4254" spans="1:13">
      <c r="A4254" s="93">
        <v>489344</v>
      </c>
      <c r="B4254" t="s">
        <v>4755</v>
      </c>
      <c r="C4254" t="s">
        <v>4924</v>
      </c>
      <c r="D4254" s="92" t="s">
        <v>446</v>
      </c>
      <c r="E4254" s="92" t="s">
        <v>446</v>
      </c>
      <c r="F4254" t="s">
        <v>446</v>
      </c>
      <c r="G4254" t="s">
        <v>446</v>
      </c>
      <c r="H4254" t="s">
        <v>4932</v>
      </c>
      <c r="I4254">
        <v>0</v>
      </c>
      <c r="J4254" t="s">
        <v>97</v>
      </c>
      <c r="K4254">
        <v>0</v>
      </c>
      <c r="L4254">
        <v>0</v>
      </c>
      <c r="M4254" t="s">
        <v>11</v>
      </c>
    </row>
    <row r="4255" spans="1:13">
      <c r="A4255" s="93">
        <v>489353</v>
      </c>
      <c r="B4255" t="s">
        <v>4756</v>
      </c>
      <c r="C4255" t="s">
        <v>4924</v>
      </c>
      <c r="D4255" s="92" t="s">
        <v>446</v>
      </c>
      <c r="E4255" s="92" t="s">
        <v>446</v>
      </c>
      <c r="F4255" t="s">
        <v>446</v>
      </c>
      <c r="G4255" t="s">
        <v>446</v>
      </c>
      <c r="H4255" t="s">
        <v>4932</v>
      </c>
      <c r="I4255">
        <v>0</v>
      </c>
      <c r="J4255" t="s">
        <v>97</v>
      </c>
      <c r="K4255">
        <v>0</v>
      </c>
      <c r="L4255">
        <v>0</v>
      </c>
      <c r="M4255" t="s">
        <v>11</v>
      </c>
    </row>
    <row r="4256" spans="1:13">
      <c r="A4256" s="93">
        <v>489371</v>
      </c>
      <c r="B4256" t="s">
        <v>1495</v>
      </c>
      <c r="C4256" t="s">
        <v>4919</v>
      </c>
      <c r="D4256" s="92" t="s">
        <v>446</v>
      </c>
      <c r="E4256" s="92" t="s">
        <v>446</v>
      </c>
      <c r="F4256" t="s">
        <v>446</v>
      </c>
      <c r="G4256" t="s">
        <v>446</v>
      </c>
      <c r="H4256" t="s">
        <v>4930</v>
      </c>
      <c r="I4256">
        <v>0</v>
      </c>
      <c r="J4256" t="s">
        <v>97</v>
      </c>
      <c r="K4256">
        <v>0</v>
      </c>
      <c r="L4256">
        <v>0</v>
      </c>
      <c r="M4256" t="s">
        <v>11</v>
      </c>
    </row>
    <row r="4257" spans="1:13">
      <c r="A4257" s="93">
        <v>489779</v>
      </c>
      <c r="B4257" t="s">
        <v>4757</v>
      </c>
      <c r="C4257" t="s">
        <v>4923</v>
      </c>
      <c r="D4257" s="92">
        <v>0.18</v>
      </c>
      <c r="E4257" s="92">
        <v>0</v>
      </c>
      <c r="F4257" t="s">
        <v>446</v>
      </c>
      <c r="G4257" t="s">
        <v>446</v>
      </c>
      <c r="H4257" t="s">
        <v>4932</v>
      </c>
      <c r="I4257">
        <v>0</v>
      </c>
      <c r="J4257" t="s">
        <v>97</v>
      </c>
      <c r="K4257">
        <v>0</v>
      </c>
      <c r="L4257">
        <v>0</v>
      </c>
      <c r="M4257" t="s">
        <v>11</v>
      </c>
    </row>
    <row r="4258" spans="1:13">
      <c r="A4258" s="93">
        <v>489812</v>
      </c>
      <c r="B4258" t="s">
        <v>4758</v>
      </c>
      <c r="C4258" t="s">
        <v>4919</v>
      </c>
      <c r="D4258" s="92" t="s">
        <v>446</v>
      </c>
      <c r="E4258" s="92" t="s">
        <v>446</v>
      </c>
      <c r="F4258" t="s">
        <v>446</v>
      </c>
      <c r="G4258" t="s">
        <v>446</v>
      </c>
      <c r="H4258" t="s">
        <v>4930</v>
      </c>
      <c r="I4258">
        <v>0</v>
      </c>
      <c r="J4258" t="s">
        <v>97</v>
      </c>
      <c r="K4258">
        <v>0</v>
      </c>
      <c r="L4258">
        <v>0</v>
      </c>
      <c r="M4258" t="s">
        <v>11</v>
      </c>
    </row>
    <row r="4259" spans="1:13">
      <c r="A4259" s="93">
        <v>489858</v>
      </c>
      <c r="B4259" t="s">
        <v>4759</v>
      </c>
      <c r="C4259" t="s">
        <v>4924</v>
      </c>
      <c r="D4259" s="92" t="s">
        <v>446</v>
      </c>
      <c r="E4259" s="92" t="s">
        <v>446</v>
      </c>
      <c r="F4259" t="s">
        <v>446</v>
      </c>
      <c r="G4259" t="s">
        <v>446</v>
      </c>
      <c r="H4259" t="s">
        <v>4932</v>
      </c>
      <c r="I4259">
        <v>0</v>
      </c>
      <c r="J4259" t="s">
        <v>97</v>
      </c>
      <c r="K4259">
        <v>0</v>
      </c>
      <c r="L4259">
        <v>0</v>
      </c>
      <c r="M4259" t="s">
        <v>11</v>
      </c>
    </row>
    <row r="4260" spans="1:13">
      <c r="A4260" s="93">
        <v>489937</v>
      </c>
      <c r="B4260" t="s">
        <v>4760</v>
      </c>
      <c r="C4260" t="s">
        <v>4918</v>
      </c>
      <c r="D4260" s="92">
        <v>0.44</v>
      </c>
      <c r="E4260" s="92">
        <v>0.1</v>
      </c>
      <c r="F4260" t="s">
        <v>446</v>
      </c>
      <c r="G4260" t="s">
        <v>446</v>
      </c>
      <c r="H4260" t="s">
        <v>4931</v>
      </c>
      <c r="I4260">
        <v>0</v>
      </c>
      <c r="J4260" t="s">
        <v>97</v>
      </c>
      <c r="K4260">
        <v>0</v>
      </c>
      <c r="L4260">
        <v>0</v>
      </c>
      <c r="M4260" t="s">
        <v>11</v>
      </c>
    </row>
    <row r="4261" spans="1:13">
      <c r="A4261" s="93">
        <v>490045</v>
      </c>
      <c r="B4261" t="s">
        <v>4761</v>
      </c>
      <c r="C4261" t="s">
        <v>4923</v>
      </c>
      <c r="D4261" s="92">
        <v>1</v>
      </c>
      <c r="E4261" s="92" t="s">
        <v>446</v>
      </c>
      <c r="F4261" t="s">
        <v>446</v>
      </c>
      <c r="G4261" t="s">
        <v>446</v>
      </c>
      <c r="H4261" t="s">
        <v>4931</v>
      </c>
      <c r="I4261">
        <v>0</v>
      </c>
      <c r="J4261" t="s">
        <v>97</v>
      </c>
      <c r="K4261">
        <v>0</v>
      </c>
      <c r="L4261">
        <v>0</v>
      </c>
      <c r="M4261" t="s">
        <v>11</v>
      </c>
    </row>
    <row r="4262" spans="1:13">
      <c r="A4262" s="93">
        <v>490054</v>
      </c>
      <c r="B4262" t="s">
        <v>4762</v>
      </c>
      <c r="C4262" t="s">
        <v>4924</v>
      </c>
      <c r="D4262" s="92" t="s">
        <v>446</v>
      </c>
      <c r="E4262" s="92" t="s">
        <v>446</v>
      </c>
      <c r="F4262" t="s">
        <v>446</v>
      </c>
      <c r="G4262" t="s">
        <v>446</v>
      </c>
      <c r="H4262" t="s">
        <v>4930</v>
      </c>
      <c r="I4262">
        <v>0</v>
      </c>
      <c r="J4262" t="s">
        <v>97</v>
      </c>
      <c r="K4262">
        <v>0</v>
      </c>
      <c r="L4262">
        <v>0</v>
      </c>
      <c r="M4262" t="s">
        <v>11</v>
      </c>
    </row>
    <row r="4263" spans="1:13">
      <c r="A4263" s="93">
        <v>490063</v>
      </c>
      <c r="B4263" t="s">
        <v>4763</v>
      </c>
      <c r="C4263" t="s">
        <v>4924</v>
      </c>
      <c r="D4263" s="92">
        <v>0.5</v>
      </c>
      <c r="E4263" s="92" t="s">
        <v>446</v>
      </c>
      <c r="F4263" t="s">
        <v>446</v>
      </c>
      <c r="G4263" t="s">
        <v>446</v>
      </c>
      <c r="H4263" t="s">
        <v>4931</v>
      </c>
      <c r="I4263">
        <v>0</v>
      </c>
      <c r="J4263" t="s">
        <v>97</v>
      </c>
      <c r="K4263">
        <v>0</v>
      </c>
      <c r="L4263">
        <v>0</v>
      </c>
      <c r="M4263" t="s">
        <v>11</v>
      </c>
    </row>
    <row r="4264" spans="1:13">
      <c r="A4264" s="93">
        <v>490081</v>
      </c>
      <c r="B4264" t="s">
        <v>4764</v>
      </c>
      <c r="C4264" t="s">
        <v>4923</v>
      </c>
      <c r="D4264" s="92">
        <v>0.6</v>
      </c>
      <c r="E4264" s="92" t="s">
        <v>446</v>
      </c>
      <c r="F4264" t="s">
        <v>446</v>
      </c>
      <c r="G4264" t="s">
        <v>446</v>
      </c>
      <c r="H4264" t="s">
        <v>4930</v>
      </c>
      <c r="I4264">
        <v>0</v>
      </c>
      <c r="J4264" t="s">
        <v>97</v>
      </c>
      <c r="K4264">
        <v>0</v>
      </c>
      <c r="L4264">
        <v>0</v>
      </c>
      <c r="M4264" t="s">
        <v>11</v>
      </c>
    </row>
    <row r="4265" spans="1:13">
      <c r="A4265" s="93">
        <v>490090</v>
      </c>
      <c r="B4265" t="s">
        <v>4765</v>
      </c>
      <c r="C4265" t="s">
        <v>4919</v>
      </c>
      <c r="D4265" s="92" t="s">
        <v>446</v>
      </c>
      <c r="E4265" s="92" t="s">
        <v>446</v>
      </c>
      <c r="F4265" t="s">
        <v>446</v>
      </c>
      <c r="G4265" t="s">
        <v>446</v>
      </c>
      <c r="H4265" t="s">
        <v>4932</v>
      </c>
      <c r="I4265">
        <v>0</v>
      </c>
      <c r="J4265" t="s">
        <v>97</v>
      </c>
      <c r="K4265">
        <v>0</v>
      </c>
      <c r="L4265">
        <v>0</v>
      </c>
      <c r="M4265" t="s">
        <v>11</v>
      </c>
    </row>
    <row r="4266" spans="1:13">
      <c r="A4266" s="93">
        <v>490106</v>
      </c>
      <c r="B4266" t="s">
        <v>4766</v>
      </c>
      <c r="C4266" t="s">
        <v>4924</v>
      </c>
      <c r="D4266" s="92" t="s">
        <v>446</v>
      </c>
      <c r="E4266" s="92" t="s">
        <v>446</v>
      </c>
      <c r="F4266" t="s">
        <v>446</v>
      </c>
      <c r="G4266" t="s">
        <v>446</v>
      </c>
      <c r="H4266" t="s">
        <v>4932</v>
      </c>
      <c r="I4266">
        <v>0</v>
      </c>
      <c r="J4266" t="s">
        <v>97</v>
      </c>
      <c r="K4266">
        <v>0</v>
      </c>
      <c r="L4266">
        <v>0</v>
      </c>
      <c r="M4266" t="s">
        <v>11</v>
      </c>
    </row>
    <row r="4267" spans="1:13">
      <c r="A4267" s="93">
        <v>490124</v>
      </c>
      <c r="B4267" t="s">
        <v>4767</v>
      </c>
      <c r="C4267" t="s">
        <v>4923</v>
      </c>
      <c r="D4267" s="92" t="s">
        <v>446</v>
      </c>
      <c r="E4267" s="92" t="s">
        <v>446</v>
      </c>
      <c r="F4267" t="s">
        <v>446</v>
      </c>
      <c r="G4267" t="s">
        <v>446</v>
      </c>
      <c r="H4267" t="s">
        <v>4932</v>
      </c>
      <c r="I4267">
        <v>0</v>
      </c>
      <c r="J4267" t="s">
        <v>97</v>
      </c>
      <c r="K4267">
        <v>0</v>
      </c>
      <c r="L4267">
        <v>0</v>
      </c>
      <c r="M4267" t="s">
        <v>11</v>
      </c>
    </row>
    <row r="4268" spans="1:13">
      <c r="A4268" s="93">
        <v>490133</v>
      </c>
      <c r="B4268" t="s">
        <v>4768</v>
      </c>
      <c r="C4268" t="s">
        <v>4924</v>
      </c>
      <c r="D4268" s="92">
        <v>0.67</v>
      </c>
      <c r="E4268" s="92" t="s">
        <v>446</v>
      </c>
      <c r="F4268" t="s">
        <v>446</v>
      </c>
      <c r="G4268" t="s">
        <v>446</v>
      </c>
      <c r="H4268" t="s">
        <v>4930</v>
      </c>
      <c r="I4268">
        <v>0</v>
      </c>
      <c r="J4268" t="s">
        <v>97</v>
      </c>
      <c r="K4268">
        <v>0</v>
      </c>
      <c r="L4268">
        <v>0</v>
      </c>
      <c r="M4268" t="s">
        <v>11</v>
      </c>
    </row>
    <row r="4269" spans="1:13">
      <c r="A4269" s="93">
        <v>490160</v>
      </c>
      <c r="B4269" t="s">
        <v>4769</v>
      </c>
      <c r="C4269" t="s">
        <v>4919</v>
      </c>
      <c r="D4269" s="92" t="s">
        <v>446</v>
      </c>
      <c r="E4269" s="92" t="s">
        <v>446</v>
      </c>
      <c r="F4269" t="s">
        <v>446</v>
      </c>
      <c r="G4269" t="s">
        <v>446</v>
      </c>
      <c r="H4269" t="s">
        <v>4932</v>
      </c>
      <c r="I4269">
        <v>0</v>
      </c>
      <c r="J4269" t="s">
        <v>97</v>
      </c>
      <c r="K4269">
        <v>0</v>
      </c>
      <c r="L4269">
        <v>0</v>
      </c>
      <c r="M4269" t="s">
        <v>11</v>
      </c>
    </row>
    <row r="4270" spans="1:13">
      <c r="A4270" s="93">
        <v>490197</v>
      </c>
      <c r="B4270" t="s">
        <v>4770</v>
      </c>
      <c r="C4270" t="s">
        <v>4926</v>
      </c>
      <c r="D4270" s="92" t="s">
        <v>446</v>
      </c>
      <c r="E4270" s="92" t="s">
        <v>446</v>
      </c>
      <c r="F4270" t="s">
        <v>446</v>
      </c>
      <c r="G4270" t="s">
        <v>446</v>
      </c>
      <c r="H4270" t="s">
        <v>4930</v>
      </c>
      <c r="I4270">
        <v>0</v>
      </c>
      <c r="J4270" t="s">
        <v>97</v>
      </c>
      <c r="K4270">
        <v>0</v>
      </c>
      <c r="L4270">
        <v>0</v>
      </c>
      <c r="M4270" t="s">
        <v>11</v>
      </c>
    </row>
    <row r="4271" spans="1:13">
      <c r="A4271" s="93">
        <v>490203</v>
      </c>
      <c r="B4271" t="s">
        <v>4771</v>
      </c>
      <c r="C4271" t="s">
        <v>4925</v>
      </c>
      <c r="D4271" s="92" t="s">
        <v>446</v>
      </c>
      <c r="E4271" s="92" t="s">
        <v>446</v>
      </c>
      <c r="F4271" t="s">
        <v>446</v>
      </c>
      <c r="G4271" t="s">
        <v>446</v>
      </c>
      <c r="H4271" t="s">
        <v>4930</v>
      </c>
      <c r="I4271">
        <v>0</v>
      </c>
      <c r="J4271" t="s">
        <v>97</v>
      </c>
      <c r="K4271">
        <v>0</v>
      </c>
      <c r="L4271">
        <v>0</v>
      </c>
      <c r="M4271" t="s">
        <v>11</v>
      </c>
    </row>
    <row r="4272" spans="1:13">
      <c r="A4272" s="93">
        <v>490230</v>
      </c>
      <c r="B4272" t="s">
        <v>4772</v>
      </c>
      <c r="C4272" t="s">
        <v>4923</v>
      </c>
      <c r="D4272" s="92">
        <v>1</v>
      </c>
      <c r="E4272" s="92" t="s">
        <v>446</v>
      </c>
      <c r="F4272" t="s">
        <v>446</v>
      </c>
      <c r="G4272" t="s">
        <v>446</v>
      </c>
      <c r="H4272" t="s">
        <v>4932</v>
      </c>
      <c r="I4272">
        <v>0</v>
      </c>
      <c r="J4272" t="s">
        <v>97</v>
      </c>
      <c r="K4272">
        <v>0</v>
      </c>
      <c r="L4272">
        <v>0</v>
      </c>
      <c r="M4272" t="s">
        <v>11</v>
      </c>
    </row>
    <row r="4273" spans="1:13">
      <c r="A4273" s="93">
        <v>490276</v>
      </c>
      <c r="B4273" t="s">
        <v>4773</v>
      </c>
      <c r="C4273" t="s">
        <v>4923</v>
      </c>
      <c r="D4273" s="92">
        <v>0.2</v>
      </c>
      <c r="E4273" s="92" t="s">
        <v>446</v>
      </c>
      <c r="F4273" t="s">
        <v>446</v>
      </c>
      <c r="G4273" t="s">
        <v>446</v>
      </c>
      <c r="H4273" t="s">
        <v>4931</v>
      </c>
      <c r="I4273">
        <v>0</v>
      </c>
      <c r="J4273" t="s">
        <v>97</v>
      </c>
      <c r="K4273">
        <v>0</v>
      </c>
      <c r="L4273">
        <v>0</v>
      </c>
      <c r="M4273" t="s">
        <v>11</v>
      </c>
    </row>
    <row r="4274" spans="1:13">
      <c r="A4274" s="93">
        <v>490285</v>
      </c>
      <c r="B4274" t="s">
        <v>4774</v>
      </c>
      <c r="C4274" t="s">
        <v>4919</v>
      </c>
      <c r="D4274" s="92" t="s">
        <v>446</v>
      </c>
      <c r="E4274" s="92" t="s">
        <v>446</v>
      </c>
      <c r="F4274" t="s">
        <v>446</v>
      </c>
      <c r="G4274" t="s">
        <v>446</v>
      </c>
      <c r="H4274" t="s">
        <v>4930</v>
      </c>
      <c r="I4274">
        <v>0</v>
      </c>
      <c r="J4274" t="s">
        <v>97</v>
      </c>
      <c r="K4274">
        <v>0</v>
      </c>
      <c r="L4274">
        <v>0</v>
      </c>
      <c r="M4274" t="s">
        <v>11</v>
      </c>
    </row>
    <row r="4275" spans="1:13">
      <c r="A4275" s="93">
        <v>490319</v>
      </c>
      <c r="B4275" t="s">
        <v>4775</v>
      </c>
      <c r="C4275" t="s">
        <v>4924</v>
      </c>
      <c r="D4275" s="92">
        <v>0.06</v>
      </c>
      <c r="E4275" s="92" t="s">
        <v>446</v>
      </c>
      <c r="F4275" t="s">
        <v>446</v>
      </c>
      <c r="G4275" t="s">
        <v>446</v>
      </c>
      <c r="H4275" t="s">
        <v>4931</v>
      </c>
      <c r="I4275">
        <v>0</v>
      </c>
      <c r="J4275" t="s">
        <v>97</v>
      </c>
      <c r="K4275">
        <v>0</v>
      </c>
      <c r="L4275">
        <v>0</v>
      </c>
      <c r="M4275" t="s">
        <v>11</v>
      </c>
    </row>
    <row r="4276" spans="1:13">
      <c r="A4276" s="93">
        <v>490328</v>
      </c>
      <c r="B4276" t="s">
        <v>4776</v>
      </c>
      <c r="C4276" t="s">
        <v>4924</v>
      </c>
      <c r="D4276" s="92" t="s">
        <v>446</v>
      </c>
      <c r="E4276" s="92" t="s">
        <v>446</v>
      </c>
      <c r="F4276" t="s">
        <v>446</v>
      </c>
      <c r="G4276" t="s">
        <v>446</v>
      </c>
      <c r="H4276" t="s">
        <v>4932</v>
      </c>
      <c r="I4276">
        <v>0</v>
      </c>
      <c r="J4276" t="s">
        <v>97</v>
      </c>
      <c r="K4276">
        <v>0</v>
      </c>
      <c r="L4276">
        <v>0</v>
      </c>
      <c r="M4276" t="s">
        <v>11</v>
      </c>
    </row>
    <row r="4277" spans="1:13">
      <c r="A4277" s="93">
        <v>490346</v>
      </c>
      <c r="B4277" t="s">
        <v>4777</v>
      </c>
      <c r="C4277" t="s">
        <v>4919</v>
      </c>
      <c r="D4277" s="92" t="s">
        <v>446</v>
      </c>
      <c r="E4277" s="92" t="s">
        <v>446</v>
      </c>
      <c r="F4277" t="s">
        <v>446</v>
      </c>
      <c r="G4277" t="s">
        <v>446</v>
      </c>
      <c r="H4277" t="s">
        <v>4931</v>
      </c>
      <c r="I4277">
        <v>0</v>
      </c>
      <c r="J4277" t="s">
        <v>97</v>
      </c>
      <c r="K4277">
        <v>0</v>
      </c>
      <c r="L4277">
        <v>0</v>
      </c>
      <c r="M4277" t="s">
        <v>11</v>
      </c>
    </row>
    <row r="4278" spans="1:13">
      <c r="A4278" s="93">
        <v>490373</v>
      </c>
      <c r="B4278" t="s">
        <v>4778</v>
      </c>
      <c r="C4278" t="s">
        <v>4924</v>
      </c>
      <c r="D4278" s="92" t="s">
        <v>446</v>
      </c>
      <c r="E4278" s="92" t="s">
        <v>446</v>
      </c>
      <c r="F4278" t="s">
        <v>446</v>
      </c>
      <c r="G4278" t="s">
        <v>446</v>
      </c>
      <c r="H4278" t="s">
        <v>4932</v>
      </c>
      <c r="I4278">
        <v>0</v>
      </c>
      <c r="J4278" t="s">
        <v>97</v>
      </c>
      <c r="K4278">
        <v>0</v>
      </c>
      <c r="L4278">
        <v>0</v>
      </c>
      <c r="M4278" t="s">
        <v>11</v>
      </c>
    </row>
    <row r="4279" spans="1:13">
      <c r="A4279" s="93">
        <v>490489</v>
      </c>
      <c r="B4279" t="s">
        <v>4779</v>
      </c>
      <c r="C4279" t="s">
        <v>4919</v>
      </c>
      <c r="D4279" s="92" t="s">
        <v>446</v>
      </c>
      <c r="E4279" s="92" t="s">
        <v>446</v>
      </c>
      <c r="F4279" t="s">
        <v>446</v>
      </c>
      <c r="G4279" t="s">
        <v>446</v>
      </c>
      <c r="H4279" t="s">
        <v>4931</v>
      </c>
      <c r="I4279">
        <v>0</v>
      </c>
      <c r="J4279" t="s">
        <v>97</v>
      </c>
      <c r="K4279">
        <v>0</v>
      </c>
      <c r="L4279">
        <v>0</v>
      </c>
      <c r="M4279" t="s">
        <v>11</v>
      </c>
    </row>
    <row r="4280" spans="1:13">
      <c r="A4280" s="93">
        <v>490498</v>
      </c>
      <c r="B4280" t="s">
        <v>4780</v>
      </c>
      <c r="C4280" t="s">
        <v>4925</v>
      </c>
      <c r="D4280" s="92" t="s">
        <v>446</v>
      </c>
      <c r="E4280" s="92" t="s">
        <v>446</v>
      </c>
      <c r="F4280" t="s">
        <v>446</v>
      </c>
      <c r="G4280" t="s">
        <v>446</v>
      </c>
      <c r="H4280" t="s">
        <v>4930</v>
      </c>
      <c r="I4280">
        <v>0</v>
      </c>
      <c r="J4280" t="s">
        <v>97</v>
      </c>
      <c r="K4280">
        <v>0</v>
      </c>
      <c r="L4280">
        <v>0</v>
      </c>
      <c r="M4280" t="s">
        <v>11</v>
      </c>
    </row>
    <row r="4281" spans="1:13">
      <c r="A4281" s="93">
        <v>490504</v>
      </c>
      <c r="B4281" t="s">
        <v>4781</v>
      </c>
      <c r="C4281" t="s">
        <v>4924</v>
      </c>
      <c r="D4281" s="92" t="s">
        <v>446</v>
      </c>
      <c r="E4281" s="92" t="s">
        <v>446</v>
      </c>
      <c r="F4281" t="s">
        <v>446</v>
      </c>
      <c r="G4281" t="s">
        <v>446</v>
      </c>
      <c r="H4281" t="s">
        <v>4931</v>
      </c>
      <c r="I4281">
        <v>0</v>
      </c>
      <c r="J4281" t="s">
        <v>97</v>
      </c>
      <c r="K4281">
        <v>0</v>
      </c>
      <c r="L4281">
        <v>0</v>
      </c>
      <c r="M4281" t="s">
        <v>11</v>
      </c>
    </row>
    <row r="4282" spans="1:13">
      <c r="A4282" s="93">
        <v>490513</v>
      </c>
      <c r="B4282" t="s">
        <v>4782</v>
      </c>
      <c r="C4282" t="s">
        <v>4924</v>
      </c>
      <c r="D4282" s="92">
        <v>0.25</v>
      </c>
      <c r="E4282" s="92" t="s">
        <v>446</v>
      </c>
      <c r="F4282" t="s">
        <v>446</v>
      </c>
      <c r="G4282" t="s">
        <v>446</v>
      </c>
      <c r="H4282" t="s">
        <v>4929</v>
      </c>
      <c r="I4282">
        <v>1</v>
      </c>
      <c r="J4282" t="s">
        <v>97</v>
      </c>
      <c r="K4282">
        <v>0</v>
      </c>
      <c r="L4282">
        <v>0</v>
      </c>
      <c r="M4282" t="s">
        <v>11</v>
      </c>
    </row>
    <row r="4283" spans="1:13">
      <c r="A4283" s="93">
        <v>490559</v>
      </c>
      <c r="B4283" t="s">
        <v>4783</v>
      </c>
      <c r="C4283" t="s">
        <v>4919</v>
      </c>
      <c r="D4283" s="92" t="s">
        <v>446</v>
      </c>
      <c r="E4283" s="92" t="s">
        <v>446</v>
      </c>
      <c r="F4283" t="s">
        <v>446</v>
      </c>
      <c r="G4283" t="s">
        <v>446</v>
      </c>
      <c r="H4283" t="s">
        <v>4930</v>
      </c>
      <c r="I4283">
        <v>0</v>
      </c>
      <c r="J4283" t="s">
        <v>97</v>
      </c>
      <c r="K4283">
        <v>0</v>
      </c>
      <c r="L4283">
        <v>0</v>
      </c>
      <c r="M4283" t="s">
        <v>11</v>
      </c>
    </row>
    <row r="4284" spans="1:13">
      <c r="A4284" s="93">
        <v>490568</v>
      </c>
      <c r="B4284" t="s">
        <v>4784</v>
      </c>
      <c r="C4284" t="s">
        <v>4919</v>
      </c>
      <c r="D4284" s="92" t="s">
        <v>446</v>
      </c>
      <c r="E4284" s="92" t="s">
        <v>446</v>
      </c>
      <c r="F4284" t="s">
        <v>446</v>
      </c>
      <c r="G4284" t="s">
        <v>446</v>
      </c>
      <c r="H4284" t="s">
        <v>4932</v>
      </c>
      <c r="I4284">
        <v>0</v>
      </c>
      <c r="J4284" t="s">
        <v>97</v>
      </c>
      <c r="K4284">
        <v>0</v>
      </c>
      <c r="L4284">
        <v>0</v>
      </c>
      <c r="M4284" t="s">
        <v>11</v>
      </c>
    </row>
    <row r="4285" spans="1:13">
      <c r="A4285" s="93">
        <v>490601</v>
      </c>
      <c r="B4285" t="s">
        <v>2344</v>
      </c>
      <c r="C4285" t="s">
        <v>4924</v>
      </c>
      <c r="D4285" s="92" t="s">
        <v>446</v>
      </c>
      <c r="E4285" s="92" t="s">
        <v>446</v>
      </c>
      <c r="F4285" t="s">
        <v>446</v>
      </c>
      <c r="G4285" t="s">
        <v>446</v>
      </c>
      <c r="H4285" t="s">
        <v>4932</v>
      </c>
      <c r="I4285">
        <v>0</v>
      </c>
      <c r="J4285" t="s">
        <v>97</v>
      </c>
      <c r="K4285">
        <v>0</v>
      </c>
      <c r="L4285">
        <v>0</v>
      </c>
      <c r="M4285" t="s">
        <v>11</v>
      </c>
    </row>
    <row r="4286" spans="1:13">
      <c r="A4286" s="93">
        <v>490692</v>
      </c>
      <c r="B4286" t="s">
        <v>4785</v>
      </c>
      <c r="C4286" t="s">
        <v>4919</v>
      </c>
      <c r="D4286" s="92" t="s">
        <v>446</v>
      </c>
      <c r="E4286" s="92" t="s">
        <v>446</v>
      </c>
      <c r="F4286" t="s">
        <v>446</v>
      </c>
      <c r="G4286" t="s">
        <v>446</v>
      </c>
      <c r="H4286" t="s">
        <v>4932</v>
      </c>
      <c r="I4286">
        <v>0</v>
      </c>
      <c r="J4286" t="s">
        <v>97</v>
      </c>
      <c r="K4286">
        <v>0</v>
      </c>
      <c r="L4286">
        <v>0</v>
      </c>
      <c r="M4286" t="s">
        <v>11</v>
      </c>
    </row>
    <row r="4287" spans="1:13">
      <c r="A4287" s="93">
        <v>490753</v>
      </c>
      <c r="B4287" t="s">
        <v>4786</v>
      </c>
      <c r="C4287" t="s">
        <v>4924</v>
      </c>
      <c r="D4287" s="92" t="s">
        <v>446</v>
      </c>
      <c r="E4287" s="92" t="s">
        <v>446</v>
      </c>
      <c r="F4287" t="s">
        <v>446</v>
      </c>
      <c r="G4287" t="s">
        <v>446</v>
      </c>
      <c r="H4287" t="s">
        <v>4932</v>
      </c>
      <c r="I4287">
        <v>0</v>
      </c>
      <c r="J4287" t="s">
        <v>97</v>
      </c>
      <c r="K4287">
        <v>0</v>
      </c>
      <c r="L4287">
        <v>0</v>
      </c>
      <c r="M4287" t="s">
        <v>11</v>
      </c>
    </row>
    <row r="4288" spans="1:13">
      <c r="A4288" s="93">
        <v>490832</v>
      </c>
      <c r="B4288" t="s">
        <v>4787</v>
      </c>
      <c r="C4288" t="s">
        <v>4919</v>
      </c>
      <c r="D4288" s="92" t="s">
        <v>446</v>
      </c>
      <c r="E4288" s="92" t="s">
        <v>446</v>
      </c>
      <c r="F4288" t="s">
        <v>446</v>
      </c>
      <c r="G4288" t="s">
        <v>446</v>
      </c>
      <c r="H4288" t="s">
        <v>4930</v>
      </c>
      <c r="I4288">
        <v>0</v>
      </c>
      <c r="J4288" t="s">
        <v>97</v>
      </c>
      <c r="K4288">
        <v>0</v>
      </c>
      <c r="L4288">
        <v>0</v>
      </c>
      <c r="M4288" t="s">
        <v>11</v>
      </c>
    </row>
    <row r="4289" spans="1:13">
      <c r="A4289" s="93">
        <v>490841</v>
      </c>
      <c r="B4289" t="s">
        <v>4788</v>
      </c>
      <c r="C4289" t="s">
        <v>4919</v>
      </c>
      <c r="D4289" s="92" t="s">
        <v>446</v>
      </c>
      <c r="E4289" s="92" t="s">
        <v>446</v>
      </c>
      <c r="F4289" t="s">
        <v>446</v>
      </c>
      <c r="G4289" t="s">
        <v>446</v>
      </c>
      <c r="H4289" t="s">
        <v>4930</v>
      </c>
      <c r="I4289">
        <v>0</v>
      </c>
      <c r="J4289" t="s">
        <v>97</v>
      </c>
      <c r="K4289">
        <v>0</v>
      </c>
      <c r="L4289">
        <v>0</v>
      </c>
      <c r="M4289" t="s">
        <v>11</v>
      </c>
    </row>
    <row r="4290" spans="1:13">
      <c r="A4290" s="93">
        <v>490878</v>
      </c>
      <c r="B4290" t="s">
        <v>4789</v>
      </c>
      <c r="C4290" t="s">
        <v>4923</v>
      </c>
      <c r="D4290" s="92" t="s">
        <v>446</v>
      </c>
      <c r="E4290" s="92" t="s">
        <v>446</v>
      </c>
      <c r="F4290" t="s">
        <v>446</v>
      </c>
      <c r="G4290" t="s">
        <v>446</v>
      </c>
      <c r="H4290" t="s">
        <v>4930</v>
      </c>
      <c r="I4290">
        <v>0</v>
      </c>
      <c r="J4290" t="s">
        <v>97</v>
      </c>
      <c r="K4290">
        <v>0</v>
      </c>
      <c r="L4290">
        <v>0</v>
      </c>
      <c r="M4290" t="s">
        <v>11</v>
      </c>
    </row>
    <row r="4291" spans="1:13">
      <c r="A4291" s="93">
        <v>490975</v>
      </c>
      <c r="B4291" t="s">
        <v>4790</v>
      </c>
      <c r="C4291" t="s">
        <v>4919</v>
      </c>
      <c r="D4291" s="92" t="s">
        <v>446</v>
      </c>
      <c r="E4291" s="92" t="s">
        <v>446</v>
      </c>
      <c r="F4291" t="s">
        <v>446</v>
      </c>
      <c r="G4291" t="s">
        <v>446</v>
      </c>
      <c r="H4291" t="s">
        <v>4930</v>
      </c>
      <c r="I4291">
        <v>0</v>
      </c>
      <c r="J4291" t="s">
        <v>97</v>
      </c>
      <c r="K4291">
        <v>0</v>
      </c>
      <c r="L4291">
        <v>0</v>
      </c>
      <c r="M4291" t="s">
        <v>11</v>
      </c>
    </row>
    <row r="4292" spans="1:13">
      <c r="A4292" s="93">
        <v>491057</v>
      </c>
      <c r="B4292" t="s">
        <v>4791</v>
      </c>
      <c r="C4292" t="s">
        <v>4924</v>
      </c>
      <c r="D4292" s="92">
        <v>0.25</v>
      </c>
      <c r="E4292" s="92" t="s">
        <v>446</v>
      </c>
      <c r="F4292" t="s">
        <v>446</v>
      </c>
      <c r="G4292" t="s">
        <v>446</v>
      </c>
      <c r="H4292" t="s">
        <v>4931</v>
      </c>
      <c r="I4292">
        <v>0</v>
      </c>
      <c r="J4292" t="s">
        <v>97</v>
      </c>
      <c r="K4292">
        <v>0</v>
      </c>
      <c r="L4292">
        <v>0</v>
      </c>
      <c r="M4292" t="s">
        <v>11</v>
      </c>
    </row>
    <row r="4293" spans="1:13">
      <c r="A4293" s="93">
        <v>491181</v>
      </c>
      <c r="B4293" t="s">
        <v>4792</v>
      </c>
      <c r="C4293" t="s">
        <v>4919</v>
      </c>
      <c r="D4293" s="92" t="s">
        <v>446</v>
      </c>
      <c r="E4293" s="92" t="s">
        <v>446</v>
      </c>
      <c r="F4293" t="s">
        <v>446</v>
      </c>
      <c r="G4293" t="s">
        <v>446</v>
      </c>
      <c r="H4293" t="s">
        <v>4930</v>
      </c>
      <c r="I4293">
        <v>0</v>
      </c>
      <c r="J4293" t="s">
        <v>97</v>
      </c>
      <c r="K4293">
        <v>0</v>
      </c>
      <c r="L4293">
        <v>0</v>
      </c>
      <c r="M4293" t="s">
        <v>11</v>
      </c>
    </row>
    <row r="4294" spans="1:13">
      <c r="A4294" s="93">
        <v>491190</v>
      </c>
      <c r="B4294" t="s">
        <v>4793</v>
      </c>
      <c r="C4294" t="s">
        <v>4924</v>
      </c>
      <c r="D4294" s="92" t="s">
        <v>446</v>
      </c>
      <c r="E4294" s="92" t="s">
        <v>446</v>
      </c>
      <c r="F4294" t="s">
        <v>446</v>
      </c>
      <c r="G4294" t="s">
        <v>446</v>
      </c>
      <c r="H4294" t="s">
        <v>4932</v>
      </c>
      <c r="I4294">
        <v>0</v>
      </c>
      <c r="J4294" t="s">
        <v>97</v>
      </c>
      <c r="K4294">
        <v>0</v>
      </c>
      <c r="L4294">
        <v>0</v>
      </c>
      <c r="M4294" t="s">
        <v>11</v>
      </c>
    </row>
    <row r="4295" spans="1:13">
      <c r="A4295" s="93">
        <v>491288</v>
      </c>
      <c r="B4295" t="s">
        <v>4794</v>
      </c>
      <c r="C4295" t="s">
        <v>4924</v>
      </c>
      <c r="D4295" s="92" t="s">
        <v>446</v>
      </c>
      <c r="E4295" s="92" t="s">
        <v>446</v>
      </c>
      <c r="F4295" t="s">
        <v>446</v>
      </c>
      <c r="G4295" t="s">
        <v>446</v>
      </c>
      <c r="H4295" t="s">
        <v>4932</v>
      </c>
      <c r="I4295">
        <v>0</v>
      </c>
      <c r="J4295" t="s">
        <v>97</v>
      </c>
      <c r="K4295">
        <v>0</v>
      </c>
      <c r="L4295">
        <v>0</v>
      </c>
      <c r="M4295" t="s">
        <v>11</v>
      </c>
    </row>
    <row r="4296" spans="1:13">
      <c r="A4296" s="93">
        <v>491297</v>
      </c>
      <c r="B4296" t="s">
        <v>4795</v>
      </c>
      <c r="C4296" t="s">
        <v>4924</v>
      </c>
      <c r="D4296" s="92" t="s">
        <v>446</v>
      </c>
      <c r="E4296" s="92" t="s">
        <v>446</v>
      </c>
      <c r="F4296" t="s">
        <v>446</v>
      </c>
      <c r="G4296" t="s">
        <v>446</v>
      </c>
      <c r="H4296" t="s">
        <v>4932</v>
      </c>
      <c r="I4296">
        <v>0</v>
      </c>
      <c r="J4296" t="s">
        <v>97</v>
      </c>
      <c r="K4296">
        <v>0</v>
      </c>
      <c r="L4296">
        <v>0</v>
      </c>
      <c r="M4296" t="s">
        <v>11</v>
      </c>
    </row>
    <row r="4297" spans="1:13">
      <c r="A4297" s="93">
        <v>491446</v>
      </c>
      <c r="B4297" t="s">
        <v>4796</v>
      </c>
      <c r="C4297" t="s">
        <v>4919</v>
      </c>
      <c r="D4297" s="92" t="s">
        <v>446</v>
      </c>
      <c r="E4297" s="92" t="s">
        <v>446</v>
      </c>
      <c r="F4297" t="s">
        <v>446</v>
      </c>
      <c r="G4297" t="s">
        <v>446</v>
      </c>
      <c r="H4297" t="s">
        <v>4931</v>
      </c>
      <c r="I4297">
        <v>0</v>
      </c>
      <c r="J4297" t="s">
        <v>97</v>
      </c>
      <c r="K4297">
        <v>0</v>
      </c>
      <c r="L4297">
        <v>0</v>
      </c>
      <c r="M4297" t="s">
        <v>11</v>
      </c>
    </row>
    <row r="4298" spans="1:13">
      <c r="A4298" s="93">
        <v>491525</v>
      </c>
      <c r="B4298" t="s">
        <v>4797</v>
      </c>
      <c r="C4298" t="s">
        <v>4924</v>
      </c>
      <c r="D4298" s="92">
        <v>0.54</v>
      </c>
      <c r="E4298" s="92">
        <v>0</v>
      </c>
      <c r="F4298" t="s">
        <v>446</v>
      </c>
      <c r="G4298" t="s">
        <v>446</v>
      </c>
      <c r="H4298" t="s">
        <v>4931</v>
      </c>
      <c r="I4298">
        <v>0</v>
      </c>
      <c r="J4298" t="s">
        <v>97</v>
      </c>
      <c r="K4298">
        <v>0</v>
      </c>
      <c r="L4298">
        <v>0</v>
      </c>
      <c r="M4298" t="s">
        <v>11</v>
      </c>
    </row>
    <row r="4299" spans="1:13">
      <c r="A4299" s="93">
        <v>491613</v>
      </c>
      <c r="B4299" t="s">
        <v>4798</v>
      </c>
      <c r="C4299" t="s">
        <v>4924</v>
      </c>
      <c r="D4299" s="92">
        <v>0.05</v>
      </c>
      <c r="E4299" s="92" t="s">
        <v>446</v>
      </c>
      <c r="F4299" t="s">
        <v>446</v>
      </c>
      <c r="G4299" t="s">
        <v>446</v>
      </c>
      <c r="H4299" t="s">
        <v>4931</v>
      </c>
      <c r="I4299">
        <v>0</v>
      </c>
      <c r="J4299" t="s">
        <v>97</v>
      </c>
      <c r="K4299">
        <v>0</v>
      </c>
      <c r="L4299">
        <v>0</v>
      </c>
      <c r="M4299" t="s">
        <v>11</v>
      </c>
    </row>
    <row r="4300" spans="1:13">
      <c r="A4300" s="93">
        <v>491622</v>
      </c>
      <c r="B4300" t="s">
        <v>4799</v>
      </c>
      <c r="C4300" t="s">
        <v>4924</v>
      </c>
      <c r="D4300" s="92">
        <v>0.38</v>
      </c>
      <c r="E4300" s="92" t="s">
        <v>446</v>
      </c>
      <c r="F4300" t="s">
        <v>446</v>
      </c>
      <c r="G4300" t="s">
        <v>446</v>
      </c>
      <c r="H4300" t="s">
        <v>4931</v>
      </c>
      <c r="I4300">
        <v>0</v>
      </c>
      <c r="J4300" t="s">
        <v>97</v>
      </c>
      <c r="K4300">
        <v>0</v>
      </c>
      <c r="L4300">
        <v>0</v>
      </c>
      <c r="M4300" t="s">
        <v>11</v>
      </c>
    </row>
    <row r="4301" spans="1:13">
      <c r="A4301" s="93">
        <v>491631</v>
      </c>
      <c r="B4301" t="s">
        <v>4800</v>
      </c>
      <c r="C4301" t="s">
        <v>4924</v>
      </c>
      <c r="D4301" s="92">
        <v>0.5</v>
      </c>
      <c r="E4301" s="92" t="s">
        <v>446</v>
      </c>
      <c r="F4301" t="s">
        <v>446</v>
      </c>
      <c r="G4301" t="s">
        <v>446</v>
      </c>
      <c r="H4301" t="s">
        <v>4931</v>
      </c>
      <c r="I4301">
        <v>0</v>
      </c>
      <c r="J4301" t="s">
        <v>97</v>
      </c>
      <c r="K4301">
        <v>0</v>
      </c>
      <c r="L4301">
        <v>0</v>
      </c>
      <c r="M4301" t="s">
        <v>11</v>
      </c>
    </row>
    <row r="4302" spans="1:13">
      <c r="A4302" s="93">
        <v>491640</v>
      </c>
      <c r="B4302" t="s">
        <v>4801</v>
      </c>
      <c r="C4302" t="s">
        <v>4924</v>
      </c>
      <c r="D4302" s="92">
        <v>0.04</v>
      </c>
      <c r="E4302" s="92" t="s">
        <v>446</v>
      </c>
      <c r="F4302" t="s">
        <v>446</v>
      </c>
      <c r="G4302" t="s">
        <v>446</v>
      </c>
      <c r="H4302" t="s">
        <v>4931</v>
      </c>
      <c r="I4302">
        <v>0</v>
      </c>
      <c r="J4302" t="s">
        <v>97</v>
      </c>
      <c r="K4302">
        <v>0</v>
      </c>
      <c r="L4302">
        <v>0</v>
      </c>
      <c r="M4302" t="s">
        <v>11</v>
      </c>
    </row>
    <row r="4303" spans="1:13">
      <c r="A4303" s="93">
        <v>491710</v>
      </c>
      <c r="B4303" t="s">
        <v>4802</v>
      </c>
      <c r="C4303" t="s">
        <v>4924</v>
      </c>
      <c r="D4303" s="92">
        <v>0.42</v>
      </c>
      <c r="E4303" s="92" t="s">
        <v>446</v>
      </c>
      <c r="F4303" t="s">
        <v>446</v>
      </c>
      <c r="G4303" t="s">
        <v>446</v>
      </c>
      <c r="H4303" t="s">
        <v>4932</v>
      </c>
      <c r="I4303">
        <v>0</v>
      </c>
      <c r="J4303" t="s">
        <v>97</v>
      </c>
      <c r="K4303">
        <v>0</v>
      </c>
      <c r="L4303">
        <v>0</v>
      </c>
      <c r="M4303" t="s">
        <v>11</v>
      </c>
    </row>
    <row r="4304" spans="1:13">
      <c r="A4304" s="93">
        <v>491738</v>
      </c>
      <c r="B4304" t="s">
        <v>4803</v>
      </c>
      <c r="C4304" t="s">
        <v>4919</v>
      </c>
      <c r="D4304" s="92" t="s">
        <v>446</v>
      </c>
      <c r="E4304" s="92" t="s">
        <v>446</v>
      </c>
      <c r="F4304" t="s">
        <v>446</v>
      </c>
      <c r="G4304" t="s">
        <v>446</v>
      </c>
      <c r="H4304" t="s">
        <v>4931</v>
      </c>
      <c r="I4304">
        <v>0</v>
      </c>
      <c r="J4304" t="s">
        <v>97</v>
      </c>
      <c r="K4304">
        <v>0</v>
      </c>
      <c r="L4304">
        <v>0</v>
      </c>
      <c r="M4304" t="s">
        <v>11</v>
      </c>
    </row>
    <row r="4305" spans="1:13">
      <c r="A4305" s="93">
        <v>491765</v>
      </c>
      <c r="B4305" t="s">
        <v>4804</v>
      </c>
      <c r="C4305" t="s">
        <v>4924</v>
      </c>
      <c r="D4305" s="92">
        <v>0.04</v>
      </c>
      <c r="E4305" s="92" t="s">
        <v>446</v>
      </c>
      <c r="F4305" t="s">
        <v>446</v>
      </c>
      <c r="G4305" t="s">
        <v>446</v>
      </c>
      <c r="H4305" t="s">
        <v>4932</v>
      </c>
      <c r="I4305">
        <v>0</v>
      </c>
      <c r="J4305" t="s">
        <v>97</v>
      </c>
      <c r="K4305">
        <v>0</v>
      </c>
      <c r="L4305">
        <v>0</v>
      </c>
      <c r="M4305" t="s">
        <v>11</v>
      </c>
    </row>
    <row r="4306" spans="1:13">
      <c r="A4306" s="93">
        <v>491808</v>
      </c>
      <c r="B4306" t="s">
        <v>4805</v>
      </c>
      <c r="C4306" t="s">
        <v>4924</v>
      </c>
      <c r="D4306" s="92" t="s">
        <v>446</v>
      </c>
      <c r="E4306" s="92" t="s">
        <v>446</v>
      </c>
      <c r="F4306" t="s">
        <v>446</v>
      </c>
      <c r="G4306" t="s">
        <v>446</v>
      </c>
      <c r="H4306" t="s">
        <v>4932</v>
      </c>
      <c r="I4306">
        <v>0</v>
      </c>
      <c r="J4306" t="s">
        <v>97</v>
      </c>
      <c r="K4306">
        <v>0</v>
      </c>
      <c r="L4306">
        <v>0</v>
      </c>
      <c r="M4306" t="s">
        <v>11</v>
      </c>
    </row>
    <row r="4307" spans="1:13">
      <c r="A4307" s="93">
        <v>491817</v>
      </c>
      <c r="B4307" t="s">
        <v>4806</v>
      </c>
      <c r="C4307" t="s">
        <v>4925</v>
      </c>
      <c r="D4307" s="92" t="s">
        <v>446</v>
      </c>
      <c r="E4307" s="92" t="s">
        <v>446</v>
      </c>
      <c r="F4307" t="s">
        <v>446</v>
      </c>
      <c r="G4307" t="s">
        <v>446</v>
      </c>
      <c r="H4307" t="s">
        <v>4930</v>
      </c>
      <c r="I4307">
        <v>0</v>
      </c>
      <c r="J4307" t="s">
        <v>97</v>
      </c>
      <c r="K4307">
        <v>0</v>
      </c>
      <c r="L4307">
        <v>0</v>
      </c>
      <c r="M4307" t="s">
        <v>11</v>
      </c>
    </row>
    <row r="4308" spans="1:13">
      <c r="A4308" s="93">
        <v>491844</v>
      </c>
      <c r="B4308" t="s">
        <v>4807</v>
      </c>
      <c r="C4308" t="s">
        <v>4919</v>
      </c>
      <c r="D4308" s="92" t="s">
        <v>446</v>
      </c>
      <c r="E4308" s="92" t="s">
        <v>446</v>
      </c>
      <c r="F4308" t="s">
        <v>446</v>
      </c>
      <c r="G4308" t="s">
        <v>446</v>
      </c>
      <c r="H4308" t="s">
        <v>4932</v>
      </c>
      <c r="I4308">
        <v>0</v>
      </c>
      <c r="J4308" t="s">
        <v>97</v>
      </c>
      <c r="K4308">
        <v>0</v>
      </c>
      <c r="L4308">
        <v>0</v>
      </c>
      <c r="M4308" t="s">
        <v>11</v>
      </c>
    </row>
    <row r="4309" spans="1:13">
      <c r="A4309" s="93">
        <v>491914</v>
      </c>
      <c r="B4309" t="s">
        <v>4808</v>
      </c>
      <c r="C4309" t="s">
        <v>4924</v>
      </c>
      <c r="D4309" s="92" t="s">
        <v>446</v>
      </c>
      <c r="E4309" s="92" t="s">
        <v>446</v>
      </c>
      <c r="F4309" t="s">
        <v>446</v>
      </c>
      <c r="G4309" t="s">
        <v>446</v>
      </c>
      <c r="H4309" t="s">
        <v>4931</v>
      </c>
      <c r="I4309">
        <v>0</v>
      </c>
      <c r="J4309" t="s">
        <v>97</v>
      </c>
      <c r="K4309">
        <v>0</v>
      </c>
      <c r="L4309">
        <v>0</v>
      </c>
      <c r="M4309" t="s">
        <v>11</v>
      </c>
    </row>
    <row r="4310" spans="1:13">
      <c r="A4310" s="93">
        <v>491941</v>
      </c>
      <c r="B4310" t="s">
        <v>4809</v>
      </c>
      <c r="C4310" t="s">
        <v>4919</v>
      </c>
      <c r="D4310" s="92" t="s">
        <v>446</v>
      </c>
      <c r="E4310" s="92" t="s">
        <v>446</v>
      </c>
      <c r="F4310" t="s">
        <v>446</v>
      </c>
      <c r="G4310" t="s">
        <v>446</v>
      </c>
      <c r="H4310" t="s">
        <v>4930</v>
      </c>
      <c r="I4310">
        <v>0</v>
      </c>
      <c r="J4310" t="s">
        <v>97</v>
      </c>
      <c r="K4310">
        <v>0</v>
      </c>
      <c r="L4310">
        <v>0</v>
      </c>
      <c r="M4310" t="s">
        <v>11</v>
      </c>
    </row>
    <row r="4311" spans="1:13">
      <c r="A4311" s="93">
        <v>491950</v>
      </c>
      <c r="B4311" t="s">
        <v>4810</v>
      </c>
      <c r="C4311" t="s">
        <v>4919</v>
      </c>
      <c r="D4311" s="92" t="s">
        <v>446</v>
      </c>
      <c r="E4311" s="92" t="s">
        <v>446</v>
      </c>
      <c r="F4311" t="s">
        <v>446</v>
      </c>
      <c r="G4311" t="s">
        <v>446</v>
      </c>
      <c r="H4311" t="s">
        <v>4932</v>
      </c>
      <c r="I4311">
        <v>0</v>
      </c>
      <c r="J4311" t="s">
        <v>97</v>
      </c>
      <c r="K4311">
        <v>0</v>
      </c>
      <c r="L4311">
        <v>0</v>
      </c>
      <c r="M4311" t="s">
        <v>11</v>
      </c>
    </row>
    <row r="4312" spans="1:13">
      <c r="A4312" s="93">
        <v>492069</v>
      </c>
      <c r="B4312" t="s">
        <v>4811</v>
      </c>
      <c r="C4312" t="s">
        <v>4923</v>
      </c>
      <c r="D4312" s="92" t="s">
        <v>446</v>
      </c>
      <c r="E4312" s="92" t="s">
        <v>446</v>
      </c>
      <c r="F4312" t="s">
        <v>446</v>
      </c>
      <c r="G4312" t="s">
        <v>446</v>
      </c>
      <c r="H4312" t="s">
        <v>4931</v>
      </c>
      <c r="I4312">
        <v>0</v>
      </c>
      <c r="J4312" t="s">
        <v>97</v>
      </c>
      <c r="K4312">
        <v>0</v>
      </c>
      <c r="L4312">
        <v>0</v>
      </c>
      <c r="M4312" t="s">
        <v>11</v>
      </c>
    </row>
    <row r="4313" spans="1:13">
      <c r="A4313" s="93">
        <v>492087</v>
      </c>
      <c r="B4313" t="s">
        <v>4812</v>
      </c>
      <c r="C4313" t="s">
        <v>4923</v>
      </c>
      <c r="D4313" s="92" t="s">
        <v>446</v>
      </c>
      <c r="E4313" s="92" t="s">
        <v>446</v>
      </c>
      <c r="F4313" t="s">
        <v>446</v>
      </c>
      <c r="G4313" t="s">
        <v>446</v>
      </c>
      <c r="H4313" t="s">
        <v>4932</v>
      </c>
      <c r="I4313">
        <v>0</v>
      </c>
      <c r="J4313" t="s">
        <v>97</v>
      </c>
      <c r="K4313">
        <v>0</v>
      </c>
      <c r="L4313">
        <v>0</v>
      </c>
      <c r="M4313" t="s">
        <v>11</v>
      </c>
    </row>
    <row r="4314" spans="1:13">
      <c r="A4314" s="93">
        <v>492209</v>
      </c>
      <c r="B4314" t="s">
        <v>4813</v>
      </c>
      <c r="C4314" t="s">
        <v>4924</v>
      </c>
      <c r="D4314" s="92" t="s">
        <v>446</v>
      </c>
      <c r="E4314" s="92" t="s">
        <v>446</v>
      </c>
      <c r="F4314" t="s">
        <v>446</v>
      </c>
      <c r="G4314" t="s">
        <v>446</v>
      </c>
      <c r="H4314" t="s">
        <v>4932</v>
      </c>
      <c r="I4314">
        <v>0</v>
      </c>
      <c r="J4314" t="s">
        <v>97</v>
      </c>
      <c r="K4314">
        <v>0</v>
      </c>
      <c r="L4314">
        <v>0</v>
      </c>
      <c r="M4314" t="s">
        <v>11</v>
      </c>
    </row>
    <row r="4315" spans="1:13">
      <c r="A4315" s="93">
        <v>492449</v>
      </c>
      <c r="B4315" t="s">
        <v>4814</v>
      </c>
      <c r="C4315" t="s">
        <v>4919</v>
      </c>
      <c r="D4315" s="92" t="s">
        <v>446</v>
      </c>
      <c r="E4315" s="92" t="s">
        <v>446</v>
      </c>
      <c r="F4315" t="s">
        <v>446</v>
      </c>
      <c r="G4315" t="s">
        <v>446</v>
      </c>
      <c r="H4315" t="s">
        <v>4930</v>
      </c>
      <c r="I4315">
        <v>0</v>
      </c>
      <c r="J4315" t="s">
        <v>97</v>
      </c>
      <c r="K4315">
        <v>0</v>
      </c>
      <c r="L4315">
        <v>0</v>
      </c>
      <c r="M4315" t="s">
        <v>11</v>
      </c>
    </row>
    <row r="4316" spans="1:13">
      <c r="A4316" s="93">
        <v>492476</v>
      </c>
      <c r="B4316" t="s">
        <v>4815</v>
      </c>
      <c r="C4316" t="s">
        <v>4924</v>
      </c>
      <c r="D4316" s="92" t="s">
        <v>446</v>
      </c>
      <c r="E4316" s="92" t="s">
        <v>446</v>
      </c>
      <c r="F4316" t="s">
        <v>446</v>
      </c>
      <c r="G4316" t="s">
        <v>446</v>
      </c>
      <c r="H4316" t="s">
        <v>4931</v>
      </c>
      <c r="I4316">
        <v>0</v>
      </c>
      <c r="J4316" t="s">
        <v>97</v>
      </c>
      <c r="K4316">
        <v>0</v>
      </c>
      <c r="L4316">
        <v>0</v>
      </c>
      <c r="M4316" t="s">
        <v>11</v>
      </c>
    </row>
    <row r="4317" spans="1:13">
      <c r="A4317" s="93">
        <v>492607</v>
      </c>
      <c r="B4317" t="s">
        <v>4816</v>
      </c>
      <c r="C4317" t="s">
        <v>4924</v>
      </c>
      <c r="D4317" s="92" t="s">
        <v>446</v>
      </c>
      <c r="E4317" s="92" t="s">
        <v>446</v>
      </c>
      <c r="F4317" t="s">
        <v>446</v>
      </c>
      <c r="G4317" t="s">
        <v>446</v>
      </c>
      <c r="H4317" t="s">
        <v>4932</v>
      </c>
      <c r="I4317">
        <v>0</v>
      </c>
      <c r="J4317" t="s">
        <v>97</v>
      </c>
      <c r="K4317">
        <v>0</v>
      </c>
      <c r="L4317">
        <v>0</v>
      </c>
      <c r="M4317" t="s">
        <v>11</v>
      </c>
    </row>
    <row r="4318" spans="1:13">
      <c r="A4318" s="93">
        <v>492689</v>
      </c>
      <c r="B4318" t="s">
        <v>4817</v>
      </c>
      <c r="C4318" t="s">
        <v>4924</v>
      </c>
      <c r="D4318" s="92" t="s">
        <v>446</v>
      </c>
      <c r="E4318" s="92" t="s">
        <v>446</v>
      </c>
      <c r="F4318" t="s">
        <v>446</v>
      </c>
      <c r="G4318" t="s">
        <v>446</v>
      </c>
      <c r="H4318" t="s">
        <v>4932</v>
      </c>
      <c r="I4318">
        <v>0</v>
      </c>
      <c r="J4318" t="s">
        <v>97</v>
      </c>
      <c r="K4318">
        <v>0</v>
      </c>
      <c r="L4318">
        <v>0</v>
      </c>
      <c r="M4318" t="s">
        <v>11</v>
      </c>
    </row>
    <row r="4319" spans="1:13">
      <c r="A4319" s="93">
        <v>492704</v>
      </c>
      <c r="B4319" t="s">
        <v>4818</v>
      </c>
      <c r="C4319" t="s">
        <v>4924</v>
      </c>
      <c r="D4319" s="92" t="s">
        <v>446</v>
      </c>
      <c r="E4319" s="92" t="s">
        <v>446</v>
      </c>
      <c r="F4319" t="s">
        <v>446</v>
      </c>
      <c r="G4319" t="s">
        <v>446</v>
      </c>
      <c r="H4319" t="s">
        <v>4932</v>
      </c>
      <c r="I4319">
        <v>0</v>
      </c>
      <c r="J4319" t="s">
        <v>97</v>
      </c>
      <c r="K4319">
        <v>0</v>
      </c>
      <c r="L4319">
        <v>0</v>
      </c>
      <c r="M4319" t="s">
        <v>11</v>
      </c>
    </row>
    <row r="4320" spans="1:13">
      <c r="A4320" s="93">
        <v>492722</v>
      </c>
      <c r="B4320" t="s">
        <v>4819</v>
      </c>
      <c r="C4320" t="s">
        <v>4919</v>
      </c>
      <c r="D4320" s="92" t="s">
        <v>446</v>
      </c>
      <c r="E4320" s="92" t="s">
        <v>446</v>
      </c>
      <c r="F4320" t="s">
        <v>446</v>
      </c>
      <c r="G4320" t="s">
        <v>446</v>
      </c>
      <c r="H4320" t="s">
        <v>4930</v>
      </c>
      <c r="I4320">
        <v>0</v>
      </c>
      <c r="J4320" t="s">
        <v>97</v>
      </c>
      <c r="K4320">
        <v>0</v>
      </c>
      <c r="L4320">
        <v>0</v>
      </c>
      <c r="M4320" t="s">
        <v>11</v>
      </c>
    </row>
    <row r="4321" spans="1:13">
      <c r="A4321" s="93">
        <v>492759</v>
      </c>
      <c r="B4321" t="s">
        <v>4820</v>
      </c>
      <c r="C4321" t="s">
        <v>4924</v>
      </c>
      <c r="D4321" s="92" t="s">
        <v>446</v>
      </c>
      <c r="E4321" s="92" t="s">
        <v>446</v>
      </c>
      <c r="F4321" t="s">
        <v>446</v>
      </c>
      <c r="G4321" t="s">
        <v>446</v>
      </c>
      <c r="H4321" t="s">
        <v>4930</v>
      </c>
      <c r="I4321">
        <v>0</v>
      </c>
      <c r="J4321" t="s">
        <v>97</v>
      </c>
      <c r="K4321">
        <v>0</v>
      </c>
      <c r="L4321">
        <v>0</v>
      </c>
      <c r="M4321" t="s">
        <v>11</v>
      </c>
    </row>
    <row r="4322" spans="1:13">
      <c r="A4322" s="93">
        <v>492801</v>
      </c>
      <c r="B4322" t="s">
        <v>4821</v>
      </c>
      <c r="C4322" t="s">
        <v>4923</v>
      </c>
      <c r="D4322" s="92">
        <v>0.19</v>
      </c>
      <c r="E4322" s="92">
        <v>0.33</v>
      </c>
      <c r="F4322" t="s">
        <v>446</v>
      </c>
      <c r="G4322" t="s">
        <v>446</v>
      </c>
      <c r="H4322" t="s">
        <v>4931</v>
      </c>
      <c r="I4322">
        <v>0</v>
      </c>
      <c r="J4322" t="s">
        <v>97</v>
      </c>
      <c r="K4322">
        <v>0</v>
      </c>
      <c r="L4322">
        <v>0</v>
      </c>
      <c r="M4322" t="s">
        <v>11</v>
      </c>
    </row>
    <row r="4323" spans="1:13">
      <c r="A4323" s="93">
        <v>492962</v>
      </c>
      <c r="B4323" t="s">
        <v>4822</v>
      </c>
      <c r="C4323" t="s">
        <v>4923</v>
      </c>
      <c r="D4323" s="92">
        <v>0.12</v>
      </c>
      <c r="E4323" s="92">
        <v>0.1</v>
      </c>
      <c r="F4323" t="s">
        <v>446</v>
      </c>
      <c r="G4323" t="s">
        <v>446</v>
      </c>
      <c r="H4323" t="s">
        <v>4930</v>
      </c>
      <c r="I4323">
        <v>0</v>
      </c>
      <c r="J4323" t="s">
        <v>97</v>
      </c>
      <c r="K4323">
        <v>0</v>
      </c>
      <c r="L4323">
        <v>0</v>
      </c>
      <c r="M4323" t="s">
        <v>11</v>
      </c>
    </row>
    <row r="4324" spans="1:13">
      <c r="A4324" s="93">
        <v>493080</v>
      </c>
      <c r="B4324" t="s">
        <v>4823</v>
      </c>
      <c r="C4324" t="s">
        <v>4926</v>
      </c>
      <c r="D4324" s="92" t="s">
        <v>446</v>
      </c>
      <c r="E4324" s="92" t="s">
        <v>446</v>
      </c>
      <c r="F4324" t="s">
        <v>446</v>
      </c>
      <c r="G4324" t="s">
        <v>446</v>
      </c>
      <c r="H4324" t="s">
        <v>4932</v>
      </c>
      <c r="I4324">
        <v>0</v>
      </c>
      <c r="J4324" t="s">
        <v>97</v>
      </c>
      <c r="K4324">
        <v>0</v>
      </c>
      <c r="L4324">
        <v>0</v>
      </c>
      <c r="M4324" t="s">
        <v>11</v>
      </c>
    </row>
    <row r="4325" spans="1:13">
      <c r="A4325" s="93">
        <v>493132</v>
      </c>
      <c r="B4325" t="s">
        <v>4824</v>
      </c>
      <c r="C4325" t="s">
        <v>4919</v>
      </c>
      <c r="D4325" s="92">
        <v>0.49</v>
      </c>
      <c r="E4325" s="92">
        <v>0.48</v>
      </c>
      <c r="F4325" t="s">
        <v>446</v>
      </c>
      <c r="G4325" t="s">
        <v>446</v>
      </c>
      <c r="H4325" t="s">
        <v>4930</v>
      </c>
      <c r="I4325">
        <v>0</v>
      </c>
      <c r="J4325" t="s">
        <v>97</v>
      </c>
      <c r="K4325">
        <v>0</v>
      </c>
      <c r="L4325">
        <v>0</v>
      </c>
      <c r="M4325" t="s">
        <v>11</v>
      </c>
    </row>
    <row r="4326" spans="1:13">
      <c r="A4326" s="93">
        <v>493363</v>
      </c>
      <c r="B4326" t="s">
        <v>4825</v>
      </c>
      <c r="C4326" t="s">
        <v>4923</v>
      </c>
      <c r="D4326" s="92" t="s">
        <v>446</v>
      </c>
      <c r="E4326" s="92" t="s">
        <v>446</v>
      </c>
      <c r="F4326" t="s">
        <v>446</v>
      </c>
      <c r="G4326" t="s">
        <v>446</v>
      </c>
      <c r="H4326" t="s">
        <v>4932</v>
      </c>
      <c r="I4326">
        <v>0</v>
      </c>
      <c r="J4326" t="s">
        <v>97</v>
      </c>
      <c r="K4326">
        <v>0</v>
      </c>
      <c r="L4326">
        <v>0</v>
      </c>
      <c r="M4326" t="s">
        <v>11</v>
      </c>
    </row>
    <row r="4327" spans="1:13">
      <c r="A4327" s="93">
        <v>493451</v>
      </c>
      <c r="B4327" t="s">
        <v>4826</v>
      </c>
      <c r="C4327" t="s">
        <v>4919</v>
      </c>
      <c r="D4327" s="92" t="s">
        <v>446</v>
      </c>
      <c r="E4327" s="92" t="s">
        <v>446</v>
      </c>
      <c r="F4327" t="s">
        <v>446</v>
      </c>
      <c r="G4327" t="s">
        <v>446</v>
      </c>
      <c r="H4327" t="s">
        <v>4930</v>
      </c>
      <c r="I4327">
        <v>0</v>
      </c>
      <c r="J4327" t="s">
        <v>97</v>
      </c>
      <c r="K4327">
        <v>0</v>
      </c>
      <c r="L4327">
        <v>0</v>
      </c>
      <c r="M4327" t="s">
        <v>11</v>
      </c>
    </row>
    <row r="4328" spans="1:13">
      <c r="A4328" s="93">
        <v>493488</v>
      </c>
      <c r="B4328" t="s">
        <v>4827</v>
      </c>
      <c r="C4328" t="s">
        <v>4919</v>
      </c>
      <c r="D4328" s="92" t="s">
        <v>446</v>
      </c>
      <c r="E4328" s="92" t="s">
        <v>446</v>
      </c>
      <c r="F4328" t="s">
        <v>446</v>
      </c>
      <c r="G4328" t="s">
        <v>446</v>
      </c>
      <c r="H4328" t="s">
        <v>4932</v>
      </c>
      <c r="I4328">
        <v>0</v>
      </c>
      <c r="J4328" t="s">
        <v>97</v>
      </c>
      <c r="K4328">
        <v>0</v>
      </c>
      <c r="L4328">
        <v>0</v>
      </c>
      <c r="M4328" t="s">
        <v>11</v>
      </c>
    </row>
    <row r="4329" spans="1:13">
      <c r="A4329" s="93">
        <v>493512</v>
      </c>
      <c r="B4329" t="s">
        <v>4828</v>
      </c>
      <c r="C4329" t="s">
        <v>4923</v>
      </c>
      <c r="D4329" s="92" t="s">
        <v>446</v>
      </c>
      <c r="E4329" s="92" t="s">
        <v>446</v>
      </c>
      <c r="F4329" t="s">
        <v>446</v>
      </c>
      <c r="G4329" t="s">
        <v>446</v>
      </c>
      <c r="H4329" t="s">
        <v>4932</v>
      </c>
      <c r="I4329">
        <v>0</v>
      </c>
      <c r="J4329" t="s">
        <v>97</v>
      </c>
      <c r="K4329">
        <v>0</v>
      </c>
      <c r="L4329">
        <v>0</v>
      </c>
      <c r="M4329" t="s">
        <v>11</v>
      </c>
    </row>
    <row r="4330" spans="1:13">
      <c r="A4330" s="93">
        <v>493521</v>
      </c>
      <c r="B4330" t="s">
        <v>4829</v>
      </c>
      <c r="C4330" t="s">
        <v>4919</v>
      </c>
      <c r="D4330" s="92" t="s">
        <v>446</v>
      </c>
      <c r="E4330" s="92" t="s">
        <v>446</v>
      </c>
      <c r="F4330" t="s">
        <v>446</v>
      </c>
      <c r="G4330" t="s">
        <v>446</v>
      </c>
      <c r="H4330" t="s">
        <v>4932</v>
      </c>
      <c r="I4330">
        <v>0</v>
      </c>
      <c r="J4330" t="s">
        <v>97</v>
      </c>
      <c r="K4330">
        <v>0</v>
      </c>
      <c r="L4330">
        <v>0</v>
      </c>
      <c r="M4330" t="s">
        <v>11</v>
      </c>
    </row>
    <row r="4331" spans="1:13">
      <c r="A4331" s="93">
        <v>493594</v>
      </c>
      <c r="B4331" t="s">
        <v>4830</v>
      </c>
      <c r="C4331" t="s">
        <v>4924</v>
      </c>
      <c r="D4331" s="92">
        <v>0.21</v>
      </c>
      <c r="E4331" s="92" t="s">
        <v>446</v>
      </c>
      <c r="F4331" t="s">
        <v>446</v>
      </c>
      <c r="G4331" t="s">
        <v>446</v>
      </c>
      <c r="H4331" t="s">
        <v>4931</v>
      </c>
      <c r="I4331">
        <v>0</v>
      </c>
      <c r="J4331" t="s">
        <v>97</v>
      </c>
      <c r="K4331">
        <v>0</v>
      </c>
      <c r="L4331">
        <v>0</v>
      </c>
      <c r="M4331" t="s">
        <v>11</v>
      </c>
    </row>
    <row r="4332" spans="1:13">
      <c r="A4332" s="93">
        <v>493600</v>
      </c>
      <c r="B4332" t="s">
        <v>4831</v>
      </c>
      <c r="C4332" t="s">
        <v>4923</v>
      </c>
      <c r="D4332" s="92">
        <v>0.11</v>
      </c>
      <c r="E4332" s="92" t="s">
        <v>446</v>
      </c>
      <c r="F4332" t="s">
        <v>446</v>
      </c>
      <c r="G4332" t="s">
        <v>446</v>
      </c>
      <c r="H4332" t="s">
        <v>4931</v>
      </c>
      <c r="I4332">
        <v>0</v>
      </c>
      <c r="J4332" t="s">
        <v>97</v>
      </c>
      <c r="K4332">
        <v>0</v>
      </c>
      <c r="L4332">
        <v>0</v>
      </c>
      <c r="M4332" t="s">
        <v>11</v>
      </c>
    </row>
    <row r="4333" spans="1:13">
      <c r="A4333" s="93">
        <v>493619</v>
      </c>
      <c r="B4333" t="s">
        <v>4832</v>
      </c>
      <c r="C4333" t="s">
        <v>4925</v>
      </c>
      <c r="D4333" s="92" t="s">
        <v>446</v>
      </c>
      <c r="E4333" s="92" t="s">
        <v>446</v>
      </c>
      <c r="F4333" t="s">
        <v>446</v>
      </c>
      <c r="G4333" t="s">
        <v>446</v>
      </c>
      <c r="H4333" t="s">
        <v>4932</v>
      </c>
      <c r="I4333">
        <v>0</v>
      </c>
      <c r="J4333" t="s">
        <v>97</v>
      </c>
      <c r="K4333">
        <v>0</v>
      </c>
      <c r="L4333">
        <v>0</v>
      </c>
      <c r="M4333" t="s">
        <v>11</v>
      </c>
    </row>
    <row r="4334" spans="1:13">
      <c r="A4334" s="93">
        <v>493646</v>
      </c>
      <c r="B4334" t="s">
        <v>4833</v>
      </c>
      <c r="C4334" t="s">
        <v>4925</v>
      </c>
      <c r="D4334" s="92" t="s">
        <v>446</v>
      </c>
      <c r="E4334" s="92" t="s">
        <v>446</v>
      </c>
      <c r="F4334" t="s">
        <v>446</v>
      </c>
      <c r="G4334" t="s">
        <v>446</v>
      </c>
      <c r="H4334" t="s">
        <v>4931</v>
      </c>
      <c r="I4334">
        <v>0</v>
      </c>
      <c r="J4334" t="s">
        <v>97</v>
      </c>
      <c r="K4334">
        <v>0</v>
      </c>
      <c r="L4334">
        <v>0</v>
      </c>
      <c r="M4334" t="s">
        <v>11</v>
      </c>
    </row>
    <row r="4335" spans="1:13">
      <c r="A4335" s="93">
        <v>493664</v>
      </c>
      <c r="B4335" t="s">
        <v>4834</v>
      </c>
      <c r="C4335" t="s">
        <v>4924</v>
      </c>
      <c r="D4335" s="92">
        <v>0.67</v>
      </c>
      <c r="E4335" s="92" t="s">
        <v>446</v>
      </c>
      <c r="F4335" t="s">
        <v>446</v>
      </c>
      <c r="G4335" t="s">
        <v>446</v>
      </c>
      <c r="H4335" t="s">
        <v>4932</v>
      </c>
      <c r="I4335">
        <v>0</v>
      </c>
      <c r="J4335" t="s">
        <v>97</v>
      </c>
      <c r="K4335">
        <v>0</v>
      </c>
      <c r="L4335">
        <v>0</v>
      </c>
      <c r="M4335" t="s">
        <v>11</v>
      </c>
    </row>
    <row r="4336" spans="1:13">
      <c r="A4336" s="93">
        <v>493673</v>
      </c>
      <c r="B4336" t="s">
        <v>4835</v>
      </c>
      <c r="C4336" t="s">
        <v>4924</v>
      </c>
      <c r="D4336" s="92" t="s">
        <v>446</v>
      </c>
      <c r="E4336" s="92" t="s">
        <v>446</v>
      </c>
      <c r="F4336" t="s">
        <v>446</v>
      </c>
      <c r="G4336" t="s">
        <v>446</v>
      </c>
      <c r="H4336" t="s">
        <v>4932</v>
      </c>
      <c r="I4336">
        <v>0</v>
      </c>
      <c r="J4336" t="s">
        <v>97</v>
      </c>
      <c r="K4336">
        <v>0</v>
      </c>
      <c r="L4336">
        <v>0</v>
      </c>
      <c r="M4336" t="s">
        <v>11</v>
      </c>
    </row>
    <row r="4337" spans="1:13">
      <c r="A4337" s="93">
        <v>493682</v>
      </c>
      <c r="B4337" t="s">
        <v>4836</v>
      </c>
      <c r="C4337" t="s">
        <v>4919</v>
      </c>
      <c r="D4337" s="92" t="s">
        <v>446</v>
      </c>
      <c r="E4337" s="92" t="s">
        <v>446</v>
      </c>
      <c r="F4337" t="s">
        <v>446</v>
      </c>
      <c r="G4337" t="s">
        <v>446</v>
      </c>
      <c r="H4337" t="s">
        <v>4932</v>
      </c>
      <c r="I4337">
        <v>0</v>
      </c>
      <c r="J4337" t="s">
        <v>97</v>
      </c>
      <c r="K4337">
        <v>0</v>
      </c>
      <c r="L4337">
        <v>0</v>
      </c>
      <c r="M4337" t="s">
        <v>11</v>
      </c>
    </row>
    <row r="4338" spans="1:13">
      <c r="A4338" s="93">
        <v>493707</v>
      </c>
      <c r="B4338" t="s">
        <v>4837</v>
      </c>
      <c r="C4338" t="s">
        <v>4924</v>
      </c>
      <c r="D4338" s="92">
        <v>0.19</v>
      </c>
      <c r="E4338" s="92" t="s">
        <v>446</v>
      </c>
      <c r="F4338" t="s">
        <v>446</v>
      </c>
      <c r="G4338" t="s">
        <v>446</v>
      </c>
      <c r="H4338" t="s">
        <v>4931</v>
      </c>
      <c r="I4338">
        <v>0</v>
      </c>
      <c r="J4338" t="s">
        <v>97</v>
      </c>
      <c r="K4338">
        <v>0</v>
      </c>
      <c r="L4338">
        <v>0</v>
      </c>
      <c r="M4338" t="s">
        <v>11</v>
      </c>
    </row>
    <row r="4339" spans="1:13">
      <c r="A4339" s="93">
        <v>493716</v>
      </c>
      <c r="B4339" t="s">
        <v>4838</v>
      </c>
      <c r="C4339" t="s">
        <v>4924</v>
      </c>
      <c r="D4339" s="92">
        <v>0.24</v>
      </c>
      <c r="E4339" s="92" t="s">
        <v>446</v>
      </c>
      <c r="F4339" t="s">
        <v>446</v>
      </c>
      <c r="G4339" t="s">
        <v>446</v>
      </c>
      <c r="H4339" t="s">
        <v>4931</v>
      </c>
      <c r="I4339">
        <v>0</v>
      </c>
      <c r="J4339" t="s">
        <v>97</v>
      </c>
      <c r="K4339">
        <v>0</v>
      </c>
      <c r="L4339">
        <v>0</v>
      </c>
      <c r="M4339" t="s">
        <v>11</v>
      </c>
    </row>
    <row r="4340" spans="1:13">
      <c r="A4340" s="93">
        <v>493725</v>
      </c>
      <c r="B4340" t="s">
        <v>4839</v>
      </c>
      <c r="C4340" t="s">
        <v>4923</v>
      </c>
      <c r="D4340" s="92" t="s">
        <v>446</v>
      </c>
      <c r="E4340" s="92" t="s">
        <v>446</v>
      </c>
      <c r="F4340" t="s">
        <v>446</v>
      </c>
      <c r="G4340" t="s">
        <v>446</v>
      </c>
      <c r="H4340" t="s">
        <v>4932</v>
      </c>
      <c r="I4340">
        <v>0</v>
      </c>
      <c r="J4340" t="s">
        <v>97</v>
      </c>
      <c r="K4340">
        <v>0</v>
      </c>
      <c r="L4340">
        <v>0</v>
      </c>
      <c r="M4340" t="s">
        <v>11</v>
      </c>
    </row>
    <row r="4341" spans="1:13">
      <c r="A4341" s="93">
        <v>493798</v>
      </c>
      <c r="B4341" t="s">
        <v>4840</v>
      </c>
      <c r="C4341" t="s">
        <v>4925</v>
      </c>
      <c r="D4341" s="92" t="s">
        <v>446</v>
      </c>
      <c r="E4341" s="92" t="s">
        <v>446</v>
      </c>
      <c r="F4341" t="s">
        <v>446</v>
      </c>
      <c r="G4341" t="s">
        <v>446</v>
      </c>
      <c r="H4341" t="s">
        <v>4931</v>
      </c>
      <c r="I4341">
        <v>0</v>
      </c>
      <c r="J4341" t="s">
        <v>97</v>
      </c>
      <c r="K4341">
        <v>0</v>
      </c>
      <c r="L4341">
        <v>0</v>
      </c>
      <c r="M4341" t="s">
        <v>11</v>
      </c>
    </row>
    <row r="4342" spans="1:13">
      <c r="A4342" s="93">
        <v>493822</v>
      </c>
      <c r="B4342" t="s">
        <v>4841</v>
      </c>
      <c r="C4342" t="s">
        <v>4923</v>
      </c>
      <c r="D4342" s="92" t="s">
        <v>446</v>
      </c>
      <c r="E4342" s="92" t="s">
        <v>446</v>
      </c>
      <c r="F4342" t="s">
        <v>446</v>
      </c>
      <c r="G4342" t="s">
        <v>446</v>
      </c>
      <c r="H4342" t="s">
        <v>4931</v>
      </c>
      <c r="I4342">
        <v>0</v>
      </c>
      <c r="J4342" t="s">
        <v>97</v>
      </c>
      <c r="K4342">
        <v>0</v>
      </c>
      <c r="L4342">
        <v>0</v>
      </c>
      <c r="M4342" t="s">
        <v>11</v>
      </c>
    </row>
    <row r="4343" spans="1:13">
      <c r="A4343" s="93">
        <v>493895</v>
      </c>
      <c r="B4343" t="s">
        <v>4842</v>
      </c>
      <c r="C4343" t="s">
        <v>4924</v>
      </c>
      <c r="D4343" s="92" t="s">
        <v>446</v>
      </c>
      <c r="E4343" s="92" t="s">
        <v>446</v>
      </c>
      <c r="F4343" t="s">
        <v>446</v>
      </c>
      <c r="G4343" t="s">
        <v>446</v>
      </c>
      <c r="H4343" t="s">
        <v>4932</v>
      </c>
      <c r="I4343">
        <v>0</v>
      </c>
      <c r="J4343" t="s">
        <v>97</v>
      </c>
      <c r="K4343">
        <v>0</v>
      </c>
      <c r="L4343">
        <v>0</v>
      </c>
      <c r="M4343" t="s">
        <v>11</v>
      </c>
    </row>
    <row r="4344" spans="1:13">
      <c r="A4344" s="93">
        <v>493947</v>
      </c>
      <c r="B4344" t="s">
        <v>4843</v>
      </c>
      <c r="C4344" t="s">
        <v>4924</v>
      </c>
      <c r="D4344" s="92" t="s">
        <v>446</v>
      </c>
      <c r="E4344" s="92" t="s">
        <v>446</v>
      </c>
      <c r="F4344" t="s">
        <v>446</v>
      </c>
      <c r="G4344" t="s">
        <v>446</v>
      </c>
      <c r="H4344" t="s">
        <v>4932</v>
      </c>
      <c r="I4344">
        <v>0</v>
      </c>
      <c r="J4344" t="s">
        <v>97</v>
      </c>
      <c r="K4344">
        <v>0</v>
      </c>
      <c r="L4344">
        <v>0</v>
      </c>
      <c r="M4344" t="s">
        <v>11</v>
      </c>
    </row>
    <row r="4345" spans="1:13">
      <c r="A4345" s="93">
        <v>494010</v>
      </c>
      <c r="B4345" t="s">
        <v>4844</v>
      </c>
      <c r="C4345" t="s">
        <v>4924</v>
      </c>
      <c r="D4345" s="92" t="s">
        <v>446</v>
      </c>
      <c r="E4345" s="92" t="s">
        <v>446</v>
      </c>
      <c r="F4345" t="s">
        <v>446</v>
      </c>
      <c r="G4345" t="s">
        <v>446</v>
      </c>
      <c r="H4345" t="s">
        <v>4932</v>
      </c>
      <c r="I4345">
        <v>0</v>
      </c>
      <c r="J4345" t="s">
        <v>97</v>
      </c>
      <c r="K4345">
        <v>0</v>
      </c>
      <c r="L4345">
        <v>0</v>
      </c>
      <c r="M4345" t="s">
        <v>11</v>
      </c>
    </row>
    <row r="4346" spans="1:13">
      <c r="A4346" s="93">
        <v>494162</v>
      </c>
      <c r="B4346" t="s">
        <v>4845</v>
      </c>
      <c r="C4346" t="s">
        <v>4924</v>
      </c>
      <c r="D4346" s="92" t="s">
        <v>446</v>
      </c>
      <c r="E4346" s="92" t="s">
        <v>446</v>
      </c>
      <c r="F4346" t="s">
        <v>446</v>
      </c>
      <c r="G4346" t="s">
        <v>446</v>
      </c>
      <c r="H4346" t="s">
        <v>4930</v>
      </c>
      <c r="I4346">
        <v>0</v>
      </c>
      <c r="J4346" t="s">
        <v>97</v>
      </c>
      <c r="K4346">
        <v>0</v>
      </c>
      <c r="L4346">
        <v>0</v>
      </c>
      <c r="M4346" t="s">
        <v>11</v>
      </c>
    </row>
    <row r="4347" spans="1:13">
      <c r="A4347" s="93">
        <v>494171</v>
      </c>
      <c r="B4347" t="s">
        <v>1111</v>
      </c>
      <c r="C4347" t="s">
        <v>4924</v>
      </c>
      <c r="D4347" s="92" t="s">
        <v>446</v>
      </c>
      <c r="E4347" s="92" t="s">
        <v>446</v>
      </c>
      <c r="F4347" t="s">
        <v>446</v>
      </c>
      <c r="G4347" t="s">
        <v>446</v>
      </c>
      <c r="H4347" t="s">
        <v>4932</v>
      </c>
      <c r="I4347">
        <v>0</v>
      </c>
      <c r="J4347" t="s">
        <v>97</v>
      </c>
      <c r="K4347">
        <v>0</v>
      </c>
      <c r="L4347">
        <v>0</v>
      </c>
      <c r="M4347" t="s">
        <v>11</v>
      </c>
    </row>
    <row r="4348" spans="1:13">
      <c r="A4348" s="93">
        <v>494250</v>
      </c>
      <c r="B4348" t="s">
        <v>4846</v>
      </c>
      <c r="C4348" t="s">
        <v>4919</v>
      </c>
      <c r="D4348" s="92" t="s">
        <v>446</v>
      </c>
      <c r="E4348" s="92" t="s">
        <v>446</v>
      </c>
      <c r="F4348" t="s">
        <v>446</v>
      </c>
      <c r="G4348" t="s">
        <v>446</v>
      </c>
      <c r="H4348" t="s">
        <v>4930</v>
      </c>
      <c r="I4348">
        <v>0</v>
      </c>
      <c r="J4348" t="s">
        <v>97</v>
      </c>
      <c r="K4348">
        <v>0</v>
      </c>
      <c r="L4348">
        <v>0</v>
      </c>
      <c r="M4348" t="s">
        <v>11</v>
      </c>
    </row>
    <row r="4349" spans="1:13">
      <c r="A4349" s="93">
        <v>494269</v>
      </c>
      <c r="B4349" t="s">
        <v>4847</v>
      </c>
      <c r="C4349" t="s">
        <v>4923</v>
      </c>
      <c r="D4349" s="92" t="s">
        <v>446</v>
      </c>
      <c r="E4349" s="92" t="s">
        <v>446</v>
      </c>
      <c r="F4349" t="s">
        <v>446</v>
      </c>
      <c r="G4349" t="s">
        <v>446</v>
      </c>
      <c r="H4349" t="s">
        <v>4932</v>
      </c>
      <c r="I4349">
        <v>0</v>
      </c>
      <c r="J4349" t="s">
        <v>97</v>
      </c>
      <c r="K4349">
        <v>0</v>
      </c>
      <c r="L4349">
        <v>0</v>
      </c>
      <c r="M4349" t="s">
        <v>11</v>
      </c>
    </row>
    <row r="4350" spans="1:13">
      <c r="A4350" s="93">
        <v>494278</v>
      </c>
      <c r="B4350" t="s">
        <v>4848</v>
      </c>
      <c r="C4350" t="s">
        <v>4924</v>
      </c>
      <c r="D4350" s="92" t="s">
        <v>446</v>
      </c>
      <c r="E4350" s="92" t="s">
        <v>446</v>
      </c>
      <c r="F4350" t="s">
        <v>446</v>
      </c>
      <c r="G4350" t="s">
        <v>446</v>
      </c>
      <c r="H4350" t="s">
        <v>4931</v>
      </c>
      <c r="I4350">
        <v>0</v>
      </c>
      <c r="J4350" t="s">
        <v>97</v>
      </c>
      <c r="K4350">
        <v>0</v>
      </c>
      <c r="L4350">
        <v>0</v>
      </c>
      <c r="M4350" t="s">
        <v>11</v>
      </c>
    </row>
    <row r="4351" spans="1:13">
      <c r="A4351" s="93">
        <v>494287</v>
      </c>
      <c r="B4351" t="s">
        <v>4849</v>
      </c>
      <c r="C4351" t="s">
        <v>4924</v>
      </c>
      <c r="D4351" s="92" t="s">
        <v>446</v>
      </c>
      <c r="E4351" s="92" t="s">
        <v>446</v>
      </c>
      <c r="F4351" t="s">
        <v>446</v>
      </c>
      <c r="G4351" t="s">
        <v>446</v>
      </c>
      <c r="H4351" t="s">
        <v>4931</v>
      </c>
      <c r="I4351">
        <v>0</v>
      </c>
      <c r="J4351" t="s">
        <v>97</v>
      </c>
      <c r="K4351">
        <v>0</v>
      </c>
      <c r="L4351">
        <v>0</v>
      </c>
      <c r="M4351" t="s">
        <v>11</v>
      </c>
    </row>
    <row r="4352" spans="1:13">
      <c r="A4352" s="93">
        <v>494436</v>
      </c>
      <c r="B4352" t="s">
        <v>4850</v>
      </c>
      <c r="C4352" t="s">
        <v>4919</v>
      </c>
      <c r="D4352" s="92" t="s">
        <v>446</v>
      </c>
      <c r="E4352" s="92" t="s">
        <v>446</v>
      </c>
      <c r="F4352" t="s">
        <v>446</v>
      </c>
      <c r="G4352" t="s">
        <v>446</v>
      </c>
      <c r="H4352" t="s">
        <v>4930</v>
      </c>
      <c r="I4352">
        <v>0</v>
      </c>
      <c r="J4352" t="s">
        <v>97</v>
      </c>
      <c r="K4352">
        <v>0</v>
      </c>
      <c r="L4352">
        <v>0</v>
      </c>
      <c r="M4352" t="s">
        <v>11</v>
      </c>
    </row>
    <row r="4353" spans="1:13">
      <c r="A4353" s="93">
        <v>494463</v>
      </c>
      <c r="B4353" t="s">
        <v>4851</v>
      </c>
      <c r="C4353" t="s">
        <v>4919</v>
      </c>
      <c r="D4353" s="92" t="s">
        <v>446</v>
      </c>
      <c r="E4353" s="92" t="s">
        <v>446</v>
      </c>
      <c r="F4353" t="s">
        <v>446</v>
      </c>
      <c r="G4353" t="s">
        <v>446</v>
      </c>
      <c r="H4353" t="s">
        <v>4931</v>
      </c>
      <c r="I4353">
        <v>0</v>
      </c>
      <c r="J4353" t="s">
        <v>97</v>
      </c>
      <c r="K4353">
        <v>0</v>
      </c>
      <c r="L4353">
        <v>0</v>
      </c>
      <c r="M4353" t="s">
        <v>11</v>
      </c>
    </row>
    <row r="4354" spans="1:13">
      <c r="A4354" s="93">
        <v>494551</v>
      </c>
      <c r="B4354" t="s">
        <v>4852</v>
      </c>
      <c r="C4354" t="s">
        <v>4924</v>
      </c>
      <c r="D4354" s="92" t="s">
        <v>446</v>
      </c>
      <c r="E4354" s="92" t="s">
        <v>446</v>
      </c>
      <c r="F4354" t="s">
        <v>446</v>
      </c>
      <c r="G4354" t="s">
        <v>446</v>
      </c>
      <c r="H4354" t="s">
        <v>4932</v>
      </c>
      <c r="I4354">
        <v>0</v>
      </c>
      <c r="J4354" t="s">
        <v>97</v>
      </c>
      <c r="K4354">
        <v>0</v>
      </c>
      <c r="L4354">
        <v>0</v>
      </c>
      <c r="M4354" t="s">
        <v>11</v>
      </c>
    </row>
    <row r="4355" spans="1:13">
      <c r="A4355" s="93">
        <v>494588</v>
      </c>
      <c r="B4355" t="s">
        <v>4853</v>
      </c>
      <c r="C4355" t="s">
        <v>4926</v>
      </c>
      <c r="D4355" s="92">
        <v>0.5600000000000001</v>
      </c>
      <c r="E4355" s="92">
        <v>0.48</v>
      </c>
      <c r="F4355" t="s">
        <v>446</v>
      </c>
      <c r="G4355" t="s">
        <v>446</v>
      </c>
      <c r="H4355" t="s">
        <v>4930</v>
      </c>
      <c r="I4355">
        <v>0</v>
      </c>
      <c r="J4355" t="s">
        <v>97</v>
      </c>
      <c r="K4355">
        <v>0</v>
      </c>
      <c r="L4355">
        <v>0</v>
      </c>
      <c r="M4355" t="s">
        <v>11</v>
      </c>
    </row>
    <row r="4356" spans="1:13">
      <c r="A4356" s="93">
        <v>494597</v>
      </c>
      <c r="B4356" t="s">
        <v>4854</v>
      </c>
      <c r="C4356" t="s">
        <v>4923</v>
      </c>
      <c r="D4356" s="92">
        <v>0.33</v>
      </c>
      <c r="E4356" s="92">
        <v>0.38</v>
      </c>
      <c r="F4356" t="s">
        <v>446</v>
      </c>
      <c r="G4356" t="s">
        <v>446</v>
      </c>
      <c r="H4356" t="s">
        <v>4932</v>
      </c>
      <c r="I4356">
        <v>0</v>
      </c>
      <c r="J4356" t="s">
        <v>97</v>
      </c>
      <c r="K4356">
        <v>0</v>
      </c>
      <c r="L4356">
        <v>0</v>
      </c>
      <c r="M4356" t="s">
        <v>11</v>
      </c>
    </row>
    <row r="4357" spans="1:13">
      <c r="A4357" s="93">
        <v>494603</v>
      </c>
      <c r="B4357" t="s">
        <v>4855</v>
      </c>
      <c r="C4357" t="s">
        <v>4924</v>
      </c>
      <c r="D4357" s="92">
        <v>0.29</v>
      </c>
      <c r="E4357" s="92">
        <v>0</v>
      </c>
      <c r="F4357">
        <v>1000</v>
      </c>
      <c r="G4357">
        <v>1120</v>
      </c>
      <c r="H4357" t="s">
        <v>4932</v>
      </c>
      <c r="I4357">
        <v>0</v>
      </c>
      <c r="J4357" t="s">
        <v>97</v>
      </c>
      <c r="K4357">
        <v>0</v>
      </c>
      <c r="L4357">
        <v>0</v>
      </c>
      <c r="M4357" t="s">
        <v>11</v>
      </c>
    </row>
    <row r="4358" spans="1:13">
      <c r="A4358" s="93">
        <v>494621</v>
      </c>
      <c r="B4358" t="s">
        <v>4856</v>
      </c>
      <c r="C4358" t="s">
        <v>4926</v>
      </c>
      <c r="D4358" s="92" t="s">
        <v>446</v>
      </c>
      <c r="E4358" s="92" t="s">
        <v>446</v>
      </c>
      <c r="F4358" t="s">
        <v>446</v>
      </c>
      <c r="G4358" t="s">
        <v>446</v>
      </c>
      <c r="H4358" t="s">
        <v>4932</v>
      </c>
      <c r="I4358">
        <v>0</v>
      </c>
      <c r="J4358" t="s">
        <v>97</v>
      </c>
      <c r="K4358">
        <v>0</v>
      </c>
      <c r="L4358">
        <v>0</v>
      </c>
      <c r="M4358" t="s">
        <v>11</v>
      </c>
    </row>
    <row r="4359" spans="1:13">
      <c r="A4359" s="93">
        <v>494630</v>
      </c>
      <c r="B4359" t="s">
        <v>4857</v>
      </c>
      <c r="C4359" t="s">
        <v>4923</v>
      </c>
      <c r="D4359" s="92">
        <v>0.5</v>
      </c>
      <c r="E4359" s="92">
        <v>0.5</v>
      </c>
      <c r="F4359" t="s">
        <v>446</v>
      </c>
      <c r="G4359" t="s">
        <v>446</v>
      </c>
      <c r="H4359" t="s">
        <v>4932</v>
      </c>
      <c r="I4359">
        <v>0</v>
      </c>
      <c r="J4359" t="s">
        <v>97</v>
      </c>
      <c r="K4359">
        <v>0</v>
      </c>
      <c r="L4359">
        <v>0</v>
      </c>
      <c r="M4359" t="s">
        <v>11</v>
      </c>
    </row>
    <row r="4360" spans="1:13">
      <c r="A4360" s="93">
        <v>494685</v>
      </c>
      <c r="B4360" t="s">
        <v>4858</v>
      </c>
      <c r="C4360" t="s">
        <v>4924</v>
      </c>
      <c r="D4360" s="92">
        <v>0.25</v>
      </c>
      <c r="E4360" s="92">
        <v>0.2</v>
      </c>
      <c r="F4360" t="s">
        <v>446</v>
      </c>
      <c r="G4360" t="s">
        <v>446</v>
      </c>
      <c r="H4360" t="s">
        <v>4931</v>
      </c>
      <c r="I4360">
        <v>0</v>
      </c>
      <c r="J4360" t="s">
        <v>97</v>
      </c>
      <c r="K4360">
        <v>0</v>
      </c>
      <c r="L4360">
        <v>0</v>
      </c>
      <c r="M4360" t="s">
        <v>11</v>
      </c>
    </row>
    <row r="4361" spans="1:13">
      <c r="A4361" s="93">
        <v>494737</v>
      </c>
      <c r="B4361" t="s">
        <v>4859</v>
      </c>
      <c r="C4361" t="s">
        <v>4923</v>
      </c>
      <c r="D4361" s="92" t="s">
        <v>446</v>
      </c>
      <c r="E4361" s="92" t="s">
        <v>446</v>
      </c>
      <c r="F4361" t="s">
        <v>446</v>
      </c>
      <c r="G4361" t="s">
        <v>446</v>
      </c>
      <c r="H4361" t="s">
        <v>4931</v>
      </c>
      <c r="I4361">
        <v>0</v>
      </c>
      <c r="J4361" t="s">
        <v>97</v>
      </c>
      <c r="K4361">
        <v>0</v>
      </c>
      <c r="L4361">
        <v>0</v>
      </c>
      <c r="M4361" t="s">
        <v>11</v>
      </c>
    </row>
    <row r="4362" spans="1:13">
      <c r="A4362" s="93">
        <v>494746</v>
      </c>
      <c r="B4362" t="s">
        <v>4860</v>
      </c>
      <c r="C4362" t="s">
        <v>4919</v>
      </c>
      <c r="D4362" s="92" t="s">
        <v>446</v>
      </c>
      <c r="E4362" s="92" t="s">
        <v>446</v>
      </c>
      <c r="F4362" t="s">
        <v>446</v>
      </c>
      <c r="G4362" t="s">
        <v>446</v>
      </c>
      <c r="H4362" t="s">
        <v>4930</v>
      </c>
      <c r="I4362">
        <v>0</v>
      </c>
      <c r="J4362" t="s">
        <v>97</v>
      </c>
      <c r="K4362">
        <v>0</v>
      </c>
      <c r="L4362">
        <v>0</v>
      </c>
      <c r="M4362" t="s">
        <v>11</v>
      </c>
    </row>
    <row r="4363" spans="1:13">
      <c r="A4363" s="93">
        <v>494755</v>
      </c>
      <c r="B4363" t="s">
        <v>4861</v>
      </c>
      <c r="C4363" t="s">
        <v>4926</v>
      </c>
      <c r="D4363" s="92" t="s">
        <v>446</v>
      </c>
      <c r="E4363" s="92" t="s">
        <v>446</v>
      </c>
      <c r="F4363" t="s">
        <v>446</v>
      </c>
      <c r="G4363" t="s">
        <v>446</v>
      </c>
      <c r="H4363" t="s">
        <v>4931</v>
      </c>
      <c r="I4363">
        <v>0</v>
      </c>
      <c r="J4363" t="s">
        <v>97</v>
      </c>
      <c r="K4363">
        <v>0</v>
      </c>
      <c r="L4363">
        <v>0</v>
      </c>
      <c r="M4363" t="s">
        <v>11</v>
      </c>
    </row>
    <row r="4364" spans="1:13">
      <c r="A4364" s="93">
        <v>494764</v>
      </c>
      <c r="B4364" t="s">
        <v>4862</v>
      </c>
      <c r="C4364" t="s">
        <v>4919</v>
      </c>
      <c r="D4364" s="92" t="s">
        <v>446</v>
      </c>
      <c r="E4364" s="92" t="s">
        <v>446</v>
      </c>
      <c r="F4364" t="s">
        <v>446</v>
      </c>
      <c r="G4364" t="s">
        <v>446</v>
      </c>
      <c r="H4364" t="s">
        <v>4930</v>
      </c>
      <c r="I4364">
        <v>0</v>
      </c>
      <c r="J4364" t="s">
        <v>97</v>
      </c>
      <c r="K4364">
        <v>0</v>
      </c>
      <c r="L4364">
        <v>0</v>
      </c>
      <c r="M4364" t="s">
        <v>11</v>
      </c>
    </row>
    <row r="4365" spans="1:13">
      <c r="A4365" s="93">
        <v>494807</v>
      </c>
      <c r="B4365" t="s">
        <v>4863</v>
      </c>
      <c r="C4365" t="s">
        <v>4924</v>
      </c>
      <c r="D4365" s="92" t="s">
        <v>446</v>
      </c>
      <c r="E4365" s="92" t="s">
        <v>446</v>
      </c>
      <c r="F4365" t="s">
        <v>446</v>
      </c>
      <c r="G4365" t="s">
        <v>446</v>
      </c>
      <c r="H4365" t="s">
        <v>4931</v>
      </c>
      <c r="I4365">
        <v>0</v>
      </c>
      <c r="J4365" t="s">
        <v>97</v>
      </c>
      <c r="K4365">
        <v>0</v>
      </c>
      <c r="L4365">
        <v>0</v>
      </c>
      <c r="M4365" t="s">
        <v>11</v>
      </c>
    </row>
    <row r="4366" spans="1:13">
      <c r="A4366" s="93">
        <v>494843</v>
      </c>
      <c r="B4366" t="s">
        <v>4864</v>
      </c>
      <c r="C4366" t="s">
        <v>4919</v>
      </c>
      <c r="D4366" s="92" t="s">
        <v>446</v>
      </c>
      <c r="E4366" s="92" t="s">
        <v>446</v>
      </c>
      <c r="F4366" t="s">
        <v>446</v>
      </c>
      <c r="G4366" t="s">
        <v>446</v>
      </c>
      <c r="H4366" t="s">
        <v>4930</v>
      </c>
      <c r="I4366">
        <v>0</v>
      </c>
      <c r="J4366" t="s">
        <v>97</v>
      </c>
      <c r="K4366">
        <v>0</v>
      </c>
      <c r="L4366">
        <v>0</v>
      </c>
      <c r="M4366" t="s">
        <v>11</v>
      </c>
    </row>
    <row r="4367" spans="1:13">
      <c r="A4367" s="93">
        <v>494852</v>
      </c>
      <c r="B4367" t="s">
        <v>4865</v>
      </c>
      <c r="C4367" t="s">
        <v>4919</v>
      </c>
      <c r="D4367" s="92" t="s">
        <v>446</v>
      </c>
      <c r="E4367" s="92" t="s">
        <v>446</v>
      </c>
      <c r="F4367" t="s">
        <v>446</v>
      </c>
      <c r="G4367" t="s">
        <v>446</v>
      </c>
      <c r="H4367" t="s">
        <v>4932</v>
      </c>
      <c r="I4367">
        <v>0</v>
      </c>
      <c r="J4367" t="s">
        <v>97</v>
      </c>
      <c r="K4367">
        <v>0</v>
      </c>
      <c r="L4367">
        <v>0</v>
      </c>
      <c r="M4367" t="s">
        <v>11</v>
      </c>
    </row>
    <row r="4368" spans="1:13">
      <c r="A4368" s="93">
        <v>494898</v>
      </c>
      <c r="B4368" t="s">
        <v>4866</v>
      </c>
      <c r="C4368" t="s">
        <v>4919</v>
      </c>
      <c r="D4368" s="92" t="s">
        <v>446</v>
      </c>
      <c r="E4368" s="92" t="s">
        <v>446</v>
      </c>
      <c r="F4368" t="s">
        <v>446</v>
      </c>
      <c r="G4368" t="s">
        <v>446</v>
      </c>
      <c r="H4368" t="s">
        <v>4931</v>
      </c>
      <c r="I4368">
        <v>0</v>
      </c>
      <c r="J4368" t="s">
        <v>97</v>
      </c>
      <c r="K4368">
        <v>0</v>
      </c>
      <c r="L4368">
        <v>0</v>
      </c>
      <c r="M4368" t="s">
        <v>11</v>
      </c>
    </row>
    <row r="4369" spans="1:13">
      <c r="A4369" s="93">
        <v>494940</v>
      </c>
      <c r="B4369" t="s">
        <v>4867</v>
      </c>
      <c r="C4369" t="s">
        <v>4926</v>
      </c>
      <c r="D4369" s="92" t="s">
        <v>446</v>
      </c>
      <c r="E4369" s="92" t="s">
        <v>446</v>
      </c>
      <c r="F4369" t="s">
        <v>446</v>
      </c>
      <c r="G4369" t="s">
        <v>446</v>
      </c>
      <c r="H4369" t="s">
        <v>4932</v>
      </c>
      <c r="I4369">
        <v>0</v>
      </c>
      <c r="J4369" t="s">
        <v>97</v>
      </c>
      <c r="K4369">
        <v>0</v>
      </c>
      <c r="L4369">
        <v>0</v>
      </c>
      <c r="M4369" t="s">
        <v>11</v>
      </c>
    </row>
    <row r="4370" spans="1:13">
      <c r="A4370" s="93">
        <v>494959</v>
      </c>
      <c r="B4370" t="s">
        <v>4868</v>
      </c>
      <c r="C4370" t="s">
        <v>4926</v>
      </c>
      <c r="D4370" s="92" t="s">
        <v>446</v>
      </c>
      <c r="E4370" s="92" t="s">
        <v>446</v>
      </c>
      <c r="F4370" t="s">
        <v>446</v>
      </c>
      <c r="G4370" t="s">
        <v>446</v>
      </c>
      <c r="H4370" t="s">
        <v>4932</v>
      </c>
      <c r="I4370">
        <v>0</v>
      </c>
      <c r="J4370" t="s">
        <v>97</v>
      </c>
      <c r="K4370">
        <v>0</v>
      </c>
      <c r="L4370">
        <v>0</v>
      </c>
      <c r="M4370" t="s">
        <v>11</v>
      </c>
    </row>
    <row r="4371" spans="1:13">
      <c r="A4371" s="93">
        <v>494986</v>
      </c>
      <c r="B4371" t="s">
        <v>4869</v>
      </c>
      <c r="C4371" t="s">
        <v>4926</v>
      </c>
      <c r="D4371" s="92" t="s">
        <v>446</v>
      </c>
      <c r="E4371" s="92" t="s">
        <v>446</v>
      </c>
      <c r="F4371" t="s">
        <v>446</v>
      </c>
      <c r="G4371" t="s">
        <v>446</v>
      </c>
      <c r="H4371" t="s">
        <v>4930</v>
      </c>
      <c r="I4371">
        <v>0</v>
      </c>
      <c r="J4371" t="s">
        <v>97</v>
      </c>
      <c r="K4371">
        <v>0</v>
      </c>
      <c r="L4371">
        <v>0</v>
      </c>
      <c r="M4371" t="s">
        <v>11</v>
      </c>
    </row>
    <row r="4372" spans="1:13">
      <c r="A4372" s="93">
        <v>494995</v>
      </c>
      <c r="B4372" t="s">
        <v>4870</v>
      </c>
      <c r="C4372" t="s">
        <v>4926</v>
      </c>
      <c r="D4372" s="92" t="s">
        <v>446</v>
      </c>
      <c r="E4372" s="92" t="s">
        <v>446</v>
      </c>
      <c r="F4372" t="s">
        <v>446</v>
      </c>
      <c r="G4372" t="s">
        <v>446</v>
      </c>
      <c r="H4372" t="s">
        <v>4931</v>
      </c>
      <c r="I4372">
        <v>0</v>
      </c>
      <c r="J4372" t="s">
        <v>97</v>
      </c>
      <c r="K4372">
        <v>0</v>
      </c>
      <c r="L4372">
        <v>0</v>
      </c>
      <c r="M4372" t="s">
        <v>11</v>
      </c>
    </row>
    <row r="4373" spans="1:13">
      <c r="A4373" s="93">
        <v>495013</v>
      </c>
      <c r="B4373" t="s">
        <v>4871</v>
      </c>
      <c r="C4373" t="s">
        <v>4926</v>
      </c>
      <c r="D4373" s="92" t="s">
        <v>446</v>
      </c>
      <c r="E4373" s="92" t="s">
        <v>446</v>
      </c>
      <c r="F4373" t="s">
        <v>446</v>
      </c>
      <c r="G4373" t="s">
        <v>446</v>
      </c>
      <c r="H4373" t="s">
        <v>4932</v>
      </c>
      <c r="I4373">
        <v>0</v>
      </c>
      <c r="J4373" t="s">
        <v>97</v>
      </c>
      <c r="K4373">
        <v>0</v>
      </c>
      <c r="L4373">
        <v>0</v>
      </c>
      <c r="M4373" t="s">
        <v>11</v>
      </c>
    </row>
    <row r="4374" spans="1:13">
      <c r="A4374" s="93">
        <v>495031</v>
      </c>
      <c r="B4374" t="s">
        <v>4872</v>
      </c>
      <c r="C4374" t="s">
        <v>4926</v>
      </c>
      <c r="D4374" s="92" t="s">
        <v>446</v>
      </c>
      <c r="E4374" s="92" t="s">
        <v>446</v>
      </c>
      <c r="F4374" t="s">
        <v>446</v>
      </c>
      <c r="G4374" t="s">
        <v>446</v>
      </c>
      <c r="H4374" t="s">
        <v>4930</v>
      </c>
      <c r="I4374">
        <v>0</v>
      </c>
      <c r="J4374" t="s">
        <v>97</v>
      </c>
      <c r="K4374">
        <v>0</v>
      </c>
      <c r="L4374">
        <v>0</v>
      </c>
      <c r="M4374" t="s">
        <v>11</v>
      </c>
    </row>
    <row r="4375" spans="1:13">
      <c r="A4375" s="93">
        <v>495059</v>
      </c>
      <c r="B4375" t="s">
        <v>4873</v>
      </c>
      <c r="C4375" t="s">
        <v>4926</v>
      </c>
      <c r="D4375" s="92" t="s">
        <v>446</v>
      </c>
      <c r="E4375" s="92" t="s">
        <v>446</v>
      </c>
      <c r="F4375" t="s">
        <v>446</v>
      </c>
      <c r="G4375" t="s">
        <v>446</v>
      </c>
      <c r="H4375" t="s">
        <v>4931</v>
      </c>
      <c r="I4375">
        <v>0</v>
      </c>
      <c r="J4375" t="s">
        <v>97</v>
      </c>
      <c r="K4375">
        <v>0</v>
      </c>
      <c r="L4375">
        <v>0</v>
      </c>
      <c r="M4375" t="s">
        <v>11</v>
      </c>
    </row>
    <row r="4376" spans="1:13">
      <c r="A4376" s="93">
        <v>495147</v>
      </c>
      <c r="B4376" t="s">
        <v>4874</v>
      </c>
      <c r="C4376" t="s">
        <v>4926</v>
      </c>
      <c r="D4376" s="92" t="s">
        <v>446</v>
      </c>
      <c r="E4376" s="92" t="s">
        <v>446</v>
      </c>
      <c r="F4376" t="s">
        <v>446</v>
      </c>
      <c r="G4376" t="s">
        <v>446</v>
      </c>
      <c r="H4376" t="s">
        <v>4932</v>
      </c>
      <c r="I4376">
        <v>0</v>
      </c>
      <c r="J4376" t="s">
        <v>97</v>
      </c>
      <c r="K4376">
        <v>0</v>
      </c>
      <c r="L4376">
        <v>0</v>
      </c>
      <c r="M4376" t="s">
        <v>11</v>
      </c>
    </row>
    <row r="4377" spans="1:13">
      <c r="A4377" s="93">
        <v>495183</v>
      </c>
      <c r="B4377" t="s">
        <v>4875</v>
      </c>
      <c r="C4377" t="s">
        <v>4926</v>
      </c>
      <c r="D4377" s="92" t="s">
        <v>446</v>
      </c>
      <c r="E4377" s="92" t="s">
        <v>446</v>
      </c>
      <c r="F4377" t="s">
        <v>446</v>
      </c>
      <c r="G4377" t="s">
        <v>446</v>
      </c>
      <c r="H4377" t="s">
        <v>4932</v>
      </c>
      <c r="I4377">
        <v>0</v>
      </c>
      <c r="J4377" t="s">
        <v>97</v>
      </c>
      <c r="K4377">
        <v>0</v>
      </c>
      <c r="L4377">
        <v>0</v>
      </c>
      <c r="M4377" t="s">
        <v>11</v>
      </c>
    </row>
    <row r="4378" spans="1:13">
      <c r="A4378" s="93">
        <v>495192</v>
      </c>
      <c r="B4378" t="s">
        <v>4876</v>
      </c>
      <c r="C4378" t="s">
        <v>4926</v>
      </c>
      <c r="D4378" s="92" t="s">
        <v>446</v>
      </c>
      <c r="E4378" s="92" t="s">
        <v>446</v>
      </c>
      <c r="F4378" t="s">
        <v>446</v>
      </c>
      <c r="G4378" t="s">
        <v>446</v>
      </c>
      <c r="H4378" t="s">
        <v>4932</v>
      </c>
      <c r="I4378">
        <v>0</v>
      </c>
      <c r="J4378" t="s">
        <v>97</v>
      </c>
      <c r="K4378">
        <v>0</v>
      </c>
      <c r="L4378">
        <v>0</v>
      </c>
      <c r="M4378" t="s">
        <v>11</v>
      </c>
    </row>
    <row r="4379" spans="1:13">
      <c r="A4379" s="93">
        <v>495271</v>
      </c>
      <c r="B4379" t="s">
        <v>4877</v>
      </c>
      <c r="C4379" t="s">
        <v>4926</v>
      </c>
      <c r="D4379" s="92" t="s">
        <v>446</v>
      </c>
      <c r="E4379" s="92" t="s">
        <v>446</v>
      </c>
      <c r="F4379" t="s">
        <v>446</v>
      </c>
      <c r="G4379" t="s">
        <v>446</v>
      </c>
      <c r="H4379" t="s">
        <v>4932</v>
      </c>
      <c r="I4379">
        <v>0</v>
      </c>
      <c r="J4379" t="s">
        <v>97</v>
      </c>
      <c r="K4379">
        <v>0</v>
      </c>
      <c r="L4379">
        <v>0</v>
      </c>
      <c r="M4379" t="s">
        <v>11</v>
      </c>
    </row>
    <row r="4380" spans="1:13">
      <c r="A4380" s="93">
        <v>495280</v>
      </c>
      <c r="B4380" t="s">
        <v>4878</v>
      </c>
      <c r="C4380" t="s">
        <v>4926</v>
      </c>
      <c r="D4380" s="92">
        <v>0.5</v>
      </c>
      <c r="E4380" s="92" t="s">
        <v>446</v>
      </c>
      <c r="F4380" t="s">
        <v>446</v>
      </c>
      <c r="G4380" t="s">
        <v>446</v>
      </c>
      <c r="H4380" t="s">
        <v>4931</v>
      </c>
      <c r="I4380">
        <v>0</v>
      </c>
      <c r="J4380" t="s">
        <v>97</v>
      </c>
      <c r="K4380">
        <v>0</v>
      </c>
      <c r="L4380">
        <v>0</v>
      </c>
      <c r="M4380" t="s">
        <v>11</v>
      </c>
    </row>
    <row r="4381" spans="1:13">
      <c r="A4381" s="93">
        <v>495314</v>
      </c>
      <c r="B4381" t="s">
        <v>4879</v>
      </c>
      <c r="C4381" t="s">
        <v>4926</v>
      </c>
      <c r="D4381" s="92" t="s">
        <v>446</v>
      </c>
      <c r="E4381" s="92" t="s">
        <v>446</v>
      </c>
      <c r="F4381" t="s">
        <v>446</v>
      </c>
      <c r="G4381" t="s">
        <v>446</v>
      </c>
      <c r="H4381" t="s">
        <v>4932</v>
      </c>
      <c r="I4381">
        <v>0</v>
      </c>
      <c r="J4381" t="s">
        <v>97</v>
      </c>
      <c r="K4381">
        <v>0</v>
      </c>
      <c r="L4381">
        <v>0</v>
      </c>
      <c r="M4381" t="s">
        <v>11</v>
      </c>
    </row>
    <row r="4382" spans="1:13">
      <c r="A4382" s="93">
        <v>495341</v>
      </c>
      <c r="B4382" t="s">
        <v>4880</v>
      </c>
      <c r="C4382" t="s">
        <v>4926</v>
      </c>
      <c r="D4382" s="92" t="s">
        <v>446</v>
      </c>
      <c r="E4382" s="92" t="s">
        <v>446</v>
      </c>
      <c r="F4382" t="s">
        <v>446</v>
      </c>
      <c r="G4382" t="s">
        <v>446</v>
      </c>
      <c r="H4382" t="s">
        <v>4931</v>
      </c>
      <c r="I4382">
        <v>0</v>
      </c>
      <c r="J4382" t="s">
        <v>97</v>
      </c>
      <c r="K4382">
        <v>0</v>
      </c>
      <c r="L4382">
        <v>0</v>
      </c>
      <c r="M4382" t="s">
        <v>11</v>
      </c>
    </row>
    <row r="4383" spans="1:13">
      <c r="A4383" s="93">
        <v>495378</v>
      </c>
      <c r="B4383" t="s">
        <v>4881</v>
      </c>
      <c r="C4383" t="s">
        <v>4926</v>
      </c>
      <c r="D4383" s="92" t="s">
        <v>446</v>
      </c>
      <c r="E4383" s="92" t="s">
        <v>446</v>
      </c>
      <c r="F4383" t="s">
        <v>446</v>
      </c>
      <c r="G4383" t="s">
        <v>446</v>
      </c>
      <c r="H4383" t="s">
        <v>4932</v>
      </c>
      <c r="I4383">
        <v>0</v>
      </c>
      <c r="J4383" t="s">
        <v>97</v>
      </c>
      <c r="K4383">
        <v>0</v>
      </c>
      <c r="L4383">
        <v>0</v>
      </c>
      <c r="M4383" t="s">
        <v>11</v>
      </c>
    </row>
    <row r="4384" spans="1:13">
      <c r="A4384" s="93">
        <v>495420</v>
      </c>
      <c r="B4384" t="s">
        <v>4882</v>
      </c>
      <c r="C4384" t="s">
        <v>4926</v>
      </c>
      <c r="D4384" s="92" t="s">
        <v>446</v>
      </c>
      <c r="E4384" s="92" t="s">
        <v>446</v>
      </c>
      <c r="F4384" t="s">
        <v>446</v>
      </c>
      <c r="G4384" t="s">
        <v>446</v>
      </c>
      <c r="H4384" t="s">
        <v>4930</v>
      </c>
      <c r="I4384">
        <v>0</v>
      </c>
      <c r="J4384" t="s">
        <v>97</v>
      </c>
      <c r="K4384">
        <v>0</v>
      </c>
      <c r="L4384">
        <v>0</v>
      </c>
      <c r="M4384" t="s">
        <v>11</v>
      </c>
    </row>
    <row r="4385" spans="1:13">
      <c r="A4385" s="93">
        <v>495439</v>
      </c>
      <c r="B4385" t="s">
        <v>4883</v>
      </c>
      <c r="C4385" t="s">
        <v>4926</v>
      </c>
      <c r="D4385" s="92" t="s">
        <v>446</v>
      </c>
      <c r="E4385" s="92" t="s">
        <v>446</v>
      </c>
      <c r="F4385" t="s">
        <v>446</v>
      </c>
      <c r="G4385" t="s">
        <v>446</v>
      </c>
      <c r="H4385" t="s">
        <v>4930</v>
      </c>
      <c r="I4385">
        <v>0</v>
      </c>
      <c r="J4385" t="s">
        <v>97</v>
      </c>
      <c r="K4385">
        <v>0</v>
      </c>
      <c r="L4385">
        <v>0</v>
      </c>
      <c r="M4385" t="s">
        <v>11</v>
      </c>
    </row>
    <row r="4386" spans="1:13">
      <c r="A4386" s="93">
        <v>495448</v>
      </c>
      <c r="B4386" t="s">
        <v>4884</v>
      </c>
      <c r="C4386" t="s">
        <v>4926</v>
      </c>
      <c r="D4386" s="92" t="s">
        <v>446</v>
      </c>
      <c r="E4386" s="92" t="s">
        <v>446</v>
      </c>
      <c r="F4386" t="s">
        <v>446</v>
      </c>
      <c r="G4386" t="s">
        <v>446</v>
      </c>
      <c r="H4386" t="s">
        <v>4932</v>
      </c>
      <c r="I4386">
        <v>0</v>
      </c>
      <c r="J4386" t="s">
        <v>97</v>
      </c>
      <c r="K4386">
        <v>0</v>
      </c>
      <c r="L4386">
        <v>0</v>
      </c>
      <c r="M4386" t="s">
        <v>11</v>
      </c>
    </row>
    <row r="4387" spans="1:13">
      <c r="A4387" s="93">
        <v>495457</v>
      </c>
      <c r="B4387" t="s">
        <v>4885</v>
      </c>
      <c r="C4387" t="s">
        <v>4926</v>
      </c>
      <c r="D4387" s="92" t="s">
        <v>446</v>
      </c>
      <c r="E4387" s="92" t="s">
        <v>446</v>
      </c>
      <c r="F4387" t="s">
        <v>446</v>
      </c>
      <c r="G4387" t="s">
        <v>446</v>
      </c>
      <c r="H4387" t="s">
        <v>4930</v>
      </c>
      <c r="I4387">
        <v>0</v>
      </c>
      <c r="J4387" t="s">
        <v>97</v>
      </c>
      <c r="K4387">
        <v>0</v>
      </c>
      <c r="L4387">
        <v>0</v>
      </c>
      <c r="M4387" t="s">
        <v>11</v>
      </c>
    </row>
    <row r="4388" spans="1:13">
      <c r="A4388" s="93">
        <v>495767</v>
      </c>
      <c r="B4388" t="s">
        <v>4886</v>
      </c>
      <c r="C4388" t="s">
        <v>4926</v>
      </c>
      <c r="D4388" s="92">
        <v>0.73</v>
      </c>
      <c r="E4388" s="92">
        <v>0.59</v>
      </c>
      <c r="F4388">
        <v>1140</v>
      </c>
      <c r="G4388">
        <v>1250</v>
      </c>
      <c r="H4388" t="s">
        <v>4930</v>
      </c>
      <c r="I4388">
        <v>0</v>
      </c>
      <c r="J4388" t="s">
        <v>97</v>
      </c>
      <c r="K4388">
        <v>0</v>
      </c>
      <c r="L4388">
        <v>0</v>
      </c>
      <c r="M4388" t="s">
        <v>11</v>
      </c>
    </row>
    <row r="4389" spans="1:13">
      <c r="A4389" s="93">
        <v>495916</v>
      </c>
      <c r="B4389" t="s">
        <v>4887</v>
      </c>
      <c r="C4389" t="s">
        <v>4926</v>
      </c>
      <c r="D4389" s="92" t="s">
        <v>446</v>
      </c>
      <c r="E4389" s="92" t="s">
        <v>446</v>
      </c>
      <c r="F4389" t="s">
        <v>446</v>
      </c>
      <c r="G4389" t="s">
        <v>446</v>
      </c>
      <c r="H4389" t="s">
        <v>4932</v>
      </c>
      <c r="I4389">
        <v>0</v>
      </c>
      <c r="J4389" t="s">
        <v>97</v>
      </c>
      <c r="K4389">
        <v>0</v>
      </c>
      <c r="L4389">
        <v>0</v>
      </c>
      <c r="M4389" t="s">
        <v>11</v>
      </c>
    </row>
    <row r="4390" spans="1:13">
      <c r="A4390" s="93">
        <v>495952</v>
      </c>
      <c r="B4390" t="s">
        <v>4888</v>
      </c>
      <c r="C4390" t="s">
        <v>4926</v>
      </c>
      <c r="D4390" s="92" t="s">
        <v>446</v>
      </c>
      <c r="E4390" s="92" t="s">
        <v>446</v>
      </c>
      <c r="F4390" t="s">
        <v>446</v>
      </c>
      <c r="G4390" t="s">
        <v>446</v>
      </c>
      <c r="H4390" t="s">
        <v>4930</v>
      </c>
      <c r="I4390">
        <v>0</v>
      </c>
      <c r="J4390" t="s">
        <v>97</v>
      </c>
      <c r="K4390">
        <v>0</v>
      </c>
      <c r="L4390">
        <v>0</v>
      </c>
      <c r="M4390" t="s">
        <v>11</v>
      </c>
    </row>
    <row r="4391" spans="1:13">
      <c r="A4391" s="93">
        <v>495961</v>
      </c>
      <c r="B4391" t="s">
        <v>4889</v>
      </c>
      <c r="C4391" t="s">
        <v>4926</v>
      </c>
      <c r="D4391" s="92" t="s">
        <v>446</v>
      </c>
      <c r="E4391" s="92" t="s">
        <v>446</v>
      </c>
      <c r="F4391" t="s">
        <v>446</v>
      </c>
      <c r="G4391" t="s">
        <v>446</v>
      </c>
      <c r="H4391" t="s">
        <v>4930</v>
      </c>
      <c r="I4391">
        <v>0</v>
      </c>
      <c r="J4391" t="s">
        <v>97</v>
      </c>
      <c r="K4391">
        <v>0</v>
      </c>
      <c r="L4391">
        <v>0</v>
      </c>
      <c r="M4391" t="s">
        <v>11</v>
      </c>
    </row>
    <row r="4392" spans="1:13">
      <c r="A4392" s="93">
        <v>496043</v>
      </c>
      <c r="B4392" t="s">
        <v>4890</v>
      </c>
      <c r="C4392" t="s">
        <v>4926</v>
      </c>
      <c r="D4392" s="92" t="s">
        <v>446</v>
      </c>
      <c r="E4392" s="92" t="s">
        <v>446</v>
      </c>
      <c r="F4392" t="s">
        <v>446</v>
      </c>
      <c r="G4392" t="s">
        <v>446</v>
      </c>
      <c r="H4392" t="s">
        <v>4932</v>
      </c>
      <c r="I4392">
        <v>0</v>
      </c>
      <c r="J4392" t="s">
        <v>97</v>
      </c>
      <c r="K4392">
        <v>0</v>
      </c>
      <c r="L4392">
        <v>0</v>
      </c>
      <c r="M4392" t="s">
        <v>11</v>
      </c>
    </row>
    <row r="4393" spans="1:13">
      <c r="A4393" s="93">
        <v>496061</v>
      </c>
      <c r="B4393" t="s">
        <v>4891</v>
      </c>
      <c r="C4393" t="s">
        <v>4926</v>
      </c>
      <c r="D4393" s="92" t="s">
        <v>446</v>
      </c>
      <c r="E4393" s="92" t="s">
        <v>446</v>
      </c>
      <c r="F4393" t="s">
        <v>446</v>
      </c>
      <c r="G4393" t="s">
        <v>446</v>
      </c>
      <c r="H4393" t="s">
        <v>4931</v>
      </c>
      <c r="I4393">
        <v>0</v>
      </c>
      <c r="J4393" t="s">
        <v>97</v>
      </c>
      <c r="K4393">
        <v>0</v>
      </c>
      <c r="L4393">
        <v>0</v>
      </c>
      <c r="M4393" t="s">
        <v>11</v>
      </c>
    </row>
    <row r="4394" spans="1:13">
      <c r="A4394" s="93">
        <v>496070</v>
      </c>
      <c r="B4394" t="s">
        <v>4892</v>
      </c>
      <c r="C4394" t="s">
        <v>4926</v>
      </c>
      <c r="D4394" s="92" t="s">
        <v>446</v>
      </c>
      <c r="E4394" s="92" t="s">
        <v>446</v>
      </c>
      <c r="F4394" t="s">
        <v>446</v>
      </c>
      <c r="G4394" t="s">
        <v>446</v>
      </c>
      <c r="H4394" t="s">
        <v>4932</v>
      </c>
      <c r="I4394">
        <v>0</v>
      </c>
      <c r="J4394" t="s">
        <v>97</v>
      </c>
      <c r="K4394">
        <v>0</v>
      </c>
      <c r="L4394">
        <v>0</v>
      </c>
      <c r="M4394" t="s">
        <v>11</v>
      </c>
    </row>
    <row r="4395" spans="1:13">
      <c r="A4395" s="93">
        <v>496186</v>
      </c>
      <c r="B4395" t="s">
        <v>4893</v>
      </c>
      <c r="C4395" t="s">
        <v>4926</v>
      </c>
      <c r="D4395" s="92" t="s">
        <v>446</v>
      </c>
      <c r="E4395" s="92" t="s">
        <v>446</v>
      </c>
      <c r="F4395" t="s">
        <v>446</v>
      </c>
      <c r="G4395" t="s">
        <v>446</v>
      </c>
      <c r="H4395" t="s">
        <v>4930</v>
      </c>
      <c r="I4395">
        <v>0</v>
      </c>
      <c r="J4395" t="s">
        <v>97</v>
      </c>
      <c r="K4395">
        <v>0</v>
      </c>
      <c r="L4395">
        <v>0</v>
      </c>
      <c r="M4395" t="s">
        <v>11</v>
      </c>
    </row>
    <row r="4396" spans="1:13">
      <c r="A4396" s="93">
        <v>496265</v>
      </c>
      <c r="B4396" t="s">
        <v>4894</v>
      </c>
      <c r="C4396" t="s">
        <v>4926</v>
      </c>
      <c r="D4396" s="92" t="s">
        <v>446</v>
      </c>
      <c r="E4396" s="92" t="s">
        <v>446</v>
      </c>
      <c r="F4396" t="s">
        <v>446</v>
      </c>
      <c r="G4396" t="s">
        <v>446</v>
      </c>
      <c r="H4396" t="s">
        <v>4930</v>
      </c>
      <c r="I4396">
        <v>0</v>
      </c>
      <c r="J4396" t="s">
        <v>97</v>
      </c>
      <c r="K4396">
        <v>0</v>
      </c>
      <c r="L4396">
        <v>0</v>
      </c>
      <c r="M4396" t="s">
        <v>11</v>
      </c>
    </row>
    <row r="4397" spans="1:13">
      <c r="A4397" s="93">
        <v>496283</v>
      </c>
      <c r="B4397" t="s">
        <v>4895</v>
      </c>
      <c r="C4397" t="s">
        <v>4926</v>
      </c>
      <c r="D4397" s="92" t="s">
        <v>446</v>
      </c>
      <c r="E4397" s="92" t="s">
        <v>446</v>
      </c>
      <c r="F4397" t="s">
        <v>446</v>
      </c>
      <c r="G4397" t="s">
        <v>446</v>
      </c>
      <c r="H4397" t="s">
        <v>4930</v>
      </c>
      <c r="I4397">
        <v>0</v>
      </c>
      <c r="J4397" t="s">
        <v>97</v>
      </c>
      <c r="K4397">
        <v>0</v>
      </c>
      <c r="L4397">
        <v>0</v>
      </c>
      <c r="M4397" t="s">
        <v>11</v>
      </c>
    </row>
    <row r="4398" spans="1:13">
      <c r="A4398" s="93">
        <v>496292</v>
      </c>
      <c r="B4398" t="s">
        <v>4896</v>
      </c>
      <c r="C4398" t="s">
        <v>4926</v>
      </c>
      <c r="D4398" s="92" t="s">
        <v>446</v>
      </c>
      <c r="E4398" s="92" t="s">
        <v>446</v>
      </c>
      <c r="F4398" t="s">
        <v>446</v>
      </c>
      <c r="G4398" t="s">
        <v>446</v>
      </c>
      <c r="H4398" t="s">
        <v>4932</v>
      </c>
      <c r="I4398">
        <v>0</v>
      </c>
      <c r="J4398" t="s">
        <v>97</v>
      </c>
      <c r="K4398">
        <v>0</v>
      </c>
      <c r="L4398">
        <v>0</v>
      </c>
      <c r="M4398" t="s">
        <v>11</v>
      </c>
    </row>
    <row r="4399" spans="1:13">
      <c r="A4399" s="93">
        <v>496326</v>
      </c>
      <c r="B4399" t="s">
        <v>4897</v>
      </c>
      <c r="C4399" t="s">
        <v>4926</v>
      </c>
      <c r="D4399" s="92" t="s">
        <v>446</v>
      </c>
      <c r="E4399" s="92" t="s">
        <v>446</v>
      </c>
      <c r="F4399" t="s">
        <v>446</v>
      </c>
      <c r="G4399" t="s">
        <v>446</v>
      </c>
      <c r="H4399" t="s">
        <v>4930</v>
      </c>
      <c r="I4399">
        <v>0</v>
      </c>
      <c r="J4399" t="s">
        <v>97</v>
      </c>
      <c r="K4399">
        <v>0</v>
      </c>
      <c r="L4399">
        <v>0</v>
      </c>
      <c r="M4399" t="s">
        <v>11</v>
      </c>
    </row>
    <row r="4400" spans="1:13">
      <c r="A4400" s="93">
        <v>496399</v>
      </c>
      <c r="B4400" t="s">
        <v>4898</v>
      </c>
      <c r="C4400" t="s">
        <v>4926</v>
      </c>
      <c r="D4400" s="92" t="s">
        <v>446</v>
      </c>
      <c r="E4400" s="92" t="s">
        <v>446</v>
      </c>
      <c r="F4400" t="s">
        <v>446</v>
      </c>
      <c r="G4400" t="s">
        <v>446</v>
      </c>
      <c r="H4400" t="s">
        <v>4931</v>
      </c>
      <c r="I4400">
        <v>0</v>
      </c>
      <c r="J4400" t="s">
        <v>97</v>
      </c>
      <c r="K4400">
        <v>0</v>
      </c>
      <c r="L4400">
        <v>0</v>
      </c>
      <c r="M4400" t="s">
        <v>11</v>
      </c>
    </row>
    <row r="4401" spans="1:13">
      <c r="A4401" s="93">
        <v>496469</v>
      </c>
      <c r="B4401" t="s">
        <v>4899</v>
      </c>
      <c r="C4401" t="s">
        <v>4926</v>
      </c>
      <c r="D4401" s="92" t="s">
        <v>446</v>
      </c>
      <c r="E4401" s="92" t="s">
        <v>446</v>
      </c>
      <c r="F4401" t="s">
        <v>446</v>
      </c>
      <c r="G4401" t="s">
        <v>446</v>
      </c>
      <c r="H4401" t="s">
        <v>4932</v>
      </c>
      <c r="I4401">
        <v>0</v>
      </c>
      <c r="J4401" t="s">
        <v>97</v>
      </c>
      <c r="K4401">
        <v>0</v>
      </c>
      <c r="L4401">
        <v>0</v>
      </c>
      <c r="M4401" t="s">
        <v>11</v>
      </c>
    </row>
    <row r="4402" spans="1:13">
      <c r="A4402" s="93">
        <v>496627</v>
      </c>
      <c r="B4402" t="s">
        <v>4900</v>
      </c>
      <c r="C4402" t="s">
        <v>4926</v>
      </c>
      <c r="D4402" s="92">
        <v>1</v>
      </c>
      <c r="E4402" s="92" t="s">
        <v>446</v>
      </c>
      <c r="F4402" t="s">
        <v>446</v>
      </c>
      <c r="G4402" t="s">
        <v>446</v>
      </c>
      <c r="H4402" t="s">
        <v>4932</v>
      </c>
      <c r="I4402">
        <v>0</v>
      </c>
      <c r="J4402" t="s">
        <v>97</v>
      </c>
      <c r="K4402">
        <v>0</v>
      </c>
      <c r="L4402">
        <v>0</v>
      </c>
      <c r="M4402" t="s">
        <v>11</v>
      </c>
    </row>
    <row r="4403" spans="1:13">
      <c r="A4403" s="93">
        <v>496636</v>
      </c>
      <c r="B4403" t="s">
        <v>4901</v>
      </c>
      <c r="C4403" t="s">
        <v>4926</v>
      </c>
      <c r="D4403" s="92">
        <v>0.51</v>
      </c>
      <c r="E4403" s="92">
        <v>0.5</v>
      </c>
      <c r="F4403" t="s">
        <v>446</v>
      </c>
      <c r="G4403" t="s">
        <v>446</v>
      </c>
      <c r="H4403" t="s">
        <v>4932</v>
      </c>
      <c r="I4403">
        <v>0</v>
      </c>
      <c r="J4403" t="s">
        <v>97</v>
      </c>
      <c r="K4403">
        <v>0</v>
      </c>
      <c r="L4403">
        <v>0</v>
      </c>
      <c r="M4403" t="s">
        <v>11</v>
      </c>
    </row>
    <row r="4404" spans="1:13">
      <c r="A4404" s="93">
        <v>496681</v>
      </c>
      <c r="B4404" t="s">
        <v>4902</v>
      </c>
      <c r="C4404" t="s">
        <v>4926</v>
      </c>
      <c r="D4404" s="92" t="s">
        <v>446</v>
      </c>
      <c r="E4404" s="92" t="s">
        <v>446</v>
      </c>
      <c r="F4404" t="s">
        <v>446</v>
      </c>
      <c r="G4404" t="s">
        <v>446</v>
      </c>
      <c r="H4404" t="s">
        <v>4931</v>
      </c>
      <c r="I4404">
        <v>0</v>
      </c>
      <c r="J4404" t="s">
        <v>97</v>
      </c>
      <c r="K4404">
        <v>0</v>
      </c>
      <c r="L4404">
        <v>0</v>
      </c>
      <c r="M4404" t="s">
        <v>11</v>
      </c>
    </row>
    <row r="4405" spans="1:13">
      <c r="A4405" s="93">
        <v>496706</v>
      </c>
      <c r="B4405" t="s">
        <v>4903</v>
      </c>
      <c r="C4405" t="s">
        <v>4926</v>
      </c>
      <c r="D4405" s="92" t="s">
        <v>446</v>
      </c>
      <c r="E4405" s="92" t="s">
        <v>446</v>
      </c>
      <c r="F4405" t="s">
        <v>446</v>
      </c>
      <c r="G4405" t="s">
        <v>446</v>
      </c>
      <c r="H4405" t="s">
        <v>4932</v>
      </c>
      <c r="I4405">
        <v>0</v>
      </c>
      <c r="J4405" t="s">
        <v>97</v>
      </c>
      <c r="K4405">
        <v>0</v>
      </c>
      <c r="L4405">
        <v>0</v>
      </c>
      <c r="M4405" t="s">
        <v>11</v>
      </c>
    </row>
    <row r="4406" spans="1:13">
      <c r="A4406" s="93">
        <v>496803</v>
      </c>
      <c r="B4406" t="s">
        <v>4904</v>
      </c>
      <c r="C4406" t="s">
        <v>4926</v>
      </c>
      <c r="D4406" s="92" t="s">
        <v>446</v>
      </c>
      <c r="E4406" s="92" t="s">
        <v>446</v>
      </c>
      <c r="F4406" t="s">
        <v>446</v>
      </c>
      <c r="G4406" t="s">
        <v>446</v>
      </c>
      <c r="H4406" t="s">
        <v>4932</v>
      </c>
      <c r="I4406">
        <v>0</v>
      </c>
      <c r="J4406" t="s">
        <v>97</v>
      </c>
      <c r="K4406">
        <v>0</v>
      </c>
      <c r="L4406">
        <v>0</v>
      </c>
      <c r="M4406" t="s">
        <v>11</v>
      </c>
    </row>
    <row r="4407" spans="1:13">
      <c r="A4407" s="93">
        <v>496973</v>
      </c>
      <c r="B4407" t="s">
        <v>4905</v>
      </c>
      <c r="C4407" t="s">
        <v>4926</v>
      </c>
      <c r="D4407" s="92" t="s">
        <v>446</v>
      </c>
      <c r="E4407" s="92" t="s">
        <v>446</v>
      </c>
      <c r="F4407" t="s">
        <v>446</v>
      </c>
      <c r="G4407" t="s">
        <v>446</v>
      </c>
      <c r="H4407" t="s">
        <v>4932</v>
      </c>
      <c r="I4407">
        <v>0</v>
      </c>
      <c r="J4407" t="s">
        <v>97</v>
      </c>
      <c r="K4407">
        <v>0</v>
      </c>
      <c r="L4407">
        <v>0</v>
      </c>
      <c r="M4407" t="s">
        <v>11</v>
      </c>
    </row>
    <row r="4408" spans="1:13">
      <c r="A4408" s="93">
        <v>496991</v>
      </c>
      <c r="B4408" t="s">
        <v>4906</v>
      </c>
      <c r="C4408" t="s">
        <v>4926</v>
      </c>
      <c r="D4408" s="92" t="s">
        <v>446</v>
      </c>
      <c r="E4408" s="92" t="s">
        <v>446</v>
      </c>
      <c r="F4408" t="s">
        <v>446</v>
      </c>
      <c r="G4408" t="s">
        <v>446</v>
      </c>
      <c r="H4408" t="s">
        <v>4931</v>
      </c>
      <c r="I4408">
        <v>0</v>
      </c>
      <c r="J4408" t="s">
        <v>97</v>
      </c>
      <c r="K4408">
        <v>0</v>
      </c>
      <c r="L4408">
        <v>0</v>
      </c>
      <c r="M4408" t="s">
        <v>11</v>
      </c>
    </row>
    <row r="4409" spans="1:13">
      <c r="A4409" s="93">
        <v>497000</v>
      </c>
      <c r="B4409" t="s">
        <v>4907</v>
      </c>
      <c r="C4409" t="s">
        <v>4926</v>
      </c>
      <c r="D4409" s="92" t="s">
        <v>446</v>
      </c>
      <c r="E4409" s="92" t="s">
        <v>446</v>
      </c>
      <c r="F4409" t="s">
        <v>446</v>
      </c>
      <c r="G4409" t="s">
        <v>446</v>
      </c>
      <c r="H4409" t="s">
        <v>4930</v>
      </c>
      <c r="I4409">
        <v>0</v>
      </c>
      <c r="J4409" t="s">
        <v>97</v>
      </c>
      <c r="K4409">
        <v>0</v>
      </c>
      <c r="L4409">
        <v>0</v>
      </c>
      <c r="M4409" t="s">
        <v>11</v>
      </c>
    </row>
    <row r="4410" spans="1:13">
      <c r="A4410" s="93">
        <v>497037</v>
      </c>
      <c r="B4410" t="s">
        <v>4908</v>
      </c>
      <c r="C4410" t="s">
        <v>4926</v>
      </c>
      <c r="D4410" s="92" t="s">
        <v>446</v>
      </c>
      <c r="E4410" s="92" t="s">
        <v>446</v>
      </c>
      <c r="F4410" t="s">
        <v>446</v>
      </c>
      <c r="G4410" t="s">
        <v>446</v>
      </c>
      <c r="H4410" t="s">
        <v>4932</v>
      </c>
      <c r="I4410">
        <v>0</v>
      </c>
      <c r="J4410" t="s">
        <v>97</v>
      </c>
      <c r="K4410">
        <v>0</v>
      </c>
      <c r="L4410">
        <v>0</v>
      </c>
      <c r="M4410" t="s">
        <v>11</v>
      </c>
    </row>
    <row r="4411" spans="1:13">
      <c r="A4411" s="93">
        <v>497116</v>
      </c>
      <c r="B4411" t="s">
        <v>4909</v>
      </c>
      <c r="C4411" t="s">
        <v>4926</v>
      </c>
      <c r="D4411" s="92" t="s">
        <v>446</v>
      </c>
      <c r="E4411" s="92" t="s">
        <v>446</v>
      </c>
      <c r="F4411" t="s">
        <v>446</v>
      </c>
      <c r="G4411" t="s">
        <v>446</v>
      </c>
      <c r="H4411" t="s">
        <v>4932</v>
      </c>
      <c r="I4411">
        <v>0</v>
      </c>
      <c r="J4411" t="s">
        <v>97</v>
      </c>
      <c r="K4411">
        <v>0</v>
      </c>
      <c r="L4411">
        <v>0</v>
      </c>
      <c r="M4411" t="s">
        <v>11</v>
      </c>
    </row>
    <row r="4412" spans="1:13">
      <c r="A4412" s="93">
        <v>497125</v>
      </c>
      <c r="B4412" t="s">
        <v>4910</v>
      </c>
      <c r="C4412" t="s">
        <v>4926</v>
      </c>
      <c r="D4412" s="92" t="s">
        <v>446</v>
      </c>
      <c r="E4412" s="92" t="s">
        <v>446</v>
      </c>
      <c r="F4412" t="s">
        <v>446</v>
      </c>
      <c r="G4412" t="s">
        <v>446</v>
      </c>
      <c r="H4412" t="s">
        <v>4932</v>
      </c>
      <c r="I4412">
        <v>0</v>
      </c>
      <c r="J4412" t="s">
        <v>97</v>
      </c>
      <c r="K4412">
        <v>0</v>
      </c>
      <c r="L4412">
        <v>0</v>
      </c>
      <c r="M4412" t="s">
        <v>11</v>
      </c>
    </row>
    <row r="4413" spans="1:13">
      <c r="A4413" s="93">
        <v>497213</v>
      </c>
      <c r="B4413" t="s">
        <v>4911</v>
      </c>
      <c r="C4413" t="s">
        <v>4926</v>
      </c>
      <c r="D4413" s="92" t="s">
        <v>446</v>
      </c>
      <c r="E4413" s="92" t="s">
        <v>446</v>
      </c>
      <c r="F4413" t="s">
        <v>446</v>
      </c>
      <c r="G4413" t="s">
        <v>446</v>
      </c>
      <c r="H4413" t="s">
        <v>4932</v>
      </c>
      <c r="I4413">
        <v>0</v>
      </c>
      <c r="J4413" t="s">
        <v>97</v>
      </c>
      <c r="K4413">
        <v>0</v>
      </c>
      <c r="L4413">
        <v>0</v>
      </c>
      <c r="M4413" t="s">
        <v>11</v>
      </c>
    </row>
    <row r="4414" spans="1:13">
      <c r="A4414" s="93">
        <v>497268</v>
      </c>
      <c r="B4414" t="s">
        <v>4912</v>
      </c>
      <c r="C4414" t="s">
        <v>4926</v>
      </c>
      <c r="D4414" s="92" t="s">
        <v>446</v>
      </c>
      <c r="E4414" s="92" t="s">
        <v>446</v>
      </c>
      <c r="F4414" t="s">
        <v>446</v>
      </c>
      <c r="G4414" t="s">
        <v>446</v>
      </c>
      <c r="H4414" t="s">
        <v>4932</v>
      </c>
      <c r="I4414">
        <v>0</v>
      </c>
      <c r="J4414" t="s">
        <v>97</v>
      </c>
      <c r="K4414">
        <v>0</v>
      </c>
      <c r="L4414">
        <v>0</v>
      </c>
      <c r="M4414" t="s">
        <v>11</v>
      </c>
    </row>
    <row r="4415" spans="1:13">
      <c r="A4415" s="93">
        <v>497277</v>
      </c>
      <c r="B4415" t="s">
        <v>4913</v>
      </c>
      <c r="C4415" t="s">
        <v>4926</v>
      </c>
      <c r="D4415" s="92" t="s">
        <v>446</v>
      </c>
      <c r="E4415" s="92" t="s">
        <v>446</v>
      </c>
      <c r="F4415" t="s">
        <v>446</v>
      </c>
      <c r="G4415" t="s">
        <v>446</v>
      </c>
      <c r="H4415" t="s">
        <v>4930</v>
      </c>
      <c r="I4415">
        <v>0</v>
      </c>
      <c r="J4415" t="s">
        <v>97</v>
      </c>
      <c r="K4415">
        <v>0</v>
      </c>
      <c r="L4415">
        <v>0</v>
      </c>
      <c r="M4415" t="s">
        <v>11</v>
      </c>
    </row>
    <row r="4416" spans="1:13">
      <c r="A4416" s="93">
        <v>497286</v>
      </c>
      <c r="B4416" t="s">
        <v>4914</v>
      </c>
      <c r="C4416" t="s">
        <v>4926</v>
      </c>
      <c r="D4416" s="92" t="s">
        <v>446</v>
      </c>
      <c r="E4416" s="92" t="s">
        <v>446</v>
      </c>
      <c r="F4416" t="s">
        <v>446</v>
      </c>
      <c r="G4416" t="s">
        <v>446</v>
      </c>
      <c r="H4416" t="s">
        <v>4932</v>
      </c>
      <c r="I4416">
        <v>0</v>
      </c>
      <c r="J4416" t="s">
        <v>97</v>
      </c>
      <c r="K4416">
        <v>0</v>
      </c>
      <c r="L4416">
        <v>0</v>
      </c>
      <c r="M4416" t="s">
        <v>11</v>
      </c>
    </row>
    <row r="4417" spans="1:13">
      <c r="A4417" s="93">
        <v>497338</v>
      </c>
      <c r="B4417" t="s">
        <v>4915</v>
      </c>
      <c r="C4417" t="s">
        <v>4926</v>
      </c>
      <c r="D4417" s="92" t="s">
        <v>446</v>
      </c>
      <c r="E4417" s="92" t="s">
        <v>446</v>
      </c>
      <c r="F4417" t="s">
        <v>446</v>
      </c>
      <c r="G4417" t="s">
        <v>446</v>
      </c>
      <c r="H4417" t="s">
        <v>4932</v>
      </c>
      <c r="I4417">
        <v>0</v>
      </c>
      <c r="J4417" t="s">
        <v>97</v>
      </c>
      <c r="K4417">
        <v>0</v>
      </c>
      <c r="L4417">
        <v>0</v>
      </c>
      <c r="M4417" t="s">
        <v>11</v>
      </c>
    </row>
  </sheetData>
  <autoFilter ref="A1:L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73"/>
  <sheetViews>
    <sheetView workbookViewId="0"/>
  </sheetViews>
  <sheetFormatPr defaultRowHeight="15"/>
  <cols>
    <col min="1" max="1" width="40.7109375" style="19" customWidth="1"/>
  </cols>
  <sheetData>
    <row r="1" spans="1:3">
      <c r="A1" s="93" t="s">
        <v>4936</v>
      </c>
      <c r="B1" s="93" t="s">
        <v>629</v>
      </c>
      <c r="C1" s="93" t="s">
        <v>625</v>
      </c>
    </row>
    <row r="2" spans="1:3">
      <c r="A2" s="93"/>
    </row>
    <row r="3" spans="1:3">
      <c r="A3" s="93" t="s">
        <v>3387</v>
      </c>
      <c r="B3">
        <v>222178</v>
      </c>
      <c r="C3" t="s">
        <v>97</v>
      </c>
    </row>
    <row r="4" spans="1:3">
      <c r="A4" s="93" t="s">
        <v>4937</v>
      </c>
      <c r="B4">
        <v>126182</v>
      </c>
      <c r="C4" t="s">
        <v>97</v>
      </c>
    </row>
    <row r="5" spans="1:3">
      <c r="A5" s="93" t="s">
        <v>2508</v>
      </c>
      <c r="B5">
        <v>188429</v>
      </c>
      <c r="C5" t="s">
        <v>97</v>
      </c>
    </row>
    <row r="6" spans="1:3">
      <c r="A6" s="93" t="s">
        <v>2138</v>
      </c>
      <c r="B6">
        <v>168528</v>
      </c>
      <c r="C6" t="s">
        <v>97</v>
      </c>
    </row>
    <row r="7" spans="1:3">
      <c r="A7" s="93" t="s">
        <v>4938</v>
      </c>
      <c r="B7">
        <v>138600</v>
      </c>
      <c r="C7" t="s">
        <v>97</v>
      </c>
    </row>
    <row r="8" spans="1:3">
      <c r="A8" s="93" t="s">
        <v>664</v>
      </c>
      <c r="B8">
        <v>100654</v>
      </c>
      <c r="C8" t="s">
        <v>153</v>
      </c>
    </row>
    <row r="9" spans="1:3">
      <c r="A9" s="93" t="s">
        <v>721</v>
      </c>
      <c r="B9">
        <v>100724</v>
      </c>
      <c r="C9" t="s">
        <v>153</v>
      </c>
    </row>
    <row r="10" spans="1:3">
      <c r="A10" s="93" t="s">
        <v>1173</v>
      </c>
      <c r="B10">
        <v>102669</v>
      </c>
      <c r="C10" t="s">
        <v>97</v>
      </c>
    </row>
    <row r="11" spans="1:3">
      <c r="A11" s="93" t="s">
        <v>925</v>
      </c>
      <c r="B11">
        <v>138716</v>
      </c>
      <c r="C11" t="s">
        <v>153</v>
      </c>
    </row>
    <row r="12" spans="1:3">
      <c r="A12" s="93" t="s">
        <v>1527</v>
      </c>
      <c r="B12">
        <v>128498</v>
      </c>
      <c r="C12" t="s">
        <v>97</v>
      </c>
    </row>
    <row r="13" spans="1:3">
      <c r="A13" s="93" t="s">
        <v>478</v>
      </c>
      <c r="B13">
        <v>168546</v>
      </c>
      <c r="C13" t="s">
        <v>97</v>
      </c>
    </row>
    <row r="14" spans="1:3">
      <c r="A14" s="93" t="s">
        <v>3071</v>
      </c>
      <c r="B14">
        <v>210571</v>
      </c>
      <c r="C14" t="s">
        <v>97</v>
      </c>
    </row>
    <row r="15" spans="1:3">
      <c r="A15" s="93" t="s">
        <v>990</v>
      </c>
      <c r="B15">
        <v>175342</v>
      </c>
      <c r="C15" t="s">
        <v>153</v>
      </c>
    </row>
    <row r="16" spans="1:3">
      <c r="A16" s="93" t="s">
        <v>4939</v>
      </c>
      <c r="B16">
        <v>237118</v>
      </c>
      <c r="C16" t="s">
        <v>97</v>
      </c>
    </row>
    <row r="17" spans="1:3">
      <c r="A17" s="93" t="s">
        <v>2514</v>
      </c>
      <c r="B17">
        <v>188641</v>
      </c>
      <c r="C17" t="s">
        <v>97</v>
      </c>
    </row>
    <row r="18" spans="1:3">
      <c r="A18" s="93" t="s">
        <v>1916</v>
      </c>
      <c r="B18">
        <v>156189</v>
      </c>
      <c r="C18" t="s">
        <v>97</v>
      </c>
    </row>
    <row r="19" spans="1:3">
      <c r="A19" s="93" t="s">
        <v>3074</v>
      </c>
      <c r="B19">
        <v>210669</v>
      </c>
      <c r="C19" t="s">
        <v>97</v>
      </c>
    </row>
    <row r="20" spans="1:3">
      <c r="A20" s="93" t="s">
        <v>2139</v>
      </c>
      <c r="B20">
        <v>168591</v>
      </c>
      <c r="C20" t="s">
        <v>97</v>
      </c>
    </row>
    <row r="21" spans="1:3">
      <c r="A21" s="93" t="s">
        <v>3076</v>
      </c>
      <c r="B21">
        <v>210775</v>
      </c>
      <c r="C21" t="s">
        <v>97</v>
      </c>
    </row>
    <row r="22" spans="1:3">
      <c r="A22" s="93" t="s">
        <v>3689</v>
      </c>
      <c r="B22">
        <v>238193</v>
      </c>
      <c r="C22" t="s">
        <v>97</v>
      </c>
    </row>
    <row r="23" spans="1:3">
      <c r="A23" s="93" t="s">
        <v>2048</v>
      </c>
      <c r="B23">
        <v>164447</v>
      </c>
      <c r="C23" t="s">
        <v>97</v>
      </c>
    </row>
    <row r="24" spans="1:3">
      <c r="A24" s="93" t="s">
        <v>1356</v>
      </c>
      <c r="B24">
        <v>116846</v>
      </c>
      <c r="C24" t="s">
        <v>97</v>
      </c>
    </row>
    <row r="25" spans="1:3">
      <c r="A25" s="93" t="s">
        <v>915</v>
      </c>
      <c r="B25">
        <v>131159</v>
      </c>
      <c r="C25" t="s">
        <v>97</v>
      </c>
    </row>
    <row r="26" spans="1:3">
      <c r="A26" s="93" t="s">
        <v>2049</v>
      </c>
      <c r="B26">
        <v>164465</v>
      </c>
      <c r="C26" t="s">
        <v>97</v>
      </c>
    </row>
    <row r="27" spans="1:3">
      <c r="A27" s="93" t="s">
        <v>1790</v>
      </c>
      <c r="B27">
        <v>150066</v>
      </c>
      <c r="C27" t="s">
        <v>97</v>
      </c>
    </row>
    <row r="28" spans="1:3">
      <c r="A28" s="93" t="s">
        <v>1790</v>
      </c>
      <c r="B28">
        <v>217633</v>
      </c>
      <c r="C28" t="s">
        <v>97</v>
      </c>
    </row>
    <row r="29" spans="1:3">
      <c r="A29" s="93" t="s">
        <v>2141</v>
      </c>
      <c r="B29">
        <v>168740</v>
      </c>
      <c r="C29" t="s">
        <v>97</v>
      </c>
    </row>
    <row r="30" spans="1:3">
      <c r="A30" s="93" t="s">
        <v>2050</v>
      </c>
      <c r="B30">
        <v>164492</v>
      </c>
      <c r="C30" t="s">
        <v>97</v>
      </c>
    </row>
    <row r="31" spans="1:3">
      <c r="A31" s="93" t="s">
        <v>2736</v>
      </c>
      <c r="B31">
        <v>197869</v>
      </c>
      <c r="C31" t="s">
        <v>97</v>
      </c>
    </row>
    <row r="32" spans="1:3">
      <c r="A32" s="93" t="s">
        <v>2142</v>
      </c>
      <c r="B32">
        <v>168786</v>
      </c>
      <c r="C32" t="s">
        <v>97</v>
      </c>
    </row>
    <row r="33" spans="1:3">
      <c r="A33" s="93" t="s">
        <v>3080</v>
      </c>
      <c r="B33">
        <v>211088</v>
      </c>
      <c r="C33" t="s">
        <v>97</v>
      </c>
    </row>
    <row r="34" spans="1:3">
      <c r="A34" s="93" t="s">
        <v>1201</v>
      </c>
      <c r="B34">
        <v>105899</v>
      </c>
      <c r="C34" t="s">
        <v>97</v>
      </c>
    </row>
    <row r="35" spans="1:3">
      <c r="A35" s="93" t="s">
        <v>4940</v>
      </c>
      <c r="B35">
        <v>104151</v>
      </c>
      <c r="C35" t="s">
        <v>97</v>
      </c>
    </row>
    <row r="36" spans="1:3">
      <c r="A36" s="93" t="s">
        <v>4941</v>
      </c>
      <c r="B36">
        <v>106458</v>
      </c>
      <c r="C36" t="s">
        <v>97</v>
      </c>
    </row>
    <row r="37" spans="1:3">
      <c r="A37" s="93" t="s">
        <v>1210</v>
      </c>
      <c r="B37">
        <v>106467</v>
      </c>
      <c r="C37" t="s">
        <v>97</v>
      </c>
    </row>
    <row r="38" spans="1:3">
      <c r="A38" s="93" t="s">
        <v>466</v>
      </c>
      <c r="B38" t="s">
        <v>5152</v>
      </c>
      <c r="C38" t="s">
        <v>97</v>
      </c>
    </row>
    <row r="39" spans="1:3">
      <c r="A39" s="93" t="s">
        <v>1917</v>
      </c>
      <c r="B39">
        <v>156213</v>
      </c>
      <c r="C39" t="s">
        <v>97</v>
      </c>
    </row>
    <row r="40" spans="1:3">
      <c r="A40" s="93" t="s">
        <v>700</v>
      </c>
      <c r="B40">
        <v>154022</v>
      </c>
      <c r="C40" t="s">
        <v>97</v>
      </c>
    </row>
    <row r="41" spans="1:3">
      <c r="A41" s="93" t="s">
        <v>2860</v>
      </c>
      <c r="B41">
        <v>201104</v>
      </c>
      <c r="C41" t="s">
        <v>97</v>
      </c>
    </row>
    <row r="42" spans="1:3">
      <c r="A42" s="93" t="s">
        <v>4942</v>
      </c>
      <c r="B42">
        <v>164562</v>
      </c>
      <c r="C42" t="s">
        <v>97</v>
      </c>
    </row>
    <row r="43" spans="1:3">
      <c r="A43" s="93" t="s">
        <v>4943</v>
      </c>
      <c r="B43">
        <v>138868</v>
      </c>
      <c r="C43" t="s">
        <v>97</v>
      </c>
    </row>
    <row r="44" spans="1:3">
      <c r="A44" s="93" t="s">
        <v>1127</v>
      </c>
      <c r="B44">
        <v>100858</v>
      </c>
      <c r="C44" t="s">
        <v>97</v>
      </c>
    </row>
    <row r="45" spans="1:3">
      <c r="A45" s="93" t="s">
        <v>1126</v>
      </c>
      <c r="B45">
        <v>100830</v>
      </c>
      <c r="C45" t="s">
        <v>97</v>
      </c>
    </row>
    <row r="46" spans="1:3">
      <c r="A46" s="93" t="s">
        <v>4944</v>
      </c>
      <c r="B46">
        <v>173045</v>
      </c>
      <c r="C46" t="s">
        <v>97</v>
      </c>
    </row>
    <row r="47" spans="1:3">
      <c r="A47" s="93" t="s">
        <v>774</v>
      </c>
      <c r="B47">
        <v>143084</v>
      </c>
      <c r="C47" t="s">
        <v>97</v>
      </c>
    </row>
    <row r="48" spans="1:3">
      <c r="A48" s="93" t="s">
        <v>774</v>
      </c>
      <c r="B48">
        <v>219000</v>
      </c>
      <c r="C48" t="s">
        <v>97</v>
      </c>
    </row>
    <row r="49" spans="1:3">
      <c r="A49" s="93" t="s">
        <v>452</v>
      </c>
      <c r="B49">
        <v>143118</v>
      </c>
      <c r="C49" t="s">
        <v>97</v>
      </c>
    </row>
    <row r="50" spans="1:3">
      <c r="A50" s="93" t="s">
        <v>3396</v>
      </c>
      <c r="B50">
        <v>222983</v>
      </c>
      <c r="C50" t="s">
        <v>97</v>
      </c>
    </row>
    <row r="51" spans="1:3">
      <c r="A51" s="93" t="s">
        <v>1062</v>
      </c>
      <c r="B51">
        <v>219602</v>
      </c>
      <c r="C51" t="s">
        <v>97</v>
      </c>
    </row>
    <row r="52" spans="1:3">
      <c r="A52" s="93" t="s">
        <v>4255</v>
      </c>
      <c r="B52">
        <v>446048</v>
      </c>
      <c r="C52" t="s">
        <v>97</v>
      </c>
    </row>
    <row r="53" spans="1:3">
      <c r="A53" s="93" t="s">
        <v>3538</v>
      </c>
      <c r="B53">
        <v>231420</v>
      </c>
      <c r="C53" t="s">
        <v>97</v>
      </c>
    </row>
    <row r="54" spans="1:3">
      <c r="A54" s="93" t="s">
        <v>2282</v>
      </c>
      <c r="B54">
        <v>176628</v>
      </c>
      <c r="C54" t="s">
        <v>97</v>
      </c>
    </row>
    <row r="55" spans="1:3">
      <c r="A55" s="93" t="s">
        <v>1256</v>
      </c>
      <c r="B55">
        <v>109785</v>
      </c>
      <c r="C55" t="s">
        <v>97</v>
      </c>
    </row>
    <row r="56" spans="1:3">
      <c r="A56" s="93" t="s">
        <v>2052</v>
      </c>
      <c r="B56">
        <v>164580</v>
      </c>
      <c r="C56" t="s">
        <v>97</v>
      </c>
    </row>
    <row r="57" spans="1:3">
      <c r="A57" s="93" t="s">
        <v>2986</v>
      </c>
      <c r="B57">
        <v>206817</v>
      </c>
      <c r="C57" t="s">
        <v>97</v>
      </c>
    </row>
    <row r="58" spans="1:3">
      <c r="A58" s="93" t="s">
        <v>1867</v>
      </c>
      <c r="B58">
        <v>154688</v>
      </c>
      <c r="C58" t="s">
        <v>97</v>
      </c>
    </row>
    <row r="59" spans="1:3">
      <c r="A59" s="93" t="s">
        <v>4945</v>
      </c>
      <c r="B59">
        <v>201195</v>
      </c>
      <c r="C59" t="s">
        <v>97</v>
      </c>
    </row>
    <row r="60" spans="1:3">
      <c r="A60" s="93" t="s">
        <v>779</v>
      </c>
      <c r="B60">
        <v>150136</v>
      </c>
      <c r="C60" t="s">
        <v>97</v>
      </c>
    </row>
    <row r="61" spans="1:3">
      <c r="A61" s="93" t="s">
        <v>4946</v>
      </c>
      <c r="B61">
        <v>219639</v>
      </c>
      <c r="C61" t="s">
        <v>97</v>
      </c>
    </row>
    <row r="62" spans="1:3">
      <c r="A62" s="93" t="s">
        <v>1010</v>
      </c>
      <c r="B62">
        <v>189088</v>
      </c>
      <c r="C62" t="s">
        <v>97</v>
      </c>
    </row>
    <row r="63" spans="1:3">
      <c r="A63" s="93" t="s">
        <v>4947</v>
      </c>
      <c r="B63">
        <v>189097</v>
      </c>
      <c r="C63" t="s">
        <v>97</v>
      </c>
    </row>
    <row r="64" spans="1:3">
      <c r="A64" s="93" t="s">
        <v>772</v>
      </c>
      <c r="B64">
        <v>132471</v>
      </c>
      <c r="C64" t="s">
        <v>97</v>
      </c>
    </row>
    <row r="65" spans="1:3">
      <c r="A65" s="93" t="s">
        <v>2738</v>
      </c>
      <c r="B65">
        <v>197911</v>
      </c>
      <c r="C65" t="s">
        <v>97</v>
      </c>
    </row>
    <row r="66" spans="1:3">
      <c r="A66" s="93" t="s">
        <v>1988</v>
      </c>
      <c r="B66">
        <v>160977</v>
      </c>
      <c r="C66" t="s">
        <v>97</v>
      </c>
    </row>
    <row r="67" spans="1:3">
      <c r="A67" s="93" t="s">
        <v>4948</v>
      </c>
      <c r="B67">
        <v>164632</v>
      </c>
      <c r="C67" t="s">
        <v>97</v>
      </c>
    </row>
    <row r="68" spans="1:3">
      <c r="A68" s="93" t="s">
        <v>3401</v>
      </c>
      <c r="B68">
        <v>223232</v>
      </c>
      <c r="C68" t="s">
        <v>97</v>
      </c>
    </row>
    <row r="69" spans="1:3">
      <c r="A69" s="93" t="s">
        <v>3942</v>
      </c>
      <c r="B69">
        <v>384254</v>
      </c>
      <c r="C69" t="s">
        <v>97</v>
      </c>
    </row>
    <row r="70" spans="1:3">
      <c r="A70" s="93" t="s">
        <v>2056</v>
      </c>
      <c r="B70">
        <v>164720</v>
      </c>
      <c r="C70" t="s">
        <v>97</v>
      </c>
    </row>
    <row r="71" spans="1:3">
      <c r="A71" s="93" t="s">
        <v>1920</v>
      </c>
      <c r="B71">
        <v>156286</v>
      </c>
      <c r="C71" t="s">
        <v>97</v>
      </c>
    </row>
    <row r="72" spans="1:3">
      <c r="A72" s="93" t="s">
        <v>531</v>
      </c>
      <c r="B72">
        <v>197984</v>
      </c>
      <c r="C72" t="s">
        <v>97</v>
      </c>
    </row>
    <row r="73" spans="1:3">
      <c r="A73" s="93" t="s">
        <v>3313</v>
      </c>
      <c r="B73">
        <v>219709</v>
      </c>
      <c r="C73" t="s">
        <v>97</v>
      </c>
    </row>
    <row r="74" spans="1:3">
      <c r="A74" s="93" t="s">
        <v>503</v>
      </c>
      <c r="B74">
        <v>238333</v>
      </c>
      <c r="C74" t="s">
        <v>97</v>
      </c>
    </row>
    <row r="75" spans="1:3">
      <c r="A75" s="93" t="s">
        <v>2203</v>
      </c>
      <c r="B75">
        <v>173124</v>
      </c>
      <c r="C75" t="s">
        <v>97</v>
      </c>
    </row>
    <row r="76" spans="1:3">
      <c r="A76" s="93" t="s">
        <v>1868</v>
      </c>
      <c r="B76">
        <v>154712</v>
      </c>
      <c r="C76" t="s">
        <v>97</v>
      </c>
    </row>
    <row r="77" spans="1:3">
      <c r="A77" s="93" t="s">
        <v>828</v>
      </c>
      <c r="B77">
        <v>145619</v>
      </c>
      <c r="C77" t="s">
        <v>97</v>
      </c>
    </row>
    <row r="78" spans="1:3">
      <c r="A78" s="93" t="s">
        <v>4949</v>
      </c>
      <c r="B78">
        <v>197993</v>
      </c>
      <c r="C78" t="s">
        <v>153</v>
      </c>
    </row>
    <row r="79" spans="1:3">
      <c r="A79" s="93" t="s">
        <v>3525</v>
      </c>
      <c r="B79">
        <v>230816</v>
      </c>
      <c r="C79" t="s">
        <v>97</v>
      </c>
    </row>
    <row r="80" spans="1:3">
      <c r="A80" s="93" t="s">
        <v>2057</v>
      </c>
      <c r="B80">
        <v>164739</v>
      </c>
      <c r="C80" t="s">
        <v>97</v>
      </c>
    </row>
    <row r="81" spans="1:3">
      <c r="A81" s="93" t="s">
        <v>706</v>
      </c>
      <c r="B81">
        <v>156295</v>
      </c>
      <c r="C81" t="s">
        <v>97</v>
      </c>
    </row>
    <row r="82" spans="1:3">
      <c r="A82" s="93" t="s">
        <v>2523</v>
      </c>
      <c r="B82">
        <v>189228</v>
      </c>
      <c r="C82" t="s">
        <v>97</v>
      </c>
    </row>
    <row r="83" spans="1:3">
      <c r="A83" s="93" t="s">
        <v>1672</v>
      </c>
      <c r="B83">
        <v>139144</v>
      </c>
      <c r="C83" t="s">
        <v>97</v>
      </c>
    </row>
    <row r="84" spans="1:3">
      <c r="A84" s="93" t="s">
        <v>1869</v>
      </c>
      <c r="B84">
        <v>154721</v>
      </c>
      <c r="C84" t="s">
        <v>97</v>
      </c>
    </row>
    <row r="85" spans="1:3">
      <c r="A85" s="93" t="s">
        <v>1869</v>
      </c>
      <c r="B85">
        <v>237181</v>
      </c>
      <c r="C85" t="s">
        <v>97</v>
      </c>
    </row>
    <row r="86" spans="1:3">
      <c r="A86" s="93" t="s">
        <v>2204</v>
      </c>
      <c r="B86">
        <v>173142</v>
      </c>
      <c r="C86" t="s">
        <v>97</v>
      </c>
    </row>
    <row r="87" spans="1:3">
      <c r="A87" s="93" t="s">
        <v>4950</v>
      </c>
      <c r="B87">
        <v>150145</v>
      </c>
      <c r="C87" t="s">
        <v>97</v>
      </c>
    </row>
    <row r="88" spans="1:3">
      <c r="A88" s="93" t="s">
        <v>1870</v>
      </c>
      <c r="B88">
        <v>154749</v>
      </c>
      <c r="C88" t="s">
        <v>97</v>
      </c>
    </row>
    <row r="89" spans="1:3">
      <c r="A89" s="93" t="s">
        <v>1791</v>
      </c>
      <c r="B89">
        <v>173160</v>
      </c>
      <c r="C89" t="s">
        <v>97</v>
      </c>
    </row>
    <row r="90" spans="1:3">
      <c r="A90" s="93" t="s">
        <v>818</v>
      </c>
      <c r="B90">
        <v>132602</v>
      </c>
      <c r="C90" t="s">
        <v>153</v>
      </c>
    </row>
    <row r="91" spans="1:3">
      <c r="A91" s="93" t="s">
        <v>1260</v>
      </c>
      <c r="B91">
        <v>110097</v>
      </c>
      <c r="C91" t="s">
        <v>97</v>
      </c>
    </row>
    <row r="92" spans="1:3">
      <c r="A92" s="93" t="s">
        <v>4951</v>
      </c>
      <c r="B92">
        <v>100937</v>
      </c>
      <c r="C92" t="s">
        <v>97</v>
      </c>
    </row>
    <row r="93" spans="1:3">
      <c r="A93" s="93" t="s">
        <v>3288</v>
      </c>
      <c r="B93">
        <v>219046</v>
      </c>
      <c r="C93" t="s">
        <v>97</v>
      </c>
    </row>
    <row r="94" spans="1:3">
      <c r="A94" s="93" t="s">
        <v>931</v>
      </c>
      <c r="B94">
        <v>143288</v>
      </c>
      <c r="C94" t="s">
        <v>97</v>
      </c>
    </row>
    <row r="95" spans="1:3">
      <c r="A95" s="93" t="s">
        <v>2428</v>
      </c>
      <c r="B95">
        <v>183822</v>
      </c>
      <c r="C95" t="s">
        <v>97</v>
      </c>
    </row>
    <row r="96" spans="1:3">
      <c r="A96" s="93" t="s">
        <v>3082</v>
      </c>
      <c r="B96">
        <v>211158</v>
      </c>
      <c r="C96" t="s">
        <v>97</v>
      </c>
    </row>
    <row r="97" spans="1:3">
      <c r="A97" s="93" t="s">
        <v>2260</v>
      </c>
      <c r="B97">
        <v>175430</v>
      </c>
      <c r="C97" t="s">
        <v>97</v>
      </c>
    </row>
    <row r="98" spans="1:3">
      <c r="A98" s="93" t="s">
        <v>4952</v>
      </c>
      <c r="B98">
        <v>231554</v>
      </c>
      <c r="C98" t="s">
        <v>97</v>
      </c>
    </row>
    <row r="99" spans="1:3">
      <c r="A99" s="93" t="s">
        <v>2864</v>
      </c>
      <c r="B99">
        <v>201371</v>
      </c>
      <c r="C99" t="s">
        <v>97</v>
      </c>
    </row>
    <row r="100" spans="1:3">
      <c r="A100" s="93" t="s">
        <v>1736</v>
      </c>
      <c r="B100">
        <v>142115</v>
      </c>
      <c r="C100" t="s">
        <v>97</v>
      </c>
    </row>
    <row r="101" spans="1:3">
      <c r="A101" s="93" t="s">
        <v>2526</v>
      </c>
      <c r="B101">
        <v>189413</v>
      </c>
      <c r="C101" t="s">
        <v>97</v>
      </c>
    </row>
    <row r="102" spans="1:3">
      <c r="A102" s="93" t="s">
        <v>789</v>
      </c>
      <c r="B102">
        <v>164924</v>
      </c>
      <c r="C102" t="s">
        <v>97</v>
      </c>
    </row>
    <row r="103" spans="1:3">
      <c r="A103" s="93" t="s">
        <v>708</v>
      </c>
      <c r="B103">
        <v>164988</v>
      </c>
      <c r="C103" t="s">
        <v>97</v>
      </c>
    </row>
    <row r="104" spans="1:3">
      <c r="A104" s="93" t="s">
        <v>788</v>
      </c>
      <c r="B104">
        <v>161004</v>
      </c>
      <c r="C104" t="s">
        <v>97</v>
      </c>
    </row>
    <row r="105" spans="1:3">
      <c r="A105" s="93" t="s">
        <v>2015</v>
      </c>
      <c r="B105">
        <v>162007</v>
      </c>
      <c r="C105" t="s">
        <v>153</v>
      </c>
    </row>
    <row r="106" spans="1:3">
      <c r="A106" s="93" t="s">
        <v>1033</v>
      </c>
      <c r="B106">
        <v>201441</v>
      </c>
      <c r="C106" t="s">
        <v>97</v>
      </c>
    </row>
    <row r="107" spans="1:3">
      <c r="A107" s="93" t="s">
        <v>653</v>
      </c>
      <c r="B107">
        <v>143358</v>
      </c>
      <c r="C107" t="s">
        <v>97</v>
      </c>
    </row>
    <row r="108" spans="1:3">
      <c r="A108" s="93" t="s">
        <v>2061</v>
      </c>
      <c r="B108">
        <v>165015</v>
      </c>
      <c r="C108" t="s">
        <v>97</v>
      </c>
    </row>
    <row r="109" spans="1:3">
      <c r="A109" s="93" t="s">
        <v>1674</v>
      </c>
      <c r="B109">
        <v>139199</v>
      </c>
      <c r="C109" t="s">
        <v>97</v>
      </c>
    </row>
    <row r="110" spans="1:3">
      <c r="A110" s="93" t="s">
        <v>1922</v>
      </c>
      <c r="B110">
        <v>156356</v>
      </c>
      <c r="C110" t="s">
        <v>97</v>
      </c>
    </row>
    <row r="111" spans="1:3">
      <c r="A111" s="93" t="s">
        <v>2742</v>
      </c>
      <c r="B111">
        <v>198066</v>
      </c>
      <c r="C111" t="s">
        <v>97</v>
      </c>
    </row>
    <row r="112" spans="1:3">
      <c r="A112" s="93" t="s">
        <v>1675</v>
      </c>
      <c r="B112">
        <v>139205</v>
      </c>
      <c r="C112" t="s">
        <v>97</v>
      </c>
    </row>
    <row r="113" spans="1:3">
      <c r="A113" s="93" t="s">
        <v>1819</v>
      </c>
      <c r="B113">
        <v>152992</v>
      </c>
      <c r="C113" t="s">
        <v>97</v>
      </c>
    </row>
    <row r="114" spans="1:3">
      <c r="A114" s="93" t="s">
        <v>3540</v>
      </c>
      <c r="B114">
        <v>231581</v>
      </c>
      <c r="C114" t="s">
        <v>97</v>
      </c>
    </row>
    <row r="115" spans="1:3">
      <c r="A115" s="93" t="s">
        <v>2062</v>
      </c>
      <c r="B115">
        <v>165024</v>
      </c>
      <c r="C115" t="s">
        <v>97</v>
      </c>
    </row>
    <row r="116" spans="1:3">
      <c r="A116" s="93" t="s">
        <v>743</v>
      </c>
      <c r="B116">
        <v>142522</v>
      </c>
      <c r="C116" t="s">
        <v>97</v>
      </c>
    </row>
    <row r="117" spans="1:3">
      <c r="A117" s="93" t="s">
        <v>4953</v>
      </c>
      <c r="B117">
        <v>230038</v>
      </c>
      <c r="C117" t="s">
        <v>97</v>
      </c>
    </row>
    <row r="118" spans="1:3">
      <c r="A118" s="93" t="s">
        <v>688</v>
      </c>
      <c r="B118">
        <v>217156</v>
      </c>
      <c r="C118" t="s">
        <v>97</v>
      </c>
    </row>
    <row r="119" spans="1:3">
      <c r="A119" s="93" t="s">
        <v>3314</v>
      </c>
      <c r="B119">
        <v>219790</v>
      </c>
      <c r="C119" t="s">
        <v>97</v>
      </c>
    </row>
    <row r="120" spans="1:3">
      <c r="A120" s="93" t="s">
        <v>3228</v>
      </c>
      <c r="B120">
        <v>217165</v>
      </c>
      <c r="C120" t="s">
        <v>97</v>
      </c>
    </row>
    <row r="121" spans="1:3">
      <c r="A121" s="93" t="s">
        <v>608</v>
      </c>
      <c r="B121">
        <v>211273</v>
      </c>
      <c r="C121" t="s">
        <v>97</v>
      </c>
    </row>
    <row r="122" spans="1:3">
      <c r="A122" s="93" t="s">
        <v>553</v>
      </c>
      <c r="B122">
        <v>211291</v>
      </c>
      <c r="C122" t="s">
        <v>97</v>
      </c>
    </row>
    <row r="123" spans="1:3">
      <c r="A123" s="93" t="s">
        <v>1820</v>
      </c>
      <c r="B123">
        <v>153001</v>
      </c>
      <c r="C123" t="s">
        <v>97</v>
      </c>
    </row>
    <row r="124" spans="1:3">
      <c r="A124" s="93" t="s">
        <v>617</v>
      </c>
      <c r="B124">
        <v>150163</v>
      </c>
      <c r="C124" t="s">
        <v>97</v>
      </c>
    </row>
    <row r="125" spans="1:3">
      <c r="A125" s="93" t="s">
        <v>4954</v>
      </c>
      <c r="B125">
        <v>211352</v>
      </c>
      <c r="C125" t="s">
        <v>97</v>
      </c>
    </row>
    <row r="126" spans="1:3">
      <c r="A126" s="93" t="s">
        <v>4955</v>
      </c>
      <c r="B126">
        <v>183910</v>
      </c>
      <c r="C126" t="s">
        <v>97</v>
      </c>
    </row>
    <row r="127" spans="1:3">
      <c r="A127" s="93" t="s">
        <v>1265</v>
      </c>
      <c r="B127">
        <v>110361</v>
      </c>
      <c r="C127" t="s">
        <v>97</v>
      </c>
    </row>
    <row r="128" spans="1:3">
      <c r="A128" s="93" t="s">
        <v>1268</v>
      </c>
      <c r="B128">
        <v>110404</v>
      </c>
      <c r="C128" t="s">
        <v>97</v>
      </c>
    </row>
    <row r="129" spans="1:3">
      <c r="A129" s="93" t="s">
        <v>1269</v>
      </c>
      <c r="B129">
        <v>110413</v>
      </c>
      <c r="C129" t="s">
        <v>97</v>
      </c>
    </row>
    <row r="130" spans="1:3">
      <c r="A130" s="93" t="s">
        <v>4956</v>
      </c>
      <c r="B130">
        <v>111188</v>
      </c>
      <c r="C130" t="s">
        <v>97</v>
      </c>
    </row>
    <row r="131" spans="1:3">
      <c r="A131" s="93" t="s">
        <v>1270</v>
      </c>
      <c r="B131">
        <v>110422</v>
      </c>
      <c r="C131" t="s">
        <v>97</v>
      </c>
    </row>
    <row r="132" spans="1:3">
      <c r="A132" s="93" t="s">
        <v>1275</v>
      </c>
      <c r="B132">
        <v>110529</v>
      </c>
      <c r="C132" t="s">
        <v>97</v>
      </c>
    </row>
    <row r="133" spans="1:3">
      <c r="A133" s="93" t="s">
        <v>1272</v>
      </c>
      <c r="B133">
        <v>110486</v>
      </c>
      <c r="C133" t="s">
        <v>97</v>
      </c>
    </row>
    <row r="134" spans="1:3">
      <c r="A134" s="93" t="s">
        <v>4171</v>
      </c>
      <c r="B134">
        <v>441937</v>
      </c>
      <c r="C134" t="s">
        <v>97</v>
      </c>
    </row>
    <row r="135" spans="1:3">
      <c r="A135" s="93" t="s">
        <v>1276</v>
      </c>
      <c r="B135">
        <v>110538</v>
      </c>
      <c r="C135" t="s">
        <v>97</v>
      </c>
    </row>
    <row r="136" spans="1:3">
      <c r="A136" s="93" t="s">
        <v>887</v>
      </c>
      <c r="B136">
        <v>110547</v>
      </c>
      <c r="C136" t="s">
        <v>97</v>
      </c>
    </row>
    <row r="137" spans="1:3">
      <c r="A137" s="93" t="s">
        <v>1279</v>
      </c>
      <c r="B137">
        <v>110574</v>
      </c>
      <c r="C137" t="s">
        <v>97</v>
      </c>
    </row>
    <row r="138" spans="1:3">
      <c r="A138" s="93" t="s">
        <v>1277</v>
      </c>
      <c r="B138">
        <v>110556</v>
      </c>
      <c r="C138" t="s">
        <v>97</v>
      </c>
    </row>
    <row r="139" spans="1:3">
      <c r="A139" s="93" t="s">
        <v>1278</v>
      </c>
      <c r="B139">
        <v>110565</v>
      </c>
      <c r="C139" t="s">
        <v>97</v>
      </c>
    </row>
    <row r="140" spans="1:3">
      <c r="A140" s="93" t="s">
        <v>1280</v>
      </c>
      <c r="B140">
        <v>110583</v>
      </c>
      <c r="C140" t="s">
        <v>97</v>
      </c>
    </row>
    <row r="141" spans="1:3">
      <c r="A141" s="93" t="s">
        <v>1281</v>
      </c>
      <c r="B141">
        <v>110592</v>
      </c>
      <c r="C141" t="s">
        <v>97</v>
      </c>
    </row>
    <row r="142" spans="1:3">
      <c r="A142" s="93" t="s">
        <v>3987</v>
      </c>
      <c r="B142">
        <v>409698</v>
      </c>
      <c r="C142" t="s">
        <v>97</v>
      </c>
    </row>
    <row r="143" spans="1:3">
      <c r="A143" s="93" t="s">
        <v>1282</v>
      </c>
      <c r="B143">
        <v>110608</v>
      </c>
      <c r="C143" t="s">
        <v>97</v>
      </c>
    </row>
    <row r="144" spans="1:3">
      <c r="A144" s="93" t="s">
        <v>888</v>
      </c>
      <c r="B144">
        <v>110617</v>
      </c>
      <c r="C144" t="s">
        <v>97</v>
      </c>
    </row>
    <row r="145" spans="1:3">
      <c r="A145" s="93" t="s">
        <v>1274</v>
      </c>
      <c r="B145">
        <v>110510</v>
      </c>
      <c r="C145" t="s">
        <v>97</v>
      </c>
    </row>
    <row r="146" spans="1:3">
      <c r="A146" s="93" t="s">
        <v>3879</v>
      </c>
      <c r="B146">
        <v>366711</v>
      </c>
      <c r="C146" t="s">
        <v>97</v>
      </c>
    </row>
    <row r="147" spans="1:3">
      <c r="A147" s="93" t="s">
        <v>1273</v>
      </c>
      <c r="B147">
        <v>110495</v>
      </c>
      <c r="C147" t="s">
        <v>97</v>
      </c>
    </row>
    <row r="148" spans="1:3">
      <c r="A148" s="93" t="s">
        <v>855</v>
      </c>
      <c r="B148">
        <v>211361</v>
      </c>
      <c r="C148" t="s">
        <v>97</v>
      </c>
    </row>
    <row r="149" spans="1:3">
      <c r="A149" s="93" t="s">
        <v>941</v>
      </c>
      <c r="B149">
        <v>150172</v>
      </c>
      <c r="C149" t="s">
        <v>97</v>
      </c>
    </row>
    <row r="150" spans="1:3">
      <c r="A150" s="93" t="s">
        <v>4957</v>
      </c>
      <c r="B150">
        <v>169080</v>
      </c>
      <c r="C150" t="s">
        <v>97</v>
      </c>
    </row>
    <row r="151" spans="1:3">
      <c r="A151" s="93" t="s">
        <v>2746</v>
      </c>
      <c r="B151">
        <v>198136</v>
      </c>
      <c r="C151" t="s">
        <v>97</v>
      </c>
    </row>
    <row r="152" spans="1:3">
      <c r="A152" s="93" t="s">
        <v>1923</v>
      </c>
      <c r="B152">
        <v>156365</v>
      </c>
      <c r="C152" t="s">
        <v>97</v>
      </c>
    </row>
    <row r="153" spans="1:3">
      <c r="A153" s="93" t="s">
        <v>1011</v>
      </c>
      <c r="B153">
        <v>189705</v>
      </c>
      <c r="C153" t="s">
        <v>97</v>
      </c>
    </row>
    <row r="154" spans="1:3">
      <c r="A154" s="93" t="s">
        <v>2867</v>
      </c>
      <c r="B154">
        <v>201548</v>
      </c>
      <c r="C154" t="s">
        <v>97</v>
      </c>
    </row>
    <row r="155" spans="1:3">
      <c r="A155" s="93" t="s">
        <v>4958</v>
      </c>
      <c r="B155">
        <v>162061</v>
      </c>
      <c r="C155" t="s">
        <v>97</v>
      </c>
    </row>
    <row r="156" spans="1:3">
      <c r="A156" s="93" t="s">
        <v>3692</v>
      </c>
      <c r="B156">
        <v>238430</v>
      </c>
      <c r="C156" t="s">
        <v>97</v>
      </c>
    </row>
    <row r="157" spans="1:3">
      <c r="A157" s="93" t="s">
        <v>539</v>
      </c>
      <c r="B157">
        <v>173258</v>
      </c>
      <c r="C157" t="s">
        <v>97</v>
      </c>
    </row>
    <row r="158" spans="1:3">
      <c r="A158" s="93" t="s">
        <v>4959</v>
      </c>
      <c r="B158">
        <v>132842</v>
      </c>
      <c r="C158" t="s">
        <v>97</v>
      </c>
    </row>
    <row r="159" spans="1:3">
      <c r="A159" s="93" t="s">
        <v>3087</v>
      </c>
      <c r="B159">
        <v>211431</v>
      </c>
      <c r="C159" t="s">
        <v>97</v>
      </c>
    </row>
    <row r="160" spans="1:3">
      <c r="A160" s="93" t="s">
        <v>1051</v>
      </c>
      <c r="B160">
        <v>211440</v>
      </c>
      <c r="C160" t="s">
        <v>97</v>
      </c>
    </row>
    <row r="161" spans="1:3">
      <c r="A161" s="93" t="s">
        <v>2351</v>
      </c>
      <c r="B161">
        <v>180106</v>
      </c>
      <c r="C161" t="s">
        <v>97</v>
      </c>
    </row>
    <row r="162" spans="1:3">
      <c r="A162" s="93" t="s">
        <v>3693</v>
      </c>
      <c r="B162">
        <v>238458</v>
      </c>
      <c r="C162" t="s">
        <v>97</v>
      </c>
    </row>
    <row r="163" spans="1:3">
      <c r="A163" s="93" t="s">
        <v>4960</v>
      </c>
      <c r="B163">
        <v>219806</v>
      </c>
      <c r="C163" t="s">
        <v>97</v>
      </c>
    </row>
    <row r="164" spans="1:3">
      <c r="A164" s="93" t="s">
        <v>618</v>
      </c>
      <c r="B164">
        <v>238476</v>
      </c>
      <c r="C164" t="s">
        <v>97</v>
      </c>
    </row>
    <row r="165" spans="1:3">
      <c r="A165" s="93" t="s">
        <v>760</v>
      </c>
      <c r="B165">
        <v>201645</v>
      </c>
      <c r="C165" t="s">
        <v>97</v>
      </c>
    </row>
    <row r="166" spans="1:3">
      <c r="A166" s="93" t="s">
        <v>4961</v>
      </c>
      <c r="B166">
        <v>230834</v>
      </c>
      <c r="C166" t="s">
        <v>97</v>
      </c>
    </row>
    <row r="167" spans="1:3">
      <c r="A167" s="93" t="s">
        <v>530</v>
      </c>
      <c r="B167">
        <v>198215</v>
      </c>
      <c r="C167" t="s">
        <v>97</v>
      </c>
    </row>
    <row r="168" spans="1:3">
      <c r="A168" s="93" t="s">
        <v>4962</v>
      </c>
      <c r="B168">
        <v>131283</v>
      </c>
      <c r="C168" t="s">
        <v>97</v>
      </c>
    </row>
    <row r="169" spans="1:3">
      <c r="A169" s="93" t="s">
        <v>2534</v>
      </c>
      <c r="B169">
        <v>189848</v>
      </c>
      <c r="C169" t="s">
        <v>97</v>
      </c>
    </row>
    <row r="170" spans="1:3">
      <c r="A170" s="93" t="s">
        <v>3088</v>
      </c>
      <c r="B170">
        <v>211468</v>
      </c>
      <c r="C170" t="s">
        <v>97</v>
      </c>
    </row>
    <row r="171" spans="1:3">
      <c r="A171" s="93" t="s">
        <v>2868</v>
      </c>
      <c r="B171">
        <v>201654</v>
      </c>
      <c r="C171" t="s">
        <v>97</v>
      </c>
    </row>
    <row r="172" spans="1:3">
      <c r="A172" s="93" t="s">
        <v>4963</v>
      </c>
      <c r="B172">
        <v>183974</v>
      </c>
      <c r="C172" t="s">
        <v>97</v>
      </c>
    </row>
    <row r="173" spans="1:3">
      <c r="A173" s="93" t="s">
        <v>1962</v>
      </c>
      <c r="B173">
        <v>158477</v>
      </c>
      <c r="C173" t="s">
        <v>97</v>
      </c>
    </row>
    <row r="174" spans="1:3">
      <c r="A174" s="93" t="s">
        <v>1215</v>
      </c>
      <c r="B174">
        <v>106713</v>
      </c>
      <c r="C174" t="s">
        <v>97</v>
      </c>
    </row>
    <row r="175" spans="1:3">
      <c r="A175" s="93" t="s">
        <v>1823</v>
      </c>
      <c r="B175">
        <v>153108</v>
      </c>
      <c r="C175" t="s">
        <v>97</v>
      </c>
    </row>
    <row r="176" spans="1:3">
      <c r="A176" s="93" t="s">
        <v>1531</v>
      </c>
      <c r="B176">
        <v>128771</v>
      </c>
      <c r="C176" t="s">
        <v>97</v>
      </c>
    </row>
    <row r="177" spans="1:3">
      <c r="A177" s="93" t="s">
        <v>4964</v>
      </c>
      <c r="B177">
        <v>176947</v>
      </c>
      <c r="C177" t="s">
        <v>97</v>
      </c>
    </row>
    <row r="178" spans="1:3">
      <c r="A178" s="93" t="s">
        <v>480</v>
      </c>
      <c r="B178">
        <v>169248</v>
      </c>
      <c r="C178" t="s">
        <v>97</v>
      </c>
    </row>
    <row r="179" spans="1:3">
      <c r="A179" s="93" t="s">
        <v>670</v>
      </c>
      <c r="B179">
        <v>201690</v>
      </c>
      <c r="C179" t="s">
        <v>153</v>
      </c>
    </row>
    <row r="180" spans="1:3">
      <c r="A180" s="93" t="s">
        <v>3609</v>
      </c>
      <c r="B180">
        <v>234827</v>
      </c>
      <c r="C180" t="s">
        <v>97</v>
      </c>
    </row>
    <row r="181" spans="1:3">
      <c r="A181" s="93" t="s">
        <v>1925</v>
      </c>
      <c r="B181">
        <v>156408</v>
      </c>
      <c r="C181" t="s">
        <v>97</v>
      </c>
    </row>
    <row r="182" spans="1:3">
      <c r="A182" s="93" t="s">
        <v>1723</v>
      </c>
      <c r="B182">
        <v>141486</v>
      </c>
      <c r="C182" t="s">
        <v>97</v>
      </c>
    </row>
    <row r="183" spans="1:3">
      <c r="A183" s="93" t="s">
        <v>3527</v>
      </c>
      <c r="B183">
        <v>230852</v>
      </c>
      <c r="C183" t="s">
        <v>97</v>
      </c>
    </row>
    <row r="184" spans="1:3">
      <c r="A184" s="93" t="s">
        <v>889</v>
      </c>
      <c r="B184">
        <v>111948</v>
      </c>
      <c r="C184" t="s">
        <v>97</v>
      </c>
    </row>
    <row r="185" spans="1:3">
      <c r="A185" s="93" t="s">
        <v>3238</v>
      </c>
      <c r="B185">
        <v>217688</v>
      </c>
      <c r="C185" t="s">
        <v>97</v>
      </c>
    </row>
    <row r="186" spans="1:3">
      <c r="A186" s="93" t="s">
        <v>3090</v>
      </c>
      <c r="B186">
        <v>211556</v>
      </c>
      <c r="C186" t="s">
        <v>97</v>
      </c>
    </row>
    <row r="187" spans="1:3">
      <c r="A187" s="93" t="s">
        <v>3091</v>
      </c>
      <c r="B187">
        <v>211583</v>
      </c>
      <c r="C187" t="s">
        <v>97</v>
      </c>
    </row>
    <row r="188" spans="1:3">
      <c r="A188" s="93" t="s">
        <v>3092</v>
      </c>
      <c r="B188">
        <v>211608</v>
      </c>
      <c r="C188" t="s">
        <v>153</v>
      </c>
    </row>
    <row r="189" spans="1:3">
      <c r="A189" s="93" t="s">
        <v>645</v>
      </c>
      <c r="B189">
        <v>144005</v>
      </c>
      <c r="C189" t="s">
        <v>97</v>
      </c>
    </row>
    <row r="190" spans="1:3">
      <c r="A190" s="93" t="s">
        <v>2752</v>
      </c>
      <c r="B190">
        <v>198303</v>
      </c>
      <c r="C190" t="s">
        <v>97</v>
      </c>
    </row>
    <row r="191" spans="1:3">
      <c r="A191" s="93" t="s">
        <v>3317</v>
      </c>
      <c r="B191">
        <v>219833</v>
      </c>
      <c r="C191" t="s">
        <v>97</v>
      </c>
    </row>
    <row r="192" spans="1:3">
      <c r="A192" s="93" t="s">
        <v>3544</v>
      </c>
      <c r="B192">
        <v>231712</v>
      </c>
      <c r="C192" t="s">
        <v>97</v>
      </c>
    </row>
    <row r="193" spans="1:3">
      <c r="A193" s="93" t="s">
        <v>3244</v>
      </c>
      <c r="B193">
        <v>217864</v>
      </c>
      <c r="C193" t="s">
        <v>97</v>
      </c>
    </row>
    <row r="194" spans="1:3">
      <c r="A194" s="93" t="s">
        <v>3245</v>
      </c>
      <c r="B194">
        <v>217873</v>
      </c>
      <c r="C194" t="s">
        <v>153</v>
      </c>
    </row>
    <row r="195" spans="1:3">
      <c r="A195" s="93" t="s">
        <v>807</v>
      </c>
      <c r="B195">
        <v>112260</v>
      </c>
      <c r="C195" t="s">
        <v>97</v>
      </c>
    </row>
    <row r="196" spans="1:3">
      <c r="A196" s="93" t="s">
        <v>3094</v>
      </c>
      <c r="B196">
        <v>211644</v>
      </c>
      <c r="C196" t="s">
        <v>97</v>
      </c>
    </row>
    <row r="197" spans="1:3">
      <c r="A197" s="93" t="s">
        <v>662</v>
      </c>
      <c r="B197">
        <v>138947</v>
      </c>
      <c r="C197" t="s">
        <v>153</v>
      </c>
    </row>
    <row r="198" spans="1:3">
      <c r="A198" s="93" t="s">
        <v>2069</v>
      </c>
      <c r="B198">
        <v>165334</v>
      </c>
      <c r="C198" t="s">
        <v>97</v>
      </c>
    </row>
    <row r="199" spans="1:3">
      <c r="A199" s="93" t="s">
        <v>1824</v>
      </c>
      <c r="B199">
        <v>153126</v>
      </c>
      <c r="C199" t="s">
        <v>97</v>
      </c>
    </row>
    <row r="200" spans="1:3">
      <c r="A200" s="93" t="s">
        <v>2370</v>
      </c>
      <c r="B200">
        <v>180832</v>
      </c>
      <c r="C200" t="s">
        <v>97</v>
      </c>
    </row>
    <row r="201" spans="1:3">
      <c r="A201" s="93" t="s">
        <v>2538</v>
      </c>
      <c r="B201">
        <v>190044</v>
      </c>
      <c r="C201" t="s">
        <v>97</v>
      </c>
    </row>
    <row r="202" spans="1:3">
      <c r="A202" s="93" t="s">
        <v>1678</v>
      </c>
      <c r="B202">
        <v>139311</v>
      </c>
      <c r="C202" t="s">
        <v>97</v>
      </c>
    </row>
    <row r="203" spans="1:3">
      <c r="A203" s="93" t="s">
        <v>2149</v>
      </c>
      <c r="B203">
        <v>169327</v>
      </c>
      <c r="C203" t="s">
        <v>97</v>
      </c>
    </row>
    <row r="204" spans="1:3">
      <c r="A204" s="93" t="s">
        <v>1059</v>
      </c>
      <c r="B204">
        <v>217882</v>
      </c>
      <c r="C204" t="s">
        <v>97</v>
      </c>
    </row>
    <row r="205" spans="1:3">
      <c r="A205" s="93" t="s">
        <v>3273</v>
      </c>
      <c r="B205">
        <v>218724</v>
      </c>
      <c r="C205" t="s">
        <v>97</v>
      </c>
    </row>
    <row r="206" spans="1:3">
      <c r="A206" s="93" t="s">
        <v>699</v>
      </c>
      <c r="B206">
        <v>153144</v>
      </c>
      <c r="C206" t="s">
        <v>97</v>
      </c>
    </row>
    <row r="207" spans="1:3">
      <c r="A207" s="93" t="s">
        <v>4965</v>
      </c>
      <c r="B207">
        <v>112394</v>
      </c>
      <c r="C207" t="s">
        <v>97</v>
      </c>
    </row>
    <row r="208" spans="1:3">
      <c r="A208" s="93" t="s">
        <v>4966</v>
      </c>
      <c r="B208">
        <v>217907</v>
      </c>
      <c r="C208" t="s">
        <v>97</v>
      </c>
    </row>
    <row r="209" spans="1:3">
      <c r="A209" s="93" t="s">
        <v>1992</v>
      </c>
      <c r="B209">
        <v>161086</v>
      </c>
      <c r="C209" t="s">
        <v>97</v>
      </c>
    </row>
    <row r="210" spans="1:3">
      <c r="A210" s="93" t="s">
        <v>2403</v>
      </c>
      <c r="B210">
        <v>182634</v>
      </c>
      <c r="C210" t="s">
        <v>97</v>
      </c>
    </row>
    <row r="211" spans="1:3">
      <c r="A211" s="93" t="s">
        <v>495</v>
      </c>
      <c r="B211">
        <v>190099</v>
      </c>
      <c r="C211" t="s">
        <v>97</v>
      </c>
    </row>
    <row r="212" spans="1:3">
      <c r="A212" s="93" t="s">
        <v>3242</v>
      </c>
      <c r="B212">
        <v>217819</v>
      </c>
      <c r="C212" t="s">
        <v>97</v>
      </c>
    </row>
    <row r="213" spans="1:3">
      <c r="A213" s="93" t="s">
        <v>2629</v>
      </c>
      <c r="B213">
        <v>193399</v>
      </c>
      <c r="C213" t="s">
        <v>97</v>
      </c>
    </row>
    <row r="214" spans="1:3">
      <c r="A214" s="93" t="s">
        <v>4967</v>
      </c>
      <c r="B214">
        <v>204200</v>
      </c>
      <c r="C214" t="s">
        <v>97</v>
      </c>
    </row>
    <row r="215" spans="1:3">
      <c r="A215" s="93" t="s">
        <v>4968</v>
      </c>
      <c r="B215">
        <v>163578</v>
      </c>
      <c r="C215" t="s">
        <v>97</v>
      </c>
    </row>
    <row r="216" spans="1:3">
      <c r="A216" s="93" t="s">
        <v>2115</v>
      </c>
      <c r="B216">
        <v>167394</v>
      </c>
      <c r="C216" t="s">
        <v>97</v>
      </c>
    </row>
    <row r="217" spans="1:3">
      <c r="A217" s="93" t="s">
        <v>4969</v>
      </c>
      <c r="B217">
        <v>174747</v>
      </c>
      <c r="C217" t="s">
        <v>97</v>
      </c>
    </row>
    <row r="218" spans="1:3">
      <c r="A218" s="93" t="s">
        <v>4970</v>
      </c>
      <c r="B218">
        <v>186618</v>
      </c>
      <c r="C218" t="s">
        <v>97</v>
      </c>
    </row>
    <row r="219" spans="1:3">
      <c r="A219" s="93" t="s">
        <v>2391</v>
      </c>
      <c r="B219">
        <v>181604</v>
      </c>
      <c r="C219" t="s">
        <v>97</v>
      </c>
    </row>
    <row r="220" spans="1:3">
      <c r="A220" s="93" t="s">
        <v>4971</v>
      </c>
      <c r="B220">
        <v>231077</v>
      </c>
      <c r="C220" t="s">
        <v>97</v>
      </c>
    </row>
    <row r="221" spans="1:3">
      <c r="A221" s="93" t="s">
        <v>527</v>
      </c>
      <c r="B221">
        <v>166124</v>
      </c>
      <c r="C221" t="s">
        <v>97</v>
      </c>
    </row>
    <row r="222" spans="1:3">
      <c r="A222" s="93" t="s">
        <v>2326</v>
      </c>
      <c r="B222">
        <v>178697</v>
      </c>
      <c r="C222" t="s">
        <v>97</v>
      </c>
    </row>
    <row r="223" spans="1:3">
      <c r="A223" s="93" t="s">
        <v>4972</v>
      </c>
      <c r="B223">
        <v>231624</v>
      </c>
      <c r="C223" t="s">
        <v>97</v>
      </c>
    </row>
    <row r="224" spans="1:3">
      <c r="A224" s="93" t="s">
        <v>908</v>
      </c>
      <c r="B224">
        <v>126669</v>
      </c>
      <c r="C224" t="s">
        <v>97</v>
      </c>
    </row>
    <row r="225" spans="1:3">
      <c r="A225" s="93" t="s">
        <v>726</v>
      </c>
      <c r="B225">
        <v>126678</v>
      </c>
      <c r="C225" t="s">
        <v>97</v>
      </c>
    </row>
    <row r="226" spans="1:3">
      <c r="A226" s="93" t="s">
        <v>1499</v>
      </c>
      <c r="B226">
        <v>126775</v>
      </c>
      <c r="C226" t="s">
        <v>97</v>
      </c>
    </row>
    <row r="227" spans="1:3">
      <c r="A227" s="93" t="s">
        <v>909</v>
      </c>
      <c r="B227">
        <v>126818</v>
      </c>
      <c r="C227" t="s">
        <v>97</v>
      </c>
    </row>
    <row r="228" spans="1:3">
      <c r="A228" s="93" t="s">
        <v>4973</v>
      </c>
      <c r="B228">
        <v>128106</v>
      </c>
      <c r="C228" t="s">
        <v>97</v>
      </c>
    </row>
    <row r="229" spans="1:3">
      <c r="A229" s="93" t="s">
        <v>704</v>
      </c>
      <c r="B229">
        <v>126827</v>
      </c>
      <c r="C229" t="s">
        <v>97</v>
      </c>
    </row>
    <row r="230" spans="1:3">
      <c r="A230" s="93" t="s">
        <v>1060</v>
      </c>
      <c r="B230">
        <v>177065</v>
      </c>
      <c r="C230" t="s">
        <v>97</v>
      </c>
    </row>
    <row r="231" spans="1:3">
      <c r="A231" s="93" t="s">
        <v>1060</v>
      </c>
      <c r="B231">
        <v>217934</v>
      </c>
      <c r="C231" t="s">
        <v>97</v>
      </c>
    </row>
    <row r="232" spans="1:3">
      <c r="A232" s="93" t="s">
        <v>4974</v>
      </c>
      <c r="B232">
        <v>144281</v>
      </c>
      <c r="C232" t="s">
        <v>97</v>
      </c>
    </row>
    <row r="233" spans="1:3">
      <c r="A233" s="93" t="s">
        <v>3248</v>
      </c>
      <c r="B233">
        <v>217925</v>
      </c>
      <c r="C233" t="s">
        <v>97</v>
      </c>
    </row>
    <row r="234" spans="1:3">
      <c r="A234" s="93" t="s">
        <v>850</v>
      </c>
      <c r="B234">
        <v>190150</v>
      </c>
      <c r="C234" t="s">
        <v>97</v>
      </c>
    </row>
    <row r="235" spans="1:3">
      <c r="A235" s="93" t="s">
        <v>1681</v>
      </c>
      <c r="B235">
        <v>139366</v>
      </c>
      <c r="C235" t="s">
        <v>97</v>
      </c>
    </row>
    <row r="236" spans="1:3">
      <c r="A236" s="93" t="s">
        <v>3660</v>
      </c>
      <c r="B236">
        <v>237330</v>
      </c>
      <c r="C236" t="s">
        <v>97</v>
      </c>
    </row>
    <row r="237" spans="1:3">
      <c r="A237" s="93" t="s">
        <v>2206</v>
      </c>
      <c r="B237">
        <v>173300</v>
      </c>
      <c r="C237" t="s">
        <v>97</v>
      </c>
    </row>
    <row r="238" spans="1:3">
      <c r="A238" s="93" t="s">
        <v>4975</v>
      </c>
      <c r="B238">
        <v>190248</v>
      </c>
      <c r="C238" t="s">
        <v>97</v>
      </c>
    </row>
    <row r="239" spans="1:3">
      <c r="A239" s="93" t="s">
        <v>650</v>
      </c>
      <c r="B239">
        <v>144351</v>
      </c>
      <c r="C239" t="s">
        <v>97</v>
      </c>
    </row>
    <row r="240" spans="1:3">
      <c r="A240" s="93" t="s">
        <v>1307</v>
      </c>
      <c r="B240">
        <v>112075</v>
      </c>
      <c r="C240" t="s">
        <v>97</v>
      </c>
    </row>
    <row r="241" spans="1:3">
      <c r="A241" s="93" t="s">
        <v>4976</v>
      </c>
      <c r="B241">
        <v>208488</v>
      </c>
      <c r="C241" t="s">
        <v>97</v>
      </c>
    </row>
    <row r="242" spans="1:3">
      <c r="A242" s="93" t="s">
        <v>2207</v>
      </c>
      <c r="B242">
        <v>173328</v>
      </c>
      <c r="C242" t="s">
        <v>97</v>
      </c>
    </row>
    <row r="243" spans="1:3">
      <c r="A243" s="93" t="s">
        <v>4977</v>
      </c>
      <c r="B243">
        <v>180984</v>
      </c>
      <c r="C243" t="s">
        <v>97</v>
      </c>
    </row>
    <row r="244" spans="1:3">
      <c r="A244" s="93" t="s">
        <v>4978</v>
      </c>
      <c r="B244">
        <v>224004</v>
      </c>
      <c r="C244" t="s">
        <v>97</v>
      </c>
    </row>
    <row r="245" spans="1:3">
      <c r="A245" s="93" t="s">
        <v>866</v>
      </c>
      <c r="B245">
        <v>238616</v>
      </c>
      <c r="C245" t="s">
        <v>97</v>
      </c>
    </row>
    <row r="246" spans="1:3">
      <c r="A246" s="93" t="s">
        <v>584</v>
      </c>
      <c r="B246">
        <v>128902</v>
      </c>
      <c r="C246" t="s">
        <v>97</v>
      </c>
    </row>
    <row r="247" spans="1:3">
      <c r="A247" s="93" t="s">
        <v>4979</v>
      </c>
      <c r="B247">
        <v>217961</v>
      </c>
      <c r="C247" t="s">
        <v>97</v>
      </c>
    </row>
    <row r="248" spans="1:3">
      <c r="A248" s="93" t="s">
        <v>2545</v>
      </c>
      <c r="B248">
        <v>190372</v>
      </c>
      <c r="C248" t="s">
        <v>97</v>
      </c>
    </row>
    <row r="249" spans="1:3">
      <c r="A249" s="93" t="s">
        <v>970</v>
      </c>
      <c r="B249">
        <v>162283</v>
      </c>
      <c r="C249" t="s">
        <v>153</v>
      </c>
    </row>
    <row r="250" spans="1:3">
      <c r="A250" s="93" t="s">
        <v>3063</v>
      </c>
      <c r="B250">
        <v>210331</v>
      </c>
      <c r="C250" t="s">
        <v>97</v>
      </c>
    </row>
    <row r="251" spans="1:3">
      <c r="A251" s="93" t="s">
        <v>836</v>
      </c>
      <c r="B251">
        <v>153162</v>
      </c>
      <c r="C251" t="s">
        <v>97</v>
      </c>
    </row>
    <row r="252" spans="1:3">
      <c r="A252" s="93" t="s">
        <v>522</v>
      </c>
      <c r="B252">
        <v>190415</v>
      </c>
      <c r="C252" t="s">
        <v>97</v>
      </c>
    </row>
    <row r="253" spans="1:3">
      <c r="A253" s="93" t="s">
        <v>598</v>
      </c>
      <c r="B253">
        <v>170037</v>
      </c>
      <c r="C253" t="s">
        <v>97</v>
      </c>
    </row>
    <row r="254" spans="1:3">
      <c r="A254" s="93" t="s">
        <v>1683</v>
      </c>
      <c r="B254">
        <v>139393</v>
      </c>
      <c r="C254" t="s">
        <v>97</v>
      </c>
    </row>
    <row r="255" spans="1:3">
      <c r="A255" s="93" t="s">
        <v>2376</v>
      </c>
      <c r="B255">
        <v>181002</v>
      </c>
      <c r="C255" t="s">
        <v>97</v>
      </c>
    </row>
    <row r="256" spans="1:3">
      <c r="A256" s="93" t="s">
        <v>2245</v>
      </c>
      <c r="B256">
        <v>174862</v>
      </c>
      <c r="C256" t="s">
        <v>97</v>
      </c>
    </row>
    <row r="257" spans="1:3">
      <c r="A257" s="93" t="s">
        <v>2296</v>
      </c>
      <c r="B257">
        <v>177144</v>
      </c>
      <c r="C257" t="s">
        <v>97</v>
      </c>
    </row>
    <row r="258" spans="1:3">
      <c r="A258" s="93" t="s">
        <v>3323</v>
      </c>
      <c r="B258">
        <v>219949</v>
      </c>
      <c r="C258" t="s">
        <v>97</v>
      </c>
    </row>
    <row r="259" spans="1:3">
      <c r="A259" s="93" t="s">
        <v>2550</v>
      </c>
      <c r="B259">
        <v>190512</v>
      </c>
      <c r="C259" t="s">
        <v>97</v>
      </c>
    </row>
    <row r="260" spans="1:3">
      <c r="A260" s="93" t="s">
        <v>2553</v>
      </c>
      <c r="B260">
        <v>190549</v>
      </c>
      <c r="C260" t="s">
        <v>97</v>
      </c>
    </row>
    <row r="261" spans="1:3">
      <c r="A261" s="93" t="s">
        <v>2555</v>
      </c>
      <c r="B261">
        <v>190567</v>
      </c>
      <c r="C261" t="s">
        <v>97</v>
      </c>
    </row>
    <row r="262" spans="1:3">
      <c r="A262" s="93" t="s">
        <v>2558</v>
      </c>
      <c r="B262">
        <v>190594</v>
      </c>
      <c r="C262" t="s">
        <v>97</v>
      </c>
    </row>
    <row r="263" spans="1:3">
      <c r="A263" s="93" t="s">
        <v>2559</v>
      </c>
      <c r="B263">
        <v>190600</v>
      </c>
      <c r="C263" t="s">
        <v>97</v>
      </c>
    </row>
    <row r="264" spans="1:3">
      <c r="A264" s="93" t="s">
        <v>2562</v>
      </c>
      <c r="B264">
        <v>190637</v>
      </c>
      <c r="C264" t="s">
        <v>97</v>
      </c>
    </row>
    <row r="265" spans="1:3">
      <c r="A265" s="93" t="s">
        <v>2565</v>
      </c>
      <c r="B265">
        <v>190664</v>
      </c>
      <c r="C265" t="s">
        <v>97</v>
      </c>
    </row>
    <row r="266" spans="1:3">
      <c r="A266" s="93" t="s">
        <v>974</v>
      </c>
      <c r="B266">
        <v>165529</v>
      </c>
      <c r="C266" t="s">
        <v>97</v>
      </c>
    </row>
    <row r="267" spans="1:3">
      <c r="A267" s="93" t="s">
        <v>4980</v>
      </c>
      <c r="B267">
        <v>190725</v>
      </c>
      <c r="C267" t="s">
        <v>97</v>
      </c>
    </row>
    <row r="268" spans="1:3">
      <c r="A268" s="93" t="s">
        <v>3289</v>
      </c>
      <c r="B268">
        <v>219082</v>
      </c>
      <c r="C268" t="s">
        <v>97</v>
      </c>
    </row>
    <row r="269" spans="1:3">
      <c r="A269" s="93" t="s">
        <v>3290</v>
      </c>
      <c r="B269">
        <v>219091</v>
      </c>
      <c r="C269" t="s">
        <v>97</v>
      </c>
    </row>
    <row r="270" spans="1:3">
      <c r="A270" s="93" t="s">
        <v>1069</v>
      </c>
      <c r="B270">
        <v>224226</v>
      </c>
      <c r="C270" t="s">
        <v>97</v>
      </c>
    </row>
    <row r="271" spans="1:3">
      <c r="A271" s="93" t="s">
        <v>796</v>
      </c>
      <c r="B271">
        <v>182670</v>
      </c>
      <c r="C271" t="s">
        <v>97</v>
      </c>
    </row>
    <row r="272" spans="1:3">
      <c r="A272" s="93" t="s">
        <v>572</v>
      </c>
      <c r="B272">
        <v>198385</v>
      </c>
      <c r="C272" t="s">
        <v>97</v>
      </c>
    </row>
    <row r="273" spans="1:3">
      <c r="A273" s="93" t="s">
        <v>3661</v>
      </c>
      <c r="B273">
        <v>237358</v>
      </c>
      <c r="C273" t="s">
        <v>97</v>
      </c>
    </row>
    <row r="274" spans="1:3">
      <c r="A274" s="93" t="s">
        <v>2071</v>
      </c>
      <c r="B274">
        <v>165574</v>
      </c>
      <c r="C274" t="s">
        <v>97</v>
      </c>
    </row>
    <row r="275" spans="1:3">
      <c r="A275" s="93" t="s">
        <v>1037</v>
      </c>
      <c r="B275">
        <v>202514</v>
      </c>
      <c r="C275" t="s">
        <v>97</v>
      </c>
    </row>
    <row r="276" spans="1:3">
      <c r="A276" s="93" t="s">
        <v>1565</v>
      </c>
      <c r="B276">
        <v>130934</v>
      </c>
      <c r="C276" t="s">
        <v>153</v>
      </c>
    </row>
    <row r="277" spans="1:3">
      <c r="A277" s="93" t="s">
        <v>4981</v>
      </c>
      <c r="B277">
        <v>211981</v>
      </c>
      <c r="C277" t="s">
        <v>97</v>
      </c>
    </row>
    <row r="278" spans="1:3">
      <c r="A278" s="93" t="s">
        <v>991</v>
      </c>
      <c r="B278">
        <v>175616</v>
      </c>
      <c r="C278" t="s">
        <v>97</v>
      </c>
    </row>
    <row r="279" spans="1:3">
      <c r="A279" s="93" t="s">
        <v>471</v>
      </c>
      <c r="B279">
        <v>202523</v>
      </c>
      <c r="C279" t="s">
        <v>97</v>
      </c>
    </row>
    <row r="280" spans="1:3">
      <c r="A280" s="93" t="s">
        <v>501</v>
      </c>
      <c r="B280">
        <v>144740</v>
      </c>
      <c r="C280" t="s">
        <v>97</v>
      </c>
    </row>
    <row r="281" spans="1:3">
      <c r="A281" s="93" t="s">
        <v>512</v>
      </c>
      <c r="B281">
        <v>150400</v>
      </c>
      <c r="C281" t="s">
        <v>97</v>
      </c>
    </row>
    <row r="282" spans="1:3">
      <c r="A282" s="93" t="s">
        <v>3075</v>
      </c>
      <c r="B282">
        <v>210739</v>
      </c>
      <c r="C282" t="s">
        <v>97</v>
      </c>
    </row>
    <row r="283" spans="1:3">
      <c r="A283" s="93" t="s">
        <v>485</v>
      </c>
      <c r="B283">
        <v>212009</v>
      </c>
      <c r="C283" t="s">
        <v>97</v>
      </c>
    </row>
    <row r="284" spans="1:3">
      <c r="A284" s="93" t="s">
        <v>4204</v>
      </c>
      <c r="B284">
        <v>443410</v>
      </c>
      <c r="C284" t="s">
        <v>97</v>
      </c>
    </row>
    <row r="285" spans="1:3">
      <c r="A285" s="93" t="s">
        <v>839</v>
      </c>
      <c r="B285">
        <v>158802</v>
      </c>
      <c r="C285" t="s">
        <v>153</v>
      </c>
    </row>
    <row r="286" spans="1:3">
      <c r="A286" s="93" t="s">
        <v>4982</v>
      </c>
      <c r="B286">
        <v>181020</v>
      </c>
      <c r="C286" t="s">
        <v>97</v>
      </c>
    </row>
    <row r="287" spans="1:3">
      <c r="A287" s="93" t="s">
        <v>2573</v>
      </c>
      <c r="B287">
        <v>190761</v>
      </c>
      <c r="C287" t="s">
        <v>97</v>
      </c>
    </row>
    <row r="288" spans="1:3">
      <c r="A288" s="93" t="s">
        <v>447</v>
      </c>
      <c r="B288">
        <v>148496</v>
      </c>
      <c r="C288" t="s">
        <v>97</v>
      </c>
    </row>
    <row r="289" spans="1:3">
      <c r="A289" s="93" t="s">
        <v>581</v>
      </c>
      <c r="B289">
        <v>113698</v>
      </c>
      <c r="C289" t="s">
        <v>97</v>
      </c>
    </row>
    <row r="290" spans="1:3">
      <c r="A290" s="93" t="s">
        <v>4983</v>
      </c>
      <c r="B290">
        <v>153250</v>
      </c>
      <c r="C290" t="s">
        <v>97</v>
      </c>
    </row>
    <row r="291" spans="1:3">
      <c r="A291" s="93" t="s">
        <v>837</v>
      </c>
      <c r="B291">
        <v>153269</v>
      </c>
      <c r="C291" t="s">
        <v>97</v>
      </c>
    </row>
    <row r="292" spans="1:3">
      <c r="A292" s="93" t="s">
        <v>2437</v>
      </c>
      <c r="B292">
        <v>184348</v>
      </c>
      <c r="C292" t="s">
        <v>97</v>
      </c>
    </row>
    <row r="293" spans="1:3">
      <c r="A293" s="93" t="s">
        <v>3100</v>
      </c>
      <c r="B293">
        <v>212054</v>
      </c>
      <c r="C293" t="s">
        <v>97</v>
      </c>
    </row>
    <row r="294" spans="1:3">
      <c r="A294" s="93" t="s">
        <v>2297</v>
      </c>
      <c r="B294">
        <v>177214</v>
      </c>
      <c r="C294" t="s">
        <v>97</v>
      </c>
    </row>
    <row r="295" spans="1:3">
      <c r="A295" s="93" t="s">
        <v>490</v>
      </c>
      <c r="B295">
        <v>198419</v>
      </c>
      <c r="C295" t="s">
        <v>97</v>
      </c>
    </row>
    <row r="296" spans="1:3">
      <c r="A296" s="93" t="s">
        <v>3101</v>
      </c>
      <c r="B296">
        <v>212106</v>
      </c>
      <c r="C296" t="s">
        <v>97</v>
      </c>
    </row>
    <row r="297" spans="1:3">
      <c r="A297" s="93" t="s">
        <v>2570</v>
      </c>
      <c r="B297">
        <v>190716</v>
      </c>
      <c r="C297" t="s">
        <v>97</v>
      </c>
    </row>
    <row r="298" spans="1:3">
      <c r="A298" s="93" t="s">
        <v>1795</v>
      </c>
      <c r="B298">
        <v>150455</v>
      </c>
      <c r="C298" t="s">
        <v>97</v>
      </c>
    </row>
    <row r="299" spans="1:3">
      <c r="A299" s="93" t="s">
        <v>2757</v>
      </c>
      <c r="B299">
        <v>198464</v>
      </c>
      <c r="C299" t="s">
        <v>97</v>
      </c>
    </row>
    <row r="300" spans="1:3">
      <c r="A300" s="93" t="s">
        <v>2993</v>
      </c>
      <c r="B300">
        <v>207041</v>
      </c>
      <c r="C300" t="s">
        <v>97</v>
      </c>
    </row>
    <row r="301" spans="1:3">
      <c r="A301" s="93" t="s">
        <v>3102</v>
      </c>
      <c r="B301">
        <v>212115</v>
      </c>
      <c r="C301" t="s">
        <v>97</v>
      </c>
    </row>
    <row r="302" spans="1:3">
      <c r="A302" s="93" t="s">
        <v>3328</v>
      </c>
      <c r="B302">
        <v>220075</v>
      </c>
      <c r="C302" t="s">
        <v>97</v>
      </c>
    </row>
    <row r="303" spans="1:3">
      <c r="A303" s="93" t="s">
        <v>3416</v>
      </c>
      <c r="B303">
        <v>224527</v>
      </c>
      <c r="C303" t="s">
        <v>97</v>
      </c>
    </row>
    <row r="304" spans="1:3">
      <c r="A304" s="93" t="s">
        <v>913</v>
      </c>
      <c r="B304">
        <v>129215</v>
      </c>
      <c r="C304" t="s">
        <v>97</v>
      </c>
    </row>
    <row r="305" spans="1:3">
      <c r="A305" s="93" t="s">
        <v>458</v>
      </c>
      <c r="B305">
        <v>144892</v>
      </c>
      <c r="C305" t="s">
        <v>97</v>
      </c>
    </row>
    <row r="306" spans="1:3">
      <c r="A306" s="93" t="s">
        <v>1929</v>
      </c>
      <c r="B306">
        <v>156620</v>
      </c>
      <c r="C306" t="s">
        <v>97</v>
      </c>
    </row>
    <row r="307" spans="1:3">
      <c r="A307" s="93" t="s">
        <v>3551</v>
      </c>
      <c r="B307">
        <v>232043</v>
      </c>
      <c r="C307" t="s">
        <v>97</v>
      </c>
    </row>
    <row r="308" spans="1:3">
      <c r="A308" s="93" t="s">
        <v>702</v>
      </c>
      <c r="B308">
        <v>169798</v>
      </c>
      <c r="C308" t="s">
        <v>97</v>
      </c>
    </row>
    <row r="309" spans="1:3">
      <c r="A309" s="93" t="s">
        <v>2073</v>
      </c>
      <c r="B309">
        <v>165644</v>
      </c>
      <c r="C309" t="s">
        <v>97</v>
      </c>
    </row>
    <row r="310" spans="1:3">
      <c r="A310" s="93" t="s">
        <v>2485</v>
      </c>
      <c r="B310">
        <v>187648</v>
      </c>
      <c r="C310" t="s">
        <v>97</v>
      </c>
    </row>
    <row r="311" spans="1:3">
      <c r="A311" s="93" t="s">
        <v>3031</v>
      </c>
      <c r="B311">
        <v>208646</v>
      </c>
      <c r="C311" t="s">
        <v>97</v>
      </c>
    </row>
    <row r="312" spans="1:3">
      <c r="A312" s="93" t="s">
        <v>3103</v>
      </c>
      <c r="B312">
        <v>212133</v>
      </c>
      <c r="C312" t="s">
        <v>97</v>
      </c>
    </row>
    <row r="313" spans="1:3">
      <c r="A313" s="93" t="s">
        <v>3616</v>
      </c>
      <c r="B313">
        <v>235097</v>
      </c>
      <c r="C313" t="s">
        <v>97</v>
      </c>
    </row>
    <row r="314" spans="1:3">
      <c r="A314" s="93" t="s">
        <v>657</v>
      </c>
      <c r="B314">
        <v>144883</v>
      </c>
      <c r="C314" t="s">
        <v>97</v>
      </c>
    </row>
    <row r="315" spans="1:3">
      <c r="A315" s="93" t="s">
        <v>1585</v>
      </c>
      <c r="B315">
        <v>133492</v>
      </c>
      <c r="C315" t="s">
        <v>97</v>
      </c>
    </row>
    <row r="316" spans="1:3">
      <c r="A316" s="93" t="s">
        <v>1098</v>
      </c>
      <c r="B316">
        <v>238661</v>
      </c>
      <c r="C316" t="s">
        <v>97</v>
      </c>
    </row>
    <row r="317" spans="1:3">
      <c r="A317" s="93" t="s">
        <v>3104</v>
      </c>
      <c r="B317">
        <v>212160</v>
      </c>
      <c r="C317" t="s">
        <v>97</v>
      </c>
    </row>
    <row r="318" spans="1:3">
      <c r="A318" s="93" t="s">
        <v>2759</v>
      </c>
      <c r="B318">
        <v>198507</v>
      </c>
      <c r="C318" t="s">
        <v>153</v>
      </c>
    </row>
    <row r="319" spans="1:3">
      <c r="A319" s="93" t="s">
        <v>3105</v>
      </c>
      <c r="B319">
        <v>212197</v>
      </c>
      <c r="C319" t="s">
        <v>97</v>
      </c>
    </row>
    <row r="320" spans="1:3">
      <c r="A320" s="93" t="s">
        <v>451</v>
      </c>
      <c r="B320">
        <v>144962</v>
      </c>
      <c r="C320" t="s">
        <v>97</v>
      </c>
    </row>
    <row r="321" spans="1:3">
      <c r="A321" s="93" t="s">
        <v>2577</v>
      </c>
      <c r="B321">
        <v>190983</v>
      </c>
      <c r="C321" t="s">
        <v>97</v>
      </c>
    </row>
    <row r="322" spans="1:3">
      <c r="A322" s="93" t="s">
        <v>2760</v>
      </c>
      <c r="B322">
        <v>198516</v>
      </c>
      <c r="C322" t="s">
        <v>97</v>
      </c>
    </row>
    <row r="323" spans="1:3">
      <c r="A323" s="93" t="s">
        <v>4984</v>
      </c>
      <c r="B323">
        <v>133553</v>
      </c>
      <c r="C323" t="s">
        <v>97</v>
      </c>
    </row>
    <row r="324" spans="1:3">
      <c r="A324" s="93" t="s">
        <v>4985</v>
      </c>
      <c r="B324">
        <v>104586</v>
      </c>
      <c r="C324" t="s">
        <v>97</v>
      </c>
    </row>
    <row r="325" spans="1:3">
      <c r="A325" s="93" t="s">
        <v>2074</v>
      </c>
      <c r="B325">
        <v>165662</v>
      </c>
      <c r="C325" t="s">
        <v>97</v>
      </c>
    </row>
    <row r="326" spans="1:3">
      <c r="A326" s="93" t="s">
        <v>1687</v>
      </c>
      <c r="B326">
        <v>165671</v>
      </c>
      <c r="C326" t="s">
        <v>97</v>
      </c>
    </row>
    <row r="327" spans="1:3">
      <c r="A327" s="93" t="s">
        <v>4986</v>
      </c>
      <c r="B327">
        <v>232025</v>
      </c>
      <c r="C327" t="s">
        <v>97</v>
      </c>
    </row>
    <row r="328" spans="1:3">
      <c r="A328" s="93" t="s">
        <v>713</v>
      </c>
      <c r="B328">
        <v>139658</v>
      </c>
      <c r="C328" t="s">
        <v>97</v>
      </c>
    </row>
    <row r="329" spans="1:3">
      <c r="A329" s="93" t="s">
        <v>1878</v>
      </c>
      <c r="B329">
        <v>155025</v>
      </c>
      <c r="C329" t="s">
        <v>97</v>
      </c>
    </row>
    <row r="330" spans="1:3">
      <c r="A330" s="93" t="s">
        <v>2075</v>
      </c>
      <c r="B330">
        <v>165699</v>
      </c>
      <c r="C330" t="s">
        <v>97</v>
      </c>
    </row>
    <row r="331" spans="1:3">
      <c r="A331" s="93" t="s">
        <v>4987</v>
      </c>
      <c r="B331">
        <v>217998</v>
      </c>
      <c r="C331" t="s">
        <v>97</v>
      </c>
    </row>
    <row r="332" spans="1:3">
      <c r="A332" s="93" t="s">
        <v>2301</v>
      </c>
      <c r="B332">
        <v>177339</v>
      </c>
      <c r="C332" t="s">
        <v>97</v>
      </c>
    </row>
    <row r="333" spans="1:3">
      <c r="A333" s="93" t="s">
        <v>1536</v>
      </c>
      <c r="B333">
        <v>129242</v>
      </c>
      <c r="C333" t="s">
        <v>97</v>
      </c>
    </row>
    <row r="334" spans="1:3">
      <c r="A334" s="93" t="s">
        <v>4988</v>
      </c>
      <c r="B334">
        <v>184694</v>
      </c>
      <c r="C334" t="s">
        <v>97</v>
      </c>
    </row>
    <row r="335" spans="1:3">
      <c r="A335" s="93" t="s">
        <v>2440</v>
      </c>
      <c r="B335">
        <v>184603</v>
      </c>
      <c r="C335" t="s">
        <v>97</v>
      </c>
    </row>
    <row r="336" spans="1:3">
      <c r="A336" s="93" t="s">
        <v>3662</v>
      </c>
      <c r="B336">
        <v>237367</v>
      </c>
      <c r="C336" t="s">
        <v>97</v>
      </c>
    </row>
    <row r="337" spans="1:3">
      <c r="A337" s="93" t="s">
        <v>2683</v>
      </c>
      <c r="B337">
        <v>196042</v>
      </c>
      <c r="C337" t="s">
        <v>97</v>
      </c>
    </row>
    <row r="338" spans="1:3">
      <c r="A338" s="93" t="s">
        <v>1133</v>
      </c>
      <c r="B338">
        <v>101189</v>
      </c>
      <c r="C338" t="s">
        <v>97</v>
      </c>
    </row>
    <row r="339" spans="1:3">
      <c r="A339" s="93" t="s">
        <v>1026</v>
      </c>
      <c r="B339">
        <v>198543</v>
      </c>
      <c r="C339" t="s">
        <v>153</v>
      </c>
    </row>
    <row r="340" spans="1:3">
      <c r="A340" s="93" t="s">
        <v>4989</v>
      </c>
      <c r="B340">
        <v>184612</v>
      </c>
      <c r="C340" t="s">
        <v>97</v>
      </c>
    </row>
    <row r="341" spans="1:3">
      <c r="A341" s="93" t="s">
        <v>844</v>
      </c>
      <c r="B341">
        <v>169910</v>
      </c>
      <c r="C341" t="s">
        <v>97</v>
      </c>
    </row>
    <row r="342" spans="1:3">
      <c r="A342" s="93" t="s">
        <v>3553</v>
      </c>
      <c r="B342">
        <v>232089</v>
      </c>
      <c r="C342" t="s">
        <v>97</v>
      </c>
    </row>
    <row r="343" spans="1:3">
      <c r="A343" s="93" t="s">
        <v>2076</v>
      </c>
      <c r="B343">
        <v>165802</v>
      </c>
      <c r="C343" t="s">
        <v>97</v>
      </c>
    </row>
    <row r="344" spans="1:3">
      <c r="A344" s="93" t="s">
        <v>683</v>
      </c>
      <c r="B344">
        <v>220181</v>
      </c>
      <c r="C344" t="s">
        <v>153</v>
      </c>
    </row>
    <row r="345" spans="1:3">
      <c r="A345" s="93" t="s">
        <v>2077</v>
      </c>
      <c r="B345">
        <v>165820</v>
      </c>
      <c r="C345" t="s">
        <v>97</v>
      </c>
    </row>
    <row r="346" spans="1:3">
      <c r="A346" s="93" t="s">
        <v>4990</v>
      </c>
      <c r="B346">
        <v>133711</v>
      </c>
      <c r="C346" t="s">
        <v>97</v>
      </c>
    </row>
    <row r="347" spans="1:3">
      <c r="A347" s="93" t="s">
        <v>820</v>
      </c>
      <c r="B347">
        <v>133650</v>
      </c>
      <c r="C347" t="s">
        <v>153</v>
      </c>
    </row>
    <row r="348" spans="1:3">
      <c r="A348" s="93" t="s">
        <v>1588</v>
      </c>
      <c r="B348">
        <v>133669</v>
      </c>
      <c r="C348" t="s">
        <v>97</v>
      </c>
    </row>
    <row r="349" spans="1:3">
      <c r="A349" s="93" t="s">
        <v>1591</v>
      </c>
      <c r="B349">
        <v>133809</v>
      </c>
      <c r="C349" t="s">
        <v>97</v>
      </c>
    </row>
    <row r="350" spans="1:3">
      <c r="A350" s="93" t="s">
        <v>4072</v>
      </c>
      <c r="B350">
        <v>433660</v>
      </c>
      <c r="C350" t="s">
        <v>97</v>
      </c>
    </row>
    <row r="351" spans="1:3">
      <c r="A351" s="93" t="s">
        <v>4991</v>
      </c>
      <c r="B351">
        <v>133872</v>
      </c>
      <c r="C351" t="s">
        <v>97</v>
      </c>
    </row>
    <row r="352" spans="1:3">
      <c r="A352" s="93" t="s">
        <v>1596</v>
      </c>
      <c r="B352">
        <v>133881</v>
      </c>
      <c r="C352" t="s">
        <v>97</v>
      </c>
    </row>
    <row r="353" spans="1:3">
      <c r="A353" s="93" t="s">
        <v>1598</v>
      </c>
      <c r="B353">
        <v>133951</v>
      </c>
      <c r="C353" t="s">
        <v>97</v>
      </c>
    </row>
    <row r="354" spans="1:3">
      <c r="A354" s="93" t="s">
        <v>1600</v>
      </c>
      <c r="B354">
        <v>133979</v>
      </c>
      <c r="C354" t="s">
        <v>153</v>
      </c>
    </row>
    <row r="355" spans="1:3">
      <c r="A355" s="93" t="s">
        <v>1602</v>
      </c>
      <c r="B355">
        <v>134079</v>
      </c>
      <c r="C355" t="s">
        <v>97</v>
      </c>
    </row>
    <row r="356" spans="1:3">
      <c r="A356" s="93" t="s">
        <v>1603</v>
      </c>
      <c r="B356">
        <v>134097</v>
      </c>
      <c r="C356" t="s">
        <v>97</v>
      </c>
    </row>
    <row r="357" spans="1:3">
      <c r="A357" s="93" t="s">
        <v>2302</v>
      </c>
      <c r="B357">
        <v>177418</v>
      </c>
      <c r="C357" t="s">
        <v>97</v>
      </c>
    </row>
    <row r="358" spans="1:3">
      <c r="A358" s="93" t="s">
        <v>2582</v>
      </c>
      <c r="B358">
        <v>191241</v>
      </c>
      <c r="C358" t="s">
        <v>97</v>
      </c>
    </row>
    <row r="359" spans="1:3">
      <c r="A359" s="93" t="s">
        <v>1880</v>
      </c>
      <c r="B359">
        <v>155061</v>
      </c>
      <c r="C359" t="s">
        <v>97</v>
      </c>
    </row>
    <row r="360" spans="1:3">
      <c r="A360" s="93" t="s">
        <v>1505</v>
      </c>
      <c r="B360">
        <v>127185</v>
      </c>
      <c r="C360" t="s">
        <v>97</v>
      </c>
    </row>
    <row r="361" spans="1:3">
      <c r="A361" s="93" t="s">
        <v>1689</v>
      </c>
      <c r="B361">
        <v>139719</v>
      </c>
      <c r="C361" t="s">
        <v>153</v>
      </c>
    </row>
    <row r="362" spans="1:3">
      <c r="A362" s="93" t="s">
        <v>2078</v>
      </c>
      <c r="B362">
        <v>165866</v>
      </c>
      <c r="C362" t="s">
        <v>97</v>
      </c>
    </row>
    <row r="363" spans="1:3">
      <c r="A363" s="93" t="s">
        <v>3252</v>
      </c>
      <c r="B363">
        <v>218061</v>
      </c>
      <c r="C363" t="s">
        <v>97</v>
      </c>
    </row>
    <row r="364" spans="1:3">
      <c r="A364" s="93" t="s">
        <v>2969</v>
      </c>
      <c r="B364">
        <v>205957</v>
      </c>
      <c r="C364" t="s">
        <v>97</v>
      </c>
    </row>
    <row r="365" spans="1:3">
      <c r="A365" s="93" t="s">
        <v>3108</v>
      </c>
      <c r="B365">
        <v>212577</v>
      </c>
      <c r="C365" t="s">
        <v>97</v>
      </c>
    </row>
    <row r="366" spans="1:3">
      <c r="A366" s="93" t="s">
        <v>1797</v>
      </c>
      <c r="B366">
        <v>150604</v>
      </c>
      <c r="C366" t="s">
        <v>97</v>
      </c>
    </row>
    <row r="367" spans="1:3">
      <c r="A367" s="93" t="s">
        <v>2404</v>
      </c>
      <c r="B367">
        <v>182795</v>
      </c>
      <c r="C367" t="s">
        <v>97</v>
      </c>
    </row>
    <row r="368" spans="1:3">
      <c r="A368" s="93" t="s">
        <v>4992</v>
      </c>
      <c r="B368">
        <v>441982</v>
      </c>
      <c r="C368" t="s">
        <v>97</v>
      </c>
    </row>
    <row r="369" spans="1:3">
      <c r="A369" s="93" t="s">
        <v>3332</v>
      </c>
      <c r="B369">
        <v>220215</v>
      </c>
      <c r="C369" t="s">
        <v>97</v>
      </c>
    </row>
    <row r="370" spans="1:3">
      <c r="A370" s="93" t="s">
        <v>1340</v>
      </c>
      <c r="B370">
        <v>114813</v>
      </c>
      <c r="C370" t="s">
        <v>97</v>
      </c>
    </row>
    <row r="371" spans="1:3">
      <c r="A371" s="93" t="s">
        <v>1882</v>
      </c>
      <c r="B371">
        <v>155089</v>
      </c>
      <c r="C371" t="s">
        <v>97</v>
      </c>
    </row>
    <row r="372" spans="1:3">
      <c r="A372" s="93" t="s">
        <v>2022</v>
      </c>
      <c r="B372">
        <v>162584</v>
      </c>
      <c r="C372" t="s">
        <v>97</v>
      </c>
    </row>
    <row r="373" spans="1:3">
      <c r="A373" s="93" t="s">
        <v>3253</v>
      </c>
      <c r="B373">
        <v>218070</v>
      </c>
      <c r="C373" t="s">
        <v>97</v>
      </c>
    </row>
    <row r="374" spans="1:3">
      <c r="A374" s="93" t="s">
        <v>3109</v>
      </c>
      <c r="B374">
        <v>212601</v>
      </c>
      <c r="C374" t="s">
        <v>97</v>
      </c>
    </row>
    <row r="375" spans="1:3">
      <c r="A375" s="93" t="s">
        <v>2763</v>
      </c>
      <c r="B375">
        <v>198561</v>
      </c>
      <c r="C375" t="s">
        <v>97</v>
      </c>
    </row>
    <row r="376" spans="1:3">
      <c r="A376" s="93" t="s">
        <v>3110</v>
      </c>
      <c r="B376">
        <v>212656</v>
      </c>
      <c r="C376" t="s">
        <v>97</v>
      </c>
    </row>
    <row r="377" spans="1:3">
      <c r="A377" s="93" t="s">
        <v>3033</v>
      </c>
      <c r="B377">
        <v>208822</v>
      </c>
      <c r="C377" t="s">
        <v>97</v>
      </c>
    </row>
    <row r="378" spans="1:3">
      <c r="A378" s="93" t="s">
        <v>3554</v>
      </c>
      <c r="B378">
        <v>232186</v>
      </c>
      <c r="C378" t="s">
        <v>97</v>
      </c>
    </row>
    <row r="379" spans="1:3">
      <c r="A379" s="93" t="s">
        <v>741</v>
      </c>
      <c r="B379">
        <v>131469</v>
      </c>
      <c r="C379" t="s">
        <v>97</v>
      </c>
    </row>
    <row r="380" spans="1:3">
      <c r="A380" s="93" t="s">
        <v>1932</v>
      </c>
      <c r="B380">
        <v>156745</v>
      </c>
      <c r="C380" t="s">
        <v>97</v>
      </c>
    </row>
    <row r="381" spans="1:3">
      <c r="A381" s="93" t="s">
        <v>492</v>
      </c>
      <c r="B381">
        <v>131496</v>
      </c>
      <c r="C381" t="s">
        <v>97</v>
      </c>
    </row>
    <row r="382" spans="1:3">
      <c r="A382" s="93" t="s">
        <v>1693</v>
      </c>
      <c r="B382">
        <v>139861</v>
      </c>
      <c r="C382" t="s">
        <v>97</v>
      </c>
    </row>
    <row r="383" spans="1:3">
      <c r="A383" s="93" t="s">
        <v>1691</v>
      </c>
      <c r="B383">
        <v>139755</v>
      </c>
      <c r="C383" t="s">
        <v>97</v>
      </c>
    </row>
    <row r="384" spans="1:3">
      <c r="A384" s="93" t="s">
        <v>1694</v>
      </c>
      <c r="B384">
        <v>139931</v>
      </c>
      <c r="C384" t="s">
        <v>97</v>
      </c>
    </row>
    <row r="385" spans="1:3">
      <c r="A385" s="93" t="s">
        <v>1692</v>
      </c>
      <c r="B385">
        <v>139764</v>
      </c>
      <c r="C385" t="s">
        <v>97</v>
      </c>
    </row>
    <row r="386" spans="1:3">
      <c r="A386" s="93" t="s">
        <v>672</v>
      </c>
      <c r="B386">
        <v>139940</v>
      </c>
      <c r="C386" t="s">
        <v>97</v>
      </c>
    </row>
    <row r="387" spans="1:3">
      <c r="A387" s="93" t="s">
        <v>2443</v>
      </c>
      <c r="B387">
        <v>184773</v>
      </c>
      <c r="C387" t="s">
        <v>97</v>
      </c>
    </row>
    <row r="388" spans="1:3">
      <c r="A388" s="93" t="s">
        <v>472</v>
      </c>
      <c r="B388">
        <v>212674</v>
      </c>
      <c r="C388" t="s">
        <v>97</v>
      </c>
    </row>
    <row r="389" spans="1:3">
      <c r="A389" s="93" t="s">
        <v>3529</v>
      </c>
      <c r="B389">
        <v>230889</v>
      </c>
      <c r="C389" t="s">
        <v>97</v>
      </c>
    </row>
    <row r="390" spans="1:3">
      <c r="A390" s="93" t="s">
        <v>1567</v>
      </c>
      <c r="B390">
        <v>130989</v>
      </c>
      <c r="C390" t="s">
        <v>97</v>
      </c>
    </row>
    <row r="391" spans="1:3">
      <c r="A391" s="93" t="s">
        <v>3620</v>
      </c>
      <c r="B391">
        <v>235316</v>
      </c>
      <c r="C391" t="s">
        <v>97</v>
      </c>
    </row>
    <row r="392" spans="1:3">
      <c r="A392" s="93" t="s">
        <v>975</v>
      </c>
      <c r="B392">
        <v>165936</v>
      </c>
      <c r="C392" t="s">
        <v>97</v>
      </c>
    </row>
    <row r="393" spans="1:3">
      <c r="A393" s="93" t="s">
        <v>942</v>
      </c>
      <c r="B393">
        <v>150668</v>
      </c>
      <c r="C393" t="s">
        <v>97</v>
      </c>
    </row>
    <row r="394" spans="1:3">
      <c r="A394" s="93" t="s">
        <v>2024</v>
      </c>
      <c r="B394">
        <v>162654</v>
      </c>
      <c r="C394" t="s">
        <v>97</v>
      </c>
    </row>
    <row r="395" spans="1:3">
      <c r="A395" s="93" t="s">
        <v>943</v>
      </c>
      <c r="B395">
        <v>150677</v>
      </c>
      <c r="C395" t="s">
        <v>97</v>
      </c>
    </row>
    <row r="396" spans="1:3">
      <c r="A396" s="93" t="s">
        <v>950</v>
      </c>
      <c r="B396">
        <v>153366</v>
      </c>
      <c r="C396" t="s">
        <v>97</v>
      </c>
    </row>
    <row r="397" spans="1:3">
      <c r="A397" s="93" t="s">
        <v>703</v>
      </c>
      <c r="B397">
        <v>104717</v>
      </c>
      <c r="C397" t="s">
        <v>97</v>
      </c>
    </row>
    <row r="398" spans="1:3">
      <c r="A398" s="93" t="s">
        <v>502</v>
      </c>
      <c r="B398">
        <v>170082</v>
      </c>
      <c r="C398" t="s">
        <v>97</v>
      </c>
    </row>
    <row r="399" spans="1:3">
      <c r="A399" s="93" t="s">
        <v>1832</v>
      </c>
      <c r="B399">
        <v>153375</v>
      </c>
      <c r="C399" t="s">
        <v>97</v>
      </c>
    </row>
    <row r="400" spans="1:3">
      <c r="A400" s="93" t="s">
        <v>4993</v>
      </c>
      <c r="B400">
        <v>230898</v>
      </c>
      <c r="C400" t="s">
        <v>97</v>
      </c>
    </row>
    <row r="401" spans="1:3">
      <c r="A401" s="93" t="s">
        <v>2765</v>
      </c>
      <c r="B401">
        <v>198598</v>
      </c>
      <c r="C401" t="s">
        <v>97</v>
      </c>
    </row>
    <row r="402" spans="1:3">
      <c r="A402" s="93" t="s">
        <v>4994</v>
      </c>
      <c r="B402">
        <v>145372</v>
      </c>
      <c r="C402" t="s">
        <v>97</v>
      </c>
    </row>
    <row r="403" spans="1:3">
      <c r="A403" s="93" t="s">
        <v>500</v>
      </c>
      <c r="B403">
        <v>153384</v>
      </c>
      <c r="C403" t="s">
        <v>97</v>
      </c>
    </row>
    <row r="404" spans="1:3">
      <c r="A404" s="93" t="s">
        <v>3112</v>
      </c>
      <c r="B404">
        <v>212805</v>
      </c>
      <c r="C404" t="s">
        <v>97</v>
      </c>
    </row>
    <row r="405" spans="1:3">
      <c r="A405" s="93" t="s">
        <v>2766</v>
      </c>
      <c r="B405">
        <v>198613</v>
      </c>
      <c r="C405" t="s">
        <v>97</v>
      </c>
    </row>
    <row r="406" spans="1:3">
      <c r="A406" s="93" t="s">
        <v>2212</v>
      </c>
      <c r="B406">
        <v>173647</v>
      </c>
      <c r="C406" t="s">
        <v>97</v>
      </c>
    </row>
    <row r="407" spans="1:3">
      <c r="A407" s="93" t="s">
        <v>4995</v>
      </c>
      <c r="B407">
        <v>212832</v>
      </c>
      <c r="C407" t="s">
        <v>97</v>
      </c>
    </row>
    <row r="408" spans="1:3">
      <c r="A408" s="93" t="s">
        <v>797</v>
      </c>
      <c r="B408">
        <v>191515</v>
      </c>
      <c r="C408" t="s">
        <v>97</v>
      </c>
    </row>
    <row r="409" spans="1:3">
      <c r="A409" s="93" t="s">
        <v>2213</v>
      </c>
      <c r="B409">
        <v>173665</v>
      </c>
      <c r="C409" t="s">
        <v>97</v>
      </c>
    </row>
    <row r="410" spans="1:3">
      <c r="A410" s="93" t="s">
        <v>4996</v>
      </c>
      <c r="B410">
        <v>232256</v>
      </c>
      <c r="C410" t="s">
        <v>97</v>
      </c>
    </row>
    <row r="411" spans="1:3">
      <c r="A411" s="93" t="s">
        <v>2082</v>
      </c>
      <c r="B411">
        <v>166018</v>
      </c>
      <c r="C411" t="s">
        <v>97</v>
      </c>
    </row>
    <row r="412" spans="1:3">
      <c r="A412" s="93" t="s">
        <v>801</v>
      </c>
      <c r="B412">
        <v>232265</v>
      </c>
      <c r="C412" t="s">
        <v>153</v>
      </c>
    </row>
    <row r="413" spans="1:3">
      <c r="A413" s="93" t="s">
        <v>4997</v>
      </c>
      <c r="B413">
        <v>177542</v>
      </c>
      <c r="C413" t="s">
        <v>97</v>
      </c>
    </row>
    <row r="414" spans="1:3">
      <c r="A414" s="93" t="s">
        <v>1798</v>
      </c>
      <c r="B414">
        <v>150756</v>
      </c>
      <c r="C414" t="s">
        <v>97</v>
      </c>
    </row>
    <row r="415" spans="1:3">
      <c r="A415" s="93" t="s">
        <v>1221</v>
      </c>
      <c r="B415">
        <v>107044</v>
      </c>
      <c r="C415" t="s">
        <v>97</v>
      </c>
    </row>
    <row r="416" spans="1:3">
      <c r="A416" s="93" t="s">
        <v>3427</v>
      </c>
      <c r="B416">
        <v>225247</v>
      </c>
      <c r="C416" t="s">
        <v>97</v>
      </c>
    </row>
    <row r="417" spans="1:3">
      <c r="A417" s="93" t="s">
        <v>2586</v>
      </c>
      <c r="B417">
        <v>191533</v>
      </c>
      <c r="C417" t="s">
        <v>97</v>
      </c>
    </row>
    <row r="418" spans="1:3">
      <c r="A418" s="93" t="s">
        <v>722</v>
      </c>
      <c r="B418">
        <v>166027</v>
      </c>
      <c r="C418" t="s">
        <v>97</v>
      </c>
    </row>
    <row r="419" spans="1:3">
      <c r="A419" s="93" t="s">
        <v>1348</v>
      </c>
      <c r="B419">
        <v>115409</v>
      </c>
      <c r="C419" t="s">
        <v>97</v>
      </c>
    </row>
    <row r="420" spans="1:3">
      <c r="A420" s="93" t="s">
        <v>2378</v>
      </c>
      <c r="B420">
        <v>181127</v>
      </c>
      <c r="C420" t="s">
        <v>97</v>
      </c>
    </row>
    <row r="421" spans="1:3">
      <c r="A421" s="93" t="s">
        <v>856</v>
      </c>
      <c r="B421">
        <v>212911</v>
      </c>
      <c r="C421" t="s">
        <v>97</v>
      </c>
    </row>
    <row r="422" spans="1:3">
      <c r="A422" s="93" t="s">
        <v>1726</v>
      </c>
      <c r="B422">
        <v>141644</v>
      </c>
      <c r="C422" t="s">
        <v>97</v>
      </c>
    </row>
    <row r="423" spans="1:3">
      <c r="A423" s="93" t="s">
        <v>2890</v>
      </c>
      <c r="B423">
        <v>203085</v>
      </c>
      <c r="C423" t="s">
        <v>97</v>
      </c>
    </row>
    <row r="424" spans="1:3">
      <c r="A424" s="93" t="s">
        <v>1222</v>
      </c>
      <c r="B424">
        <v>107071</v>
      </c>
      <c r="C424" t="s">
        <v>97</v>
      </c>
    </row>
    <row r="425" spans="1:3">
      <c r="A425" s="93" t="s">
        <v>1223</v>
      </c>
      <c r="B425">
        <v>107080</v>
      </c>
      <c r="C425" t="s">
        <v>97</v>
      </c>
    </row>
    <row r="426" spans="1:3">
      <c r="A426" s="93" t="s">
        <v>2771</v>
      </c>
      <c r="B426">
        <v>198695</v>
      </c>
      <c r="C426" t="s">
        <v>97</v>
      </c>
    </row>
    <row r="427" spans="1:3">
      <c r="A427" s="93" t="s">
        <v>2589</v>
      </c>
      <c r="B427">
        <v>191621</v>
      </c>
      <c r="C427" t="s">
        <v>97</v>
      </c>
    </row>
    <row r="428" spans="1:3">
      <c r="A428" s="93" t="s">
        <v>2891</v>
      </c>
      <c r="B428">
        <v>203128</v>
      </c>
      <c r="C428" t="s">
        <v>97</v>
      </c>
    </row>
    <row r="429" spans="1:3">
      <c r="A429" s="93" t="s">
        <v>798</v>
      </c>
      <c r="B429">
        <v>191630</v>
      </c>
      <c r="C429" t="s">
        <v>97</v>
      </c>
    </row>
    <row r="430" spans="1:3">
      <c r="A430" s="93" t="s">
        <v>3885</v>
      </c>
      <c r="B430">
        <v>367884</v>
      </c>
      <c r="C430" t="s">
        <v>97</v>
      </c>
    </row>
    <row r="431" spans="1:3">
      <c r="A431" s="93" t="s">
        <v>2590</v>
      </c>
      <c r="B431">
        <v>191649</v>
      </c>
      <c r="C431" t="s">
        <v>97</v>
      </c>
    </row>
    <row r="432" spans="1:3">
      <c r="A432" s="93" t="s">
        <v>4998</v>
      </c>
      <c r="B432">
        <v>232308</v>
      </c>
      <c r="C432" t="s">
        <v>97</v>
      </c>
    </row>
    <row r="433" spans="1:3">
      <c r="A433" s="93" t="s">
        <v>780</v>
      </c>
      <c r="B433">
        <v>150774</v>
      </c>
      <c r="C433" t="s">
        <v>97</v>
      </c>
    </row>
    <row r="434" spans="1:3">
      <c r="A434" s="93" t="s">
        <v>3117</v>
      </c>
      <c r="B434">
        <v>212984</v>
      </c>
      <c r="C434" t="s">
        <v>97</v>
      </c>
    </row>
    <row r="435" spans="1:3">
      <c r="A435" s="93" t="s">
        <v>2027</v>
      </c>
      <c r="B435">
        <v>162760</v>
      </c>
      <c r="C435" t="s">
        <v>97</v>
      </c>
    </row>
    <row r="436" spans="1:3">
      <c r="A436" s="93" t="s">
        <v>489</v>
      </c>
      <c r="B436">
        <v>170301</v>
      </c>
      <c r="C436" t="s">
        <v>97</v>
      </c>
    </row>
    <row r="437" spans="1:3">
      <c r="A437" s="93" t="s">
        <v>1405</v>
      </c>
      <c r="B437">
        <v>120537</v>
      </c>
      <c r="C437" t="s">
        <v>97</v>
      </c>
    </row>
    <row r="438" spans="1:3">
      <c r="A438" s="93" t="s">
        <v>2591</v>
      </c>
      <c r="B438">
        <v>191676</v>
      </c>
      <c r="C438" t="s">
        <v>97</v>
      </c>
    </row>
    <row r="439" spans="1:3">
      <c r="A439" s="93" t="s">
        <v>1071</v>
      </c>
      <c r="B439">
        <v>225399</v>
      </c>
      <c r="C439" t="s">
        <v>97</v>
      </c>
    </row>
    <row r="440" spans="1:3">
      <c r="A440" s="93" t="s">
        <v>3434</v>
      </c>
      <c r="B440">
        <v>225548</v>
      </c>
      <c r="C440" t="s">
        <v>97</v>
      </c>
    </row>
    <row r="441" spans="1:3">
      <c r="A441" s="93" t="s">
        <v>660</v>
      </c>
      <c r="B441">
        <v>131520</v>
      </c>
      <c r="C441" t="s">
        <v>153</v>
      </c>
    </row>
    <row r="442" spans="1:3">
      <c r="A442" s="93" t="s">
        <v>4999</v>
      </c>
      <c r="B442">
        <v>115755</v>
      </c>
      <c r="C442" t="s">
        <v>97</v>
      </c>
    </row>
    <row r="443" spans="1:3">
      <c r="A443" s="93" t="s">
        <v>1139</v>
      </c>
      <c r="B443">
        <v>101435</v>
      </c>
      <c r="C443" t="s">
        <v>97</v>
      </c>
    </row>
    <row r="444" spans="1:3">
      <c r="A444" s="93" t="s">
        <v>1799</v>
      </c>
      <c r="B444">
        <v>150941</v>
      </c>
      <c r="C444" t="s">
        <v>97</v>
      </c>
    </row>
    <row r="445" spans="1:3">
      <c r="A445" s="93" t="s">
        <v>3435</v>
      </c>
      <c r="B445">
        <v>225575</v>
      </c>
      <c r="C445" t="s">
        <v>153</v>
      </c>
    </row>
    <row r="446" spans="1:3">
      <c r="A446" s="93" t="s">
        <v>1738</v>
      </c>
      <c r="B446">
        <v>142276</v>
      </c>
      <c r="C446" t="s">
        <v>97</v>
      </c>
    </row>
    <row r="447" spans="1:3">
      <c r="A447" s="93" t="s">
        <v>529</v>
      </c>
      <c r="B447">
        <v>145691</v>
      </c>
      <c r="C447" t="s">
        <v>97</v>
      </c>
    </row>
    <row r="448" spans="1:3">
      <c r="A448" s="93" t="s">
        <v>518</v>
      </c>
      <c r="B448">
        <v>145725</v>
      </c>
      <c r="C448" t="s">
        <v>97</v>
      </c>
    </row>
    <row r="449" spans="1:3">
      <c r="A449" s="93" t="s">
        <v>519</v>
      </c>
      <c r="B449">
        <v>145813</v>
      </c>
      <c r="C449" t="s">
        <v>97</v>
      </c>
    </row>
    <row r="450" spans="1:3">
      <c r="A450" s="93" t="s">
        <v>934</v>
      </c>
      <c r="B450">
        <v>145646</v>
      </c>
      <c r="C450" t="s">
        <v>97</v>
      </c>
    </row>
    <row r="451" spans="1:3">
      <c r="A451" s="93" t="s">
        <v>3119</v>
      </c>
      <c r="B451">
        <v>213011</v>
      </c>
      <c r="C451" t="s">
        <v>97</v>
      </c>
    </row>
    <row r="452" spans="1:3">
      <c r="A452" s="93" t="s">
        <v>834</v>
      </c>
      <c r="B452">
        <v>151290</v>
      </c>
      <c r="C452" t="s">
        <v>97</v>
      </c>
    </row>
    <row r="453" spans="1:3">
      <c r="A453" s="93" t="s">
        <v>733</v>
      </c>
      <c r="B453">
        <v>151324</v>
      </c>
      <c r="C453" t="s">
        <v>97</v>
      </c>
    </row>
    <row r="454" spans="1:3">
      <c r="A454" s="93" t="s">
        <v>3120</v>
      </c>
      <c r="B454">
        <v>213020</v>
      </c>
      <c r="C454" t="s">
        <v>97</v>
      </c>
    </row>
    <row r="455" spans="1:3">
      <c r="A455" s="93" t="s">
        <v>946</v>
      </c>
      <c r="B455">
        <v>151351</v>
      </c>
      <c r="C455" t="s">
        <v>97</v>
      </c>
    </row>
    <row r="456" spans="1:3">
      <c r="A456" s="93" t="s">
        <v>1804</v>
      </c>
      <c r="B456">
        <v>151388</v>
      </c>
      <c r="C456" t="s">
        <v>97</v>
      </c>
    </row>
    <row r="457" spans="1:3">
      <c r="A457" s="93" t="s">
        <v>947</v>
      </c>
      <c r="B457">
        <v>151360</v>
      </c>
      <c r="C457" t="s">
        <v>97</v>
      </c>
    </row>
    <row r="458" spans="1:3">
      <c r="A458" s="93" t="s">
        <v>5000</v>
      </c>
      <c r="B458">
        <v>151102</v>
      </c>
      <c r="C458" t="s">
        <v>97</v>
      </c>
    </row>
    <row r="459" spans="1:3">
      <c r="A459" s="93" t="s">
        <v>751</v>
      </c>
      <c r="B459">
        <v>151111</v>
      </c>
      <c r="C459" t="s">
        <v>97</v>
      </c>
    </row>
    <row r="460" spans="1:3">
      <c r="A460" s="93" t="s">
        <v>1802</v>
      </c>
      <c r="B460">
        <v>151342</v>
      </c>
      <c r="C460" t="s">
        <v>97</v>
      </c>
    </row>
    <row r="461" spans="1:3">
      <c r="A461" s="93" t="s">
        <v>1803</v>
      </c>
      <c r="B461">
        <v>151379</v>
      </c>
      <c r="C461" t="s">
        <v>97</v>
      </c>
    </row>
    <row r="462" spans="1:3">
      <c r="A462" s="93" t="s">
        <v>5001</v>
      </c>
      <c r="B462">
        <v>151801</v>
      </c>
      <c r="C462" t="s">
        <v>97</v>
      </c>
    </row>
    <row r="463" spans="1:3">
      <c r="A463" s="93" t="s">
        <v>2594</v>
      </c>
      <c r="B463">
        <v>191931</v>
      </c>
      <c r="C463" t="s">
        <v>97</v>
      </c>
    </row>
    <row r="464" spans="1:3">
      <c r="A464" s="93" t="s">
        <v>694</v>
      </c>
      <c r="B464">
        <v>153603</v>
      </c>
      <c r="C464" t="s">
        <v>97</v>
      </c>
    </row>
    <row r="465" spans="1:3">
      <c r="A465" s="93" t="s">
        <v>2596</v>
      </c>
      <c r="B465">
        <v>191968</v>
      </c>
      <c r="C465" t="s">
        <v>97</v>
      </c>
    </row>
    <row r="466" spans="1:3">
      <c r="A466" s="93" t="s">
        <v>654</v>
      </c>
      <c r="B466">
        <v>175856</v>
      </c>
      <c r="C466" t="s">
        <v>153</v>
      </c>
    </row>
    <row r="467" spans="1:3">
      <c r="A467" s="93" t="s">
        <v>1143</v>
      </c>
      <c r="B467">
        <v>101480</v>
      </c>
      <c r="C467" t="s">
        <v>97</v>
      </c>
    </row>
    <row r="468" spans="1:3">
      <c r="A468" s="93" t="s">
        <v>821</v>
      </c>
      <c r="B468">
        <v>134945</v>
      </c>
      <c r="C468" t="s">
        <v>97</v>
      </c>
    </row>
    <row r="469" spans="1:3">
      <c r="A469" s="93" t="s">
        <v>1089</v>
      </c>
      <c r="B469">
        <v>232423</v>
      </c>
      <c r="C469" t="s">
        <v>97</v>
      </c>
    </row>
    <row r="470" spans="1:3">
      <c r="A470" s="93" t="s">
        <v>5002</v>
      </c>
      <c r="B470">
        <v>200156</v>
      </c>
      <c r="C470" t="s">
        <v>97</v>
      </c>
    </row>
    <row r="471" spans="1:3">
      <c r="A471" s="93" t="s">
        <v>5003</v>
      </c>
      <c r="B471">
        <v>231837</v>
      </c>
      <c r="C471" t="s">
        <v>97</v>
      </c>
    </row>
    <row r="472" spans="1:3">
      <c r="A472" s="93" t="s">
        <v>1225</v>
      </c>
      <c r="B472">
        <v>107141</v>
      </c>
      <c r="C472" t="s">
        <v>97</v>
      </c>
    </row>
    <row r="473" spans="1:3">
      <c r="A473" s="93" t="s">
        <v>2895</v>
      </c>
      <c r="B473">
        <v>203368</v>
      </c>
      <c r="C473" t="s">
        <v>97</v>
      </c>
    </row>
    <row r="474" spans="1:3">
      <c r="A474" s="93" t="s">
        <v>707</v>
      </c>
      <c r="B474">
        <v>162928</v>
      </c>
      <c r="C474" t="s">
        <v>97</v>
      </c>
    </row>
    <row r="475" spans="1:3">
      <c r="A475" s="93" t="s">
        <v>2774</v>
      </c>
      <c r="B475">
        <v>198756</v>
      </c>
      <c r="C475" t="s">
        <v>153</v>
      </c>
    </row>
    <row r="476" spans="1:3">
      <c r="A476" s="93" t="s">
        <v>5004</v>
      </c>
      <c r="B476">
        <v>230913</v>
      </c>
      <c r="C476" t="s">
        <v>97</v>
      </c>
    </row>
    <row r="477" spans="1:3">
      <c r="A477" s="93" t="s">
        <v>877</v>
      </c>
      <c r="B477">
        <v>101541</v>
      </c>
      <c r="C477" t="s">
        <v>97</v>
      </c>
    </row>
    <row r="478" spans="1:3">
      <c r="A478" s="93" t="s">
        <v>829</v>
      </c>
      <c r="B478">
        <v>146339</v>
      </c>
      <c r="C478" t="s">
        <v>97</v>
      </c>
    </row>
    <row r="479" spans="1:3">
      <c r="A479" s="93" t="s">
        <v>3124</v>
      </c>
      <c r="B479">
        <v>213251</v>
      </c>
      <c r="C479" t="s">
        <v>97</v>
      </c>
    </row>
    <row r="480" spans="1:3">
      <c r="A480" s="93" t="s">
        <v>474</v>
      </c>
      <c r="B480">
        <v>170532</v>
      </c>
      <c r="C480" t="s">
        <v>97</v>
      </c>
    </row>
    <row r="481" spans="1:3">
      <c r="A481" s="93" t="s">
        <v>1892</v>
      </c>
      <c r="B481">
        <v>155399</v>
      </c>
      <c r="C481" t="s">
        <v>97</v>
      </c>
    </row>
    <row r="482" spans="1:3">
      <c r="A482" s="93" t="s">
        <v>1893</v>
      </c>
      <c r="B482">
        <v>155414</v>
      </c>
      <c r="C482" t="s">
        <v>97</v>
      </c>
    </row>
    <row r="483" spans="1:3">
      <c r="A483" s="93" t="s">
        <v>2450</v>
      </c>
      <c r="B483">
        <v>185262</v>
      </c>
      <c r="C483" t="s">
        <v>97</v>
      </c>
    </row>
    <row r="484" spans="1:3">
      <c r="A484" s="93" t="s">
        <v>2408</v>
      </c>
      <c r="B484">
        <v>183062</v>
      </c>
      <c r="C484" t="s">
        <v>97</v>
      </c>
    </row>
    <row r="485" spans="1:3">
      <c r="A485" s="93" t="s">
        <v>2904</v>
      </c>
      <c r="B485">
        <v>203517</v>
      </c>
      <c r="C485" t="s">
        <v>97</v>
      </c>
    </row>
    <row r="486" spans="1:3">
      <c r="A486" s="93" t="s">
        <v>964</v>
      </c>
      <c r="B486">
        <v>157100</v>
      </c>
      <c r="C486" t="s">
        <v>97</v>
      </c>
    </row>
    <row r="487" spans="1:3">
      <c r="A487" s="93" t="s">
        <v>963</v>
      </c>
      <c r="B487">
        <v>157058</v>
      </c>
      <c r="C487" t="s">
        <v>153</v>
      </c>
    </row>
    <row r="488" spans="1:3">
      <c r="A488" s="93" t="s">
        <v>1938</v>
      </c>
      <c r="B488">
        <v>157076</v>
      </c>
      <c r="C488" t="s">
        <v>97</v>
      </c>
    </row>
    <row r="489" spans="1:3">
      <c r="A489" s="93" t="s">
        <v>761</v>
      </c>
      <c r="B489">
        <v>203535</v>
      </c>
      <c r="C489" t="s">
        <v>97</v>
      </c>
    </row>
    <row r="490" spans="1:3">
      <c r="A490" s="93" t="s">
        <v>2159</v>
      </c>
      <c r="B490">
        <v>169983</v>
      </c>
      <c r="C490" t="s">
        <v>97</v>
      </c>
    </row>
    <row r="491" spans="1:3">
      <c r="A491" s="93" t="s">
        <v>2603</v>
      </c>
      <c r="B491">
        <v>192192</v>
      </c>
      <c r="C491" t="s">
        <v>97</v>
      </c>
    </row>
    <row r="492" spans="1:3">
      <c r="A492" s="93" t="s">
        <v>3125</v>
      </c>
      <c r="B492">
        <v>213303</v>
      </c>
      <c r="C492" t="s">
        <v>97</v>
      </c>
    </row>
    <row r="493" spans="1:3">
      <c r="A493" s="93" t="s">
        <v>5005</v>
      </c>
      <c r="B493">
        <v>220516</v>
      </c>
      <c r="C493" t="s">
        <v>97</v>
      </c>
    </row>
    <row r="494" spans="1:3">
      <c r="A494" s="93" t="s">
        <v>3126</v>
      </c>
      <c r="B494">
        <v>213321</v>
      </c>
      <c r="C494" t="s">
        <v>97</v>
      </c>
    </row>
    <row r="495" spans="1:3">
      <c r="A495" s="93" t="s">
        <v>477</v>
      </c>
      <c r="B495">
        <v>146427</v>
      </c>
      <c r="C495" t="s">
        <v>97</v>
      </c>
    </row>
    <row r="496" spans="1:3">
      <c r="A496" s="93" t="s">
        <v>3127</v>
      </c>
      <c r="B496">
        <v>213349</v>
      </c>
      <c r="C496" t="s">
        <v>97</v>
      </c>
    </row>
    <row r="497" spans="1:3">
      <c r="A497" s="93" t="s">
        <v>2182</v>
      </c>
      <c r="B497">
        <v>171881</v>
      </c>
      <c r="C497" t="s">
        <v>97</v>
      </c>
    </row>
    <row r="498" spans="1:3">
      <c r="A498" s="93" t="s">
        <v>5006</v>
      </c>
      <c r="B498">
        <v>213358</v>
      </c>
      <c r="C498" t="s">
        <v>97</v>
      </c>
    </row>
    <row r="499" spans="1:3">
      <c r="A499" s="93" t="s">
        <v>3129</v>
      </c>
      <c r="B499">
        <v>213367</v>
      </c>
      <c r="C499" t="s">
        <v>97</v>
      </c>
    </row>
    <row r="500" spans="1:3">
      <c r="A500" s="93" t="s">
        <v>1368</v>
      </c>
      <c r="B500">
        <v>117627</v>
      </c>
      <c r="C500" t="s">
        <v>97</v>
      </c>
    </row>
    <row r="501" spans="1:3">
      <c r="A501" s="93" t="s">
        <v>484</v>
      </c>
      <c r="B501">
        <v>213385</v>
      </c>
      <c r="C501" t="s">
        <v>97</v>
      </c>
    </row>
    <row r="502" spans="1:3">
      <c r="A502" s="93" t="s">
        <v>1700</v>
      </c>
      <c r="B502">
        <v>140234</v>
      </c>
      <c r="C502" t="s">
        <v>97</v>
      </c>
    </row>
    <row r="503" spans="1:3">
      <c r="A503" s="93" t="s">
        <v>1038</v>
      </c>
      <c r="B503">
        <v>203580</v>
      </c>
      <c r="C503" t="s">
        <v>97</v>
      </c>
    </row>
    <row r="504" spans="1:3">
      <c r="A504" s="93" t="s">
        <v>557</v>
      </c>
      <c r="B504">
        <v>146481</v>
      </c>
      <c r="C504" t="s">
        <v>97</v>
      </c>
    </row>
    <row r="505" spans="1:3">
      <c r="A505" s="93" t="s">
        <v>2167</v>
      </c>
      <c r="B505">
        <v>170639</v>
      </c>
      <c r="C505" t="s">
        <v>97</v>
      </c>
    </row>
    <row r="506" spans="1:3">
      <c r="A506" s="93" t="s">
        <v>5007</v>
      </c>
      <c r="B506">
        <v>238980</v>
      </c>
      <c r="C506" t="s">
        <v>97</v>
      </c>
    </row>
    <row r="507" spans="1:3">
      <c r="A507" s="93" t="s">
        <v>3440</v>
      </c>
      <c r="B507">
        <v>226091</v>
      </c>
      <c r="C507" t="s">
        <v>97</v>
      </c>
    </row>
    <row r="508" spans="1:3">
      <c r="A508" s="93" t="s">
        <v>3256</v>
      </c>
      <c r="B508">
        <v>218229</v>
      </c>
      <c r="C508" t="s">
        <v>97</v>
      </c>
    </row>
    <row r="509" spans="1:3">
      <c r="A509" s="93" t="s">
        <v>3342</v>
      </c>
      <c r="B509">
        <v>220598</v>
      </c>
      <c r="C509" t="s">
        <v>153</v>
      </c>
    </row>
    <row r="510" spans="1:3">
      <c r="A510" s="93" t="s">
        <v>2997</v>
      </c>
      <c r="B510">
        <v>207209</v>
      </c>
      <c r="C510" t="s">
        <v>153</v>
      </c>
    </row>
    <row r="511" spans="1:3">
      <c r="A511" s="93" t="s">
        <v>5008</v>
      </c>
      <c r="B511">
        <v>166391</v>
      </c>
      <c r="C511" t="s">
        <v>97</v>
      </c>
    </row>
    <row r="512" spans="1:3">
      <c r="A512" s="93" t="s">
        <v>3698</v>
      </c>
      <c r="B512">
        <v>239017</v>
      </c>
      <c r="C512" t="s">
        <v>97</v>
      </c>
    </row>
    <row r="513" spans="1:3">
      <c r="A513" s="93" t="s">
        <v>2605</v>
      </c>
      <c r="B513">
        <v>192323</v>
      </c>
      <c r="C513" t="s">
        <v>97</v>
      </c>
    </row>
    <row r="514" spans="1:3">
      <c r="A514" s="93" t="s">
        <v>3343</v>
      </c>
      <c r="B514">
        <v>220604</v>
      </c>
      <c r="C514" t="s">
        <v>153</v>
      </c>
    </row>
    <row r="515" spans="1:3">
      <c r="A515" s="93" t="s">
        <v>1052</v>
      </c>
      <c r="B515">
        <v>213507</v>
      </c>
      <c r="C515" t="s">
        <v>97</v>
      </c>
    </row>
    <row r="516" spans="1:3">
      <c r="A516" s="93" t="s">
        <v>3344</v>
      </c>
      <c r="B516">
        <v>220613</v>
      </c>
      <c r="C516" t="s">
        <v>97</v>
      </c>
    </row>
    <row r="517" spans="1:3">
      <c r="A517" s="93" t="s">
        <v>2776</v>
      </c>
      <c r="B517">
        <v>198808</v>
      </c>
      <c r="C517" t="s">
        <v>97</v>
      </c>
    </row>
    <row r="518" spans="1:3">
      <c r="A518" s="93" t="s">
        <v>710</v>
      </c>
      <c r="B518">
        <v>213543</v>
      </c>
      <c r="C518" t="s">
        <v>97</v>
      </c>
    </row>
    <row r="519" spans="1:3">
      <c r="A519" s="93" t="s">
        <v>2778</v>
      </c>
      <c r="B519">
        <v>198835</v>
      </c>
      <c r="C519" t="s">
        <v>97</v>
      </c>
    </row>
    <row r="520" spans="1:3">
      <c r="A520" s="93" t="s">
        <v>2088</v>
      </c>
      <c r="B520">
        <v>166452</v>
      </c>
      <c r="C520" t="s">
        <v>97</v>
      </c>
    </row>
    <row r="521" spans="1:3">
      <c r="A521" s="93" t="s">
        <v>3445</v>
      </c>
      <c r="B521">
        <v>226231</v>
      </c>
      <c r="C521" t="s">
        <v>97</v>
      </c>
    </row>
    <row r="522" spans="1:3">
      <c r="A522" s="93" t="s">
        <v>525</v>
      </c>
      <c r="B522">
        <v>209056</v>
      </c>
      <c r="C522" t="s">
        <v>97</v>
      </c>
    </row>
    <row r="523" spans="1:3">
      <c r="A523" s="93" t="s">
        <v>571</v>
      </c>
      <c r="B523">
        <v>146612</v>
      </c>
      <c r="C523" t="s">
        <v>97</v>
      </c>
    </row>
    <row r="524" spans="1:3">
      <c r="A524" s="93" t="s">
        <v>1741</v>
      </c>
      <c r="B524">
        <v>142328</v>
      </c>
      <c r="C524" t="s">
        <v>97</v>
      </c>
    </row>
    <row r="525" spans="1:3">
      <c r="A525" s="93" t="s">
        <v>765</v>
      </c>
      <c r="B525">
        <v>232557</v>
      </c>
      <c r="C525" t="s">
        <v>97</v>
      </c>
    </row>
    <row r="526" spans="1:3">
      <c r="A526" s="93" t="s">
        <v>1702</v>
      </c>
      <c r="B526">
        <v>140252</v>
      </c>
      <c r="C526" t="s">
        <v>97</v>
      </c>
    </row>
    <row r="527" spans="1:3">
      <c r="A527" s="93" t="s">
        <v>2604</v>
      </c>
      <c r="B527">
        <v>192271</v>
      </c>
      <c r="C527" t="s">
        <v>97</v>
      </c>
    </row>
    <row r="528" spans="1:3">
      <c r="A528" s="93" t="s">
        <v>5009</v>
      </c>
      <c r="B528">
        <v>218238</v>
      </c>
      <c r="C528" t="s">
        <v>97</v>
      </c>
    </row>
    <row r="529" spans="1:3">
      <c r="A529" s="93" t="s">
        <v>716</v>
      </c>
      <c r="B529">
        <v>146676</v>
      </c>
      <c r="C529" t="s">
        <v>97</v>
      </c>
    </row>
    <row r="530" spans="1:3">
      <c r="A530" s="93" t="s">
        <v>3345</v>
      </c>
      <c r="B530">
        <v>220631</v>
      </c>
      <c r="C530" t="s">
        <v>97</v>
      </c>
    </row>
    <row r="531" spans="1:3">
      <c r="A531" s="93" t="s">
        <v>5010</v>
      </c>
      <c r="B531">
        <v>213598</v>
      </c>
      <c r="C531" t="s">
        <v>153</v>
      </c>
    </row>
    <row r="532" spans="1:3">
      <c r="A532" s="93" t="s">
        <v>996</v>
      </c>
      <c r="B532">
        <v>177968</v>
      </c>
      <c r="C532" t="s">
        <v>97</v>
      </c>
    </row>
    <row r="533" spans="1:3">
      <c r="A533" s="93" t="s">
        <v>965</v>
      </c>
      <c r="B533">
        <v>157216</v>
      </c>
      <c r="C533" t="s">
        <v>97</v>
      </c>
    </row>
    <row r="534" spans="1:3">
      <c r="A534" s="93" t="s">
        <v>5011</v>
      </c>
      <c r="B534">
        <v>209065</v>
      </c>
      <c r="C534" t="s">
        <v>97</v>
      </c>
    </row>
    <row r="535" spans="1:3">
      <c r="A535" s="93" t="s">
        <v>3324</v>
      </c>
      <c r="B535">
        <v>219976</v>
      </c>
      <c r="C535" t="s">
        <v>97</v>
      </c>
    </row>
    <row r="536" spans="1:3">
      <c r="A536" s="93" t="s">
        <v>2779</v>
      </c>
      <c r="B536">
        <v>198862</v>
      </c>
      <c r="C536" t="s">
        <v>153</v>
      </c>
    </row>
    <row r="537" spans="1:3">
      <c r="A537" s="93" t="s">
        <v>3137</v>
      </c>
      <c r="B537">
        <v>213613</v>
      </c>
      <c r="C537" t="s">
        <v>97</v>
      </c>
    </row>
    <row r="538" spans="1:3">
      <c r="A538" s="93" t="s">
        <v>5012</v>
      </c>
      <c r="B538">
        <v>192448</v>
      </c>
      <c r="C538" t="s">
        <v>97</v>
      </c>
    </row>
    <row r="539" spans="1:3">
      <c r="A539" s="93" t="s">
        <v>3560</v>
      </c>
      <c r="B539">
        <v>232566</v>
      </c>
      <c r="C539" t="s">
        <v>97</v>
      </c>
    </row>
    <row r="540" spans="1:3">
      <c r="A540" s="93" t="s">
        <v>953</v>
      </c>
      <c r="B540">
        <v>153825</v>
      </c>
      <c r="C540" t="s">
        <v>97</v>
      </c>
    </row>
    <row r="541" spans="1:3">
      <c r="A541" s="93" t="s">
        <v>1970</v>
      </c>
      <c r="B541">
        <v>159568</v>
      </c>
      <c r="C541" t="s">
        <v>97</v>
      </c>
    </row>
    <row r="542" spans="1:3">
      <c r="A542" s="93" t="s">
        <v>753</v>
      </c>
      <c r="B542">
        <v>159391</v>
      </c>
      <c r="C542" t="s">
        <v>97</v>
      </c>
    </row>
    <row r="543" spans="1:3">
      <c r="A543" s="93" t="s">
        <v>1971</v>
      </c>
      <c r="B543">
        <v>159647</v>
      </c>
      <c r="C543" t="s">
        <v>97</v>
      </c>
    </row>
    <row r="544" spans="1:3">
      <c r="A544" s="93" t="s">
        <v>5013</v>
      </c>
      <c r="B544">
        <v>203757</v>
      </c>
      <c r="C544" t="s">
        <v>97</v>
      </c>
    </row>
    <row r="545" spans="1:3">
      <c r="A545" s="93" t="s">
        <v>516</v>
      </c>
      <c r="B545">
        <v>117946</v>
      </c>
      <c r="C545" t="s">
        <v>97</v>
      </c>
    </row>
    <row r="546" spans="1:3">
      <c r="A546" s="93" t="s">
        <v>5014</v>
      </c>
      <c r="B546">
        <v>163046</v>
      </c>
      <c r="C546" t="s">
        <v>97</v>
      </c>
    </row>
    <row r="547" spans="1:3">
      <c r="A547" s="93" t="s">
        <v>5015</v>
      </c>
      <c r="B547">
        <v>146719</v>
      </c>
      <c r="C547" t="s">
        <v>97</v>
      </c>
    </row>
    <row r="548" spans="1:3">
      <c r="A548" s="93" t="s">
        <v>5016</v>
      </c>
      <c r="B548">
        <v>159656</v>
      </c>
      <c r="C548" t="s">
        <v>97</v>
      </c>
    </row>
    <row r="549" spans="1:3">
      <c r="A549" s="93" t="s">
        <v>3447</v>
      </c>
      <c r="B549">
        <v>226383</v>
      </c>
      <c r="C549" t="s">
        <v>97</v>
      </c>
    </row>
    <row r="550" spans="1:3">
      <c r="A550" s="93" t="s">
        <v>481</v>
      </c>
      <c r="B550">
        <v>153834</v>
      </c>
      <c r="C550" t="s">
        <v>97</v>
      </c>
    </row>
    <row r="551" spans="1:3">
      <c r="A551" s="93" t="s">
        <v>476</v>
      </c>
      <c r="B551">
        <v>213668</v>
      </c>
      <c r="C551" t="s">
        <v>97</v>
      </c>
    </row>
    <row r="552" spans="1:3">
      <c r="A552" s="93" t="s">
        <v>5017</v>
      </c>
      <c r="B552">
        <v>232609</v>
      </c>
      <c r="C552" t="s">
        <v>97</v>
      </c>
    </row>
    <row r="553" spans="1:3">
      <c r="A553" s="93" t="s">
        <v>819</v>
      </c>
      <c r="B553">
        <v>132657</v>
      </c>
      <c r="C553" t="s">
        <v>97</v>
      </c>
    </row>
    <row r="554" spans="1:3">
      <c r="A554" s="93" t="s">
        <v>1207</v>
      </c>
      <c r="B554">
        <v>106342</v>
      </c>
      <c r="C554" t="s">
        <v>97</v>
      </c>
    </row>
    <row r="555" spans="1:3">
      <c r="A555" s="93" t="s">
        <v>499</v>
      </c>
      <c r="B555">
        <v>173902</v>
      </c>
      <c r="C555" t="s">
        <v>97</v>
      </c>
    </row>
    <row r="556" spans="1:3">
      <c r="A556" s="93" t="s">
        <v>5018</v>
      </c>
      <c r="B556">
        <v>146825</v>
      </c>
      <c r="C556" t="s">
        <v>97</v>
      </c>
    </row>
    <row r="557" spans="1:3">
      <c r="A557" s="93" t="s">
        <v>2169</v>
      </c>
      <c r="B557">
        <v>170806</v>
      </c>
      <c r="C557" t="s">
        <v>97</v>
      </c>
    </row>
    <row r="558" spans="1:3">
      <c r="A558" s="93" t="s">
        <v>5019</v>
      </c>
      <c r="B558">
        <v>153861</v>
      </c>
      <c r="C558" t="s">
        <v>97</v>
      </c>
    </row>
    <row r="559" spans="1:3">
      <c r="A559" s="93" t="s">
        <v>2001</v>
      </c>
      <c r="B559">
        <v>161299</v>
      </c>
      <c r="C559" t="s">
        <v>97</v>
      </c>
    </row>
    <row r="560" spans="1:3">
      <c r="A560" s="93" t="s">
        <v>2913</v>
      </c>
      <c r="B560">
        <v>203775</v>
      </c>
      <c r="C560" t="s">
        <v>97</v>
      </c>
    </row>
    <row r="561" spans="1:3">
      <c r="A561" s="93" t="s">
        <v>5020</v>
      </c>
      <c r="B561">
        <v>151777</v>
      </c>
      <c r="C561" t="s">
        <v>97</v>
      </c>
    </row>
    <row r="562" spans="1:3">
      <c r="A562" s="93" t="s">
        <v>2610</v>
      </c>
      <c r="B562">
        <v>192703</v>
      </c>
      <c r="C562" t="s">
        <v>97</v>
      </c>
    </row>
    <row r="563" spans="1:3">
      <c r="A563" s="93" t="s">
        <v>2612</v>
      </c>
      <c r="B563">
        <v>192749</v>
      </c>
      <c r="C563" t="s">
        <v>97</v>
      </c>
    </row>
    <row r="564" spans="1:3">
      <c r="A564" s="93" t="s">
        <v>3142</v>
      </c>
      <c r="B564">
        <v>213783</v>
      </c>
      <c r="C564" t="s">
        <v>97</v>
      </c>
    </row>
    <row r="565" spans="1:3">
      <c r="A565" s="93" t="s">
        <v>5021</v>
      </c>
      <c r="B565">
        <v>239071</v>
      </c>
      <c r="C565" t="s">
        <v>97</v>
      </c>
    </row>
    <row r="566" spans="1:3">
      <c r="A566" s="93" t="s">
        <v>566</v>
      </c>
      <c r="B566">
        <v>151786</v>
      </c>
      <c r="C566" t="s">
        <v>97</v>
      </c>
    </row>
    <row r="567" spans="1:3">
      <c r="A567" s="93" t="s">
        <v>566</v>
      </c>
      <c r="B567">
        <v>239080</v>
      </c>
      <c r="C567" t="s">
        <v>97</v>
      </c>
    </row>
    <row r="568" spans="1:3">
      <c r="A568" s="93" t="s">
        <v>2914</v>
      </c>
      <c r="B568">
        <v>203845</v>
      </c>
      <c r="C568" t="s">
        <v>97</v>
      </c>
    </row>
    <row r="569" spans="1:3">
      <c r="A569" s="93" t="s">
        <v>597</v>
      </c>
      <c r="B569">
        <v>192819</v>
      </c>
      <c r="C569" t="s">
        <v>97</v>
      </c>
    </row>
    <row r="570" spans="1:3">
      <c r="A570" s="93" t="s">
        <v>5022</v>
      </c>
      <c r="B570">
        <v>230940</v>
      </c>
      <c r="C570" t="s">
        <v>97</v>
      </c>
    </row>
    <row r="571" spans="1:3">
      <c r="A571" s="93" t="s">
        <v>689</v>
      </c>
      <c r="B571">
        <v>239105</v>
      </c>
      <c r="C571" t="s">
        <v>97</v>
      </c>
    </row>
    <row r="572" spans="1:3">
      <c r="A572" s="93" t="s">
        <v>5023</v>
      </c>
      <c r="B572">
        <v>198899</v>
      </c>
      <c r="C572" t="s">
        <v>97</v>
      </c>
    </row>
    <row r="573" spans="1:3">
      <c r="A573" s="93" t="s">
        <v>3665</v>
      </c>
      <c r="B573">
        <v>237525</v>
      </c>
      <c r="C573" t="s">
        <v>97</v>
      </c>
    </row>
    <row r="574" spans="1:3">
      <c r="A574" s="93" t="s">
        <v>2209</v>
      </c>
      <c r="B574">
        <v>173452</v>
      </c>
      <c r="C574" t="s">
        <v>97</v>
      </c>
    </row>
    <row r="575" spans="1:3">
      <c r="A575" s="93" t="s">
        <v>5024</v>
      </c>
      <c r="B575">
        <v>232672</v>
      </c>
      <c r="C575" t="s">
        <v>97</v>
      </c>
    </row>
    <row r="576" spans="1:3">
      <c r="A576" s="93" t="s">
        <v>5025</v>
      </c>
      <c r="B576">
        <v>170842</v>
      </c>
      <c r="C576" t="s">
        <v>97</v>
      </c>
    </row>
    <row r="577" spans="1:3">
      <c r="A577" s="93" t="s">
        <v>2614</v>
      </c>
      <c r="B577">
        <v>192864</v>
      </c>
      <c r="C577" t="s">
        <v>97</v>
      </c>
    </row>
    <row r="578" spans="1:3">
      <c r="A578" s="93" t="s">
        <v>1090</v>
      </c>
      <c r="B578">
        <v>232706</v>
      </c>
      <c r="C578" t="s">
        <v>97</v>
      </c>
    </row>
    <row r="579" spans="1:3">
      <c r="A579" s="93" t="s">
        <v>3348</v>
      </c>
      <c r="B579">
        <v>220710</v>
      </c>
      <c r="C579" t="s">
        <v>97</v>
      </c>
    </row>
    <row r="580" spans="1:3">
      <c r="A580" s="93" t="s">
        <v>846</v>
      </c>
      <c r="B580">
        <v>178059</v>
      </c>
      <c r="C580" t="s">
        <v>97</v>
      </c>
    </row>
    <row r="581" spans="1:3">
      <c r="A581" s="93" t="s">
        <v>3143</v>
      </c>
      <c r="B581">
        <v>213826</v>
      </c>
      <c r="C581" t="s">
        <v>97</v>
      </c>
    </row>
    <row r="582" spans="1:3">
      <c r="A582" s="93" t="s">
        <v>2110</v>
      </c>
      <c r="B582">
        <v>167288</v>
      </c>
      <c r="C582" t="s">
        <v>97</v>
      </c>
    </row>
    <row r="583" spans="1:3">
      <c r="A583" s="93" t="s">
        <v>2096</v>
      </c>
      <c r="B583">
        <v>166683</v>
      </c>
      <c r="C583" t="s">
        <v>97</v>
      </c>
    </row>
    <row r="584" spans="1:3">
      <c r="A584" s="93" t="s">
        <v>2097</v>
      </c>
      <c r="B584">
        <v>166692</v>
      </c>
      <c r="C584" t="s">
        <v>97</v>
      </c>
    </row>
    <row r="585" spans="1:3">
      <c r="A585" s="93" t="s">
        <v>2045</v>
      </c>
      <c r="B585">
        <v>164270</v>
      </c>
      <c r="C585" t="s">
        <v>97</v>
      </c>
    </row>
    <row r="586" spans="1:3">
      <c r="A586" s="93" t="s">
        <v>777</v>
      </c>
      <c r="B586">
        <v>147013</v>
      </c>
      <c r="C586" t="s">
        <v>97</v>
      </c>
    </row>
    <row r="587" spans="1:3">
      <c r="A587" s="93" t="s">
        <v>3450</v>
      </c>
      <c r="B587">
        <v>226587</v>
      </c>
      <c r="C587" t="s">
        <v>97</v>
      </c>
    </row>
    <row r="588" spans="1:3">
      <c r="A588" s="93" t="s">
        <v>1972</v>
      </c>
      <c r="B588">
        <v>159717</v>
      </c>
      <c r="C588" t="s">
        <v>97</v>
      </c>
    </row>
    <row r="589" spans="1:3">
      <c r="A589" s="93" t="s">
        <v>1897</v>
      </c>
      <c r="B589">
        <v>155511</v>
      </c>
      <c r="C589" t="s">
        <v>97</v>
      </c>
    </row>
    <row r="590" spans="1:3">
      <c r="A590" s="93" t="s">
        <v>2615</v>
      </c>
      <c r="B590">
        <v>192925</v>
      </c>
      <c r="C590" t="s">
        <v>97</v>
      </c>
    </row>
    <row r="591" spans="1:3">
      <c r="A591" s="93" t="s">
        <v>1386</v>
      </c>
      <c r="B591">
        <v>118693</v>
      </c>
      <c r="C591" t="s">
        <v>97</v>
      </c>
    </row>
    <row r="592" spans="1:3">
      <c r="A592" s="93" t="s">
        <v>1705</v>
      </c>
      <c r="B592">
        <v>140447</v>
      </c>
      <c r="C592" t="s">
        <v>97</v>
      </c>
    </row>
    <row r="593" spans="1:3">
      <c r="A593" s="93" t="s">
        <v>5026</v>
      </c>
      <c r="B593">
        <v>213987</v>
      </c>
      <c r="C593" t="s">
        <v>97</v>
      </c>
    </row>
    <row r="594" spans="1:3">
      <c r="A594" s="93" t="s">
        <v>5027</v>
      </c>
      <c r="B594">
        <v>198950</v>
      </c>
      <c r="C594" t="s">
        <v>97</v>
      </c>
    </row>
    <row r="595" spans="1:3">
      <c r="A595" s="93" t="s">
        <v>2101</v>
      </c>
      <c r="B595">
        <v>166850</v>
      </c>
      <c r="C595" t="s">
        <v>97</v>
      </c>
    </row>
    <row r="596" spans="1:3">
      <c r="A596" s="93" t="s">
        <v>5028</v>
      </c>
      <c r="B596">
        <v>127556</v>
      </c>
      <c r="C596" t="s">
        <v>97</v>
      </c>
    </row>
    <row r="597" spans="1:3">
      <c r="A597" s="93" t="s">
        <v>5029</v>
      </c>
      <c r="B597">
        <v>213996</v>
      </c>
      <c r="C597" t="s">
        <v>97</v>
      </c>
    </row>
    <row r="598" spans="1:3">
      <c r="A598" s="93" t="s">
        <v>2786</v>
      </c>
      <c r="B598">
        <v>198969</v>
      </c>
      <c r="C598" t="s">
        <v>97</v>
      </c>
    </row>
    <row r="599" spans="1:3">
      <c r="A599" s="93" t="s">
        <v>2542</v>
      </c>
      <c r="B599">
        <v>190114</v>
      </c>
      <c r="C599" t="s">
        <v>97</v>
      </c>
    </row>
    <row r="600" spans="1:3">
      <c r="A600" s="93" t="s">
        <v>5030</v>
      </c>
      <c r="B600">
        <v>127565</v>
      </c>
      <c r="C600" t="s">
        <v>97</v>
      </c>
    </row>
    <row r="601" spans="1:3">
      <c r="A601" s="93" t="s">
        <v>2920</v>
      </c>
      <c r="B601">
        <v>204024</v>
      </c>
      <c r="C601" t="s">
        <v>97</v>
      </c>
    </row>
    <row r="602" spans="1:3">
      <c r="A602" s="93" t="s">
        <v>569</v>
      </c>
      <c r="B602">
        <v>171100</v>
      </c>
      <c r="C602" t="s">
        <v>97</v>
      </c>
    </row>
    <row r="603" spans="1:3">
      <c r="A603" s="93" t="s">
        <v>984</v>
      </c>
      <c r="B603">
        <v>171128</v>
      </c>
      <c r="C603" t="s">
        <v>97</v>
      </c>
    </row>
    <row r="604" spans="1:3">
      <c r="A604" s="93" t="s">
        <v>1898</v>
      </c>
      <c r="B604">
        <v>155520</v>
      </c>
      <c r="C604" t="s">
        <v>97</v>
      </c>
    </row>
    <row r="605" spans="1:3">
      <c r="A605" s="93" t="s">
        <v>2808</v>
      </c>
      <c r="B605">
        <v>199458</v>
      </c>
      <c r="C605" t="s">
        <v>97</v>
      </c>
    </row>
    <row r="606" spans="1:3">
      <c r="A606" s="93" t="s">
        <v>3353</v>
      </c>
      <c r="B606">
        <v>220978</v>
      </c>
      <c r="C606" t="s">
        <v>97</v>
      </c>
    </row>
    <row r="607" spans="1:3">
      <c r="A607" s="93" t="s">
        <v>684</v>
      </c>
      <c r="B607">
        <v>230959</v>
      </c>
      <c r="C607" t="s">
        <v>97</v>
      </c>
    </row>
    <row r="608" spans="1:3">
      <c r="A608" s="93" t="s">
        <v>2384</v>
      </c>
      <c r="B608">
        <v>181330</v>
      </c>
      <c r="C608" t="s">
        <v>97</v>
      </c>
    </row>
    <row r="609" spans="1:3">
      <c r="A609" s="93" t="s">
        <v>5031</v>
      </c>
      <c r="B609">
        <v>157377</v>
      </c>
      <c r="C609" t="s">
        <v>97</v>
      </c>
    </row>
    <row r="610" spans="1:3">
      <c r="A610" s="93" t="s">
        <v>3453</v>
      </c>
      <c r="B610">
        <v>226833</v>
      </c>
      <c r="C610" t="s">
        <v>97</v>
      </c>
    </row>
    <row r="611" spans="1:3">
      <c r="A611" s="93" t="s">
        <v>3148</v>
      </c>
      <c r="B611">
        <v>214041</v>
      </c>
      <c r="C611" t="s">
        <v>97</v>
      </c>
    </row>
    <row r="612" spans="1:3">
      <c r="A612" s="93" t="s">
        <v>568</v>
      </c>
      <c r="B612">
        <v>147244</v>
      </c>
      <c r="C612" t="s">
        <v>97</v>
      </c>
    </row>
    <row r="613" spans="1:3">
      <c r="A613" s="93" t="s">
        <v>1388</v>
      </c>
      <c r="B613">
        <v>118888</v>
      </c>
      <c r="C613" t="s">
        <v>97</v>
      </c>
    </row>
    <row r="614" spans="1:3">
      <c r="A614" s="93" t="s">
        <v>2270</v>
      </c>
      <c r="B614">
        <v>175980</v>
      </c>
      <c r="C614" t="s">
        <v>97</v>
      </c>
    </row>
    <row r="615" spans="1:3">
      <c r="A615" s="93" t="s">
        <v>767</v>
      </c>
      <c r="B615">
        <v>239318</v>
      </c>
      <c r="C615" t="s">
        <v>97</v>
      </c>
    </row>
    <row r="616" spans="1:3">
      <c r="A616" s="93" t="s">
        <v>2221</v>
      </c>
      <c r="B616">
        <v>173920</v>
      </c>
      <c r="C616" t="s">
        <v>97</v>
      </c>
    </row>
    <row r="617" spans="1:3">
      <c r="A617" s="93" t="s">
        <v>5032</v>
      </c>
      <c r="B617">
        <v>174358</v>
      </c>
      <c r="C617" t="s">
        <v>97</v>
      </c>
    </row>
    <row r="618" spans="1:3">
      <c r="A618" s="93" t="s">
        <v>2843</v>
      </c>
      <c r="B618">
        <v>200253</v>
      </c>
      <c r="C618" t="s">
        <v>97</v>
      </c>
    </row>
    <row r="619" spans="1:3">
      <c r="A619" s="93" t="s">
        <v>3149</v>
      </c>
      <c r="B619">
        <v>214069</v>
      </c>
      <c r="C619" t="s">
        <v>97</v>
      </c>
    </row>
    <row r="620" spans="1:3">
      <c r="A620" s="93" t="s">
        <v>2273</v>
      </c>
      <c r="B620">
        <v>176053</v>
      </c>
      <c r="C620" t="s">
        <v>97</v>
      </c>
    </row>
    <row r="621" spans="1:3">
      <c r="A621" s="93" t="s">
        <v>845</v>
      </c>
      <c r="B621">
        <v>176080</v>
      </c>
      <c r="C621" t="s">
        <v>97</v>
      </c>
    </row>
    <row r="622" spans="1:3">
      <c r="A622" s="93" t="s">
        <v>2272</v>
      </c>
      <c r="B622">
        <v>176035</v>
      </c>
      <c r="C622" t="s">
        <v>97</v>
      </c>
    </row>
    <row r="623" spans="1:3">
      <c r="A623" s="93" t="s">
        <v>758</v>
      </c>
      <c r="B623">
        <v>176044</v>
      </c>
      <c r="C623" t="s">
        <v>153</v>
      </c>
    </row>
    <row r="624" spans="1:3">
      <c r="A624" s="93" t="s">
        <v>2317</v>
      </c>
      <c r="B624">
        <v>178244</v>
      </c>
      <c r="C624" t="s">
        <v>97</v>
      </c>
    </row>
    <row r="625" spans="1:3">
      <c r="A625" s="93" t="s">
        <v>2318</v>
      </c>
      <c r="B625">
        <v>178341</v>
      </c>
      <c r="C625" t="s">
        <v>97</v>
      </c>
    </row>
    <row r="626" spans="1:3">
      <c r="A626" s="93" t="s">
        <v>2341</v>
      </c>
      <c r="B626">
        <v>179566</v>
      </c>
      <c r="C626" t="s">
        <v>97</v>
      </c>
    </row>
    <row r="627" spans="1:3">
      <c r="A627" s="93" t="s">
        <v>2321</v>
      </c>
      <c r="B627">
        <v>178411</v>
      </c>
      <c r="C627" t="s">
        <v>97</v>
      </c>
    </row>
    <row r="628" spans="1:3">
      <c r="A628" s="93" t="s">
        <v>2319</v>
      </c>
      <c r="B628">
        <v>178369</v>
      </c>
      <c r="C628" t="s">
        <v>97</v>
      </c>
    </row>
    <row r="629" spans="1:3">
      <c r="A629" s="93" t="s">
        <v>1547</v>
      </c>
      <c r="B629">
        <v>129774</v>
      </c>
      <c r="C629" t="s">
        <v>97</v>
      </c>
    </row>
    <row r="630" spans="1:3">
      <c r="A630" s="93" t="s">
        <v>2625</v>
      </c>
      <c r="B630">
        <v>193292</v>
      </c>
      <c r="C630" t="s">
        <v>97</v>
      </c>
    </row>
    <row r="631" spans="1:3">
      <c r="A631" s="93" t="s">
        <v>526</v>
      </c>
      <c r="B631">
        <v>147341</v>
      </c>
      <c r="C631" t="s">
        <v>97</v>
      </c>
    </row>
    <row r="632" spans="1:3">
      <c r="A632" s="93" t="s">
        <v>2453</v>
      </c>
      <c r="B632">
        <v>185572</v>
      </c>
      <c r="C632" t="s">
        <v>97</v>
      </c>
    </row>
    <row r="633" spans="1:3">
      <c r="A633" s="93" t="s">
        <v>5033</v>
      </c>
      <c r="B633">
        <v>193308</v>
      </c>
      <c r="C633" t="s">
        <v>97</v>
      </c>
    </row>
    <row r="634" spans="1:3">
      <c r="A634" s="93" t="s">
        <v>2363</v>
      </c>
      <c r="B634">
        <v>180461</v>
      </c>
      <c r="C634" t="s">
        <v>97</v>
      </c>
    </row>
    <row r="635" spans="1:3">
      <c r="A635" s="93" t="s">
        <v>5034</v>
      </c>
      <c r="B635">
        <v>180179</v>
      </c>
      <c r="C635" t="s">
        <v>97</v>
      </c>
    </row>
    <row r="636" spans="1:3">
      <c r="A636" s="93" t="s">
        <v>5035</v>
      </c>
      <c r="B636">
        <v>180416</v>
      </c>
      <c r="C636" t="s">
        <v>97</v>
      </c>
    </row>
    <row r="637" spans="1:3">
      <c r="A637" s="93" t="s">
        <v>1006</v>
      </c>
      <c r="B637">
        <v>185590</v>
      </c>
      <c r="C637" t="s">
        <v>97</v>
      </c>
    </row>
    <row r="638" spans="1:3">
      <c r="A638" s="93" t="s">
        <v>2790</v>
      </c>
      <c r="B638">
        <v>199032</v>
      </c>
      <c r="C638" t="s">
        <v>97</v>
      </c>
    </row>
    <row r="639" spans="1:3">
      <c r="A639" s="93" t="s">
        <v>5036</v>
      </c>
      <c r="B639">
        <v>214157</v>
      </c>
      <c r="C639" t="s">
        <v>97</v>
      </c>
    </row>
    <row r="640" spans="1:3">
      <c r="A640" s="93" t="s">
        <v>1944</v>
      </c>
      <c r="B640">
        <v>157386</v>
      </c>
      <c r="C640" t="s">
        <v>97</v>
      </c>
    </row>
    <row r="641" spans="1:3">
      <c r="A641" s="93" t="s">
        <v>5037</v>
      </c>
      <c r="B641">
        <v>140553</v>
      </c>
      <c r="C641" t="s">
        <v>153</v>
      </c>
    </row>
    <row r="642" spans="1:3">
      <c r="A642" s="93" t="s">
        <v>737</v>
      </c>
      <c r="B642">
        <v>163453</v>
      </c>
      <c r="C642" t="s">
        <v>153</v>
      </c>
    </row>
    <row r="643" spans="1:3">
      <c r="A643" s="93" t="s">
        <v>5038</v>
      </c>
      <c r="B643">
        <v>154004</v>
      </c>
      <c r="C643" t="s">
        <v>97</v>
      </c>
    </row>
    <row r="644" spans="1:3">
      <c r="A644" s="93" t="s">
        <v>3260</v>
      </c>
      <c r="B644">
        <v>218399</v>
      </c>
      <c r="C644" t="s">
        <v>153</v>
      </c>
    </row>
    <row r="645" spans="1:3">
      <c r="A645" s="93" t="s">
        <v>5039</v>
      </c>
      <c r="B645">
        <v>196051</v>
      </c>
      <c r="C645" t="s">
        <v>97</v>
      </c>
    </row>
    <row r="646" spans="1:3">
      <c r="A646" s="93" t="s">
        <v>3153</v>
      </c>
      <c r="B646">
        <v>214166</v>
      </c>
      <c r="C646" t="s">
        <v>97</v>
      </c>
    </row>
    <row r="647" spans="1:3">
      <c r="A647" s="93" t="s">
        <v>2922</v>
      </c>
      <c r="B647">
        <v>204176</v>
      </c>
      <c r="C647" t="s">
        <v>97</v>
      </c>
    </row>
    <row r="648" spans="1:3">
      <c r="A648" s="93" t="s">
        <v>5040</v>
      </c>
      <c r="B648">
        <v>166939</v>
      </c>
      <c r="C648" t="s">
        <v>97</v>
      </c>
    </row>
    <row r="649" spans="1:3">
      <c r="A649" s="93" t="s">
        <v>5041</v>
      </c>
      <c r="B649">
        <v>219198</v>
      </c>
      <c r="C649" t="s">
        <v>97</v>
      </c>
    </row>
    <row r="650" spans="1:3">
      <c r="A650" s="93" t="s">
        <v>5042</v>
      </c>
      <c r="B650">
        <v>239390</v>
      </c>
      <c r="C650" t="s">
        <v>97</v>
      </c>
    </row>
    <row r="651" spans="1:3">
      <c r="A651" s="93" t="s">
        <v>1847</v>
      </c>
      <c r="B651">
        <v>154013</v>
      </c>
      <c r="C651" t="s">
        <v>97</v>
      </c>
    </row>
    <row r="652" spans="1:3">
      <c r="A652" s="93" t="s">
        <v>5043</v>
      </c>
      <c r="B652">
        <v>199069</v>
      </c>
      <c r="C652" t="s">
        <v>97</v>
      </c>
    </row>
    <row r="653" spans="1:3">
      <c r="A653" s="93" t="s">
        <v>2627</v>
      </c>
      <c r="B653">
        <v>193353</v>
      </c>
      <c r="C653" t="s">
        <v>97</v>
      </c>
    </row>
    <row r="654" spans="1:3">
      <c r="A654" s="93" t="s">
        <v>5044</v>
      </c>
      <c r="B654">
        <v>119173</v>
      </c>
      <c r="C654" t="s">
        <v>97</v>
      </c>
    </row>
    <row r="655" spans="1:3">
      <c r="A655" s="93" t="s">
        <v>5045</v>
      </c>
      <c r="B655">
        <v>163462</v>
      </c>
      <c r="C655" t="s">
        <v>97</v>
      </c>
    </row>
    <row r="656" spans="1:3">
      <c r="A656" s="93" t="s">
        <v>2924</v>
      </c>
      <c r="B656">
        <v>204194</v>
      </c>
      <c r="C656" t="s">
        <v>97</v>
      </c>
    </row>
    <row r="657" spans="1:3">
      <c r="A657" s="93" t="s">
        <v>3154</v>
      </c>
      <c r="B657">
        <v>214175</v>
      </c>
      <c r="C657" t="s">
        <v>97</v>
      </c>
    </row>
    <row r="658" spans="1:3">
      <c r="A658" s="93" t="s">
        <v>1945</v>
      </c>
      <c r="B658">
        <v>157401</v>
      </c>
      <c r="C658" t="s">
        <v>97</v>
      </c>
    </row>
    <row r="659" spans="1:3">
      <c r="A659" s="93" t="s">
        <v>1394</v>
      </c>
      <c r="B659">
        <v>119270</v>
      </c>
      <c r="C659" t="s">
        <v>97</v>
      </c>
    </row>
    <row r="660" spans="1:3">
      <c r="A660" s="93" t="s">
        <v>2927</v>
      </c>
      <c r="B660">
        <v>204264</v>
      </c>
      <c r="C660" t="s">
        <v>97</v>
      </c>
    </row>
    <row r="661" spans="1:3">
      <c r="A661" s="93" t="s">
        <v>5046</v>
      </c>
      <c r="B661">
        <v>147536</v>
      </c>
      <c r="C661" t="s">
        <v>97</v>
      </c>
    </row>
    <row r="662" spans="1:3">
      <c r="A662" s="93" t="s">
        <v>2632</v>
      </c>
      <c r="B662">
        <v>193584</v>
      </c>
      <c r="C662" t="s">
        <v>97</v>
      </c>
    </row>
    <row r="663" spans="1:3">
      <c r="A663" s="93" t="s">
        <v>2387</v>
      </c>
      <c r="B663">
        <v>181446</v>
      </c>
      <c r="C663" t="s">
        <v>97</v>
      </c>
    </row>
    <row r="664" spans="1:3">
      <c r="A664" s="93" t="s">
        <v>3155</v>
      </c>
      <c r="B664">
        <v>214272</v>
      </c>
      <c r="C664" t="s">
        <v>97</v>
      </c>
    </row>
    <row r="665" spans="1:3">
      <c r="A665" s="93" t="s">
        <v>3844</v>
      </c>
      <c r="B665">
        <v>262129</v>
      </c>
      <c r="C665" t="s">
        <v>97</v>
      </c>
    </row>
    <row r="666" spans="1:3">
      <c r="A666" s="93" t="s">
        <v>1005</v>
      </c>
      <c r="B666">
        <v>182980</v>
      </c>
      <c r="C666" t="s">
        <v>97</v>
      </c>
    </row>
    <row r="667" spans="1:3">
      <c r="A667" s="93" t="s">
        <v>2449</v>
      </c>
      <c r="B667">
        <v>185129</v>
      </c>
      <c r="C667" t="s">
        <v>97</v>
      </c>
    </row>
    <row r="668" spans="1:3">
      <c r="A668" s="93" t="s">
        <v>2457</v>
      </c>
      <c r="B668">
        <v>185828</v>
      </c>
      <c r="C668" t="s">
        <v>97</v>
      </c>
    </row>
    <row r="669" spans="1:3">
      <c r="A669" s="93" t="s">
        <v>2492</v>
      </c>
      <c r="B669">
        <v>187967</v>
      </c>
      <c r="C669" t="s">
        <v>97</v>
      </c>
    </row>
    <row r="670" spans="1:3">
      <c r="A670" s="93" t="s">
        <v>2498</v>
      </c>
      <c r="B670">
        <v>188030</v>
      </c>
      <c r="C670" t="s">
        <v>97</v>
      </c>
    </row>
    <row r="671" spans="1:3">
      <c r="A671" s="93" t="s">
        <v>4142</v>
      </c>
      <c r="B671">
        <v>440396</v>
      </c>
      <c r="C671" t="s">
        <v>97</v>
      </c>
    </row>
    <row r="672" spans="1:3">
      <c r="A672" s="93" t="s">
        <v>2643</v>
      </c>
      <c r="B672">
        <v>194091</v>
      </c>
      <c r="C672" t="s">
        <v>97</v>
      </c>
    </row>
    <row r="673" spans="1:3">
      <c r="A673" s="93" t="s">
        <v>2644</v>
      </c>
      <c r="B673">
        <v>194116</v>
      </c>
      <c r="C673" t="s">
        <v>97</v>
      </c>
    </row>
    <row r="674" spans="1:3">
      <c r="A674" s="93" t="s">
        <v>679</v>
      </c>
      <c r="B674">
        <v>193900</v>
      </c>
      <c r="C674" t="s">
        <v>97</v>
      </c>
    </row>
    <row r="675" spans="1:3">
      <c r="A675" s="93" t="s">
        <v>3261</v>
      </c>
      <c r="B675">
        <v>218414</v>
      </c>
      <c r="C675" t="s">
        <v>97</v>
      </c>
    </row>
    <row r="676" spans="1:3">
      <c r="A676" s="93" t="s">
        <v>5047</v>
      </c>
      <c r="B676">
        <v>167251</v>
      </c>
      <c r="C676" t="s">
        <v>97</v>
      </c>
    </row>
    <row r="677" spans="1:3">
      <c r="A677" s="93" t="s">
        <v>1891</v>
      </c>
      <c r="B677">
        <v>155335</v>
      </c>
      <c r="C677" t="s">
        <v>97</v>
      </c>
    </row>
    <row r="678" spans="1:3">
      <c r="A678" s="93" t="s">
        <v>2640</v>
      </c>
      <c r="B678">
        <v>193973</v>
      </c>
      <c r="C678" t="s">
        <v>97</v>
      </c>
    </row>
    <row r="679" spans="1:3">
      <c r="A679" s="93" t="s">
        <v>1975</v>
      </c>
      <c r="B679">
        <v>159966</v>
      </c>
      <c r="C679" t="s">
        <v>97</v>
      </c>
    </row>
    <row r="680" spans="1:3">
      <c r="A680" s="93" t="s">
        <v>2109</v>
      </c>
      <c r="B680">
        <v>167260</v>
      </c>
      <c r="C680" t="s">
        <v>97</v>
      </c>
    </row>
    <row r="681" spans="1:3">
      <c r="A681" s="93" t="s">
        <v>1091</v>
      </c>
      <c r="B681">
        <v>232937</v>
      </c>
      <c r="C681" t="s">
        <v>153</v>
      </c>
    </row>
    <row r="682" spans="1:3">
      <c r="A682" s="93" t="s">
        <v>696</v>
      </c>
      <c r="B682">
        <v>199102</v>
      </c>
      <c r="C682" t="s">
        <v>153</v>
      </c>
    </row>
    <row r="683" spans="1:3">
      <c r="A683" s="93" t="s">
        <v>2795</v>
      </c>
      <c r="B683">
        <v>199157</v>
      </c>
      <c r="C683" t="s">
        <v>153</v>
      </c>
    </row>
    <row r="684" spans="1:3">
      <c r="A684" s="93" t="s">
        <v>1027</v>
      </c>
      <c r="B684">
        <v>199193</v>
      </c>
      <c r="C684" t="s">
        <v>97</v>
      </c>
    </row>
    <row r="685" spans="1:3">
      <c r="A685" s="93" t="s">
        <v>2797</v>
      </c>
      <c r="B685">
        <v>199209</v>
      </c>
      <c r="C685" t="s">
        <v>97</v>
      </c>
    </row>
    <row r="686" spans="1:3">
      <c r="A686" s="93" t="s">
        <v>831</v>
      </c>
      <c r="B686">
        <v>147660</v>
      </c>
      <c r="C686" t="s">
        <v>97</v>
      </c>
    </row>
    <row r="687" spans="1:3">
      <c r="A687" s="93" t="s">
        <v>988</v>
      </c>
      <c r="B687">
        <v>174437</v>
      </c>
      <c r="C687" t="s">
        <v>97</v>
      </c>
    </row>
    <row r="688" spans="1:3">
      <c r="A688" s="93" t="s">
        <v>2847</v>
      </c>
      <c r="B688">
        <v>200332</v>
      </c>
      <c r="C688" t="s">
        <v>97</v>
      </c>
    </row>
    <row r="689" spans="1:3">
      <c r="A689" s="93" t="s">
        <v>3262</v>
      </c>
      <c r="B689">
        <v>218441</v>
      </c>
      <c r="C689" t="s">
        <v>97</v>
      </c>
    </row>
    <row r="690" spans="1:3">
      <c r="A690" s="93" t="s">
        <v>506</v>
      </c>
      <c r="B690">
        <v>147679</v>
      </c>
      <c r="C690" t="s">
        <v>97</v>
      </c>
    </row>
    <row r="691" spans="1:3">
      <c r="A691" s="93" t="s">
        <v>463</v>
      </c>
      <c r="B691">
        <v>147776</v>
      </c>
      <c r="C691" t="s">
        <v>97</v>
      </c>
    </row>
    <row r="692" spans="1:3">
      <c r="A692" s="93" t="s">
        <v>3000</v>
      </c>
      <c r="B692">
        <v>207263</v>
      </c>
      <c r="C692" t="s">
        <v>97</v>
      </c>
    </row>
    <row r="693" spans="1:3">
      <c r="A693" s="93" t="s">
        <v>2113</v>
      </c>
      <c r="B693">
        <v>167358</v>
      </c>
      <c r="C693" t="s">
        <v>97</v>
      </c>
    </row>
    <row r="694" spans="1:3">
      <c r="A694" s="93" t="s">
        <v>881</v>
      </c>
      <c r="B694">
        <v>105330</v>
      </c>
      <c r="C694" t="s">
        <v>97</v>
      </c>
    </row>
    <row r="695" spans="1:3">
      <c r="A695" s="93" t="s">
        <v>457</v>
      </c>
      <c r="B695">
        <v>147703</v>
      </c>
      <c r="C695" t="s">
        <v>97</v>
      </c>
    </row>
    <row r="696" spans="1:3">
      <c r="A696" s="93" t="s">
        <v>570</v>
      </c>
      <c r="B696">
        <v>171456</v>
      </c>
      <c r="C696" t="s">
        <v>97</v>
      </c>
    </row>
    <row r="697" spans="1:3">
      <c r="A697" s="93" t="s">
        <v>3297</v>
      </c>
      <c r="B697">
        <v>219259</v>
      </c>
      <c r="C697" t="s">
        <v>97</v>
      </c>
    </row>
    <row r="698" spans="1:3">
      <c r="A698" s="93" t="s">
        <v>3709</v>
      </c>
      <c r="B698">
        <v>239512</v>
      </c>
      <c r="C698" t="s">
        <v>97</v>
      </c>
    </row>
    <row r="699" spans="1:3">
      <c r="A699" s="93" t="s">
        <v>5048</v>
      </c>
      <c r="B699">
        <v>209409</v>
      </c>
      <c r="C699" t="s">
        <v>97</v>
      </c>
    </row>
    <row r="700" spans="1:3">
      <c r="A700" s="93" t="s">
        <v>2324</v>
      </c>
      <c r="B700">
        <v>178624</v>
      </c>
      <c r="C700" t="s">
        <v>97</v>
      </c>
    </row>
    <row r="701" spans="1:3">
      <c r="A701" s="93" t="s">
        <v>3630</v>
      </c>
      <c r="B701">
        <v>236133</v>
      </c>
      <c r="C701" t="s">
        <v>97</v>
      </c>
    </row>
    <row r="702" spans="1:3">
      <c r="A702" s="93" t="s">
        <v>784</v>
      </c>
      <c r="B702">
        <v>154101</v>
      </c>
      <c r="C702" t="s">
        <v>97</v>
      </c>
    </row>
    <row r="703" spans="1:3">
      <c r="A703" s="93" t="s">
        <v>784</v>
      </c>
      <c r="B703">
        <v>174491</v>
      </c>
      <c r="C703" t="s">
        <v>97</v>
      </c>
    </row>
    <row r="704" spans="1:3">
      <c r="A704" s="93" t="s">
        <v>1978</v>
      </c>
      <c r="B704">
        <v>160038</v>
      </c>
      <c r="C704" t="s">
        <v>97</v>
      </c>
    </row>
    <row r="705" spans="1:3">
      <c r="A705" s="93" t="s">
        <v>493</v>
      </c>
      <c r="B705">
        <v>147767</v>
      </c>
      <c r="C705" t="s">
        <v>97</v>
      </c>
    </row>
    <row r="706" spans="1:3">
      <c r="A706" s="93" t="s">
        <v>5049</v>
      </c>
      <c r="B706">
        <v>171492</v>
      </c>
      <c r="C706" t="s">
        <v>97</v>
      </c>
    </row>
    <row r="707" spans="1:3">
      <c r="A707" s="93" t="s">
        <v>3532</v>
      </c>
      <c r="B707">
        <v>230995</v>
      </c>
      <c r="C707" t="s">
        <v>97</v>
      </c>
    </row>
    <row r="708" spans="1:3">
      <c r="A708" s="93" t="s">
        <v>2931</v>
      </c>
      <c r="B708">
        <v>204468</v>
      </c>
      <c r="C708" t="s">
        <v>97</v>
      </c>
    </row>
    <row r="709" spans="1:3">
      <c r="A709" s="93" t="s">
        <v>1401</v>
      </c>
      <c r="B709">
        <v>120184</v>
      </c>
      <c r="C709" t="s">
        <v>97</v>
      </c>
    </row>
    <row r="710" spans="1:3">
      <c r="A710" s="93" t="s">
        <v>922</v>
      </c>
      <c r="B710">
        <v>136215</v>
      </c>
      <c r="C710" t="s">
        <v>97</v>
      </c>
    </row>
    <row r="711" spans="1:3">
      <c r="A711" s="93" t="s">
        <v>2645</v>
      </c>
      <c r="B711">
        <v>194161</v>
      </c>
      <c r="C711" t="s">
        <v>97</v>
      </c>
    </row>
    <row r="712" spans="1:3">
      <c r="A712" s="93" t="s">
        <v>2180</v>
      </c>
      <c r="B712">
        <v>171571</v>
      </c>
      <c r="C712" t="s">
        <v>97</v>
      </c>
    </row>
    <row r="713" spans="1:3">
      <c r="A713" s="93" t="s">
        <v>1156</v>
      </c>
      <c r="B713">
        <v>101912</v>
      </c>
      <c r="C713" t="s">
        <v>153</v>
      </c>
    </row>
    <row r="714" spans="1:3">
      <c r="A714" s="93" t="s">
        <v>692</v>
      </c>
      <c r="B714">
        <v>204501</v>
      </c>
      <c r="C714" t="s">
        <v>97</v>
      </c>
    </row>
    <row r="715" spans="1:3">
      <c r="A715" s="93" t="s">
        <v>523</v>
      </c>
      <c r="B715">
        <v>120254</v>
      </c>
      <c r="C715" t="s">
        <v>97</v>
      </c>
    </row>
    <row r="716" spans="1:3">
      <c r="A716" s="93" t="s">
        <v>1707</v>
      </c>
      <c r="B716">
        <v>140696</v>
      </c>
      <c r="C716" t="s">
        <v>97</v>
      </c>
    </row>
    <row r="717" spans="1:3">
      <c r="A717" s="93" t="s">
        <v>2876</v>
      </c>
      <c r="B717">
        <v>201964</v>
      </c>
      <c r="C717" t="s">
        <v>97</v>
      </c>
    </row>
    <row r="718" spans="1:3">
      <c r="A718" s="93" t="s">
        <v>2934</v>
      </c>
      <c r="B718">
        <v>204617</v>
      </c>
      <c r="C718" t="s">
        <v>97</v>
      </c>
    </row>
    <row r="719" spans="1:3">
      <c r="A719" s="93" t="s">
        <v>2935</v>
      </c>
      <c r="B719">
        <v>204635</v>
      </c>
      <c r="C719" t="s">
        <v>97</v>
      </c>
    </row>
    <row r="720" spans="1:3">
      <c r="A720" s="93" t="s">
        <v>2937</v>
      </c>
      <c r="B720">
        <v>204671</v>
      </c>
      <c r="C720" t="s">
        <v>97</v>
      </c>
    </row>
    <row r="721" spans="1:3">
      <c r="A721" s="93" t="s">
        <v>799</v>
      </c>
      <c r="B721">
        <v>204796</v>
      </c>
      <c r="C721" t="s">
        <v>97</v>
      </c>
    </row>
    <row r="722" spans="1:3">
      <c r="A722" s="93" t="s">
        <v>2939</v>
      </c>
      <c r="B722">
        <v>204699</v>
      </c>
      <c r="C722" t="s">
        <v>97</v>
      </c>
    </row>
    <row r="723" spans="1:3">
      <c r="A723" s="93" t="s">
        <v>2940</v>
      </c>
      <c r="B723">
        <v>204705</v>
      </c>
      <c r="C723" t="s">
        <v>97</v>
      </c>
    </row>
    <row r="724" spans="1:3">
      <c r="A724" s="93" t="s">
        <v>2949</v>
      </c>
      <c r="B724">
        <v>204857</v>
      </c>
      <c r="C724" t="s">
        <v>97</v>
      </c>
    </row>
    <row r="725" spans="1:3">
      <c r="A725" s="93" t="s">
        <v>3670</v>
      </c>
      <c r="B725">
        <v>237640</v>
      </c>
      <c r="C725" t="s">
        <v>97</v>
      </c>
    </row>
    <row r="726" spans="1:3">
      <c r="A726" s="93" t="s">
        <v>2953</v>
      </c>
      <c r="B726">
        <v>204909</v>
      </c>
      <c r="C726" t="s">
        <v>97</v>
      </c>
    </row>
    <row r="727" spans="1:3">
      <c r="A727" s="93" t="s">
        <v>3010</v>
      </c>
      <c r="B727">
        <v>207403</v>
      </c>
      <c r="C727" t="s">
        <v>97</v>
      </c>
    </row>
    <row r="728" spans="1:3">
      <c r="A728" s="93" t="s">
        <v>3005</v>
      </c>
      <c r="B728">
        <v>207324</v>
      </c>
      <c r="C728" t="s">
        <v>97</v>
      </c>
    </row>
    <row r="729" spans="1:3">
      <c r="A729" s="93" t="s">
        <v>1043</v>
      </c>
      <c r="B729">
        <v>207458</v>
      </c>
      <c r="C729" t="s">
        <v>97</v>
      </c>
    </row>
    <row r="730" spans="1:3">
      <c r="A730" s="93" t="s">
        <v>3008</v>
      </c>
      <c r="B730">
        <v>207388</v>
      </c>
      <c r="C730" t="s">
        <v>97</v>
      </c>
    </row>
    <row r="731" spans="1:3">
      <c r="A731" s="93" t="s">
        <v>2987</v>
      </c>
      <c r="B731">
        <v>206835</v>
      </c>
      <c r="C731" t="s">
        <v>97</v>
      </c>
    </row>
    <row r="732" spans="1:3">
      <c r="A732" s="93" t="s">
        <v>3571</v>
      </c>
      <c r="B732">
        <v>232982</v>
      </c>
      <c r="C732" t="s">
        <v>97</v>
      </c>
    </row>
    <row r="733" spans="1:3">
      <c r="A733" s="93" t="s">
        <v>2181</v>
      </c>
      <c r="B733">
        <v>171599</v>
      </c>
      <c r="C733" t="s">
        <v>97</v>
      </c>
    </row>
    <row r="734" spans="1:3">
      <c r="A734" s="93" t="s">
        <v>455</v>
      </c>
      <c r="B734">
        <v>147828</v>
      </c>
      <c r="C734" t="s">
        <v>97</v>
      </c>
    </row>
    <row r="735" spans="1:3">
      <c r="A735" s="93" t="s">
        <v>3013</v>
      </c>
      <c r="B735">
        <v>207582</v>
      </c>
      <c r="C735" t="s">
        <v>97</v>
      </c>
    </row>
    <row r="736" spans="1:3">
      <c r="A736" s="93" t="s">
        <v>3046</v>
      </c>
      <c r="B736">
        <v>209506</v>
      </c>
      <c r="C736" t="s">
        <v>97</v>
      </c>
    </row>
    <row r="737" spans="1:3">
      <c r="A737" s="93" t="s">
        <v>1048</v>
      </c>
      <c r="B737">
        <v>209542</v>
      </c>
      <c r="C737" t="s">
        <v>97</v>
      </c>
    </row>
    <row r="738" spans="1:3">
      <c r="A738" s="93" t="s">
        <v>1902</v>
      </c>
      <c r="B738">
        <v>155627</v>
      </c>
      <c r="C738" t="s">
        <v>97</v>
      </c>
    </row>
    <row r="739" spans="1:3">
      <c r="A739" s="93" t="s">
        <v>2954</v>
      </c>
      <c r="B739">
        <v>204936</v>
      </c>
      <c r="C739" t="s">
        <v>97</v>
      </c>
    </row>
    <row r="740" spans="1:3">
      <c r="A740" s="93" t="s">
        <v>1229</v>
      </c>
      <c r="B740">
        <v>107512</v>
      </c>
      <c r="C740" t="s">
        <v>97</v>
      </c>
    </row>
    <row r="741" spans="1:3">
      <c r="A741" s="93" t="s">
        <v>5050</v>
      </c>
      <c r="B741">
        <v>227331</v>
      </c>
      <c r="C741" t="s">
        <v>97</v>
      </c>
    </row>
    <row r="742" spans="1:3">
      <c r="A742" s="93" t="s">
        <v>5051</v>
      </c>
      <c r="B742">
        <v>194310</v>
      </c>
      <c r="C742" t="s">
        <v>97</v>
      </c>
    </row>
    <row r="743" spans="1:3">
      <c r="A743" s="93" t="s">
        <v>3633</v>
      </c>
      <c r="B743">
        <v>236230</v>
      </c>
      <c r="C743" t="s">
        <v>97</v>
      </c>
    </row>
    <row r="744" spans="1:3">
      <c r="A744" s="93" t="s">
        <v>1411</v>
      </c>
      <c r="B744">
        <v>120865</v>
      </c>
      <c r="C744" t="s">
        <v>97</v>
      </c>
    </row>
    <row r="745" spans="1:3">
      <c r="A745" s="93" t="s">
        <v>3048</v>
      </c>
      <c r="B745">
        <v>209612</v>
      </c>
      <c r="C745" t="s">
        <v>97</v>
      </c>
    </row>
    <row r="746" spans="1:3">
      <c r="A746" s="93" t="s">
        <v>1708</v>
      </c>
      <c r="B746">
        <v>140720</v>
      </c>
      <c r="C746" t="s">
        <v>153</v>
      </c>
    </row>
    <row r="747" spans="1:3">
      <c r="A747" s="93" t="s">
        <v>5052</v>
      </c>
      <c r="B747">
        <v>136330</v>
      </c>
      <c r="C747" t="s">
        <v>97</v>
      </c>
    </row>
    <row r="748" spans="1:3">
      <c r="A748" s="93" t="s">
        <v>2327</v>
      </c>
      <c r="B748">
        <v>178721</v>
      </c>
      <c r="C748" t="s">
        <v>97</v>
      </c>
    </row>
    <row r="749" spans="1:3">
      <c r="A749" s="93" t="s">
        <v>2648</v>
      </c>
      <c r="B749">
        <v>194392</v>
      </c>
      <c r="C749" t="s">
        <v>97</v>
      </c>
    </row>
    <row r="750" spans="1:3">
      <c r="A750" s="93" t="s">
        <v>5053</v>
      </c>
      <c r="B750">
        <v>199272</v>
      </c>
      <c r="C750" t="s">
        <v>97</v>
      </c>
    </row>
    <row r="751" spans="1:3">
      <c r="A751" s="93" t="s">
        <v>5054</v>
      </c>
      <c r="B751">
        <v>214731</v>
      </c>
      <c r="C751" t="s">
        <v>97</v>
      </c>
    </row>
    <row r="752" spans="1:3">
      <c r="A752" s="93" t="s">
        <v>5055</v>
      </c>
      <c r="B752">
        <v>214777</v>
      </c>
      <c r="C752" t="s">
        <v>97</v>
      </c>
    </row>
    <row r="753" spans="1:3">
      <c r="A753" s="93" t="s">
        <v>5056</v>
      </c>
      <c r="B753">
        <v>214801</v>
      </c>
      <c r="C753" t="s">
        <v>97</v>
      </c>
    </row>
    <row r="754" spans="1:3">
      <c r="A754" s="93" t="s">
        <v>5057</v>
      </c>
      <c r="B754">
        <v>214689</v>
      </c>
      <c r="C754" t="s">
        <v>97</v>
      </c>
    </row>
    <row r="755" spans="1:3">
      <c r="A755" s="93" t="s">
        <v>5058</v>
      </c>
      <c r="B755">
        <v>214698</v>
      </c>
      <c r="C755" t="s">
        <v>97</v>
      </c>
    </row>
    <row r="756" spans="1:3">
      <c r="A756" s="93" t="s">
        <v>5059</v>
      </c>
      <c r="B756">
        <v>214704</v>
      </c>
      <c r="C756" t="s">
        <v>97</v>
      </c>
    </row>
    <row r="757" spans="1:3">
      <c r="A757" s="93" t="s">
        <v>5060</v>
      </c>
      <c r="B757">
        <v>214740</v>
      </c>
      <c r="C757" t="s">
        <v>97</v>
      </c>
    </row>
    <row r="758" spans="1:3">
      <c r="A758" s="93" t="s">
        <v>5061</v>
      </c>
      <c r="B758">
        <v>214591</v>
      </c>
      <c r="C758" t="s">
        <v>97</v>
      </c>
    </row>
    <row r="759" spans="1:3">
      <c r="A759" s="93" t="s">
        <v>5062</v>
      </c>
      <c r="B759">
        <v>214786</v>
      </c>
      <c r="C759" t="s">
        <v>97</v>
      </c>
    </row>
    <row r="760" spans="1:3">
      <c r="A760" s="93" t="s">
        <v>5063</v>
      </c>
      <c r="B760">
        <v>214713</v>
      </c>
      <c r="C760" t="s">
        <v>97</v>
      </c>
    </row>
    <row r="761" spans="1:3">
      <c r="A761" s="93" t="s">
        <v>5064</v>
      </c>
      <c r="B761">
        <v>214768</v>
      </c>
      <c r="C761" t="s">
        <v>97</v>
      </c>
    </row>
    <row r="762" spans="1:3">
      <c r="A762" s="93" t="s">
        <v>5065</v>
      </c>
      <c r="B762">
        <v>214670</v>
      </c>
      <c r="C762" t="s">
        <v>97</v>
      </c>
    </row>
    <row r="763" spans="1:3">
      <c r="A763" s="93" t="s">
        <v>5066</v>
      </c>
      <c r="B763">
        <v>214795</v>
      </c>
      <c r="C763" t="s">
        <v>97</v>
      </c>
    </row>
    <row r="764" spans="1:3">
      <c r="A764" s="93" t="s">
        <v>5067</v>
      </c>
      <c r="B764">
        <v>214625</v>
      </c>
      <c r="C764" t="s">
        <v>97</v>
      </c>
    </row>
    <row r="765" spans="1:3">
      <c r="A765" s="93" t="s">
        <v>5068</v>
      </c>
      <c r="B765">
        <v>214810</v>
      </c>
      <c r="C765" t="s">
        <v>97</v>
      </c>
    </row>
    <row r="766" spans="1:3">
      <c r="A766" s="93" t="s">
        <v>5069</v>
      </c>
      <c r="B766">
        <v>214634</v>
      </c>
      <c r="C766" t="s">
        <v>97</v>
      </c>
    </row>
    <row r="767" spans="1:3">
      <c r="A767" s="93" t="s">
        <v>5070</v>
      </c>
      <c r="B767">
        <v>214643</v>
      </c>
      <c r="C767" t="s">
        <v>97</v>
      </c>
    </row>
    <row r="768" spans="1:3">
      <c r="A768" s="93" t="s">
        <v>5071</v>
      </c>
      <c r="B768">
        <v>214652</v>
      </c>
      <c r="C768" t="s">
        <v>97</v>
      </c>
    </row>
    <row r="769" spans="1:3">
      <c r="A769" s="93" t="s">
        <v>5072</v>
      </c>
      <c r="B769">
        <v>214829</v>
      </c>
      <c r="C769" t="s">
        <v>97</v>
      </c>
    </row>
    <row r="770" spans="1:3">
      <c r="A770" s="93" t="s">
        <v>1416</v>
      </c>
      <c r="B770">
        <v>121150</v>
      </c>
      <c r="C770" t="s">
        <v>97</v>
      </c>
    </row>
    <row r="771" spans="1:3">
      <c r="A771" s="93" t="s">
        <v>2802</v>
      </c>
      <c r="B771">
        <v>199306</v>
      </c>
      <c r="C771" t="s">
        <v>97</v>
      </c>
    </row>
    <row r="772" spans="1:3">
      <c r="A772" s="93" t="s">
        <v>5073</v>
      </c>
      <c r="B772">
        <v>215114</v>
      </c>
      <c r="C772" t="s">
        <v>97</v>
      </c>
    </row>
    <row r="773" spans="1:3">
      <c r="A773" s="93" t="s">
        <v>884</v>
      </c>
      <c r="B773">
        <v>107600</v>
      </c>
      <c r="C773" t="s">
        <v>153</v>
      </c>
    </row>
    <row r="774" spans="1:3">
      <c r="A774" s="93" t="s">
        <v>5074</v>
      </c>
      <c r="B774">
        <v>140818</v>
      </c>
      <c r="C774" t="s">
        <v>97</v>
      </c>
    </row>
    <row r="775" spans="1:3">
      <c r="A775" s="93" t="s">
        <v>2116</v>
      </c>
      <c r="B775">
        <v>167455</v>
      </c>
      <c r="C775" t="s">
        <v>97</v>
      </c>
    </row>
    <row r="776" spans="1:3">
      <c r="A776" s="93" t="s">
        <v>1904</v>
      </c>
      <c r="B776">
        <v>155681</v>
      </c>
      <c r="C776" t="s">
        <v>97</v>
      </c>
    </row>
    <row r="777" spans="1:3">
      <c r="A777" s="93" t="s">
        <v>811</v>
      </c>
      <c r="B777">
        <v>121257</v>
      </c>
      <c r="C777" t="s">
        <v>97</v>
      </c>
    </row>
    <row r="778" spans="1:3">
      <c r="A778" s="93" t="s">
        <v>2410</v>
      </c>
      <c r="B778">
        <v>183080</v>
      </c>
      <c r="C778" t="s">
        <v>97</v>
      </c>
    </row>
    <row r="779" spans="1:3">
      <c r="A779" s="93" t="s">
        <v>1418</v>
      </c>
      <c r="B779">
        <v>121309</v>
      </c>
      <c r="C779" t="s">
        <v>97</v>
      </c>
    </row>
    <row r="780" spans="1:3">
      <c r="A780" s="93" t="s">
        <v>1055</v>
      </c>
      <c r="B780">
        <v>215442</v>
      </c>
      <c r="C780" t="s">
        <v>97</v>
      </c>
    </row>
    <row r="781" spans="1:3">
      <c r="A781" s="93" t="s">
        <v>520</v>
      </c>
      <c r="B781">
        <v>121345</v>
      </c>
      <c r="C781" t="s">
        <v>97</v>
      </c>
    </row>
    <row r="782" spans="1:3">
      <c r="A782" s="93" t="s">
        <v>1049</v>
      </c>
      <c r="B782">
        <v>209807</v>
      </c>
      <c r="C782" t="s">
        <v>97</v>
      </c>
    </row>
    <row r="783" spans="1:3">
      <c r="A783" s="93" t="s">
        <v>771</v>
      </c>
      <c r="B783">
        <v>130183</v>
      </c>
      <c r="C783" t="s">
        <v>97</v>
      </c>
    </row>
    <row r="784" spans="1:3">
      <c r="A784" s="93" t="s">
        <v>764</v>
      </c>
      <c r="B784">
        <v>227526</v>
      </c>
      <c r="C784" t="s">
        <v>153</v>
      </c>
    </row>
    <row r="785" spans="1:3">
      <c r="A785" s="93" t="s">
        <v>3265</v>
      </c>
      <c r="B785">
        <v>218539</v>
      </c>
      <c r="C785" t="s">
        <v>97</v>
      </c>
    </row>
    <row r="786" spans="1:3">
      <c r="A786" s="93" t="s">
        <v>3299</v>
      </c>
      <c r="B786">
        <v>219295</v>
      </c>
      <c r="C786" t="s">
        <v>97</v>
      </c>
    </row>
    <row r="787" spans="1:3">
      <c r="A787" s="93" t="s">
        <v>848</v>
      </c>
      <c r="B787">
        <v>186131</v>
      </c>
      <c r="C787" t="s">
        <v>97</v>
      </c>
    </row>
    <row r="788" spans="1:3">
      <c r="A788" s="93" t="s">
        <v>1776</v>
      </c>
      <c r="B788">
        <v>148016</v>
      </c>
      <c r="C788" t="s">
        <v>97</v>
      </c>
    </row>
    <row r="789" spans="1:3">
      <c r="A789" s="93" t="s">
        <v>3230</v>
      </c>
      <c r="B789">
        <v>217402</v>
      </c>
      <c r="C789" t="s">
        <v>97</v>
      </c>
    </row>
    <row r="790" spans="1:3">
      <c r="A790" s="93" t="s">
        <v>711</v>
      </c>
      <c r="B790">
        <v>243780</v>
      </c>
      <c r="C790" t="s">
        <v>97</v>
      </c>
    </row>
    <row r="791" spans="1:3">
      <c r="A791" s="93" t="s">
        <v>2805</v>
      </c>
      <c r="B791">
        <v>199412</v>
      </c>
      <c r="C791" t="s">
        <v>97</v>
      </c>
    </row>
    <row r="792" spans="1:3">
      <c r="A792" s="93" t="s">
        <v>748</v>
      </c>
      <c r="B792">
        <v>148131</v>
      </c>
      <c r="C792" t="s">
        <v>97</v>
      </c>
    </row>
    <row r="793" spans="1:3">
      <c r="A793" s="93" t="s">
        <v>1555</v>
      </c>
      <c r="B793">
        <v>130226</v>
      </c>
      <c r="C793" t="s">
        <v>97</v>
      </c>
    </row>
    <row r="794" spans="1:3">
      <c r="A794" s="93" t="s">
        <v>3576</v>
      </c>
      <c r="B794">
        <v>233277</v>
      </c>
      <c r="C794" t="s">
        <v>97</v>
      </c>
    </row>
    <row r="795" spans="1:3">
      <c r="A795" s="93" t="s">
        <v>2463</v>
      </c>
      <c r="B795">
        <v>186201</v>
      </c>
      <c r="C795" t="s">
        <v>97</v>
      </c>
    </row>
    <row r="796" spans="1:3">
      <c r="A796" s="93" t="s">
        <v>3578</v>
      </c>
      <c r="B796">
        <v>233301</v>
      </c>
      <c r="C796" t="s">
        <v>97</v>
      </c>
    </row>
    <row r="797" spans="1:3">
      <c r="A797" s="93" t="s">
        <v>3577</v>
      </c>
      <c r="B797">
        <v>233295</v>
      </c>
      <c r="C797" t="s">
        <v>97</v>
      </c>
    </row>
    <row r="798" spans="1:3">
      <c r="A798" s="93" t="s">
        <v>3056</v>
      </c>
      <c r="B798">
        <v>209922</v>
      </c>
      <c r="C798" t="s">
        <v>97</v>
      </c>
    </row>
    <row r="799" spans="1:3">
      <c r="A799" s="93" t="s">
        <v>2119</v>
      </c>
      <c r="B799">
        <v>167598</v>
      </c>
      <c r="C799" t="s">
        <v>97</v>
      </c>
    </row>
    <row r="800" spans="1:3">
      <c r="A800" s="93" t="s">
        <v>912</v>
      </c>
      <c r="B800">
        <v>127918</v>
      </c>
      <c r="C800" t="s">
        <v>97</v>
      </c>
    </row>
    <row r="801" spans="1:3">
      <c r="A801" s="93" t="s">
        <v>1711</v>
      </c>
      <c r="B801">
        <v>140872</v>
      </c>
      <c r="C801" t="s">
        <v>97</v>
      </c>
    </row>
    <row r="802" spans="1:3">
      <c r="A802" s="93" t="s">
        <v>1016</v>
      </c>
      <c r="B802">
        <v>194824</v>
      </c>
      <c r="C802" t="s">
        <v>97</v>
      </c>
    </row>
    <row r="803" spans="1:3">
      <c r="A803" s="93" t="s">
        <v>3231</v>
      </c>
      <c r="B803">
        <v>217420</v>
      </c>
      <c r="C803" t="s">
        <v>97</v>
      </c>
    </row>
    <row r="804" spans="1:3">
      <c r="A804" s="93" t="s">
        <v>607</v>
      </c>
      <c r="B804">
        <v>221351</v>
      </c>
      <c r="C804" t="s">
        <v>97</v>
      </c>
    </row>
    <row r="805" spans="1:3">
      <c r="A805" s="93" t="s">
        <v>862</v>
      </c>
      <c r="B805">
        <v>227757</v>
      </c>
      <c r="C805" t="s">
        <v>97</v>
      </c>
    </row>
    <row r="806" spans="1:3">
      <c r="A806" s="93" t="s">
        <v>2464</v>
      </c>
      <c r="B806">
        <v>186283</v>
      </c>
      <c r="C806" t="s">
        <v>97</v>
      </c>
    </row>
    <row r="807" spans="1:3">
      <c r="A807" s="93" t="s">
        <v>536</v>
      </c>
      <c r="B807">
        <v>239628</v>
      </c>
      <c r="C807" t="s">
        <v>97</v>
      </c>
    </row>
    <row r="808" spans="1:3">
      <c r="A808" s="93" t="s">
        <v>5075</v>
      </c>
      <c r="B808">
        <v>183211</v>
      </c>
      <c r="C808" t="s">
        <v>97</v>
      </c>
    </row>
    <row r="809" spans="1:3">
      <c r="A809" s="93" t="s">
        <v>3584</v>
      </c>
      <c r="B809">
        <v>233426</v>
      </c>
      <c r="C809" t="s">
        <v>97</v>
      </c>
    </row>
    <row r="810" spans="1:3">
      <c r="A810" s="93" t="s">
        <v>3185</v>
      </c>
      <c r="B810">
        <v>215655</v>
      </c>
      <c r="C810" t="s">
        <v>97</v>
      </c>
    </row>
    <row r="811" spans="1:3">
      <c r="A811" s="93" t="s">
        <v>2658</v>
      </c>
      <c r="B811">
        <v>194958</v>
      </c>
      <c r="C811" t="s">
        <v>97</v>
      </c>
    </row>
    <row r="812" spans="1:3">
      <c r="A812" s="93" t="s">
        <v>5076</v>
      </c>
      <c r="B812">
        <v>170967</v>
      </c>
      <c r="C812" t="s">
        <v>97</v>
      </c>
    </row>
    <row r="813" spans="1:3">
      <c r="A813" s="93" t="s">
        <v>1017</v>
      </c>
      <c r="B813">
        <v>195003</v>
      </c>
      <c r="C813" t="s">
        <v>97</v>
      </c>
    </row>
    <row r="814" spans="1:3">
      <c r="A814" s="93" t="s">
        <v>5077</v>
      </c>
      <c r="B814">
        <v>148405</v>
      </c>
      <c r="C814" t="s">
        <v>97</v>
      </c>
    </row>
    <row r="815" spans="1:3">
      <c r="A815" s="93" t="s">
        <v>2331</v>
      </c>
      <c r="B815">
        <v>179043</v>
      </c>
      <c r="C815" t="s">
        <v>97</v>
      </c>
    </row>
    <row r="816" spans="1:3">
      <c r="A816" s="93" t="s">
        <v>2366</v>
      </c>
      <c r="B816">
        <v>180595</v>
      </c>
      <c r="C816" t="s">
        <v>97</v>
      </c>
    </row>
    <row r="817" spans="1:3">
      <c r="A817" s="93" t="s">
        <v>3234</v>
      </c>
      <c r="B817">
        <v>217518</v>
      </c>
      <c r="C817" t="s">
        <v>97</v>
      </c>
    </row>
    <row r="818" spans="1:3">
      <c r="A818" s="93" t="s">
        <v>3014</v>
      </c>
      <c r="B818">
        <v>207661</v>
      </c>
      <c r="C818" t="s">
        <v>97</v>
      </c>
    </row>
    <row r="819" spans="1:3">
      <c r="A819" s="93" t="s">
        <v>1634</v>
      </c>
      <c r="B819">
        <v>136950</v>
      </c>
      <c r="C819" t="s">
        <v>97</v>
      </c>
    </row>
    <row r="820" spans="1:3">
      <c r="A820" s="93" t="s">
        <v>642</v>
      </c>
      <c r="B820">
        <v>148487</v>
      </c>
      <c r="C820" t="s">
        <v>97</v>
      </c>
    </row>
    <row r="821" spans="1:3">
      <c r="A821" s="93" t="s">
        <v>1811</v>
      </c>
      <c r="B821">
        <v>152318</v>
      </c>
      <c r="C821" t="s">
        <v>97</v>
      </c>
    </row>
    <row r="822" spans="1:3">
      <c r="A822" s="93" t="s">
        <v>3187</v>
      </c>
      <c r="B822">
        <v>215691</v>
      </c>
      <c r="C822" t="s">
        <v>97</v>
      </c>
    </row>
    <row r="823" spans="1:3">
      <c r="A823" s="93" t="s">
        <v>2444</v>
      </c>
      <c r="B823">
        <v>184782</v>
      </c>
      <c r="C823" t="s">
        <v>97</v>
      </c>
    </row>
    <row r="824" spans="1:3">
      <c r="A824" s="93" t="s">
        <v>759</v>
      </c>
      <c r="B824">
        <v>176318</v>
      </c>
      <c r="C824" t="s">
        <v>153</v>
      </c>
    </row>
    <row r="825" spans="1:3">
      <c r="A825" s="93" t="s">
        <v>2465</v>
      </c>
      <c r="B825">
        <v>186371</v>
      </c>
      <c r="C825" t="s">
        <v>97</v>
      </c>
    </row>
    <row r="826" spans="1:3">
      <c r="A826" s="93" t="s">
        <v>2466</v>
      </c>
      <c r="B826">
        <v>186380</v>
      </c>
      <c r="C826" t="s">
        <v>97</v>
      </c>
    </row>
    <row r="827" spans="1:3">
      <c r="A827" s="93" t="s">
        <v>1007</v>
      </c>
      <c r="B827">
        <v>186399</v>
      </c>
      <c r="C827" t="s">
        <v>97</v>
      </c>
    </row>
    <row r="828" spans="1:3">
      <c r="A828" s="93" t="s">
        <v>1556</v>
      </c>
      <c r="B828">
        <v>130253</v>
      </c>
      <c r="C828" t="s">
        <v>97</v>
      </c>
    </row>
    <row r="829" spans="1:3">
      <c r="A829" s="93" t="s">
        <v>2184</v>
      </c>
      <c r="B829">
        <v>172051</v>
      </c>
      <c r="C829" t="s">
        <v>97</v>
      </c>
    </row>
    <row r="830" spans="1:3">
      <c r="A830" s="93" t="s">
        <v>956</v>
      </c>
      <c r="B830">
        <v>154235</v>
      </c>
      <c r="C830" t="s">
        <v>97</v>
      </c>
    </row>
    <row r="831" spans="1:3">
      <c r="A831" s="93" t="s">
        <v>2418</v>
      </c>
      <c r="B831">
        <v>183239</v>
      </c>
      <c r="C831" t="s">
        <v>97</v>
      </c>
    </row>
    <row r="832" spans="1:3">
      <c r="A832" s="93" t="s">
        <v>5078</v>
      </c>
      <c r="B832">
        <v>199582</v>
      </c>
      <c r="C832" t="s">
        <v>153</v>
      </c>
    </row>
    <row r="833" spans="1:3">
      <c r="A833" s="93" t="s">
        <v>5079</v>
      </c>
      <c r="B833">
        <v>195164</v>
      </c>
      <c r="C833" t="s">
        <v>97</v>
      </c>
    </row>
    <row r="834" spans="1:3">
      <c r="A834" s="93" t="s">
        <v>989</v>
      </c>
      <c r="B834">
        <v>174783</v>
      </c>
      <c r="C834" t="s">
        <v>97</v>
      </c>
    </row>
    <row r="835" spans="1:3">
      <c r="A835" s="93" t="s">
        <v>3465</v>
      </c>
      <c r="B835">
        <v>227845</v>
      </c>
      <c r="C835" t="s">
        <v>97</v>
      </c>
    </row>
    <row r="836" spans="1:3">
      <c r="A836" s="93" t="s">
        <v>3188</v>
      </c>
      <c r="B836">
        <v>215743</v>
      </c>
      <c r="C836" t="s">
        <v>97</v>
      </c>
    </row>
    <row r="837" spans="1:3">
      <c r="A837" s="93" t="s">
        <v>2675</v>
      </c>
      <c r="B837">
        <v>195720</v>
      </c>
      <c r="C837" t="s">
        <v>97</v>
      </c>
    </row>
    <row r="838" spans="1:3">
      <c r="A838" s="93" t="s">
        <v>5080</v>
      </c>
      <c r="B838">
        <v>174792</v>
      </c>
      <c r="C838" t="s">
        <v>97</v>
      </c>
    </row>
    <row r="839" spans="1:3">
      <c r="A839" s="93" t="s">
        <v>5081</v>
      </c>
      <c r="B839">
        <v>130314</v>
      </c>
      <c r="C839" t="s">
        <v>97</v>
      </c>
    </row>
    <row r="840" spans="1:3">
      <c r="A840" s="93" t="s">
        <v>2006</v>
      </c>
      <c r="B840">
        <v>161518</v>
      </c>
      <c r="C840" t="s">
        <v>97</v>
      </c>
    </row>
    <row r="841" spans="1:3">
      <c r="A841" s="93" t="s">
        <v>5082</v>
      </c>
      <c r="B841">
        <v>195544</v>
      </c>
      <c r="C841" t="s">
        <v>97</v>
      </c>
    </row>
    <row r="842" spans="1:3">
      <c r="A842" s="93" t="s">
        <v>3189</v>
      </c>
      <c r="B842">
        <v>215770</v>
      </c>
      <c r="C842" t="s">
        <v>97</v>
      </c>
    </row>
    <row r="843" spans="1:3">
      <c r="A843" s="93" t="s">
        <v>1635</v>
      </c>
      <c r="B843">
        <v>137032</v>
      </c>
      <c r="C843" t="s">
        <v>97</v>
      </c>
    </row>
    <row r="844" spans="1:3">
      <c r="A844" s="93" t="s">
        <v>5083</v>
      </c>
      <c r="B844">
        <v>179159</v>
      </c>
      <c r="C844" t="s">
        <v>97</v>
      </c>
    </row>
    <row r="845" spans="1:3">
      <c r="A845" s="93" t="s">
        <v>3637</v>
      </c>
      <c r="B845">
        <v>236452</v>
      </c>
      <c r="C845" t="s">
        <v>97</v>
      </c>
    </row>
    <row r="846" spans="1:3">
      <c r="A846" s="93" t="s">
        <v>1813</v>
      </c>
      <c r="B846">
        <v>152381</v>
      </c>
      <c r="C846" t="s">
        <v>97</v>
      </c>
    </row>
    <row r="847" spans="1:3">
      <c r="A847" s="93" t="s">
        <v>540</v>
      </c>
      <c r="B847">
        <v>152390</v>
      </c>
      <c r="C847" t="s">
        <v>97</v>
      </c>
    </row>
    <row r="848" spans="1:3">
      <c r="A848" s="93" t="s">
        <v>5084</v>
      </c>
      <c r="B848">
        <v>123554</v>
      </c>
      <c r="C848" t="s">
        <v>97</v>
      </c>
    </row>
    <row r="849" spans="1:3">
      <c r="A849" s="93" t="s">
        <v>791</v>
      </c>
      <c r="B849">
        <v>174817</v>
      </c>
      <c r="C849" t="s">
        <v>97</v>
      </c>
    </row>
    <row r="850" spans="1:3">
      <c r="A850" s="93" t="s">
        <v>3533</v>
      </c>
      <c r="B850">
        <v>231059</v>
      </c>
      <c r="C850" t="s">
        <v>97</v>
      </c>
    </row>
    <row r="851" spans="1:3">
      <c r="A851" s="93" t="s">
        <v>869</v>
      </c>
      <c r="B851">
        <v>239716</v>
      </c>
      <c r="C851" t="s">
        <v>97</v>
      </c>
    </row>
    <row r="852" spans="1:3">
      <c r="A852" s="93" t="s">
        <v>5085</v>
      </c>
      <c r="B852">
        <v>186432</v>
      </c>
      <c r="C852" t="s">
        <v>97</v>
      </c>
    </row>
    <row r="853" spans="1:3">
      <c r="A853" s="93" t="s">
        <v>5086</v>
      </c>
      <c r="B853">
        <v>195243</v>
      </c>
      <c r="C853" t="s">
        <v>97</v>
      </c>
    </row>
    <row r="854" spans="1:3">
      <c r="A854" s="93" t="s">
        <v>5087</v>
      </c>
      <c r="B854">
        <v>137476</v>
      </c>
      <c r="C854" t="s">
        <v>97</v>
      </c>
    </row>
    <row r="855" spans="1:3">
      <c r="A855" s="93" t="s">
        <v>3190</v>
      </c>
      <c r="B855">
        <v>215798</v>
      </c>
      <c r="C855" t="s">
        <v>97</v>
      </c>
    </row>
    <row r="856" spans="1:3">
      <c r="A856" s="93" t="s">
        <v>541</v>
      </c>
      <c r="B856">
        <v>148627</v>
      </c>
      <c r="C856" t="s">
        <v>97</v>
      </c>
    </row>
    <row r="857" spans="1:3">
      <c r="A857" s="93" t="s">
        <v>5088</v>
      </c>
      <c r="B857">
        <v>199607</v>
      </c>
      <c r="C857" t="s">
        <v>97</v>
      </c>
    </row>
    <row r="858" spans="1:3">
      <c r="A858" s="93" t="s">
        <v>5089</v>
      </c>
      <c r="B858">
        <v>237783</v>
      </c>
      <c r="C858" t="s">
        <v>97</v>
      </c>
    </row>
    <row r="859" spans="1:3">
      <c r="A859" s="93" t="s">
        <v>2122</v>
      </c>
      <c r="B859">
        <v>167729</v>
      </c>
      <c r="C859" t="s">
        <v>97</v>
      </c>
    </row>
    <row r="860" spans="1:3">
      <c r="A860" s="93" t="s">
        <v>2038</v>
      </c>
      <c r="B860">
        <v>163851</v>
      </c>
      <c r="C860" t="s">
        <v>97</v>
      </c>
    </row>
    <row r="861" spans="1:3">
      <c r="A861" s="93" t="s">
        <v>3235</v>
      </c>
      <c r="B861">
        <v>217536</v>
      </c>
      <c r="C861" t="s">
        <v>97</v>
      </c>
    </row>
    <row r="862" spans="1:3">
      <c r="A862" s="93" t="s">
        <v>3467</v>
      </c>
      <c r="B862">
        <v>227881</v>
      </c>
      <c r="C862" t="s">
        <v>97</v>
      </c>
    </row>
    <row r="863" spans="1:3">
      <c r="A863" s="93" t="s">
        <v>1159</v>
      </c>
      <c r="B863">
        <v>102049</v>
      </c>
      <c r="C863" t="s">
        <v>97</v>
      </c>
    </row>
    <row r="864" spans="1:3">
      <c r="A864" s="93" t="s">
        <v>1308</v>
      </c>
      <c r="B864">
        <v>112084</v>
      </c>
      <c r="C864" t="s">
        <v>97</v>
      </c>
    </row>
    <row r="865" spans="1:3">
      <c r="A865" s="93" t="s">
        <v>902</v>
      </c>
      <c r="B865">
        <v>122409</v>
      </c>
      <c r="C865" t="s">
        <v>97</v>
      </c>
    </row>
    <row r="866" spans="1:3">
      <c r="A866" s="93" t="s">
        <v>1433</v>
      </c>
      <c r="B866">
        <v>122597</v>
      </c>
      <c r="C866" t="s">
        <v>97</v>
      </c>
    </row>
    <row r="867" spans="1:3">
      <c r="A867" s="93" t="s">
        <v>1439</v>
      </c>
      <c r="B867">
        <v>122755</v>
      </c>
      <c r="C867" t="s">
        <v>97</v>
      </c>
    </row>
    <row r="868" spans="1:3">
      <c r="A868" s="93" t="s">
        <v>1444</v>
      </c>
      <c r="B868">
        <v>122931</v>
      </c>
      <c r="C868" t="s">
        <v>97</v>
      </c>
    </row>
    <row r="869" spans="1:3">
      <c r="A869" s="93" t="s">
        <v>2669</v>
      </c>
      <c r="B869">
        <v>195304</v>
      </c>
      <c r="C869" t="s">
        <v>97</v>
      </c>
    </row>
    <row r="870" spans="1:3">
      <c r="A870" s="93" t="s">
        <v>929</v>
      </c>
      <c r="B870">
        <v>140960</v>
      </c>
      <c r="C870" t="s">
        <v>153</v>
      </c>
    </row>
    <row r="871" spans="1:3">
      <c r="A871" s="93" t="s">
        <v>3469</v>
      </c>
      <c r="B871">
        <v>228042</v>
      </c>
      <c r="C871" t="s">
        <v>97</v>
      </c>
    </row>
    <row r="872" spans="1:3">
      <c r="A872" s="93" t="s">
        <v>5090</v>
      </c>
      <c r="B872">
        <v>123165</v>
      </c>
      <c r="C872" t="s">
        <v>97</v>
      </c>
    </row>
    <row r="873" spans="1:3">
      <c r="A873" s="93" t="s">
        <v>1095</v>
      </c>
      <c r="B873">
        <v>236577</v>
      </c>
      <c r="C873" t="s">
        <v>97</v>
      </c>
    </row>
    <row r="874" spans="1:3">
      <c r="A874" s="93" t="s">
        <v>524</v>
      </c>
      <c r="B874">
        <v>236595</v>
      </c>
      <c r="C874" t="s">
        <v>97</v>
      </c>
    </row>
    <row r="875" spans="1:3">
      <c r="A875" s="93" t="s">
        <v>2471</v>
      </c>
      <c r="B875">
        <v>186584</v>
      </c>
      <c r="C875" t="s">
        <v>97</v>
      </c>
    </row>
    <row r="876" spans="1:3">
      <c r="A876" s="93" t="s">
        <v>3193</v>
      </c>
      <c r="B876">
        <v>215947</v>
      </c>
      <c r="C876" t="s">
        <v>97</v>
      </c>
    </row>
    <row r="877" spans="1:3">
      <c r="A877" s="93" t="s">
        <v>5091</v>
      </c>
      <c r="B877">
        <v>221519</v>
      </c>
      <c r="C877" t="s">
        <v>97</v>
      </c>
    </row>
    <row r="878" spans="1:3">
      <c r="A878" s="93" t="s">
        <v>2815</v>
      </c>
      <c r="B878">
        <v>199643</v>
      </c>
      <c r="C878" t="s">
        <v>153</v>
      </c>
    </row>
    <row r="879" spans="1:3">
      <c r="A879" s="93" t="s">
        <v>3586</v>
      </c>
      <c r="B879">
        <v>233541</v>
      </c>
      <c r="C879" t="s">
        <v>97</v>
      </c>
    </row>
    <row r="880" spans="1:3">
      <c r="A880" s="93" t="s">
        <v>3674</v>
      </c>
      <c r="B880">
        <v>237792</v>
      </c>
      <c r="C880" t="s">
        <v>97</v>
      </c>
    </row>
    <row r="881" spans="1:3">
      <c r="A881" s="93" t="s">
        <v>3196</v>
      </c>
      <c r="B881">
        <v>216010</v>
      </c>
      <c r="C881" t="s">
        <v>97</v>
      </c>
    </row>
    <row r="882" spans="1:3">
      <c r="A882" s="93" t="s">
        <v>1713</v>
      </c>
      <c r="B882">
        <v>140988</v>
      </c>
      <c r="C882" t="s">
        <v>97</v>
      </c>
    </row>
    <row r="883" spans="1:3">
      <c r="A883" s="93" t="s">
        <v>2672</v>
      </c>
      <c r="B883">
        <v>195474</v>
      </c>
      <c r="C883" t="s">
        <v>97</v>
      </c>
    </row>
    <row r="884" spans="1:3">
      <c r="A884" s="93" t="s">
        <v>2186</v>
      </c>
      <c r="B884">
        <v>172264</v>
      </c>
      <c r="C884" t="s">
        <v>97</v>
      </c>
    </row>
    <row r="885" spans="1:3">
      <c r="A885" s="93" t="s">
        <v>5092</v>
      </c>
      <c r="B885">
        <v>167783</v>
      </c>
      <c r="C885" t="s">
        <v>97</v>
      </c>
    </row>
    <row r="886" spans="1:3">
      <c r="A886" s="93" t="s">
        <v>1856</v>
      </c>
      <c r="B886">
        <v>154350</v>
      </c>
      <c r="C886" t="s">
        <v>97</v>
      </c>
    </row>
    <row r="887" spans="1:3">
      <c r="A887" s="93" t="s">
        <v>1453</v>
      </c>
      <c r="B887">
        <v>123457</v>
      </c>
      <c r="C887" t="s">
        <v>97</v>
      </c>
    </row>
    <row r="888" spans="1:3">
      <c r="A888" s="93" t="s">
        <v>513</v>
      </c>
      <c r="B888">
        <v>195526</v>
      </c>
      <c r="C888" t="s">
        <v>97</v>
      </c>
    </row>
    <row r="889" spans="1:3">
      <c r="A889" s="93" t="s">
        <v>3197</v>
      </c>
      <c r="B889">
        <v>216038</v>
      </c>
      <c r="C889" t="s">
        <v>97</v>
      </c>
    </row>
    <row r="890" spans="1:3">
      <c r="A890" s="93" t="s">
        <v>582</v>
      </c>
      <c r="B890">
        <v>167835</v>
      </c>
      <c r="C890" t="s">
        <v>97</v>
      </c>
    </row>
    <row r="891" spans="1:3">
      <c r="A891" s="93" t="s">
        <v>874</v>
      </c>
      <c r="B891">
        <v>399911</v>
      </c>
      <c r="C891" t="s">
        <v>97</v>
      </c>
    </row>
    <row r="892" spans="1:3">
      <c r="A892" s="93" t="s">
        <v>1459</v>
      </c>
      <c r="B892">
        <v>123572</v>
      </c>
      <c r="C892" t="s">
        <v>97</v>
      </c>
    </row>
    <row r="893" spans="1:3">
      <c r="A893" s="93" t="s">
        <v>3274</v>
      </c>
      <c r="B893">
        <v>218733</v>
      </c>
      <c r="C893" t="s">
        <v>153</v>
      </c>
    </row>
    <row r="894" spans="1:3">
      <c r="A894" s="93" t="s">
        <v>3302</v>
      </c>
      <c r="B894">
        <v>219356</v>
      </c>
      <c r="C894" t="s">
        <v>97</v>
      </c>
    </row>
    <row r="895" spans="1:3">
      <c r="A895" s="93" t="s">
        <v>1685</v>
      </c>
      <c r="B895">
        <v>139579</v>
      </c>
      <c r="C895" t="s">
        <v>97</v>
      </c>
    </row>
    <row r="896" spans="1:3">
      <c r="A896" s="93" t="s">
        <v>999</v>
      </c>
      <c r="B896">
        <v>179557</v>
      </c>
      <c r="C896" t="s">
        <v>97</v>
      </c>
    </row>
    <row r="897" spans="1:3">
      <c r="A897" s="93" t="s">
        <v>968</v>
      </c>
      <c r="B897">
        <v>160612</v>
      </c>
      <c r="C897" t="s">
        <v>97</v>
      </c>
    </row>
    <row r="898" spans="1:3">
      <c r="A898" s="93" t="s">
        <v>3017</v>
      </c>
      <c r="B898">
        <v>207847</v>
      </c>
      <c r="C898" t="s">
        <v>97</v>
      </c>
    </row>
    <row r="899" spans="1:3">
      <c r="A899" s="93" t="s">
        <v>923</v>
      </c>
      <c r="B899">
        <v>137564</v>
      </c>
      <c r="C899" t="s">
        <v>97</v>
      </c>
    </row>
    <row r="900" spans="1:3">
      <c r="A900" s="93" t="s">
        <v>3373</v>
      </c>
      <c r="B900">
        <v>221661</v>
      </c>
      <c r="C900" t="s">
        <v>97</v>
      </c>
    </row>
    <row r="901" spans="1:3">
      <c r="A901" s="93" t="s">
        <v>1242</v>
      </c>
      <c r="B901">
        <v>107983</v>
      </c>
      <c r="C901" t="s">
        <v>97</v>
      </c>
    </row>
    <row r="902" spans="1:3">
      <c r="A902" s="93" t="s">
        <v>1467</v>
      </c>
      <c r="B902">
        <v>123952</v>
      </c>
      <c r="C902" t="s">
        <v>97</v>
      </c>
    </row>
    <row r="903" spans="1:3">
      <c r="A903" s="93" t="s">
        <v>1559</v>
      </c>
      <c r="B903">
        <v>130493</v>
      </c>
      <c r="C903" t="s">
        <v>97</v>
      </c>
    </row>
    <row r="904" spans="1:3">
      <c r="A904" s="93" t="s">
        <v>5093</v>
      </c>
      <c r="B904">
        <v>149222</v>
      </c>
      <c r="C904" t="s">
        <v>97</v>
      </c>
    </row>
    <row r="905" spans="1:3">
      <c r="A905" s="93" t="s">
        <v>5094</v>
      </c>
      <c r="B905">
        <v>149231</v>
      </c>
      <c r="C905" t="s">
        <v>97</v>
      </c>
    </row>
    <row r="906" spans="1:3">
      <c r="A906" s="93" t="s">
        <v>1080</v>
      </c>
      <c r="B906">
        <v>228246</v>
      </c>
      <c r="C906" t="s">
        <v>97</v>
      </c>
    </row>
    <row r="907" spans="1:3">
      <c r="A907" s="93" t="s">
        <v>648</v>
      </c>
      <c r="B907">
        <v>183026</v>
      </c>
      <c r="C907" t="s">
        <v>97</v>
      </c>
    </row>
    <row r="908" spans="1:3">
      <c r="A908" s="93" t="s">
        <v>3058</v>
      </c>
      <c r="B908">
        <v>210146</v>
      </c>
      <c r="C908" t="s">
        <v>97</v>
      </c>
    </row>
    <row r="909" spans="1:3">
      <c r="A909" s="93" t="s">
        <v>701</v>
      </c>
      <c r="B909">
        <v>160621</v>
      </c>
      <c r="C909" t="s">
        <v>153</v>
      </c>
    </row>
    <row r="910" spans="1:3">
      <c r="A910" s="93" t="s">
        <v>3519</v>
      </c>
      <c r="B910">
        <v>230603</v>
      </c>
      <c r="C910" t="s">
        <v>97</v>
      </c>
    </row>
    <row r="911" spans="1:3">
      <c r="A911" s="93" t="s">
        <v>5095</v>
      </c>
      <c r="B911">
        <v>231086</v>
      </c>
      <c r="C911" t="s">
        <v>97</v>
      </c>
    </row>
    <row r="912" spans="1:3">
      <c r="A912" s="93" t="s">
        <v>3588</v>
      </c>
      <c r="B912">
        <v>233611</v>
      </c>
      <c r="C912" t="s">
        <v>97</v>
      </c>
    </row>
    <row r="913" spans="1:3">
      <c r="A913" s="93" t="s">
        <v>3241</v>
      </c>
      <c r="B913">
        <v>217776</v>
      </c>
      <c r="C913" t="s">
        <v>97</v>
      </c>
    </row>
    <row r="914" spans="1:3">
      <c r="A914" s="93" t="s">
        <v>2337</v>
      </c>
      <c r="B914">
        <v>179326</v>
      </c>
      <c r="C914" t="s">
        <v>97</v>
      </c>
    </row>
    <row r="915" spans="1:3">
      <c r="A915" s="93" t="s">
        <v>2250</v>
      </c>
      <c r="B915">
        <v>175078</v>
      </c>
      <c r="C915" t="s">
        <v>97</v>
      </c>
    </row>
    <row r="916" spans="1:3">
      <c r="A916" s="93" t="s">
        <v>3478</v>
      </c>
      <c r="B916">
        <v>228468</v>
      </c>
      <c r="C916" t="s">
        <v>97</v>
      </c>
    </row>
    <row r="917" spans="1:3">
      <c r="A917" s="93" t="s">
        <v>3018</v>
      </c>
      <c r="B917">
        <v>207856</v>
      </c>
      <c r="C917" t="s">
        <v>97</v>
      </c>
    </row>
    <row r="918" spans="1:3">
      <c r="A918" s="93" t="s">
        <v>1909</v>
      </c>
      <c r="B918">
        <v>155900</v>
      </c>
      <c r="C918" t="s">
        <v>97</v>
      </c>
    </row>
    <row r="919" spans="1:3">
      <c r="A919" s="93" t="s">
        <v>3019</v>
      </c>
      <c r="B919">
        <v>207865</v>
      </c>
      <c r="C919" t="s">
        <v>97</v>
      </c>
    </row>
    <row r="920" spans="1:3">
      <c r="A920" s="93" t="s">
        <v>3475</v>
      </c>
      <c r="B920">
        <v>228343</v>
      </c>
      <c r="C920" t="s">
        <v>97</v>
      </c>
    </row>
    <row r="921" spans="1:3">
      <c r="A921" s="93" t="s">
        <v>1953</v>
      </c>
      <c r="B921">
        <v>157757</v>
      </c>
      <c r="C921" t="s">
        <v>97</v>
      </c>
    </row>
    <row r="922" spans="1:3">
      <c r="A922" s="93" t="s">
        <v>5096</v>
      </c>
      <c r="B922">
        <v>141060</v>
      </c>
      <c r="C922" t="s">
        <v>153</v>
      </c>
    </row>
    <row r="923" spans="1:3">
      <c r="A923" s="93" t="s">
        <v>2189</v>
      </c>
      <c r="B923">
        <v>172334</v>
      </c>
      <c r="C923" t="s">
        <v>97</v>
      </c>
    </row>
    <row r="924" spans="1:3">
      <c r="A924" s="93" t="s">
        <v>1163</v>
      </c>
      <c r="B924">
        <v>102234</v>
      </c>
      <c r="C924" t="s">
        <v>97</v>
      </c>
    </row>
    <row r="925" spans="1:3">
      <c r="A925" s="93" t="s">
        <v>2126</v>
      </c>
      <c r="B925">
        <v>167899</v>
      </c>
      <c r="C925" t="s">
        <v>97</v>
      </c>
    </row>
    <row r="926" spans="1:3">
      <c r="A926" s="93" t="s">
        <v>5097</v>
      </c>
      <c r="B926">
        <v>199698</v>
      </c>
      <c r="C926" t="s">
        <v>97</v>
      </c>
    </row>
    <row r="927" spans="1:3">
      <c r="A927" s="93" t="s">
        <v>2248</v>
      </c>
      <c r="B927">
        <v>175005</v>
      </c>
      <c r="C927" t="s">
        <v>97</v>
      </c>
    </row>
    <row r="928" spans="1:3">
      <c r="A928" s="93" t="s">
        <v>5098</v>
      </c>
      <c r="B928">
        <v>163976</v>
      </c>
      <c r="C928" t="s">
        <v>97</v>
      </c>
    </row>
    <row r="929" spans="1:3">
      <c r="A929" s="93" t="s">
        <v>5098</v>
      </c>
      <c r="B929">
        <v>245652</v>
      </c>
      <c r="C929" t="s">
        <v>97</v>
      </c>
    </row>
    <row r="930" spans="1:3">
      <c r="A930" s="93" t="s">
        <v>5099</v>
      </c>
      <c r="B930">
        <v>195809</v>
      </c>
      <c r="C930" t="s">
        <v>97</v>
      </c>
    </row>
    <row r="931" spans="1:3">
      <c r="A931" s="93" t="s">
        <v>2665</v>
      </c>
      <c r="B931">
        <v>195216</v>
      </c>
      <c r="C931" t="s">
        <v>97</v>
      </c>
    </row>
    <row r="932" spans="1:3">
      <c r="A932" s="93" t="s">
        <v>5100</v>
      </c>
      <c r="B932">
        <v>163912</v>
      </c>
      <c r="C932" t="s">
        <v>97</v>
      </c>
    </row>
    <row r="933" spans="1:3">
      <c r="A933" s="93" t="s">
        <v>5101</v>
      </c>
      <c r="B933">
        <v>228149</v>
      </c>
      <c r="C933" t="s">
        <v>97</v>
      </c>
    </row>
    <row r="934" spans="1:3">
      <c r="A934" s="93" t="s">
        <v>695</v>
      </c>
      <c r="B934">
        <v>174844</v>
      </c>
      <c r="C934" t="s">
        <v>97</v>
      </c>
    </row>
    <row r="935" spans="1:3">
      <c r="A935" s="93" t="s">
        <v>2663</v>
      </c>
      <c r="B935">
        <v>195173</v>
      </c>
      <c r="C935" t="s">
        <v>97</v>
      </c>
    </row>
    <row r="936" spans="1:3">
      <c r="A936" s="93" t="s">
        <v>521</v>
      </c>
      <c r="B936">
        <v>243744</v>
      </c>
      <c r="C936" t="s">
        <v>97</v>
      </c>
    </row>
    <row r="937" spans="1:3">
      <c r="A937" s="93" t="s">
        <v>2695</v>
      </c>
      <c r="B937">
        <v>196176</v>
      </c>
      <c r="C937" t="s">
        <v>97</v>
      </c>
    </row>
    <row r="938" spans="1:3">
      <c r="A938" s="93" t="s">
        <v>3476</v>
      </c>
      <c r="B938">
        <v>228431</v>
      </c>
      <c r="C938" t="s">
        <v>97</v>
      </c>
    </row>
    <row r="939" spans="1:3">
      <c r="A939" s="93" t="s">
        <v>2340</v>
      </c>
      <c r="B939">
        <v>179548</v>
      </c>
      <c r="C939" t="s">
        <v>97</v>
      </c>
    </row>
    <row r="940" spans="1:3">
      <c r="A940" s="93" t="s">
        <v>1910</v>
      </c>
      <c r="B940">
        <v>155937</v>
      </c>
      <c r="C940" t="s">
        <v>97</v>
      </c>
    </row>
    <row r="941" spans="1:3">
      <c r="A941" s="93" t="s">
        <v>1910</v>
      </c>
      <c r="B941">
        <v>231095</v>
      </c>
      <c r="C941" t="s">
        <v>97</v>
      </c>
    </row>
    <row r="942" spans="1:3">
      <c r="A942" s="93" t="s">
        <v>1647</v>
      </c>
      <c r="B942">
        <v>137546</v>
      </c>
      <c r="C942" t="s">
        <v>97</v>
      </c>
    </row>
    <row r="943" spans="1:3">
      <c r="A943" s="93" t="s">
        <v>2474</v>
      </c>
      <c r="B943">
        <v>186867</v>
      </c>
      <c r="C943" t="s">
        <v>97</v>
      </c>
    </row>
    <row r="944" spans="1:3">
      <c r="A944" s="93" t="s">
        <v>2043</v>
      </c>
      <c r="B944">
        <v>164173</v>
      </c>
      <c r="C944" t="s">
        <v>97</v>
      </c>
    </row>
    <row r="945" spans="1:3">
      <c r="A945" s="93" t="s">
        <v>1164</v>
      </c>
      <c r="B945">
        <v>102270</v>
      </c>
      <c r="C945" t="s">
        <v>153</v>
      </c>
    </row>
    <row r="946" spans="1:3">
      <c r="A946" s="93" t="s">
        <v>2129</v>
      </c>
      <c r="B946">
        <v>167996</v>
      </c>
      <c r="C946" t="s">
        <v>97</v>
      </c>
    </row>
    <row r="947" spans="1:3">
      <c r="A947" s="93" t="s">
        <v>851</v>
      </c>
      <c r="B947">
        <v>196097</v>
      </c>
      <c r="C947" t="s">
        <v>97</v>
      </c>
    </row>
    <row r="948" spans="1:3">
      <c r="A948" s="93" t="s">
        <v>2130</v>
      </c>
      <c r="B948">
        <v>168005</v>
      </c>
      <c r="C948" t="s">
        <v>97</v>
      </c>
    </row>
    <row r="949" spans="1:3">
      <c r="A949" s="93" t="s">
        <v>3479</v>
      </c>
      <c r="B949">
        <v>228501</v>
      </c>
      <c r="C949" t="s">
        <v>97</v>
      </c>
    </row>
    <row r="950" spans="1:3">
      <c r="A950" s="93" t="s">
        <v>2390</v>
      </c>
      <c r="B950">
        <v>181543</v>
      </c>
      <c r="C950" t="s">
        <v>97</v>
      </c>
    </row>
    <row r="951" spans="1:3">
      <c r="A951" s="93" t="s">
        <v>2685</v>
      </c>
      <c r="B951">
        <v>196060</v>
      </c>
      <c r="C951" t="s">
        <v>97</v>
      </c>
    </row>
    <row r="952" spans="1:3">
      <c r="A952" s="93" t="s">
        <v>5102</v>
      </c>
      <c r="B952">
        <v>196079</v>
      </c>
      <c r="C952" t="s">
        <v>97</v>
      </c>
    </row>
    <row r="953" spans="1:3">
      <c r="A953" s="93" t="s">
        <v>2693</v>
      </c>
      <c r="B953">
        <v>196158</v>
      </c>
      <c r="C953" t="s">
        <v>97</v>
      </c>
    </row>
    <row r="954" spans="1:3">
      <c r="A954" s="93" t="s">
        <v>5103</v>
      </c>
      <c r="B954">
        <v>196167</v>
      </c>
      <c r="C954" t="s">
        <v>97</v>
      </c>
    </row>
    <row r="955" spans="1:3">
      <c r="A955" s="93" t="s">
        <v>2699</v>
      </c>
      <c r="B955">
        <v>196219</v>
      </c>
      <c r="C955" t="s">
        <v>97</v>
      </c>
    </row>
    <row r="956" spans="1:3">
      <c r="A956" s="93" t="s">
        <v>5104</v>
      </c>
      <c r="B956">
        <v>196121</v>
      </c>
      <c r="C956" t="s">
        <v>97</v>
      </c>
    </row>
    <row r="957" spans="1:3">
      <c r="A957" s="93" t="s">
        <v>5105</v>
      </c>
      <c r="B957">
        <v>196130</v>
      </c>
      <c r="C957" t="s">
        <v>97</v>
      </c>
    </row>
    <row r="958" spans="1:3">
      <c r="A958" s="93" t="s">
        <v>5106</v>
      </c>
      <c r="B958">
        <v>196149</v>
      </c>
      <c r="C958" t="s">
        <v>97</v>
      </c>
    </row>
    <row r="959" spans="1:3">
      <c r="A959" s="93" t="s">
        <v>2701</v>
      </c>
      <c r="B959">
        <v>196237</v>
      </c>
      <c r="C959" t="s">
        <v>97</v>
      </c>
    </row>
    <row r="960" spans="1:3">
      <c r="A960" s="93" t="s">
        <v>5107</v>
      </c>
      <c r="B960">
        <v>196185</v>
      </c>
      <c r="C960" t="s">
        <v>97</v>
      </c>
    </row>
    <row r="961" spans="1:3">
      <c r="A961" s="93" t="s">
        <v>2697</v>
      </c>
      <c r="B961">
        <v>196194</v>
      </c>
      <c r="C961" t="s">
        <v>97</v>
      </c>
    </row>
    <row r="962" spans="1:3">
      <c r="A962" s="93" t="s">
        <v>2702</v>
      </c>
      <c r="B962">
        <v>196246</v>
      </c>
      <c r="C962" t="s">
        <v>97</v>
      </c>
    </row>
    <row r="963" spans="1:3">
      <c r="A963" s="93" t="s">
        <v>2698</v>
      </c>
      <c r="B963">
        <v>196200</v>
      </c>
      <c r="C963" t="s">
        <v>97</v>
      </c>
    </row>
    <row r="964" spans="1:3">
      <c r="A964" s="93" t="s">
        <v>2682</v>
      </c>
      <c r="B964">
        <v>196033</v>
      </c>
      <c r="C964" t="s">
        <v>97</v>
      </c>
    </row>
    <row r="965" spans="1:3">
      <c r="A965" s="93" t="s">
        <v>2688</v>
      </c>
      <c r="B965">
        <v>196103</v>
      </c>
      <c r="C965" t="s">
        <v>97</v>
      </c>
    </row>
    <row r="966" spans="1:3">
      <c r="A966" s="93" t="s">
        <v>2679</v>
      </c>
      <c r="B966">
        <v>196006</v>
      </c>
      <c r="C966" t="s">
        <v>97</v>
      </c>
    </row>
    <row r="967" spans="1:3">
      <c r="A967" s="93" t="s">
        <v>5108</v>
      </c>
      <c r="B967">
        <v>196112</v>
      </c>
      <c r="C967" t="s">
        <v>97</v>
      </c>
    </row>
    <row r="968" spans="1:3">
      <c r="A968" s="93" t="s">
        <v>2705</v>
      </c>
      <c r="B968">
        <v>196291</v>
      </c>
      <c r="C968" t="s">
        <v>97</v>
      </c>
    </row>
    <row r="969" spans="1:3">
      <c r="A969" s="93" t="s">
        <v>3200</v>
      </c>
      <c r="B969">
        <v>216278</v>
      </c>
      <c r="C969" t="s">
        <v>97</v>
      </c>
    </row>
    <row r="970" spans="1:3">
      <c r="A970" s="93" t="s">
        <v>497</v>
      </c>
      <c r="B970">
        <v>216287</v>
      </c>
      <c r="C970" t="s">
        <v>97</v>
      </c>
    </row>
    <row r="971" spans="1:3">
      <c r="A971" s="93" t="s">
        <v>5109</v>
      </c>
      <c r="B971">
        <v>233718</v>
      </c>
      <c r="C971" t="s">
        <v>97</v>
      </c>
    </row>
    <row r="972" spans="1:3">
      <c r="A972" s="93" t="s">
        <v>616</v>
      </c>
      <c r="B972">
        <v>196413</v>
      </c>
      <c r="C972" t="s">
        <v>97</v>
      </c>
    </row>
    <row r="973" spans="1:3">
      <c r="A973" s="93" t="s">
        <v>1911</v>
      </c>
      <c r="B973">
        <v>155973</v>
      </c>
      <c r="C973" t="s">
        <v>97</v>
      </c>
    </row>
    <row r="974" spans="1:3">
      <c r="A974" s="93" t="s">
        <v>739</v>
      </c>
      <c r="B974">
        <v>102298</v>
      </c>
      <c r="C974" t="s">
        <v>153</v>
      </c>
    </row>
    <row r="975" spans="1:3">
      <c r="A975" s="93" t="s">
        <v>3480</v>
      </c>
      <c r="B975">
        <v>228529</v>
      </c>
      <c r="C975" t="s">
        <v>97</v>
      </c>
    </row>
    <row r="976" spans="1:3">
      <c r="A976" s="93" t="s">
        <v>781</v>
      </c>
      <c r="B976">
        <v>152530</v>
      </c>
      <c r="C976" t="s">
        <v>97</v>
      </c>
    </row>
    <row r="977" spans="1:3">
      <c r="A977" s="93" t="s">
        <v>857</v>
      </c>
      <c r="B977">
        <v>216339</v>
      </c>
      <c r="C977" t="s">
        <v>97</v>
      </c>
    </row>
    <row r="978" spans="1:3">
      <c r="A978" s="93" t="s">
        <v>667</v>
      </c>
      <c r="B978">
        <v>221838</v>
      </c>
      <c r="C978" t="s">
        <v>153</v>
      </c>
    </row>
    <row r="979" spans="1:3">
      <c r="A979" s="93" t="s">
        <v>3379</v>
      </c>
      <c r="B979">
        <v>221847</v>
      </c>
      <c r="C979" t="s">
        <v>97</v>
      </c>
    </row>
    <row r="980" spans="1:3">
      <c r="A980" s="93" t="s">
        <v>5110</v>
      </c>
      <c r="B980">
        <v>221731</v>
      </c>
      <c r="C980" t="s">
        <v>97</v>
      </c>
    </row>
    <row r="981" spans="1:3">
      <c r="A981" s="93" t="s">
        <v>3443</v>
      </c>
      <c r="B981">
        <v>226152</v>
      </c>
      <c r="C981" t="s">
        <v>97</v>
      </c>
    </row>
    <row r="982" spans="1:3">
      <c r="A982" s="93" t="s">
        <v>3487</v>
      </c>
      <c r="B982">
        <v>228723</v>
      </c>
      <c r="C982" t="s">
        <v>97</v>
      </c>
    </row>
    <row r="983" spans="1:3">
      <c r="A983" s="93" t="s">
        <v>3418</v>
      </c>
      <c r="B983">
        <v>224554</v>
      </c>
      <c r="C983" t="s">
        <v>97</v>
      </c>
    </row>
    <row r="984" spans="1:3">
      <c r="A984" s="93" t="s">
        <v>3410</v>
      </c>
      <c r="B984">
        <v>224147</v>
      </c>
      <c r="C984" t="s">
        <v>97</v>
      </c>
    </row>
    <row r="985" spans="1:3">
      <c r="A985" s="93" t="s">
        <v>3486</v>
      </c>
      <c r="B985">
        <v>228705</v>
      </c>
      <c r="C985" t="s">
        <v>97</v>
      </c>
    </row>
    <row r="986" spans="1:3">
      <c r="A986" s="93" t="s">
        <v>3492</v>
      </c>
      <c r="B986">
        <v>228875</v>
      </c>
      <c r="C986" t="s">
        <v>97</v>
      </c>
    </row>
    <row r="987" spans="1:3">
      <c r="A987" s="93" t="s">
        <v>3495</v>
      </c>
      <c r="B987">
        <v>228981</v>
      </c>
      <c r="C987" t="s">
        <v>97</v>
      </c>
    </row>
    <row r="988" spans="1:3">
      <c r="A988" s="93" t="s">
        <v>5111</v>
      </c>
      <c r="B988">
        <v>228459</v>
      </c>
      <c r="C988" t="s">
        <v>97</v>
      </c>
    </row>
    <row r="989" spans="1:3">
      <c r="A989" s="93" t="s">
        <v>3498</v>
      </c>
      <c r="B989">
        <v>229115</v>
      </c>
      <c r="C989" t="s">
        <v>97</v>
      </c>
    </row>
    <row r="990" spans="1:3">
      <c r="A990" s="93" t="s">
        <v>3499</v>
      </c>
      <c r="B990">
        <v>229160</v>
      </c>
      <c r="C990" t="s">
        <v>97</v>
      </c>
    </row>
    <row r="991" spans="1:3">
      <c r="A991" s="93" t="s">
        <v>3500</v>
      </c>
      <c r="B991">
        <v>229179</v>
      </c>
      <c r="C991" t="s">
        <v>97</v>
      </c>
    </row>
    <row r="992" spans="1:3">
      <c r="A992" s="93" t="s">
        <v>1740</v>
      </c>
      <c r="B992">
        <v>142294</v>
      </c>
      <c r="C992" t="s">
        <v>97</v>
      </c>
    </row>
    <row r="993" spans="1:3">
      <c r="A993" s="93" t="s">
        <v>2479</v>
      </c>
      <c r="B993">
        <v>187134</v>
      </c>
      <c r="C993" t="s">
        <v>97</v>
      </c>
    </row>
    <row r="994" spans="1:3">
      <c r="A994" s="93" t="s">
        <v>5112</v>
      </c>
      <c r="B994">
        <v>193645</v>
      </c>
      <c r="C994" t="s">
        <v>97</v>
      </c>
    </row>
    <row r="995" spans="1:3">
      <c r="A995" s="93" t="s">
        <v>2666</v>
      </c>
      <c r="B995">
        <v>195234</v>
      </c>
      <c r="C995" t="s">
        <v>97</v>
      </c>
    </row>
    <row r="996" spans="1:3">
      <c r="A996" s="93" t="s">
        <v>2246</v>
      </c>
      <c r="B996">
        <v>174899</v>
      </c>
      <c r="C996" t="s">
        <v>97</v>
      </c>
    </row>
    <row r="997" spans="1:3">
      <c r="A997" s="93" t="s">
        <v>486</v>
      </c>
      <c r="B997">
        <v>206589</v>
      </c>
      <c r="C997" t="s">
        <v>97</v>
      </c>
    </row>
    <row r="998" spans="1:3">
      <c r="A998" s="93" t="s">
        <v>3619</v>
      </c>
      <c r="B998">
        <v>235167</v>
      </c>
      <c r="C998" t="s">
        <v>97</v>
      </c>
    </row>
    <row r="999" spans="1:3">
      <c r="A999" s="93" t="s">
        <v>5113</v>
      </c>
      <c r="B999">
        <v>454184</v>
      </c>
      <c r="C999" t="s">
        <v>97</v>
      </c>
    </row>
    <row r="1000" spans="1:3">
      <c r="A1000" s="93" t="s">
        <v>5114</v>
      </c>
      <c r="B1000">
        <v>117751</v>
      </c>
      <c r="C1000" t="s">
        <v>97</v>
      </c>
    </row>
    <row r="1001" spans="1:3">
      <c r="A1001" s="93" t="s">
        <v>2634</v>
      </c>
      <c r="B1001">
        <v>193654</v>
      </c>
      <c r="C1001" t="s">
        <v>97</v>
      </c>
    </row>
    <row r="1002" spans="1:3">
      <c r="A1002" s="93" t="s">
        <v>5115</v>
      </c>
      <c r="B1002">
        <v>186876</v>
      </c>
      <c r="C1002" t="s">
        <v>97</v>
      </c>
    </row>
    <row r="1003" spans="1:3">
      <c r="A1003" s="93" t="s">
        <v>806</v>
      </c>
      <c r="B1003">
        <v>100751</v>
      </c>
      <c r="C1003" t="s">
        <v>97</v>
      </c>
    </row>
    <row r="1004" spans="1:3">
      <c r="A1004" s="93" t="s">
        <v>2885</v>
      </c>
      <c r="B1004">
        <v>202763</v>
      </c>
      <c r="C1004" t="s">
        <v>97</v>
      </c>
    </row>
    <row r="1005" spans="1:3">
      <c r="A1005" s="93" t="s">
        <v>2364</v>
      </c>
      <c r="B1005">
        <v>180489</v>
      </c>
      <c r="C1005" t="s">
        <v>97</v>
      </c>
    </row>
    <row r="1006" spans="1:3">
      <c r="A1006" s="93" t="s">
        <v>2368</v>
      </c>
      <c r="B1006">
        <v>180692</v>
      </c>
      <c r="C1006" t="s">
        <v>97</v>
      </c>
    </row>
    <row r="1007" spans="1:3">
      <c r="A1007" s="93" t="s">
        <v>603</v>
      </c>
      <c r="B1007">
        <v>137847</v>
      </c>
      <c r="C1007" t="s">
        <v>97</v>
      </c>
    </row>
    <row r="1008" spans="1:3">
      <c r="A1008" s="93" t="s">
        <v>5116</v>
      </c>
      <c r="B1008">
        <v>221759</v>
      </c>
      <c r="C1008" t="s">
        <v>97</v>
      </c>
    </row>
    <row r="1009" spans="1:3">
      <c r="A1009" s="93" t="s">
        <v>5117</v>
      </c>
      <c r="B1009">
        <v>221740</v>
      </c>
      <c r="C1009" t="s">
        <v>97</v>
      </c>
    </row>
    <row r="1010" spans="1:3">
      <c r="A1010" s="93" t="s">
        <v>3378</v>
      </c>
      <c r="B1010">
        <v>221768</v>
      </c>
      <c r="C1010" t="s">
        <v>97</v>
      </c>
    </row>
    <row r="1011" spans="1:3">
      <c r="A1011" s="93" t="s">
        <v>1083</v>
      </c>
      <c r="B1011">
        <v>228769</v>
      </c>
      <c r="C1011" t="s">
        <v>97</v>
      </c>
    </row>
    <row r="1012" spans="1:3">
      <c r="A1012" s="93" t="s">
        <v>800</v>
      </c>
      <c r="B1012">
        <v>228778</v>
      </c>
      <c r="C1012" t="s">
        <v>97</v>
      </c>
    </row>
    <row r="1013" spans="1:3">
      <c r="A1013" s="93" t="s">
        <v>3488</v>
      </c>
      <c r="B1013">
        <v>228787</v>
      </c>
      <c r="C1013" t="s">
        <v>97</v>
      </c>
    </row>
    <row r="1014" spans="1:3">
      <c r="A1014" s="93" t="s">
        <v>3497</v>
      </c>
      <c r="B1014">
        <v>229027</v>
      </c>
      <c r="C1014" t="s">
        <v>97</v>
      </c>
    </row>
    <row r="1015" spans="1:3">
      <c r="A1015" s="93" t="s">
        <v>3490</v>
      </c>
      <c r="B1015">
        <v>228802</v>
      </c>
      <c r="C1015" t="s">
        <v>97</v>
      </c>
    </row>
    <row r="1016" spans="1:3">
      <c r="A1016" s="93" t="s">
        <v>5118</v>
      </c>
      <c r="B1016">
        <v>229018</v>
      </c>
      <c r="C1016" t="s">
        <v>97</v>
      </c>
    </row>
    <row r="1017" spans="1:3">
      <c r="A1017" s="93" t="s">
        <v>5119</v>
      </c>
      <c r="B1017">
        <v>227368</v>
      </c>
      <c r="C1017" t="s">
        <v>97</v>
      </c>
    </row>
    <row r="1018" spans="1:3">
      <c r="A1018" s="93" t="s">
        <v>5120</v>
      </c>
      <c r="B1018">
        <v>233897</v>
      </c>
      <c r="C1018" t="s">
        <v>97</v>
      </c>
    </row>
    <row r="1019" spans="1:3">
      <c r="A1019" s="93" t="s">
        <v>1656</v>
      </c>
      <c r="B1019">
        <v>138354</v>
      </c>
      <c r="C1019" t="s">
        <v>97</v>
      </c>
    </row>
    <row r="1020" spans="1:3">
      <c r="A1020" s="93" t="s">
        <v>3204</v>
      </c>
      <c r="B1020">
        <v>216357</v>
      </c>
      <c r="C1020" t="s">
        <v>97</v>
      </c>
    </row>
    <row r="1021" spans="1:3">
      <c r="A1021" s="93" t="s">
        <v>1470</v>
      </c>
      <c r="B1021">
        <v>124292</v>
      </c>
      <c r="C1021" t="s">
        <v>97</v>
      </c>
    </row>
    <row r="1022" spans="1:3">
      <c r="A1022" s="93" t="s">
        <v>5121</v>
      </c>
      <c r="B1022">
        <v>157809</v>
      </c>
      <c r="C1022" t="s">
        <v>97</v>
      </c>
    </row>
    <row r="1023" spans="1:3">
      <c r="A1023" s="93" t="s">
        <v>2421</v>
      </c>
      <c r="B1023">
        <v>183275</v>
      </c>
      <c r="C1023" t="s">
        <v>97</v>
      </c>
    </row>
    <row r="1024" spans="1:3">
      <c r="A1024" s="93" t="s">
        <v>2972</v>
      </c>
      <c r="B1024">
        <v>206048</v>
      </c>
      <c r="C1024" t="s">
        <v>97</v>
      </c>
    </row>
    <row r="1025" spans="1:3">
      <c r="A1025" s="93" t="s">
        <v>1717</v>
      </c>
      <c r="B1025">
        <v>141185</v>
      </c>
      <c r="C1025" t="s">
        <v>97</v>
      </c>
    </row>
    <row r="1026" spans="1:3">
      <c r="A1026" s="93" t="s">
        <v>2041</v>
      </c>
      <c r="B1026">
        <v>164076</v>
      </c>
      <c r="C1026" t="s">
        <v>97</v>
      </c>
    </row>
    <row r="1027" spans="1:3">
      <c r="A1027" s="93" t="s">
        <v>1956</v>
      </c>
      <c r="B1027">
        <v>157818</v>
      </c>
      <c r="C1027" t="s">
        <v>97</v>
      </c>
    </row>
    <row r="1028" spans="1:3">
      <c r="A1028" s="93" t="s">
        <v>3380</v>
      </c>
      <c r="B1028">
        <v>221892</v>
      </c>
      <c r="C1028" t="s">
        <v>97</v>
      </c>
    </row>
    <row r="1029" spans="1:3">
      <c r="A1029" s="93" t="s">
        <v>1816</v>
      </c>
      <c r="B1029">
        <v>152567</v>
      </c>
      <c r="C1029" t="s">
        <v>97</v>
      </c>
    </row>
    <row r="1030" spans="1:3">
      <c r="A1030" s="93" t="s">
        <v>732</v>
      </c>
      <c r="B1030">
        <v>149505</v>
      </c>
      <c r="C1030" t="s">
        <v>97</v>
      </c>
    </row>
    <row r="1031" spans="1:3">
      <c r="A1031" s="93" t="s">
        <v>585</v>
      </c>
      <c r="B1031">
        <v>130590</v>
      </c>
      <c r="C1031" t="s">
        <v>97</v>
      </c>
    </row>
    <row r="1032" spans="1:3">
      <c r="A1032" s="93" t="s">
        <v>778</v>
      </c>
      <c r="B1032">
        <v>149514</v>
      </c>
      <c r="C1032" t="s">
        <v>97</v>
      </c>
    </row>
    <row r="1033" spans="1:3">
      <c r="A1033" s="93" t="s">
        <v>1084</v>
      </c>
      <c r="B1033">
        <v>229267</v>
      </c>
      <c r="C1033" t="s">
        <v>97</v>
      </c>
    </row>
    <row r="1034" spans="1:3">
      <c r="A1034" s="93" t="s">
        <v>5122</v>
      </c>
      <c r="B1034">
        <v>131876</v>
      </c>
      <c r="C1034" t="s">
        <v>97</v>
      </c>
    </row>
    <row r="1035" spans="1:3">
      <c r="A1035" s="93" t="s">
        <v>1166</v>
      </c>
      <c r="B1035">
        <v>102368</v>
      </c>
      <c r="C1035" t="s">
        <v>97</v>
      </c>
    </row>
    <row r="1036" spans="1:3">
      <c r="A1036" s="93" t="s">
        <v>997</v>
      </c>
      <c r="B1036">
        <v>178615</v>
      </c>
      <c r="C1036" t="s">
        <v>97</v>
      </c>
    </row>
    <row r="1037" spans="1:3">
      <c r="A1037" s="93" t="s">
        <v>790</v>
      </c>
      <c r="B1037">
        <v>168148</v>
      </c>
      <c r="C1037" t="s">
        <v>97</v>
      </c>
    </row>
    <row r="1038" spans="1:3">
      <c r="A1038" s="93" t="s">
        <v>1986</v>
      </c>
      <c r="B1038">
        <v>160755</v>
      </c>
      <c r="C1038" t="s">
        <v>97</v>
      </c>
    </row>
    <row r="1039" spans="1:3">
      <c r="A1039" s="93" t="s">
        <v>5123</v>
      </c>
      <c r="B1039">
        <v>221953</v>
      </c>
      <c r="C1039" t="s">
        <v>97</v>
      </c>
    </row>
    <row r="1040" spans="1:3">
      <c r="A1040" s="93" t="s">
        <v>725</v>
      </c>
      <c r="B1040">
        <v>102377</v>
      </c>
      <c r="C1040" t="s">
        <v>153</v>
      </c>
    </row>
    <row r="1041" spans="1:3">
      <c r="A1041" s="93" t="s">
        <v>1021</v>
      </c>
      <c r="B1041">
        <v>157863</v>
      </c>
      <c r="C1041" t="s">
        <v>97</v>
      </c>
    </row>
    <row r="1042" spans="1:3">
      <c r="A1042" s="93" t="s">
        <v>1021</v>
      </c>
      <c r="B1042">
        <v>181738</v>
      </c>
      <c r="C1042" t="s">
        <v>97</v>
      </c>
    </row>
    <row r="1043" spans="1:3">
      <c r="A1043" s="93" t="s">
        <v>1021</v>
      </c>
      <c r="B1043">
        <v>196866</v>
      </c>
      <c r="C1043" t="s">
        <v>97</v>
      </c>
    </row>
    <row r="1044" spans="1:3">
      <c r="A1044" s="93" t="s">
        <v>3383</v>
      </c>
      <c r="B1044">
        <v>221971</v>
      </c>
      <c r="C1044" t="s">
        <v>97</v>
      </c>
    </row>
    <row r="1045" spans="1:3">
      <c r="A1045" s="93" t="s">
        <v>1525</v>
      </c>
      <c r="B1045">
        <v>128328</v>
      </c>
      <c r="C1045" t="s">
        <v>97</v>
      </c>
    </row>
    <row r="1046" spans="1:3">
      <c r="A1046" s="93" t="s">
        <v>1562</v>
      </c>
      <c r="B1046">
        <v>130624</v>
      </c>
      <c r="C1046" t="s">
        <v>97</v>
      </c>
    </row>
    <row r="1047" spans="1:3">
      <c r="A1047" s="93" t="s">
        <v>1022</v>
      </c>
      <c r="B1047">
        <v>197027</v>
      </c>
      <c r="C1047" t="s">
        <v>97</v>
      </c>
    </row>
    <row r="1048" spans="1:3">
      <c r="A1048" s="93" t="s">
        <v>2718</v>
      </c>
      <c r="B1048">
        <v>197036</v>
      </c>
      <c r="C1048" t="s">
        <v>97</v>
      </c>
    </row>
    <row r="1049" spans="1:3">
      <c r="A1049" s="93" t="s">
        <v>754</v>
      </c>
      <c r="B1049">
        <v>164155</v>
      </c>
      <c r="C1049" t="s">
        <v>97</v>
      </c>
    </row>
    <row r="1050" spans="1:3">
      <c r="A1050" s="93" t="s">
        <v>2009</v>
      </c>
      <c r="B1050">
        <v>161572</v>
      </c>
      <c r="C1050" t="s">
        <v>97</v>
      </c>
    </row>
    <row r="1051" spans="1:3">
      <c r="A1051" s="93" t="s">
        <v>2687</v>
      </c>
      <c r="B1051">
        <v>196088</v>
      </c>
      <c r="C1051" t="s">
        <v>97</v>
      </c>
    </row>
    <row r="1052" spans="1:3">
      <c r="A1052" s="93" t="s">
        <v>3856</v>
      </c>
      <c r="B1052">
        <v>363934</v>
      </c>
      <c r="C1052" t="s">
        <v>97</v>
      </c>
    </row>
    <row r="1053" spans="1:3">
      <c r="A1053" s="93" t="s">
        <v>805</v>
      </c>
      <c r="B1053">
        <v>100663</v>
      </c>
      <c r="C1053" t="s">
        <v>97</v>
      </c>
    </row>
    <row r="1054" spans="1:3">
      <c r="A1054" s="93" t="s">
        <v>5124</v>
      </c>
      <c r="B1054">
        <v>100706</v>
      </c>
      <c r="C1054" t="s">
        <v>97</v>
      </c>
    </row>
    <row r="1055" spans="1:3">
      <c r="A1055" s="93" t="s">
        <v>1171</v>
      </c>
      <c r="B1055">
        <v>102614</v>
      </c>
      <c r="C1055" t="s">
        <v>97</v>
      </c>
    </row>
    <row r="1056" spans="1:3">
      <c r="A1056" s="93" t="s">
        <v>1172</v>
      </c>
      <c r="B1056">
        <v>102632</v>
      </c>
      <c r="C1056" t="s">
        <v>97</v>
      </c>
    </row>
    <row r="1057" spans="1:3">
      <c r="A1057" s="93" t="s">
        <v>770</v>
      </c>
      <c r="B1057">
        <v>104179</v>
      </c>
      <c r="C1057" t="s">
        <v>97</v>
      </c>
    </row>
    <row r="1058" spans="1:3">
      <c r="A1058" s="93" t="s">
        <v>1208</v>
      </c>
      <c r="B1058">
        <v>106397</v>
      </c>
      <c r="C1058" t="s">
        <v>97</v>
      </c>
    </row>
    <row r="1059" spans="1:3">
      <c r="A1059" s="93" t="s">
        <v>740</v>
      </c>
      <c r="B1059">
        <v>106412</v>
      </c>
      <c r="C1059" t="s">
        <v>153</v>
      </c>
    </row>
    <row r="1060" spans="1:3">
      <c r="A1060" s="93" t="s">
        <v>1244</v>
      </c>
      <c r="B1060">
        <v>108092</v>
      </c>
      <c r="C1060" t="s">
        <v>97</v>
      </c>
    </row>
    <row r="1061" spans="1:3">
      <c r="A1061" s="93" t="s">
        <v>1530</v>
      </c>
      <c r="B1061">
        <v>128744</v>
      </c>
      <c r="C1061" t="s">
        <v>97</v>
      </c>
    </row>
    <row r="1062" spans="1:3">
      <c r="A1062" s="93" t="s">
        <v>1283</v>
      </c>
      <c r="B1062">
        <v>110635</v>
      </c>
      <c r="C1062" t="s">
        <v>97</v>
      </c>
    </row>
    <row r="1063" spans="1:3">
      <c r="A1063" s="93" t="s">
        <v>1284</v>
      </c>
      <c r="B1063">
        <v>110644</v>
      </c>
      <c r="C1063" t="s">
        <v>97</v>
      </c>
    </row>
    <row r="1064" spans="1:3">
      <c r="A1064" s="93" t="s">
        <v>1285</v>
      </c>
      <c r="B1064">
        <v>110653</v>
      </c>
      <c r="C1064" t="s">
        <v>97</v>
      </c>
    </row>
    <row r="1065" spans="1:3">
      <c r="A1065" s="93" t="s">
        <v>1286</v>
      </c>
      <c r="B1065">
        <v>110662</v>
      </c>
      <c r="C1065" t="s">
        <v>97</v>
      </c>
    </row>
    <row r="1066" spans="1:3">
      <c r="A1066" s="93" t="s">
        <v>1287</v>
      </c>
      <c r="B1066">
        <v>110671</v>
      </c>
      <c r="C1066" t="s">
        <v>97</v>
      </c>
    </row>
    <row r="1067" spans="1:3">
      <c r="A1067" s="93" t="s">
        <v>1288</v>
      </c>
      <c r="B1067">
        <v>110680</v>
      </c>
      <c r="C1067" t="s">
        <v>97</v>
      </c>
    </row>
    <row r="1068" spans="1:3">
      <c r="A1068" s="93" t="s">
        <v>1290</v>
      </c>
      <c r="B1068">
        <v>110705</v>
      </c>
      <c r="C1068" t="s">
        <v>97</v>
      </c>
    </row>
    <row r="1069" spans="1:3">
      <c r="A1069" s="93" t="s">
        <v>1291</v>
      </c>
      <c r="B1069">
        <v>110714</v>
      </c>
      <c r="C1069" t="s">
        <v>97</v>
      </c>
    </row>
    <row r="1070" spans="1:3">
      <c r="A1070" s="93" t="s">
        <v>1214</v>
      </c>
      <c r="B1070">
        <v>106704</v>
      </c>
      <c r="C1070" t="s">
        <v>97</v>
      </c>
    </row>
    <row r="1071" spans="1:3">
      <c r="A1071" s="93" t="s">
        <v>918</v>
      </c>
      <c r="B1071">
        <v>132903</v>
      </c>
      <c r="C1071" t="s">
        <v>97</v>
      </c>
    </row>
    <row r="1072" spans="1:3">
      <c r="A1072" s="93" t="s">
        <v>2289</v>
      </c>
      <c r="B1072">
        <v>176965</v>
      </c>
      <c r="C1072" t="s">
        <v>97</v>
      </c>
    </row>
    <row r="1073" spans="1:3">
      <c r="A1073" s="93" t="s">
        <v>2991</v>
      </c>
      <c r="B1073">
        <v>206941</v>
      </c>
      <c r="C1073" t="s">
        <v>97</v>
      </c>
    </row>
    <row r="1074" spans="1:3">
      <c r="A1074" s="93" t="s">
        <v>3658</v>
      </c>
      <c r="B1074">
        <v>237312</v>
      </c>
      <c r="C1074" t="s">
        <v>97</v>
      </c>
    </row>
    <row r="1075" spans="1:3">
      <c r="A1075" s="93" t="s">
        <v>494</v>
      </c>
      <c r="B1075">
        <v>144050</v>
      </c>
      <c r="C1075" t="s">
        <v>97</v>
      </c>
    </row>
    <row r="1076" spans="1:3">
      <c r="A1076" s="93" t="s">
        <v>1034</v>
      </c>
      <c r="B1076">
        <v>201885</v>
      </c>
      <c r="C1076" t="s">
        <v>97</v>
      </c>
    </row>
    <row r="1077" spans="1:3">
      <c r="A1077" s="93" t="s">
        <v>5125</v>
      </c>
      <c r="B1077">
        <v>126580</v>
      </c>
      <c r="C1077" t="s">
        <v>97</v>
      </c>
    </row>
    <row r="1078" spans="1:3">
      <c r="A1078" s="93" t="s">
        <v>907</v>
      </c>
      <c r="B1078">
        <v>126614</v>
      </c>
      <c r="C1078" t="s">
        <v>97</v>
      </c>
    </row>
    <row r="1079" spans="1:3">
      <c r="A1079" s="93" t="s">
        <v>5126</v>
      </c>
      <c r="B1079">
        <v>126562</v>
      </c>
      <c r="C1079" t="s">
        <v>97</v>
      </c>
    </row>
    <row r="1080" spans="1:3">
      <c r="A1080" s="93" t="s">
        <v>1533</v>
      </c>
      <c r="B1080">
        <v>129020</v>
      </c>
      <c r="C1080" t="s">
        <v>97</v>
      </c>
    </row>
    <row r="1081" spans="1:3">
      <c r="A1081" s="93" t="s">
        <v>4096</v>
      </c>
      <c r="B1081">
        <v>436827</v>
      </c>
      <c r="C1081" t="s">
        <v>97</v>
      </c>
    </row>
    <row r="1082" spans="1:3">
      <c r="A1082" s="93" t="s">
        <v>4097</v>
      </c>
      <c r="B1082">
        <v>436836</v>
      </c>
      <c r="C1082" t="s">
        <v>97</v>
      </c>
    </row>
    <row r="1083" spans="1:3">
      <c r="A1083" s="93" t="s">
        <v>5127</v>
      </c>
      <c r="B1083">
        <v>436818</v>
      </c>
      <c r="C1083" t="s">
        <v>97</v>
      </c>
    </row>
    <row r="1084" spans="1:3">
      <c r="A1084" s="93" t="s">
        <v>3414</v>
      </c>
      <c r="B1084">
        <v>224323</v>
      </c>
      <c r="C1084" t="s">
        <v>97</v>
      </c>
    </row>
    <row r="1085" spans="1:3">
      <c r="A1085" s="93" t="s">
        <v>488</v>
      </c>
      <c r="B1085">
        <v>202480</v>
      </c>
      <c r="C1085" t="s">
        <v>97</v>
      </c>
    </row>
    <row r="1086" spans="1:3">
      <c r="A1086" s="93" t="s">
        <v>1566</v>
      </c>
      <c r="B1086">
        <v>130943</v>
      </c>
      <c r="C1086" t="s">
        <v>97</v>
      </c>
    </row>
    <row r="1087" spans="1:3">
      <c r="A1087" s="93" t="s">
        <v>816</v>
      </c>
      <c r="B1087">
        <v>127060</v>
      </c>
      <c r="C1087" t="s">
        <v>97</v>
      </c>
    </row>
    <row r="1088" spans="1:3">
      <c r="A1088" s="93" t="s">
        <v>2155</v>
      </c>
      <c r="B1088">
        <v>169716</v>
      </c>
      <c r="C1088" t="s">
        <v>97</v>
      </c>
    </row>
    <row r="1089" spans="1:3">
      <c r="A1089" s="93" t="s">
        <v>690</v>
      </c>
      <c r="B1089">
        <v>153278</v>
      </c>
      <c r="C1089" t="s">
        <v>97</v>
      </c>
    </row>
    <row r="1090" spans="1:3">
      <c r="A1090" s="93" t="s">
        <v>1796</v>
      </c>
      <c r="B1090">
        <v>150534</v>
      </c>
      <c r="C1090" t="s">
        <v>97</v>
      </c>
    </row>
    <row r="1091" spans="1:3">
      <c r="A1091" s="93" t="s">
        <v>920</v>
      </c>
      <c r="B1091">
        <v>134130</v>
      </c>
      <c r="C1091" t="s">
        <v>97</v>
      </c>
    </row>
    <row r="1092" spans="1:3">
      <c r="A1092" s="93" t="s">
        <v>1695</v>
      </c>
      <c r="B1092">
        <v>139959</v>
      </c>
      <c r="C1092" t="s">
        <v>97</v>
      </c>
    </row>
    <row r="1093" spans="1:3">
      <c r="A1093" s="93" t="s">
        <v>5128</v>
      </c>
      <c r="B1093">
        <v>180258</v>
      </c>
      <c r="C1093" t="s">
        <v>97</v>
      </c>
    </row>
    <row r="1094" spans="1:3">
      <c r="A1094" s="93" t="s">
        <v>1541</v>
      </c>
      <c r="B1094">
        <v>129525</v>
      </c>
      <c r="C1094" t="s">
        <v>97</v>
      </c>
    </row>
    <row r="1095" spans="1:3">
      <c r="A1095" s="93" t="s">
        <v>1724</v>
      </c>
      <c r="B1095">
        <v>141565</v>
      </c>
      <c r="C1095" t="s">
        <v>97</v>
      </c>
    </row>
    <row r="1096" spans="1:3">
      <c r="A1096" s="93" t="s">
        <v>1725</v>
      </c>
      <c r="B1096">
        <v>141574</v>
      </c>
      <c r="C1096" t="s">
        <v>97</v>
      </c>
    </row>
    <row r="1097" spans="1:3">
      <c r="A1097" s="93" t="s">
        <v>860</v>
      </c>
      <c r="B1097">
        <v>225511</v>
      </c>
      <c r="C1097" t="s">
        <v>97</v>
      </c>
    </row>
    <row r="1098" spans="1:3">
      <c r="A1098" s="93" t="s">
        <v>1739</v>
      </c>
      <c r="B1098">
        <v>142285</v>
      </c>
      <c r="C1098" t="s">
        <v>97</v>
      </c>
    </row>
    <row r="1099" spans="1:3">
      <c r="A1099" s="93" t="s">
        <v>465</v>
      </c>
      <c r="B1099">
        <v>145600</v>
      </c>
      <c r="C1099" t="s">
        <v>97</v>
      </c>
    </row>
    <row r="1100" spans="1:3">
      <c r="A1100" s="93" t="s">
        <v>651</v>
      </c>
      <c r="B1100" t="s">
        <v>630</v>
      </c>
      <c r="C1100" t="s">
        <v>97</v>
      </c>
    </row>
    <row r="1101" spans="1:3">
      <c r="A1101" s="93" t="s">
        <v>510</v>
      </c>
      <c r="B1101">
        <v>148654</v>
      </c>
      <c r="C1101" t="s">
        <v>97</v>
      </c>
    </row>
    <row r="1102" spans="1:3">
      <c r="A1102" s="93" t="s">
        <v>475</v>
      </c>
      <c r="B1102">
        <v>145637</v>
      </c>
      <c r="C1102" t="s">
        <v>97</v>
      </c>
    </row>
    <row r="1103" spans="1:3">
      <c r="A1103" s="93" t="s">
        <v>1800</v>
      </c>
      <c r="B1103">
        <v>151263</v>
      </c>
      <c r="C1103" t="s">
        <v>97</v>
      </c>
    </row>
    <row r="1104" spans="1:3">
      <c r="A1104" s="93" t="s">
        <v>675</v>
      </c>
      <c r="B1104">
        <v>153658</v>
      </c>
      <c r="C1104" t="s">
        <v>97</v>
      </c>
    </row>
    <row r="1105" spans="1:3">
      <c r="A1105" s="93" t="s">
        <v>786</v>
      </c>
      <c r="B1105">
        <v>155317</v>
      </c>
      <c r="C1105" t="s">
        <v>97</v>
      </c>
    </row>
    <row r="1106" spans="1:3">
      <c r="A1106" s="93" t="s">
        <v>787</v>
      </c>
      <c r="B1106">
        <v>157085</v>
      </c>
      <c r="C1106" t="s">
        <v>97</v>
      </c>
    </row>
    <row r="1107" spans="1:3">
      <c r="A1107" s="93" t="s">
        <v>1359</v>
      </c>
      <c r="B1107">
        <v>117140</v>
      </c>
      <c r="C1107" t="s">
        <v>97</v>
      </c>
    </row>
    <row r="1108" spans="1:3">
      <c r="A1108" s="93" t="s">
        <v>5129</v>
      </c>
      <c r="B1108">
        <v>160658</v>
      </c>
      <c r="C1108" t="s">
        <v>97</v>
      </c>
    </row>
    <row r="1109" spans="1:3">
      <c r="A1109" s="93" t="s">
        <v>5130</v>
      </c>
      <c r="B1109">
        <v>159993</v>
      </c>
      <c r="C1109" t="s">
        <v>97</v>
      </c>
    </row>
    <row r="1110" spans="1:3">
      <c r="A1110" s="93" t="s">
        <v>611</v>
      </c>
      <c r="B1110">
        <v>157289</v>
      </c>
      <c r="C1110" t="s">
        <v>97</v>
      </c>
    </row>
    <row r="1111" spans="1:3">
      <c r="A1111" s="93" t="s">
        <v>2000</v>
      </c>
      <c r="B1111">
        <v>161253</v>
      </c>
      <c r="C1111" t="s">
        <v>97</v>
      </c>
    </row>
    <row r="1112" spans="1:3">
      <c r="A1112" s="93" t="s">
        <v>1997</v>
      </c>
      <c r="B1112">
        <v>161226</v>
      </c>
      <c r="C1112" t="s">
        <v>97</v>
      </c>
    </row>
    <row r="1113" spans="1:3">
      <c r="A1113" s="93" t="s">
        <v>1999</v>
      </c>
      <c r="B1113">
        <v>161244</v>
      </c>
      <c r="C1113" t="s">
        <v>97</v>
      </c>
    </row>
    <row r="1114" spans="1:3">
      <c r="A1114" s="93" t="s">
        <v>2002</v>
      </c>
      <c r="B1114">
        <v>161341</v>
      </c>
      <c r="C1114" t="s">
        <v>97</v>
      </c>
    </row>
    <row r="1115" spans="1:3">
      <c r="A1115" s="93" t="s">
        <v>2841</v>
      </c>
      <c r="B1115">
        <v>200217</v>
      </c>
      <c r="C1115" t="s">
        <v>97</v>
      </c>
    </row>
    <row r="1116" spans="1:3">
      <c r="A1116" s="93" t="s">
        <v>3448</v>
      </c>
      <c r="B1116">
        <v>226471</v>
      </c>
      <c r="C1116" t="s">
        <v>97</v>
      </c>
    </row>
    <row r="1117" spans="1:3">
      <c r="A1117" s="93" t="s">
        <v>3565</v>
      </c>
      <c r="B1117">
        <v>232681</v>
      </c>
      <c r="C1117" t="s">
        <v>97</v>
      </c>
    </row>
    <row r="1118" spans="1:3">
      <c r="A1118" s="93" t="s">
        <v>2033</v>
      </c>
      <c r="B1118">
        <v>163338</v>
      </c>
      <c r="C1118" t="s">
        <v>153</v>
      </c>
    </row>
    <row r="1119" spans="1:3">
      <c r="A1119" s="93" t="s">
        <v>2031</v>
      </c>
      <c r="B1119">
        <v>163268</v>
      </c>
      <c r="C1119" t="s">
        <v>97</v>
      </c>
    </row>
    <row r="1120" spans="1:3">
      <c r="A1120" s="93" t="s">
        <v>2032</v>
      </c>
      <c r="B1120">
        <v>163286</v>
      </c>
      <c r="C1120" t="s">
        <v>97</v>
      </c>
    </row>
    <row r="1121" spans="1:3">
      <c r="A1121" s="93" t="s">
        <v>5131</v>
      </c>
      <c r="B1121">
        <v>166629</v>
      </c>
      <c r="C1121" t="s">
        <v>97</v>
      </c>
    </row>
    <row r="1122" spans="1:3">
      <c r="A1122" s="93" t="s">
        <v>2092</v>
      </c>
      <c r="B1122">
        <v>166638</v>
      </c>
      <c r="C1122" t="s">
        <v>97</v>
      </c>
    </row>
    <row r="1123" spans="1:3">
      <c r="A1123" s="93" t="s">
        <v>2128</v>
      </c>
      <c r="B1123">
        <v>167987</v>
      </c>
      <c r="C1123" t="s">
        <v>97</v>
      </c>
    </row>
    <row r="1124" spans="1:3">
      <c r="A1124" s="93" t="s">
        <v>2090</v>
      </c>
      <c r="B1124">
        <v>166513</v>
      </c>
      <c r="C1124" t="s">
        <v>97</v>
      </c>
    </row>
    <row r="1125" spans="1:3">
      <c r="A1125" s="93" t="s">
        <v>859</v>
      </c>
      <c r="B1125">
        <v>220862</v>
      </c>
      <c r="C1125" t="s">
        <v>97</v>
      </c>
    </row>
    <row r="1126" spans="1:3">
      <c r="A1126" s="93" t="s">
        <v>773</v>
      </c>
      <c r="B1126">
        <v>135726</v>
      </c>
      <c r="C1126" t="s">
        <v>97</v>
      </c>
    </row>
    <row r="1127" spans="1:3">
      <c r="A1127" s="93" t="s">
        <v>639</v>
      </c>
      <c r="B1127">
        <v>170976</v>
      </c>
      <c r="C1127" t="s">
        <v>97</v>
      </c>
    </row>
    <row r="1128" spans="1:3">
      <c r="A1128" s="93" t="s">
        <v>2172</v>
      </c>
      <c r="B1128">
        <v>171137</v>
      </c>
      <c r="C1128" t="s">
        <v>97</v>
      </c>
    </row>
    <row r="1129" spans="1:3">
      <c r="A1129" s="93" t="s">
        <v>2173</v>
      </c>
      <c r="B1129">
        <v>171146</v>
      </c>
      <c r="C1129" t="s">
        <v>97</v>
      </c>
    </row>
    <row r="1130" spans="1:3">
      <c r="A1130" s="93" t="s">
        <v>2226</v>
      </c>
      <c r="B1130">
        <v>174075</v>
      </c>
      <c r="C1130" t="s">
        <v>97</v>
      </c>
    </row>
    <row r="1131" spans="1:3">
      <c r="A1131" s="93" t="s">
        <v>2230</v>
      </c>
      <c r="B1131">
        <v>174233</v>
      </c>
      <c r="C1131" t="s">
        <v>97</v>
      </c>
    </row>
    <row r="1132" spans="1:3">
      <c r="A1132" s="93" t="s">
        <v>2231</v>
      </c>
      <c r="B1132">
        <v>174251</v>
      </c>
      <c r="C1132" t="s">
        <v>97</v>
      </c>
    </row>
    <row r="1133" spans="1:3">
      <c r="A1133" s="93" t="s">
        <v>2225</v>
      </c>
      <c r="B1133">
        <v>174066</v>
      </c>
      <c r="C1133" t="s">
        <v>97</v>
      </c>
    </row>
    <row r="1134" spans="1:3">
      <c r="A1134" s="93" t="s">
        <v>5132</v>
      </c>
      <c r="B1134">
        <v>176017</v>
      </c>
      <c r="C1134" t="s">
        <v>97</v>
      </c>
    </row>
    <row r="1135" spans="1:3">
      <c r="A1135" s="93" t="s">
        <v>723</v>
      </c>
      <c r="B1135">
        <v>178396</v>
      </c>
      <c r="C1135" t="s">
        <v>97</v>
      </c>
    </row>
    <row r="1136" spans="1:3">
      <c r="A1136" s="93" t="s">
        <v>792</v>
      </c>
      <c r="B1136">
        <v>178402</v>
      </c>
      <c r="C1136" t="s">
        <v>97</v>
      </c>
    </row>
    <row r="1137" spans="1:3">
      <c r="A1137" s="93" t="s">
        <v>793</v>
      </c>
      <c r="B1137">
        <v>178420</v>
      </c>
      <c r="C1137" t="s">
        <v>97</v>
      </c>
    </row>
    <row r="1138" spans="1:3">
      <c r="A1138" s="93" t="s">
        <v>1151</v>
      </c>
      <c r="B1138">
        <v>101693</v>
      </c>
      <c r="C1138" t="s">
        <v>97</v>
      </c>
    </row>
    <row r="1139" spans="1:3">
      <c r="A1139" s="93" t="s">
        <v>1152</v>
      </c>
      <c r="B1139">
        <v>101709</v>
      </c>
      <c r="C1139" t="s">
        <v>97</v>
      </c>
    </row>
    <row r="1140" spans="1:3">
      <c r="A1140" s="93" t="s">
        <v>2923</v>
      </c>
      <c r="B1140">
        <v>204185</v>
      </c>
      <c r="C1140" t="s">
        <v>97</v>
      </c>
    </row>
    <row r="1141" spans="1:3">
      <c r="A1141" s="93" t="s">
        <v>2381</v>
      </c>
      <c r="B1141">
        <v>181215</v>
      </c>
      <c r="C1141" t="s">
        <v>97</v>
      </c>
    </row>
    <row r="1142" spans="1:3">
      <c r="A1142" s="93" t="s">
        <v>1002</v>
      </c>
      <c r="B1142">
        <v>181394</v>
      </c>
      <c r="C1142" t="s">
        <v>97</v>
      </c>
    </row>
    <row r="1143" spans="1:3">
      <c r="A1143" s="93" t="s">
        <v>2388</v>
      </c>
      <c r="B1143">
        <v>181464</v>
      </c>
      <c r="C1143" t="s">
        <v>97</v>
      </c>
    </row>
    <row r="1144" spans="1:3">
      <c r="A1144" s="93" t="s">
        <v>1004</v>
      </c>
      <c r="B1144">
        <v>182281</v>
      </c>
      <c r="C1144" t="s">
        <v>97</v>
      </c>
    </row>
    <row r="1145" spans="1:3">
      <c r="A1145" s="93" t="s">
        <v>2003</v>
      </c>
      <c r="B1145">
        <v>161457</v>
      </c>
      <c r="C1145" t="s">
        <v>97</v>
      </c>
    </row>
    <row r="1146" spans="1:3">
      <c r="A1146" s="93" t="s">
        <v>2409</v>
      </c>
      <c r="B1146">
        <v>183071</v>
      </c>
      <c r="C1146" t="s">
        <v>97</v>
      </c>
    </row>
    <row r="1147" spans="1:3">
      <c r="A1147" s="93" t="s">
        <v>2407</v>
      </c>
      <c r="B1147">
        <v>183044</v>
      </c>
      <c r="C1147" t="s">
        <v>97</v>
      </c>
    </row>
    <row r="1148" spans="1:3">
      <c r="A1148" s="93" t="s">
        <v>1550</v>
      </c>
      <c r="B1148">
        <v>129941</v>
      </c>
      <c r="C1148" t="s">
        <v>97</v>
      </c>
    </row>
    <row r="1149" spans="1:3">
      <c r="A1149" s="93" t="s">
        <v>2494</v>
      </c>
      <c r="B1149">
        <v>187985</v>
      </c>
      <c r="C1149" t="s">
        <v>97</v>
      </c>
    </row>
    <row r="1150" spans="1:3">
      <c r="A1150" s="93" t="s">
        <v>1973</v>
      </c>
      <c r="B1150">
        <v>159939</v>
      </c>
      <c r="C1150" t="s">
        <v>97</v>
      </c>
    </row>
    <row r="1151" spans="1:3">
      <c r="A1151" s="93" t="s">
        <v>1154</v>
      </c>
      <c r="B1151">
        <v>101879</v>
      </c>
      <c r="C1151" t="s">
        <v>97</v>
      </c>
    </row>
    <row r="1152" spans="1:3">
      <c r="A1152" s="93" t="s">
        <v>2793</v>
      </c>
      <c r="B1152">
        <v>199111</v>
      </c>
      <c r="C1152" t="s">
        <v>97</v>
      </c>
    </row>
    <row r="1153" spans="1:3">
      <c r="A1153" s="93" t="s">
        <v>852</v>
      </c>
      <c r="B1153">
        <v>199120</v>
      </c>
      <c r="C1153" t="s">
        <v>97</v>
      </c>
    </row>
    <row r="1154" spans="1:3">
      <c r="A1154" s="93" t="s">
        <v>2794</v>
      </c>
      <c r="B1154">
        <v>199139</v>
      </c>
      <c r="C1154" t="s">
        <v>97</v>
      </c>
    </row>
    <row r="1155" spans="1:3">
      <c r="A1155" s="93" t="s">
        <v>853</v>
      </c>
      <c r="B1155">
        <v>199148</v>
      </c>
      <c r="C1155" t="s">
        <v>97</v>
      </c>
    </row>
    <row r="1156" spans="1:3">
      <c r="A1156" s="93" t="s">
        <v>2801</v>
      </c>
      <c r="B1156">
        <v>199281</v>
      </c>
      <c r="C1156" t="s">
        <v>97</v>
      </c>
    </row>
    <row r="1157" spans="1:3">
      <c r="A1157" s="93" t="s">
        <v>5133</v>
      </c>
      <c r="B1157">
        <v>199218</v>
      </c>
      <c r="C1157" t="s">
        <v>97</v>
      </c>
    </row>
    <row r="1158" spans="1:3">
      <c r="A1158" s="93" t="s">
        <v>2844</v>
      </c>
      <c r="B1158">
        <v>200280</v>
      </c>
      <c r="C1158" t="s">
        <v>97</v>
      </c>
    </row>
    <row r="1159" spans="1:3">
      <c r="A1159" s="93" t="s">
        <v>921</v>
      </c>
      <c r="B1159">
        <v>136172</v>
      </c>
      <c r="C1159" t="s">
        <v>97</v>
      </c>
    </row>
    <row r="1160" spans="1:3">
      <c r="A1160" s="93" t="s">
        <v>1076</v>
      </c>
      <c r="B1160">
        <v>227216</v>
      </c>
      <c r="C1160" t="s">
        <v>97</v>
      </c>
    </row>
    <row r="1161" spans="1:3">
      <c r="A1161" s="93" t="s">
        <v>1514</v>
      </c>
      <c r="B1161">
        <v>127741</v>
      </c>
      <c r="C1161" t="s">
        <v>97</v>
      </c>
    </row>
    <row r="1162" spans="1:3">
      <c r="A1162" s="93" t="s">
        <v>610</v>
      </c>
      <c r="B1162">
        <v>154095</v>
      </c>
      <c r="C1162" t="s">
        <v>97</v>
      </c>
    </row>
    <row r="1163" spans="1:3">
      <c r="A1163" s="93" t="s">
        <v>491</v>
      </c>
      <c r="B1163">
        <v>152080</v>
      </c>
      <c r="C1163" t="s">
        <v>97</v>
      </c>
    </row>
    <row r="1164" spans="1:3">
      <c r="A1164" s="93" t="s">
        <v>5134</v>
      </c>
      <c r="B1164">
        <v>207500</v>
      </c>
      <c r="C1164" t="s">
        <v>97</v>
      </c>
    </row>
    <row r="1165" spans="1:3">
      <c r="A1165" s="93" t="s">
        <v>602</v>
      </c>
      <c r="B1165">
        <v>209551</v>
      </c>
      <c r="C1165" t="s">
        <v>97</v>
      </c>
    </row>
    <row r="1166" spans="1:3">
      <c r="A1166" s="93" t="s">
        <v>687</v>
      </c>
      <c r="B1166">
        <v>215062</v>
      </c>
      <c r="C1166" t="s">
        <v>97</v>
      </c>
    </row>
    <row r="1167" spans="1:3">
      <c r="A1167" s="93" t="s">
        <v>3171</v>
      </c>
      <c r="B1167">
        <v>215266</v>
      </c>
      <c r="C1167" t="s">
        <v>97</v>
      </c>
    </row>
    <row r="1168" spans="1:3">
      <c r="A1168" s="93" t="s">
        <v>3172</v>
      </c>
      <c r="B1168">
        <v>215275</v>
      </c>
      <c r="C1168" t="s">
        <v>97</v>
      </c>
    </row>
    <row r="1169" spans="1:3">
      <c r="A1169" s="93" t="s">
        <v>3173</v>
      </c>
      <c r="B1169">
        <v>215284</v>
      </c>
      <c r="C1169" t="s">
        <v>97</v>
      </c>
    </row>
    <row r="1170" spans="1:3">
      <c r="A1170" s="93" t="s">
        <v>3174</v>
      </c>
      <c r="B1170">
        <v>215293</v>
      </c>
      <c r="C1170" t="s">
        <v>97</v>
      </c>
    </row>
    <row r="1171" spans="1:3">
      <c r="A1171" s="93" t="s">
        <v>3055</v>
      </c>
      <c r="B1171">
        <v>209825</v>
      </c>
      <c r="C1171" t="s">
        <v>97</v>
      </c>
    </row>
    <row r="1172" spans="1:3">
      <c r="A1172" s="93" t="s">
        <v>3635</v>
      </c>
      <c r="B1172">
        <v>236328</v>
      </c>
      <c r="C1172" t="s">
        <v>97</v>
      </c>
    </row>
    <row r="1173" spans="1:3">
      <c r="A1173" s="93" t="s">
        <v>1422</v>
      </c>
      <c r="B1173">
        <v>121691</v>
      </c>
      <c r="C1173" t="s">
        <v>97</v>
      </c>
    </row>
    <row r="1174" spans="1:3">
      <c r="A1174" s="93" t="s">
        <v>3233</v>
      </c>
      <c r="B1174">
        <v>217484</v>
      </c>
      <c r="C1174" t="s">
        <v>97</v>
      </c>
    </row>
    <row r="1175" spans="1:3">
      <c r="A1175" s="93" t="s">
        <v>802</v>
      </c>
      <c r="B1175">
        <v>233374</v>
      </c>
      <c r="C1175" t="s">
        <v>97</v>
      </c>
    </row>
    <row r="1176" spans="1:3">
      <c r="A1176" s="93" t="s">
        <v>601</v>
      </c>
      <c r="B1176">
        <v>195030</v>
      </c>
      <c r="C1176" t="s">
        <v>97</v>
      </c>
    </row>
    <row r="1177" spans="1:3">
      <c r="A1177" s="93" t="s">
        <v>1812</v>
      </c>
      <c r="B1177">
        <v>152336</v>
      </c>
      <c r="C1177" t="s">
        <v>97</v>
      </c>
    </row>
    <row r="1178" spans="1:3">
      <c r="A1178" s="93" t="s">
        <v>1906</v>
      </c>
      <c r="B1178">
        <v>155812</v>
      </c>
      <c r="C1178" t="s">
        <v>97</v>
      </c>
    </row>
    <row r="1179" spans="1:3">
      <c r="A1179" s="93" t="s">
        <v>813</v>
      </c>
      <c r="B1179">
        <v>122436</v>
      </c>
      <c r="C1179" t="s">
        <v>97</v>
      </c>
    </row>
    <row r="1180" spans="1:3">
      <c r="A1180" s="93" t="s">
        <v>600</v>
      </c>
      <c r="B1180">
        <v>122612</v>
      </c>
      <c r="C1180" t="s">
        <v>97</v>
      </c>
    </row>
    <row r="1181" spans="1:3">
      <c r="A1181" s="93" t="s">
        <v>3015</v>
      </c>
      <c r="B1181">
        <v>207722</v>
      </c>
      <c r="C1181" t="s">
        <v>97</v>
      </c>
    </row>
    <row r="1182" spans="1:3">
      <c r="A1182" s="93" t="s">
        <v>3192</v>
      </c>
      <c r="B1182">
        <v>215929</v>
      </c>
      <c r="C1182" t="s">
        <v>97</v>
      </c>
    </row>
    <row r="1183" spans="1:3">
      <c r="A1183" s="93" t="s">
        <v>3304</v>
      </c>
      <c r="B1183">
        <v>219383</v>
      </c>
      <c r="C1183" t="s">
        <v>97</v>
      </c>
    </row>
    <row r="1184" spans="1:3">
      <c r="A1184" s="93" t="s">
        <v>1162</v>
      </c>
      <c r="B1184">
        <v>102094</v>
      </c>
      <c r="C1184" t="s">
        <v>97</v>
      </c>
    </row>
    <row r="1185" spans="1:3">
      <c r="A1185" s="93" t="s">
        <v>5135</v>
      </c>
      <c r="B1185">
        <v>218645</v>
      </c>
      <c r="C1185" t="s">
        <v>97</v>
      </c>
    </row>
    <row r="1186" spans="1:3">
      <c r="A1186" s="93" t="s">
        <v>5136</v>
      </c>
      <c r="B1186">
        <v>218654</v>
      </c>
      <c r="C1186" t="s">
        <v>97</v>
      </c>
    </row>
    <row r="1187" spans="1:3">
      <c r="A1187" s="93" t="s">
        <v>3268</v>
      </c>
      <c r="B1187">
        <v>218663</v>
      </c>
      <c r="C1187" t="s">
        <v>97</v>
      </c>
    </row>
    <row r="1188" spans="1:3">
      <c r="A1188" s="93" t="s">
        <v>3275</v>
      </c>
      <c r="B1188">
        <v>218742</v>
      </c>
      <c r="C1188" t="s">
        <v>97</v>
      </c>
    </row>
    <row r="1189" spans="1:3">
      <c r="A1189" s="93" t="s">
        <v>3308</v>
      </c>
      <c r="B1189">
        <v>219471</v>
      </c>
      <c r="C1189" t="s">
        <v>97</v>
      </c>
    </row>
    <row r="1190" spans="1:3">
      <c r="A1190" s="93" t="s">
        <v>5137</v>
      </c>
      <c r="B1190">
        <v>137351</v>
      </c>
      <c r="C1190" t="s">
        <v>97</v>
      </c>
    </row>
    <row r="1191" spans="1:3">
      <c r="A1191" s="93" t="s">
        <v>5138</v>
      </c>
      <c r="B1191">
        <v>448840</v>
      </c>
      <c r="C1191" t="s">
        <v>97</v>
      </c>
    </row>
    <row r="1192" spans="1:3">
      <c r="A1192" s="93" t="s">
        <v>697</v>
      </c>
      <c r="B1192">
        <v>123961</v>
      </c>
      <c r="C1192" t="s">
        <v>97</v>
      </c>
    </row>
    <row r="1193" spans="1:3">
      <c r="A1193" s="93" t="s">
        <v>1801</v>
      </c>
      <c r="B1193">
        <v>151306</v>
      </c>
      <c r="C1193" t="s">
        <v>97</v>
      </c>
    </row>
    <row r="1194" spans="1:3">
      <c r="A1194" s="93" t="s">
        <v>2007</v>
      </c>
      <c r="B1194">
        <v>161554</v>
      </c>
      <c r="C1194" t="s">
        <v>97</v>
      </c>
    </row>
    <row r="1195" spans="1:3">
      <c r="A1195" s="93" t="s">
        <v>995</v>
      </c>
      <c r="B1195">
        <v>176372</v>
      </c>
      <c r="C1195" t="s">
        <v>97</v>
      </c>
    </row>
    <row r="1196" spans="1:3">
      <c r="A1196" s="93" t="s">
        <v>731</v>
      </c>
      <c r="B1196">
        <v>148584</v>
      </c>
      <c r="C1196" t="s">
        <v>97</v>
      </c>
    </row>
    <row r="1197" spans="1:3">
      <c r="A1197" s="93" t="s">
        <v>2247</v>
      </c>
      <c r="B1197">
        <v>174914</v>
      </c>
      <c r="C1197" t="s">
        <v>97</v>
      </c>
    </row>
    <row r="1198" spans="1:3">
      <c r="A1198" s="93" t="s">
        <v>2247</v>
      </c>
      <c r="B1198">
        <v>227863</v>
      </c>
      <c r="C1198" t="s">
        <v>97</v>
      </c>
    </row>
    <row r="1199" spans="1:3">
      <c r="A1199" s="93" t="s">
        <v>1928</v>
      </c>
      <c r="B1199">
        <v>156541</v>
      </c>
      <c r="C1199" t="s">
        <v>97</v>
      </c>
    </row>
    <row r="1200" spans="1:3">
      <c r="A1200" s="93" t="s">
        <v>1073</v>
      </c>
      <c r="B1200">
        <v>225627</v>
      </c>
      <c r="C1200" t="s">
        <v>97</v>
      </c>
    </row>
    <row r="1201" spans="1:3">
      <c r="A1201" s="93" t="s">
        <v>1232</v>
      </c>
      <c r="B1201">
        <v>107558</v>
      </c>
      <c r="C1201" t="s">
        <v>97</v>
      </c>
    </row>
    <row r="1202" spans="1:3">
      <c r="A1202" s="93" t="s">
        <v>1412</v>
      </c>
      <c r="B1202">
        <v>120883</v>
      </c>
      <c r="C1202" t="s">
        <v>97</v>
      </c>
    </row>
    <row r="1203" spans="1:3">
      <c r="A1203" s="93" t="s">
        <v>3169</v>
      </c>
      <c r="B1203">
        <v>215132</v>
      </c>
      <c r="C1203" t="s">
        <v>97</v>
      </c>
    </row>
    <row r="1204" spans="1:3">
      <c r="A1204" s="93" t="s">
        <v>2502</v>
      </c>
      <c r="B1204">
        <v>188182</v>
      </c>
      <c r="C1204" t="s">
        <v>97</v>
      </c>
    </row>
    <row r="1205" spans="1:3">
      <c r="A1205" s="93" t="s">
        <v>3798</v>
      </c>
      <c r="B1205">
        <v>243665</v>
      </c>
      <c r="C1205" t="s">
        <v>153</v>
      </c>
    </row>
    <row r="1206" spans="1:3">
      <c r="A1206" s="93" t="s">
        <v>1046</v>
      </c>
      <c r="B1206">
        <v>207971</v>
      </c>
      <c r="C1206" t="s">
        <v>97</v>
      </c>
    </row>
    <row r="1207" spans="1:3">
      <c r="A1207" s="93" t="s">
        <v>3524</v>
      </c>
      <c r="B1207">
        <v>230764</v>
      </c>
      <c r="C1207" t="s">
        <v>97</v>
      </c>
    </row>
    <row r="1208" spans="1:3">
      <c r="A1208" s="93" t="s">
        <v>665</v>
      </c>
      <c r="B1208">
        <v>231174</v>
      </c>
      <c r="C1208" t="s">
        <v>97</v>
      </c>
    </row>
    <row r="1209" spans="1:3">
      <c r="A1209" s="93" t="s">
        <v>864</v>
      </c>
      <c r="B1209">
        <v>234076</v>
      </c>
      <c r="C1209" t="s">
        <v>97</v>
      </c>
    </row>
    <row r="1210" spans="1:3">
      <c r="A1210" s="93" t="s">
        <v>3647</v>
      </c>
      <c r="B1210">
        <v>236948</v>
      </c>
      <c r="C1210" t="s">
        <v>97</v>
      </c>
    </row>
    <row r="1211" spans="1:3">
      <c r="A1211" s="93" t="s">
        <v>1147</v>
      </c>
      <c r="B1211">
        <v>101587</v>
      </c>
      <c r="C1211" t="s">
        <v>97</v>
      </c>
    </row>
    <row r="1212" spans="1:3">
      <c r="A1212" s="93" t="s">
        <v>1721</v>
      </c>
      <c r="B1212">
        <v>141334</v>
      </c>
      <c r="C1212" t="s">
        <v>97</v>
      </c>
    </row>
    <row r="1213" spans="1:3">
      <c r="A1213" s="93" t="s">
        <v>3718</v>
      </c>
      <c r="B1213">
        <v>240268</v>
      </c>
      <c r="C1213" t="s">
        <v>97</v>
      </c>
    </row>
    <row r="1214" spans="1:3">
      <c r="A1214" s="93" t="s">
        <v>870</v>
      </c>
      <c r="B1214">
        <v>240277</v>
      </c>
      <c r="C1214" t="s">
        <v>97</v>
      </c>
    </row>
    <row r="1215" spans="1:3">
      <c r="A1215" s="93" t="s">
        <v>3719</v>
      </c>
      <c r="B1215">
        <v>240329</v>
      </c>
      <c r="C1215" t="s">
        <v>97</v>
      </c>
    </row>
    <row r="1216" spans="1:3">
      <c r="A1216" s="93" t="s">
        <v>643</v>
      </c>
      <c r="B1216">
        <v>240444</v>
      </c>
      <c r="C1216" t="s">
        <v>97</v>
      </c>
    </row>
    <row r="1217" spans="1:3">
      <c r="A1217" s="93" t="s">
        <v>1103</v>
      </c>
      <c r="B1217">
        <v>240453</v>
      </c>
      <c r="C1217" t="s">
        <v>97</v>
      </c>
    </row>
    <row r="1218" spans="1:3">
      <c r="A1218" s="93" t="s">
        <v>1101</v>
      </c>
      <c r="B1218">
        <v>240365</v>
      </c>
      <c r="C1218" t="s">
        <v>97</v>
      </c>
    </row>
    <row r="1219" spans="1:3">
      <c r="A1219" s="93" t="s">
        <v>1102</v>
      </c>
      <c r="B1219">
        <v>240374</v>
      </c>
      <c r="C1219" t="s">
        <v>97</v>
      </c>
    </row>
    <row r="1220" spans="1:3">
      <c r="A1220" s="93" t="s">
        <v>1104</v>
      </c>
      <c r="B1220">
        <v>240462</v>
      </c>
      <c r="C1220" t="s">
        <v>97</v>
      </c>
    </row>
    <row r="1221" spans="1:3">
      <c r="A1221" s="93" t="s">
        <v>3723</v>
      </c>
      <c r="B1221">
        <v>240471</v>
      </c>
      <c r="C1221" t="s">
        <v>97</v>
      </c>
    </row>
    <row r="1222" spans="1:3">
      <c r="A1222" s="93" t="s">
        <v>3724</v>
      </c>
      <c r="B1222">
        <v>240480</v>
      </c>
      <c r="C1222" t="s">
        <v>97</v>
      </c>
    </row>
    <row r="1223" spans="1:3">
      <c r="A1223" s="93" t="s">
        <v>3721</v>
      </c>
      <c r="B1223">
        <v>240417</v>
      </c>
      <c r="C1223" t="s">
        <v>97</v>
      </c>
    </row>
    <row r="1224" spans="1:3">
      <c r="A1224" s="93" t="s">
        <v>3722</v>
      </c>
      <c r="B1224">
        <v>240426</v>
      </c>
      <c r="C1224" t="s">
        <v>97</v>
      </c>
    </row>
    <row r="1225" spans="1:3">
      <c r="A1225" s="93" t="s">
        <v>3715</v>
      </c>
      <c r="B1225">
        <v>240189</v>
      </c>
      <c r="C1225" t="s">
        <v>97</v>
      </c>
    </row>
    <row r="1226" spans="1:3">
      <c r="A1226" s="93" t="s">
        <v>3733</v>
      </c>
      <c r="B1226">
        <v>240727</v>
      </c>
      <c r="C1226" t="s">
        <v>97</v>
      </c>
    </row>
    <row r="1227" spans="1:3">
      <c r="A1227" s="93" t="s">
        <v>5139</v>
      </c>
      <c r="B1227">
        <v>206330</v>
      </c>
      <c r="C1227" t="s">
        <v>97</v>
      </c>
    </row>
    <row r="1228" spans="1:3">
      <c r="A1228" s="93" t="s">
        <v>3210</v>
      </c>
      <c r="B1228">
        <v>216524</v>
      </c>
      <c r="C1228" t="s">
        <v>97</v>
      </c>
    </row>
    <row r="1229" spans="1:3">
      <c r="A1229" s="93" t="s">
        <v>2977</v>
      </c>
      <c r="B1229">
        <v>206349</v>
      </c>
      <c r="C1229" t="s">
        <v>97</v>
      </c>
    </row>
    <row r="1230" spans="1:3">
      <c r="A1230" s="93" t="s">
        <v>3521</v>
      </c>
      <c r="B1230">
        <v>230728</v>
      </c>
      <c r="C1230" t="s">
        <v>97</v>
      </c>
    </row>
    <row r="1231" spans="1:3">
      <c r="A1231" s="93" t="s">
        <v>5140</v>
      </c>
      <c r="B1231">
        <v>197045</v>
      </c>
      <c r="C1231" t="s">
        <v>97</v>
      </c>
    </row>
    <row r="1232" spans="1:3">
      <c r="A1232" s="93" t="s">
        <v>825</v>
      </c>
      <c r="B1232">
        <v>141264</v>
      </c>
      <c r="C1232" t="s">
        <v>97</v>
      </c>
    </row>
    <row r="1233" spans="1:3">
      <c r="A1233" s="93" t="s">
        <v>5141</v>
      </c>
      <c r="B1233">
        <v>216542</v>
      </c>
      <c r="C1233" t="s">
        <v>97</v>
      </c>
    </row>
    <row r="1234" spans="1:3">
      <c r="A1234" s="93" t="s">
        <v>612</v>
      </c>
      <c r="B1234">
        <v>152600</v>
      </c>
      <c r="C1234" t="s">
        <v>97</v>
      </c>
    </row>
    <row r="1235" spans="1:3">
      <c r="A1235" s="93" t="s">
        <v>496</v>
      </c>
      <c r="B1235">
        <v>221999</v>
      </c>
      <c r="C1235" t="s">
        <v>97</v>
      </c>
    </row>
    <row r="1236" spans="1:3">
      <c r="A1236" s="93" t="s">
        <v>1462</v>
      </c>
      <c r="B1236">
        <v>123651</v>
      </c>
      <c r="C1236" t="s">
        <v>97</v>
      </c>
    </row>
    <row r="1237" spans="1:3">
      <c r="A1237" s="93" t="s">
        <v>2719</v>
      </c>
      <c r="B1237">
        <v>197133</v>
      </c>
      <c r="C1237" t="s">
        <v>97</v>
      </c>
    </row>
    <row r="1238" spans="1:3">
      <c r="A1238" s="93" t="s">
        <v>511</v>
      </c>
      <c r="B1238">
        <v>216597</v>
      </c>
      <c r="C1238" t="s">
        <v>97</v>
      </c>
    </row>
    <row r="1239" spans="1:3">
      <c r="A1239" s="93" t="s">
        <v>3600</v>
      </c>
      <c r="B1239">
        <v>234030</v>
      </c>
      <c r="C1239" t="s">
        <v>97</v>
      </c>
    </row>
    <row r="1240" spans="1:3">
      <c r="A1240" s="93" t="s">
        <v>3601</v>
      </c>
      <c r="B1240">
        <v>234085</v>
      </c>
      <c r="C1240" t="s">
        <v>97</v>
      </c>
    </row>
    <row r="1241" spans="1:3">
      <c r="A1241" s="93" t="s">
        <v>3598</v>
      </c>
      <c r="B1241">
        <v>233921</v>
      </c>
      <c r="C1241" t="s">
        <v>97</v>
      </c>
    </row>
    <row r="1242" spans="1:3">
      <c r="A1242" s="93" t="s">
        <v>3603</v>
      </c>
      <c r="B1242">
        <v>234155</v>
      </c>
      <c r="C1242" t="s">
        <v>153</v>
      </c>
    </row>
    <row r="1243" spans="1:3">
      <c r="A1243" s="93" t="s">
        <v>3604</v>
      </c>
      <c r="B1243">
        <v>234164</v>
      </c>
      <c r="C1243" t="s">
        <v>153</v>
      </c>
    </row>
    <row r="1244" spans="1:3">
      <c r="A1244" s="93" t="s">
        <v>5142</v>
      </c>
      <c r="B1244">
        <v>234173</v>
      </c>
      <c r="C1244" t="s">
        <v>97</v>
      </c>
    </row>
    <row r="1245" spans="1:3">
      <c r="A1245" s="93" t="s">
        <v>3712</v>
      </c>
      <c r="B1245">
        <v>240107</v>
      </c>
      <c r="C1245" t="s">
        <v>97</v>
      </c>
    </row>
    <row r="1246" spans="1:3">
      <c r="A1246" s="93" t="s">
        <v>3282</v>
      </c>
      <c r="B1246">
        <v>218919</v>
      </c>
      <c r="C1246" t="s">
        <v>153</v>
      </c>
    </row>
    <row r="1247" spans="1:3">
      <c r="A1247" s="93" t="s">
        <v>556</v>
      </c>
      <c r="B1247">
        <v>152673</v>
      </c>
      <c r="C1247" t="s">
        <v>97</v>
      </c>
    </row>
    <row r="1248" spans="1:3">
      <c r="A1248" s="93" t="s">
        <v>2722</v>
      </c>
      <c r="B1248">
        <v>197197</v>
      </c>
      <c r="C1248" t="s">
        <v>97</v>
      </c>
    </row>
    <row r="1249" spans="1:3">
      <c r="A1249" s="93" t="s">
        <v>528</v>
      </c>
      <c r="B1249">
        <v>199847</v>
      </c>
      <c r="C1249" t="s">
        <v>97</v>
      </c>
    </row>
    <row r="1250" spans="1:3">
      <c r="A1250" s="93" t="s">
        <v>567</v>
      </c>
      <c r="B1250">
        <v>206437</v>
      </c>
      <c r="C1250" t="s">
        <v>97</v>
      </c>
    </row>
    <row r="1251" spans="1:3">
      <c r="A1251" s="93" t="s">
        <v>5143</v>
      </c>
      <c r="B1251">
        <v>210304</v>
      </c>
      <c r="C1251" t="s">
        <v>97</v>
      </c>
    </row>
    <row r="1252" spans="1:3">
      <c r="A1252" s="93" t="s">
        <v>1654</v>
      </c>
      <c r="B1252">
        <v>138275</v>
      </c>
      <c r="C1252" t="s">
        <v>97</v>
      </c>
    </row>
    <row r="1253" spans="1:3">
      <c r="A1253" s="93" t="s">
        <v>2823</v>
      </c>
      <c r="B1253">
        <v>199865</v>
      </c>
      <c r="C1253" t="s">
        <v>97</v>
      </c>
    </row>
    <row r="1254" spans="1:3">
      <c r="A1254" s="93" t="s">
        <v>1862</v>
      </c>
      <c r="B1254">
        <v>154527</v>
      </c>
      <c r="C1254" t="s">
        <v>97</v>
      </c>
    </row>
    <row r="1255" spans="1:3">
      <c r="A1255" s="93" t="s">
        <v>3214</v>
      </c>
      <c r="B1255">
        <v>216667</v>
      </c>
      <c r="C1255" t="s">
        <v>97</v>
      </c>
    </row>
    <row r="1256" spans="1:3">
      <c r="A1256" s="93" t="s">
        <v>2020</v>
      </c>
      <c r="B1256">
        <v>162210</v>
      </c>
      <c r="C1256" t="s">
        <v>97</v>
      </c>
    </row>
    <row r="1257" spans="1:3">
      <c r="A1257" s="93" t="s">
        <v>865</v>
      </c>
      <c r="B1257">
        <v>234207</v>
      </c>
      <c r="C1257" t="s">
        <v>97</v>
      </c>
    </row>
    <row r="1258" spans="1:3">
      <c r="A1258" s="93" t="s">
        <v>2044</v>
      </c>
      <c r="B1258">
        <v>164216</v>
      </c>
      <c r="C1258" t="s">
        <v>97</v>
      </c>
    </row>
    <row r="1259" spans="1:3">
      <c r="A1259" s="93" t="s">
        <v>3646</v>
      </c>
      <c r="B1259">
        <v>236939</v>
      </c>
      <c r="C1259" t="s">
        <v>97</v>
      </c>
    </row>
    <row r="1260" spans="1:3">
      <c r="A1260" s="93" t="s">
        <v>676</v>
      </c>
      <c r="B1260">
        <v>179867</v>
      </c>
      <c r="C1260" t="s">
        <v>97</v>
      </c>
    </row>
    <row r="1261" spans="1:3">
      <c r="A1261" s="93" t="s">
        <v>5144</v>
      </c>
      <c r="B1261">
        <v>392840</v>
      </c>
      <c r="C1261" t="s">
        <v>97</v>
      </c>
    </row>
    <row r="1262" spans="1:3">
      <c r="A1262" s="93" t="s">
        <v>3506</v>
      </c>
      <c r="B1262">
        <v>229780</v>
      </c>
      <c r="C1262" t="s">
        <v>97</v>
      </c>
    </row>
    <row r="1263" spans="1:3">
      <c r="A1263" s="93" t="s">
        <v>3215</v>
      </c>
      <c r="B1263">
        <v>216694</v>
      </c>
      <c r="C1263" t="s">
        <v>97</v>
      </c>
    </row>
    <row r="1264" spans="1:3">
      <c r="A1264" s="93" t="s">
        <v>2723</v>
      </c>
      <c r="B1264">
        <v>197221</v>
      </c>
      <c r="C1264" t="s">
        <v>97</v>
      </c>
    </row>
    <row r="1265" spans="1:3">
      <c r="A1265" s="93" t="s">
        <v>1655</v>
      </c>
      <c r="B1265">
        <v>138293</v>
      </c>
      <c r="C1265" t="s">
        <v>97</v>
      </c>
    </row>
    <row r="1266" spans="1:3">
      <c r="A1266" s="93" t="s">
        <v>2345</v>
      </c>
      <c r="B1266">
        <v>179894</v>
      </c>
      <c r="C1266" t="s">
        <v>97</v>
      </c>
    </row>
    <row r="1267" spans="1:3">
      <c r="A1267" s="93" t="s">
        <v>5145</v>
      </c>
      <c r="B1267">
        <v>168218</v>
      </c>
      <c r="C1267" t="s">
        <v>97</v>
      </c>
    </row>
    <row r="1268" spans="1:3">
      <c r="A1268" s="93" t="s">
        <v>532</v>
      </c>
      <c r="B1268">
        <v>197230</v>
      </c>
      <c r="C1268" t="s">
        <v>97</v>
      </c>
    </row>
    <row r="1269" spans="1:3">
      <c r="A1269" s="93" t="s">
        <v>2131</v>
      </c>
      <c r="B1269">
        <v>168227</v>
      </c>
      <c r="C1269" t="s">
        <v>97</v>
      </c>
    </row>
    <row r="1270" spans="1:3">
      <c r="A1270" s="93" t="s">
        <v>1568</v>
      </c>
      <c r="B1270">
        <v>131098</v>
      </c>
      <c r="C1270" t="s">
        <v>97</v>
      </c>
    </row>
    <row r="1271" spans="1:3">
      <c r="A1271" s="93" t="s">
        <v>1720</v>
      </c>
      <c r="B1271">
        <v>141325</v>
      </c>
      <c r="C1271" t="s">
        <v>97</v>
      </c>
    </row>
    <row r="1272" spans="1:3">
      <c r="A1272" s="93" t="s">
        <v>599</v>
      </c>
      <c r="B1272">
        <v>130697</v>
      </c>
      <c r="C1272" t="s">
        <v>97</v>
      </c>
    </row>
    <row r="1273" spans="1:3">
      <c r="A1273" s="93" t="s">
        <v>3216</v>
      </c>
      <c r="B1273">
        <v>216764</v>
      </c>
      <c r="C1273" t="s">
        <v>97</v>
      </c>
    </row>
    <row r="1274" spans="1:3">
      <c r="A1274" s="93" t="s">
        <v>3680</v>
      </c>
      <c r="B1274">
        <v>237932</v>
      </c>
      <c r="C1274" t="s">
        <v>97</v>
      </c>
    </row>
    <row r="1275" spans="1:3">
      <c r="A1275" s="93" t="s">
        <v>3508</v>
      </c>
      <c r="B1275">
        <v>229814</v>
      </c>
      <c r="C1275" t="s">
        <v>97</v>
      </c>
    </row>
    <row r="1276" spans="1:3">
      <c r="A1276" s="93" t="s">
        <v>1097</v>
      </c>
      <c r="B1276">
        <v>238032</v>
      </c>
      <c r="C1276" t="s">
        <v>97</v>
      </c>
    </row>
    <row r="1277" spans="1:3">
      <c r="A1277" s="93" t="s">
        <v>3682</v>
      </c>
      <c r="B1277">
        <v>237969</v>
      </c>
      <c r="C1277" t="s">
        <v>97</v>
      </c>
    </row>
    <row r="1278" spans="1:3">
      <c r="A1278" s="93" t="s">
        <v>2832</v>
      </c>
      <c r="B1278">
        <v>200004</v>
      </c>
      <c r="C1278" t="s">
        <v>97</v>
      </c>
    </row>
    <row r="1279" spans="1:3">
      <c r="A1279" s="93" t="s">
        <v>1563</v>
      </c>
      <c r="B1279">
        <v>130776</v>
      </c>
      <c r="C1279" t="s">
        <v>97</v>
      </c>
    </row>
    <row r="1280" spans="1:3">
      <c r="A1280" s="93" t="s">
        <v>456</v>
      </c>
      <c r="B1280">
        <v>149772</v>
      </c>
      <c r="C1280" t="s">
        <v>97</v>
      </c>
    </row>
    <row r="1281" spans="1:3">
      <c r="A1281" s="93" t="s">
        <v>1957</v>
      </c>
      <c r="B1281">
        <v>157951</v>
      </c>
      <c r="C1281" t="s">
        <v>97</v>
      </c>
    </row>
    <row r="1282" spans="1:3">
      <c r="A1282" s="93" t="s">
        <v>613</v>
      </c>
      <c r="B1282">
        <v>172699</v>
      </c>
      <c r="C1282" t="s">
        <v>97</v>
      </c>
    </row>
    <row r="1283" spans="1:3">
      <c r="A1283" s="93" t="s">
        <v>2132</v>
      </c>
      <c r="B1283">
        <v>168254</v>
      </c>
      <c r="C1283" t="s">
        <v>97</v>
      </c>
    </row>
    <row r="1284" spans="1:3">
      <c r="A1284" s="93" t="s">
        <v>2506</v>
      </c>
      <c r="B1284">
        <v>188304</v>
      </c>
      <c r="C1284" t="s">
        <v>97</v>
      </c>
    </row>
    <row r="1285" spans="1:3">
      <c r="A1285" s="93" t="s">
        <v>3067</v>
      </c>
      <c r="B1285">
        <v>210429</v>
      </c>
      <c r="C1285" t="s">
        <v>97</v>
      </c>
    </row>
    <row r="1286" spans="1:3">
      <c r="A1286" s="93" t="s">
        <v>5146</v>
      </c>
      <c r="B1286">
        <v>128391</v>
      </c>
      <c r="C1286" t="s">
        <v>97</v>
      </c>
    </row>
    <row r="1287" spans="1:3">
      <c r="A1287" s="93" t="s">
        <v>3649</v>
      </c>
      <c r="B1287">
        <v>237011</v>
      </c>
      <c r="C1287" t="s">
        <v>97</v>
      </c>
    </row>
    <row r="1288" spans="1:3">
      <c r="A1288" s="93" t="s">
        <v>2133</v>
      </c>
      <c r="B1288">
        <v>168263</v>
      </c>
      <c r="C1288" t="s">
        <v>97</v>
      </c>
    </row>
    <row r="1289" spans="1:3">
      <c r="A1289" s="93" t="s">
        <v>2346</v>
      </c>
      <c r="B1289">
        <v>179946</v>
      </c>
      <c r="C1289" t="s">
        <v>97</v>
      </c>
    </row>
    <row r="1290" spans="1:3">
      <c r="A1290" s="93" t="s">
        <v>2346</v>
      </c>
      <c r="B1290">
        <v>216807</v>
      </c>
      <c r="C1290" t="s">
        <v>97</v>
      </c>
    </row>
    <row r="1291" spans="1:3">
      <c r="A1291" s="93" t="s">
        <v>2346</v>
      </c>
      <c r="B1291">
        <v>230807</v>
      </c>
      <c r="C1291" t="s">
        <v>97</v>
      </c>
    </row>
    <row r="1292" spans="1:3">
      <c r="A1292" s="93" t="s">
        <v>1482</v>
      </c>
      <c r="B1292">
        <v>125727</v>
      </c>
      <c r="C1292" t="s">
        <v>97</v>
      </c>
    </row>
    <row r="1293" spans="1:3">
      <c r="A1293" s="93" t="s">
        <v>1788</v>
      </c>
      <c r="B1293">
        <v>149781</v>
      </c>
      <c r="C1293" t="s">
        <v>97</v>
      </c>
    </row>
    <row r="1294" spans="1:3">
      <c r="A1294" s="93" t="s">
        <v>1788</v>
      </c>
      <c r="B1294">
        <v>168281</v>
      </c>
      <c r="C1294" t="s">
        <v>97</v>
      </c>
    </row>
    <row r="1295" spans="1:3">
      <c r="A1295" s="93" t="s">
        <v>5147</v>
      </c>
      <c r="B1295">
        <v>238078</v>
      </c>
      <c r="C1295" t="s">
        <v>97</v>
      </c>
    </row>
    <row r="1296" spans="1:3">
      <c r="A1296" s="93" t="s">
        <v>3651</v>
      </c>
      <c r="B1296">
        <v>237057</v>
      </c>
      <c r="C1296" t="s">
        <v>97</v>
      </c>
    </row>
    <row r="1297" spans="1:3">
      <c r="A1297" s="93" t="s">
        <v>1483</v>
      </c>
      <c r="B1297">
        <v>125763</v>
      </c>
      <c r="C1297" t="s">
        <v>97</v>
      </c>
    </row>
    <row r="1298" spans="1:3">
      <c r="A1298" s="93" t="s">
        <v>3652</v>
      </c>
      <c r="B1298">
        <v>237066</v>
      </c>
      <c r="C1298" t="s">
        <v>97</v>
      </c>
    </row>
    <row r="1299" spans="1:3">
      <c r="A1299" s="93" t="s">
        <v>1914</v>
      </c>
      <c r="B1299">
        <v>156125</v>
      </c>
      <c r="C1299" t="s">
        <v>97</v>
      </c>
    </row>
    <row r="1300" spans="1:3">
      <c r="A1300" s="93" t="s">
        <v>5148</v>
      </c>
      <c r="B1300">
        <v>216852</v>
      </c>
      <c r="C1300" t="s">
        <v>97</v>
      </c>
    </row>
    <row r="1301" spans="1:3">
      <c r="A1301" s="93" t="s">
        <v>762</v>
      </c>
      <c r="B1301">
        <v>206491</v>
      </c>
      <c r="C1301" t="s">
        <v>153</v>
      </c>
    </row>
    <row r="1302" spans="1:3">
      <c r="A1302" s="93" t="s">
        <v>1086</v>
      </c>
      <c r="B1302">
        <v>229887</v>
      </c>
      <c r="C1302" t="s">
        <v>153</v>
      </c>
    </row>
    <row r="1303" spans="1:3">
      <c r="A1303" s="93" t="s">
        <v>3222</v>
      </c>
      <c r="B1303">
        <v>216931</v>
      </c>
      <c r="C1303" t="s">
        <v>97</v>
      </c>
    </row>
    <row r="1304" spans="1:3">
      <c r="A1304" s="93" t="s">
        <v>3066</v>
      </c>
      <c r="B1304">
        <v>210401</v>
      </c>
      <c r="C1304" t="s">
        <v>97</v>
      </c>
    </row>
    <row r="1305" spans="1:3">
      <c r="A1305" s="93" t="s">
        <v>2280</v>
      </c>
      <c r="B1305">
        <v>176479</v>
      </c>
      <c r="C1305" t="s">
        <v>97</v>
      </c>
    </row>
    <row r="1306" spans="1:3">
      <c r="A1306" s="93" t="s">
        <v>2347</v>
      </c>
      <c r="B1306">
        <v>179955</v>
      </c>
      <c r="C1306" t="s">
        <v>97</v>
      </c>
    </row>
    <row r="1307" spans="1:3">
      <c r="A1307" s="93" t="s">
        <v>2481</v>
      </c>
      <c r="B1307">
        <v>187444</v>
      </c>
      <c r="C1307" t="s">
        <v>97</v>
      </c>
    </row>
    <row r="1308" spans="1:3">
      <c r="A1308" s="93" t="s">
        <v>785</v>
      </c>
      <c r="B1308">
        <v>154590</v>
      </c>
      <c r="C1308" t="s">
        <v>97</v>
      </c>
    </row>
    <row r="1309" spans="1:3">
      <c r="A1309" s="93" t="s">
        <v>2348</v>
      </c>
      <c r="B1309">
        <v>179964</v>
      </c>
      <c r="C1309" t="s">
        <v>97</v>
      </c>
    </row>
    <row r="1310" spans="1:3">
      <c r="A1310" s="93" t="s">
        <v>5149</v>
      </c>
      <c r="B1310">
        <v>107877</v>
      </c>
      <c r="C1310" t="s">
        <v>97</v>
      </c>
    </row>
    <row r="1311" spans="1:3">
      <c r="A1311" s="93" t="s">
        <v>2135</v>
      </c>
      <c r="B1311">
        <v>168342</v>
      </c>
      <c r="C1311" t="s">
        <v>97</v>
      </c>
    </row>
    <row r="1312" spans="1:3">
      <c r="A1312" s="93" t="s">
        <v>2980</v>
      </c>
      <c r="B1312">
        <v>206507</v>
      </c>
      <c r="C1312" t="s">
        <v>97</v>
      </c>
    </row>
    <row r="1313" spans="1:3">
      <c r="A1313" s="93" t="s">
        <v>3224</v>
      </c>
      <c r="B1313">
        <v>217013</v>
      </c>
      <c r="C1313" t="s">
        <v>97</v>
      </c>
    </row>
    <row r="1314" spans="1:3">
      <c r="A1314" s="93" t="s">
        <v>2829</v>
      </c>
      <c r="B1314">
        <v>199962</v>
      </c>
      <c r="C1314" t="s">
        <v>97</v>
      </c>
    </row>
    <row r="1315" spans="1:3">
      <c r="A1315" s="93" t="s">
        <v>2256</v>
      </c>
      <c r="B1315">
        <v>175272</v>
      </c>
      <c r="C1315" t="s">
        <v>97</v>
      </c>
    </row>
    <row r="1316" spans="1:3">
      <c r="A1316" s="93" t="s">
        <v>2831</v>
      </c>
      <c r="B1316">
        <v>199999</v>
      </c>
      <c r="C1316" t="s">
        <v>153</v>
      </c>
    </row>
    <row r="1317" spans="1:3">
      <c r="A1317" s="93" t="s">
        <v>3284</v>
      </c>
      <c r="B1317">
        <v>218964</v>
      </c>
      <c r="C1317" t="s">
        <v>97</v>
      </c>
    </row>
    <row r="1318" spans="1:3">
      <c r="A1318" s="93" t="s">
        <v>3720</v>
      </c>
      <c r="B1318">
        <v>240338</v>
      </c>
      <c r="C1318" t="s">
        <v>97</v>
      </c>
    </row>
    <row r="1319" spans="1:3">
      <c r="A1319" s="93" t="s">
        <v>2982</v>
      </c>
      <c r="B1319">
        <v>206525</v>
      </c>
      <c r="C1319" t="s">
        <v>97</v>
      </c>
    </row>
    <row r="1320" spans="1:3">
      <c r="A1320" s="93" t="s">
        <v>3285</v>
      </c>
      <c r="B1320">
        <v>218973</v>
      </c>
      <c r="C1320" t="s">
        <v>97</v>
      </c>
    </row>
    <row r="1321" spans="1:3">
      <c r="A1321" s="93" t="s">
        <v>1484</v>
      </c>
      <c r="B1321">
        <v>125897</v>
      </c>
      <c r="C1321" t="s">
        <v>97</v>
      </c>
    </row>
    <row r="1322" spans="1:3">
      <c r="A1322" s="93" t="s">
        <v>2136</v>
      </c>
      <c r="B1322">
        <v>168421</v>
      </c>
      <c r="C1322" t="s">
        <v>97</v>
      </c>
    </row>
    <row r="1323" spans="1:3">
      <c r="A1323" s="93" t="s">
        <v>2137</v>
      </c>
      <c r="B1323">
        <v>168430</v>
      </c>
      <c r="C1323" t="s">
        <v>97</v>
      </c>
    </row>
    <row r="1324" spans="1:3">
      <c r="A1324" s="93" t="s">
        <v>1041</v>
      </c>
      <c r="B1324">
        <v>206604</v>
      </c>
      <c r="C1324" t="s">
        <v>97</v>
      </c>
    </row>
    <row r="1325" spans="1:3">
      <c r="A1325" s="93" t="s">
        <v>2984</v>
      </c>
      <c r="B1325">
        <v>206622</v>
      </c>
      <c r="C1325" t="s">
        <v>97</v>
      </c>
    </row>
    <row r="1326" spans="1:3">
      <c r="A1326" s="93" t="s">
        <v>720</v>
      </c>
      <c r="B1326">
        <v>160904</v>
      </c>
      <c r="C1326" t="s">
        <v>153</v>
      </c>
    </row>
    <row r="1327" spans="1:3">
      <c r="A1327" s="93" t="s">
        <v>914</v>
      </c>
      <c r="B1327">
        <v>130794</v>
      </c>
      <c r="C1327" t="s">
        <v>97</v>
      </c>
    </row>
    <row r="1328" spans="1:3">
      <c r="A1328" s="93" t="s">
        <v>2731</v>
      </c>
      <c r="B1328">
        <v>197708</v>
      </c>
      <c r="C1328" t="s">
        <v>97</v>
      </c>
    </row>
    <row r="1329" spans="1:3">
      <c r="A1329" s="93" t="s">
        <v>2395</v>
      </c>
      <c r="B1329">
        <v>181853</v>
      </c>
      <c r="C1329" t="s">
        <v>97</v>
      </c>
    </row>
    <row r="1330" spans="1:3">
      <c r="A1330" s="93" t="s">
        <v>5150</v>
      </c>
      <c r="B1330">
        <v>217059</v>
      </c>
      <c r="C1330" t="s">
        <v>97</v>
      </c>
    </row>
    <row r="1331" spans="1:3">
      <c r="A1331" s="93" t="s">
        <v>2346</v>
      </c>
      <c r="B1331">
        <v>179946</v>
      </c>
      <c r="C1331" t="s">
        <v>97</v>
      </c>
    </row>
    <row r="1332" spans="1:3">
      <c r="A1332" s="93" t="s">
        <v>2346</v>
      </c>
      <c r="B1332">
        <v>216807</v>
      </c>
      <c r="C1332" t="s">
        <v>97</v>
      </c>
    </row>
    <row r="1333" spans="1:3">
      <c r="A1333" s="93" t="s">
        <v>2346</v>
      </c>
      <c r="B1333">
        <v>230807</v>
      </c>
      <c r="C1333" t="s">
        <v>97</v>
      </c>
    </row>
    <row r="1334" spans="1:3">
      <c r="A1334" s="93" t="s">
        <v>1482</v>
      </c>
      <c r="B1334">
        <v>125727</v>
      </c>
      <c r="C1334" t="s">
        <v>97</v>
      </c>
    </row>
    <row r="1335" spans="1:3">
      <c r="A1335" s="93" t="s">
        <v>1788</v>
      </c>
      <c r="B1335">
        <v>149781</v>
      </c>
      <c r="C1335" t="s">
        <v>97</v>
      </c>
    </row>
    <row r="1336" spans="1:3">
      <c r="A1336" s="93" t="s">
        <v>1788</v>
      </c>
      <c r="B1336">
        <v>168281</v>
      </c>
      <c r="C1336" t="s">
        <v>97</v>
      </c>
    </row>
    <row r="1337" spans="1:3">
      <c r="A1337" s="93" t="s">
        <v>5147</v>
      </c>
      <c r="B1337">
        <v>238078</v>
      </c>
      <c r="C1337" t="s">
        <v>97</v>
      </c>
    </row>
    <row r="1338" spans="1:3">
      <c r="A1338" s="93" t="s">
        <v>5151</v>
      </c>
      <c r="B1338">
        <v>168290</v>
      </c>
      <c r="C1338" t="s">
        <v>97</v>
      </c>
    </row>
    <row r="1339" spans="1:3">
      <c r="A1339" s="93" t="s">
        <v>3651</v>
      </c>
      <c r="B1339">
        <v>237057</v>
      </c>
      <c r="C1339" t="s">
        <v>97</v>
      </c>
    </row>
    <row r="1340" spans="1:3">
      <c r="A1340" s="93" t="s">
        <v>1483</v>
      </c>
      <c r="B1340">
        <v>125763</v>
      </c>
      <c r="C1340" t="s">
        <v>97</v>
      </c>
    </row>
    <row r="1341" spans="1:3">
      <c r="A1341" s="93" t="s">
        <v>3652</v>
      </c>
      <c r="B1341">
        <v>237066</v>
      </c>
      <c r="C1341" t="s">
        <v>97</v>
      </c>
    </row>
    <row r="1342" spans="1:3">
      <c r="A1342" s="93" t="s">
        <v>1914</v>
      </c>
      <c r="B1342">
        <v>156125</v>
      </c>
      <c r="C1342" t="s">
        <v>97</v>
      </c>
    </row>
    <row r="1343" spans="1:3">
      <c r="A1343" s="93" t="s">
        <v>5148</v>
      </c>
      <c r="B1343">
        <v>216852</v>
      </c>
      <c r="C1343" t="s">
        <v>97</v>
      </c>
    </row>
    <row r="1344" spans="1:3">
      <c r="A1344" s="93" t="s">
        <v>762</v>
      </c>
      <c r="B1344">
        <v>206491</v>
      </c>
      <c r="C1344" t="s">
        <v>153</v>
      </c>
    </row>
    <row r="1345" spans="1:3">
      <c r="A1345" s="93" t="s">
        <v>1086</v>
      </c>
      <c r="B1345">
        <v>229887</v>
      </c>
      <c r="C1345" t="s">
        <v>153</v>
      </c>
    </row>
    <row r="1346" spans="1:3">
      <c r="A1346" s="93" t="s">
        <v>3222</v>
      </c>
      <c r="B1346">
        <v>216931</v>
      </c>
      <c r="C1346" t="s">
        <v>97</v>
      </c>
    </row>
    <row r="1347" spans="1:3">
      <c r="A1347" s="93" t="s">
        <v>3066</v>
      </c>
      <c r="B1347">
        <v>210401</v>
      </c>
      <c r="C1347" t="s">
        <v>97</v>
      </c>
    </row>
    <row r="1348" spans="1:3">
      <c r="A1348" s="93" t="s">
        <v>2280</v>
      </c>
      <c r="B1348">
        <v>176479</v>
      </c>
      <c r="C1348" t="s">
        <v>97</v>
      </c>
    </row>
    <row r="1349" spans="1:3">
      <c r="A1349" s="93" t="s">
        <v>2347</v>
      </c>
      <c r="B1349">
        <v>179955</v>
      </c>
      <c r="C1349" t="s">
        <v>97</v>
      </c>
    </row>
    <row r="1350" spans="1:3">
      <c r="A1350" s="93" t="s">
        <v>2481</v>
      </c>
      <c r="B1350">
        <v>187444</v>
      </c>
      <c r="C1350" t="s">
        <v>97</v>
      </c>
    </row>
    <row r="1351" spans="1:3">
      <c r="A1351" s="93" t="s">
        <v>785</v>
      </c>
      <c r="B1351">
        <v>154590</v>
      </c>
      <c r="C1351" t="s">
        <v>97</v>
      </c>
    </row>
    <row r="1352" spans="1:3">
      <c r="A1352" s="93" t="s">
        <v>2348</v>
      </c>
      <c r="B1352">
        <v>179964</v>
      </c>
      <c r="C1352" t="s">
        <v>97</v>
      </c>
    </row>
    <row r="1353" spans="1:3">
      <c r="A1353" s="93" t="s">
        <v>5149</v>
      </c>
      <c r="B1353">
        <v>107877</v>
      </c>
      <c r="C1353" t="s">
        <v>97</v>
      </c>
    </row>
    <row r="1354" spans="1:3">
      <c r="A1354" s="93" t="s">
        <v>2135</v>
      </c>
      <c r="B1354">
        <v>168342</v>
      </c>
      <c r="C1354" t="s">
        <v>97</v>
      </c>
    </row>
    <row r="1355" spans="1:3">
      <c r="A1355" s="93" t="s">
        <v>2980</v>
      </c>
      <c r="B1355">
        <v>206507</v>
      </c>
      <c r="C1355" t="s">
        <v>97</v>
      </c>
    </row>
    <row r="1356" spans="1:3">
      <c r="A1356" s="93" t="s">
        <v>3224</v>
      </c>
      <c r="B1356">
        <v>217013</v>
      </c>
      <c r="C1356" t="s">
        <v>97</v>
      </c>
    </row>
    <row r="1357" spans="1:3">
      <c r="A1357" s="93" t="s">
        <v>2829</v>
      </c>
      <c r="B1357">
        <v>199962</v>
      </c>
      <c r="C1357" t="s">
        <v>97</v>
      </c>
    </row>
    <row r="1358" spans="1:3">
      <c r="A1358" s="93" t="s">
        <v>2256</v>
      </c>
      <c r="B1358">
        <v>175272</v>
      </c>
      <c r="C1358" t="s">
        <v>97</v>
      </c>
    </row>
    <row r="1359" spans="1:3">
      <c r="A1359" s="93" t="s">
        <v>2831</v>
      </c>
      <c r="B1359">
        <v>199999</v>
      </c>
      <c r="C1359" t="s">
        <v>153</v>
      </c>
    </row>
    <row r="1360" spans="1:3">
      <c r="A1360" s="93" t="s">
        <v>3284</v>
      </c>
      <c r="B1360">
        <v>218964</v>
      </c>
      <c r="C1360" t="s">
        <v>97</v>
      </c>
    </row>
    <row r="1361" spans="1:3">
      <c r="A1361" s="93" t="s">
        <v>3720</v>
      </c>
      <c r="B1361">
        <v>240338</v>
      </c>
      <c r="C1361" t="s">
        <v>97</v>
      </c>
    </row>
    <row r="1362" spans="1:3">
      <c r="A1362" s="93" t="s">
        <v>2982</v>
      </c>
      <c r="B1362">
        <v>206525</v>
      </c>
      <c r="C1362" t="s">
        <v>97</v>
      </c>
    </row>
    <row r="1363" spans="1:3">
      <c r="A1363" s="93" t="s">
        <v>3285</v>
      </c>
      <c r="B1363">
        <v>218973</v>
      </c>
      <c r="C1363" t="s">
        <v>97</v>
      </c>
    </row>
    <row r="1364" spans="1:3">
      <c r="A1364" s="93" t="s">
        <v>1484</v>
      </c>
      <c r="B1364">
        <v>125897</v>
      </c>
      <c r="C1364" t="s">
        <v>97</v>
      </c>
    </row>
    <row r="1365" spans="1:3">
      <c r="A1365" s="93" t="s">
        <v>2136</v>
      </c>
      <c r="B1365">
        <v>168421</v>
      </c>
      <c r="C1365" t="s">
        <v>97</v>
      </c>
    </row>
    <row r="1366" spans="1:3">
      <c r="A1366" s="93" t="s">
        <v>2137</v>
      </c>
      <c r="B1366">
        <v>168430</v>
      </c>
      <c r="C1366" t="s">
        <v>97</v>
      </c>
    </row>
    <row r="1367" spans="1:3">
      <c r="A1367" s="93" t="s">
        <v>1041</v>
      </c>
      <c r="B1367">
        <v>206604</v>
      </c>
      <c r="C1367" t="s">
        <v>97</v>
      </c>
    </row>
    <row r="1368" spans="1:3">
      <c r="A1368" s="93" t="s">
        <v>2984</v>
      </c>
      <c r="B1368">
        <v>206622</v>
      </c>
      <c r="C1368" t="s">
        <v>97</v>
      </c>
    </row>
    <row r="1369" spans="1:3">
      <c r="A1369" s="93" t="s">
        <v>720</v>
      </c>
      <c r="B1369">
        <v>160904</v>
      </c>
      <c r="C1369" t="s">
        <v>153</v>
      </c>
    </row>
    <row r="1370" spans="1:3">
      <c r="A1370" s="93" t="s">
        <v>914</v>
      </c>
      <c r="B1370">
        <v>130794</v>
      </c>
      <c r="C1370" t="s">
        <v>97</v>
      </c>
    </row>
    <row r="1371" spans="1:3">
      <c r="A1371" s="93" t="s">
        <v>2731</v>
      </c>
      <c r="B1371">
        <v>197708</v>
      </c>
      <c r="C1371" t="s">
        <v>97</v>
      </c>
    </row>
    <row r="1372" spans="1:3">
      <c r="A1372" s="93" t="s">
        <v>2395</v>
      </c>
      <c r="B1372">
        <v>181853</v>
      </c>
      <c r="C1372" t="s">
        <v>97</v>
      </c>
    </row>
    <row r="1373" spans="1:3">
      <c r="A1373" s="93" t="s">
        <v>5150</v>
      </c>
      <c r="B1373">
        <v>217059</v>
      </c>
      <c r="C1373" t="s">
        <v>97</v>
      </c>
    </row>
  </sheetData>
  <autoFilter ref="A1:C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02"/>
  <sheetViews>
    <sheetView workbookViewId="0"/>
  </sheetViews>
  <sheetFormatPr defaultRowHeight="15"/>
  <cols>
    <col min="6" max="6" width="100.7109375" style="19" customWidth="1"/>
  </cols>
  <sheetData>
    <row r="1" spans="1:6">
      <c r="A1" s="93" t="s">
        <v>5158</v>
      </c>
      <c r="B1" s="93" t="s">
        <v>5153</v>
      </c>
      <c r="C1" s="93" t="s">
        <v>5154</v>
      </c>
      <c r="D1" s="93" t="s">
        <v>5155</v>
      </c>
      <c r="E1" s="93" t="s">
        <v>5156</v>
      </c>
      <c r="F1" s="93" t="s">
        <v>5157</v>
      </c>
    </row>
    <row r="2" spans="1:6">
      <c r="A2" s="93" t="s">
        <v>5159</v>
      </c>
      <c r="B2">
        <v>6.53682655</v>
      </c>
      <c r="C2">
        <v>0.02871204</v>
      </c>
      <c r="D2">
        <v>-36.195392</v>
      </c>
      <c r="E2">
        <v>1</v>
      </c>
      <c r="F2" s="19" t="s">
        <v>664</v>
      </c>
    </row>
    <row r="3" spans="1:6">
      <c r="A3" s="93" t="s">
        <v>5160</v>
      </c>
      <c r="B3">
        <v>2.99142044</v>
      </c>
      <c r="C3">
        <v>0.0040867</v>
      </c>
      <c r="D3">
        <v>-8.647313199999999</v>
      </c>
      <c r="E3">
        <v>1</v>
      </c>
      <c r="F3" s="19" t="s">
        <v>721</v>
      </c>
    </row>
    <row r="4" spans="1:6">
      <c r="A4" s="93" t="s">
        <v>5161</v>
      </c>
      <c r="B4">
        <v>3.255046</v>
      </c>
      <c r="C4">
        <v>-1.7E-05</v>
      </c>
      <c r="D4">
        <v>-8.711164999999999</v>
      </c>
      <c r="E4">
        <v>1</v>
      </c>
      <c r="F4" s="19" t="s">
        <v>501</v>
      </c>
    </row>
    <row r="5" spans="1:6">
      <c r="A5" s="93" t="s">
        <v>5162</v>
      </c>
      <c r="B5">
        <v>4.14755674</v>
      </c>
      <c r="C5">
        <v>0.05822713</v>
      </c>
      <c r="D5">
        <v>-69.306681</v>
      </c>
      <c r="E5">
        <v>1</v>
      </c>
      <c r="F5" s="19" t="s">
        <v>1163</v>
      </c>
    </row>
    <row r="6" spans="1:6">
      <c r="A6" s="93" t="s">
        <v>5163</v>
      </c>
      <c r="B6">
        <v>3.26553177</v>
      </c>
      <c r="C6">
        <v>0.01733066</v>
      </c>
      <c r="D6">
        <v>-22.505994</v>
      </c>
      <c r="E6">
        <v>1</v>
      </c>
      <c r="F6" s="19" t="s">
        <v>725</v>
      </c>
    </row>
    <row r="7" spans="1:6">
      <c r="A7" s="93" t="s">
        <v>5164</v>
      </c>
      <c r="B7">
        <v>2.28398036</v>
      </c>
      <c r="C7">
        <v>0.0021832</v>
      </c>
      <c r="D7">
        <v>-12.322287</v>
      </c>
      <c r="E7">
        <v>1</v>
      </c>
      <c r="F7" s="19" t="s">
        <v>807</v>
      </c>
    </row>
    <row r="8" spans="1:6">
      <c r="A8" s="93" t="s">
        <v>5165</v>
      </c>
      <c r="B8">
        <v>6.4915613</v>
      </c>
      <c r="C8">
        <v>0.00144846</v>
      </c>
      <c r="D8">
        <v>-19.476632</v>
      </c>
      <c r="E8">
        <v>1</v>
      </c>
      <c r="F8" s="19" t="s">
        <v>581</v>
      </c>
    </row>
    <row r="9" spans="1:6">
      <c r="A9" s="93" t="s">
        <v>5166</v>
      </c>
      <c r="B9">
        <v>3.25156912</v>
      </c>
      <c r="C9">
        <v>0.03651702</v>
      </c>
      <c r="D9">
        <v>-50.255576</v>
      </c>
      <c r="E9">
        <v>1</v>
      </c>
      <c r="F9" s="19" t="s">
        <v>516</v>
      </c>
    </row>
    <row r="10" spans="1:6">
      <c r="A10" s="93" t="s">
        <v>5167</v>
      </c>
      <c r="B10">
        <v>7.635207</v>
      </c>
      <c r="C10">
        <v>0.03120067</v>
      </c>
      <c r="D10">
        <v>-67.610433</v>
      </c>
      <c r="E10">
        <v>1</v>
      </c>
      <c r="F10" s="19" t="s">
        <v>523</v>
      </c>
    </row>
    <row r="11" spans="1:6">
      <c r="A11" s="93" t="s">
        <v>5168</v>
      </c>
      <c r="B11">
        <v>2.90579736</v>
      </c>
      <c r="C11">
        <v>0.00409048</v>
      </c>
      <c r="D11">
        <v>-17.403691</v>
      </c>
      <c r="E11">
        <v>1</v>
      </c>
      <c r="F11" s="19" t="s">
        <v>520</v>
      </c>
    </row>
    <row r="12" spans="1:6">
      <c r="A12" s="93" t="s">
        <v>5169</v>
      </c>
      <c r="B12">
        <v>4.77091002</v>
      </c>
      <c r="C12">
        <v>0.01830799</v>
      </c>
      <c r="D12">
        <v>-35.592279</v>
      </c>
      <c r="E12">
        <v>1</v>
      </c>
      <c r="F12" s="19" t="s">
        <v>600</v>
      </c>
    </row>
    <row r="13" spans="1:6">
      <c r="A13" s="93" t="s">
        <v>5170</v>
      </c>
      <c r="B13">
        <v>3.91651882</v>
      </c>
      <c r="C13">
        <v>0.01094225</v>
      </c>
      <c r="D13">
        <v>-30.223015</v>
      </c>
      <c r="E13">
        <v>1</v>
      </c>
      <c r="F13" s="19" t="s">
        <v>697</v>
      </c>
    </row>
    <row r="14" spans="1:6">
      <c r="A14" s="93" t="s">
        <v>5171</v>
      </c>
      <c r="B14">
        <v>1.20117434</v>
      </c>
      <c r="C14">
        <v>0.00205461</v>
      </c>
      <c r="D14">
        <v>-7.8698178</v>
      </c>
      <c r="E14">
        <v>1</v>
      </c>
      <c r="F14" s="19" t="s">
        <v>726</v>
      </c>
    </row>
    <row r="15" spans="1:6">
      <c r="A15" s="93" t="s">
        <v>5172</v>
      </c>
      <c r="B15">
        <v>1.58244239</v>
      </c>
      <c r="C15">
        <v>0.01297444</v>
      </c>
      <c r="D15">
        <v>-17.6327</v>
      </c>
      <c r="E15">
        <v>1</v>
      </c>
      <c r="F15" s="19" t="s">
        <v>909</v>
      </c>
    </row>
    <row r="16" spans="1:6">
      <c r="A16" s="93" t="s">
        <v>5173</v>
      </c>
      <c r="B16">
        <v>4.01602698</v>
      </c>
      <c r="C16">
        <v>0.01608996</v>
      </c>
      <c r="D16">
        <v>-32.087119</v>
      </c>
      <c r="E16">
        <v>1</v>
      </c>
      <c r="F16" s="19" t="s">
        <v>816</v>
      </c>
    </row>
    <row r="17" spans="1:6">
      <c r="A17" s="93" t="s">
        <v>5174</v>
      </c>
      <c r="B17">
        <v>2.61296632</v>
      </c>
      <c r="C17">
        <v>0.0009493</v>
      </c>
      <c r="D17">
        <v>-12.128901</v>
      </c>
      <c r="E17">
        <v>1</v>
      </c>
      <c r="F17" s="19" t="s">
        <v>585</v>
      </c>
    </row>
    <row r="18" spans="1:6">
      <c r="A18" s="93" t="s">
        <v>5175</v>
      </c>
      <c r="B18">
        <v>2.55941088</v>
      </c>
      <c r="C18">
        <v>0.00139164</v>
      </c>
      <c r="D18">
        <v>-10.53775</v>
      </c>
      <c r="E18">
        <v>1</v>
      </c>
      <c r="F18" s="19" t="s">
        <v>741</v>
      </c>
    </row>
    <row r="19" spans="1:6">
      <c r="A19" s="93" t="s">
        <v>5176</v>
      </c>
      <c r="B19">
        <v>4.5845389</v>
      </c>
      <c r="C19">
        <v>0.01242928</v>
      </c>
      <c r="D19">
        <v>-34.799834</v>
      </c>
      <c r="E19">
        <v>1</v>
      </c>
      <c r="F19" s="19" t="s">
        <v>492</v>
      </c>
    </row>
    <row r="20" spans="1:6">
      <c r="A20" s="93" t="s">
        <v>5177</v>
      </c>
      <c r="B20">
        <v>2.12212528</v>
      </c>
      <c r="C20">
        <v>0.0086207</v>
      </c>
      <c r="D20">
        <v>-16.302348</v>
      </c>
      <c r="E20">
        <v>1</v>
      </c>
      <c r="F20" s="19" t="s">
        <v>660</v>
      </c>
    </row>
    <row r="21" spans="1:6">
      <c r="A21" s="93" t="s">
        <v>5178</v>
      </c>
      <c r="B21">
        <v>5.60650159</v>
      </c>
      <c r="C21">
        <v>0.01677415</v>
      </c>
      <c r="D21">
        <v>-26.816082</v>
      </c>
      <c r="E21">
        <v>1</v>
      </c>
      <c r="F21" s="19" t="s">
        <v>772</v>
      </c>
    </row>
    <row r="22" spans="1:6">
      <c r="A22" s="93" t="s">
        <v>5179</v>
      </c>
      <c r="B22">
        <v>0.65030842</v>
      </c>
      <c r="C22">
        <v>0.01977585</v>
      </c>
      <c r="D22">
        <v>-21.805297</v>
      </c>
      <c r="E22">
        <v>1</v>
      </c>
      <c r="F22" s="19" t="s">
        <v>820</v>
      </c>
    </row>
    <row r="23" spans="1:6">
      <c r="A23" s="93" t="s">
        <v>5180</v>
      </c>
      <c r="B23">
        <v>8.008192709999999</v>
      </c>
      <c r="C23">
        <v>0.01069717</v>
      </c>
      <c r="D23">
        <v>-30.07806</v>
      </c>
      <c r="E23">
        <v>1</v>
      </c>
      <c r="F23" s="19" t="s">
        <v>821</v>
      </c>
    </row>
    <row r="24" spans="1:6">
      <c r="A24" s="93" t="s">
        <v>5181</v>
      </c>
      <c r="B24">
        <v>5.3036077</v>
      </c>
      <c r="C24">
        <v>0.01109264</v>
      </c>
      <c r="D24">
        <v>-31.916909</v>
      </c>
      <c r="E24">
        <v>1</v>
      </c>
      <c r="F24" s="19" t="s">
        <v>773</v>
      </c>
    </row>
    <row r="25" spans="1:6">
      <c r="A25" s="93" t="s">
        <v>5182</v>
      </c>
      <c r="B25">
        <v>1.18837588</v>
      </c>
      <c r="C25">
        <v>0.009404289999999999</v>
      </c>
      <c r="D25">
        <v>-12.392685</v>
      </c>
      <c r="E25">
        <v>1</v>
      </c>
      <c r="F25" s="19" t="s">
        <v>603</v>
      </c>
    </row>
    <row r="26" spans="1:6">
      <c r="A26" s="93" t="s">
        <v>5183</v>
      </c>
      <c r="B26">
        <v>3.10244803</v>
      </c>
      <c r="C26">
        <v>0.00590778</v>
      </c>
      <c r="D26">
        <v>-15.829328</v>
      </c>
      <c r="E26">
        <v>1</v>
      </c>
      <c r="F26" s="19" t="s">
        <v>727</v>
      </c>
    </row>
    <row r="27" spans="1:6">
      <c r="A27" s="93" t="s">
        <v>5184</v>
      </c>
      <c r="B27">
        <v>3.85953174</v>
      </c>
      <c r="C27">
        <v>0.00693423</v>
      </c>
      <c r="D27">
        <v>-15.660576</v>
      </c>
      <c r="E27">
        <v>1</v>
      </c>
      <c r="F27" s="19" t="s">
        <v>662</v>
      </c>
    </row>
    <row r="28" spans="1:6">
      <c r="A28" s="93" t="s">
        <v>5185</v>
      </c>
      <c r="B28">
        <v>4.69266398</v>
      </c>
      <c r="C28">
        <v>0.01230382</v>
      </c>
      <c r="D28">
        <v>-33.598294</v>
      </c>
      <c r="E28">
        <v>1</v>
      </c>
      <c r="F28" s="19" t="s">
        <v>713</v>
      </c>
    </row>
    <row r="29" spans="1:6">
      <c r="A29" s="93" t="s">
        <v>5186</v>
      </c>
      <c r="B29">
        <v>1.4785783</v>
      </c>
      <c r="C29">
        <v>0.0021951</v>
      </c>
      <c r="D29">
        <v>-4.979273</v>
      </c>
      <c r="E29">
        <v>1</v>
      </c>
      <c r="F29" s="19" t="s">
        <v>672</v>
      </c>
    </row>
    <row r="30" spans="1:6">
      <c r="A30" s="93" t="s">
        <v>5187</v>
      </c>
      <c r="B30">
        <v>3.84123921</v>
      </c>
      <c r="C30">
        <v>0.01155562</v>
      </c>
      <c r="D30">
        <v>-19.859101</v>
      </c>
      <c r="E30">
        <v>1</v>
      </c>
      <c r="F30" s="19" t="s">
        <v>668</v>
      </c>
    </row>
    <row r="31" spans="1:6">
      <c r="A31" s="93" t="s">
        <v>5188</v>
      </c>
      <c r="B31">
        <v>5.82834743</v>
      </c>
      <c r="C31">
        <v>0.00622234</v>
      </c>
      <c r="D31">
        <v>-22.831301</v>
      </c>
      <c r="E31">
        <v>1</v>
      </c>
      <c r="F31" s="19" t="s">
        <v>774</v>
      </c>
    </row>
    <row r="32" spans="1:6">
      <c r="A32" s="93" t="s">
        <v>5189</v>
      </c>
      <c r="B32">
        <v>3.18627451</v>
      </c>
      <c r="C32">
        <v>0.02833192</v>
      </c>
      <c r="D32">
        <v>-35.04259</v>
      </c>
      <c r="E32">
        <v>1</v>
      </c>
      <c r="F32" s="19" t="s">
        <v>452</v>
      </c>
    </row>
    <row r="33" spans="1:6">
      <c r="A33" s="93" t="s">
        <v>5190</v>
      </c>
      <c r="B33">
        <v>8.57779034</v>
      </c>
      <c r="C33">
        <v>0.01760315</v>
      </c>
      <c r="D33">
        <v>-38.312522</v>
      </c>
      <c r="E33">
        <v>1</v>
      </c>
      <c r="F33" s="19" t="s">
        <v>931</v>
      </c>
    </row>
    <row r="34" spans="1:6">
      <c r="A34" s="93" t="s">
        <v>5191</v>
      </c>
      <c r="B34">
        <v>4.33750289</v>
      </c>
      <c r="C34">
        <v>0.0026181</v>
      </c>
      <c r="D34">
        <v>-14.564916</v>
      </c>
      <c r="E34">
        <v>1</v>
      </c>
      <c r="F34" s="19" t="s">
        <v>653</v>
      </c>
    </row>
    <row r="35" spans="1:6">
      <c r="A35" s="93" t="s">
        <v>5192</v>
      </c>
      <c r="B35">
        <v>2.48502788</v>
      </c>
      <c r="C35">
        <v>0.0074189</v>
      </c>
      <c r="D35">
        <v>-11.197678</v>
      </c>
      <c r="E35">
        <v>1</v>
      </c>
      <c r="F35" s="19" t="s">
        <v>645</v>
      </c>
    </row>
    <row r="36" spans="1:6">
      <c r="A36" s="93" t="s">
        <v>5193</v>
      </c>
      <c r="B36">
        <v>1.57103447</v>
      </c>
      <c r="C36">
        <v>0.00357345</v>
      </c>
      <c r="D36">
        <v>-11.255838</v>
      </c>
      <c r="E36">
        <v>1</v>
      </c>
      <c r="F36" s="19" t="s">
        <v>494</v>
      </c>
    </row>
    <row r="37" spans="1:6">
      <c r="A37" s="93" t="s">
        <v>5194</v>
      </c>
      <c r="B37">
        <v>5.16632896</v>
      </c>
      <c r="C37">
        <v>0.00283274</v>
      </c>
      <c r="D37">
        <v>-13.736706</v>
      </c>
      <c r="E37">
        <v>1</v>
      </c>
      <c r="F37" s="19" t="s">
        <v>562</v>
      </c>
    </row>
    <row r="38" spans="1:6">
      <c r="A38" s="93" t="s">
        <v>5195</v>
      </c>
      <c r="B38">
        <v>2.60024436</v>
      </c>
      <c r="C38">
        <v>0.00980632</v>
      </c>
      <c r="D38">
        <v>-14.675884</v>
      </c>
      <c r="E38">
        <v>1</v>
      </c>
      <c r="F38" s="19" t="s">
        <v>650</v>
      </c>
    </row>
    <row r="39" spans="1:6">
      <c r="A39" s="93" t="s">
        <v>5196</v>
      </c>
      <c r="B39">
        <v>4.07199321</v>
      </c>
      <c r="C39">
        <v>0.0143232</v>
      </c>
      <c r="D39">
        <v>-23.198011</v>
      </c>
      <c r="E39">
        <v>1</v>
      </c>
      <c r="F39" s="19" t="s">
        <v>451</v>
      </c>
    </row>
    <row r="40" spans="1:6">
      <c r="A40" s="93" t="s">
        <v>5197</v>
      </c>
      <c r="B40">
        <v>3.85244844</v>
      </c>
      <c r="C40">
        <v>0.00677899</v>
      </c>
      <c r="D40">
        <v>-14.029798</v>
      </c>
      <c r="E40">
        <v>1</v>
      </c>
      <c r="F40" s="19" t="s">
        <v>656</v>
      </c>
    </row>
    <row r="41" spans="1:6">
      <c r="A41" s="93" t="s">
        <v>5198</v>
      </c>
      <c r="B41">
        <v>3.79229212</v>
      </c>
      <c r="C41">
        <v>0.00819304</v>
      </c>
      <c r="D41">
        <v>-20.288821</v>
      </c>
      <c r="E41">
        <v>1</v>
      </c>
      <c r="F41" s="19" t="s">
        <v>934</v>
      </c>
    </row>
    <row r="42" spans="1:6">
      <c r="A42" s="93" t="s">
        <v>5199</v>
      </c>
      <c r="B42">
        <v>6.27268092</v>
      </c>
      <c r="C42">
        <v>0.01073135</v>
      </c>
      <c r="D42">
        <v>-27.113932</v>
      </c>
      <c r="E42">
        <v>1</v>
      </c>
      <c r="F42" s="19" t="s">
        <v>529</v>
      </c>
    </row>
    <row r="43" spans="1:6">
      <c r="A43" s="93" t="s">
        <v>5200</v>
      </c>
      <c r="B43">
        <v>5.73487336</v>
      </c>
      <c r="C43">
        <v>0.01325122</v>
      </c>
      <c r="D43">
        <v>-32.009366</v>
      </c>
      <c r="E43">
        <v>1</v>
      </c>
      <c r="F43" s="19" t="s">
        <v>477</v>
      </c>
    </row>
    <row r="44" spans="1:6">
      <c r="A44" s="93" t="s">
        <v>5201</v>
      </c>
      <c r="B44">
        <v>5.64397186</v>
      </c>
      <c r="C44">
        <v>0.01175939</v>
      </c>
      <c r="D44">
        <v>-31.006442</v>
      </c>
      <c r="E44">
        <v>1</v>
      </c>
      <c r="F44" s="19" t="s">
        <v>557</v>
      </c>
    </row>
    <row r="45" spans="1:6">
      <c r="A45" s="93" t="s">
        <v>5202</v>
      </c>
      <c r="B45">
        <v>4.13496605</v>
      </c>
      <c r="C45">
        <v>0.01114636</v>
      </c>
      <c r="D45">
        <v>-20.977389</v>
      </c>
      <c r="E45">
        <v>1</v>
      </c>
      <c r="F45" s="19" t="s">
        <v>571</v>
      </c>
    </row>
    <row r="46" spans="1:6">
      <c r="A46" s="93" t="s">
        <v>5203</v>
      </c>
      <c r="B46">
        <v>3.93214613</v>
      </c>
      <c r="C46">
        <v>0.01127369</v>
      </c>
      <c r="D46">
        <v>-16.830745</v>
      </c>
      <c r="E46">
        <v>1</v>
      </c>
      <c r="F46" s="19" t="s">
        <v>716</v>
      </c>
    </row>
    <row r="47" spans="1:6">
      <c r="A47" s="93" t="s">
        <v>5204</v>
      </c>
      <c r="B47">
        <v>5.00282173</v>
      </c>
      <c r="C47">
        <v>0.01469858</v>
      </c>
      <c r="D47">
        <v>-26.601789</v>
      </c>
      <c r="E47">
        <v>1</v>
      </c>
      <c r="F47" s="19" t="s">
        <v>777</v>
      </c>
    </row>
    <row r="48" spans="1:6">
      <c r="A48" s="93" t="s">
        <v>5205</v>
      </c>
      <c r="B48">
        <v>5.00040963</v>
      </c>
      <c r="C48">
        <v>0.01060167</v>
      </c>
      <c r="D48">
        <v>-21.466193</v>
      </c>
      <c r="E48">
        <v>1</v>
      </c>
      <c r="F48" s="19" t="s">
        <v>568</v>
      </c>
    </row>
    <row r="49" spans="1:6">
      <c r="A49" s="93" t="s">
        <v>5206</v>
      </c>
      <c r="B49">
        <v>6.11342628</v>
      </c>
      <c r="C49">
        <v>0.008971160000000001</v>
      </c>
      <c r="D49">
        <v>-24.207918</v>
      </c>
      <c r="E49">
        <v>1</v>
      </c>
      <c r="F49" s="19" t="s">
        <v>526</v>
      </c>
    </row>
    <row r="50" spans="1:6">
      <c r="A50" s="93" t="s">
        <v>5207</v>
      </c>
      <c r="B50">
        <v>5.14665079</v>
      </c>
      <c r="C50">
        <v>0.00069411</v>
      </c>
      <c r="D50">
        <v>-8.465401999999999</v>
      </c>
      <c r="E50">
        <v>1</v>
      </c>
      <c r="F50" s="19" t="s">
        <v>634</v>
      </c>
    </row>
    <row r="51" spans="1:6">
      <c r="A51" s="93" t="s">
        <v>5208</v>
      </c>
      <c r="B51">
        <v>3.36663186</v>
      </c>
      <c r="C51">
        <v>0.00711383</v>
      </c>
      <c r="D51">
        <v>-16.127918</v>
      </c>
      <c r="E51">
        <v>1</v>
      </c>
      <c r="F51" s="19" t="s">
        <v>831</v>
      </c>
    </row>
    <row r="52" spans="1:6">
      <c r="A52" s="93" t="s">
        <v>5209</v>
      </c>
      <c r="B52">
        <v>4.36980622</v>
      </c>
      <c r="C52">
        <v>0.008652689999999999</v>
      </c>
      <c r="D52">
        <v>-18.07051</v>
      </c>
      <c r="E52">
        <v>1</v>
      </c>
      <c r="F52" s="19" t="s">
        <v>506</v>
      </c>
    </row>
    <row r="53" spans="1:6">
      <c r="A53" s="93" t="s">
        <v>5210</v>
      </c>
      <c r="B53">
        <v>3.52031809</v>
      </c>
      <c r="C53">
        <v>0.0035954</v>
      </c>
      <c r="D53">
        <v>-11.381879</v>
      </c>
      <c r="E53">
        <v>1</v>
      </c>
      <c r="F53" s="19" t="s">
        <v>457</v>
      </c>
    </row>
    <row r="54" spans="1:6">
      <c r="A54" s="93" t="s">
        <v>5211</v>
      </c>
      <c r="B54">
        <v>1.66192655</v>
      </c>
      <c r="C54">
        <v>0.00500355</v>
      </c>
      <c r="D54">
        <v>-13.737593</v>
      </c>
      <c r="E54">
        <v>1</v>
      </c>
      <c r="F54" s="19" t="s">
        <v>493</v>
      </c>
    </row>
    <row r="55" spans="1:6">
      <c r="A55" s="93" t="s">
        <v>5212</v>
      </c>
      <c r="B55">
        <v>4.5386481</v>
      </c>
      <c r="C55">
        <v>0.009488480000000001</v>
      </c>
      <c r="D55">
        <v>-17.317695</v>
      </c>
      <c r="E55">
        <v>1</v>
      </c>
      <c r="F55" s="19" t="s">
        <v>463</v>
      </c>
    </row>
    <row r="56" spans="1:6">
      <c r="A56" s="93" t="s">
        <v>5213</v>
      </c>
      <c r="B56">
        <v>4.22629229</v>
      </c>
      <c r="C56">
        <v>0.0337092</v>
      </c>
      <c r="D56">
        <v>-39.983474</v>
      </c>
      <c r="E56">
        <v>1</v>
      </c>
      <c r="F56" s="19" t="s">
        <v>748</v>
      </c>
    </row>
    <row r="57" spans="1:6">
      <c r="A57" s="93" t="s">
        <v>5214</v>
      </c>
      <c r="B57">
        <v>5.96244984</v>
      </c>
      <c r="C57">
        <v>0.01260798</v>
      </c>
      <c r="D57">
        <v>-25.586481</v>
      </c>
      <c r="E57">
        <v>1</v>
      </c>
      <c r="F57" s="19" t="s">
        <v>832</v>
      </c>
    </row>
    <row r="58" spans="1:6">
      <c r="A58" s="93" t="s">
        <v>5215</v>
      </c>
      <c r="B58">
        <v>1.66868263</v>
      </c>
      <c r="C58">
        <v>0.00726917</v>
      </c>
      <c r="D58">
        <v>-9.8489384</v>
      </c>
      <c r="E58">
        <v>1</v>
      </c>
      <c r="F58" s="19" t="s">
        <v>642</v>
      </c>
    </row>
    <row r="59" spans="1:6">
      <c r="A59" s="93" t="s">
        <v>5216</v>
      </c>
      <c r="B59">
        <v>4.52905857</v>
      </c>
      <c r="C59">
        <v>0.01015742</v>
      </c>
      <c r="D59">
        <v>-21.147392</v>
      </c>
      <c r="E59">
        <v>1</v>
      </c>
      <c r="F59" s="19" t="s">
        <v>447</v>
      </c>
    </row>
    <row r="60" spans="1:6">
      <c r="A60" s="93" t="s">
        <v>5217</v>
      </c>
      <c r="B60">
        <v>7.41772989</v>
      </c>
      <c r="C60">
        <v>0.01588041</v>
      </c>
      <c r="D60">
        <v>-35.258577</v>
      </c>
      <c r="E60">
        <v>1</v>
      </c>
      <c r="F60" s="19" t="s">
        <v>731</v>
      </c>
    </row>
    <row r="61" spans="1:6">
      <c r="A61" s="93" t="s">
        <v>5218</v>
      </c>
      <c r="B61">
        <v>4.02140636</v>
      </c>
      <c r="C61">
        <v>0.00701234</v>
      </c>
      <c r="D61">
        <v>-15.813347</v>
      </c>
      <c r="E61">
        <v>1</v>
      </c>
      <c r="F61" s="19" t="s">
        <v>541</v>
      </c>
    </row>
    <row r="62" spans="1:6">
      <c r="A62" s="93" t="s">
        <v>5219</v>
      </c>
      <c r="B62">
        <v>2.18166689</v>
      </c>
      <c r="C62">
        <v>0.00701911</v>
      </c>
      <c r="D62">
        <v>-10.925375</v>
      </c>
      <c r="E62">
        <v>1</v>
      </c>
      <c r="F62" s="19" t="s">
        <v>644</v>
      </c>
    </row>
    <row r="63" spans="1:6">
      <c r="A63" s="93" t="s">
        <v>5220</v>
      </c>
      <c r="B63">
        <v>2.89324189</v>
      </c>
      <c r="C63">
        <v>0.0108986</v>
      </c>
      <c r="D63">
        <v>-16.441932</v>
      </c>
      <c r="E63">
        <v>1</v>
      </c>
      <c r="F63" s="19" t="s">
        <v>661</v>
      </c>
    </row>
    <row r="64" spans="1:6">
      <c r="A64" s="93" t="s">
        <v>5221</v>
      </c>
      <c r="B64">
        <v>6.14654329</v>
      </c>
      <c r="C64">
        <v>0.01610249</v>
      </c>
      <c r="D64">
        <v>-30.713951</v>
      </c>
      <c r="E64">
        <v>1</v>
      </c>
      <c r="F64" s="19" t="s">
        <v>732</v>
      </c>
    </row>
    <row r="65" spans="1:6">
      <c r="A65" s="93" t="s">
        <v>5222</v>
      </c>
      <c r="B65">
        <v>4.67267595</v>
      </c>
      <c r="C65">
        <v>0.0081831</v>
      </c>
      <c r="D65">
        <v>-17.86217</v>
      </c>
      <c r="E65">
        <v>1</v>
      </c>
      <c r="F65" s="19" t="s">
        <v>456</v>
      </c>
    </row>
    <row r="66" spans="1:6">
      <c r="A66" s="93" t="s">
        <v>5223</v>
      </c>
      <c r="B66">
        <v>12.1025455</v>
      </c>
      <c r="C66">
        <v>0.01977499</v>
      </c>
      <c r="D66">
        <v>-49.992723</v>
      </c>
      <c r="E66">
        <v>1</v>
      </c>
      <c r="F66" s="19" t="s">
        <v>779</v>
      </c>
    </row>
    <row r="67" spans="1:6">
      <c r="A67" s="93" t="s">
        <v>5224</v>
      </c>
      <c r="B67">
        <v>3.28108803</v>
      </c>
      <c r="C67">
        <v>0.01337634</v>
      </c>
      <c r="D67">
        <v>-24.561601</v>
      </c>
      <c r="E67">
        <v>1</v>
      </c>
      <c r="F67" s="19" t="s">
        <v>617</v>
      </c>
    </row>
    <row r="68" spans="1:6">
      <c r="A68" s="93" t="s">
        <v>5225</v>
      </c>
      <c r="B68">
        <v>3.7693219</v>
      </c>
      <c r="C68">
        <v>0.00692433</v>
      </c>
      <c r="D68">
        <v>-19.735128</v>
      </c>
      <c r="E68">
        <v>1</v>
      </c>
      <c r="F68" s="19" t="s">
        <v>512</v>
      </c>
    </row>
    <row r="69" spans="1:6">
      <c r="A69" s="93" t="s">
        <v>5226</v>
      </c>
      <c r="B69">
        <v>5.32517547</v>
      </c>
      <c r="C69">
        <v>0.01955735</v>
      </c>
      <c r="D69">
        <v>-31.524201</v>
      </c>
      <c r="E69">
        <v>1</v>
      </c>
      <c r="F69" s="19" t="s">
        <v>780</v>
      </c>
    </row>
    <row r="70" spans="1:6">
      <c r="A70" s="93" t="s">
        <v>5227</v>
      </c>
      <c r="B70">
        <v>3.36970176</v>
      </c>
      <c r="C70">
        <v>0.00239734</v>
      </c>
      <c r="D70">
        <v>-10.886677</v>
      </c>
      <c r="E70">
        <v>1</v>
      </c>
      <c r="F70" s="19" t="s">
        <v>751</v>
      </c>
    </row>
    <row r="71" spans="1:6">
      <c r="A71" s="93" t="s">
        <v>5228</v>
      </c>
      <c r="B71">
        <v>12.3832265</v>
      </c>
      <c r="C71">
        <v>0.01134322</v>
      </c>
      <c r="D71">
        <v>-36.534578</v>
      </c>
      <c r="E71">
        <v>1</v>
      </c>
      <c r="F71" s="19" t="s">
        <v>733</v>
      </c>
    </row>
    <row r="72" spans="1:6">
      <c r="A72" s="93" t="s">
        <v>5229</v>
      </c>
      <c r="B72">
        <v>2.80916892</v>
      </c>
      <c r="C72">
        <v>0.00439641</v>
      </c>
      <c r="D72">
        <v>-12.254989</v>
      </c>
      <c r="E72">
        <v>1</v>
      </c>
      <c r="F72" s="19" t="s">
        <v>946</v>
      </c>
    </row>
    <row r="73" spans="1:6">
      <c r="A73" s="93" t="s">
        <v>5230</v>
      </c>
      <c r="B73">
        <v>7.12555609</v>
      </c>
      <c r="C73">
        <v>0.00725017</v>
      </c>
      <c r="D73">
        <v>-37.11526</v>
      </c>
      <c r="E73">
        <v>1</v>
      </c>
      <c r="F73" s="19" t="s">
        <v>491</v>
      </c>
    </row>
    <row r="74" spans="1:6">
      <c r="A74" s="93" t="s">
        <v>5231</v>
      </c>
      <c r="B74">
        <v>10.5146715</v>
      </c>
      <c r="C74">
        <v>0.01320805</v>
      </c>
      <c r="D74">
        <v>-41.840207</v>
      </c>
      <c r="E74">
        <v>1</v>
      </c>
      <c r="F74" s="19" t="s">
        <v>734</v>
      </c>
    </row>
    <row r="75" spans="1:6">
      <c r="A75" s="93" t="s">
        <v>5232</v>
      </c>
      <c r="B75">
        <v>5.74776079</v>
      </c>
      <c r="C75">
        <v>0.00758033</v>
      </c>
      <c r="D75">
        <v>-23.959584</v>
      </c>
      <c r="E75">
        <v>1</v>
      </c>
      <c r="F75" s="19" t="s">
        <v>612</v>
      </c>
    </row>
    <row r="76" spans="1:6">
      <c r="A76" s="93" t="s">
        <v>5233</v>
      </c>
      <c r="B76">
        <v>6.46790715</v>
      </c>
      <c r="C76">
        <v>0.01338503</v>
      </c>
      <c r="D76">
        <v>-30.605504</v>
      </c>
      <c r="E76">
        <v>1</v>
      </c>
      <c r="F76" s="19" t="s">
        <v>699</v>
      </c>
    </row>
    <row r="77" spans="1:6">
      <c r="A77" s="93" t="s">
        <v>5234</v>
      </c>
      <c r="B77">
        <v>2.86811309</v>
      </c>
      <c r="C77">
        <v>0.00472242</v>
      </c>
      <c r="D77">
        <v>-11.273112</v>
      </c>
      <c r="E77">
        <v>1</v>
      </c>
      <c r="F77" s="19" t="s">
        <v>837</v>
      </c>
    </row>
    <row r="78" spans="1:6">
      <c r="A78" s="93" t="s">
        <v>5235</v>
      </c>
      <c r="B78">
        <v>4.91410261</v>
      </c>
      <c r="C78">
        <v>0.00313417</v>
      </c>
      <c r="D78">
        <v>-10.369714</v>
      </c>
      <c r="E78">
        <v>1</v>
      </c>
      <c r="F78" s="19" t="s">
        <v>690</v>
      </c>
    </row>
    <row r="79" spans="1:6">
      <c r="A79" s="93" t="s">
        <v>5236</v>
      </c>
      <c r="B79">
        <v>4.35811473</v>
      </c>
      <c r="C79">
        <v>0.009385309999999999</v>
      </c>
      <c r="D79">
        <v>-28.481491</v>
      </c>
      <c r="E79">
        <v>1</v>
      </c>
      <c r="F79" s="19" t="s">
        <v>500</v>
      </c>
    </row>
    <row r="80" spans="1:6">
      <c r="A80" s="93" t="s">
        <v>5237</v>
      </c>
      <c r="B80">
        <v>3.34309059</v>
      </c>
      <c r="C80">
        <v>0.00249173</v>
      </c>
      <c r="D80">
        <v>-10.268559</v>
      </c>
      <c r="E80">
        <v>1</v>
      </c>
      <c r="F80" s="19" t="s">
        <v>694</v>
      </c>
    </row>
    <row r="81" spans="1:6">
      <c r="A81" s="93" t="s">
        <v>5238</v>
      </c>
      <c r="B81">
        <v>5.40173012</v>
      </c>
      <c r="C81">
        <v>0.01108396</v>
      </c>
      <c r="D81">
        <v>-26.333407</v>
      </c>
      <c r="E81">
        <v>1</v>
      </c>
      <c r="F81" s="19" t="s">
        <v>675</v>
      </c>
    </row>
    <row r="82" spans="1:6">
      <c r="A82" s="93" t="s">
        <v>5239</v>
      </c>
      <c r="B82">
        <v>11.9420956</v>
      </c>
      <c r="C82">
        <v>0.02202434</v>
      </c>
      <c r="D82">
        <v>-54.629527</v>
      </c>
      <c r="E82">
        <v>1</v>
      </c>
      <c r="F82" s="19" t="s">
        <v>481</v>
      </c>
    </row>
    <row r="83" spans="1:6">
      <c r="A83" s="93" t="s">
        <v>5240</v>
      </c>
      <c r="B83">
        <v>7.96628121</v>
      </c>
      <c r="C83">
        <v>0.01588298</v>
      </c>
      <c r="D83">
        <v>-37.188852</v>
      </c>
      <c r="E83">
        <v>1</v>
      </c>
      <c r="F83" s="19" t="s">
        <v>610</v>
      </c>
    </row>
    <row r="84" spans="1:6">
      <c r="A84" s="93" t="s">
        <v>5241</v>
      </c>
      <c r="B84">
        <v>2.26878518</v>
      </c>
      <c r="C84">
        <v>0.01629567</v>
      </c>
      <c r="D84">
        <v>-17.56643</v>
      </c>
      <c r="E84">
        <v>1</v>
      </c>
      <c r="F84" s="19" t="s">
        <v>735</v>
      </c>
    </row>
    <row r="85" spans="1:6">
      <c r="A85" s="93" t="s">
        <v>5242</v>
      </c>
      <c r="B85">
        <v>3.9979672</v>
      </c>
      <c r="C85">
        <v>0.00652901</v>
      </c>
      <c r="D85">
        <v>-16.178555</v>
      </c>
      <c r="E85">
        <v>1</v>
      </c>
      <c r="F85" s="19" t="s">
        <v>1862</v>
      </c>
    </row>
    <row r="86" spans="1:6">
      <c r="A86" s="93" t="s">
        <v>5243</v>
      </c>
      <c r="B86">
        <v>1.87793063</v>
      </c>
      <c r="C86">
        <v>0.00201355</v>
      </c>
      <c r="D86">
        <v>-8.894392</v>
      </c>
      <c r="E86">
        <v>1</v>
      </c>
      <c r="F86" s="19" t="s">
        <v>706</v>
      </c>
    </row>
    <row r="87" spans="1:6">
      <c r="A87" s="93" t="s">
        <v>5244</v>
      </c>
      <c r="B87">
        <v>6.85553352</v>
      </c>
      <c r="C87">
        <v>0.00215537</v>
      </c>
      <c r="D87">
        <v>-17.294222</v>
      </c>
      <c r="E87">
        <v>1</v>
      </c>
      <c r="F87" s="19" t="s">
        <v>963</v>
      </c>
    </row>
    <row r="88" spans="1:6">
      <c r="A88" s="93" t="s">
        <v>5245</v>
      </c>
      <c r="B88">
        <v>2.99529378</v>
      </c>
      <c r="C88">
        <v>0.01352532</v>
      </c>
      <c r="D88">
        <v>-18.862792</v>
      </c>
      <c r="E88">
        <v>1</v>
      </c>
      <c r="F88" s="19" t="s">
        <v>839</v>
      </c>
    </row>
    <row r="89" spans="1:6">
      <c r="A89" s="93" t="s">
        <v>5246</v>
      </c>
      <c r="B89">
        <v>5.29797711</v>
      </c>
      <c r="C89">
        <v>0.02118852</v>
      </c>
      <c r="D89">
        <v>-32.678296</v>
      </c>
      <c r="E89">
        <v>1</v>
      </c>
      <c r="F89" s="19" t="s">
        <v>719</v>
      </c>
    </row>
    <row r="90" spans="1:6">
      <c r="A90" s="93" t="s">
        <v>5247</v>
      </c>
      <c r="B90">
        <v>6.97658595</v>
      </c>
      <c r="C90">
        <v>0.00306537</v>
      </c>
      <c r="D90">
        <v>-22.439101</v>
      </c>
      <c r="E90">
        <v>1</v>
      </c>
      <c r="F90" s="19" t="s">
        <v>753</v>
      </c>
    </row>
    <row r="91" spans="1:6">
      <c r="A91" s="93" t="s">
        <v>5248</v>
      </c>
      <c r="B91">
        <v>2.26941217</v>
      </c>
      <c r="C91">
        <v>0.00146206</v>
      </c>
      <c r="D91">
        <v>-6.2014159</v>
      </c>
      <c r="E91">
        <v>1</v>
      </c>
      <c r="F91" s="19" t="s">
        <v>701</v>
      </c>
    </row>
    <row r="92" spans="1:6">
      <c r="A92" s="93" t="s">
        <v>5249</v>
      </c>
      <c r="B92">
        <v>3.25692466</v>
      </c>
      <c r="C92">
        <v>0.00572241</v>
      </c>
      <c r="D92">
        <v>-12.3407</v>
      </c>
      <c r="E92">
        <v>1</v>
      </c>
      <c r="F92" s="19" t="s">
        <v>720</v>
      </c>
    </row>
    <row r="93" spans="1:6">
      <c r="A93" s="93" t="s">
        <v>5250</v>
      </c>
      <c r="B93">
        <v>4.44217753</v>
      </c>
      <c r="C93">
        <v>0.01054516</v>
      </c>
      <c r="D93">
        <v>-30.75186</v>
      </c>
      <c r="E93">
        <v>1</v>
      </c>
      <c r="F93" s="19" t="s">
        <v>1992</v>
      </c>
    </row>
    <row r="94" spans="1:6">
      <c r="A94" s="93" t="s">
        <v>5251</v>
      </c>
      <c r="B94">
        <v>5.81514233</v>
      </c>
      <c r="C94">
        <v>0.00533137</v>
      </c>
      <c r="D94">
        <v>-19.744165</v>
      </c>
      <c r="E94">
        <v>1</v>
      </c>
      <c r="F94" s="19" t="s">
        <v>2015</v>
      </c>
    </row>
    <row r="95" spans="1:6">
      <c r="A95" s="93" t="s">
        <v>5252</v>
      </c>
      <c r="B95">
        <v>2.82715727</v>
      </c>
      <c r="C95">
        <v>0.01082395</v>
      </c>
      <c r="D95">
        <v>-21.990044</v>
      </c>
      <c r="E95">
        <v>1</v>
      </c>
      <c r="F95" s="19" t="s">
        <v>2032</v>
      </c>
    </row>
    <row r="96" spans="1:6">
      <c r="A96" s="93" t="s">
        <v>5253</v>
      </c>
      <c r="B96">
        <v>1.94860821</v>
      </c>
      <c r="C96">
        <v>0.01410157</v>
      </c>
      <c r="D96">
        <v>-15.739706</v>
      </c>
      <c r="E96">
        <v>1</v>
      </c>
      <c r="F96" s="19" t="s">
        <v>737</v>
      </c>
    </row>
    <row r="97" spans="1:6">
      <c r="A97" s="93" t="s">
        <v>5254</v>
      </c>
      <c r="B97">
        <v>5.40172985</v>
      </c>
      <c r="C97">
        <v>0.01547274</v>
      </c>
      <c r="D97">
        <v>-39.176162</v>
      </c>
      <c r="E97">
        <v>1</v>
      </c>
      <c r="F97" s="19" t="s">
        <v>789</v>
      </c>
    </row>
    <row r="98" spans="1:6">
      <c r="A98" s="93" t="s">
        <v>5255</v>
      </c>
      <c r="B98">
        <v>1.93023985</v>
      </c>
      <c r="C98">
        <v>0.01555633</v>
      </c>
      <c r="D98">
        <v>-28.379907</v>
      </c>
      <c r="E98">
        <v>1</v>
      </c>
      <c r="F98" s="19" t="s">
        <v>708</v>
      </c>
    </row>
    <row r="99" spans="1:6">
      <c r="A99" s="93" t="s">
        <v>5256</v>
      </c>
      <c r="B99">
        <v>1.31250683</v>
      </c>
      <c r="C99">
        <v>0.00571051</v>
      </c>
      <c r="D99">
        <v>-12.129398</v>
      </c>
      <c r="E99">
        <v>1</v>
      </c>
      <c r="F99" s="19" t="s">
        <v>2113</v>
      </c>
    </row>
    <row r="100" spans="1:6">
      <c r="A100" s="93" t="s">
        <v>5257</v>
      </c>
      <c r="B100">
        <v>4.05142036</v>
      </c>
      <c r="C100">
        <v>0.00527109</v>
      </c>
      <c r="D100">
        <v>-15.295207</v>
      </c>
      <c r="E100">
        <v>1</v>
      </c>
      <c r="F100" s="19" t="s">
        <v>478</v>
      </c>
    </row>
    <row r="101" spans="1:6">
      <c r="A101" s="93" t="s">
        <v>5258</v>
      </c>
      <c r="B101">
        <v>6.10398585</v>
      </c>
      <c r="C101">
        <v>0.02840493</v>
      </c>
      <c r="D101">
        <v>-44.544844</v>
      </c>
      <c r="E101">
        <v>1</v>
      </c>
      <c r="F101" s="19" t="s">
        <v>2144</v>
      </c>
    </row>
    <row r="102" spans="1:6">
      <c r="A102" s="93" t="s">
        <v>5259</v>
      </c>
      <c r="B102">
        <v>6.04151713</v>
      </c>
      <c r="C102">
        <v>0.01425497</v>
      </c>
      <c r="D102">
        <v>-27.394672</v>
      </c>
      <c r="E102">
        <v>1</v>
      </c>
      <c r="F102" s="19" t="s">
        <v>480</v>
      </c>
    </row>
    <row r="103" spans="1:6">
      <c r="A103" s="93" t="s">
        <v>5260</v>
      </c>
      <c r="B103">
        <v>4.89646372</v>
      </c>
      <c r="C103">
        <v>0.0197975</v>
      </c>
      <c r="D103">
        <v>-28.759023</v>
      </c>
      <c r="E103">
        <v>1</v>
      </c>
      <c r="F103" s="19" t="s">
        <v>702</v>
      </c>
    </row>
    <row r="104" spans="1:6">
      <c r="A104" s="93" t="s">
        <v>5261</v>
      </c>
      <c r="B104">
        <v>6.01289936</v>
      </c>
      <c r="C104">
        <v>0.01319243</v>
      </c>
      <c r="D104">
        <v>-29.518011</v>
      </c>
      <c r="E104">
        <v>1</v>
      </c>
      <c r="F104" s="19" t="s">
        <v>502</v>
      </c>
    </row>
    <row r="105" spans="1:6">
      <c r="A105" s="93" t="s">
        <v>5262</v>
      </c>
      <c r="B105">
        <v>5.41001969</v>
      </c>
      <c r="C105">
        <v>0.009912010000000001</v>
      </c>
      <c r="D105">
        <v>-29.470381</v>
      </c>
      <c r="E105">
        <v>1</v>
      </c>
      <c r="F105" s="19" t="s">
        <v>489</v>
      </c>
    </row>
    <row r="106" spans="1:6">
      <c r="A106" s="93" t="s">
        <v>5263</v>
      </c>
      <c r="B106">
        <v>8.56508672</v>
      </c>
      <c r="C106">
        <v>0.00568659</v>
      </c>
      <c r="D106">
        <v>-35.780884</v>
      </c>
      <c r="E106">
        <v>1</v>
      </c>
      <c r="F106" s="19" t="s">
        <v>474</v>
      </c>
    </row>
    <row r="107" spans="1:6">
      <c r="A107" s="93" t="s">
        <v>5264</v>
      </c>
      <c r="B107">
        <v>4.41412715</v>
      </c>
      <c r="C107">
        <v>0.01165648</v>
      </c>
      <c r="D107">
        <v>-29.623621</v>
      </c>
      <c r="E107">
        <v>1</v>
      </c>
      <c r="F107" s="19" t="s">
        <v>639</v>
      </c>
    </row>
    <row r="108" spans="1:6">
      <c r="A108" s="93" t="s">
        <v>5265</v>
      </c>
      <c r="B108">
        <v>8.501110130000001</v>
      </c>
      <c r="C108">
        <v>0.00743635</v>
      </c>
      <c r="D108">
        <v>-27.591187</v>
      </c>
      <c r="E108">
        <v>1</v>
      </c>
      <c r="F108" s="19" t="s">
        <v>613</v>
      </c>
    </row>
    <row r="109" spans="1:6">
      <c r="A109" s="93" t="s">
        <v>5266</v>
      </c>
      <c r="B109">
        <v>4.91939644</v>
      </c>
      <c r="C109">
        <v>0.00595296</v>
      </c>
      <c r="D109">
        <v>-24.831383</v>
      </c>
      <c r="E109">
        <v>1</v>
      </c>
      <c r="F109" s="19" t="s">
        <v>499</v>
      </c>
    </row>
    <row r="110" spans="1:6">
      <c r="A110" s="93" t="s">
        <v>5267</v>
      </c>
      <c r="B110">
        <v>4.3050303</v>
      </c>
      <c r="C110">
        <v>0.01049793</v>
      </c>
      <c r="D110">
        <v>-28.209497</v>
      </c>
      <c r="E110">
        <v>1</v>
      </c>
      <c r="F110" s="19" t="s">
        <v>2225</v>
      </c>
    </row>
    <row r="111" spans="1:6">
      <c r="A111" s="93" t="s">
        <v>5268</v>
      </c>
      <c r="B111">
        <v>5.08076065</v>
      </c>
      <c r="C111">
        <v>0.00674795</v>
      </c>
      <c r="D111">
        <v>-23.884841</v>
      </c>
      <c r="E111">
        <v>1</v>
      </c>
      <c r="F111" s="19" t="s">
        <v>695</v>
      </c>
    </row>
    <row r="112" spans="1:6">
      <c r="A112" s="93" t="s">
        <v>5269</v>
      </c>
      <c r="B112">
        <v>3.74677463</v>
      </c>
      <c r="C112">
        <v>0.01605083</v>
      </c>
      <c r="D112">
        <v>-22.465395</v>
      </c>
      <c r="E112">
        <v>1</v>
      </c>
      <c r="F112" s="19" t="s">
        <v>990</v>
      </c>
    </row>
    <row r="113" spans="1:6">
      <c r="A113" s="93" t="s">
        <v>5270</v>
      </c>
      <c r="B113">
        <v>3.12276293</v>
      </c>
      <c r="C113">
        <v>0.01043623</v>
      </c>
      <c r="D113">
        <v>-15.652096</v>
      </c>
      <c r="E113">
        <v>1</v>
      </c>
      <c r="F113" s="19" t="s">
        <v>654</v>
      </c>
    </row>
    <row r="114" spans="1:6">
      <c r="A114" s="93" t="s">
        <v>5271</v>
      </c>
      <c r="B114">
        <v>7.64362904</v>
      </c>
      <c r="C114">
        <v>0.02604585</v>
      </c>
      <c r="D114">
        <v>-43.283226</v>
      </c>
      <c r="E114">
        <v>1</v>
      </c>
      <c r="F114" s="19" t="s">
        <v>2289</v>
      </c>
    </row>
    <row r="115" spans="1:6">
      <c r="A115" s="93" t="s">
        <v>5272</v>
      </c>
      <c r="B115">
        <v>5.79196786</v>
      </c>
      <c r="C115">
        <v>0.026567</v>
      </c>
      <c r="D115">
        <v>-45.068207</v>
      </c>
      <c r="E115">
        <v>1</v>
      </c>
      <c r="F115" s="19" t="s">
        <v>723</v>
      </c>
    </row>
    <row r="116" spans="1:6">
      <c r="A116" s="93" t="s">
        <v>5273</v>
      </c>
      <c r="B116">
        <v>5.57182762</v>
      </c>
      <c r="C116">
        <v>0.01048996</v>
      </c>
      <c r="D116">
        <v>-27.05962</v>
      </c>
      <c r="E116">
        <v>1</v>
      </c>
      <c r="F116" s="19" t="s">
        <v>997</v>
      </c>
    </row>
    <row r="117" spans="1:6">
      <c r="A117" s="93" t="s">
        <v>5274</v>
      </c>
      <c r="B117">
        <v>4.52713443</v>
      </c>
      <c r="C117">
        <v>0.0128683</v>
      </c>
      <c r="D117">
        <v>-34.505625</v>
      </c>
      <c r="E117">
        <v>1</v>
      </c>
      <c r="F117" s="19" t="s">
        <v>676</v>
      </c>
    </row>
    <row r="118" spans="1:6">
      <c r="A118" s="93" t="s">
        <v>5275</v>
      </c>
      <c r="B118">
        <v>10.4176395</v>
      </c>
      <c r="C118">
        <v>0.00752079</v>
      </c>
      <c r="D118">
        <v>-47.670745</v>
      </c>
      <c r="E118">
        <v>1</v>
      </c>
      <c r="F118" s="19" t="s">
        <v>495</v>
      </c>
    </row>
    <row r="119" spans="1:6">
      <c r="A119" s="93" t="s">
        <v>5276</v>
      </c>
      <c r="B119">
        <v>0.68051287</v>
      </c>
      <c r="C119">
        <v>0.00504957</v>
      </c>
      <c r="D119">
        <v>-9.338946200000001</v>
      </c>
      <c r="E119">
        <v>1</v>
      </c>
      <c r="F119" s="19" t="s">
        <v>679</v>
      </c>
    </row>
    <row r="120" spans="1:6">
      <c r="A120" s="93" t="s">
        <v>5277</v>
      </c>
      <c r="B120">
        <v>5.58114961</v>
      </c>
      <c r="C120">
        <v>0.05353289</v>
      </c>
      <c r="D120">
        <v>-79.463009</v>
      </c>
      <c r="E120">
        <v>1</v>
      </c>
      <c r="F120" s="19" t="s">
        <v>601</v>
      </c>
    </row>
    <row r="121" spans="1:6">
      <c r="A121" s="93" t="s">
        <v>5278</v>
      </c>
      <c r="B121">
        <v>3.67932449</v>
      </c>
      <c r="C121">
        <v>0.01058484</v>
      </c>
      <c r="D121">
        <v>-25.136894</v>
      </c>
      <c r="E121">
        <v>1</v>
      </c>
      <c r="F121" s="19" t="s">
        <v>616</v>
      </c>
    </row>
    <row r="122" spans="1:6">
      <c r="A122" s="93" t="s">
        <v>5279</v>
      </c>
      <c r="B122">
        <v>2.15982378</v>
      </c>
      <c r="C122">
        <v>0.0103159</v>
      </c>
      <c r="D122">
        <v>-17.235385</v>
      </c>
      <c r="E122">
        <v>1</v>
      </c>
      <c r="F122" s="19" t="s">
        <v>2736</v>
      </c>
    </row>
    <row r="123" spans="1:6">
      <c r="A123" s="93" t="s">
        <v>5280</v>
      </c>
      <c r="B123">
        <v>1.73648306</v>
      </c>
      <c r="C123">
        <v>0.01914839</v>
      </c>
      <c r="D123">
        <v>-20.67428</v>
      </c>
      <c r="E123">
        <v>1</v>
      </c>
      <c r="F123" s="19" t="s">
        <v>2759</v>
      </c>
    </row>
    <row r="124" spans="1:6">
      <c r="A124" s="93" t="s">
        <v>5281</v>
      </c>
      <c r="B124">
        <v>5.29280818</v>
      </c>
      <c r="C124">
        <v>0.00160377</v>
      </c>
      <c r="D124">
        <v>-23.428205</v>
      </c>
      <c r="E124">
        <v>1</v>
      </c>
      <c r="F124" s="19" t="s">
        <v>852</v>
      </c>
    </row>
    <row r="125" spans="1:6">
      <c r="A125" s="93" t="s">
        <v>5282</v>
      </c>
      <c r="B125">
        <v>2.22082887</v>
      </c>
      <c r="C125">
        <v>0.02587291</v>
      </c>
      <c r="D125">
        <v>-28.420663</v>
      </c>
      <c r="E125">
        <v>1</v>
      </c>
      <c r="F125" s="19" t="s">
        <v>2795</v>
      </c>
    </row>
    <row r="126" spans="1:6">
      <c r="A126" s="93" t="s">
        <v>5283</v>
      </c>
      <c r="B126">
        <v>5.47035003</v>
      </c>
      <c r="C126">
        <v>0.00602469</v>
      </c>
      <c r="D126">
        <v>-20.325554</v>
      </c>
      <c r="E126">
        <v>1</v>
      </c>
      <c r="F126" s="19" t="s">
        <v>1029</v>
      </c>
    </row>
    <row r="127" spans="1:6">
      <c r="A127" s="93" t="s">
        <v>5284</v>
      </c>
      <c r="B127">
        <v>3.147256</v>
      </c>
      <c r="C127">
        <v>0.00667391</v>
      </c>
      <c r="D127">
        <v>-13.22716</v>
      </c>
      <c r="E127">
        <v>1</v>
      </c>
      <c r="F127" s="19" t="s">
        <v>1033</v>
      </c>
    </row>
    <row r="128" spans="1:6">
      <c r="A128" s="93" t="s">
        <v>5285</v>
      </c>
      <c r="B128">
        <v>3.46959634</v>
      </c>
      <c r="C128">
        <v>0.00216471</v>
      </c>
      <c r="D128">
        <v>-15.203207</v>
      </c>
      <c r="E128">
        <v>1</v>
      </c>
      <c r="F128" s="19" t="s">
        <v>760</v>
      </c>
    </row>
    <row r="129" spans="1:6">
      <c r="A129" s="93" t="s">
        <v>5286</v>
      </c>
      <c r="B129">
        <v>8.422776499999999</v>
      </c>
      <c r="C129">
        <v>0.0164403</v>
      </c>
      <c r="D129">
        <v>-41.101875</v>
      </c>
      <c r="E129">
        <v>1</v>
      </c>
      <c r="F129" s="19" t="s">
        <v>488</v>
      </c>
    </row>
    <row r="130" spans="1:6">
      <c r="A130" s="93" t="s">
        <v>5287</v>
      </c>
      <c r="B130">
        <v>4.81200373</v>
      </c>
      <c r="C130">
        <v>0.0087067</v>
      </c>
      <c r="D130">
        <v>-27.915649</v>
      </c>
      <c r="E130">
        <v>1</v>
      </c>
      <c r="F130" s="19" t="s">
        <v>471</v>
      </c>
    </row>
    <row r="131" spans="1:6">
      <c r="A131" s="93" t="s">
        <v>5288</v>
      </c>
      <c r="B131">
        <v>4.08320292</v>
      </c>
      <c r="C131">
        <v>0.00530467</v>
      </c>
      <c r="D131">
        <v>-15.53339</v>
      </c>
      <c r="E131">
        <v>1</v>
      </c>
      <c r="F131" s="19" t="s">
        <v>2904</v>
      </c>
    </row>
    <row r="132" spans="1:6">
      <c r="A132" s="93" t="s">
        <v>5289</v>
      </c>
      <c r="B132">
        <v>7.25892097</v>
      </c>
      <c r="C132">
        <v>0.00392485</v>
      </c>
      <c r="D132">
        <v>-33.094378</v>
      </c>
      <c r="E132">
        <v>1</v>
      </c>
      <c r="F132" s="19" t="s">
        <v>761</v>
      </c>
    </row>
    <row r="133" spans="1:6">
      <c r="A133" s="93" t="s">
        <v>5290</v>
      </c>
      <c r="B133">
        <v>2.12097759</v>
      </c>
      <c r="C133">
        <v>0.00260824</v>
      </c>
      <c r="D133">
        <v>-7.9233361</v>
      </c>
      <c r="E133">
        <v>1</v>
      </c>
      <c r="F133" s="19" t="s">
        <v>2920</v>
      </c>
    </row>
    <row r="134" spans="1:6">
      <c r="A134" s="93" t="s">
        <v>5291</v>
      </c>
      <c r="B134">
        <v>2.5250898</v>
      </c>
      <c r="C134">
        <v>0.00917831</v>
      </c>
      <c r="D134">
        <v>-21.727</v>
      </c>
      <c r="E134">
        <v>1</v>
      </c>
      <c r="F134" s="19" t="s">
        <v>692</v>
      </c>
    </row>
    <row r="135" spans="1:6">
      <c r="A135" s="93" t="s">
        <v>5292</v>
      </c>
      <c r="B135">
        <v>6.25967256</v>
      </c>
      <c r="C135">
        <v>0.00628519</v>
      </c>
      <c r="D135">
        <v>-29.716059</v>
      </c>
      <c r="E135">
        <v>1</v>
      </c>
      <c r="F135" s="19" t="s">
        <v>799</v>
      </c>
    </row>
    <row r="136" spans="1:6">
      <c r="A136" s="93" t="s">
        <v>5293</v>
      </c>
      <c r="B136">
        <v>4.51640548</v>
      </c>
      <c r="C136">
        <v>0.0038093</v>
      </c>
      <c r="D136">
        <v>-16.027897</v>
      </c>
      <c r="E136">
        <v>1</v>
      </c>
      <c r="F136" s="19" t="s">
        <v>2949</v>
      </c>
    </row>
    <row r="137" spans="1:6">
      <c r="A137" s="93" t="s">
        <v>5294</v>
      </c>
      <c r="B137">
        <v>3.474747</v>
      </c>
      <c r="C137">
        <v>0.00268691</v>
      </c>
      <c r="D137">
        <v>-13.523161</v>
      </c>
      <c r="E137">
        <v>1</v>
      </c>
      <c r="F137" s="19" t="s">
        <v>486</v>
      </c>
    </row>
    <row r="138" spans="1:6">
      <c r="A138" s="93" t="s">
        <v>5295</v>
      </c>
      <c r="B138">
        <v>4.28395148</v>
      </c>
      <c r="C138">
        <v>0.00029026</v>
      </c>
      <c r="D138">
        <v>-16.175793</v>
      </c>
      <c r="E138">
        <v>1</v>
      </c>
      <c r="F138" s="19" t="s">
        <v>472</v>
      </c>
    </row>
    <row r="139" spans="1:6">
      <c r="A139" s="93" t="s">
        <v>5296</v>
      </c>
      <c r="B139">
        <v>4.69945283</v>
      </c>
      <c r="C139">
        <v>0.0125617</v>
      </c>
      <c r="D139">
        <v>-27.567748</v>
      </c>
      <c r="E139">
        <v>1</v>
      </c>
      <c r="F139" s="19" t="s">
        <v>476</v>
      </c>
    </row>
    <row r="140" spans="1:6">
      <c r="A140" s="93" t="s">
        <v>5297</v>
      </c>
      <c r="B140">
        <v>1.54548901</v>
      </c>
      <c r="C140">
        <v>0.01763571</v>
      </c>
      <c r="D140">
        <v>-29.573529</v>
      </c>
      <c r="E140">
        <v>1</v>
      </c>
      <c r="F140" s="19" t="s">
        <v>687</v>
      </c>
    </row>
    <row r="141" spans="1:6">
      <c r="A141" s="93" t="s">
        <v>5298</v>
      </c>
      <c r="B141">
        <v>5.74487703</v>
      </c>
      <c r="C141">
        <v>0.01726815</v>
      </c>
      <c r="D141">
        <v>-41.098656</v>
      </c>
      <c r="E141">
        <v>1</v>
      </c>
      <c r="F141" s="19" t="s">
        <v>511</v>
      </c>
    </row>
    <row r="142" spans="1:6">
      <c r="A142" s="93" t="s">
        <v>5299</v>
      </c>
      <c r="B142">
        <v>6.63206013</v>
      </c>
      <c r="C142">
        <v>0.00718595</v>
      </c>
      <c r="D142">
        <v>-36.960045</v>
      </c>
      <c r="E142">
        <v>1</v>
      </c>
      <c r="F142" s="19" t="s">
        <v>688</v>
      </c>
    </row>
    <row r="143" spans="1:6">
      <c r="A143" s="93" t="s">
        <v>5300</v>
      </c>
      <c r="B143">
        <v>1.2063902</v>
      </c>
      <c r="C143">
        <v>0.01076681</v>
      </c>
      <c r="D143">
        <v>-13.708116</v>
      </c>
      <c r="E143">
        <v>1</v>
      </c>
      <c r="F143" s="19" t="s">
        <v>3313</v>
      </c>
    </row>
    <row r="144" spans="1:6">
      <c r="A144" s="93" t="s">
        <v>5301</v>
      </c>
      <c r="B144">
        <v>3.00991527</v>
      </c>
      <c r="C144">
        <v>0.00130553</v>
      </c>
      <c r="D144">
        <v>-7.3455823</v>
      </c>
      <c r="E144">
        <v>1</v>
      </c>
      <c r="F144" s="19" t="s">
        <v>683</v>
      </c>
    </row>
    <row r="145" spans="1:6">
      <c r="A145" s="93" t="s">
        <v>5302</v>
      </c>
      <c r="B145">
        <v>2.30370241</v>
      </c>
      <c r="C145">
        <v>0.01503379</v>
      </c>
      <c r="D145">
        <v>-26.875962</v>
      </c>
      <c r="E145">
        <v>1</v>
      </c>
      <c r="F145" s="19" t="s">
        <v>607</v>
      </c>
    </row>
    <row r="146" spans="1:6">
      <c r="A146" s="93" t="s">
        <v>5303</v>
      </c>
      <c r="B146">
        <v>0.23041991</v>
      </c>
      <c r="C146">
        <v>0.02657804</v>
      </c>
      <c r="D146">
        <v>-28.179689</v>
      </c>
      <c r="E146">
        <v>1</v>
      </c>
      <c r="F146" s="19" t="s">
        <v>3377</v>
      </c>
    </row>
    <row r="147" spans="1:6">
      <c r="A147" s="93" t="s">
        <v>5304</v>
      </c>
      <c r="B147">
        <v>12.9702966</v>
      </c>
      <c r="C147">
        <v>0.01903748</v>
      </c>
      <c r="D147">
        <v>-46.740955</v>
      </c>
      <c r="E147">
        <v>1</v>
      </c>
      <c r="F147" s="19" t="s">
        <v>667</v>
      </c>
    </row>
    <row r="148" spans="1:6">
      <c r="A148" s="93" t="s">
        <v>5305</v>
      </c>
      <c r="B148">
        <v>4.16006917</v>
      </c>
      <c r="C148">
        <v>0.01333854</v>
      </c>
      <c r="D148">
        <v>-34.77156</v>
      </c>
      <c r="E148">
        <v>1</v>
      </c>
      <c r="F148" s="19" t="s">
        <v>496</v>
      </c>
    </row>
    <row r="149" spans="1:6">
      <c r="A149" s="93" t="s">
        <v>5306</v>
      </c>
      <c r="B149">
        <v>17.6139265</v>
      </c>
      <c r="C149">
        <v>0.00910413</v>
      </c>
      <c r="D149">
        <v>-66.18316900000001</v>
      </c>
      <c r="E149">
        <v>1</v>
      </c>
      <c r="F149" s="19" t="s">
        <v>860</v>
      </c>
    </row>
    <row r="150" spans="1:6">
      <c r="A150" s="93" t="s">
        <v>5307</v>
      </c>
      <c r="B150">
        <v>11.63928</v>
      </c>
      <c r="C150">
        <v>0.02631296</v>
      </c>
      <c r="D150">
        <v>-49.812184</v>
      </c>
      <c r="E150">
        <v>1</v>
      </c>
      <c r="F150" s="19" t="s">
        <v>693</v>
      </c>
    </row>
    <row r="151" spans="1:6">
      <c r="A151" s="93" t="s">
        <v>5308</v>
      </c>
      <c r="B151">
        <v>4.80121332</v>
      </c>
      <c r="C151">
        <v>0.02141036</v>
      </c>
      <c r="D151">
        <v>-43.600181</v>
      </c>
      <c r="E151">
        <v>1</v>
      </c>
      <c r="F151" s="19" t="s">
        <v>1084</v>
      </c>
    </row>
    <row r="152" spans="1:6">
      <c r="A152" s="93" t="s">
        <v>5309</v>
      </c>
      <c r="B152">
        <v>6.01278411</v>
      </c>
      <c r="C152">
        <v>0.00375492</v>
      </c>
      <c r="D152">
        <v>-22.167519</v>
      </c>
      <c r="E152">
        <v>1</v>
      </c>
      <c r="F152" s="19" t="s">
        <v>665</v>
      </c>
    </row>
    <row r="153" spans="1:6">
      <c r="A153" s="93" t="s">
        <v>5310</v>
      </c>
      <c r="B153">
        <v>5.59067877</v>
      </c>
      <c r="C153">
        <v>0.00213467</v>
      </c>
      <c r="D153">
        <v>-14.529492</v>
      </c>
      <c r="E153">
        <v>1</v>
      </c>
      <c r="F153" s="19" t="s">
        <v>801</v>
      </c>
    </row>
    <row r="154" spans="1:6">
      <c r="A154" s="93" t="s">
        <v>5311</v>
      </c>
      <c r="B154">
        <v>7.43790371</v>
      </c>
      <c r="C154">
        <v>0.02263695</v>
      </c>
      <c r="D154">
        <v>-36.768811</v>
      </c>
      <c r="E154">
        <v>1</v>
      </c>
      <c r="F154" s="19" t="s">
        <v>1091</v>
      </c>
    </row>
    <row r="155" spans="1:6">
      <c r="A155" s="93" t="s">
        <v>5312</v>
      </c>
      <c r="B155">
        <v>5.88476836</v>
      </c>
      <c r="C155">
        <v>0.00773578</v>
      </c>
      <c r="D155">
        <v>-30.742893</v>
      </c>
      <c r="E155">
        <v>1</v>
      </c>
      <c r="F155" s="19" t="s">
        <v>864</v>
      </c>
    </row>
    <row r="156" spans="1:6">
      <c r="A156" s="93" t="s">
        <v>5313</v>
      </c>
      <c r="B156">
        <v>5.47436573</v>
      </c>
      <c r="C156">
        <v>0.00094932</v>
      </c>
      <c r="D156">
        <v>-17.095474</v>
      </c>
      <c r="E156">
        <v>1</v>
      </c>
      <c r="F156" s="19" t="s">
        <v>503</v>
      </c>
    </row>
    <row r="157" spans="1:6">
      <c r="A157" s="93" t="s">
        <v>5314</v>
      </c>
      <c r="B157">
        <v>1.94586154</v>
      </c>
      <c r="C157">
        <v>0.00064672</v>
      </c>
      <c r="D157">
        <v>-5.0825778</v>
      </c>
      <c r="E157">
        <v>1</v>
      </c>
      <c r="F157" s="19" t="s">
        <v>867</v>
      </c>
    </row>
    <row r="158" spans="1:6">
      <c r="A158" s="93" t="s">
        <v>5315</v>
      </c>
      <c r="B158">
        <v>3.60441531</v>
      </c>
      <c r="C158">
        <v>0.00639944</v>
      </c>
      <c r="D158">
        <v>-17.481902</v>
      </c>
      <c r="E158">
        <v>1</v>
      </c>
      <c r="F158" s="19" t="s">
        <v>689</v>
      </c>
    </row>
    <row r="159" spans="1:6">
      <c r="A159" s="93" t="s">
        <v>5316</v>
      </c>
      <c r="B159">
        <v>2.08728959</v>
      </c>
      <c r="C159">
        <v>0.00282513</v>
      </c>
      <c r="D159">
        <v>-9.4221222</v>
      </c>
      <c r="E159">
        <v>1</v>
      </c>
      <c r="F159" s="19" t="s">
        <v>767</v>
      </c>
    </row>
    <row r="160" spans="1:6">
      <c r="A160" s="93" t="s">
        <v>5317</v>
      </c>
      <c r="B160">
        <v>6.12846492</v>
      </c>
      <c r="C160">
        <v>0.008133720000000001</v>
      </c>
      <c r="D160">
        <v>-22.781731</v>
      </c>
      <c r="E160">
        <v>1</v>
      </c>
      <c r="F160" s="19" t="s">
        <v>536</v>
      </c>
    </row>
    <row r="161" spans="1:6">
      <c r="A161" s="93" t="s">
        <v>5318</v>
      </c>
      <c r="B161">
        <v>5.37758818</v>
      </c>
      <c r="C161">
        <v>0.00468936</v>
      </c>
      <c r="D161">
        <v>-23.565074</v>
      </c>
      <c r="E161">
        <v>1</v>
      </c>
      <c r="F161" s="19" t="s">
        <v>643</v>
      </c>
    </row>
    <row r="162" spans="1:6">
      <c r="A162" s="93" t="s">
        <v>5319</v>
      </c>
      <c r="B162">
        <v>6.99529936</v>
      </c>
      <c r="C162">
        <v>0.008896070000000001</v>
      </c>
      <c r="D162">
        <v>-25.700774</v>
      </c>
      <c r="E162">
        <v>1</v>
      </c>
      <c r="F162" s="19" t="s">
        <v>1103</v>
      </c>
    </row>
    <row r="163" spans="1:6">
      <c r="A163" s="93" t="s">
        <v>5320</v>
      </c>
      <c r="B163">
        <v>2.31307622</v>
      </c>
      <c r="C163">
        <v>0.01220679</v>
      </c>
      <c r="D163">
        <v>-21.407544</v>
      </c>
      <c r="E163">
        <v>1</v>
      </c>
      <c r="F163" s="19" t="s">
        <v>711</v>
      </c>
    </row>
    <row r="164" spans="1:6">
      <c r="A164" s="93" t="s">
        <v>5321</v>
      </c>
      <c r="B164">
        <v>1.99775393</v>
      </c>
      <c r="C164">
        <v>0.00107252</v>
      </c>
      <c r="D164">
        <v>-5.7413311</v>
      </c>
      <c r="E164">
        <v>1</v>
      </c>
      <c r="F164" s="19" t="s">
        <v>466</v>
      </c>
    </row>
    <row r="165" spans="1:6">
      <c r="A165" s="93" t="s">
        <v>5322</v>
      </c>
      <c r="B165">
        <v>3.255046</v>
      </c>
      <c r="C165">
        <v>-1.7E-05</v>
      </c>
      <c r="D165">
        <v>-8.711164999999999</v>
      </c>
      <c r="E165">
        <v>1</v>
      </c>
      <c r="F165" s="19" t="s">
        <v>501</v>
      </c>
    </row>
    <row r="166" spans="1:6">
      <c r="A166" s="93" t="s">
        <v>5323</v>
      </c>
      <c r="B166">
        <v>5.83445226</v>
      </c>
      <c r="C166">
        <v>0.02059081</v>
      </c>
      <c r="D166">
        <v>-48.885411</v>
      </c>
      <c r="E166">
        <v>1</v>
      </c>
      <c r="F166" s="19" t="s">
        <v>523</v>
      </c>
    </row>
    <row r="167" spans="1:6">
      <c r="A167" s="93" t="s">
        <v>5324</v>
      </c>
      <c r="B167">
        <v>5.98561382</v>
      </c>
      <c r="C167">
        <v>0.00831781</v>
      </c>
      <c r="D167">
        <v>-35.94545</v>
      </c>
      <c r="E167">
        <v>1</v>
      </c>
      <c r="F167" s="19" t="s">
        <v>520</v>
      </c>
    </row>
    <row r="168" spans="1:6">
      <c r="A168" s="93" t="s">
        <v>5325</v>
      </c>
      <c r="B168">
        <v>5.7509097</v>
      </c>
      <c r="C168">
        <v>0.008684610000000001</v>
      </c>
      <c r="D168">
        <v>-30.46009</v>
      </c>
      <c r="E168">
        <v>1</v>
      </c>
      <c r="F168" s="19" t="s">
        <v>813</v>
      </c>
    </row>
    <row r="169" spans="1:6">
      <c r="A169" s="93" t="s">
        <v>5326</v>
      </c>
      <c r="B169">
        <v>5.09237196</v>
      </c>
      <c r="C169">
        <v>0.009646109999999999</v>
      </c>
      <c r="D169">
        <v>-27.457042</v>
      </c>
      <c r="E169">
        <v>1</v>
      </c>
      <c r="F169" s="19" t="s">
        <v>600</v>
      </c>
    </row>
    <row r="170" spans="1:6">
      <c r="A170" s="93" t="s">
        <v>5327</v>
      </c>
      <c r="B170">
        <v>4.75085438</v>
      </c>
      <c r="C170">
        <v>0.00673114</v>
      </c>
      <c r="D170">
        <v>-26.913949</v>
      </c>
      <c r="E170">
        <v>1</v>
      </c>
      <c r="F170" s="19" t="s">
        <v>1444</v>
      </c>
    </row>
    <row r="171" spans="1:6">
      <c r="A171" s="93" t="s">
        <v>5328</v>
      </c>
      <c r="B171">
        <v>8.024526010000001</v>
      </c>
      <c r="C171">
        <v>0.00330627</v>
      </c>
      <c r="D171">
        <v>-36.846839</v>
      </c>
      <c r="E171">
        <v>1</v>
      </c>
      <c r="F171" s="19" t="s">
        <v>697</v>
      </c>
    </row>
    <row r="172" spans="1:6">
      <c r="A172" s="93" t="s">
        <v>5329</v>
      </c>
      <c r="B172">
        <v>2.99725674</v>
      </c>
      <c r="C172">
        <v>0.00430957</v>
      </c>
      <c r="D172">
        <v>-17.975601</v>
      </c>
      <c r="E172">
        <v>1</v>
      </c>
      <c r="F172" s="19" t="s">
        <v>726</v>
      </c>
    </row>
    <row r="173" spans="1:6">
      <c r="A173" s="93" t="s">
        <v>5330</v>
      </c>
      <c r="B173">
        <v>7.04664869</v>
      </c>
      <c r="C173">
        <v>0.0117222</v>
      </c>
      <c r="D173">
        <v>-37.284647</v>
      </c>
      <c r="E173">
        <v>1</v>
      </c>
      <c r="F173" s="19" t="s">
        <v>816</v>
      </c>
    </row>
    <row r="174" spans="1:6">
      <c r="A174" s="93" t="s">
        <v>5331</v>
      </c>
      <c r="B174">
        <v>5.60260228</v>
      </c>
      <c r="C174">
        <v>0.00467742</v>
      </c>
      <c r="D174">
        <v>-26.943356</v>
      </c>
      <c r="E174">
        <v>1</v>
      </c>
      <c r="F174" s="19" t="s">
        <v>584</v>
      </c>
    </row>
    <row r="175" spans="1:6">
      <c r="A175" s="93" t="s">
        <v>5332</v>
      </c>
      <c r="B175">
        <v>5.22618371</v>
      </c>
      <c r="C175">
        <v>0.00384148</v>
      </c>
      <c r="D175">
        <v>-25.332921</v>
      </c>
      <c r="E175">
        <v>1</v>
      </c>
      <c r="F175" s="19" t="s">
        <v>585</v>
      </c>
    </row>
    <row r="176" spans="1:6">
      <c r="A176" s="93" t="s">
        <v>5333</v>
      </c>
      <c r="B176">
        <v>6.65075885</v>
      </c>
      <c r="C176">
        <v>0.01161942</v>
      </c>
      <c r="D176">
        <v>-41.33607</v>
      </c>
      <c r="E176">
        <v>1</v>
      </c>
      <c r="F176" s="19" t="s">
        <v>599</v>
      </c>
    </row>
    <row r="177" spans="1:6">
      <c r="A177" s="93" t="s">
        <v>5334</v>
      </c>
      <c r="B177">
        <v>12.3198191</v>
      </c>
      <c r="C177">
        <v>0.01231711</v>
      </c>
      <c r="D177">
        <v>-60.464683</v>
      </c>
      <c r="E177">
        <v>1</v>
      </c>
      <c r="F177" s="19" t="s">
        <v>741</v>
      </c>
    </row>
    <row r="178" spans="1:6">
      <c r="A178" s="93" t="s">
        <v>5335</v>
      </c>
      <c r="B178">
        <v>3.28161636</v>
      </c>
      <c r="C178">
        <v>0.0062944</v>
      </c>
      <c r="D178">
        <v>-21.688972</v>
      </c>
      <c r="E178">
        <v>1</v>
      </c>
      <c r="F178" s="19" t="s">
        <v>492</v>
      </c>
    </row>
    <row r="179" spans="1:6">
      <c r="A179" s="93" t="s">
        <v>5336</v>
      </c>
      <c r="B179">
        <v>3.7668271</v>
      </c>
      <c r="C179">
        <v>0.01059112</v>
      </c>
      <c r="D179">
        <v>-22.092579</v>
      </c>
      <c r="E179">
        <v>1</v>
      </c>
      <c r="F179" s="19" t="s">
        <v>603</v>
      </c>
    </row>
    <row r="180" spans="1:6">
      <c r="A180" s="93" t="s">
        <v>5337</v>
      </c>
      <c r="B180">
        <v>5.01594594</v>
      </c>
      <c r="C180">
        <v>0.00876627</v>
      </c>
      <c r="D180">
        <v>-30.268654</v>
      </c>
      <c r="E180">
        <v>1</v>
      </c>
      <c r="F180" s="19" t="s">
        <v>713</v>
      </c>
    </row>
    <row r="181" spans="1:6">
      <c r="A181" s="93" t="s">
        <v>5338</v>
      </c>
      <c r="B181">
        <v>2.60987028</v>
      </c>
      <c r="C181">
        <v>0.00131436</v>
      </c>
      <c r="D181">
        <v>-9.2249278</v>
      </c>
      <c r="E181">
        <v>1</v>
      </c>
      <c r="F181" s="19" t="s">
        <v>517</v>
      </c>
    </row>
    <row r="182" spans="1:6">
      <c r="A182" s="93" t="s">
        <v>5339</v>
      </c>
      <c r="B182">
        <v>5.30654462</v>
      </c>
      <c r="C182">
        <v>0.00462965</v>
      </c>
      <c r="D182">
        <v>-20.152179</v>
      </c>
      <c r="E182">
        <v>1</v>
      </c>
      <c r="F182" s="19" t="s">
        <v>774</v>
      </c>
    </row>
    <row r="183" spans="1:6">
      <c r="A183" s="93" t="s">
        <v>5340</v>
      </c>
      <c r="B183">
        <v>3.03129124</v>
      </c>
      <c r="C183">
        <v>0.01900373</v>
      </c>
      <c r="D183">
        <v>-26.089313</v>
      </c>
      <c r="E183">
        <v>1</v>
      </c>
      <c r="F183" s="19" t="s">
        <v>452</v>
      </c>
    </row>
    <row r="184" spans="1:6">
      <c r="A184" s="93" t="s">
        <v>5341</v>
      </c>
      <c r="B184">
        <v>7.22223952</v>
      </c>
      <c r="C184">
        <v>0.02068966</v>
      </c>
      <c r="D184">
        <v>-37.681178</v>
      </c>
      <c r="E184">
        <v>1</v>
      </c>
      <c r="F184" s="19" t="s">
        <v>931</v>
      </c>
    </row>
    <row r="185" spans="1:6">
      <c r="A185" s="93" t="s">
        <v>5342</v>
      </c>
      <c r="B185">
        <v>5.00528913</v>
      </c>
      <c r="C185">
        <v>0.00558245</v>
      </c>
      <c r="D185">
        <v>-19.454679</v>
      </c>
      <c r="E185">
        <v>1</v>
      </c>
      <c r="F185" s="19" t="s">
        <v>653</v>
      </c>
    </row>
    <row r="186" spans="1:6">
      <c r="A186" s="93" t="s">
        <v>5343</v>
      </c>
      <c r="B186">
        <v>1.90381233</v>
      </c>
      <c r="C186">
        <v>0.00499719</v>
      </c>
      <c r="D186">
        <v>-8.539931599999999</v>
      </c>
      <c r="E186">
        <v>1</v>
      </c>
      <c r="F186" s="19" t="s">
        <v>645</v>
      </c>
    </row>
    <row r="187" spans="1:6">
      <c r="A187" s="93" t="s">
        <v>5344</v>
      </c>
      <c r="B187">
        <v>1.16204167</v>
      </c>
      <c r="C187">
        <v>0.00523692</v>
      </c>
      <c r="D187">
        <v>-12.760519</v>
      </c>
      <c r="E187">
        <v>1</v>
      </c>
      <c r="F187" s="19" t="s">
        <v>494</v>
      </c>
    </row>
    <row r="188" spans="1:6">
      <c r="A188" s="93" t="s">
        <v>5345</v>
      </c>
      <c r="B188">
        <v>5.76273307</v>
      </c>
      <c r="C188">
        <v>0.00486618</v>
      </c>
      <c r="D188">
        <v>-17.188917</v>
      </c>
      <c r="E188">
        <v>1</v>
      </c>
      <c r="F188" s="19" t="s">
        <v>562</v>
      </c>
    </row>
    <row r="189" spans="1:6">
      <c r="A189" s="93" t="s">
        <v>5346</v>
      </c>
      <c r="B189">
        <v>3.60847951</v>
      </c>
      <c r="C189">
        <v>0.01003367</v>
      </c>
      <c r="D189">
        <v>-17.659261</v>
      </c>
      <c r="E189">
        <v>1</v>
      </c>
      <c r="F189" s="19" t="s">
        <v>650</v>
      </c>
    </row>
    <row r="190" spans="1:6">
      <c r="A190" s="93" t="s">
        <v>5347</v>
      </c>
      <c r="B190">
        <v>5.019279</v>
      </c>
      <c r="C190">
        <v>0.0075437</v>
      </c>
      <c r="D190">
        <v>-19.221059</v>
      </c>
      <c r="E190">
        <v>1</v>
      </c>
      <c r="F190" s="19" t="s">
        <v>458</v>
      </c>
    </row>
    <row r="191" spans="1:6">
      <c r="A191" s="93" t="s">
        <v>5348</v>
      </c>
      <c r="B191">
        <v>4.81016068</v>
      </c>
      <c r="C191">
        <v>0.01288398</v>
      </c>
      <c r="D191">
        <v>-23.861815</v>
      </c>
      <c r="E191">
        <v>1</v>
      </c>
      <c r="F191" s="19" t="s">
        <v>451</v>
      </c>
    </row>
    <row r="192" spans="1:6">
      <c r="A192" s="93" t="s">
        <v>5349</v>
      </c>
      <c r="B192">
        <v>4.31193714</v>
      </c>
      <c r="C192">
        <v>0.00966316</v>
      </c>
      <c r="D192">
        <v>-24.294267</v>
      </c>
      <c r="E192">
        <v>1</v>
      </c>
      <c r="F192" s="19" t="s">
        <v>934</v>
      </c>
    </row>
    <row r="193" spans="1:6">
      <c r="A193" s="93" t="s">
        <v>5350</v>
      </c>
      <c r="B193">
        <v>6.36126201</v>
      </c>
      <c r="C193">
        <v>0.00639367</v>
      </c>
      <c r="D193">
        <v>-23.715199</v>
      </c>
      <c r="E193">
        <v>1</v>
      </c>
      <c r="F193" s="19" t="s">
        <v>529</v>
      </c>
    </row>
    <row r="194" spans="1:6">
      <c r="A194" s="93" t="s">
        <v>5351</v>
      </c>
      <c r="B194">
        <v>7.18942339</v>
      </c>
      <c r="C194">
        <v>0.01116933</v>
      </c>
      <c r="D194">
        <v>-34.322439</v>
      </c>
      <c r="E194">
        <v>1</v>
      </c>
      <c r="F194" s="19" t="s">
        <v>477</v>
      </c>
    </row>
    <row r="195" spans="1:6">
      <c r="A195" s="93" t="s">
        <v>5352</v>
      </c>
      <c r="B195">
        <v>8.27939834</v>
      </c>
      <c r="C195">
        <v>0.01229317</v>
      </c>
      <c r="D195">
        <v>-40.286021</v>
      </c>
      <c r="E195">
        <v>1</v>
      </c>
      <c r="F195" s="19" t="s">
        <v>557</v>
      </c>
    </row>
    <row r="196" spans="1:6">
      <c r="A196" s="93" t="s">
        <v>5353</v>
      </c>
      <c r="B196">
        <v>4.83072259</v>
      </c>
      <c r="C196">
        <v>0.009302339999999999</v>
      </c>
      <c r="D196">
        <v>-20.877496</v>
      </c>
      <c r="E196">
        <v>1</v>
      </c>
      <c r="F196" s="19" t="s">
        <v>571</v>
      </c>
    </row>
    <row r="197" spans="1:6">
      <c r="A197" s="93" t="s">
        <v>5354</v>
      </c>
      <c r="B197">
        <v>4.06816201</v>
      </c>
      <c r="C197">
        <v>0.00708198</v>
      </c>
      <c r="D197">
        <v>-13.327648</v>
      </c>
      <c r="E197">
        <v>1</v>
      </c>
      <c r="F197" s="19" t="s">
        <v>716</v>
      </c>
    </row>
    <row r="198" spans="1:6">
      <c r="A198" s="93" t="s">
        <v>5355</v>
      </c>
      <c r="B198">
        <v>7.32697583</v>
      </c>
      <c r="C198">
        <v>0.03402182</v>
      </c>
      <c r="D198">
        <v>-51.167222</v>
      </c>
      <c r="E198">
        <v>1</v>
      </c>
      <c r="F198" s="19" t="s">
        <v>777</v>
      </c>
    </row>
    <row r="199" spans="1:6">
      <c r="A199" s="93" t="s">
        <v>5356</v>
      </c>
      <c r="B199">
        <v>7.48969019</v>
      </c>
      <c r="C199">
        <v>0.02003503</v>
      </c>
      <c r="D199">
        <v>-37.507137</v>
      </c>
      <c r="E199">
        <v>1</v>
      </c>
      <c r="F199" s="19" t="s">
        <v>568</v>
      </c>
    </row>
    <row r="200" spans="1:6">
      <c r="A200" s="93" t="s">
        <v>5357</v>
      </c>
      <c r="B200">
        <v>7.39568074</v>
      </c>
      <c r="C200">
        <v>0.00788288</v>
      </c>
      <c r="D200">
        <v>-26.510075</v>
      </c>
      <c r="E200">
        <v>1</v>
      </c>
      <c r="F200" s="19" t="s">
        <v>526</v>
      </c>
    </row>
    <row r="201" spans="1:6">
      <c r="A201" s="93" t="s">
        <v>5358</v>
      </c>
      <c r="B201">
        <v>6.22455778</v>
      </c>
      <c r="C201">
        <v>0.00733794</v>
      </c>
      <c r="D201">
        <v>-24.653653</v>
      </c>
      <c r="E201">
        <v>1</v>
      </c>
      <c r="F201" s="19" t="s">
        <v>831</v>
      </c>
    </row>
    <row r="202" spans="1:6">
      <c r="A202" s="93" t="s">
        <v>5359</v>
      </c>
      <c r="B202">
        <v>6.59911992</v>
      </c>
      <c r="C202">
        <v>0.01132868</v>
      </c>
      <c r="D202">
        <v>-26.898</v>
      </c>
      <c r="E202">
        <v>1</v>
      </c>
      <c r="F202" s="19" t="s">
        <v>506</v>
      </c>
    </row>
    <row r="203" spans="1:6">
      <c r="A203" s="93" t="s">
        <v>5360</v>
      </c>
      <c r="B203">
        <v>4.40363303</v>
      </c>
      <c r="C203">
        <v>0.00395221</v>
      </c>
      <c r="D203">
        <v>-14.286642</v>
      </c>
      <c r="E203">
        <v>1</v>
      </c>
      <c r="F203" s="19" t="s">
        <v>457</v>
      </c>
    </row>
    <row r="204" spans="1:6">
      <c r="A204" s="93" t="s">
        <v>5361</v>
      </c>
      <c r="B204">
        <v>5.21684733</v>
      </c>
      <c r="C204">
        <v>0.009807339999999999</v>
      </c>
      <c r="D204">
        <v>-19.158771</v>
      </c>
      <c r="E204">
        <v>1</v>
      </c>
      <c r="F204" s="19" t="s">
        <v>463</v>
      </c>
    </row>
    <row r="205" spans="1:6">
      <c r="A205" s="93" t="s">
        <v>5362</v>
      </c>
      <c r="B205">
        <v>1.43590608</v>
      </c>
      <c r="C205">
        <v>0.00045841</v>
      </c>
      <c r="D205">
        <v>-2.2705012</v>
      </c>
      <c r="E205">
        <v>1</v>
      </c>
      <c r="F205" s="19" t="s">
        <v>469</v>
      </c>
    </row>
    <row r="206" spans="1:6">
      <c r="A206" s="93" t="s">
        <v>5363</v>
      </c>
      <c r="B206">
        <v>2.12454459</v>
      </c>
      <c r="C206">
        <v>0.0042807</v>
      </c>
      <c r="D206">
        <v>-7.9263538</v>
      </c>
      <c r="E206">
        <v>1</v>
      </c>
      <c r="F206" s="19" t="s">
        <v>642</v>
      </c>
    </row>
    <row r="207" spans="1:6">
      <c r="A207" s="93" t="s">
        <v>5364</v>
      </c>
      <c r="B207">
        <v>6.32549624</v>
      </c>
      <c r="C207">
        <v>0.01056695</v>
      </c>
      <c r="D207">
        <v>-26.554632</v>
      </c>
      <c r="E207">
        <v>1</v>
      </c>
      <c r="F207" s="19" t="s">
        <v>447</v>
      </c>
    </row>
    <row r="208" spans="1:6">
      <c r="A208" s="93" t="s">
        <v>5365</v>
      </c>
      <c r="B208">
        <v>5.32266251</v>
      </c>
      <c r="C208">
        <v>0.01502983</v>
      </c>
      <c r="D208">
        <v>-28.637299</v>
      </c>
      <c r="E208">
        <v>1</v>
      </c>
      <c r="F208" s="19" t="s">
        <v>731</v>
      </c>
    </row>
    <row r="209" spans="1:6">
      <c r="A209" s="93" t="s">
        <v>5366</v>
      </c>
      <c r="B209">
        <v>4.72945709</v>
      </c>
      <c r="C209">
        <v>0.01841549</v>
      </c>
      <c r="D209">
        <v>-27.719511</v>
      </c>
      <c r="E209">
        <v>1</v>
      </c>
      <c r="F209" s="19" t="s">
        <v>644</v>
      </c>
    </row>
    <row r="210" spans="1:6">
      <c r="A210" s="93" t="s">
        <v>5367</v>
      </c>
      <c r="B210">
        <v>3.53227283</v>
      </c>
      <c r="C210">
        <v>0.01622274</v>
      </c>
      <c r="D210">
        <v>-23.284279</v>
      </c>
      <c r="E210">
        <v>1</v>
      </c>
      <c r="F210" s="19" t="s">
        <v>661</v>
      </c>
    </row>
    <row r="211" spans="1:6">
      <c r="A211" s="93" t="s">
        <v>5368</v>
      </c>
      <c r="B211">
        <v>6.36107103</v>
      </c>
      <c r="C211">
        <v>0.02337485</v>
      </c>
      <c r="D211">
        <v>-38.307167</v>
      </c>
      <c r="E211">
        <v>1</v>
      </c>
      <c r="F211" s="19" t="s">
        <v>732</v>
      </c>
    </row>
    <row r="212" spans="1:6">
      <c r="A212" s="93" t="s">
        <v>5369</v>
      </c>
      <c r="B212">
        <v>5.16880637</v>
      </c>
      <c r="C212">
        <v>0.01255448</v>
      </c>
      <c r="D212">
        <v>-23.467502</v>
      </c>
      <c r="E212">
        <v>1</v>
      </c>
      <c r="F212" s="19" t="s">
        <v>456</v>
      </c>
    </row>
    <row r="213" spans="1:6">
      <c r="A213" s="93" t="s">
        <v>5370</v>
      </c>
      <c r="B213">
        <v>5.41438199</v>
      </c>
      <c r="C213">
        <v>0.00502101</v>
      </c>
      <c r="D213">
        <v>-22.009807</v>
      </c>
      <c r="E213">
        <v>1</v>
      </c>
      <c r="F213" s="19" t="s">
        <v>617</v>
      </c>
    </row>
    <row r="214" spans="1:6">
      <c r="A214" s="93" t="s">
        <v>5371</v>
      </c>
      <c r="B214">
        <v>5.54933295</v>
      </c>
      <c r="C214">
        <v>0.00858139</v>
      </c>
      <c r="D214">
        <v>-28.013552</v>
      </c>
      <c r="E214">
        <v>1</v>
      </c>
      <c r="F214" s="19" t="s">
        <v>512</v>
      </c>
    </row>
    <row r="215" spans="1:6">
      <c r="A215" s="93" t="s">
        <v>5372</v>
      </c>
      <c r="B215">
        <v>8.394759880000001</v>
      </c>
      <c r="C215">
        <v>0.009229009999999999</v>
      </c>
      <c r="D215">
        <v>-36.028883</v>
      </c>
      <c r="E215">
        <v>1</v>
      </c>
      <c r="F215" s="19" t="s">
        <v>1795</v>
      </c>
    </row>
    <row r="216" spans="1:6">
      <c r="A216" s="93" t="s">
        <v>5373</v>
      </c>
      <c r="B216">
        <v>2.65941949</v>
      </c>
      <c r="C216">
        <v>0.02458941</v>
      </c>
      <c r="D216">
        <v>-29.464674</v>
      </c>
      <c r="E216">
        <v>1</v>
      </c>
      <c r="F216" s="19" t="s">
        <v>780</v>
      </c>
    </row>
    <row r="217" spans="1:6">
      <c r="A217" s="93" t="s">
        <v>5374</v>
      </c>
      <c r="B217">
        <v>6.00438364</v>
      </c>
      <c r="C217">
        <v>0.00095947</v>
      </c>
      <c r="D217">
        <v>-19.413071</v>
      </c>
      <c r="E217">
        <v>1</v>
      </c>
      <c r="F217" s="19" t="s">
        <v>946</v>
      </c>
    </row>
    <row r="218" spans="1:6">
      <c r="A218" s="93" t="s">
        <v>5375</v>
      </c>
      <c r="B218">
        <v>8.081112709999999</v>
      </c>
      <c r="C218">
        <v>0.00537432</v>
      </c>
      <c r="D218">
        <v>-40.427926</v>
      </c>
      <c r="E218">
        <v>1</v>
      </c>
      <c r="F218" s="19" t="s">
        <v>491</v>
      </c>
    </row>
    <row r="219" spans="1:6">
      <c r="A219" s="93" t="s">
        <v>5376</v>
      </c>
      <c r="B219">
        <v>9.102866909999999</v>
      </c>
      <c r="C219">
        <v>0.00646951</v>
      </c>
      <c r="D219">
        <v>-32.571797</v>
      </c>
      <c r="E219">
        <v>1</v>
      </c>
      <c r="F219" s="19" t="s">
        <v>734</v>
      </c>
    </row>
    <row r="220" spans="1:6">
      <c r="A220" s="93" t="s">
        <v>5377</v>
      </c>
      <c r="B220">
        <v>6.30089775</v>
      </c>
      <c r="C220">
        <v>0.00636396</v>
      </c>
      <c r="D220">
        <v>-23.989588</v>
      </c>
      <c r="E220">
        <v>1</v>
      </c>
      <c r="F220" s="19" t="s">
        <v>612</v>
      </c>
    </row>
    <row r="221" spans="1:6">
      <c r="A221" s="93" t="s">
        <v>5378</v>
      </c>
      <c r="B221">
        <v>5.23430938</v>
      </c>
      <c r="C221">
        <v>0.01106017</v>
      </c>
      <c r="D221">
        <v>-27.528256</v>
      </c>
      <c r="E221">
        <v>1</v>
      </c>
      <c r="F221" s="19" t="s">
        <v>782</v>
      </c>
    </row>
    <row r="222" spans="1:6">
      <c r="A222" s="93" t="s">
        <v>5379</v>
      </c>
      <c r="B222">
        <v>6.00292391</v>
      </c>
      <c r="C222">
        <v>0.01743098</v>
      </c>
      <c r="D222">
        <v>-34.840518</v>
      </c>
      <c r="E222">
        <v>1</v>
      </c>
      <c r="F222" s="19" t="s">
        <v>699</v>
      </c>
    </row>
    <row r="223" spans="1:6">
      <c r="A223" s="93" t="s">
        <v>5380</v>
      </c>
      <c r="B223">
        <v>5.83107879</v>
      </c>
      <c r="C223">
        <v>0.00245401</v>
      </c>
      <c r="D223">
        <v>-11.871376</v>
      </c>
      <c r="E223">
        <v>1</v>
      </c>
      <c r="F223" s="19" t="s">
        <v>690</v>
      </c>
    </row>
    <row r="224" spans="1:6">
      <c r="A224" s="93" t="s">
        <v>5381</v>
      </c>
      <c r="B224">
        <v>2.5732216</v>
      </c>
      <c r="C224">
        <v>0.01847156</v>
      </c>
      <c r="D224">
        <v>-33.67626</v>
      </c>
      <c r="E224">
        <v>1</v>
      </c>
      <c r="F224" s="19" t="s">
        <v>500</v>
      </c>
    </row>
    <row r="225" spans="1:6">
      <c r="A225" s="93" t="s">
        <v>5382</v>
      </c>
      <c r="B225">
        <v>4.81622655</v>
      </c>
      <c r="C225">
        <v>0.0056193</v>
      </c>
      <c r="D225">
        <v>-17.748509</v>
      </c>
      <c r="E225">
        <v>1</v>
      </c>
      <c r="F225" s="19" t="s">
        <v>694</v>
      </c>
    </row>
    <row r="226" spans="1:6">
      <c r="A226" s="93" t="s">
        <v>5383</v>
      </c>
      <c r="B226">
        <v>3.36548962</v>
      </c>
      <c r="C226">
        <v>0.00731401</v>
      </c>
      <c r="D226">
        <v>-13.762767</v>
      </c>
      <c r="E226">
        <v>1</v>
      </c>
      <c r="F226" s="19" t="s">
        <v>838</v>
      </c>
    </row>
    <row r="227" spans="1:6">
      <c r="A227" s="93" t="s">
        <v>5384</v>
      </c>
      <c r="B227">
        <v>5.88680593</v>
      </c>
      <c r="C227">
        <v>0.01093888</v>
      </c>
      <c r="D227">
        <v>-27.381782</v>
      </c>
      <c r="E227">
        <v>1</v>
      </c>
      <c r="F227" s="19" t="s">
        <v>675</v>
      </c>
    </row>
    <row r="228" spans="1:6">
      <c r="A228" s="93" t="s">
        <v>5385</v>
      </c>
      <c r="B228">
        <v>8.138946819999999</v>
      </c>
      <c r="C228">
        <v>0.01637553</v>
      </c>
      <c r="D228">
        <v>-38.965484</v>
      </c>
      <c r="E228">
        <v>1</v>
      </c>
      <c r="F228" s="19" t="s">
        <v>481</v>
      </c>
    </row>
    <row r="229" spans="1:6">
      <c r="A229" s="93" t="s">
        <v>5386</v>
      </c>
      <c r="B229">
        <v>5.06244733</v>
      </c>
      <c r="C229">
        <v>0.01146874</v>
      </c>
      <c r="D229">
        <v>-24.773936</v>
      </c>
      <c r="E229">
        <v>1</v>
      </c>
      <c r="F229" s="19" t="s">
        <v>610</v>
      </c>
    </row>
    <row r="230" spans="1:6">
      <c r="A230" s="93" t="s">
        <v>5387</v>
      </c>
      <c r="B230">
        <v>2.82219281</v>
      </c>
      <c r="C230">
        <v>0.01101477</v>
      </c>
      <c r="D230">
        <v>-15.015035</v>
      </c>
      <c r="E230">
        <v>1</v>
      </c>
      <c r="F230" s="19" t="s">
        <v>735</v>
      </c>
    </row>
    <row r="231" spans="1:6">
      <c r="A231" s="93" t="s">
        <v>5388</v>
      </c>
      <c r="B231">
        <v>2.31050629</v>
      </c>
      <c r="C231">
        <v>0.00254104</v>
      </c>
      <c r="D231">
        <v>-10.966242</v>
      </c>
      <c r="E231">
        <v>1</v>
      </c>
      <c r="F231" s="19" t="s">
        <v>706</v>
      </c>
    </row>
    <row r="232" spans="1:6">
      <c r="A232" s="93" t="s">
        <v>5389</v>
      </c>
      <c r="B232">
        <v>3.84602797</v>
      </c>
      <c r="C232">
        <v>0.01019703</v>
      </c>
      <c r="D232">
        <v>-28.757283</v>
      </c>
      <c r="E232">
        <v>1</v>
      </c>
      <c r="F232" s="19" t="s">
        <v>788</v>
      </c>
    </row>
    <row r="233" spans="1:6">
      <c r="A233" s="93" t="s">
        <v>5390</v>
      </c>
      <c r="B233">
        <v>5.97926657</v>
      </c>
      <c r="C233">
        <v>0.02712902</v>
      </c>
      <c r="D233">
        <v>-56.922406</v>
      </c>
      <c r="E233">
        <v>1</v>
      </c>
      <c r="F233" s="19" t="s">
        <v>789</v>
      </c>
    </row>
    <row r="234" spans="1:6">
      <c r="A234" s="93" t="s">
        <v>5391</v>
      </c>
      <c r="B234">
        <v>3.86283397</v>
      </c>
      <c r="C234">
        <v>0.00463512</v>
      </c>
      <c r="D234">
        <v>-22.102263</v>
      </c>
      <c r="E234">
        <v>1</v>
      </c>
      <c r="F234" s="19" t="s">
        <v>708</v>
      </c>
    </row>
    <row r="235" spans="1:6">
      <c r="A235" s="93" t="s">
        <v>5392</v>
      </c>
      <c r="B235">
        <v>4.27579707</v>
      </c>
      <c r="C235">
        <v>0.00246694</v>
      </c>
      <c r="D235">
        <v>-21.028196</v>
      </c>
      <c r="E235">
        <v>1</v>
      </c>
      <c r="F235" s="19" t="s">
        <v>790</v>
      </c>
    </row>
    <row r="236" spans="1:6">
      <c r="A236" s="93" t="s">
        <v>5393</v>
      </c>
      <c r="B236">
        <v>5.76550555</v>
      </c>
      <c r="C236">
        <v>0.00738829</v>
      </c>
      <c r="D236">
        <v>-22.213272</v>
      </c>
      <c r="E236">
        <v>1</v>
      </c>
      <c r="F236" s="19" t="s">
        <v>478</v>
      </c>
    </row>
    <row r="237" spans="1:6">
      <c r="A237" s="93" t="s">
        <v>5394</v>
      </c>
      <c r="B237">
        <v>5.59827409</v>
      </c>
      <c r="C237">
        <v>0.01056724</v>
      </c>
      <c r="D237">
        <v>-23.227574</v>
      </c>
      <c r="E237">
        <v>1</v>
      </c>
      <c r="F237" s="19" t="s">
        <v>480</v>
      </c>
    </row>
    <row r="238" spans="1:6">
      <c r="A238" s="93" t="s">
        <v>5395</v>
      </c>
      <c r="B238">
        <v>10.6891323</v>
      </c>
      <c r="C238">
        <v>0.0152118</v>
      </c>
      <c r="D238">
        <v>-45.686772</v>
      </c>
      <c r="E238">
        <v>1</v>
      </c>
      <c r="F238" s="19" t="s">
        <v>502</v>
      </c>
    </row>
    <row r="239" spans="1:6">
      <c r="A239" s="93" t="s">
        <v>5396</v>
      </c>
      <c r="B239">
        <v>5.14620712</v>
      </c>
      <c r="C239">
        <v>0.00698297</v>
      </c>
      <c r="D239">
        <v>-24.927255</v>
      </c>
      <c r="E239">
        <v>1</v>
      </c>
      <c r="F239" s="19" t="s">
        <v>489</v>
      </c>
    </row>
    <row r="240" spans="1:6">
      <c r="A240" s="93" t="s">
        <v>5397</v>
      </c>
      <c r="B240">
        <v>7.45738354</v>
      </c>
      <c r="C240">
        <v>0.00368062</v>
      </c>
      <c r="D240">
        <v>-29.286169</v>
      </c>
      <c r="E240">
        <v>1</v>
      </c>
      <c r="F240" s="19" t="s">
        <v>474</v>
      </c>
    </row>
    <row r="241" spans="1:6">
      <c r="A241" s="93" t="s">
        <v>5398</v>
      </c>
      <c r="B241">
        <v>4.47880457</v>
      </c>
      <c r="C241">
        <v>0.01137324</v>
      </c>
      <c r="D241">
        <v>-29.727298</v>
      </c>
      <c r="E241">
        <v>1</v>
      </c>
      <c r="F241" s="19" t="s">
        <v>639</v>
      </c>
    </row>
    <row r="242" spans="1:6">
      <c r="A242" s="93" t="s">
        <v>5399</v>
      </c>
      <c r="B242">
        <v>4.09239839</v>
      </c>
      <c r="C242">
        <v>0.0007853</v>
      </c>
      <c r="D242">
        <v>-12.366012</v>
      </c>
      <c r="E242">
        <v>1</v>
      </c>
      <c r="F242" s="19" t="s">
        <v>569</v>
      </c>
    </row>
    <row r="243" spans="1:6">
      <c r="A243" s="93" t="s">
        <v>5400</v>
      </c>
      <c r="B243">
        <v>4.13507926</v>
      </c>
      <c r="C243">
        <v>0.00246004</v>
      </c>
      <c r="D243">
        <v>-19.466407</v>
      </c>
      <c r="E243">
        <v>1</v>
      </c>
      <c r="F243" s="19" t="s">
        <v>539</v>
      </c>
    </row>
    <row r="244" spans="1:6">
      <c r="A244" s="93" t="s">
        <v>5401</v>
      </c>
      <c r="B244">
        <v>5.29806161</v>
      </c>
      <c r="C244">
        <v>0.00715885</v>
      </c>
      <c r="D244">
        <v>-28.951107</v>
      </c>
      <c r="E244">
        <v>1</v>
      </c>
      <c r="F244" s="19" t="s">
        <v>499</v>
      </c>
    </row>
    <row r="245" spans="1:6">
      <c r="A245" s="93" t="s">
        <v>5402</v>
      </c>
      <c r="B245">
        <v>9.346167530000001</v>
      </c>
      <c r="C245">
        <v>0.00542532</v>
      </c>
      <c r="D245">
        <v>-38.170069</v>
      </c>
      <c r="E245">
        <v>1</v>
      </c>
      <c r="F245" s="19" t="s">
        <v>2225</v>
      </c>
    </row>
    <row r="246" spans="1:6">
      <c r="A246" s="93" t="s">
        <v>5403</v>
      </c>
      <c r="B246">
        <v>4.95948849</v>
      </c>
      <c r="C246">
        <v>0.00641323</v>
      </c>
      <c r="D246">
        <v>-24.222526</v>
      </c>
      <c r="E246">
        <v>1</v>
      </c>
      <c r="F246" s="19" t="s">
        <v>695</v>
      </c>
    </row>
    <row r="247" spans="1:6">
      <c r="A247" s="93" t="s">
        <v>5404</v>
      </c>
      <c r="B247">
        <v>4.78175283</v>
      </c>
      <c r="C247">
        <v>0.01730795</v>
      </c>
      <c r="D247">
        <v>-32.46998</v>
      </c>
      <c r="E247">
        <v>1</v>
      </c>
      <c r="F247" s="19" t="s">
        <v>723</v>
      </c>
    </row>
    <row r="248" spans="1:6">
      <c r="A248" s="93" t="s">
        <v>5405</v>
      </c>
      <c r="B248">
        <v>6.17812129</v>
      </c>
      <c r="C248">
        <v>0.00778565</v>
      </c>
      <c r="D248">
        <v>-25.283192</v>
      </c>
      <c r="E248">
        <v>1</v>
      </c>
      <c r="F248" s="19" t="s">
        <v>997</v>
      </c>
    </row>
    <row r="249" spans="1:6">
      <c r="A249" s="93" t="s">
        <v>5406</v>
      </c>
      <c r="B249">
        <v>3.68351364</v>
      </c>
      <c r="C249">
        <v>0.00941988</v>
      </c>
      <c r="D249">
        <v>-18.973744</v>
      </c>
      <c r="E249">
        <v>1</v>
      </c>
      <c r="F249" s="19" t="s">
        <v>709</v>
      </c>
    </row>
    <row r="250" spans="1:6">
      <c r="A250" s="93" t="s">
        <v>5407</v>
      </c>
      <c r="B250">
        <v>3.60212631</v>
      </c>
      <c r="C250">
        <v>0.01487482</v>
      </c>
      <c r="D250">
        <v>-34.637536</v>
      </c>
      <c r="E250">
        <v>1</v>
      </c>
      <c r="F250" s="19" t="s">
        <v>676</v>
      </c>
    </row>
    <row r="251" spans="1:6">
      <c r="A251" s="93" t="s">
        <v>5408</v>
      </c>
      <c r="B251">
        <v>2.87650551</v>
      </c>
      <c r="C251">
        <v>0.00729464</v>
      </c>
      <c r="D251">
        <v>-22.377593</v>
      </c>
      <c r="E251">
        <v>1</v>
      </c>
      <c r="F251" s="19" t="s">
        <v>796</v>
      </c>
    </row>
    <row r="252" spans="1:6">
      <c r="A252" s="93" t="s">
        <v>5409</v>
      </c>
      <c r="B252">
        <v>9.973491259999999</v>
      </c>
      <c r="C252">
        <v>0.00778043</v>
      </c>
      <c r="D252">
        <v>-52.189409</v>
      </c>
      <c r="E252">
        <v>1</v>
      </c>
      <c r="F252" s="19" t="s">
        <v>848</v>
      </c>
    </row>
    <row r="253" spans="1:6">
      <c r="A253" s="93" t="s">
        <v>5410</v>
      </c>
      <c r="B253">
        <v>1.14105958</v>
      </c>
      <c r="C253">
        <v>0.00588185</v>
      </c>
      <c r="D253">
        <v>-13.76693</v>
      </c>
      <c r="E253">
        <v>1</v>
      </c>
      <c r="F253" s="19" t="s">
        <v>522</v>
      </c>
    </row>
    <row r="254" spans="1:6">
      <c r="A254" s="93" t="s">
        <v>5411</v>
      </c>
      <c r="B254">
        <v>4.65346276</v>
      </c>
      <c r="C254">
        <v>0.00387234</v>
      </c>
      <c r="D254">
        <v>-23.070535</v>
      </c>
      <c r="E254">
        <v>1</v>
      </c>
      <c r="F254" s="19" t="s">
        <v>679</v>
      </c>
    </row>
    <row r="255" spans="1:6">
      <c r="A255" s="93" t="s">
        <v>5412</v>
      </c>
      <c r="B255">
        <v>5.32490459</v>
      </c>
      <c r="C255">
        <v>0.00177316</v>
      </c>
      <c r="D255">
        <v>-21.936051</v>
      </c>
      <c r="E255">
        <v>1</v>
      </c>
      <c r="F255" s="19" t="s">
        <v>601</v>
      </c>
    </row>
    <row r="256" spans="1:6">
      <c r="A256" s="93" t="s">
        <v>5413</v>
      </c>
      <c r="B256">
        <v>2.46060653</v>
      </c>
      <c r="C256">
        <v>0.00421342</v>
      </c>
      <c r="D256">
        <v>-16.220876</v>
      </c>
      <c r="E256">
        <v>1</v>
      </c>
      <c r="F256" s="19" t="s">
        <v>513</v>
      </c>
    </row>
    <row r="257" spans="1:6">
      <c r="A257" s="93" t="s">
        <v>5414</v>
      </c>
      <c r="B257">
        <v>5.07301586</v>
      </c>
      <c r="C257">
        <v>0.00362002</v>
      </c>
      <c r="D257">
        <v>-22.285647</v>
      </c>
      <c r="E257">
        <v>1</v>
      </c>
      <c r="F257" s="19" t="s">
        <v>616</v>
      </c>
    </row>
    <row r="258" spans="1:6">
      <c r="A258" s="93" t="s">
        <v>5415</v>
      </c>
      <c r="B258">
        <v>6.22630685</v>
      </c>
      <c r="C258">
        <v>0.03186569</v>
      </c>
      <c r="D258">
        <v>-55.085374</v>
      </c>
      <c r="E258">
        <v>1</v>
      </c>
      <c r="F258" s="19" t="s">
        <v>2736</v>
      </c>
    </row>
    <row r="259" spans="1:6">
      <c r="A259" s="93" t="s">
        <v>5416</v>
      </c>
      <c r="B259">
        <v>5.23802238</v>
      </c>
      <c r="C259">
        <v>0.00400387</v>
      </c>
      <c r="D259">
        <v>-25.321768</v>
      </c>
      <c r="E259">
        <v>1</v>
      </c>
      <c r="F259" s="19" t="s">
        <v>572</v>
      </c>
    </row>
    <row r="260" spans="1:6">
      <c r="A260" s="93" t="s">
        <v>5417</v>
      </c>
      <c r="B260">
        <v>7.7539781</v>
      </c>
      <c r="C260">
        <v>0.00954179</v>
      </c>
      <c r="D260">
        <v>-31.364274</v>
      </c>
      <c r="E260">
        <v>1</v>
      </c>
      <c r="F260" s="19" t="s">
        <v>488</v>
      </c>
    </row>
    <row r="261" spans="1:6">
      <c r="A261" s="93" t="s">
        <v>5418</v>
      </c>
      <c r="B261">
        <v>4.09389393</v>
      </c>
      <c r="C261">
        <v>0.00656053</v>
      </c>
      <c r="D261">
        <v>-22.587266</v>
      </c>
      <c r="E261">
        <v>1</v>
      </c>
      <c r="F261" s="19" t="s">
        <v>471</v>
      </c>
    </row>
    <row r="262" spans="1:6">
      <c r="A262" s="93" t="s">
        <v>5419</v>
      </c>
      <c r="B262">
        <v>2.61966351</v>
      </c>
      <c r="C262">
        <v>0.00397012</v>
      </c>
      <c r="D262">
        <v>-10.822941</v>
      </c>
      <c r="E262">
        <v>1</v>
      </c>
      <c r="F262" s="19" t="s">
        <v>2904</v>
      </c>
    </row>
    <row r="263" spans="1:6">
      <c r="A263" s="93" t="s">
        <v>5420</v>
      </c>
      <c r="B263">
        <v>5.65322637</v>
      </c>
      <c r="C263">
        <v>0.00539089</v>
      </c>
      <c r="D263">
        <v>-28.66191</v>
      </c>
      <c r="E263">
        <v>1</v>
      </c>
      <c r="F263" s="19" t="s">
        <v>761</v>
      </c>
    </row>
    <row r="264" spans="1:6">
      <c r="A264" s="93" t="s">
        <v>5421</v>
      </c>
      <c r="B264">
        <v>3.2576922</v>
      </c>
      <c r="C264">
        <v>0.01091235</v>
      </c>
      <c r="D264">
        <v>-27.331964</v>
      </c>
      <c r="E264">
        <v>1</v>
      </c>
      <c r="F264" s="19" t="s">
        <v>692</v>
      </c>
    </row>
    <row r="265" spans="1:6">
      <c r="A265" s="93" t="s">
        <v>5422</v>
      </c>
      <c r="B265">
        <v>6.70065378</v>
      </c>
      <c r="C265">
        <v>0.007814049999999999</v>
      </c>
      <c r="D265">
        <v>-32.670243</v>
      </c>
      <c r="E265">
        <v>1</v>
      </c>
      <c r="F265" s="19" t="s">
        <v>799</v>
      </c>
    </row>
    <row r="266" spans="1:6">
      <c r="A266" s="93" t="s">
        <v>5423</v>
      </c>
      <c r="B266">
        <v>4.43069871</v>
      </c>
      <c r="C266">
        <v>0.00486357</v>
      </c>
      <c r="D266">
        <v>-19.544999</v>
      </c>
      <c r="E266">
        <v>1</v>
      </c>
      <c r="F266" s="19" t="s">
        <v>486</v>
      </c>
    </row>
    <row r="267" spans="1:6">
      <c r="A267" s="93" t="s">
        <v>5424</v>
      </c>
      <c r="B267">
        <v>10.7909028</v>
      </c>
      <c r="C267">
        <v>0.01743779</v>
      </c>
      <c r="D267">
        <v>-55.694299</v>
      </c>
      <c r="E267">
        <v>1</v>
      </c>
      <c r="F267" s="19" t="s">
        <v>525</v>
      </c>
    </row>
    <row r="268" spans="1:6">
      <c r="A268" s="93" t="s">
        <v>5425</v>
      </c>
      <c r="B268">
        <v>7.45163606</v>
      </c>
      <c r="C268">
        <v>0.00196133</v>
      </c>
      <c r="D268">
        <v>-30.748791</v>
      </c>
      <c r="E268">
        <v>1</v>
      </c>
      <c r="F268" s="19" t="s">
        <v>553</v>
      </c>
    </row>
    <row r="269" spans="1:6">
      <c r="A269" s="93" t="s">
        <v>5426</v>
      </c>
      <c r="B269">
        <v>2.27129656</v>
      </c>
      <c r="C269">
        <v>0.00043664</v>
      </c>
      <c r="D269">
        <v>-10.322671</v>
      </c>
      <c r="E269">
        <v>1</v>
      </c>
      <c r="F269" s="19" t="s">
        <v>485</v>
      </c>
    </row>
    <row r="270" spans="1:6">
      <c r="A270" s="93" t="s">
        <v>5427</v>
      </c>
      <c r="B270">
        <v>7.75520522</v>
      </c>
      <c r="C270">
        <v>0.00489097</v>
      </c>
      <c r="D270">
        <v>-36.358835</v>
      </c>
      <c r="E270">
        <v>1</v>
      </c>
      <c r="F270" s="19" t="s">
        <v>3108</v>
      </c>
    </row>
    <row r="271" spans="1:6">
      <c r="A271" s="93" t="s">
        <v>5428</v>
      </c>
      <c r="B271">
        <v>5.58534499</v>
      </c>
      <c r="C271">
        <v>0.00089215</v>
      </c>
      <c r="D271">
        <v>-20.911589</v>
      </c>
      <c r="E271">
        <v>1</v>
      </c>
      <c r="F271" s="19" t="s">
        <v>472</v>
      </c>
    </row>
    <row r="272" spans="1:6">
      <c r="A272" s="93" t="s">
        <v>5429</v>
      </c>
      <c r="B272">
        <v>5.82992556</v>
      </c>
      <c r="C272">
        <v>0.00751295</v>
      </c>
      <c r="D272">
        <v>-32.275577</v>
      </c>
      <c r="E272">
        <v>1</v>
      </c>
      <c r="F272" s="19" t="s">
        <v>484</v>
      </c>
    </row>
    <row r="273" spans="1:6">
      <c r="A273" s="93" t="s">
        <v>5430</v>
      </c>
      <c r="B273">
        <v>6.43049106</v>
      </c>
      <c r="C273">
        <v>0.01051652</v>
      </c>
      <c r="D273">
        <v>-34.919676</v>
      </c>
      <c r="E273">
        <v>1</v>
      </c>
      <c r="F273" s="19" t="s">
        <v>710</v>
      </c>
    </row>
    <row r="274" spans="1:6">
      <c r="A274" s="93" t="s">
        <v>5431</v>
      </c>
      <c r="B274">
        <v>4.54506561</v>
      </c>
      <c r="C274">
        <v>0.00561398</v>
      </c>
      <c r="D274">
        <v>-19.835302</v>
      </c>
      <c r="E274">
        <v>1</v>
      </c>
      <c r="F274" s="19" t="s">
        <v>476</v>
      </c>
    </row>
    <row r="275" spans="1:6">
      <c r="A275" s="93" t="s">
        <v>5432</v>
      </c>
      <c r="B275">
        <v>3.62632237</v>
      </c>
      <c r="C275">
        <v>0.01859597</v>
      </c>
      <c r="D275">
        <v>-39.139877</v>
      </c>
      <c r="E275">
        <v>1</v>
      </c>
      <c r="F275" s="19" t="s">
        <v>497</v>
      </c>
    </row>
    <row r="276" spans="1:6">
      <c r="A276" s="93" t="s">
        <v>5433</v>
      </c>
      <c r="B276">
        <v>4.85662807</v>
      </c>
      <c r="C276">
        <v>0.00474576</v>
      </c>
      <c r="D276">
        <v>-26.689143</v>
      </c>
      <c r="E276">
        <v>1</v>
      </c>
      <c r="F276" s="19" t="s">
        <v>688</v>
      </c>
    </row>
    <row r="277" spans="1:6">
      <c r="A277" s="93" t="s">
        <v>5434</v>
      </c>
      <c r="B277">
        <v>7.99698877</v>
      </c>
      <c r="C277">
        <v>0.03335658</v>
      </c>
      <c r="D277">
        <v>-58.010033</v>
      </c>
      <c r="E277">
        <v>1</v>
      </c>
      <c r="F277" s="19" t="s">
        <v>3313</v>
      </c>
    </row>
    <row r="278" spans="1:6">
      <c r="A278" s="93" t="s">
        <v>5435</v>
      </c>
      <c r="B278">
        <v>4.31653333</v>
      </c>
      <c r="C278">
        <v>0.00460864</v>
      </c>
      <c r="D278">
        <v>-22.02721</v>
      </c>
      <c r="E278">
        <v>1</v>
      </c>
      <c r="F278" s="19" t="s">
        <v>3365</v>
      </c>
    </row>
    <row r="279" spans="1:6">
      <c r="A279" s="93" t="s">
        <v>5436</v>
      </c>
      <c r="B279">
        <v>9.82342873</v>
      </c>
      <c r="C279">
        <v>0.00244802</v>
      </c>
      <c r="D279">
        <v>-41.172005</v>
      </c>
      <c r="E279">
        <v>1</v>
      </c>
      <c r="F279" s="19" t="s">
        <v>684</v>
      </c>
    </row>
    <row r="280" spans="1:6">
      <c r="A280" s="93" t="s">
        <v>5437</v>
      </c>
      <c r="B280">
        <v>5.68714052</v>
      </c>
      <c r="C280">
        <v>0.00557761</v>
      </c>
      <c r="D280">
        <v>-23.682113</v>
      </c>
      <c r="E280">
        <v>1</v>
      </c>
      <c r="F280" s="19" t="s">
        <v>665</v>
      </c>
    </row>
    <row r="281" spans="1:6">
      <c r="A281" s="93" t="s">
        <v>5438</v>
      </c>
      <c r="B281">
        <v>3.33618615</v>
      </c>
      <c r="C281">
        <v>0.00523818</v>
      </c>
      <c r="D281">
        <v>-19.846624</v>
      </c>
      <c r="E281">
        <v>1</v>
      </c>
      <c r="F281" s="19" t="s">
        <v>864</v>
      </c>
    </row>
    <row r="282" spans="1:6">
      <c r="A282" s="93" t="s">
        <v>5439</v>
      </c>
      <c r="B282">
        <v>4.47578047</v>
      </c>
      <c r="C282">
        <v>0.00327393</v>
      </c>
      <c r="D282">
        <v>-17.259532</v>
      </c>
      <c r="E282">
        <v>1</v>
      </c>
      <c r="F282" s="19" t="s">
        <v>503</v>
      </c>
    </row>
    <row r="283" spans="1:6">
      <c r="A283" s="93" t="s">
        <v>5440</v>
      </c>
      <c r="B283">
        <v>4.36347613</v>
      </c>
      <c r="C283">
        <v>0.00927034</v>
      </c>
      <c r="D283">
        <v>-22.705707</v>
      </c>
      <c r="E283">
        <v>1</v>
      </c>
      <c r="F283" s="19" t="s">
        <v>689</v>
      </c>
    </row>
    <row r="284" spans="1:6">
      <c r="A284" s="93" t="s">
        <v>5441</v>
      </c>
      <c r="B284">
        <v>6.47408252</v>
      </c>
      <c r="C284">
        <v>0.02190479</v>
      </c>
      <c r="D284">
        <v>-45.184735</v>
      </c>
      <c r="E284">
        <v>1</v>
      </c>
      <c r="F284" s="19" t="s">
        <v>767</v>
      </c>
    </row>
    <row r="285" spans="1:6">
      <c r="A285" s="93" t="s">
        <v>5442</v>
      </c>
      <c r="B285">
        <v>6.46599242</v>
      </c>
      <c r="C285">
        <v>0.00505891</v>
      </c>
      <c r="D285">
        <v>-21.931013</v>
      </c>
      <c r="E285">
        <v>1</v>
      </c>
      <c r="F285" s="19" t="s">
        <v>536</v>
      </c>
    </row>
    <row r="286" spans="1:6">
      <c r="A286" s="93" t="s">
        <v>5443</v>
      </c>
      <c r="B286">
        <v>9.317467280000001</v>
      </c>
      <c r="C286">
        <v>0.01517758</v>
      </c>
      <c r="D286">
        <v>-43.945538</v>
      </c>
      <c r="E286">
        <v>1</v>
      </c>
      <c r="F286" s="19" t="s">
        <v>3719</v>
      </c>
    </row>
    <row r="287" spans="1:6">
      <c r="A287" s="93" t="s">
        <v>5444</v>
      </c>
      <c r="B287">
        <v>6.96764785</v>
      </c>
      <c r="C287">
        <v>0.00602113</v>
      </c>
      <c r="D287">
        <v>-30.57788</v>
      </c>
      <c r="E287">
        <v>1</v>
      </c>
      <c r="F287" s="19" t="s">
        <v>643</v>
      </c>
    </row>
    <row r="288" spans="1:6">
      <c r="A288" s="93" t="s">
        <v>5445</v>
      </c>
      <c r="B288">
        <v>10.4920206</v>
      </c>
      <c r="C288">
        <v>0.00552997</v>
      </c>
      <c r="D288">
        <v>-52.708285</v>
      </c>
      <c r="E288">
        <v>1</v>
      </c>
      <c r="F288" s="19" t="s">
        <v>521</v>
      </c>
    </row>
    <row r="289" spans="1:6">
      <c r="A289" s="93" t="s">
        <v>5446</v>
      </c>
      <c r="B289">
        <v>1.62811779</v>
      </c>
      <c r="C289">
        <v>0.00040334</v>
      </c>
      <c r="D289">
        <v>-6.0322295</v>
      </c>
      <c r="E289">
        <v>1</v>
      </c>
      <c r="F289" s="19" t="s">
        <v>711</v>
      </c>
    </row>
    <row r="290" spans="1:6">
      <c r="A290" s="93" t="s">
        <v>5447</v>
      </c>
      <c r="B290">
        <v>2.04427227</v>
      </c>
      <c r="C290">
        <v>0.00067055</v>
      </c>
      <c r="D290">
        <v>-5.7330568</v>
      </c>
      <c r="E290">
        <v>1</v>
      </c>
      <c r="F290" s="19" t="s">
        <v>466</v>
      </c>
    </row>
    <row r="291" spans="1:6">
      <c r="A291" s="93" t="s">
        <v>5448</v>
      </c>
      <c r="B291">
        <v>5.17789528</v>
      </c>
      <c r="C291">
        <v>0.01278258</v>
      </c>
      <c r="D291">
        <v>-26.603296</v>
      </c>
      <c r="E291">
        <v>1</v>
      </c>
      <c r="F291" s="19" t="s">
        <v>465</v>
      </c>
    </row>
    <row r="292" spans="1:6">
      <c r="A292" s="93" t="s">
        <v>5449</v>
      </c>
      <c r="B292">
        <v>7.75245635</v>
      </c>
      <c r="C292">
        <v>0.01401174</v>
      </c>
      <c r="D292">
        <v>-41.644486</v>
      </c>
      <c r="E292">
        <v>1</v>
      </c>
      <c r="F292" s="19" t="s">
        <v>475</v>
      </c>
    </row>
    <row r="293" spans="1:6">
      <c r="A293" s="93" t="s">
        <v>5450</v>
      </c>
      <c r="B293">
        <v>5.64888329</v>
      </c>
      <c r="C293">
        <v>0.01096756</v>
      </c>
      <c r="D293">
        <v>-30.526052</v>
      </c>
      <c r="E293">
        <v>1</v>
      </c>
      <c r="F293" s="19" t="s">
        <v>518</v>
      </c>
    </row>
    <row r="294" spans="1:6">
      <c r="A294" s="93" t="s">
        <v>5451</v>
      </c>
      <c r="B294">
        <v>4.27059478</v>
      </c>
      <c r="C294">
        <v>0.01766317</v>
      </c>
      <c r="D294">
        <v>-41.311327</v>
      </c>
      <c r="E294">
        <v>1</v>
      </c>
      <c r="F294" s="19" t="s">
        <v>493</v>
      </c>
    </row>
    <row r="295" spans="1:6">
      <c r="A295" s="93" t="s">
        <v>5452</v>
      </c>
      <c r="B295">
        <v>4.59618558</v>
      </c>
      <c r="C295">
        <v>0.00386106</v>
      </c>
      <c r="D295">
        <v>-22.610918</v>
      </c>
      <c r="E295">
        <v>1</v>
      </c>
      <c r="F295" s="19" t="s">
        <v>639</v>
      </c>
    </row>
    <row r="296" spans="1:6">
      <c r="A296" s="93" t="s">
        <v>5453</v>
      </c>
      <c r="B296">
        <v>5.32655703</v>
      </c>
      <c r="C296">
        <v>0.01168288</v>
      </c>
      <c r="D296">
        <v>-33.752875</v>
      </c>
      <c r="E296">
        <v>1</v>
      </c>
      <c r="F296" s="19" t="s">
        <v>471</v>
      </c>
    </row>
    <row r="297" spans="1:6">
      <c r="A297" s="93" t="s">
        <v>5454</v>
      </c>
      <c r="B297">
        <v>5.17789528</v>
      </c>
      <c r="C297">
        <v>0.01278258</v>
      </c>
      <c r="D297">
        <v>-26.603296</v>
      </c>
      <c r="E297">
        <v>1</v>
      </c>
      <c r="F297" s="19" t="s">
        <v>465</v>
      </c>
    </row>
    <row r="298" spans="1:6">
      <c r="A298" s="93" t="s">
        <v>5455</v>
      </c>
      <c r="B298">
        <v>7.75245635</v>
      </c>
      <c r="C298">
        <v>0.01401174</v>
      </c>
      <c r="D298">
        <v>-41.644486</v>
      </c>
      <c r="E298">
        <v>1</v>
      </c>
      <c r="F298" s="19" t="s">
        <v>475</v>
      </c>
    </row>
    <row r="299" spans="1:6">
      <c r="A299" s="93" t="s">
        <v>5456</v>
      </c>
      <c r="B299">
        <v>5.64888329</v>
      </c>
      <c r="C299">
        <v>0.01096756</v>
      </c>
      <c r="D299">
        <v>-30.526052</v>
      </c>
      <c r="E299">
        <v>1</v>
      </c>
      <c r="F299" s="19" t="s">
        <v>518</v>
      </c>
    </row>
    <row r="300" spans="1:6">
      <c r="A300" s="93" t="s">
        <v>5457</v>
      </c>
      <c r="B300">
        <v>4.27059478</v>
      </c>
      <c r="C300">
        <v>0.01766317</v>
      </c>
      <c r="D300">
        <v>-41.311327</v>
      </c>
      <c r="E300">
        <v>1</v>
      </c>
      <c r="F300" s="19" t="s">
        <v>493</v>
      </c>
    </row>
    <row r="301" spans="1:6">
      <c r="A301" s="93" t="s">
        <v>5458</v>
      </c>
      <c r="B301">
        <v>4.59618558</v>
      </c>
      <c r="C301">
        <v>0.00386106</v>
      </c>
      <c r="D301">
        <v>-22.610918</v>
      </c>
      <c r="E301">
        <v>1</v>
      </c>
      <c r="F301" s="19" t="s">
        <v>639</v>
      </c>
    </row>
    <row r="302" spans="1:6">
      <c r="A302" s="93" t="s">
        <v>5459</v>
      </c>
      <c r="B302">
        <v>5.32655703</v>
      </c>
      <c r="C302">
        <v>0.01168288</v>
      </c>
      <c r="D302">
        <v>-33.752875</v>
      </c>
      <c r="E302">
        <v>1</v>
      </c>
      <c r="F302" s="19" t="s">
        <v>471</v>
      </c>
    </row>
  </sheetData>
  <autoFilter ref="A1:F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cols>
    <col min="1" max="1" width="30.7109375" style="19" customWidth="1"/>
  </cols>
  <sheetData>
    <row r="1" spans="1:5">
      <c r="A1" s="93" t="s">
        <v>5462</v>
      </c>
      <c r="B1" s="93" t="s">
        <v>5460</v>
      </c>
      <c r="C1" s="93" t="s">
        <v>5153</v>
      </c>
      <c r="D1" s="93" t="s">
        <v>5461</v>
      </c>
      <c r="E1" s="93" t="s">
        <v>5155</v>
      </c>
    </row>
    <row r="2" spans="1:5">
      <c r="A2" s="93" t="s">
        <v>5463</v>
      </c>
      <c r="B2">
        <v>7</v>
      </c>
      <c r="C2">
        <v>6.918425394</v>
      </c>
      <c r="D2">
        <v>0.00273385</v>
      </c>
      <c r="E2">
        <v>-29.11479893</v>
      </c>
    </row>
    <row r="3" spans="1:5">
      <c r="A3" s="93" t="s">
        <v>5464</v>
      </c>
      <c r="B3">
        <v>6</v>
      </c>
      <c r="C3">
        <v>2.600826505</v>
      </c>
      <c r="D3">
        <v>0.0045051</v>
      </c>
      <c r="E3">
        <v>-8.812628954999999</v>
      </c>
    </row>
    <row r="4" spans="1:5">
      <c r="A4" s="93" t="s">
        <v>5465</v>
      </c>
      <c r="B4">
        <v>5</v>
      </c>
      <c r="C4">
        <v>3.400688788</v>
      </c>
      <c r="D4">
        <v>0.003106645</v>
      </c>
      <c r="E4">
        <v>-10.92085293</v>
      </c>
    </row>
    <row r="5" spans="1:5">
      <c r="A5" s="93" t="s">
        <v>5466</v>
      </c>
      <c r="B5">
        <v>4</v>
      </c>
      <c r="C5">
        <v>3.464046748</v>
      </c>
      <c r="D5">
        <v>0.005737937</v>
      </c>
      <c r="E5">
        <v>-7.996144692</v>
      </c>
    </row>
    <row r="6" spans="1:5">
      <c r="A6" s="93" t="s">
        <v>5467</v>
      </c>
      <c r="B6">
        <v>3</v>
      </c>
      <c r="C6">
        <v>2.11939648</v>
      </c>
      <c r="D6">
        <v>0.004847816</v>
      </c>
      <c r="E6">
        <v>-3.40157225</v>
      </c>
    </row>
    <row r="7" spans="1:5">
      <c r="A7" s="93" t="s">
        <v>5468</v>
      </c>
      <c r="B7">
        <v>2</v>
      </c>
      <c r="C7">
        <v>5.506542703</v>
      </c>
      <c r="D7">
        <v>0.003446196</v>
      </c>
      <c r="E7">
        <v>-12.63073659</v>
      </c>
    </row>
    <row r="8" spans="1:5">
      <c r="A8" s="93" t="s">
        <v>5469</v>
      </c>
      <c r="B8">
        <v>1</v>
      </c>
      <c r="C8">
        <v>8.73931762</v>
      </c>
      <c r="D8">
        <v>0.00154196</v>
      </c>
      <c r="E8">
        <v>-26.499792</v>
      </c>
    </row>
    <row r="9" spans="1:5">
      <c r="A9" s="93" t="s">
        <v>5470</v>
      </c>
      <c r="B9">
        <v>1</v>
      </c>
      <c r="C9">
        <v>1</v>
      </c>
      <c r="D9">
        <v>1</v>
      </c>
      <c r="E9">
        <v>1</v>
      </c>
    </row>
    <row r="10" spans="1:5">
      <c r="A10" s="93" t="s">
        <v>5471</v>
      </c>
      <c r="B10" t="s">
        <v>446</v>
      </c>
      <c r="C10" t="s">
        <v>446</v>
      </c>
      <c r="D10" t="s">
        <v>446</v>
      </c>
      <c r="E10" t="s">
        <v>446</v>
      </c>
    </row>
    <row r="11" spans="1:5">
      <c r="A11" s="93" t="s">
        <v>5472</v>
      </c>
      <c r="B11">
        <v>2</v>
      </c>
      <c r="C11">
        <v>1</v>
      </c>
      <c r="D11">
        <v>1</v>
      </c>
      <c r="E11">
        <v>1</v>
      </c>
    </row>
    <row r="12" spans="1:5">
      <c r="A12" s="93" t="s">
        <v>5473</v>
      </c>
      <c r="B12">
        <v>7</v>
      </c>
      <c r="C12">
        <v>2.101365208</v>
      </c>
      <c r="D12">
        <v>0.003155184</v>
      </c>
      <c r="E12">
        <v>-9.002453382000001</v>
      </c>
    </row>
    <row r="13" spans="1:5">
      <c r="A13" s="93" t="s">
        <v>5474</v>
      </c>
      <c r="B13">
        <v>6</v>
      </c>
      <c r="C13">
        <v>1.512716626</v>
      </c>
      <c r="D13">
        <v>0.003200121</v>
      </c>
      <c r="E13">
        <v>-4.793415535</v>
      </c>
    </row>
    <row r="14" spans="1:5">
      <c r="A14" s="93" t="s">
        <v>5475</v>
      </c>
      <c r="B14">
        <v>5</v>
      </c>
      <c r="C14">
        <v>2.31767341</v>
      </c>
      <c r="D14">
        <v>0.003448849</v>
      </c>
      <c r="E14">
        <v>-7.092559043</v>
      </c>
    </row>
    <row r="15" spans="1:5">
      <c r="A15" s="93" t="s">
        <v>5476</v>
      </c>
      <c r="B15">
        <v>4</v>
      </c>
      <c r="C15">
        <v>3.308204445</v>
      </c>
      <c r="D15">
        <v>0.005415732</v>
      </c>
      <c r="E15">
        <v>-7.479540109</v>
      </c>
    </row>
    <row r="16" spans="1:5">
      <c r="A16" s="93" t="s">
        <v>5477</v>
      </c>
      <c r="B16">
        <v>3</v>
      </c>
      <c r="C16">
        <v>1.721616242</v>
      </c>
      <c r="D16">
        <v>0.004603209</v>
      </c>
      <c r="E16">
        <v>-2.357448581</v>
      </c>
    </row>
    <row r="17" spans="1:5">
      <c r="A17" s="93" t="s">
        <v>5478</v>
      </c>
      <c r="B17">
        <v>2</v>
      </c>
      <c r="C17">
        <v>2.428742991</v>
      </c>
      <c r="D17">
        <v>0.002366148</v>
      </c>
      <c r="E17">
        <v>-5.313107862</v>
      </c>
    </row>
    <row r="18" spans="1:5">
      <c r="A18" s="93" t="s">
        <v>5479</v>
      </c>
      <c r="B18">
        <v>1</v>
      </c>
      <c r="C18">
        <v>7.65927462</v>
      </c>
      <c r="D18">
        <v>0.02416908</v>
      </c>
      <c r="E18">
        <v>-12.429145</v>
      </c>
    </row>
    <row r="19" spans="1:5">
      <c r="A19" s="93" t="s">
        <v>5480</v>
      </c>
      <c r="B19">
        <v>1</v>
      </c>
      <c r="C19">
        <v>1</v>
      </c>
      <c r="D19">
        <v>1</v>
      </c>
      <c r="E19">
        <v>1</v>
      </c>
    </row>
    <row r="20" spans="1:5">
      <c r="A20" s="93" t="s">
        <v>5481</v>
      </c>
      <c r="B20" t="s">
        <v>446</v>
      </c>
      <c r="C20" t="s">
        <v>446</v>
      </c>
      <c r="D20" t="s">
        <v>446</v>
      </c>
      <c r="E20" t="s">
        <v>446</v>
      </c>
    </row>
    <row r="21" spans="1:5">
      <c r="A21" s="93" t="s">
        <v>5482</v>
      </c>
      <c r="B21">
        <v>2</v>
      </c>
      <c r="C21">
        <v>1</v>
      </c>
      <c r="D21">
        <v>1</v>
      </c>
      <c r="E21">
        <v>1</v>
      </c>
    </row>
    <row r="22" spans="1:5">
      <c r="A22" s="93" t="s">
        <v>5483</v>
      </c>
      <c r="B22">
        <v>7</v>
      </c>
      <c r="C22">
        <v>3.856928953</v>
      </c>
      <c r="D22">
        <v>0.001793312</v>
      </c>
      <c r="E22">
        <v>-16.73226722</v>
      </c>
    </row>
    <row r="23" spans="1:5">
      <c r="A23" s="93" t="s">
        <v>5484</v>
      </c>
      <c r="B23">
        <v>6</v>
      </c>
      <c r="C23">
        <v>2.724186808</v>
      </c>
      <c r="D23">
        <v>0.002628835</v>
      </c>
      <c r="E23">
        <v>-9.914203899</v>
      </c>
    </row>
    <row r="24" spans="1:5">
      <c r="A24" s="93" t="s">
        <v>5485</v>
      </c>
      <c r="B24">
        <v>5</v>
      </c>
      <c r="C24">
        <v>3.924353911</v>
      </c>
      <c r="D24">
        <v>0.005959154</v>
      </c>
      <c r="E24">
        <v>-11.89154162</v>
      </c>
    </row>
    <row r="25" spans="1:5">
      <c r="A25" s="93" t="s">
        <v>5486</v>
      </c>
      <c r="B25">
        <v>4</v>
      </c>
      <c r="C25">
        <v>2.625347074</v>
      </c>
      <c r="D25">
        <v>0.005529968</v>
      </c>
      <c r="E25">
        <v>-5.909610366</v>
      </c>
    </row>
    <row r="26" spans="1:5">
      <c r="A26" s="93" t="s">
        <v>5487</v>
      </c>
      <c r="B26">
        <v>3</v>
      </c>
      <c r="C26">
        <v>1.639801071</v>
      </c>
      <c r="D26">
        <v>0.00695887</v>
      </c>
      <c r="E26">
        <v>-2.021296332</v>
      </c>
    </row>
    <row r="27" spans="1:5">
      <c r="A27" s="93" t="s">
        <v>5488</v>
      </c>
      <c r="B27">
        <v>2</v>
      </c>
      <c r="C27">
        <v>8.794515319</v>
      </c>
      <c r="D27">
        <v>0.017564284</v>
      </c>
      <c r="E27">
        <v>-21.04631336</v>
      </c>
    </row>
    <row r="28" spans="1:5">
      <c r="A28" s="93" t="s">
        <v>5489</v>
      </c>
      <c r="B28">
        <v>1</v>
      </c>
      <c r="C28">
        <v>1.853546097</v>
      </c>
      <c r="D28">
        <v>0.014133621</v>
      </c>
      <c r="E28">
        <v>-3.183712632</v>
      </c>
    </row>
    <row r="29" spans="1:5">
      <c r="A29" s="93" t="s">
        <v>5490</v>
      </c>
      <c r="B29">
        <v>1</v>
      </c>
      <c r="C29">
        <v>1</v>
      </c>
      <c r="D29">
        <v>1</v>
      </c>
      <c r="E29">
        <v>1</v>
      </c>
    </row>
    <row r="30" spans="1:5">
      <c r="A30" s="93" t="s">
        <v>5491</v>
      </c>
      <c r="B30" t="s">
        <v>446</v>
      </c>
      <c r="C30" t="s">
        <v>446</v>
      </c>
      <c r="D30" t="s">
        <v>446</v>
      </c>
      <c r="E30" t="s">
        <v>446</v>
      </c>
    </row>
    <row r="31" spans="1:5">
      <c r="A31" s="93" t="s">
        <v>5492</v>
      </c>
      <c r="B31">
        <v>2</v>
      </c>
      <c r="C31">
        <v>1</v>
      </c>
      <c r="D31">
        <v>1</v>
      </c>
      <c r="E31">
        <v>1</v>
      </c>
    </row>
    <row r="32" spans="1:5">
      <c r="A32" s="93" t="s">
        <v>5493</v>
      </c>
      <c r="B32">
        <v>7</v>
      </c>
      <c r="C32">
        <v>3.856928953</v>
      </c>
      <c r="D32">
        <v>0.001793312</v>
      </c>
      <c r="E32">
        <v>-16.73226722</v>
      </c>
    </row>
    <row r="33" spans="1:5">
      <c r="A33" s="93" t="s">
        <v>5494</v>
      </c>
      <c r="B33">
        <v>6</v>
      </c>
      <c r="C33">
        <v>2.724186808</v>
      </c>
      <c r="D33">
        <v>0.002628835</v>
      </c>
      <c r="E33">
        <v>-9.914203899</v>
      </c>
    </row>
    <row r="34" spans="1:5">
      <c r="A34" s="93" t="s">
        <v>5495</v>
      </c>
      <c r="B34">
        <v>5</v>
      </c>
      <c r="C34">
        <v>3.924353911</v>
      </c>
      <c r="D34">
        <v>0.005959154</v>
      </c>
      <c r="E34">
        <v>-11.89154162</v>
      </c>
    </row>
    <row r="35" spans="1:5">
      <c r="A35" s="93" t="s">
        <v>5496</v>
      </c>
      <c r="B35">
        <v>4</v>
      </c>
      <c r="C35">
        <v>2.625347074</v>
      </c>
      <c r="D35">
        <v>0.005529968</v>
      </c>
      <c r="E35">
        <v>-5.909610366</v>
      </c>
    </row>
    <row r="36" spans="1:5">
      <c r="A36" s="93" t="s">
        <v>5497</v>
      </c>
      <c r="B36">
        <v>3</v>
      </c>
      <c r="C36">
        <v>1.639801071</v>
      </c>
      <c r="D36">
        <v>0.00695887</v>
      </c>
      <c r="E36">
        <v>-2.021296332</v>
      </c>
    </row>
    <row r="37" spans="1:5">
      <c r="A37" s="93" t="s">
        <v>5498</v>
      </c>
      <c r="B37">
        <v>2</v>
      </c>
      <c r="C37">
        <v>8.794515319</v>
      </c>
      <c r="D37">
        <v>0.017564284</v>
      </c>
      <c r="E37">
        <v>-21.04631336</v>
      </c>
    </row>
    <row r="38" spans="1:5">
      <c r="A38" s="93" t="s">
        <v>5499</v>
      </c>
      <c r="B38">
        <v>1</v>
      </c>
      <c r="C38">
        <v>1.853546097</v>
      </c>
      <c r="D38">
        <v>0.014133621</v>
      </c>
      <c r="E38">
        <v>-3.183712632</v>
      </c>
    </row>
    <row r="39" spans="1:5">
      <c r="A39" s="93" t="s">
        <v>5500</v>
      </c>
      <c r="B39">
        <v>1</v>
      </c>
      <c r="C39">
        <v>1</v>
      </c>
      <c r="D39">
        <v>1</v>
      </c>
      <c r="E39">
        <v>1</v>
      </c>
    </row>
    <row r="40" spans="1:5">
      <c r="A40" s="93" t="s">
        <v>5501</v>
      </c>
      <c r="B40" t="s">
        <v>446</v>
      </c>
      <c r="C40" t="s">
        <v>446</v>
      </c>
      <c r="D40" t="s">
        <v>446</v>
      </c>
      <c r="E40" t="s">
        <v>446</v>
      </c>
    </row>
    <row r="41" spans="1:5">
      <c r="A41" s="93" t="s">
        <v>5502</v>
      </c>
      <c r="B41">
        <v>2</v>
      </c>
      <c r="C41">
        <v>1</v>
      </c>
      <c r="D41">
        <v>1</v>
      </c>
      <c r="E41">
        <v>1</v>
      </c>
    </row>
  </sheetData>
  <autoFilter ref="A1:E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9"/>
  <sheetViews>
    <sheetView workbookViewId="0"/>
  </sheetViews>
  <sheetFormatPr defaultRowHeight="15"/>
  <sheetData>
    <row r="1" spans="1:2">
      <c r="A1" s="93" t="s">
        <v>5503</v>
      </c>
      <c r="B1" s="93" t="s">
        <v>369</v>
      </c>
    </row>
    <row r="2" spans="1:2">
      <c r="A2" s="93">
        <v>36</v>
      </c>
      <c r="B2">
        <v>1590</v>
      </c>
    </row>
    <row r="3" spans="1:2">
      <c r="A3" s="93">
        <v>35</v>
      </c>
      <c r="B3">
        <v>1540</v>
      </c>
    </row>
    <row r="4" spans="1:2">
      <c r="A4" s="93">
        <v>34</v>
      </c>
      <c r="B4">
        <v>1500</v>
      </c>
    </row>
    <row r="5" spans="1:2">
      <c r="A5" s="93">
        <v>33</v>
      </c>
      <c r="B5">
        <v>1460</v>
      </c>
    </row>
    <row r="6" spans="1:2">
      <c r="A6" s="93">
        <v>32</v>
      </c>
      <c r="B6">
        <v>1430</v>
      </c>
    </row>
    <row r="7" spans="1:2">
      <c r="A7" s="93">
        <v>31</v>
      </c>
      <c r="B7">
        <v>1400</v>
      </c>
    </row>
    <row r="8" spans="1:2">
      <c r="A8" s="93">
        <v>30</v>
      </c>
      <c r="B8">
        <v>1370</v>
      </c>
    </row>
    <row r="9" spans="1:2">
      <c r="A9" s="93">
        <v>29</v>
      </c>
      <c r="B9">
        <v>1340</v>
      </c>
    </row>
    <row r="10" spans="1:2">
      <c r="A10" s="93">
        <v>28</v>
      </c>
      <c r="B10">
        <v>1310</v>
      </c>
    </row>
    <row r="11" spans="1:2">
      <c r="A11" s="93">
        <v>27</v>
      </c>
      <c r="B11">
        <v>1280</v>
      </c>
    </row>
    <row r="12" spans="1:2">
      <c r="A12" s="93">
        <v>26</v>
      </c>
      <c r="B12">
        <v>1240</v>
      </c>
    </row>
    <row r="13" spans="1:2">
      <c r="A13" s="93">
        <v>25</v>
      </c>
      <c r="B13">
        <v>1210</v>
      </c>
    </row>
    <row r="14" spans="1:2">
      <c r="A14" s="93">
        <v>24</v>
      </c>
      <c r="B14">
        <v>1180</v>
      </c>
    </row>
    <row r="15" spans="1:2">
      <c r="A15" s="93">
        <v>23</v>
      </c>
      <c r="B15">
        <v>1140</v>
      </c>
    </row>
    <row r="16" spans="1:2">
      <c r="A16" s="93">
        <v>22</v>
      </c>
      <c r="B16">
        <v>1110</v>
      </c>
    </row>
    <row r="17" spans="1:2">
      <c r="A17" s="93">
        <v>21</v>
      </c>
      <c r="B17">
        <v>1080</v>
      </c>
    </row>
    <row r="18" spans="1:2">
      <c r="A18" s="93">
        <v>20</v>
      </c>
      <c r="B18">
        <v>1040</v>
      </c>
    </row>
    <row r="19" spans="1:2">
      <c r="A19" s="93">
        <v>19</v>
      </c>
      <c r="B19">
        <v>1010</v>
      </c>
    </row>
    <row r="20" spans="1:2">
      <c r="A20" s="93">
        <v>18</v>
      </c>
      <c r="B20">
        <v>970</v>
      </c>
    </row>
    <row r="21" spans="1:2">
      <c r="A21" s="93">
        <v>17</v>
      </c>
      <c r="B21">
        <v>930</v>
      </c>
    </row>
    <row r="22" spans="1:2">
      <c r="A22" s="93">
        <v>16</v>
      </c>
      <c r="B22">
        <v>890</v>
      </c>
    </row>
    <row r="23" spans="1:2">
      <c r="A23" s="93">
        <v>15</v>
      </c>
      <c r="B23">
        <v>850</v>
      </c>
    </row>
    <row r="24" spans="1:2">
      <c r="A24" s="93">
        <v>14</v>
      </c>
      <c r="B24">
        <v>800</v>
      </c>
    </row>
    <row r="25" spans="1:2">
      <c r="A25" s="93">
        <v>13</v>
      </c>
      <c r="B25">
        <v>760</v>
      </c>
    </row>
    <row r="26" spans="1:2">
      <c r="A26" s="93">
        <v>12</v>
      </c>
      <c r="B26">
        <v>710</v>
      </c>
    </row>
    <row r="27" spans="1:2">
      <c r="A27" s="93">
        <v>11</v>
      </c>
      <c r="B27">
        <v>670</v>
      </c>
    </row>
    <row r="28" spans="1:2">
      <c r="A28" s="93">
        <v>10</v>
      </c>
      <c r="B28">
        <v>630</v>
      </c>
    </row>
    <row r="29" spans="1:2">
      <c r="A29" s="93">
        <v>9</v>
      </c>
      <c r="B29">
        <v>590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611"/>
  <sheetViews>
    <sheetView workbookViewId="0"/>
  </sheetViews>
  <sheetFormatPr defaultRowHeight="15"/>
  <sheetData>
    <row r="1" spans="1:4">
      <c r="A1" s="93" t="s">
        <v>5504</v>
      </c>
      <c r="B1" s="93" t="s">
        <v>19</v>
      </c>
      <c r="C1" s="93" t="s">
        <v>369</v>
      </c>
      <c r="D1" s="93" t="s">
        <v>0</v>
      </c>
    </row>
    <row r="2" spans="1:4">
      <c r="A2" s="93" t="s">
        <v>5505</v>
      </c>
      <c r="B2">
        <v>4.3</v>
      </c>
      <c r="C2">
        <v>710</v>
      </c>
      <c r="D2">
        <v>4</v>
      </c>
    </row>
    <row r="3" spans="1:4">
      <c r="A3" s="93" t="s">
        <v>5506</v>
      </c>
      <c r="B3">
        <v>4.2</v>
      </c>
      <c r="C3">
        <v>710</v>
      </c>
      <c r="D3">
        <v>4</v>
      </c>
    </row>
    <row r="4" spans="1:4">
      <c r="A4" s="93" t="s">
        <v>5507</v>
      </c>
      <c r="B4">
        <v>4.1</v>
      </c>
      <c r="C4">
        <v>710</v>
      </c>
      <c r="D4">
        <v>4</v>
      </c>
    </row>
    <row r="5" spans="1:4">
      <c r="A5" s="93" t="s">
        <v>5508</v>
      </c>
      <c r="B5">
        <v>4</v>
      </c>
      <c r="C5">
        <v>710</v>
      </c>
      <c r="D5">
        <v>5</v>
      </c>
    </row>
    <row r="6" spans="1:4">
      <c r="A6" s="93" t="s">
        <v>5509</v>
      </c>
      <c r="B6">
        <v>3.9</v>
      </c>
      <c r="C6">
        <v>710</v>
      </c>
      <c r="D6">
        <v>5</v>
      </c>
    </row>
    <row r="7" spans="1:4">
      <c r="A7" s="93" t="s">
        <v>5510</v>
      </c>
      <c r="B7">
        <v>3.8</v>
      </c>
      <c r="C7">
        <v>710</v>
      </c>
      <c r="D7">
        <v>5</v>
      </c>
    </row>
    <row r="8" spans="1:4">
      <c r="A8" s="93" t="s">
        <v>5511</v>
      </c>
      <c r="B8">
        <v>3.7</v>
      </c>
      <c r="C8">
        <v>710</v>
      </c>
      <c r="D8">
        <v>5</v>
      </c>
    </row>
    <row r="9" spans="1:4">
      <c r="A9" s="93" t="s">
        <v>5512</v>
      </c>
      <c r="B9">
        <v>3.6</v>
      </c>
      <c r="C9">
        <v>710</v>
      </c>
      <c r="D9">
        <v>7</v>
      </c>
    </row>
    <row r="10" spans="1:4">
      <c r="A10" s="93" t="s">
        <v>5513</v>
      </c>
      <c r="B10">
        <v>3.5</v>
      </c>
      <c r="C10">
        <v>710</v>
      </c>
      <c r="D10">
        <v>7</v>
      </c>
    </row>
    <row r="11" spans="1:4">
      <c r="A11" s="93" t="s">
        <v>5514</v>
      </c>
      <c r="B11">
        <v>3.4</v>
      </c>
      <c r="C11">
        <v>710</v>
      </c>
      <c r="D11">
        <v>7</v>
      </c>
    </row>
    <row r="12" spans="1:4">
      <c r="A12" s="93" t="s">
        <v>5515</v>
      </c>
      <c r="B12">
        <v>3.3</v>
      </c>
      <c r="C12">
        <v>710</v>
      </c>
      <c r="D12">
        <v>7</v>
      </c>
    </row>
    <row r="13" spans="1:4">
      <c r="A13" s="93" t="s">
        <v>5516</v>
      </c>
      <c r="B13">
        <v>3.2</v>
      </c>
      <c r="C13">
        <v>710</v>
      </c>
      <c r="D13">
        <v>8</v>
      </c>
    </row>
    <row r="14" spans="1:4">
      <c r="A14" s="93" t="s">
        <v>5517</v>
      </c>
      <c r="B14">
        <v>3.1</v>
      </c>
      <c r="C14">
        <v>710</v>
      </c>
      <c r="D14">
        <v>8</v>
      </c>
    </row>
    <row r="15" spans="1:4">
      <c r="A15" s="93" t="s">
        <v>5518</v>
      </c>
      <c r="B15">
        <v>3</v>
      </c>
      <c r="C15">
        <v>710</v>
      </c>
      <c r="D15">
        <v>9</v>
      </c>
    </row>
    <row r="16" spans="1:4">
      <c r="A16" s="93" t="s">
        <v>5519</v>
      </c>
      <c r="B16">
        <v>2.9</v>
      </c>
      <c r="C16">
        <v>710</v>
      </c>
      <c r="D16">
        <v>9</v>
      </c>
    </row>
    <row r="17" spans="1:4">
      <c r="A17" s="93" t="s">
        <v>5520</v>
      </c>
      <c r="B17">
        <v>2.8</v>
      </c>
      <c r="C17">
        <v>710</v>
      </c>
      <c r="D17">
        <v>11</v>
      </c>
    </row>
    <row r="18" spans="1:4">
      <c r="A18" s="93" t="s">
        <v>5521</v>
      </c>
      <c r="B18">
        <v>2.7</v>
      </c>
      <c r="C18">
        <v>710</v>
      </c>
      <c r="D18">
        <v>11</v>
      </c>
    </row>
    <row r="19" spans="1:4">
      <c r="A19" s="93" t="s">
        <v>5522</v>
      </c>
      <c r="B19">
        <v>2.6</v>
      </c>
      <c r="C19">
        <v>710</v>
      </c>
      <c r="D19">
        <v>11</v>
      </c>
    </row>
    <row r="20" spans="1:4">
      <c r="A20" s="93" t="s">
        <v>5523</v>
      </c>
      <c r="B20">
        <v>2.5</v>
      </c>
      <c r="C20">
        <v>710</v>
      </c>
      <c r="D20">
        <v>11</v>
      </c>
    </row>
    <row r="21" spans="1:4">
      <c r="A21" s="93" t="s">
        <v>5524</v>
      </c>
      <c r="B21">
        <v>2.4</v>
      </c>
      <c r="C21">
        <v>710</v>
      </c>
      <c r="D21">
        <v>11</v>
      </c>
    </row>
    <row r="22" spans="1:4">
      <c r="A22" s="93" t="s">
        <v>5525</v>
      </c>
      <c r="B22">
        <v>2.3</v>
      </c>
      <c r="C22">
        <v>710</v>
      </c>
      <c r="D22">
        <v>11</v>
      </c>
    </row>
    <row r="23" spans="1:4">
      <c r="A23" s="93" t="s">
        <v>5526</v>
      </c>
      <c r="B23">
        <v>2.2</v>
      </c>
      <c r="C23">
        <v>710</v>
      </c>
      <c r="D23">
        <v>11</v>
      </c>
    </row>
    <row r="24" spans="1:4">
      <c r="A24" s="93" t="s">
        <v>5527</v>
      </c>
      <c r="B24">
        <v>2.1</v>
      </c>
      <c r="C24">
        <v>710</v>
      </c>
      <c r="D24">
        <v>11</v>
      </c>
    </row>
    <row r="25" spans="1:4">
      <c r="A25" s="93" t="s">
        <v>5528</v>
      </c>
      <c r="B25">
        <v>2</v>
      </c>
      <c r="C25">
        <v>710</v>
      </c>
      <c r="D25">
        <v>11</v>
      </c>
    </row>
    <row r="26" spans="1:4">
      <c r="A26" s="93" t="s">
        <v>5529</v>
      </c>
      <c r="B26">
        <v>1.9</v>
      </c>
      <c r="C26">
        <v>710</v>
      </c>
      <c r="D26">
        <v>11</v>
      </c>
    </row>
    <row r="27" spans="1:4">
      <c r="A27" s="93" t="s">
        <v>5530</v>
      </c>
      <c r="B27">
        <v>1.8</v>
      </c>
      <c r="C27">
        <v>710</v>
      </c>
      <c r="D27">
        <v>11</v>
      </c>
    </row>
    <row r="28" spans="1:4">
      <c r="A28" s="93" t="s">
        <v>5531</v>
      </c>
      <c r="B28">
        <v>1.7</v>
      </c>
      <c r="C28">
        <v>710</v>
      </c>
      <c r="D28">
        <v>11</v>
      </c>
    </row>
    <row r="29" spans="1:4">
      <c r="A29" s="93" t="s">
        <v>5532</v>
      </c>
      <c r="B29">
        <v>1.6</v>
      </c>
      <c r="C29">
        <v>710</v>
      </c>
      <c r="D29">
        <v>11</v>
      </c>
    </row>
    <row r="30" spans="1:4">
      <c r="A30" s="93" t="s">
        <v>5533</v>
      </c>
      <c r="B30">
        <v>1.5</v>
      </c>
      <c r="C30">
        <v>710</v>
      </c>
      <c r="D30">
        <v>11</v>
      </c>
    </row>
    <row r="31" spans="1:4">
      <c r="A31" s="93" t="s">
        <v>5534</v>
      </c>
      <c r="B31">
        <v>4.3</v>
      </c>
      <c r="C31">
        <v>720</v>
      </c>
      <c r="D31">
        <v>4</v>
      </c>
    </row>
    <row r="32" spans="1:4">
      <c r="A32" s="93" t="s">
        <v>5535</v>
      </c>
      <c r="B32">
        <v>4.2</v>
      </c>
      <c r="C32">
        <v>720</v>
      </c>
      <c r="D32">
        <v>4</v>
      </c>
    </row>
    <row r="33" spans="1:4">
      <c r="A33" s="93" t="s">
        <v>5536</v>
      </c>
      <c r="B33">
        <v>4.1</v>
      </c>
      <c r="C33">
        <v>720</v>
      </c>
      <c r="D33">
        <v>4</v>
      </c>
    </row>
    <row r="34" spans="1:4">
      <c r="A34" s="93" t="s">
        <v>5537</v>
      </c>
      <c r="B34">
        <v>4</v>
      </c>
      <c r="C34">
        <v>720</v>
      </c>
      <c r="D34">
        <v>5</v>
      </c>
    </row>
    <row r="35" spans="1:4">
      <c r="A35" s="93" t="s">
        <v>5538</v>
      </c>
      <c r="B35">
        <v>3.9</v>
      </c>
      <c r="C35">
        <v>720</v>
      </c>
      <c r="D35">
        <v>5</v>
      </c>
    </row>
    <row r="36" spans="1:4">
      <c r="A36" s="93" t="s">
        <v>5539</v>
      </c>
      <c r="B36">
        <v>3.8</v>
      </c>
      <c r="C36">
        <v>720</v>
      </c>
      <c r="D36">
        <v>5</v>
      </c>
    </row>
    <row r="37" spans="1:4">
      <c r="A37" s="93" t="s">
        <v>5540</v>
      </c>
      <c r="B37">
        <v>3.7</v>
      </c>
      <c r="C37">
        <v>720</v>
      </c>
      <c r="D37">
        <v>5</v>
      </c>
    </row>
    <row r="38" spans="1:4">
      <c r="A38" s="93" t="s">
        <v>5541</v>
      </c>
      <c r="B38">
        <v>3.6</v>
      </c>
      <c r="C38">
        <v>720</v>
      </c>
      <c r="D38">
        <v>7</v>
      </c>
    </row>
    <row r="39" spans="1:4">
      <c r="A39" s="93" t="s">
        <v>5542</v>
      </c>
      <c r="B39">
        <v>3.5</v>
      </c>
      <c r="C39">
        <v>720</v>
      </c>
      <c r="D39">
        <v>7</v>
      </c>
    </row>
    <row r="40" spans="1:4">
      <c r="A40" s="93" t="s">
        <v>5543</v>
      </c>
      <c r="B40">
        <v>3.4</v>
      </c>
      <c r="C40">
        <v>720</v>
      </c>
      <c r="D40">
        <v>7</v>
      </c>
    </row>
    <row r="41" spans="1:4">
      <c r="A41" s="93" t="s">
        <v>5544</v>
      </c>
      <c r="B41">
        <v>3.3</v>
      </c>
      <c r="C41">
        <v>720</v>
      </c>
      <c r="D41">
        <v>7</v>
      </c>
    </row>
    <row r="42" spans="1:4">
      <c r="A42" s="93" t="s">
        <v>5545</v>
      </c>
      <c r="B42">
        <v>3.2</v>
      </c>
      <c r="C42">
        <v>720</v>
      </c>
      <c r="D42">
        <v>8</v>
      </c>
    </row>
    <row r="43" spans="1:4">
      <c r="A43" s="93" t="s">
        <v>5546</v>
      </c>
      <c r="B43">
        <v>3.1</v>
      </c>
      <c r="C43">
        <v>720</v>
      </c>
      <c r="D43">
        <v>8</v>
      </c>
    </row>
    <row r="44" spans="1:4">
      <c r="A44" s="93" t="s">
        <v>5547</v>
      </c>
      <c r="B44">
        <v>3</v>
      </c>
      <c r="C44">
        <v>720</v>
      </c>
      <c r="D44">
        <v>9</v>
      </c>
    </row>
    <row r="45" spans="1:4">
      <c r="A45" s="93" t="s">
        <v>5548</v>
      </c>
      <c r="B45">
        <v>2.9</v>
      </c>
      <c r="C45">
        <v>720</v>
      </c>
      <c r="D45">
        <v>9</v>
      </c>
    </row>
    <row r="46" spans="1:4">
      <c r="A46" s="93" t="s">
        <v>5549</v>
      </c>
      <c r="B46">
        <v>2.8</v>
      </c>
      <c r="C46">
        <v>720</v>
      </c>
      <c r="D46">
        <v>11</v>
      </c>
    </row>
    <row r="47" spans="1:4">
      <c r="A47" s="93" t="s">
        <v>5550</v>
      </c>
      <c r="B47">
        <v>2.7</v>
      </c>
      <c r="C47">
        <v>720</v>
      </c>
      <c r="D47">
        <v>11</v>
      </c>
    </row>
    <row r="48" spans="1:4">
      <c r="A48" s="93" t="s">
        <v>5551</v>
      </c>
      <c r="B48">
        <v>2.6</v>
      </c>
      <c r="C48">
        <v>720</v>
      </c>
      <c r="D48">
        <v>11</v>
      </c>
    </row>
    <row r="49" spans="1:4">
      <c r="A49" s="93" t="s">
        <v>5552</v>
      </c>
      <c r="B49">
        <v>2.5</v>
      </c>
      <c r="C49">
        <v>720</v>
      </c>
      <c r="D49">
        <v>11</v>
      </c>
    </row>
    <row r="50" spans="1:4">
      <c r="A50" s="93" t="s">
        <v>5553</v>
      </c>
      <c r="B50">
        <v>2.4</v>
      </c>
      <c r="C50">
        <v>720</v>
      </c>
      <c r="D50">
        <v>11</v>
      </c>
    </row>
    <row r="51" spans="1:4">
      <c r="A51" s="93" t="s">
        <v>5554</v>
      </c>
      <c r="B51">
        <v>2.3</v>
      </c>
      <c r="C51">
        <v>720</v>
      </c>
      <c r="D51">
        <v>11</v>
      </c>
    </row>
    <row r="52" spans="1:4">
      <c r="A52" s="93" t="s">
        <v>5555</v>
      </c>
      <c r="B52">
        <v>2.2</v>
      </c>
      <c r="C52">
        <v>720</v>
      </c>
      <c r="D52">
        <v>11</v>
      </c>
    </row>
    <row r="53" spans="1:4">
      <c r="A53" s="93" t="s">
        <v>5556</v>
      </c>
      <c r="B53">
        <v>2.1</v>
      </c>
      <c r="C53">
        <v>720</v>
      </c>
      <c r="D53">
        <v>11</v>
      </c>
    </row>
    <row r="54" spans="1:4">
      <c r="A54" s="93" t="s">
        <v>5557</v>
      </c>
      <c r="B54">
        <v>2</v>
      </c>
      <c r="C54">
        <v>720</v>
      </c>
      <c r="D54">
        <v>11</v>
      </c>
    </row>
    <row r="55" spans="1:4">
      <c r="A55" s="93" t="s">
        <v>5558</v>
      </c>
      <c r="B55">
        <v>1.9</v>
      </c>
      <c r="C55">
        <v>720</v>
      </c>
      <c r="D55">
        <v>11</v>
      </c>
    </row>
    <row r="56" spans="1:4">
      <c r="A56" s="93" t="s">
        <v>5559</v>
      </c>
      <c r="B56">
        <v>1.8</v>
      </c>
      <c r="C56">
        <v>720</v>
      </c>
      <c r="D56">
        <v>11</v>
      </c>
    </row>
    <row r="57" spans="1:4">
      <c r="A57" s="93" t="s">
        <v>5560</v>
      </c>
      <c r="B57">
        <v>1.7</v>
      </c>
      <c r="C57">
        <v>720</v>
      </c>
      <c r="D57">
        <v>11</v>
      </c>
    </row>
    <row r="58" spans="1:4">
      <c r="A58" s="93" t="s">
        <v>5561</v>
      </c>
      <c r="B58">
        <v>1.6</v>
      </c>
      <c r="C58">
        <v>720</v>
      </c>
      <c r="D58">
        <v>11</v>
      </c>
    </row>
    <row r="59" spans="1:4">
      <c r="A59" s="93" t="s">
        <v>5562</v>
      </c>
      <c r="B59">
        <v>1.5</v>
      </c>
      <c r="C59">
        <v>720</v>
      </c>
      <c r="D59">
        <v>11</v>
      </c>
    </row>
    <row r="60" spans="1:4">
      <c r="A60" s="93" t="s">
        <v>5563</v>
      </c>
      <c r="B60">
        <v>4.3</v>
      </c>
      <c r="C60">
        <v>730</v>
      </c>
      <c r="D60">
        <v>4</v>
      </c>
    </row>
    <row r="61" spans="1:4">
      <c r="A61" s="93" t="s">
        <v>5564</v>
      </c>
      <c r="B61">
        <v>4.2</v>
      </c>
      <c r="C61">
        <v>730</v>
      </c>
      <c r="D61">
        <v>4</v>
      </c>
    </row>
    <row r="62" spans="1:4">
      <c r="A62" s="93" t="s">
        <v>5565</v>
      </c>
      <c r="B62">
        <v>4.1</v>
      </c>
      <c r="C62">
        <v>730</v>
      </c>
      <c r="D62">
        <v>4</v>
      </c>
    </row>
    <row r="63" spans="1:4">
      <c r="A63" s="93" t="s">
        <v>5566</v>
      </c>
      <c r="B63">
        <v>4</v>
      </c>
      <c r="C63">
        <v>730</v>
      </c>
      <c r="D63">
        <v>4</v>
      </c>
    </row>
    <row r="64" spans="1:4">
      <c r="A64" s="93" t="s">
        <v>5567</v>
      </c>
      <c r="B64">
        <v>3.9</v>
      </c>
      <c r="C64">
        <v>730</v>
      </c>
      <c r="D64">
        <v>5</v>
      </c>
    </row>
    <row r="65" spans="1:4">
      <c r="A65" s="93" t="s">
        <v>5568</v>
      </c>
      <c r="B65">
        <v>3.8</v>
      </c>
      <c r="C65">
        <v>730</v>
      </c>
      <c r="D65">
        <v>5</v>
      </c>
    </row>
    <row r="66" spans="1:4">
      <c r="A66" s="93" t="s">
        <v>5569</v>
      </c>
      <c r="B66">
        <v>3.7</v>
      </c>
      <c r="C66">
        <v>730</v>
      </c>
      <c r="D66">
        <v>5</v>
      </c>
    </row>
    <row r="67" spans="1:4">
      <c r="A67" s="93" t="s">
        <v>5570</v>
      </c>
      <c r="B67">
        <v>3.6</v>
      </c>
      <c r="C67">
        <v>730</v>
      </c>
      <c r="D67">
        <v>5</v>
      </c>
    </row>
    <row r="68" spans="1:4">
      <c r="A68" s="93" t="s">
        <v>5571</v>
      </c>
      <c r="B68">
        <v>3.5</v>
      </c>
      <c r="C68">
        <v>730</v>
      </c>
      <c r="D68">
        <v>7</v>
      </c>
    </row>
    <row r="69" spans="1:4">
      <c r="A69" s="93" t="s">
        <v>5572</v>
      </c>
      <c r="B69">
        <v>3.4</v>
      </c>
      <c r="C69">
        <v>730</v>
      </c>
      <c r="D69">
        <v>7</v>
      </c>
    </row>
    <row r="70" spans="1:4">
      <c r="A70" s="93" t="s">
        <v>5573</v>
      </c>
      <c r="B70">
        <v>3.3</v>
      </c>
      <c r="C70">
        <v>730</v>
      </c>
      <c r="D70">
        <v>7</v>
      </c>
    </row>
    <row r="71" spans="1:4">
      <c r="A71" s="93" t="s">
        <v>5574</v>
      </c>
      <c r="B71">
        <v>3.2</v>
      </c>
      <c r="C71">
        <v>730</v>
      </c>
      <c r="D71">
        <v>7</v>
      </c>
    </row>
    <row r="72" spans="1:4">
      <c r="A72" s="93" t="s">
        <v>5575</v>
      </c>
      <c r="B72">
        <v>3.1</v>
      </c>
      <c r="C72">
        <v>730</v>
      </c>
      <c r="D72">
        <v>8</v>
      </c>
    </row>
    <row r="73" spans="1:4">
      <c r="A73" s="93" t="s">
        <v>5576</v>
      </c>
      <c r="B73">
        <v>3</v>
      </c>
      <c r="C73">
        <v>730</v>
      </c>
      <c r="D73">
        <v>8</v>
      </c>
    </row>
    <row r="74" spans="1:4">
      <c r="A74" s="93" t="s">
        <v>5577</v>
      </c>
      <c r="B74">
        <v>2.9</v>
      </c>
      <c r="C74">
        <v>730</v>
      </c>
      <c r="D74">
        <v>9</v>
      </c>
    </row>
    <row r="75" spans="1:4">
      <c r="A75" s="93" t="s">
        <v>5578</v>
      </c>
      <c r="B75">
        <v>2.8</v>
      </c>
      <c r="C75">
        <v>730</v>
      </c>
      <c r="D75">
        <v>9</v>
      </c>
    </row>
    <row r="76" spans="1:4">
      <c r="A76" s="93" t="s">
        <v>5579</v>
      </c>
      <c r="B76">
        <v>2.7</v>
      </c>
      <c r="C76">
        <v>730</v>
      </c>
      <c r="D76">
        <v>9</v>
      </c>
    </row>
    <row r="77" spans="1:4">
      <c r="A77" s="93" t="s">
        <v>5580</v>
      </c>
      <c r="B77">
        <v>2.6</v>
      </c>
      <c r="C77">
        <v>730</v>
      </c>
      <c r="D77">
        <v>9</v>
      </c>
    </row>
    <row r="78" spans="1:4">
      <c r="A78" s="93" t="s">
        <v>5581</v>
      </c>
      <c r="B78">
        <v>2.5</v>
      </c>
      <c r="C78">
        <v>730</v>
      </c>
      <c r="D78">
        <v>11</v>
      </c>
    </row>
    <row r="79" spans="1:4">
      <c r="A79" s="93" t="s">
        <v>5582</v>
      </c>
      <c r="B79">
        <v>2.4</v>
      </c>
      <c r="C79">
        <v>730</v>
      </c>
      <c r="D79">
        <v>11</v>
      </c>
    </row>
    <row r="80" spans="1:4">
      <c r="A80" s="93" t="s">
        <v>5583</v>
      </c>
      <c r="B80">
        <v>2.3</v>
      </c>
      <c r="C80">
        <v>730</v>
      </c>
      <c r="D80">
        <v>11</v>
      </c>
    </row>
    <row r="81" spans="1:4">
      <c r="A81" s="93" t="s">
        <v>5584</v>
      </c>
      <c r="B81">
        <v>2.2</v>
      </c>
      <c r="C81">
        <v>730</v>
      </c>
      <c r="D81">
        <v>11</v>
      </c>
    </row>
    <row r="82" spans="1:4">
      <c r="A82" s="93" t="s">
        <v>5585</v>
      </c>
      <c r="B82">
        <v>2.1</v>
      </c>
      <c r="C82">
        <v>730</v>
      </c>
      <c r="D82">
        <v>11</v>
      </c>
    </row>
    <row r="83" spans="1:4">
      <c r="A83" s="93" t="s">
        <v>5586</v>
      </c>
      <c r="B83">
        <v>2</v>
      </c>
      <c r="C83">
        <v>730</v>
      </c>
      <c r="D83">
        <v>11</v>
      </c>
    </row>
    <row r="84" spans="1:4">
      <c r="A84" s="93" t="s">
        <v>5587</v>
      </c>
      <c r="B84">
        <v>1.9</v>
      </c>
      <c r="C84">
        <v>730</v>
      </c>
      <c r="D84">
        <v>11</v>
      </c>
    </row>
    <row r="85" spans="1:4">
      <c r="A85" s="93" t="s">
        <v>5588</v>
      </c>
      <c r="B85">
        <v>1.8</v>
      </c>
      <c r="C85">
        <v>730</v>
      </c>
      <c r="D85">
        <v>11</v>
      </c>
    </row>
    <row r="86" spans="1:4">
      <c r="A86" s="93" t="s">
        <v>5589</v>
      </c>
      <c r="B86">
        <v>1.7</v>
      </c>
      <c r="C86">
        <v>730</v>
      </c>
      <c r="D86">
        <v>11</v>
      </c>
    </row>
    <row r="87" spans="1:4">
      <c r="A87" s="93" t="s">
        <v>5590</v>
      </c>
      <c r="B87">
        <v>1.6</v>
      </c>
      <c r="C87">
        <v>730</v>
      </c>
      <c r="D87">
        <v>11</v>
      </c>
    </row>
    <row r="88" spans="1:4">
      <c r="A88" s="93" t="s">
        <v>5591</v>
      </c>
      <c r="B88">
        <v>1.5</v>
      </c>
      <c r="C88">
        <v>730</v>
      </c>
      <c r="D88">
        <v>11</v>
      </c>
    </row>
    <row r="89" spans="1:4">
      <c r="A89" s="93" t="s">
        <v>5592</v>
      </c>
      <c r="B89">
        <v>4.3</v>
      </c>
      <c r="C89">
        <v>740</v>
      </c>
      <c r="D89">
        <v>4</v>
      </c>
    </row>
    <row r="90" spans="1:4">
      <c r="A90" s="93" t="s">
        <v>5593</v>
      </c>
      <c r="B90">
        <v>4.2</v>
      </c>
      <c r="C90">
        <v>740</v>
      </c>
      <c r="D90">
        <v>4</v>
      </c>
    </row>
    <row r="91" spans="1:4">
      <c r="A91" s="93" t="s">
        <v>5594</v>
      </c>
      <c r="B91">
        <v>4.1</v>
      </c>
      <c r="C91">
        <v>740</v>
      </c>
      <c r="D91">
        <v>4</v>
      </c>
    </row>
    <row r="92" spans="1:4">
      <c r="A92" s="93" t="s">
        <v>5595</v>
      </c>
      <c r="B92">
        <v>4</v>
      </c>
      <c r="C92">
        <v>740</v>
      </c>
      <c r="D92">
        <v>4</v>
      </c>
    </row>
    <row r="93" spans="1:4">
      <c r="A93" s="93" t="s">
        <v>5596</v>
      </c>
      <c r="B93">
        <v>3.9</v>
      </c>
      <c r="C93">
        <v>740</v>
      </c>
      <c r="D93">
        <v>5</v>
      </c>
    </row>
    <row r="94" spans="1:4">
      <c r="A94" s="93" t="s">
        <v>5597</v>
      </c>
      <c r="B94">
        <v>3.8</v>
      </c>
      <c r="C94">
        <v>740</v>
      </c>
      <c r="D94">
        <v>5</v>
      </c>
    </row>
    <row r="95" spans="1:4">
      <c r="A95" s="93" t="s">
        <v>5598</v>
      </c>
      <c r="B95">
        <v>3.7</v>
      </c>
      <c r="C95">
        <v>740</v>
      </c>
      <c r="D95">
        <v>5</v>
      </c>
    </row>
    <row r="96" spans="1:4">
      <c r="A96" s="93" t="s">
        <v>5599</v>
      </c>
      <c r="B96">
        <v>3.6</v>
      </c>
      <c r="C96">
        <v>740</v>
      </c>
      <c r="D96">
        <v>5</v>
      </c>
    </row>
    <row r="97" spans="1:4">
      <c r="A97" s="93" t="s">
        <v>5600</v>
      </c>
      <c r="B97">
        <v>3.5</v>
      </c>
      <c r="C97">
        <v>740</v>
      </c>
      <c r="D97">
        <v>7</v>
      </c>
    </row>
    <row r="98" spans="1:4">
      <c r="A98" s="93" t="s">
        <v>5601</v>
      </c>
      <c r="B98">
        <v>3.4</v>
      </c>
      <c r="C98">
        <v>740</v>
      </c>
      <c r="D98">
        <v>7</v>
      </c>
    </row>
    <row r="99" spans="1:4">
      <c r="A99" s="93" t="s">
        <v>5602</v>
      </c>
      <c r="B99">
        <v>3.3</v>
      </c>
      <c r="C99">
        <v>740</v>
      </c>
      <c r="D99">
        <v>7</v>
      </c>
    </row>
    <row r="100" spans="1:4">
      <c r="A100" s="93" t="s">
        <v>5603</v>
      </c>
      <c r="B100">
        <v>3.2</v>
      </c>
      <c r="C100">
        <v>740</v>
      </c>
      <c r="D100">
        <v>7</v>
      </c>
    </row>
    <row r="101" spans="1:4">
      <c r="A101" s="93" t="s">
        <v>5604</v>
      </c>
      <c r="B101">
        <v>3.1</v>
      </c>
      <c r="C101">
        <v>740</v>
      </c>
      <c r="D101">
        <v>8</v>
      </c>
    </row>
    <row r="102" spans="1:4">
      <c r="A102" s="93" t="s">
        <v>5605</v>
      </c>
      <c r="B102">
        <v>3</v>
      </c>
      <c r="C102">
        <v>740</v>
      </c>
      <c r="D102">
        <v>8</v>
      </c>
    </row>
    <row r="103" spans="1:4">
      <c r="A103" s="93" t="s">
        <v>5606</v>
      </c>
      <c r="B103">
        <v>2.9</v>
      </c>
      <c r="C103">
        <v>740</v>
      </c>
      <c r="D103">
        <v>9</v>
      </c>
    </row>
    <row r="104" spans="1:4">
      <c r="A104" s="93" t="s">
        <v>5607</v>
      </c>
      <c r="B104">
        <v>2.8</v>
      </c>
      <c r="C104">
        <v>740</v>
      </c>
      <c r="D104">
        <v>9</v>
      </c>
    </row>
    <row r="105" spans="1:4">
      <c r="A105" s="93" t="s">
        <v>5608</v>
      </c>
      <c r="B105">
        <v>2.7</v>
      </c>
      <c r="C105">
        <v>740</v>
      </c>
      <c r="D105">
        <v>9</v>
      </c>
    </row>
    <row r="106" spans="1:4">
      <c r="A106" s="93" t="s">
        <v>5609</v>
      </c>
      <c r="B106">
        <v>2.6</v>
      </c>
      <c r="C106">
        <v>740</v>
      </c>
      <c r="D106">
        <v>9</v>
      </c>
    </row>
    <row r="107" spans="1:4">
      <c r="A107" s="93" t="s">
        <v>5610</v>
      </c>
      <c r="B107">
        <v>2.5</v>
      </c>
      <c r="C107">
        <v>740</v>
      </c>
      <c r="D107">
        <v>11</v>
      </c>
    </row>
    <row r="108" spans="1:4">
      <c r="A108" s="93" t="s">
        <v>5611</v>
      </c>
      <c r="B108">
        <v>2.4</v>
      </c>
      <c r="C108">
        <v>740</v>
      </c>
      <c r="D108">
        <v>11</v>
      </c>
    </row>
    <row r="109" spans="1:4">
      <c r="A109" s="93" t="s">
        <v>5612</v>
      </c>
      <c r="B109">
        <v>2.3</v>
      </c>
      <c r="C109">
        <v>740</v>
      </c>
      <c r="D109">
        <v>11</v>
      </c>
    </row>
    <row r="110" spans="1:4">
      <c r="A110" s="93" t="s">
        <v>5613</v>
      </c>
      <c r="B110">
        <v>2.2</v>
      </c>
      <c r="C110">
        <v>740</v>
      </c>
      <c r="D110">
        <v>11</v>
      </c>
    </row>
    <row r="111" spans="1:4">
      <c r="A111" s="93" t="s">
        <v>5614</v>
      </c>
      <c r="B111">
        <v>2.1</v>
      </c>
      <c r="C111">
        <v>740</v>
      </c>
      <c r="D111">
        <v>11</v>
      </c>
    </row>
    <row r="112" spans="1:4">
      <c r="A112" s="93" t="s">
        <v>5615</v>
      </c>
      <c r="B112">
        <v>2</v>
      </c>
      <c r="C112">
        <v>740</v>
      </c>
      <c r="D112">
        <v>11</v>
      </c>
    </row>
    <row r="113" spans="1:4">
      <c r="A113" s="93" t="s">
        <v>5616</v>
      </c>
      <c r="B113">
        <v>1.9</v>
      </c>
      <c r="C113">
        <v>740</v>
      </c>
      <c r="D113">
        <v>11</v>
      </c>
    </row>
    <row r="114" spans="1:4">
      <c r="A114" s="93" t="s">
        <v>5617</v>
      </c>
      <c r="B114">
        <v>1.8</v>
      </c>
      <c r="C114">
        <v>740</v>
      </c>
      <c r="D114">
        <v>11</v>
      </c>
    </row>
    <row r="115" spans="1:4">
      <c r="A115" s="93" t="s">
        <v>5618</v>
      </c>
      <c r="B115">
        <v>1.7</v>
      </c>
      <c r="C115">
        <v>740</v>
      </c>
      <c r="D115">
        <v>11</v>
      </c>
    </row>
    <row r="116" spans="1:4">
      <c r="A116" s="93" t="s">
        <v>5619</v>
      </c>
      <c r="B116">
        <v>1.6</v>
      </c>
      <c r="C116">
        <v>740</v>
      </c>
      <c r="D116">
        <v>11</v>
      </c>
    </row>
    <row r="117" spans="1:4">
      <c r="A117" s="93" t="s">
        <v>5620</v>
      </c>
      <c r="B117">
        <v>1.5</v>
      </c>
      <c r="C117">
        <v>740</v>
      </c>
      <c r="D117">
        <v>11</v>
      </c>
    </row>
    <row r="118" spans="1:4">
      <c r="A118" s="93" t="s">
        <v>5621</v>
      </c>
      <c r="B118">
        <v>4.3</v>
      </c>
      <c r="C118">
        <v>750</v>
      </c>
      <c r="D118">
        <v>4</v>
      </c>
    </row>
    <row r="119" spans="1:4">
      <c r="A119" s="93" t="s">
        <v>5622</v>
      </c>
      <c r="B119">
        <v>4.2</v>
      </c>
      <c r="C119">
        <v>750</v>
      </c>
      <c r="D119">
        <v>4</v>
      </c>
    </row>
    <row r="120" spans="1:4">
      <c r="A120" s="93" t="s">
        <v>5623</v>
      </c>
      <c r="B120">
        <v>4.1</v>
      </c>
      <c r="C120">
        <v>750</v>
      </c>
      <c r="D120">
        <v>4</v>
      </c>
    </row>
    <row r="121" spans="1:4">
      <c r="A121" s="93" t="s">
        <v>5624</v>
      </c>
      <c r="B121">
        <v>4</v>
      </c>
      <c r="C121">
        <v>750</v>
      </c>
      <c r="D121">
        <v>4</v>
      </c>
    </row>
    <row r="122" spans="1:4">
      <c r="A122" s="93" t="s">
        <v>5625</v>
      </c>
      <c r="B122">
        <v>3.9</v>
      </c>
      <c r="C122">
        <v>750</v>
      </c>
      <c r="D122">
        <v>5</v>
      </c>
    </row>
    <row r="123" spans="1:4">
      <c r="A123" s="93" t="s">
        <v>5626</v>
      </c>
      <c r="B123">
        <v>3.8</v>
      </c>
      <c r="C123">
        <v>750</v>
      </c>
      <c r="D123">
        <v>5</v>
      </c>
    </row>
    <row r="124" spans="1:4">
      <c r="A124" s="93" t="s">
        <v>5627</v>
      </c>
      <c r="B124">
        <v>3.7</v>
      </c>
      <c r="C124">
        <v>750</v>
      </c>
      <c r="D124">
        <v>5</v>
      </c>
    </row>
    <row r="125" spans="1:4">
      <c r="A125" s="93" t="s">
        <v>5628</v>
      </c>
      <c r="B125">
        <v>3.6</v>
      </c>
      <c r="C125">
        <v>750</v>
      </c>
      <c r="D125">
        <v>5</v>
      </c>
    </row>
    <row r="126" spans="1:4">
      <c r="A126" s="93" t="s">
        <v>5629</v>
      </c>
      <c r="B126">
        <v>3.5</v>
      </c>
      <c r="C126">
        <v>750</v>
      </c>
      <c r="D126">
        <v>7</v>
      </c>
    </row>
    <row r="127" spans="1:4">
      <c r="A127" s="93" t="s">
        <v>5630</v>
      </c>
      <c r="B127">
        <v>3.4</v>
      </c>
      <c r="C127">
        <v>750</v>
      </c>
      <c r="D127">
        <v>7</v>
      </c>
    </row>
    <row r="128" spans="1:4">
      <c r="A128" s="93" t="s">
        <v>5631</v>
      </c>
      <c r="B128">
        <v>3.3</v>
      </c>
      <c r="C128">
        <v>750</v>
      </c>
      <c r="D128">
        <v>7</v>
      </c>
    </row>
    <row r="129" spans="1:4">
      <c r="A129" s="93" t="s">
        <v>5632</v>
      </c>
      <c r="B129">
        <v>3.2</v>
      </c>
      <c r="C129">
        <v>750</v>
      </c>
      <c r="D129">
        <v>7</v>
      </c>
    </row>
    <row r="130" spans="1:4">
      <c r="A130" s="93" t="s">
        <v>5633</v>
      </c>
      <c r="B130">
        <v>3.1</v>
      </c>
      <c r="C130">
        <v>750</v>
      </c>
      <c r="D130">
        <v>8</v>
      </c>
    </row>
    <row r="131" spans="1:4">
      <c r="A131" s="93" t="s">
        <v>5634</v>
      </c>
      <c r="B131">
        <v>3</v>
      </c>
      <c r="C131">
        <v>750</v>
      </c>
      <c r="D131">
        <v>8</v>
      </c>
    </row>
    <row r="132" spans="1:4">
      <c r="A132" s="93" t="s">
        <v>5635</v>
      </c>
      <c r="B132">
        <v>2.9</v>
      </c>
      <c r="C132">
        <v>750</v>
      </c>
      <c r="D132">
        <v>9</v>
      </c>
    </row>
    <row r="133" spans="1:4">
      <c r="A133" s="93" t="s">
        <v>5636</v>
      </c>
      <c r="B133">
        <v>2.8</v>
      </c>
      <c r="C133">
        <v>750</v>
      </c>
      <c r="D133">
        <v>9</v>
      </c>
    </row>
    <row r="134" spans="1:4">
      <c r="A134" s="93" t="s">
        <v>5637</v>
      </c>
      <c r="B134">
        <v>2.7</v>
      </c>
      <c r="C134">
        <v>750</v>
      </c>
      <c r="D134">
        <v>9</v>
      </c>
    </row>
    <row r="135" spans="1:4">
      <c r="A135" s="93" t="s">
        <v>5638</v>
      </c>
      <c r="B135">
        <v>2.6</v>
      </c>
      <c r="C135">
        <v>750</v>
      </c>
      <c r="D135">
        <v>9</v>
      </c>
    </row>
    <row r="136" spans="1:4">
      <c r="A136" s="93" t="s">
        <v>5639</v>
      </c>
      <c r="B136">
        <v>2.5</v>
      </c>
      <c r="C136">
        <v>750</v>
      </c>
      <c r="D136">
        <v>11</v>
      </c>
    </row>
    <row r="137" spans="1:4">
      <c r="A137" s="93" t="s">
        <v>5640</v>
      </c>
      <c r="B137">
        <v>2.4</v>
      </c>
      <c r="C137">
        <v>750</v>
      </c>
      <c r="D137">
        <v>11</v>
      </c>
    </row>
    <row r="138" spans="1:4">
      <c r="A138" s="93" t="s">
        <v>5641</v>
      </c>
      <c r="B138">
        <v>2.3</v>
      </c>
      <c r="C138">
        <v>750</v>
      </c>
      <c r="D138">
        <v>11</v>
      </c>
    </row>
    <row r="139" spans="1:4">
      <c r="A139" s="93" t="s">
        <v>5642</v>
      </c>
      <c r="B139">
        <v>2.2</v>
      </c>
      <c r="C139">
        <v>750</v>
      </c>
      <c r="D139">
        <v>11</v>
      </c>
    </row>
    <row r="140" spans="1:4">
      <c r="A140" s="93" t="s">
        <v>5643</v>
      </c>
      <c r="B140">
        <v>2.1</v>
      </c>
      <c r="C140">
        <v>750</v>
      </c>
      <c r="D140">
        <v>11</v>
      </c>
    </row>
    <row r="141" spans="1:4">
      <c r="A141" s="93" t="s">
        <v>5644</v>
      </c>
      <c r="B141">
        <v>2</v>
      </c>
      <c r="C141">
        <v>750</v>
      </c>
      <c r="D141">
        <v>11</v>
      </c>
    </row>
    <row r="142" spans="1:4">
      <c r="A142" s="93" t="s">
        <v>5645</v>
      </c>
      <c r="B142">
        <v>1.9</v>
      </c>
      <c r="C142">
        <v>750</v>
      </c>
      <c r="D142">
        <v>11</v>
      </c>
    </row>
    <row r="143" spans="1:4">
      <c r="A143" s="93" t="s">
        <v>5646</v>
      </c>
      <c r="B143">
        <v>1.8</v>
      </c>
      <c r="C143">
        <v>750</v>
      </c>
      <c r="D143">
        <v>11</v>
      </c>
    </row>
    <row r="144" spans="1:4">
      <c r="A144" s="93" t="s">
        <v>5647</v>
      </c>
      <c r="B144">
        <v>1.7</v>
      </c>
      <c r="C144">
        <v>750</v>
      </c>
      <c r="D144">
        <v>11</v>
      </c>
    </row>
    <row r="145" spans="1:4">
      <c r="A145" s="93" t="s">
        <v>5648</v>
      </c>
      <c r="B145">
        <v>1.6</v>
      </c>
      <c r="C145">
        <v>750</v>
      </c>
      <c r="D145">
        <v>11</v>
      </c>
    </row>
    <row r="146" spans="1:4">
      <c r="A146" s="93" t="s">
        <v>5649</v>
      </c>
      <c r="B146">
        <v>1.5</v>
      </c>
      <c r="C146">
        <v>750</v>
      </c>
      <c r="D146">
        <v>11</v>
      </c>
    </row>
    <row r="147" spans="1:4">
      <c r="A147" s="93" t="s">
        <v>5650</v>
      </c>
      <c r="B147">
        <v>4.3</v>
      </c>
      <c r="C147">
        <v>760</v>
      </c>
      <c r="D147">
        <v>4</v>
      </c>
    </row>
    <row r="148" spans="1:4">
      <c r="A148" s="93" t="s">
        <v>5651</v>
      </c>
      <c r="B148">
        <v>4.2</v>
      </c>
      <c r="C148">
        <v>760</v>
      </c>
      <c r="D148">
        <v>4</v>
      </c>
    </row>
    <row r="149" spans="1:4">
      <c r="A149" s="93" t="s">
        <v>5652</v>
      </c>
      <c r="B149">
        <v>4.1</v>
      </c>
      <c r="C149">
        <v>760</v>
      </c>
      <c r="D149">
        <v>4</v>
      </c>
    </row>
    <row r="150" spans="1:4">
      <c r="A150" s="93" t="s">
        <v>5653</v>
      </c>
      <c r="B150">
        <v>4</v>
      </c>
      <c r="C150">
        <v>760</v>
      </c>
      <c r="D150">
        <v>4</v>
      </c>
    </row>
    <row r="151" spans="1:4">
      <c r="A151" s="93" t="s">
        <v>5654</v>
      </c>
      <c r="B151">
        <v>3.9</v>
      </c>
      <c r="C151">
        <v>760</v>
      </c>
      <c r="D151">
        <v>5</v>
      </c>
    </row>
    <row r="152" spans="1:4">
      <c r="A152" s="93" t="s">
        <v>5655</v>
      </c>
      <c r="B152">
        <v>3.8</v>
      </c>
      <c r="C152">
        <v>760</v>
      </c>
      <c r="D152">
        <v>5</v>
      </c>
    </row>
    <row r="153" spans="1:4">
      <c r="A153" s="93" t="s">
        <v>5656</v>
      </c>
      <c r="B153">
        <v>3.7</v>
      </c>
      <c r="C153">
        <v>760</v>
      </c>
      <c r="D153">
        <v>5</v>
      </c>
    </row>
    <row r="154" spans="1:4">
      <c r="A154" s="93" t="s">
        <v>5657</v>
      </c>
      <c r="B154">
        <v>3.6</v>
      </c>
      <c r="C154">
        <v>760</v>
      </c>
      <c r="D154">
        <v>5</v>
      </c>
    </row>
    <row r="155" spans="1:4">
      <c r="A155" s="93" t="s">
        <v>5658</v>
      </c>
      <c r="B155">
        <v>3.5</v>
      </c>
      <c r="C155">
        <v>760</v>
      </c>
      <c r="D155">
        <v>7</v>
      </c>
    </row>
    <row r="156" spans="1:4">
      <c r="A156" s="93" t="s">
        <v>5659</v>
      </c>
      <c r="B156">
        <v>3.4</v>
      </c>
      <c r="C156">
        <v>760</v>
      </c>
      <c r="D156">
        <v>7</v>
      </c>
    </row>
    <row r="157" spans="1:4">
      <c r="A157" s="93" t="s">
        <v>5660</v>
      </c>
      <c r="B157">
        <v>3.3</v>
      </c>
      <c r="C157">
        <v>760</v>
      </c>
      <c r="D157">
        <v>7</v>
      </c>
    </row>
    <row r="158" spans="1:4">
      <c r="A158" s="93" t="s">
        <v>5661</v>
      </c>
      <c r="B158">
        <v>3.2</v>
      </c>
      <c r="C158">
        <v>760</v>
      </c>
      <c r="D158">
        <v>7</v>
      </c>
    </row>
    <row r="159" spans="1:4">
      <c r="A159" s="93" t="s">
        <v>5662</v>
      </c>
      <c r="B159">
        <v>3.1</v>
      </c>
      <c r="C159">
        <v>760</v>
      </c>
      <c r="D159">
        <v>8</v>
      </c>
    </row>
    <row r="160" spans="1:4">
      <c r="A160" s="93" t="s">
        <v>5663</v>
      </c>
      <c r="B160">
        <v>3</v>
      </c>
      <c r="C160">
        <v>760</v>
      </c>
      <c r="D160">
        <v>8</v>
      </c>
    </row>
    <row r="161" spans="1:4">
      <c r="A161" s="93" t="s">
        <v>5664</v>
      </c>
      <c r="B161">
        <v>2.9</v>
      </c>
      <c r="C161">
        <v>760</v>
      </c>
      <c r="D161">
        <v>9</v>
      </c>
    </row>
    <row r="162" spans="1:4">
      <c r="A162" s="93" t="s">
        <v>5665</v>
      </c>
      <c r="B162">
        <v>2.8</v>
      </c>
      <c r="C162">
        <v>760</v>
      </c>
      <c r="D162">
        <v>9</v>
      </c>
    </row>
    <row r="163" spans="1:4">
      <c r="A163" s="93" t="s">
        <v>5666</v>
      </c>
      <c r="B163">
        <v>2.7</v>
      </c>
      <c r="C163">
        <v>760</v>
      </c>
      <c r="D163">
        <v>9</v>
      </c>
    </row>
    <row r="164" spans="1:4">
      <c r="A164" s="93" t="s">
        <v>5667</v>
      </c>
      <c r="B164">
        <v>2.6</v>
      </c>
      <c r="C164">
        <v>760</v>
      </c>
      <c r="D164">
        <v>9</v>
      </c>
    </row>
    <row r="165" spans="1:4">
      <c r="A165" s="93" t="s">
        <v>5668</v>
      </c>
      <c r="B165">
        <v>2.5</v>
      </c>
      <c r="C165">
        <v>760</v>
      </c>
      <c r="D165">
        <v>11</v>
      </c>
    </row>
    <row r="166" spans="1:4">
      <c r="A166" s="93" t="s">
        <v>5669</v>
      </c>
      <c r="B166">
        <v>2.4</v>
      </c>
      <c r="C166">
        <v>760</v>
      </c>
      <c r="D166">
        <v>11</v>
      </c>
    </row>
    <row r="167" spans="1:4">
      <c r="A167" s="93" t="s">
        <v>5670</v>
      </c>
      <c r="B167">
        <v>2.3</v>
      </c>
      <c r="C167">
        <v>760</v>
      </c>
      <c r="D167">
        <v>11</v>
      </c>
    </row>
    <row r="168" spans="1:4">
      <c r="A168" s="93" t="s">
        <v>5671</v>
      </c>
      <c r="B168">
        <v>2.2</v>
      </c>
      <c r="C168">
        <v>760</v>
      </c>
      <c r="D168">
        <v>11</v>
      </c>
    </row>
    <row r="169" spans="1:4">
      <c r="A169" s="93" t="s">
        <v>5672</v>
      </c>
      <c r="B169">
        <v>2.1</v>
      </c>
      <c r="C169">
        <v>760</v>
      </c>
      <c r="D169">
        <v>11</v>
      </c>
    </row>
    <row r="170" spans="1:4">
      <c r="A170" s="93" t="s">
        <v>5673</v>
      </c>
      <c r="B170">
        <v>2</v>
      </c>
      <c r="C170">
        <v>760</v>
      </c>
      <c r="D170">
        <v>11</v>
      </c>
    </row>
    <row r="171" spans="1:4">
      <c r="A171" s="93" t="s">
        <v>5674</v>
      </c>
      <c r="B171">
        <v>1.9</v>
      </c>
      <c r="C171">
        <v>760</v>
      </c>
      <c r="D171">
        <v>11</v>
      </c>
    </row>
    <row r="172" spans="1:4">
      <c r="A172" s="93" t="s">
        <v>5675</v>
      </c>
      <c r="B172">
        <v>1.8</v>
      </c>
      <c r="C172">
        <v>760</v>
      </c>
      <c r="D172">
        <v>11</v>
      </c>
    </row>
    <row r="173" spans="1:4">
      <c r="A173" s="93" t="s">
        <v>5676</v>
      </c>
      <c r="B173">
        <v>1.7</v>
      </c>
      <c r="C173">
        <v>760</v>
      </c>
      <c r="D173">
        <v>11</v>
      </c>
    </row>
    <row r="174" spans="1:4">
      <c r="A174" s="93" t="s">
        <v>5677</v>
      </c>
      <c r="B174">
        <v>1.6</v>
      </c>
      <c r="C174">
        <v>760</v>
      </c>
      <c r="D174">
        <v>11</v>
      </c>
    </row>
    <row r="175" spans="1:4">
      <c r="A175" s="93" t="s">
        <v>5678</v>
      </c>
      <c r="B175">
        <v>1.5</v>
      </c>
      <c r="C175">
        <v>760</v>
      </c>
      <c r="D175">
        <v>11</v>
      </c>
    </row>
    <row r="176" spans="1:4">
      <c r="A176" s="93" t="s">
        <v>5679</v>
      </c>
      <c r="B176">
        <v>4.3</v>
      </c>
      <c r="C176">
        <v>770</v>
      </c>
      <c r="D176">
        <v>4</v>
      </c>
    </row>
    <row r="177" spans="1:4">
      <c r="A177" s="93" t="s">
        <v>5680</v>
      </c>
      <c r="B177">
        <v>4.2</v>
      </c>
      <c r="C177">
        <v>770</v>
      </c>
      <c r="D177">
        <v>4</v>
      </c>
    </row>
    <row r="178" spans="1:4">
      <c r="A178" s="93" t="s">
        <v>5681</v>
      </c>
      <c r="B178">
        <v>4.1</v>
      </c>
      <c r="C178">
        <v>770</v>
      </c>
      <c r="D178">
        <v>4</v>
      </c>
    </row>
    <row r="179" spans="1:4">
      <c r="A179" s="93" t="s">
        <v>5682</v>
      </c>
      <c r="B179">
        <v>4</v>
      </c>
      <c r="C179">
        <v>770</v>
      </c>
      <c r="D179">
        <v>4</v>
      </c>
    </row>
    <row r="180" spans="1:4">
      <c r="A180" s="93" t="s">
        <v>5683</v>
      </c>
      <c r="B180">
        <v>3.9</v>
      </c>
      <c r="C180">
        <v>770</v>
      </c>
      <c r="D180">
        <v>5</v>
      </c>
    </row>
    <row r="181" spans="1:4">
      <c r="A181" s="93" t="s">
        <v>5684</v>
      </c>
      <c r="B181">
        <v>3.8</v>
      </c>
      <c r="C181">
        <v>770</v>
      </c>
      <c r="D181">
        <v>5</v>
      </c>
    </row>
    <row r="182" spans="1:4">
      <c r="A182" s="93" t="s">
        <v>5685</v>
      </c>
      <c r="B182">
        <v>3.7</v>
      </c>
      <c r="C182">
        <v>770</v>
      </c>
      <c r="D182">
        <v>5</v>
      </c>
    </row>
    <row r="183" spans="1:4">
      <c r="A183" s="93" t="s">
        <v>5686</v>
      </c>
      <c r="B183">
        <v>3.6</v>
      </c>
      <c r="C183">
        <v>770</v>
      </c>
      <c r="D183">
        <v>5</v>
      </c>
    </row>
    <row r="184" spans="1:4">
      <c r="A184" s="93" t="s">
        <v>5687</v>
      </c>
      <c r="B184">
        <v>3.5</v>
      </c>
      <c r="C184">
        <v>770</v>
      </c>
      <c r="D184">
        <v>7</v>
      </c>
    </row>
    <row r="185" spans="1:4">
      <c r="A185" s="93" t="s">
        <v>5688</v>
      </c>
      <c r="B185">
        <v>3.4</v>
      </c>
      <c r="C185">
        <v>770</v>
      </c>
      <c r="D185">
        <v>7</v>
      </c>
    </row>
    <row r="186" spans="1:4">
      <c r="A186" s="93" t="s">
        <v>5689</v>
      </c>
      <c r="B186">
        <v>3.3</v>
      </c>
      <c r="C186">
        <v>770</v>
      </c>
      <c r="D186">
        <v>7</v>
      </c>
    </row>
    <row r="187" spans="1:4">
      <c r="A187" s="93" t="s">
        <v>5690</v>
      </c>
      <c r="B187">
        <v>3.2</v>
      </c>
      <c r="C187">
        <v>770</v>
      </c>
      <c r="D187">
        <v>7</v>
      </c>
    </row>
    <row r="188" spans="1:4">
      <c r="A188" s="93" t="s">
        <v>5691</v>
      </c>
      <c r="B188">
        <v>3.1</v>
      </c>
      <c r="C188">
        <v>770</v>
      </c>
      <c r="D188">
        <v>8</v>
      </c>
    </row>
    <row r="189" spans="1:4">
      <c r="A189" s="93" t="s">
        <v>5692</v>
      </c>
      <c r="B189">
        <v>3</v>
      </c>
      <c r="C189">
        <v>770</v>
      </c>
      <c r="D189">
        <v>8</v>
      </c>
    </row>
    <row r="190" spans="1:4">
      <c r="A190" s="93" t="s">
        <v>5693</v>
      </c>
      <c r="B190">
        <v>2.9</v>
      </c>
      <c r="C190">
        <v>770</v>
      </c>
      <c r="D190">
        <v>9</v>
      </c>
    </row>
    <row r="191" spans="1:4">
      <c r="A191" s="93" t="s">
        <v>5694</v>
      </c>
      <c r="B191">
        <v>2.8</v>
      </c>
      <c r="C191">
        <v>770</v>
      </c>
      <c r="D191">
        <v>9</v>
      </c>
    </row>
    <row r="192" spans="1:4">
      <c r="A192" s="93" t="s">
        <v>5695</v>
      </c>
      <c r="B192">
        <v>2.7</v>
      </c>
      <c r="C192">
        <v>770</v>
      </c>
      <c r="D192">
        <v>9</v>
      </c>
    </row>
    <row r="193" spans="1:4">
      <c r="A193" s="93" t="s">
        <v>5696</v>
      </c>
      <c r="B193">
        <v>2.6</v>
      </c>
      <c r="C193">
        <v>770</v>
      </c>
      <c r="D193">
        <v>9</v>
      </c>
    </row>
    <row r="194" spans="1:4">
      <c r="A194" s="93" t="s">
        <v>5697</v>
      </c>
      <c r="B194">
        <v>2.5</v>
      </c>
      <c r="C194">
        <v>770</v>
      </c>
      <c r="D194">
        <v>11</v>
      </c>
    </row>
    <row r="195" spans="1:4">
      <c r="A195" s="93" t="s">
        <v>5698</v>
      </c>
      <c r="B195">
        <v>2.4</v>
      </c>
      <c r="C195">
        <v>770</v>
      </c>
      <c r="D195">
        <v>11</v>
      </c>
    </row>
    <row r="196" spans="1:4">
      <c r="A196" s="93" t="s">
        <v>5699</v>
      </c>
      <c r="B196">
        <v>2.3</v>
      </c>
      <c r="C196">
        <v>770</v>
      </c>
      <c r="D196">
        <v>11</v>
      </c>
    </row>
    <row r="197" spans="1:4">
      <c r="A197" s="93" t="s">
        <v>5700</v>
      </c>
      <c r="B197">
        <v>2.2</v>
      </c>
      <c r="C197">
        <v>770</v>
      </c>
      <c r="D197">
        <v>11</v>
      </c>
    </row>
    <row r="198" spans="1:4">
      <c r="A198" s="93" t="s">
        <v>5701</v>
      </c>
      <c r="B198">
        <v>2.1</v>
      </c>
      <c r="C198">
        <v>770</v>
      </c>
      <c r="D198">
        <v>11</v>
      </c>
    </row>
    <row r="199" spans="1:4">
      <c r="A199" s="93" t="s">
        <v>5702</v>
      </c>
      <c r="B199">
        <v>2</v>
      </c>
      <c r="C199">
        <v>770</v>
      </c>
      <c r="D199">
        <v>11</v>
      </c>
    </row>
    <row r="200" spans="1:4">
      <c r="A200" s="93" t="s">
        <v>5703</v>
      </c>
      <c r="B200">
        <v>1.9</v>
      </c>
      <c r="C200">
        <v>770</v>
      </c>
      <c r="D200">
        <v>11</v>
      </c>
    </row>
    <row r="201" spans="1:4">
      <c r="A201" s="93" t="s">
        <v>5704</v>
      </c>
      <c r="B201">
        <v>1.8</v>
      </c>
      <c r="C201">
        <v>770</v>
      </c>
      <c r="D201">
        <v>11</v>
      </c>
    </row>
    <row r="202" spans="1:4">
      <c r="A202" s="93" t="s">
        <v>5705</v>
      </c>
      <c r="B202">
        <v>1.7</v>
      </c>
      <c r="C202">
        <v>770</v>
      </c>
      <c r="D202">
        <v>11</v>
      </c>
    </row>
    <row r="203" spans="1:4">
      <c r="A203" s="93" t="s">
        <v>5706</v>
      </c>
      <c r="B203">
        <v>1.6</v>
      </c>
      <c r="C203">
        <v>770</v>
      </c>
      <c r="D203">
        <v>11</v>
      </c>
    </row>
    <row r="204" spans="1:4">
      <c r="A204" s="93" t="s">
        <v>5707</v>
      </c>
      <c r="B204">
        <v>1.5</v>
      </c>
      <c r="C204">
        <v>770</v>
      </c>
      <c r="D204">
        <v>11</v>
      </c>
    </row>
    <row r="205" spans="1:4">
      <c r="A205" s="93" t="s">
        <v>5708</v>
      </c>
      <c r="B205">
        <v>4.3</v>
      </c>
      <c r="C205">
        <v>780</v>
      </c>
      <c r="D205">
        <v>4</v>
      </c>
    </row>
    <row r="206" spans="1:4">
      <c r="A206" s="93" t="s">
        <v>5709</v>
      </c>
      <c r="B206">
        <v>4.2</v>
      </c>
      <c r="C206">
        <v>780</v>
      </c>
      <c r="D206">
        <v>4</v>
      </c>
    </row>
    <row r="207" spans="1:4">
      <c r="A207" s="93" t="s">
        <v>5710</v>
      </c>
      <c r="B207">
        <v>4.1</v>
      </c>
      <c r="C207">
        <v>780</v>
      </c>
      <c r="D207">
        <v>4</v>
      </c>
    </row>
    <row r="208" spans="1:4">
      <c r="A208" s="93" t="s">
        <v>5711</v>
      </c>
      <c r="B208">
        <v>4</v>
      </c>
      <c r="C208">
        <v>780</v>
      </c>
      <c r="D208">
        <v>4</v>
      </c>
    </row>
    <row r="209" spans="1:4">
      <c r="A209" s="93" t="s">
        <v>5712</v>
      </c>
      <c r="B209">
        <v>3.9</v>
      </c>
      <c r="C209">
        <v>780</v>
      </c>
      <c r="D209">
        <v>5</v>
      </c>
    </row>
    <row r="210" spans="1:4">
      <c r="A210" s="93" t="s">
        <v>5713</v>
      </c>
      <c r="B210">
        <v>3.8</v>
      </c>
      <c r="C210">
        <v>780</v>
      </c>
      <c r="D210">
        <v>5</v>
      </c>
    </row>
    <row r="211" spans="1:4">
      <c r="A211" s="93" t="s">
        <v>5714</v>
      </c>
      <c r="B211">
        <v>3.7</v>
      </c>
      <c r="C211">
        <v>780</v>
      </c>
      <c r="D211">
        <v>5</v>
      </c>
    </row>
    <row r="212" spans="1:4">
      <c r="A212" s="93" t="s">
        <v>5715</v>
      </c>
      <c r="B212">
        <v>3.6</v>
      </c>
      <c r="C212">
        <v>780</v>
      </c>
      <c r="D212">
        <v>5</v>
      </c>
    </row>
    <row r="213" spans="1:4">
      <c r="A213" s="93" t="s">
        <v>5716</v>
      </c>
      <c r="B213">
        <v>3.5</v>
      </c>
      <c r="C213">
        <v>780</v>
      </c>
      <c r="D213">
        <v>5</v>
      </c>
    </row>
    <row r="214" spans="1:4">
      <c r="A214" s="93" t="s">
        <v>5717</v>
      </c>
      <c r="B214">
        <v>3.4</v>
      </c>
      <c r="C214">
        <v>780</v>
      </c>
      <c r="D214">
        <v>7</v>
      </c>
    </row>
    <row r="215" spans="1:4">
      <c r="A215" s="93" t="s">
        <v>5718</v>
      </c>
      <c r="B215">
        <v>3.3</v>
      </c>
      <c r="C215">
        <v>780</v>
      </c>
      <c r="D215">
        <v>7</v>
      </c>
    </row>
    <row r="216" spans="1:4">
      <c r="A216" s="93" t="s">
        <v>5719</v>
      </c>
      <c r="B216">
        <v>3.2</v>
      </c>
      <c r="C216">
        <v>780</v>
      </c>
      <c r="D216">
        <v>7</v>
      </c>
    </row>
    <row r="217" spans="1:4">
      <c r="A217" s="93" t="s">
        <v>5720</v>
      </c>
      <c r="B217">
        <v>3.1</v>
      </c>
      <c r="C217">
        <v>780</v>
      </c>
      <c r="D217">
        <v>7</v>
      </c>
    </row>
    <row r="218" spans="1:4">
      <c r="A218" s="93" t="s">
        <v>5721</v>
      </c>
      <c r="B218">
        <v>3</v>
      </c>
      <c r="C218">
        <v>780</v>
      </c>
      <c r="D218">
        <v>8</v>
      </c>
    </row>
    <row r="219" spans="1:4">
      <c r="A219" s="93" t="s">
        <v>5722</v>
      </c>
      <c r="B219">
        <v>2.9</v>
      </c>
      <c r="C219">
        <v>780</v>
      </c>
      <c r="D219">
        <v>8</v>
      </c>
    </row>
    <row r="220" spans="1:4">
      <c r="A220" s="93" t="s">
        <v>5723</v>
      </c>
      <c r="B220">
        <v>2.8</v>
      </c>
      <c r="C220">
        <v>780</v>
      </c>
      <c r="D220">
        <v>8</v>
      </c>
    </row>
    <row r="221" spans="1:4">
      <c r="A221" s="93" t="s">
        <v>5724</v>
      </c>
      <c r="B221">
        <v>2.7</v>
      </c>
      <c r="C221">
        <v>780</v>
      </c>
      <c r="D221">
        <v>9</v>
      </c>
    </row>
    <row r="222" spans="1:4">
      <c r="A222" s="93" t="s">
        <v>5725</v>
      </c>
      <c r="B222">
        <v>2.6</v>
      </c>
      <c r="C222">
        <v>780</v>
      </c>
      <c r="D222">
        <v>9</v>
      </c>
    </row>
    <row r="223" spans="1:4">
      <c r="A223" s="93" t="s">
        <v>5726</v>
      </c>
      <c r="B223">
        <v>2.5</v>
      </c>
      <c r="C223">
        <v>780</v>
      </c>
      <c r="D223">
        <v>9</v>
      </c>
    </row>
    <row r="224" spans="1:4">
      <c r="A224" s="93" t="s">
        <v>5727</v>
      </c>
      <c r="B224">
        <v>2.4</v>
      </c>
      <c r="C224">
        <v>780</v>
      </c>
      <c r="D224">
        <v>9</v>
      </c>
    </row>
    <row r="225" spans="1:4">
      <c r="A225" s="93" t="s">
        <v>5728</v>
      </c>
      <c r="B225">
        <v>2.3</v>
      </c>
      <c r="C225">
        <v>780</v>
      </c>
      <c r="D225">
        <v>11</v>
      </c>
    </row>
    <row r="226" spans="1:4">
      <c r="A226" s="93" t="s">
        <v>5729</v>
      </c>
      <c r="B226">
        <v>2.2</v>
      </c>
      <c r="C226">
        <v>780</v>
      </c>
      <c r="D226">
        <v>11</v>
      </c>
    </row>
    <row r="227" spans="1:4">
      <c r="A227" s="93" t="s">
        <v>5730</v>
      </c>
      <c r="B227">
        <v>2.1</v>
      </c>
      <c r="C227">
        <v>780</v>
      </c>
      <c r="D227">
        <v>11</v>
      </c>
    </row>
    <row r="228" spans="1:4">
      <c r="A228" s="93" t="s">
        <v>5731</v>
      </c>
      <c r="B228">
        <v>2</v>
      </c>
      <c r="C228">
        <v>780</v>
      </c>
      <c r="D228">
        <v>11</v>
      </c>
    </row>
    <row r="229" spans="1:4">
      <c r="A229" s="93" t="s">
        <v>5732</v>
      </c>
      <c r="B229">
        <v>1.9</v>
      </c>
      <c r="C229">
        <v>780</v>
      </c>
      <c r="D229">
        <v>11</v>
      </c>
    </row>
    <row r="230" spans="1:4">
      <c r="A230" s="93" t="s">
        <v>5733</v>
      </c>
      <c r="B230">
        <v>1.8</v>
      </c>
      <c r="C230">
        <v>780</v>
      </c>
      <c r="D230">
        <v>11</v>
      </c>
    </row>
    <row r="231" spans="1:4">
      <c r="A231" s="93" t="s">
        <v>5734</v>
      </c>
      <c r="B231">
        <v>1.7</v>
      </c>
      <c r="C231">
        <v>780</v>
      </c>
      <c r="D231">
        <v>11</v>
      </c>
    </row>
    <row r="232" spans="1:4">
      <c r="A232" s="93" t="s">
        <v>5735</v>
      </c>
      <c r="B232">
        <v>1.6</v>
      </c>
      <c r="C232">
        <v>780</v>
      </c>
      <c r="D232">
        <v>11</v>
      </c>
    </row>
    <row r="233" spans="1:4">
      <c r="A233" s="93" t="s">
        <v>5736</v>
      </c>
      <c r="B233">
        <v>1.5</v>
      </c>
      <c r="C233">
        <v>780</v>
      </c>
      <c r="D233">
        <v>11</v>
      </c>
    </row>
    <row r="234" spans="1:4">
      <c r="A234" s="93" t="s">
        <v>5737</v>
      </c>
      <c r="B234">
        <v>4.3</v>
      </c>
      <c r="C234">
        <v>790</v>
      </c>
      <c r="D234">
        <v>4</v>
      </c>
    </row>
    <row r="235" spans="1:4">
      <c r="A235" s="93" t="s">
        <v>5738</v>
      </c>
      <c r="B235">
        <v>4.2</v>
      </c>
      <c r="C235">
        <v>790</v>
      </c>
      <c r="D235">
        <v>4</v>
      </c>
    </row>
    <row r="236" spans="1:4">
      <c r="A236" s="93" t="s">
        <v>5739</v>
      </c>
      <c r="B236">
        <v>4.1</v>
      </c>
      <c r="C236">
        <v>790</v>
      </c>
      <c r="D236">
        <v>4</v>
      </c>
    </row>
    <row r="237" spans="1:4">
      <c r="A237" s="93" t="s">
        <v>5740</v>
      </c>
      <c r="B237">
        <v>4</v>
      </c>
      <c r="C237">
        <v>790</v>
      </c>
      <c r="D237">
        <v>4</v>
      </c>
    </row>
    <row r="238" spans="1:4">
      <c r="A238" s="93" t="s">
        <v>5741</v>
      </c>
      <c r="B238">
        <v>3.9</v>
      </c>
      <c r="C238">
        <v>790</v>
      </c>
      <c r="D238">
        <v>5</v>
      </c>
    </row>
    <row r="239" spans="1:4">
      <c r="A239" s="93" t="s">
        <v>5742</v>
      </c>
      <c r="B239">
        <v>3.8</v>
      </c>
      <c r="C239">
        <v>790</v>
      </c>
      <c r="D239">
        <v>5</v>
      </c>
    </row>
    <row r="240" spans="1:4">
      <c r="A240" s="93" t="s">
        <v>5743</v>
      </c>
      <c r="B240">
        <v>3.7</v>
      </c>
      <c r="C240">
        <v>790</v>
      </c>
      <c r="D240">
        <v>5</v>
      </c>
    </row>
    <row r="241" spans="1:4">
      <c r="A241" s="93" t="s">
        <v>5744</v>
      </c>
      <c r="B241">
        <v>3.6</v>
      </c>
      <c r="C241">
        <v>790</v>
      </c>
      <c r="D241">
        <v>5</v>
      </c>
    </row>
    <row r="242" spans="1:4">
      <c r="A242" s="93" t="s">
        <v>5745</v>
      </c>
      <c r="B242">
        <v>3.5</v>
      </c>
      <c r="C242">
        <v>790</v>
      </c>
      <c r="D242">
        <v>5</v>
      </c>
    </row>
    <row r="243" spans="1:4">
      <c r="A243" s="93" t="s">
        <v>5746</v>
      </c>
      <c r="B243">
        <v>3.4</v>
      </c>
      <c r="C243">
        <v>790</v>
      </c>
      <c r="D243">
        <v>7</v>
      </c>
    </row>
    <row r="244" spans="1:4">
      <c r="A244" s="93" t="s">
        <v>5747</v>
      </c>
      <c r="B244">
        <v>3.3</v>
      </c>
      <c r="C244">
        <v>790</v>
      </c>
      <c r="D244">
        <v>7</v>
      </c>
    </row>
    <row r="245" spans="1:4">
      <c r="A245" s="93" t="s">
        <v>5748</v>
      </c>
      <c r="B245">
        <v>3.2</v>
      </c>
      <c r="C245">
        <v>790</v>
      </c>
      <c r="D245">
        <v>7</v>
      </c>
    </row>
    <row r="246" spans="1:4">
      <c r="A246" s="93" t="s">
        <v>5749</v>
      </c>
      <c r="B246">
        <v>3.1</v>
      </c>
      <c r="C246">
        <v>790</v>
      </c>
      <c r="D246">
        <v>7</v>
      </c>
    </row>
    <row r="247" spans="1:4">
      <c r="A247" s="93" t="s">
        <v>5750</v>
      </c>
      <c r="B247">
        <v>3</v>
      </c>
      <c r="C247">
        <v>790</v>
      </c>
      <c r="D247">
        <v>8</v>
      </c>
    </row>
    <row r="248" spans="1:4">
      <c r="A248" s="93" t="s">
        <v>5751</v>
      </c>
      <c r="B248">
        <v>2.9</v>
      </c>
      <c r="C248">
        <v>790</v>
      </c>
      <c r="D248">
        <v>8</v>
      </c>
    </row>
    <row r="249" spans="1:4">
      <c r="A249" s="93" t="s">
        <v>5752</v>
      </c>
      <c r="B249">
        <v>2.8</v>
      </c>
      <c r="C249">
        <v>790</v>
      </c>
      <c r="D249">
        <v>8</v>
      </c>
    </row>
    <row r="250" spans="1:4">
      <c r="A250" s="93" t="s">
        <v>5753</v>
      </c>
      <c r="B250">
        <v>2.7</v>
      </c>
      <c r="C250">
        <v>790</v>
      </c>
      <c r="D250">
        <v>9</v>
      </c>
    </row>
    <row r="251" spans="1:4">
      <c r="A251" s="93" t="s">
        <v>5754</v>
      </c>
      <c r="B251">
        <v>2.6</v>
      </c>
      <c r="C251">
        <v>790</v>
      </c>
      <c r="D251">
        <v>9</v>
      </c>
    </row>
    <row r="252" spans="1:4">
      <c r="A252" s="93" t="s">
        <v>5755</v>
      </c>
      <c r="B252">
        <v>2.5</v>
      </c>
      <c r="C252">
        <v>790</v>
      </c>
      <c r="D252">
        <v>9</v>
      </c>
    </row>
    <row r="253" spans="1:4">
      <c r="A253" s="93" t="s">
        <v>5756</v>
      </c>
      <c r="B253">
        <v>2.4</v>
      </c>
      <c r="C253">
        <v>790</v>
      </c>
      <c r="D253">
        <v>9</v>
      </c>
    </row>
    <row r="254" spans="1:4">
      <c r="A254" s="93" t="s">
        <v>5757</v>
      </c>
      <c r="B254">
        <v>2.3</v>
      </c>
      <c r="C254">
        <v>790</v>
      </c>
      <c r="D254">
        <v>11</v>
      </c>
    </row>
    <row r="255" spans="1:4">
      <c r="A255" s="93" t="s">
        <v>5758</v>
      </c>
      <c r="B255">
        <v>2.2</v>
      </c>
      <c r="C255">
        <v>790</v>
      </c>
      <c r="D255">
        <v>11</v>
      </c>
    </row>
    <row r="256" spans="1:4">
      <c r="A256" s="93" t="s">
        <v>5759</v>
      </c>
      <c r="B256">
        <v>2.1</v>
      </c>
      <c r="C256">
        <v>790</v>
      </c>
      <c r="D256">
        <v>11</v>
      </c>
    </row>
    <row r="257" spans="1:4">
      <c r="A257" s="93" t="s">
        <v>5760</v>
      </c>
      <c r="B257">
        <v>2</v>
      </c>
      <c r="C257">
        <v>790</v>
      </c>
      <c r="D257">
        <v>11</v>
      </c>
    </row>
    <row r="258" spans="1:4">
      <c r="A258" s="93" t="s">
        <v>5761</v>
      </c>
      <c r="B258">
        <v>1.9</v>
      </c>
      <c r="C258">
        <v>790</v>
      </c>
      <c r="D258">
        <v>11</v>
      </c>
    </row>
    <row r="259" spans="1:4">
      <c r="A259" s="93" t="s">
        <v>5762</v>
      </c>
      <c r="B259">
        <v>1.8</v>
      </c>
      <c r="C259">
        <v>790</v>
      </c>
      <c r="D259">
        <v>11</v>
      </c>
    </row>
    <row r="260" spans="1:4">
      <c r="A260" s="93" t="s">
        <v>5763</v>
      </c>
      <c r="B260">
        <v>1.7</v>
      </c>
      <c r="C260">
        <v>790</v>
      </c>
      <c r="D260">
        <v>11</v>
      </c>
    </row>
    <row r="261" spans="1:4">
      <c r="A261" s="93" t="s">
        <v>5764</v>
      </c>
      <c r="B261">
        <v>1.6</v>
      </c>
      <c r="C261">
        <v>790</v>
      </c>
      <c r="D261">
        <v>11</v>
      </c>
    </row>
    <row r="262" spans="1:4">
      <c r="A262" s="93" t="s">
        <v>5765</v>
      </c>
      <c r="B262">
        <v>1.5</v>
      </c>
      <c r="C262">
        <v>790</v>
      </c>
      <c r="D262">
        <v>11</v>
      </c>
    </row>
    <row r="263" spans="1:4">
      <c r="A263" s="93" t="s">
        <v>5766</v>
      </c>
      <c r="B263">
        <v>4.3</v>
      </c>
      <c r="C263">
        <v>800</v>
      </c>
      <c r="D263">
        <v>4</v>
      </c>
    </row>
    <row r="264" spans="1:4">
      <c r="A264" s="93" t="s">
        <v>5767</v>
      </c>
      <c r="B264">
        <v>4.2</v>
      </c>
      <c r="C264">
        <v>800</v>
      </c>
      <c r="D264">
        <v>4</v>
      </c>
    </row>
    <row r="265" spans="1:4">
      <c r="A265" s="93" t="s">
        <v>5768</v>
      </c>
      <c r="B265">
        <v>4.1</v>
      </c>
      <c r="C265">
        <v>800</v>
      </c>
      <c r="D265">
        <v>4</v>
      </c>
    </row>
    <row r="266" spans="1:4">
      <c r="A266" s="93" t="s">
        <v>5769</v>
      </c>
      <c r="B266">
        <v>4</v>
      </c>
      <c r="C266">
        <v>800</v>
      </c>
      <c r="D266">
        <v>4</v>
      </c>
    </row>
    <row r="267" spans="1:4">
      <c r="A267" s="93" t="s">
        <v>5770</v>
      </c>
      <c r="B267">
        <v>3.9</v>
      </c>
      <c r="C267">
        <v>800</v>
      </c>
      <c r="D267">
        <v>5</v>
      </c>
    </row>
    <row r="268" spans="1:4">
      <c r="A268" s="93" t="s">
        <v>5771</v>
      </c>
      <c r="B268">
        <v>3.8</v>
      </c>
      <c r="C268">
        <v>800</v>
      </c>
      <c r="D268">
        <v>5</v>
      </c>
    </row>
    <row r="269" spans="1:4">
      <c r="A269" s="93" t="s">
        <v>5772</v>
      </c>
      <c r="B269">
        <v>3.7</v>
      </c>
      <c r="C269">
        <v>800</v>
      </c>
      <c r="D269">
        <v>5</v>
      </c>
    </row>
    <row r="270" spans="1:4">
      <c r="A270" s="93" t="s">
        <v>5773</v>
      </c>
      <c r="B270">
        <v>3.6</v>
      </c>
      <c r="C270">
        <v>800</v>
      </c>
      <c r="D270">
        <v>5</v>
      </c>
    </row>
    <row r="271" spans="1:4">
      <c r="A271" s="93" t="s">
        <v>5774</v>
      </c>
      <c r="B271">
        <v>3.5</v>
      </c>
      <c r="C271">
        <v>800</v>
      </c>
      <c r="D271">
        <v>5</v>
      </c>
    </row>
    <row r="272" spans="1:4">
      <c r="A272" s="93" t="s">
        <v>5775</v>
      </c>
      <c r="B272">
        <v>3.4</v>
      </c>
      <c r="C272">
        <v>800</v>
      </c>
      <c r="D272">
        <v>7</v>
      </c>
    </row>
    <row r="273" spans="1:4">
      <c r="A273" s="93" t="s">
        <v>5776</v>
      </c>
      <c r="B273">
        <v>3.3</v>
      </c>
      <c r="C273">
        <v>800</v>
      </c>
      <c r="D273">
        <v>7</v>
      </c>
    </row>
    <row r="274" spans="1:4">
      <c r="A274" s="93" t="s">
        <v>5777</v>
      </c>
      <c r="B274">
        <v>3.2</v>
      </c>
      <c r="C274">
        <v>800</v>
      </c>
      <c r="D274">
        <v>7</v>
      </c>
    </row>
    <row r="275" spans="1:4">
      <c r="A275" s="93" t="s">
        <v>5778</v>
      </c>
      <c r="B275">
        <v>3.1</v>
      </c>
      <c r="C275">
        <v>800</v>
      </c>
      <c r="D275">
        <v>7</v>
      </c>
    </row>
    <row r="276" spans="1:4">
      <c r="A276" s="93" t="s">
        <v>5779</v>
      </c>
      <c r="B276">
        <v>3</v>
      </c>
      <c r="C276">
        <v>800</v>
      </c>
      <c r="D276">
        <v>8</v>
      </c>
    </row>
    <row r="277" spans="1:4">
      <c r="A277" s="93" t="s">
        <v>5780</v>
      </c>
      <c r="B277">
        <v>2.9</v>
      </c>
      <c r="C277">
        <v>800</v>
      </c>
      <c r="D277">
        <v>8</v>
      </c>
    </row>
    <row r="278" spans="1:4">
      <c r="A278" s="93" t="s">
        <v>5781</v>
      </c>
      <c r="B278">
        <v>2.8</v>
      </c>
      <c r="C278">
        <v>800</v>
      </c>
      <c r="D278">
        <v>8</v>
      </c>
    </row>
    <row r="279" spans="1:4">
      <c r="A279" s="93" t="s">
        <v>5782</v>
      </c>
      <c r="B279">
        <v>2.7</v>
      </c>
      <c r="C279">
        <v>800</v>
      </c>
      <c r="D279">
        <v>9</v>
      </c>
    </row>
    <row r="280" spans="1:4">
      <c r="A280" s="93" t="s">
        <v>5783</v>
      </c>
      <c r="B280">
        <v>2.6</v>
      </c>
      <c r="C280">
        <v>800</v>
      </c>
      <c r="D280">
        <v>9</v>
      </c>
    </row>
    <row r="281" spans="1:4">
      <c r="A281" s="93" t="s">
        <v>5784</v>
      </c>
      <c r="B281">
        <v>2.5</v>
      </c>
      <c r="C281">
        <v>800</v>
      </c>
      <c r="D281">
        <v>9</v>
      </c>
    </row>
    <row r="282" spans="1:4">
      <c r="A282" s="93" t="s">
        <v>5785</v>
      </c>
      <c r="B282">
        <v>2.4</v>
      </c>
      <c r="C282">
        <v>800</v>
      </c>
      <c r="D282">
        <v>9</v>
      </c>
    </row>
    <row r="283" spans="1:4">
      <c r="A283" s="93" t="s">
        <v>5786</v>
      </c>
      <c r="B283">
        <v>2.3</v>
      </c>
      <c r="C283">
        <v>800</v>
      </c>
      <c r="D283">
        <v>11</v>
      </c>
    </row>
    <row r="284" spans="1:4">
      <c r="A284" s="93" t="s">
        <v>5787</v>
      </c>
      <c r="B284">
        <v>2.2</v>
      </c>
      <c r="C284">
        <v>800</v>
      </c>
      <c r="D284">
        <v>11</v>
      </c>
    </row>
    <row r="285" spans="1:4">
      <c r="A285" s="93" t="s">
        <v>5788</v>
      </c>
      <c r="B285">
        <v>2.1</v>
      </c>
      <c r="C285">
        <v>800</v>
      </c>
      <c r="D285">
        <v>11</v>
      </c>
    </row>
    <row r="286" spans="1:4">
      <c r="A286" s="93" t="s">
        <v>5789</v>
      </c>
      <c r="B286">
        <v>2</v>
      </c>
      <c r="C286">
        <v>800</v>
      </c>
      <c r="D286">
        <v>11</v>
      </c>
    </row>
    <row r="287" spans="1:4">
      <c r="A287" s="93" t="s">
        <v>5790</v>
      </c>
      <c r="B287">
        <v>1.9</v>
      </c>
      <c r="C287">
        <v>800</v>
      </c>
      <c r="D287">
        <v>11</v>
      </c>
    </row>
    <row r="288" spans="1:4">
      <c r="A288" s="93" t="s">
        <v>5791</v>
      </c>
      <c r="B288">
        <v>1.8</v>
      </c>
      <c r="C288">
        <v>800</v>
      </c>
      <c r="D288">
        <v>11</v>
      </c>
    </row>
    <row r="289" spans="1:4">
      <c r="A289" s="93" t="s">
        <v>5792</v>
      </c>
      <c r="B289">
        <v>1.7</v>
      </c>
      <c r="C289">
        <v>800</v>
      </c>
      <c r="D289">
        <v>11</v>
      </c>
    </row>
    <row r="290" spans="1:4">
      <c r="A290" s="93" t="s">
        <v>5793</v>
      </c>
      <c r="B290">
        <v>1.6</v>
      </c>
      <c r="C290">
        <v>800</v>
      </c>
      <c r="D290">
        <v>11</v>
      </c>
    </row>
    <row r="291" spans="1:4">
      <c r="A291" s="93" t="s">
        <v>5794</v>
      </c>
      <c r="B291">
        <v>1.5</v>
      </c>
      <c r="C291">
        <v>800</v>
      </c>
      <c r="D291">
        <v>11</v>
      </c>
    </row>
    <row r="292" spans="1:4">
      <c r="A292" s="93" t="s">
        <v>5795</v>
      </c>
      <c r="B292">
        <v>4.3</v>
      </c>
      <c r="C292">
        <v>810</v>
      </c>
      <c r="D292">
        <v>4</v>
      </c>
    </row>
    <row r="293" spans="1:4">
      <c r="A293" s="93" t="s">
        <v>5796</v>
      </c>
      <c r="B293">
        <v>4.2</v>
      </c>
      <c r="C293">
        <v>810</v>
      </c>
      <c r="D293">
        <v>4</v>
      </c>
    </row>
    <row r="294" spans="1:4">
      <c r="A294" s="93" t="s">
        <v>5797</v>
      </c>
      <c r="B294">
        <v>4.1</v>
      </c>
      <c r="C294">
        <v>810</v>
      </c>
      <c r="D294">
        <v>4</v>
      </c>
    </row>
    <row r="295" spans="1:4">
      <c r="A295" s="93" t="s">
        <v>5798</v>
      </c>
      <c r="B295">
        <v>4</v>
      </c>
      <c r="C295">
        <v>810</v>
      </c>
      <c r="D295">
        <v>4</v>
      </c>
    </row>
    <row r="296" spans="1:4">
      <c r="A296" s="93" t="s">
        <v>5799</v>
      </c>
      <c r="B296">
        <v>3.9</v>
      </c>
      <c r="C296">
        <v>810</v>
      </c>
      <c r="D296">
        <v>5</v>
      </c>
    </row>
    <row r="297" spans="1:4">
      <c r="A297" s="93" t="s">
        <v>5800</v>
      </c>
      <c r="B297">
        <v>3.8</v>
      </c>
      <c r="C297">
        <v>810</v>
      </c>
      <c r="D297">
        <v>5</v>
      </c>
    </row>
    <row r="298" spans="1:4">
      <c r="A298" s="93" t="s">
        <v>5801</v>
      </c>
      <c r="B298">
        <v>3.7</v>
      </c>
      <c r="C298">
        <v>810</v>
      </c>
      <c r="D298">
        <v>5</v>
      </c>
    </row>
    <row r="299" spans="1:4">
      <c r="A299" s="93" t="s">
        <v>5802</v>
      </c>
      <c r="B299">
        <v>3.6</v>
      </c>
      <c r="C299">
        <v>810</v>
      </c>
      <c r="D299">
        <v>5</v>
      </c>
    </row>
    <row r="300" spans="1:4">
      <c r="A300" s="93" t="s">
        <v>5803</v>
      </c>
      <c r="B300">
        <v>3.5</v>
      </c>
      <c r="C300">
        <v>810</v>
      </c>
      <c r="D300">
        <v>5</v>
      </c>
    </row>
    <row r="301" spans="1:4">
      <c r="A301" s="93" t="s">
        <v>5804</v>
      </c>
      <c r="B301">
        <v>3.4</v>
      </c>
      <c r="C301">
        <v>810</v>
      </c>
      <c r="D301">
        <v>7</v>
      </c>
    </row>
    <row r="302" spans="1:4">
      <c r="A302" s="93" t="s">
        <v>5805</v>
      </c>
      <c r="B302">
        <v>3.3</v>
      </c>
      <c r="C302">
        <v>810</v>
      </c>
      <c r="D302">
        <v>7</v>
      </c>
    </row>
    <row r="303" spans="1:4">
      <c r="A303" s="93" t="s">
        <v>5806</v>
      </c>
      <c r="B303">
        <v>3.2</v>
      </c>
      <c r="C303">
        <v>810</v>
      </c>
      <c r="D303">
        <v>7</v>
      </c>
    </row>
    <row r="304" spans="1:4">
      <c r="A304" s="93" t="s">
        <v>5807</v>
      </c>
      <c r="B304">
        <v>3.1</v>
      </c>
      <c r="C304">
        <v>810</v>
      </c>
      <c r="D304">
        <v>7</v>
      </c>
    </row>
    <row r="305" spans="1:4">
      <c r="A305" s="93" t="s">
        <v>5808</v>
      </c>
      <c r="B305">
        <v>3</v>
      </c>
      <c r="C305">
        <v>810</v>
      </c>
      <c r="D305">
        <v>8</v>
      </c>
    </row>
    <row r="306" spans="1:4">
      <c r="A306" s="93" t="s">
        <v>5809</v>
      </c>
      <c r="B306">
        <v>2.9</v>
      </c>
      <c r="C306">
        <v>810</v>
      </c>
      <c r="D306">
        <v>8</v>
      </c>
    </row>
    <row r="307" spans="1:4">
      <c r="A307" s="93" t="s">
        <v>5810</v>
      </c>
      <c r="B307">
        <v>2.8</v>
      </c>
      <c r="C307">
        <v>810</v>
      </c>
      <c r="D307">
        <v>8</v>
      </c>
    </row>
    <row r="308" spans="1:4">
      <c r="A308" s="93" t="s">
        <v>5811</v>
      </c>
      <c r="B308">
        <v>2.7</v>
      </c>
      <c r="C308">
        <v>810</v>
      </c>
      <c r="D308">
        <v>9</v>
      </c>
    </row>
    <row r="309" spans="1:4">
      <c r="A309" s="93" t="s">
        <v>5812</v>
      </c>
      <c r="B309">
        <v>2.6</v>
      </c>
      <c r="C309">
        <v>810</v>
      </c>
      <c r="D309">
        <v>9</v>
      </c>
    </row>
    <row r="310" spans="1:4">
      <c r="A310" s="93" t="s">
        <v>5813</v>
      </c>
      <c r="B310">
        <v>2.5</v>
      </c>
      <c r="C310">
        <v>810</v>
      </c>
      <c r="D310">
        <v>9</v>
      </c>
    </row>
    <row r="311" spans="1:4">
      <c r="A311" s="93" t="s">
        <v>5814</v>
      </c>
      <c r="B311">
        <v>2.4</v>
      </c>
      <c r="C311">
        <v>810</v>
      </c>
      <c r="D311">
        <v>9</v>
      </c>
    </row>
    <row r="312" spans="1:4">
      <c r="A312" s="93" t="s">
        <v>5815</v>
      </c>
      <c r="B312">
        <v>2.3</v>
      </c>
      <c r="C312">
        <v>810</v>
      </c>
      <c r="D312">
        <v>11</v>
      </c>
    </row>
    <row r="313" spans="1:4">
      <c r="A313" s="93" t="s">
        <v>5816</v>
      </c>
      <c r="B313">
        <v>2.2</v>
      </c>
      <c r="C313">
        <v>810</v>
      </c>
      <c r="D313">
        <v>11</v>
      </c>
    </row>
    <row r="314" spans="1:4">
      <c r="A314" s="93" t="s">
        <v>5817</v>
      </c>
      <c r="B314">
        <v>2.1</v>
      </c>
      <c r="C314">
        <v>810</v>
      </c>
      <c r="D314">
        <v>11</v>
      </c>
    </row>
    <row r="315" spans="1:4">
      <c r="A315" s="93" t="s">
        <v>5818</v>
      </c>
      <c r="B315">
        <v>2</v>
      </c>
      <c r="C315">
        <v>810</v>
      </c>
      <c r="D315">
        <v>11</v>
      </c>
    </row>
    <row r="316" spans="1:4">
      <c r="A316" s="93" t="s">
        <v>5819</v>
      </c>
      <c r="B316">
        <v>1.9</v>
      </c>
      <c r="C316">
        <v>810</v>
      </c>
      <c r="D316">
        <v>11</v>
      </c>
    </row>
    <row r="317" spans="1:4">
      <c r="A317" s="93" t="s">
        <v>5820</v>
      </c>
      <c r="B317">
        <v>1.8</v>
      </c>
      <c r="C317">
        <v>810</v>
      </c>
      <c r="D317">
        <v>11</v>
      </c>
    </row>
    <row r="318" spans="1:4">
      <c r="A318" s="93" t="s">
        <v>5821</v>
      </c>
      <c r="B318">
        <v>1.7</v>
      </c>
      <c r="C318">
        <v>810</v>
      </c>
      <c r="D318">
        <v>11</v>
      </c>
    </row>
    <row r="319" spans="1:4">
      <c r="A319" s="93" t="s">
        <v>5822</v>
      </c>
      <c r="B319">
        <v>1.6</v>
      </c>
      <c r="C319">
        <v>810</v>
      </c>
      <c r="D319">
        <v>11</v>
      </c>
    </row>
    <row r="320" spans="1:4">
      <c r="A320" s="93" t="s">
        <v>5823</v>
      </c>
      <c r="B320">
        <v>1.5</v>
      </c>
      <c r="C320">
        <v>810</v>
      </c>
      <c r="D320">
        <v>11</v>
      </c>
    </row>
    <row r="321" spans="1:4">
      <c r="A321" s="93" t="s">
        <v>5824</v>
      </c>
      <c r="B321">
        <v>4.3</v>
      </c>
      <c r="C321">
        <v>820</v>
      </c>
      <c r="D321">
        <v>4</v>
      </c>
    </row>
    <row r="322" spans="1:4">
      <c r="A322" s="93" t="s">
        <v>5825</v>
      </c>
      <c r="B322">
        <v>4.2</v>
      </c>
      <c r="C322">
        <v>820</v>
      </c>
      <c r="D322">
        <v>4</v>
      </c>
    </row>
    <row r="323" spans="1:4">
      <c r="A323" s="93" t="s">
        <v>5826</v>
      </c>
      <c r="B323">
        <v>4.1</v>
      </c>
      <c r="C323">
        <v>820</v>
      </c>
      <c r="D323">
        <v>4</v>
      </c>
    </row>
    <row r="324" spans="1:4">
      <c r="A324" s="93" t="s">
        <v>5827</v>
      </c>
      <c r="B324">
        <v>4</v>
      </c>
      <c r="C324">
        <v>820</v>
      </c>
      <c r="D324">
        <v>4</v>
      </c>
    </row>
    <row r="325" spans="1:4">
      <c r="A325" s="93" t="s">
        <v>5828</v>
      </c>
      <c r="B325">
        <v>3.9</v>
      </c>
      <c r="C325">
        <v>820</v>
      </c>
      <c r="D325">
        <v>5</v>
      </c>
    </row>
    <row r="326" spans="1:4">
      <c r="A326" s="93" t="s">
        <v>5829</v>
      </c>
      <c r="B326">
        <v>3.8</v>
      </c>
      <c r="C326">
        <v>820</v>
      </c>
      <c r="D326">
        <v>5</v>
      </c>
    </row>
    <row r="327" spans="1:4">
      <c r="A327" s="93" t="s">
        <v>5830</v>
      </c>
      <c r="B327">
        <v>3.7</v>
      </c>
      <c r="C327">
        <v>820</v>
      </c>
      <c r="D327">
        <v>5</v>
      </c>
    </row>
    <row r="328" spans="1:4">
      <c r="A328" s="93" t="s">
        <v>5831</v>
      </c>
      <c r="B328">
        <v>3.6</v>
      </c>
      <c r="C328">
        <v>820</v>
      </c>
      <c r="D328">
        <v>5</v>
      </c>
    </row>
    <row r="329" spans="1:4">
      <c r="A329" s="93" t="s">
        <v>5832</v>
      </c>
      <c r="B329">
        <v>3.5</v>
      </c>
      <c r="C329">
        <v>820</v>
      </c>
      <c r="D329">
        <v>5</v>
      </c>
    </row>
    <row r="330" spans="1:4">
      <c r="A330" s="93" t="s">
        <v>5833</v>
      </c>
      <c r="B330">
        <v>3.4</v>
      </c>
      <c r="C330">
        <v>820</v>
      </c>
      <c r="D330">
        <v>7</v>
      </c>
    </row>
    <row r="331" spans="1:4">
      <c r="A331" s="93" t="s">
        <v>5834</v>
      </c>
      <c r="B331">
        <v>3.3</v>
      </c>
      <c r="C331">
        <v>820</v>
      </c>
      <c r="D331">
        <v>7</v>
      </c>
    </row>
    <row r="332" spans="1:4">
      <c r="A332" s="93" t="s">
        <v>5835</v>
      </c>
      <c r="B332">
        <v>3.2</v>
      </c>
      <c r="C332">
        <v>820</v>
      </c>
      <c r="D332">
        <v>7</v>
      </c>
    </row>
    <row r="333" spans="1:4">
      <c r="A333" s="93" t="s">
        <v>5836</v>
      </c>
      <c r="B333">
        <v>3.1</v>
      </c>
      <c r="C333">
        <v>820</v>
      </c>
      <c r="D333">
        <v>7</v>
      </c>
    </row>
    <row r="334" spans="1:4">
      <c r="A334" s="93" t="s">
        <v>5837</v>
      </c>
      <c r="B334">
        <v>3</v>
      </c>
      <c r="C334">
        <v>820</v>
      </c>
      <c r="D334">
        <v>8</v>
      </c>
    </row>
    <row r="335" spans="1:4">
      <c r="A335" s="93" t="s">
        <v>5838</v>
      </c>
      <c r="B335">
        <v>2.9</v>
      </c>
      <c r="C335">
        <v>820</v>
      </c>
      <c r="D335">
        <v>8</v>
      </c>
    </row>
    <row r="336" spans="1:4">
      <c r="A336" s="93" t="s">
        <v>5839</v>
      </c>
      <c r="B336">
        <v>2.8</v>
      </c>
      <c r="C336">
        <v>820</v>
      </c>
      <c r="D336">
        <v>8</v>
      </c>
    </row>
    <row r="337" spans="1:4">
      <c r="A337" s="93" t="s">
        <v>5840</v>
      </c>
      <c r="B337">
        <v>2.7</v>
      </c>
      <c r="C337">
        <v>820</v>
      </c>
      <c r="D337">
        <v>9</v>
      </c>
    </row>
    <row r="338" spans="1:4">
      <c r="A338" s="93" t="s">
        <v>5841</v>
      </c>
      <c r="B338">
        <v>2.6</v>
      </c>
      <c r="C338">
        <v>820</v>
      </c>
      <c r="D338">
        <v>9</v>
      </c>
    </row>
    <row r="339" spans="1:4">
      <c r="A339" s="93" t="s">
        <v>5842</v>
      </c>
      <c r="B339">
        <v>2.5</v>
      </c>
      <c r="C339">
        <v>820</v>
      </c>
      <c r="D339">
        <v>9</v>
      </c>
    </row>
    <row r="340" spans="1:4">
      <c r="A340" s="93" t="s">
        <v>5843</v>
      </c>
      <c r="B340">
        <v>2.4</v>
      </c>
      <c r="C340">
        <v>820</v>
      </c>
      <c r="D340">
        <v>9</v>
      </c>
    </row>
    <row r="341" spans="1:4">
      <c r="A341" s="93" t="s">
        <v>5844</v>
      </c>
      <c r="B341">
        <v>2.3</v>
      </c>
      <c r="C341">
        <v>820</v>
      </c>
      <c r="D341">
        <v>11</v>
      </c>
    </row>
    <row r="342" spans="1:4">
      <c r="A342" s="93" t="s">
        <v>5845</v>
      </c>
      <c r="B342">
        <v>2.2</v>
      </c>
      <c r="C342">
        <v>820</v>
      </c>
      <c r="D342">
        <v>11</v>
      </c>
    </row>
    <row r="343" spans="1:4">
      <c r="A343" s="93" t="s">
        <v>5846</v>
      </c>
      <c r="B343">
        <v>2.1</v>
      </c>
      <c r="C343">
        <v>820</v>
      </c>
      <c r="D343">
        <v>11</v>
      </c>
    </row>
    <row r="344" spans="1:4">
      <c r="A344" s="93" t="s">
        <v>5847</v>
      </c>
      <c r="B344">
        <v>2</v>
      </c>
      <c r="C344">
        <v>820</v>
      </c>
      <c r="D344">
        <v>11</v>
      </c>
    </row>
    <row r="345" spans="1:4">
      <c r="A345" s="93" t="s">
        <v>5848</v>
      </c>
      <c r="B345">
        <v>1.9</v>
      </c>
      <c r="C345">
        <v>820</v>
      </c>
      <c r="D345">
        <v>11</v>
      </c>
    </row>
    <row r="346" spans="1:4">
      <c r="A346" s="93" t="s">
        <v>5849</v>
      </c>
      <c r="B346">
        <v>1.8</v>
      </c>
      <c r="C346">
        <v>820</v>
      </c>
      <c r="D346">
        <v>11</v>
      </c>
    </row>
    <row r="347" spans="1:4">
      <c r="A347" s="93" t="s">
        <v>5850</v>
      </c>
      <c r="B347">
        <v>1.7</v>
      </c>
      <c r="C347">
        <v>820</v>
      </c>
      <c r="D347">
        <v>11</v>
      </c>
    </row>
    <row r="348" spans="1:4">
      <c r="A348" s="93" t="s">
        <v>5851</v>
      </c>
      <c r="B348">
        <v>1.6</v>
      </c>
      <c r="C348">
        <v>820</v>
      </c>
      <c r="D348">
        <v>11</v>
      </c>
    </row>
    <row r="349" spans="1:4">
      <c r="A349" s="93" t="s">
        <v>5852</v>
      </c>
      <c r="B349">
        <v>1.5</v>
      </c>
      <c r="C349">
        <v>820</v>
      </c>
      <c r="D349">
        <v>11</v>
      </c>
    </row>
    <row r="350" spans="1:4">
      <c r="A350" s="93" t="s">
        <v>5853</v>
      </c>
      <c r="B350">
        <v>4.3</v>
      </c>
      <c r="C350">
        <v>830</v>
      </c>
      <c r="D350">
        <v>4</v>
      </c>
    </row>
    <row r="351" spans="1:4">
      <c r="A351" s="93" t="s">
        <v>5854</v>
      </c>
      <c r="B351">
        <v>4.2</v>
      </c>
      <c r="C351">
        <v>830</v>
      </c>
      <c r="D351">
        <v>4</v>
      </c>
    </row>
    <row r="352" spans="1:4">
      <c r="A352" s="93" t="s">
        <v>5855</v>
      </c>
      <c r="B352">
        <v>4.1</v>
      </c>
      <c r="C352">
        <v>830</v>
      </c>
      <c r="D352">
        <v>4</v>
      </c>
    </row>
    <row r="353" spans="1:4">
      <c r="A353" s="93" t="s">
        <v>5856</v>
      </c>
      <c r="B353">
        <v>4</v>
      </c>
      <c r="C353">
        <v>830</v>
      </c>
      <c r="D353">
        <v>4</v>
      </c>
    </row>
    <row r="354" spans="1:4">
      <c r="A354" s="93" t="s">
        <v>5857</v>
      </c>
      <c r="B354">
        <v>3.9</v>
      </c>
      <c r="C354">
        <v>830</v>
      </c>
      <c r="D354">
        <v>4</v>
      </c>
    </row>
    <row r="355" spans="1:4">
      <c r="A355" s="93" t="s">
        <v>5858</v>
      </c>
      <c r="B355">
        <v>3.8</v>
      </c>
      <c r="C355">
        <v>830</v>
      </c>
      <c r="D355">
        <v>5</v>
      </c>
    </row>
    <row r="356" spans="1:4">
      <c r="A356" s="93" t="s">
        <v>5859</v>
      </c>
      <c r="B356">
        <v>3.7</v>
      </c>
      <c r="C356">
        <v>830</v>
      </c>
      <c r="D356">
        <v>5</v>
      </c>
    </row>
    <row r="357" spans="1:4">
      <c r="A357" s="93" t="s">
        <v>5860</v>
      </c>
      <c r="B357">
        <v>3.6</v>
      </c>
      <c r="C357">
        <v>830</v>
      </c>
      <c r="D357">
        <v>5</v>
      </c>
    </row>
    <row r="358" spans="1:4">
      <c r="A358" s="93" t="s">
        <v>5861</v>
      </c>
      <c r="B358">
        <v>3.5</v>
      </c>
      <c r="C358">
        <v>830</v>
      </c>
      <c r="D358">
        <v>5</v>
      </c>
    </row>
    <row r="359" spans="1:4">
      <c r="A359" s="93" t="s">
        <v>5862</v>
      </c>
      <c r="B359">
        <v>3.4</v>
      </c>
      <c r="C359">
        <v>830</v>
      </c>
      <c r="D359">
        <v>5</v>
      </c>
    </row>
    <row r="360" spans="1:4">
      <c r="A360" s="93" t="s">
        <v>5863</v>
      </c>
      <c r="B360">
        <v>3.3</v>
      </c>
      <c r="C360">
        <v>830</v>
      </c>
      <c r="D360">
        <v>7</v>
      </c>
    </row>
    <row r="361" spans="1:4">
      <c r="A361" s="93" t="s">
        <v>5864</v>
      </c>
      <c r="B361">
        <v>3.2</v>
      </c>
      <c r="C361">
        <v>830</v>
      </c>
      <c r="D361">
        <v>7</v>
      </c>
    </row>
    <row r="362" spans="1:4">
      <c r="A362" s="93" t="s">
        <v>5865</v>
      </c>
      <c r="B362">
        <v>3.1</v>
      </c>
      <c r="C362">
        <v>830</v>
      </c>
      <c r="D362">
        <v>7</v>
      </c>
    </row>
    <row r="363" spans="1:4">
      <c r="A363" s="93" t="s">
        <v>5866</v>
      </c>
      <c r="B363">
        <v>3</v>
      </c>
      <c r="C363">
        <v>830</v>
      </c>
      <c r="D363">
        <v>7</v>
      </c>
    </row>
    <row r="364" spans="1:4">
      <c r="A364" s="93" t="s">
        <v>5867</v>
      </c>
      <c r="B364">
        <v>2.9</v>
      </c>
      <c r="C364">
        <v>830</v>
      </c>
      <c r="D364">
        <v>8</v>
      </c>
    </row>
    <row r="365" spans="1:4">
      <c r="A365" s="93" t="s">
        <v>5868</v>
      </c>
      <c r="B365">
        <v>2.8</v>
      </c>
      <c r="C365">
        <v>830</v>
      </c>
      <c r="D365">
        <v>8</v>
      </c>
    </row>
    <row r="366" spans="1:4">
      <c r="A366" s="93" t="s">
        <v>5869</v>
      </c>
      <c r="B366">
        <v>2.7</v>
      </c>
      <c r="C366">
        <v>830</v>
      </c>
      <c r="D366">
        <v>8</v>
      </c>
    </row>
    <row r="367" spans="1:4">
      <c r="A367" s="93" t="s">
        <v>5870</v>
      </c>
      <c r="B367">
        <v>2.6</v>
      </c>
      <c r="C367">
        <v>830</v>
      </c>
      <c r="D367">
        <v>9</v>
      </c>
    </row>
    <row r="368" spans="1:4">
      <c r="A368" s="93" t="s">
        <v>5871</v>
      </c>
      <c r="B368">
        <v>2.5</v>
      </c>
      <c r="C368">
        <v>830</v>
      </c>
      <c r="D368">
        <v>9</v>
      </c>
    </row>
    <row r="369" spans="1:4">
      <c r="A369" s="93" t="s">
        <v>5872</v>
      </c>
      <c r="B369">
        <v>2.4</v>
      </c>
      <c r="C369">
        <v>830</v>
      </c>
      <c r="D369">
        <v>9</v>
      </c>
    </row>
    <row r="370" spans="1:4">
      <c r="A370" s="93" t="s">
        <v>5873</v>
      </c>
      <c r="B370">
        <v>2.3</v>
      </c>
      <c r="C370">
        <v>830</v>
      </c>
      <c r="D370">
        <v>9</v>
      </c>
    </row>
    <row r="371" spans="1:4">
      <c r="A371" s="93" t="s">
        <v>5874</v>
      </c>
      <c r="B371">
        <v>2.2</v>
      </c>
      <c r="C371">
        <v>830</v>
      </c>
      <c r="D371">
        <v>10</v>
      </c>
    </row>
    <row r="372" spans="1:4">
      <c r="A372" s="93" t="s">
        <v>5875</v>
      </c>
      <c r="B372">
        <v>2.1</v>
      </c>
      <c r="C372">
        <v>830</v>
      </c>
      <c r="D372">
        <v>10</v>
      </c>
    </row>
    <row r="373" spans="1:4">
      <c r="A373" s="93" t="s">
        <v>5876</v>
      </c>
      <c r="B373">
        <v>2</v>
      </c>
      <c r="C373">
        <v>830</v>
      </c>
      <c r="D373">
        <v>11</v>
      </c>
    </row>
    <row r="374" spans="1:4">
      <c r="A374" s="93" t="s">
        <v>5877</v>
      </c>
      <c r="B374">
        <v>1.9</v>
      </c>
      <c r="C374">
        <v>830</v>
      </c>
      <c r="D374">
        <v>11</v>
      </c>
    </row>
    <row r="375" spans="1:4">
      <c r="A375" s="93" t="s">
        <v>5878</v>
      </c>
      <c r="B375">
        <v>1.8</v>
      </c>
      <c r="C375">
        <v>830</v>
      </c>
      <c r="D375">
        <v>11</v>
      </c>
    </row>
    <row r="376" spans="1:4">
      <c r="A376" s="93" t="s">
        <v>5879</v>
      </c>
      <c r="B376">
        <v>1.7</v>
      </c>
      <c r="C376">
        <v>830</v>
      </c>
      <c r="D376">
        <v>11</v>
      </c>
    </row>
    <row r="377" spans="1:4">
      <c r="A377" s="93" t="s">
        <v>5880</v>
      </c>
      <c r="B377">
        <v>1.6</v>
      </c>
      <c r="C377">
        <v>830</v>
      </c>
      <c r="D377">
        <v>11</v>
      </c>
    </row>
    <row r="378" spans="1:4">
      <c r="A378" s="93" t="s">
        <v>5881</v>
      </c>
      <c r="B378">
        <v>1.5</v>
      </c>
      <c r="C378">
        <v>830</v>
      </c>
      <c r="D378">
        <v>11</v>
      </c>
    </row>
    <row r="379" spans="1:4">
      <c r="A379" s="93" t="s">
        <v>5882</v>
      </c>
      <c r="B379">
        <v>4.3</v>
      </c>
      <c r="C379">
        <v>840</v>
      </c>
      <c r="D379">
        <v>4</v>
      </c>
    </row>
    <row r="380" spans="1:4">
      <c r="A380" s="93" t="s">
        <v>5883</v>
      </c>
      <c r="B380">
        <v>4.2</v>
      </c>
      <c r="C380">
        <v>840</v>
      </c>
      <c r="D380">
        <v>4</v>
      </c>
    </row>
    <row r="381" spans="1:4">
      <c r="A381" s="93" t="s">
        <v>5884</v>
      </c>
      <c r="B381">
        <v>4.1</v>
      </c>
      <c r="C381">
        <v>840</v>
      </c>
      <c r="D381">
        <v>4</v>
      </c>
    </row>
    <row r="382" spans="1:4">
      <c r="A382" s="93" t="s">
        <v>5885</v>
      </c>
      <c r="B382">
        <v>4</v>
      </c>
      <c r="C382">
        <v>840</v>
      </c>
      <c r="D382">
        <v>4</v>
      </c>
    </row>
    <row r="383" spans="1:4">
      <c r="A383" s="93" t="s">
        <v>5886</v>
      </c>
      <c r="B383">
        <v>3.9</v>
      </c>
      <c r="C383">
        <v>840</v>
      </c>
      <c r="D383">
        <v>4</v>
      </c>
    </row>
    <row r="384" spans="1:4">
      <c r="A384" s="93" t="s">
        <v>5887</v>
      </c>
      <c r="B384">
        <v>3.8</v>
      </c>
      <c r="C384">
        <v>840</v>
      </c>
      <c r="D384">
        <v>5</v>
      </c>
    </row>
    <row r="385" spans="1:4">
      <c r="A385" s="93" t="s">
        <v>5888</v>
      </c>
      <c r="B385">
        <v>3.7</v>
      </c>
      <c r="C385">
        <v>840</v>
      </c>
      <c r="D385">
        <v>5</v>
      </c>
    </row>
    <row r="386" spans="1:4">
      <c r="A386" s="93" t="s">
        <v>5889</v>
      </c>
      <c r="B386">
        <v>3.6</v>
      </c>
      <c r="C386">
        <v>840</v>
      </c>
      <c r="D386">
        <v>5</v>
      </c>
    </row>
    <row r="387" spans="1:4">
      <c r="A387" s="93" t="s">
        <v>5890</v>
      </c>
      <c r="B387">
        <v>3.5</v>
      </c>
      <c r="C387">
        <v>840</v>
      </c>
      <c r="D387">
        <v>5</v>
      </c>
    </row>
    <row r="388" spans="1:4">
      <c r="A388" s="93" t="s">
        <v>5891</v>
      </c>
      <c r="B388">
        <v>3.4</v>
      </c>
      <c r="C388">
        <v>840</v>
      </c>
      <c r="D388">
        <v>5</v>
      </c>
    </row>
    <row r="389" spans="1:4">
      <c r="A389" s="93" t="s">
        <v>5892</v>
      </c>
      <c r="B389">
        <v>3.3</v>
      </c>
      <c r="C389">
        <v>840</v>
      </c>
      <c r="D389">
        <v>7</v>
      </c>
    </row>
    <row r="390" spans="1:4">
      <c r="A390" s="93" t="s">
        <v>5893</v>
      </c>
      <c r="B390">
        <v>3.2</v>
      </c>
      <c r="C390">
        <v>840</v>
      </c>
      <c r="D390">
        <v>7</v>
      </c>
    </row>
    <row r="391" spans="1:4">
      <c r="A391" s="93" t="s">
        <v>5894</v>
      </c>
      <c r="B391">
        <v>3.1</v>
      </c>
      <c r="C391">
        <v>840</v>
      </c>
      <c r="D391">
        <v>7</v>
      </c>
    </row>
    <row r="392" spans="1:4">
      <c r="A392" s="93" t="s">
        <v>5895</v>
      </c>
      <c r="B392">
        <v>3</v>
      </c>
      <c r="C392">
        <v>840</v>
      </c>
      <c r="D392">
        <v>7</v>
      </c>
    </row>
    <row r="393" spans="1:4">
      <c r="A393" s="93" t="s">
        <v>5896</v>
      </c>
      <c r="B393">
        <v>2.9</v>
      </c>
      <c r="C393">
        <v>840</v>
      </c>
      <c r="D393">
        <v>8</v>
      </c>
    </row>
    <row r="394" spans="1:4">
      <c r="A394" s="93" t="s">
        <v>5897</v>
      </c>
      <c r="B394">
        <v>2.8</v>
      </c>
      <c r="C394">
        <v>840</v>
      </c>
      <c r="D394">
        <v>8</v>
      </c>
    </row>
    <row r="395" spans="1:4">
      <c r="A395" s="93" t="s">
        <v>5898</v>
      </c>
      <c r="B395">
        <v>2.7</v>
      </c>
      <c r="C395">
        <v>840</v>
      </c>
      <c r="D395">
        <v>8</v>
      </c>
    </row>
    <row r="396" spans="1:4">
      <c r="A396" s="93" t="s">
        <v>5899</v>
      </c>
      <c r="B396">
        <v>2.6</v>
      </c>
      <c r="C396">
        <v>840</v>
      </c>
      <c r="D396">
        <v>9</v>
      </c>
    </row>
    <row r="397" spans="1:4">
      <c r="A397" s="93" t="s">
        <v>5900</v>
      </c>
      <c r="B397">
        <v>2.5</v>
      </c>
      <c r="C397">
        <v>840</v>
      </c>
      <c r="D397">
        <v>9</v>
      </c>
    </row>
    <row r="398" spans="1:4">
      <c r="A398" s="93" t="s">
        <v>5901</v>
      </c>
      <c r="B398">
        <v>2.4</v>
      </c>
      <c r="C398">
        <v>840</v>
      </c>
      <c r="D398">
        <v>9</v>
      </c>
    </row>
    <row r="399" spans="1:4">
      <c r="A399" s="93" t="s">
        <v>5902</v>
      </c>
      <c r="B399">
        <v>2.3</v>
      </c>
      <c r="C399">
        <v>840</v>
      </c>
      <c r="D399">
        <v>9</v>
      </c>
    </row>
    <row r="400" spans="1:4">
      <c r="A400" s="93" t="s">
        <v>5903</v>
      </c>
      <c r="B400">
        <v>2.2</v>
      </c>
      <c r="C400">
        <v>840</v>
      </c>
      <c r="D400">
        <v>10</v>
      </c>
    </row>
    <row r="401" spans="1:4">
      <c r="A401" s="93" t="s">
        <v>5904</v>
      </c>
      <c r="B401">
        <v>2.1</v>
      </c>
      <c r="C401">
        <v>840</v>
      </c>
      <c r="D401">
        <v>10</v>
      </c>
    </row>
    <row r="402" spans="1:4">
      <c r="A402" s="93" t="s">
        <v>5905</v>
      </c>
      <c r="B402">
        <v>2</v>
      </c>
      <c r="C402">
        <v>840</v>
      </c>
      <c r="D402">
        <v>11</v>
      </c>
    </row>
    <row r="403" spans="1:4">
      <c r="A403" s="93" t="s">
        <v>5906</v>
      </c>
      <c r="B403">
        <v>1.9</v>
      </c>
      <c r="C403">
        <v>840</v>
      </c>
      <c r="D403">
        <v>11</v>
      </c>
    </row>
    <row r="404" spans="1:4">
      <c r="A404" s="93" t="s">
        <v>5907</v>
      </c>
      <c r="B404">
        <v>1.8</v>
      </c>
      <c r="C404">
        <v>840</v>
      </c>
      <c r="D404">
        <v>11</v>
      </c>
    </row>
    <row r="405" spans="1:4">
      <c r="A405" s="93" t="s">
        <v>5908</v>
      </c>
      <c r="B405">
        <v>1.7</v>
      </c>
      <c r="C405">
        <v>840</v>
      </c>
      <c r="D405">
        <v>11</v>
      </c>
    </row>
    <row r="406" spans="1:4">
      <c r="A406" s="93" t="s">
        <v>5909</v>
      </c>
      <c r="B406">
        <v>1.6</v>
      </c>
      <c r="C406">
        <v>840</v>
      </c>
      <c r="D406">
        <v>11</v>
      </c>
    </row>
    <row r="407" spans="1:4">
      <c r="A407" s="93" t="s">
        <v>5910</v>
      </c>
      <c r="B407">
        <v>1.5</v>
      </c>
      <c r="C407">
        <v>840</v>
      </c>
      <c r="D407">
        <v>11</v>
      </c>
    </row>
    <row r="408" spans="1:4">
      <c r="A408" s="93" t="s">
        <v>5911</v>
      </c>
      <c r="B408">
        <v>4.3</v>
      </c>
      <c r="C408">
        <v>850</v>
      </c>
      <c r="D408">
        <v>4</v>
      </c>
    </row>
    <row r="409" spans="1:4">
      <c r="A409" s="93" t="s">
        <v>5912</v>
      </c>
      <c r="B409">
        <v>4.2</v>
      </c>
      <c r="C409">
        <v>850</v>
      </c>
      <c r="D409">
        <v>4</v>
      </c>
    </row>
    <row r="410" spans="1:4">
      <c r="A410" s="93" t="s">
        <v>5913</v>
      </c>
      <c r="B410">
        <v>4.1</v>
      </c>
      <c r="C410">
        <v>850</v>
      </c>
      <c r="D410">
        <v>4</v>
      </c>
    </row>
    <row r="411" spans="1:4">
      <c r="A411" s="93" t="s">
        <v>5914</v>
      </c>
      <c r="B411">
        <v>4</v>
      </c>
      <c r="C411">
        <v>850</v>
      </c>
      <c r="D411">
        <v>4</v>
      </c>
    </row>
    <row r="412" spans="1:4">
      <c r="A412" s="93" t="s">
        <v>5915</v>
      </c>
      <c r="B412">
        <v>3.9</v>
      </c>
      <c r="C412">
        <v>850</v>
      </c>
      <c r="D412">
        <v>4</v>
      </c>
    </row>
    <row r="413" spans="1:4">
      <c r="A413" s="93" t="s">
        <v>5916</v>
      </c>
      <c r="B413">
        <v>3.8</v>
      </c>
      <c r="C413">
        <v>850</v>
      </c>
      <c r="D413">
        <v>5</v>
      </c>
    </row>
    <row r="414" spans="1:4">
      <c r="A414" s="93" t="s">
        <v>5917</v>
      </c>
      <c r="B414">
        <v>3.7</v>
      </c>
      <c r="C414">
        <v>850</v>
      </c>
      <c r="D414">
        <v>5</v>
      </c>
    </row>
    <row r="415" spans="1:4">
      <c r="A415" s="93" t="s">
        <v>5918</v>
      </c>
      <c r="B415">
        <v>3.6</v>
      </c>
      <c r="C415">
        <v>850</v>
      </c>
      <c r="D415">
        <v>5</v>
      </c>
    </row>
    <row r="416" spans="1:4">
      <c r="A416" s="93" t="s">
        <v>5919</v>
      </c>
      <c r="B416">
        <v>3.5</v>
      </c>
      <c r="C416">
        <v>850</v>
      </c>
      <c r="D416">
        <v>5</v>
      </c>
    </row>
    <row r="417" spans="1:4">
      <c r="A417" s="93" t="s">
        <v>5920</v>
      </c>
      <c r="B417">
        <v>3.4</v>
      </c>
      <c r="C417">
        <v>850</v>
      </c>
      <c r="D417">
        <v>5</v>
      </c>
    </row>
    <row r="418" spans="1:4">
      <c r="A418" s="93" t="s">
        <v>5921</v>
      </c>
      <c r="B418">
        <v>3.3</v>
      </c>
      <c r="C418">
        <v>850</v>
      </c>
      <c r="D418">
        <v>7</v>
      </c>
    </row>
    <row r="419" spans="1:4">
      <c r="A419" s="93" t="s">
        <v>5922</v>
      </c>
      <c r="B419">
        <v>3.2</v>
      </c>
      <c r="C419">
        <v>850</v>
      </c>
      <c r="D419">
        <v>7</v>
      </c>
    </row>
    <row r="420" spans="1:4">
      <c r="A420" s="93" t="s">
        <v>5923</v>
      </c>
      <c r="B420">
        <v>3.1</v>
      </c>
      <c r="C420">
        <v>850</v>
      </c>
      <c r="D420">
        <v>7</v>
      </c>
    </row>
    <row r="421" spans="1:4">
      <c r="A421" s="93" t="s">
        <v>5924</v>
      </c>
      <c r="B421">
        <v>3</v>
      </c>
      <c r="C421">
        <v>850</v>
      </c>
      <c r="D421">
        <v>7</v>
      </c>
    </row>
    <row r="422" spans="1:4">
      <c r="A422" s="93" t="s">
        <v>5925</v>
      </c>
      <c r="B422">
        <v>2.9</v>
      </c>
      <c r="C422">
        <v>850</v>
      </c>
      <c r="D422">
        <v>8</v>
      </c>
    </row>
    <row r="423" spans="1:4">
      <c r="A423" s="93" t="s">
        <v>5926</v>
      </c>
      <c r="B423">
        <v>2.8</v>
      </c>
      <c r="C423">
        <v>850</v>
      </c>
      <c r="D423">
        <v>8</v>
      </c>
    </row>
    <row r="424" spans="1:4">
      <c r="A424" s="93" t="s">
        <v>5927</v>
      </c>
      <c r="B424">
        <v>2.7</v>
      </c>
      <c r="C424">
        <v>850</v>
      </c>
      <c r="D424">
        <v>8</v>
      </c>
    </row>
    <row r="425" spans="1:4">
      <c r="A425" s="93" t="s">
        <v>5928</v>
      </c>
      <c r="B425">
        <v>2.6</v>
      </c>
      <c r="C425">
        <v>850</v>
      </c>
      <c r="D425">
        <v>9</v>
      </c>
    </row>
    <row r="426" spans="1:4">
      <c r="A426" s="93" t="s">
        <v>5929</v>
      </c>
      <c r="B426">
        <v>2.5</v>
      </c>
      <c r="C426">
        <v>850</v>
      </c>
      <c r="D426">
        <v>9</v>
      </c>
    </row>
    <row r="427" spans="1:4">
      <c r="A427" s="93" t="s">
        <v>5930</v>
      </c>
      <c r="B427">
        <v>2.4</v>
      </c>
      <c r="C427">
        <v>850</v>
      </c>
      <c r="D427">
        <v>9</v>
      </c>
    </row>
    <row r="428" spans="1:4">
      <c r="A428" s="93" t="s">
        <v>5931</v>
      </c>
      <c r="B428">
        <v>2.3</v>
      </c>
      <c r="C428">
        <v>850</v>
      </c>
      <c r="D428">
        <v>9</v>
      </c>
    </row>
    <row r="429" spans="1:4">
      <c r="A429" s="93" t="s">
        <v>5932</v>
      </c>
      <c r="B429">
        <v>2.2</v>
      </c>
      <c r="C429">
        <v>850</v>
      </c>
      <c r="D429">
        <v>10</v>
      </c>
    </row>
    <row r="430" spans="1:4">
      <c r="A430" s="93" t="s">
        <v>5933</v>
      </c>
      <c r="B430">
        <v>2.1</v>
      </c>
      <c r="C430">
        <v>850</v>
      </c>
      <c r="D430">
        <v>10</v>
      </c>
    </row>
    <row r="431" spans="1:4">
      <c r="A431" s="93" t="s">
        <v>5934</v>
      </c>
      <c r="B431">
        <v>2</v>
      </c>
      <c r="C431">
        <v>850</v>
      </c>
      <c r="D431">
        <v>11</v>
      </c>
    </row>
    <row r="432" spans="1:4">
      <c r="A432" s="93" t="s">
        <v>5935</v>
      </c>
      <c r="B432">
        <v>1.9</v>
      </c>
      <c r="C432">
        <v>850</v>
      </c>
      <c r="D432">
        <v>11</v>
      </c>
    </row>
    <row r="433" spans="1:4">
      <c r="A433" s="93" t="s">
        <v>5936</v>
      </c>
      <c r="B433">
        <v>1.8</v>
      </c>
      <c r="C433">
        <v>850</v>
      </c>
      <c r="D433">
        <v>11</v>
      </c>
    </row>
    <row r="434" spans="1:4">
      <c r="A434" s="93" t="s">
        <v>5937</v>
      </c>
      <c r="B434">
        <v>1.7</v>
      </c>
      <c r="C434">
        <v>850</v>
      </c>
      <c r="D434">
        <v>11</v>
      </c>
    </row>
    <row r="435" spans="1:4">
      <c r="A435" s="93" t="s">
        <v>5938</v>
      </c>
      <c r="B435">
        <v>1.6</v>
      </c>
      <c r="C435">
        <v>850</v>
      </c>
      <c r="D435">
        <v>11</v>
      </c>
    </row>
    <row r="436" spans="1:4">
      <c r="A436" s="93" t="s">
        <v>5939</v>
      </c>
      <c r="B436">
        <v>1.5</v>
      </c>
      <c r="C436">
        <v>850</v>
      </c>
      <c r="D436">
        <v>11</v>
      </c>
    </row>
    <row r="437" spans="1:4">
      <c r="A437" s="93" t="s">
        <v>5940</v>
      </c>
      <c r="B437">
        <v>4.3</v>
      </c>
      <c r="C437">
        <v>860</v>
      </c>
      <c r="D437">
        <v>4</v>
      </c>
    </row>
    <row r="438" spans="1:4">
      <c r="A438" s="93" t="s">
        <v>5941</v>
      </c>
      <c r="B438">
        <v>4.2</v>
      </c>
      <c r="C438">
        <v>860</v>
      </c>
      <c r="D438">
        <v>4</v>
      </c>
    </row>
    <row r="439" spans="1:4">
      <c r="A439" s="93" t="s">
        <v>5942</v>
      </c>
      <c r="B439">
        <v>4.1</v>
      </c>
      <c r="C439">
        <v>860</v>
      </c>
      <c r="D439">
        <v>4</v>
      </c>
    </row>
    <row r="440" spans="1:4">
      <c r="A440" s="93" t="s">
        <v>5943</v>
      </c>
      <c r="B440">
        <v>4</v>
      </c>
      <c r="C440">
        <v>860</v>
      </c>
      <c r="D440">
        <v>4</v>
      </c>
    </row>
    <row r="441" spans="1:4">
      <c r="A441" s="93" t="s">
        <v>5944</v>
      </c>
      <c r="B441">
        <v>3.9</v>
      </c>
      <c r="C441">
        <v>860</v>
      </c>
      <c r="D441">
        <v>4</v>
      </c>
    </row>
    <row r="442" spans="1:4">
      <c r="A442" s="93" t="s">
        <v>5945</v>
      </c>
      <c r="B442">
        <v>3.8</v>
      </c>
      <c r="C442">
        <v>860</v>
      </c>
      <c r="D442">
        <v>5</v>
      </c>
    </row>
    <row r="443" spans="1:4">
      <c r="A443" s="93" t="s">
        <v>5946</v>
      </c>
      <c r="B443">
        <v>3.7</v>
      </c>
      <c r="C443">
        <v>860</v>
      </c>
      <c r="D443">
        <v>5</v>
      </c>
    </row>
    <row r="444" spans="1:4">
      <c r="A444" s="93" t="s">
        <v>5947</v>
      </c>
      <c r="B444">
        <v>3.6</v>
      </c>
      <c r="C444">
        <v>860</v>
      </c>
      <c r="D444">
        <v>5</v>
      </c>
    </row>
    <row r="445" spans="1:4">
      <c r="A445" s="93" t="s">
        <v>5948</v>
      </c>
      <c r="B445">
        <v>3.5</v>
      </c>
      <c r="C445">
        <v>860</v>
      </c>
      <c r="D445">
        <v>5</v>
      </c>
    </row>
    <row r="446" spans="1:4">
      <c r="A446" s="93" t="s">
        <v>5949</v>
      </c>
      <c r="B446">
        <v>3.4</v>
      </c>
      <c r="C446">
        <v>860</v>
      </c>
      <c r="D446">
        <v>5</v>
      </c>
    </row>
    <row r="447" spans="1:4">
      <c r="A447" s="93" t="s">
        <v>5950</v>
      </c>
      <c r="B447">
        <v>3.3</v>
      </c>
      <c r="C447">
        <v>860</v>
      </c>
      <c r="D447">
        <v>7</v>
      </c>
    </row>
    <row r="448" spans="1:4">
      <c r="A448" s="93" t="s">
        <v>5951</v>
      </c>
      <c r="B448">
        <v>3.2</v>
      </c>
      <c r="C448">
        <v>860</v>
      </c>
      <c r="D448">
        <v>7</v>
      </c>
    </row>
    <row r="449" spans="1:4">
      <c r="A449" s="93" t="s">
        <v>5952</v>
      </c>
      <c r="B449">
        <v>3.1</v>
      </c>
      <c r="C449">
        <v>860</v>
      </c>
      <c r="D449">
        <v>7</v>
      </c>
    </row>
    <row r="450" spans="1:4">
      <c r="A450" s="93" t="s">
        <v>5953</v>
      </c>
      <c r="B450">
        <v>3</v>
      </c>
      <c r="C450">
        <v>860</v>
      </c>
      <c r="D450">
        <v>7</v>
      </c>
    </row>
    <row r="451" spans="1:4">
      <c r="A451" s="93" t="s">
        <v>5954</v>
      </c>
      <c r="B451">
        <v>2.9</v>
      </c>
      <c r="C451">
        <v>860</v>
      </c>
      <c r="D451">
        <v>8</v>
      </c>
    </row>
    <row r="452" spans="1:4">
      <c r="A452" s="93" t="s">
        <v>5955</v>
      </c>
      <c r="B452">
        <v>2.8</v>
      </c>
      <c r="C452">
        <v>860</v>
      </c>
      <c r="D452">
        <v>8</v>
      </c>
    </row>
    <row r="453" spans="1:4">
      <c r="A453" s="93" t="s">
        <v>5956</v>
      </c>
      <c r="B453">
        <v>2.7</v>
      </c>
      <c r="C453">
        <v>860</v>
      </c>
      <c r="D453">
        <v>8</v>
      </c>
    </row>
    <row r="454" spans="1:4">
      <c r="A454" s="93" t="s">
        <v>5957</v>
      </c>
      <c r="B454">
        <v>2.6</v>
      </c>
      <c r="C454">
        <v>860</v>
      </c>
      <c r="D454">
        <v>9</v>
      </c>
    </row>
    <row r="455" spans="1:4">
      <c r="A455" s="93" t="s">
        <v>5958</v>
      </c>
      <c r="B455">
        <v>2.5</v>
      </c>
      <c r="C455">
        <v>860</v>
      </c>
      <c r="D455">
        <v>9</v>
      </c>
    </row>
    <row r="456" spans="1:4">
      <c r="A456" s="93" t="s">
        <v>5959</v>
      </c>
      <c r="B456">
        <v>2.4</v>
      </c>
      <c r="C456">
        <v>860</v>
      </c>
      <c r="D456">
        <v>9</v>
      </c>
    </row>
    <row r="457" spans="1:4">
      <c r="A457" s="93" t="s">
        <v>5960</v>
      </c>
      <c r="B457">
        <v>2.3</v>
      </c>
      <c r="C457">
        <v>860</v>
      </c>
      <c r="D457">
        <v>9</v>
      </c>
    </row>
    <row r="458" spans="1:4">
      <c r="A458" s="93" t="s">
        <v>5961</v>
      </c>
      <c r="B458">
        <v>2.2</v>
      </c>
      <c r="C458">
        <v>860</v>
      </c>
      <c r="D458">
        <v>10</v>
      </c>
    </row>
    <row r="459" spans="1:4">
      <c r="A459" s="93" t="s">
        <v>5962</v>
      </c>
      <c r="B459">
        <v>2.1</v>
      </c>
      <c r="C459">
        <v>860</v>
      </c>
      <c r="D459">
        <v>10</v>
      </c>
    </row>
    <row r="460" spans="1:4">
      <c r="A460" s="93" t="s">
        <v>5963</v>
      </c>
      <c r="B460">
        <v>2</v>
      </c>
      <c r="C460">
        <v>860</v>
      </c>
      <c r="D460">
        <v>11</v>
      </c>
    </row>
    <row r="461" spans="1:4">
      <c r="A461" s="93" t="s">
        <v>5964</v>
      </c>
      <c r="B461">
        <v>1.9</v>
      </c>
      <c r="C461">
        <v>860</v>
      </c>
      <c r="D461">
        <v>11</v>
      </c>
    </row>
    <row r="462" spans="1:4">
      <c r="A462" s="93" t="s">
        <v>5965</v>
      </c>
      <c r="B462">
        <v>1.8</v>
      </c>
      <c r="C462">
        <v>860</v>
      </c>
      <c r="D462">
        <v>11</v>
      </c>
    </row>
    <row r="463" spans="1:4">
      <c r="A463" s="93" t="s">
        <v>5966</v>
      </c>
      <c r="B463">
        <v>1.7</v>
      </c>
      <c r="C463">
        <v>860</v>
      </c>
      <c r="D463">
        <v>11</v>
      </c>
    </row>
    <row r="464" spans="1:4">
      <c r="A464" s="93" t="s">
        <v>5967</v>
      </c>
      <c r="B464">
        <v>1.6</v>
      </c>
      <c r="C464">
        <v>860</v>
      </c>
      <c r="D464">
        <v>11</v>
      </c>
    </row>
    <row r="465" spans="1:4">
      <c r="A465" s="93" t="s">
        <v>5968</v>
      </c>
      <c r="B465">
        <v>1.5</v>
      </c>
      <c r="C465">
        <v>860</v>
      </c>
      <c r="D465">
        <v>11</v>
      </c>
    </row>
    <row r="466" spans="1:4">
      <c r="A466" s="93" t="s">
        <v>5969</v>
      </c>
      <c r="B466">
        <v>4.3</v>
      </c>
      <c r="C466">
        <v>870</v>
      </c>
      <c r="D466">
        <v>4</v>
      </c>
    </row>
    <row r="467" spans="1:4">
      <c r="A467" s="93" t="s">
        <v>5970</v>
      </c>
      <c r="B467">
        <v>4.2</v>
      </c>
      <c r="C467">
        <v>870</v>
      </c>
      <c r="D467">
        <v>4</v>
      </c>
    </row>
    <row r="468" spans="1:4">
      <c r="A468" s="93" t="s">
        <v>5971</v>
      </c>
      <c r="B468">
        <v>4.1</v>
      </c>
      <c r="C468">
        <v>870</v>
      </c>
      <c r="D468">
        <v>4</v>
      </c>
    </row>
    <row r="469" spans="1:4">
      <c r="A469" s="93" t="s">
        <v>5972</v>
      </c>
      <c r="B469">
        <v>4</v>
      </c>
      <c r="C469">
        <v>870</v>
      </c>
      <c r="D469">
        <v>4</v>
      </c>
    </row>
    <row r="470" spans="1:4">
      <c r="A470" s="93" t="s">
        <v>5973</v>
      </c>
      <c r="B470">
        <v>3.9</v>
      </c>
      <c r="C470">
        <v>870</v>
      </c>
      <c r="D470">
        <v>4</v>
      </c>
    </row>
    <row r="471" spans="1:4">
      <c r="A471" s="93" t="s">
        <v>5974</v>
      </c>
      <c r="B471">
        <v>3.8</v>
      </c>
      <c r="C471">
        <v>870</v>
      </c>
      <c r="D471">
        <v>5</v>
      </c>
    </row>
    <row r="472" spans="1:4">
      <c r="A472" s="93" t="s">
        <v>5975</v>
      </c>
      <c r="B472">
        <v>3.7</v>
      </c>
      <c r="C472">
        <v>870</v>
      </c>
      <c r="D472">
        <v>5</v>
      </c>
    </row>
    <row r="473" spans="1:4">
      <c r="A473" s="93" t="s">
        <v>5976</v>
      </c>
      <c r="B473">
        <v>3.6</v>
      </c>
      <c r="C473">
        <v>870</v>
      </c>
      <c r="D473">
        <v>5</v>
      </c>
    </row>
    <row r="474" spans="1:4">
      <c r="A474" s="93" t="s">
        <v>5977</v>
      </c>
      <c r="B474">
        <v>3.5</v>
      </c>
      <c r="C474">
        <v>870</v>
      </c>
      <c r="D474">
        <v>5</v>
      </c>
    </row>
    <row r="475" spans="1:4">
      <c r="A475" s="93" t="s">
        <v>5978</v>
      </c>
      <c r="B475">
        <v>3.4</v>
      </c>
      <c r="C475">
        <v>870</v>
      </c>
      <c r="D475">
        <v>5</v>
      </c>
    </row>
    <row r="476" spans="1:4">
      <c r="A476" s="93" t="s">
        <v>5979</v>
      </c>
      <c r="B476">
        <v>3.3</v>
      </c>
      <c r="C476">
        <v>870</v>
      </c>
      <c r="D476">
        <v>7</v>
      </c>
    </row>
    <row r="477" spans="1:4">
      <c r="A477" s="93" t="s">
        <v>5980</v>
      </c>
      <c r="B477">
        <v>3.2</v>
      </c>
      <c r="C477">
        <v>870</v>
      </c>
      <c r="D477">
        <v>7</v>
      </c>
    </row>
    <row r="478" spans="1:4">
      <c r="A478" s="93" t="s">
        <v>5981</v>
      </c>
      <c r="B478">
        <v>3.1</v>
      </c>
      <c r="C478">
        <v>870</v>
      </c>
      <c r="D478">
        <v>7</v>
      </c>
    </row>
    <row r="479" spans="1:4">
      <c r="A479" s="93" t="s">
        <v>5982</v>
      </c>
      <c r="B479">
        <v>3</v>
      </c>
      <c r="C479">
        <v>870</v>
      </c>
      <c r="D479">
        <v>7</v>
      </c>
    </row>
    <row r="480" spans="1:4">
      <c r="A480" s="93" t="s">
        <v>5983</v>
      </c>
      <c r="B480">
        <v>2.9</v>
      </c>
      <c r="C480">
        <v>870</v>
      </c>
      <c r="D480">
        <v>8</v>
      </c>
    </row>
    <row r="481" spans="1:4">
      <c r="A481" s="93" t="s">
        <v>5984</v>
      </c>
      <c r="B481">
        <v>2.8</v>
      </c>
      <c r="C481">
        <v>870</v>
      </c>
      <c r="D481">
        <v>8</v>
      </c>
    </row>
    <row r="482" spans="1:4">
      <c r="A482" s="93" t="s">
        <v>5985</v>
      </c>
      <c r="B482">
        <v>2.7</v>
      </c>
      <c r="C482">
        <v>870</v>
      </c>
      <c r="D482">
        <v>8</v>
      </c>
    </row>
    <row r="483" spans="1:4">
      <c r="A483" s="93" t="s">
        <v>5986</v>
      </c>
      <c r="B483">
        <v>2.6</v>
      </c>
      <c r="C483">
        <v>870</v>
      </c>
      <c r="D483">
        <v>9</v>
      </c>
    </row>
    <row r="484" spans="1:4">
      <c r="A484" s="93" t="s">
        <v>5987</v>
      </c>
      <c r="B484">
        <v>2.5</v>
      </c>
      <c r="C484">
        <v>870</v>
      </c>
      <c r="D484">
        <v>9</v>
      </c>
    </row>
    <row r="485" spans="1:4">
      <c r="A485" s="93" t="s">
        <v>5988</v>
      </c>
      <c r="B485">
        <v>2.4</v>
      </c>
      <c r="C485">
        <v>870</v>
      </c>
      <c r="D485">
        <v>9</v>
      </c>
    </row>
    <row r="486" spans="1:4">
      <c r="A486" s="93" t="s">
        <v>5989</v>
      </c>
      <c r="B486">
        <v>2.3</v>
      </c>
      <c r="C486">
        <v>870</v>
      </c>
      <c r="D486">
        <v>9</v>
      </c>
    </row>
    <row r="487" spans="1:4">
      <c r="A487" s="93" t="s">
        <v>5990</v>
      </c>
      <c r="B487">
        <v>2.2</v>
      </c>
      <c r="C487">
        <v>870</v>
      </c>
      <c r="D487">
        <v>10</v>
      </c>
    </row>
    <row r="488" spans="1:4">
      <c r="A488" s="93" t="s">
        <v>5991</v>
      </c>
      <c r="B488">
        <v>2.1</v>
      </c>
      <c r="C488">
        <v>870</v>
      </c>
      <c r="D488">
        <v>10</v>
      </c>
    </row>
    <row r="489" spans="1:4">
      <c r="A489" s="93" t="s">
        <v>5992</v>
      </c>
      <c r="B489">
        <v>2</v>
      </c>
      <c r="C489">
        <v>870</v>
      </c>
      <c r="D489">
        <v>11</v>
      </c>
    </row>
    <row r="490" spans="1:4">
      <c r="A490" s="93" t="s">
        <v>5993</v>
      </c>
      <c r="B490">
        <v>1.9</v>
      </c>
      <c r="C490">
        <v>870</v>
      </c>
      <c r="D490">
        <v>11</v>
      </c>
    </row>
    <row r="491" spans="1:4">
      <c r="A491" s="93" t="s">
        <v>5994</v>
      </c>
      <c r="B491">
        <v>1.8</v>
      </c>
      <c r="C491">
        <v>870</v>
      </c>
      <c r="D491">
        <v>11</v>
      </c>
    </row>
    <row r="492" spans="1:4">
      <c r="A492" s="93" t="s">
        <v>5995</v>
      </c>
      <c r="B492">
        <v>1.7</v>
      </c>
      <c r="C492">
        <v>870</v>
      </c>
      <c r="D492">
        <v>11</v>
      </c>
    </row>
    <row r="493" spans="1:4">
      <c r="A493" s="93" t="s">
        <v>5996</v>
      </c>
      <c r="B493">
        <v>1.6</v>
      </c>
      <c r="C493">
        <v>870</v>
      </c>
      <c r="D493">
        <v>11</v>
      </c>
    </row>
    <row r="494" spans="1:4">
      <c r="A494" s="93" t="s">
        <v>5997</v>
      </c>
      <c r="B494">
        <v>1.5</v>
      </c>
      <c r="C494">
        <v>870</v>
      </c>
      <c r="D494">
        <v>11</v>
      </c>
    </row>
    <row r="495" spans="1:4">
      <c r="A495" s="93" t="s">
        <v>5998</v>
      </c>
      <c r="B495">
        <v>4.3</v>
      </c>
      <c r="C495">
        <v>880</v>
      </c>
      <c r="D495">
        <v>4</v>
      </c>
    </row>
    <row r="496" spans="1:4">
      <c r="A496" s="93" t="s">
        <v>5999</v>
      </c>
      <c r="B496">
        <v>4.2</v>
      </c>
      <c r="C496">
        <v>880</v>
      </c>
      <c r="D496">
        <v>4</v>
      </c>
    </row>
    <row r="497" spans="1:4">
      <c r="A497" s="93" t="s">
        <v>6000</v>
      </c>
      <c r="B497">
        <v>4.1</v>
      </c>
      <c r="C497">
        <v>880</v>
      </c>
      <c r="D497">
        <v>4</v>
      </c>
    </row>
    <row r="498" spans="1:4">
      <c r="A498" s="93" t="s">
        <v>6001</v>
      </c>
      <c r="B498">
        <v>4</v>
      </c>
      <c r="C498">
        <v>880</v>
      </c>
      <c r="D498">
        <v>4</v>
      </c>
    </row>
    <row r="499" spans="1:4">
      <c r="A499" s="93" t="s">
        <v>6002</v>
      </c>
      <c r="B499">
        <v>3.9</v>
      </c>
      <c r="C499">
        <v>880</v>
      </c>
      <c r="D499">
        <v>4</v>
      </c>
    </row>
    <row r="500" spans="1:4">
      <c r="A500" s="93" t="s">
        <v>6003</v>
      </c>
      <c r="B500">
        <v>3.8</v>
      </c>
      <c r="C500">
        <v>880</v>
      </c>
      <c r="D500">
        <v>4</v>
      </c>
    </row>
    <row r="501" spans="1:4">
      <c r="A501" s="93" t="s">
        <v>6004</v>
      </c>
      <c r="B501">
        <v>3.7</v>
      </c>
      <c r="C501">
        <v>880</v>
      </c>
      <c r="D501">
        <v>5</v>
      </c>
    </row>
    <row r="502" spans="1:4">
      <c r="A502" s="93" t="s">
        <v>6005</v>
      </c>
      <c r="B502">
        <v>3.6</v>
      </c>
      <c r="C502">
        <v>880</v>
      </c>
      <c r="D502">
        <v>5</v>
      </c>
    </row>
    <row r="503" spans="1:4">
      <c r="A503" s="93" t="s">
        <v>6006</v>
      </c>
      <c r="B503">
        <v>3.5</v>
      </c>
      <c r="C503">
        <v>880</v>
      </c>
      <c r="D503">
        <v>5</v>
      </c>
    </row>
    <row r="504" spans="1:4">
      <c r="A504" s="93" t="s">
        <v>6007</v>
      </c>
      <c r="B504">
        <v>3.4</v>
      </c>
      <c r="C504">
        <v>880</v>
      </c>
      <c r="D504">
        <v>5</v>
      </c>
    </row>
    <row r="505" spans="1:4">
      <c r="A505" s="93" t="s">
        <v>6008</v>
      </c>
      <c r="B505">
        <v>3.3</v>
      </c>
      <c r="C505">
        <v>880</v>
      </c>
      <c r="D505">
        <v>5</v>
      </c>
    </row>
    <row r="506" spans="1:4">
      <c r="A506" s="93" t="s">
        <v>6009</v>
      </c>
      <c r="B506">
        <v>3.2</v>
      </c>
      <c r="C506">
        <v>880</v>
      </c>
      <c r="D506">
        <v>6</v>
      </c>
    </row>
    <row r="507" spans="1:4">
      <c r="A507" s="93" t="s">
        <v>6010</v>
      </c>
      <c r="B507">
        <v>3.1</v>
      </c>
      <c r="C507">
        <v>880</v>
      </c>
      <c r="D507">
        <v>7</v>
      </c>
    </row>
    <row r="508" spans="1:4">
      <c r="A508" s="93" t="s">
        <v>6011</v>
      </c>
      <c r="B508">
        <v>3</v>
      </c>
      <c r="C508">
        <v>880</v>
      </c>
      <c r="D508">
        <v>7</v>
      </c>
    </row>
    <row r="509" spans="1:4">
      <c r="A509" s="93" t="s">
        <v>6012</v>
      </c>
      <c r="B509">
        <v>2.9</v>
      </c>
      <c r="C509">
        <v>880</v>
      </c>
      <c r="D509">
        <v>7</v>
      </c>
    </row>
    <row r="510" spans="1:4">
      <c r="A510" s="93" t="s">
        <v>6013</v>
      </c>
      <c r="B510">
        <v>2.8</v>
      </c>
      <c r="C510">
        <v>880</v>
      </c>
      <c r="D510">
        <v>8</v>
      </c>
    </row>
    <row r="511" spans="1:4">
      <c r="A511" s="93" t="s">
        <v>6014</v>
      </c>
      <c r="B511">
        <v>2.7</v>
      </c>
      <c r="C511">
        <v>880</v>
      </c>
      <c r="D511">
        <v>8</v>
      </c>
    </row>
    <row r="512" spans="1:4">
      <c r="A512" s="93" t="s">
        <v>6015</v>
      </c>
      <c r="B512">
        <v>2.6</v>
      </c>
      <c r="C512">
        <v>880</v>
      </c>
      <c r="D512">
        <v>8</v>
      </c>
    </row>
    <row r="513" spans="1:4">
      <c r="A513" s="93" t="s">
        <v>6016</v>
      </c>
      <c r="B513">
        <v>2.5</v>
      </c>
      <c r="C513">
        <v>880</v>
      </c>
      <c r="D513">
        <v>9</v>
      </c>
    </row>
    <row r="514" spans="1:4">
      <c r="A514" s="93" t="s">
        <v>6017</v>
      </c>
      <c r="B514">
        <v>2.4</v>
      </c>
      <c r="C514">
        <v>880</v>
      </c>
      <c r="D514">
        <v>9</v>
      </c>
    </row>
    <row r="515" spans="1:4">
      <c r="A515" s="93" t="s">
        <v>6018</v>
      </c>
      <c r="B515">
        <v>2.3</v>
      </c>
      <c r="C515">
        <v>880</v>
      </c>
      <c r="D515">
        <v>9</v>
      </c>
    </row>
    <row r="516" spans="1:4">
      <c r="A516" s="93" t="s">
        <v>6019</v>
      </c>
      <c r="B516">
        <v>2.2</v>
      </c>
      <c r="C516">
        <v>880</v>
      </c>
      <c r="D516">
        <v>9</v>
      </c>
    </row>
    <row r="517" spans="1:4">
      <c r="A517" s="93" t="s">
        <v>6020</v>
      </c>
      <c r="B517">
        <v>2.1</v>
      </c>
      <c r="C517">
        <v>880</v>
      </c>
      <c r="D517">
        <v>10</v>
      </c>
    </row>
    <row r="518" spans="1:4">
      <c r="A518" s="93" t="s">
        <v>6021</v>
      </c>
      <c r="B518">
        <v>2</v>
      </c>
      <c r="C518">
        <v>880</v>
      </c>
      <c r="D518">
        <v>10</v>
      </c>
    </row>
    <row r="519" spans="1:4">
      <c r="A519" s="93" t="s">
        <v>6022</v>
      </c>
      <c r="B519">
        <v>1.9</v>
      </c>
      <c r="C519">
        <v>880</v>
      </c>
      <c r="D519">
        <v>10</v>
      </c>
    </row>
    <row r="520" spans="1:4">
      <c r="A520" s="93" t="s">
        <v>6023</v>
      </c>
      <c r="B520">
        <v>1.8</v>
      </c>
      <c r="C520">
        <v>880</v>
      </c>
      <c r="D520">
        <v>10</v>
      </c>
    </row>
    <row r="521" spans="1:4">
      <c r="A521" s="93" t="s">
        <v>6024</v>
      </c>
      <c r="B521">
        <v>1.7</v>
      </c>
      <c r="C521">
        <v>880</v>
      </c>
      <c r="D521">
        <v>11</v>
      </c>
    </row>
    <row r="522" spans="1:4">
      <c r="A522" s="93" t="s">
        <v>6025</v>
      </c>
      <c r="B522">
        <v>1.6</v>
      </c>
      <c r="C522">
        <v>880</v>
      </c>
      <c r="D522">
        <v>11</v>
      </c>
    </row>
    <row r="523" spans="1:4">
      <c r="A523" s="93" t="s">
        <v>6026</v>
      </c>
      <c r="B523">
        <v>1.5</v>
      </c>
      <c r="C523">
        <v>880</v>
      </c>
      <c r="D523">
        <v>11</v>
      </c>
    </row>
    <row r="524" spans="1:4">
      <c r="A524" s="93" t="s">
        <v>6027</v>
      </c>
      <c r="B524">
        <v>4.3</v>
      </c>
      <c r="C524">
        <v>890</v>
      </c>
      <c r="D524">
        <v>4</v>
      </c>
    </row>
    <row r="525" spans="1:4">
      <c r="A525" s="93" t="s">
        <v>6028</v>
      </c>
      <c r="B525">
        <v>4.2</v>
      </c>
      <c r="C525">
        <v>890</v>
      </c>
      <c r="D525">
        <v>4</v>
      </c>
    </row>
    <row r="526" spans="1:4">
      <c r="A526" s="93" t="s">
        <v>6029</v>
      </c>
      <c r="B526">
        <v>4.1</v>
      </c>
      <c r="C526">
        <v>890</v>
      </c>
      <c r="D526">
        <v>4</v>
      </c>
    </row>
    <row r="527" spans="1:4">
      <c r="A527" s="93" t="s">
        <v>6030</v>
      </c>
      <c r="B527">
        <v>4</v>
      </c>
      <c r="C527">
        <v>890</v>
      </c>
      <c r="D527">
        <v>4</v>
      </c>
    </row>
    <row r="528" spans="1:4">
      <c r="A528" s="93" t="s">
        <v>6031</v>
      </c>
      <c r="B528">
        <v>3.9</v>
      </c>
      <c r="C528">
        <v>890</v>
      </c>
      <c r="D528">
        <v>4</v>
      </c>
    </row>
    <row r="529" spans="1:4">
      <c r="A529" s="93" t="s">
        <v>6032</v>
      </c>
      <c r="B529">
        <v>3.8</v>
      </c>
      <c r="C529">
        <v>890</v>
      </c>
      <c r="D529">
        <v>4</v>
      </c>
    </row>
    <row r="530" spans="1:4">
      <c r="A530" s="93" t="s">
        <v>6033</v>
      </c>
      <c r="B530">
        <v>3.7</v>
      </c>
      <c r="C530">
        <v>890</v>
      </c>
      <c r="D530">
        <v>5</v>
      </c>
    </row>
    <row r="531" spans="1:4">
      <c r="A531" s="93" t="s">
        <v>6034</v>
      </c>
      <c r="B531">
        <v>3.6</v>
      </c>
      <c r="C531">
        <v>890</v>
      </c>
      <c r="D531">
        <v>5</v>
      </c>
    </row>
    <row r="532" spans="1:4">
      <c r="A532" s="93" t="s">
        <v>6035</v>
      </c>
      <c r="B532">
        <v>3.5</v>
      </c>
      <c r="C532">
        <v>890</v>
      </c>
      <c r="D532">
        <v>5</v>
      </c>
    </row>
    <row r="533" spans="1:4">
      <c r="A533" s="93" t="s">
        <v>6036</v>
      </c>
      <c r="B533">
        <v>3.4</v>
      </c>
      <c r="C533">
        <v>890</v>
      </c>
      <c r="D533">
        <v>5</v>
      </c>
    </row>
    <row r="534" spans="1:4">
      <c r="A534" s="93" t="s">
        <v>6037</v>
      </c>
      <c r="B534">
        <v>3.3</v>
      </c>
      <c r="C534">
        <v>890</v>
      </c>
      <c r="D534">
        <v>5</v>
      </c>
    </row>
    <row r="535" spans="1:4">
      <c r="A535" s="93" t="s">
        <v>6038</v>
      </c>
      <c r="B535">
        <v>3.2</v>
      </c>
      <c r="C535">
        <v>890</v>
      </c>
      <c r="D535">
        <v>6</v>
      </c>
    </row>
    <row r="536" spans="1:4">
      <c r="A536" s="93" t="s">
        <v>6039</v>
      </c>
      <c r="B536">
        <v>3.1</v>
      </c>
      <c r="C536">
        <v>890</v>
      </c>
      <c r="D536">
        <v>7</v>
      </c>
    </row>
    <row r="537" spans="1:4">
      <c r="A537" s="93" t="s">
        <v>6040</v>
      </c>
      <c r="B537">
        <v>3</v>
      </c>
      <c r="C537">
        <v>890</v>
      </c>
      <c r="D537">
        <v>7</v>
      </c>
    </row>
    <row r="538" spans="1:4">
      <c r="A538" s="93" t="s">
        <v>6041</v>
      </c>
      <c r="B538">
        <v>2.9</v>
      </c>
      <c r="C538">
        <v>890</v>
      </c>
      <c r="D538">
        <v>7</v>
      </c>
    </row>
    <row r="539" spans="1:4">
      <c r="A539" s="93" t="s">
        <v>6042</v>
      </c>
      <c r="B539">
        <v>2.8</v>
      </c>
      <c r="C539">
        <v>890</v>
      </c>
      <c r="D539">
        <v>8</v>
      </c>
    </row>
    <row r="540" spans="1:4">
      <c r="A540" s="93" t="s">
        <v>6043</v>
      </c>
      <c r="B540">
        <v>2.7</v>
      </c>
      <c r="C540">
        <v>890</v>
      </c>
      <c r="D540">
        <v>8</v>
      </c>
    </row>
    <row r="541" spans="1:4">
      <c r="A541" s="93" t="s">
        <v>6044</v>
      </c>
      <c r="B541">
        <v>2.6</v>
      </c>
      <c r="C541">
        <v>890</v>
      </c>
      <c r="D541">
        <v>8</v>
      </c>
    </row>
    <row r="542" spans="1:4">
      <c r="A542" s="93" t="s">
        <v>6045</v>
      </c>
      <c r="B542">
        <v>2.5</v>
      </c>
      <c r="C542">
        <v>890</v>
      </c>
      <c r="D542">
        <v>9</v>
      </c>
    </row>
    <row r="543" spans="1:4">
      <c r="A543" s="93" t="s">
        <v>6046</v>
      </c>
      <c r="B543">
        <v>2.4</v>
      </c>
      <c r="C543">
        <v>890</v>
      </c>
      <c r="D543">
        <v>9</v>
      </c>
    </row>
    <row r="544" spans="1:4">
      <c r="A544" s="93" t="s">
        <v>6047</v>
      </c>
      <c r="B544">
        <v>2.3</v>
      </c>
      <c r="C544">
        <v>890</v>
      </c>
      <c r="D544">
        <v>9</v>
      </c>
    </row>
    <row r="545" spans="1:4">
      <c r="A545" s="93" t="s">
        <v>6048</v>
      </c>
      <c r="B545">
        <v>2.2</v>
      </c>
      <c r="C545">
        <v>890</v>
      </c>
      <c r="D545">
        <v>9</v>
      </c>
    </row>
    <row r="546" spans="1:4">
      <c r="A546" s="93" t="s">
        <v>6049</v>
      </c>
      <c r="B546">
        <v>2.1</v>
      </c>
      <c r="C546">
        <v>890</v>
      </c>
      <c r="D546">
        <v>10</v>
      </c>
    </row>
    <row r="547" spans="1:4">
      <c r="A547" s="93" t="s">
        <v>6050</v>
      </c>
      <c r="B547">
        <v>2</v>
      </c>
      <c r="C547">
        <v>890</v>
      </c>
      <c r="D547">
        <v>10</v>
      </c>
    </row>
    <row r="548" spans="1:4">
      <c r="A548" s="93" t="s">
        <v>6051</v>
      </c>
      <c r="B548">
        <v>1.9</v>
      </c>
      <c r="C548">
        <v>890</v>
      </c>
      <c r="D548">
        <v>10</v>
      </c>
    </row>
    <row r="549" spans="1:4">
      <c r="A549" s="93" t="s">
        <v>6052</v>
      </c>
      <c r="B549">
        <v>1.8</v>
      </c>
      <c r="C549">
        <v>890</v>
      </c>
      <c r="D549">
        <v>10</v>
      </c>
    </row>
    <row r="550" spans="1:4">
      <c r="A550" s="93" t="s">
        <v>6053</v>
      </c>
      <c r="B550">
        <v>1.7</v>
      </c>
      <c r="C550">
        <v>890</v>
      </c>
      <c r="D550">
        <v>11</v>
      </c>
    </row>
    <row r="551" spans="1:4">
      <c r="A551" s="93" t="s">
        <v>6054</v>
      </c>
      <c r="B551">
        <v>1.6</v>
      </c>
      <c r="C551">
        <v>890</v>
      </c>
      <c r="D551">
        <v>11</v>
      </c>
    </row>
    <row r="552" spans="1:4">
      <c r="A552" s="93" t="s">
        <v>6055</v>
      </c>
      <c r="B552">
        <v>1.5</v>
      </c>
      <c r="C552">
        <v>890</v>
      </c>
      <c r="D552">
        <v>11</v>
      </c>
    </row>
    <row r="553" spans="1:4">
      <c r="A553" s="93" t="s">
        <v>6056</v>
      </c>
      <c r="B553">
        <v>4.3</v>
      </c>
      <c r="C553">
        <v>900</v>
      </c>
      <c r="D553">
        <v>4</v>
      </c>
    </row>
    <row r="554" spans="1:4">
      <c r="A554" s="93" t="s">
        <v>6057</v>
      </c>
      <c r="B554">
        <v>4.2</v>
      </c>
      <c r="C554">
        <v>900</v>
      </c>
      <c r="D554">
        <v>4</v>
      </c>
    </row>
    <row r="555" spans="1:4">
      <c r="A555" s="93" t="s">
        <v>6058</v>
      </c>
      <c r="B555">
        <v>4.1</v>
      </c>
      <c r="C555">
        <v>900</v>
      </c>
      <c r="D555">
        <v>4</v>
      </c>
    </row>
    <row r="556" spans="1:4">
      <c r="A556" s="93" t="s">
        <v>6059</v>
      </c>
      <c r="B556">
        <v>4</v>
      </c>
      <c r="C556">
        <v>900</v>
      </c>
      <c r="D556">
        <v>4</v>
      </c>
    </row>
    <row r="557" spans="1:4">
      <c r="A557" s="93" t="s">
        <v>6060</v>
      </c>
      <c r="B557">
        <v>3.9</v>
      </c>
      <c r="C557">
        <v>900</v>
      </c>
      <c r="D557">
        <v>4</v>
      </c>
    </row>
    <row r="558" spans="1:4">
      <c r="A558" s="93" t="s">
        <v>6061</v>
      </c>
      <c r="B558">
        <v>3.8</v>
      </c>
      <c r="C558">
        <v>900</v>
      </c>
      <c r="D558">
        <v>4</v>
      </c>
    </row>
    <row r="559" spans="1:4">
      <c r="A559" s="93" t="s">
        <v>6062</v>
      </c>
      <c r="B559">
        <v>3.7</v>
      </c>
      <c r="C559">
        <v>900</v>
      </c>
      <c r="D559">
        <v>5</v>
      </c>
    </row>
    <row r="560" spans="1:4">
      <c r="A560" s="93" t="s">
        <v>6063</v>
      </c>
      <c r="B560">
        <v>3.6</v>
      </c>
      <c r="C560">
        <v>900</v>
      </c>
      <c r="D560">
        <v>5</v>
      </c>
    </row>
    <row r="561" spans="1:4">
      <c r="A561" s="93" t="s">
        <v>6064</v>
      </c>
      <c r="B561">
        <v>3.5</v>
      </c>
      <c r="C561">
        <v>900</v>
      </c>
      <c r="D561">
        <v>5</v>
      </c>
    </row>
    <row r="562" spans="1:4">
      <c r="A562" s="93" t="s">
        <v>6065</v>
      </c>
      <c r="B562">
        <v>3.4</v>
      </c>
      <c r="C562">
        <v>900</v>
      </c>
      <c r="D562">
        <v>5</v>
      </c>
    </row>
    <row r="563" spans="1:4">
      <c r="A563" s="93" t="s">
        <v>6066</v>
      </c>
      <c r="B563">
        <v>3.3</v>
      </c>
      <c r="C563">
        <v>900</v>
      </c>
      <c r="D563">
        <v>5</v>
      </c>
    </row>
    <row r="564" spans="1:4">
      <c r="A564" s="93" t="s">
        <v>6067</v>
      </c>
      <c r="B564">
        <v>3.2</v>
      </c>
      <c r="C564">
        <v>900</v>
      </c>
      <c r="D564">
        <v>6</v>
      </c>
    </row>
    <row r="565" spans="1:4">
      <c r="A565" s="93" t="s">
        <v>6068</v>
      </c>
      <c r="B565">
        <v>3.1</v>
      </c>
      <c r="C565">
        <v>900</v>
      </c>
      <c r="D565">
        <v>7</v>
      </c>
    </row>
    <row r="566" spans="1:4">
      <c r="A566" s="93" t="s">
        <v>6069</v>
      </c>
      <c r="B566">
        <v>3</v>
      </c>
      <c r="C566">
        <v>900</v>
      </c>
      <c r="D566">
        <v>7</v>
      </c>
    </row>
    <row r="567" spans="1:4">
      <c r="A567" s="93" t="s">
        <v>6070</v>
      </c>
      <c r="B567">
        <v>2.9</v>
      </c>
      <c r="C567">
        <v>900</v>
      </c>
      <c r="D567">
        <v>7</v>
      </c>
    </row>
    <row r="568" spans="1:4">
      <c r="A568" s="93" t="s">
        <v>6071</v>
      </c>
      <c r="B568">
        <v>2.8</v>
      </c>
      <c r="C568">
        <v>900</v>
      </c>
      <c r="D568">
        <v>8</v>
      </c>
    </row>
    <row r="569" spans="1:4">
      <c r="A569" s="93" t="s">
        <v>6072</v>
      </c>
      <c r="B569">
        <v>2.7</v>
      </c>
      <c r="C569">
        <v>900</v>
      </c>
      <c r="D569">
        <v>8</v>
      </c>
    </row>
    <row r="570" spans="1:4">
      <c r="A570" s="93" t="s">
        <v>6073</v>
      </c>
      <c r="B570">
        <v>2.6</v>
      </c>
      <c r="C570">
        <v>900</v>
      </c>
      <c r="D570">
        <v>8</v>
      </c>
    </row>
    <row r="571" spans="1:4">
      <c r="A571" s="93" t="s">
        <v>6074</v>
      </c>
      <c r="B571">
        <v>2.5</v>
      </c>
      <c r="C571">
        <v>900</v>
      </c>
      <c r="D571">
        <v>9</v>
      </c>
    </row>
    <row r="572" spans="1:4">
      <c r="A572" s="93" t="s">
        <v>6075</v>
      </c>
      <c r="B572">
        <v>2.4</v>
      </c>
      <c r="C572">
        <v>900</v>
      </c>
      <c r="D572">
        <v>9</v>
      </c>
    </row>
    <row r="573" spans="1:4">
      <c r="A573" s="93" t="s">
        <v>6076</v>
      </c>
      <c r="B573">
        <v>2.3</v>
      </c>
      <c r="C573">
        <v>900</v>
      </c>
      <c r="D573">
        <v>9</v>
      </c>
    </row>
    <row r="574" spans="1:4">
      <c r="A574" s="93" t="s">
        <v>6077</v>
      </c>
      <c r="B574">
        <v>2.2</v>
      </c>
      <c r="C574">
        <v>900</v>
      </c>
      <c r="D574">
        <v>9</v>
      </c>
    </row>
    <row r="575" spans="1:4">
      <c r="A575" s="93" t="s">
        <v>6078</v>
      </c>
      <c r="B575">
        <v>2.1</v>
      </c>
      <c r="C575">
        <v>900</v>
      </c>
      <c r="D575">
        <v>10</v>
      </c>
    </row>
    <row r="576" spans="1:4">
      <c r="A576" s="93" t="s">
        <v>6079</v>
      </c>
      <c r="B576">
        <v>2</v>
      </c>
      <c r="C576">
        <v>900</v>
      </c>
      <c r="D576">
        <v>10</v>
      </c>
    </row>
    <row r="577" spans="1:4">
      <c r="A577" s="93" t="s">
        <v>6080</v>
      </c>
      <c r="B577">
        <v>1.9</v>
      </c>
      <c r="C577">
        <v>900</v>
      </c>
      <c r="D577">
        <v>10</v>
      </c>
    </row>
    <row r="578" spans="1:4">
      <c r="A578" s="93" t="s">
        <v>6081</v>
      </c>
      <c r="B578">
        <v>1.8</v>
      </c>
      <c r="C578">
        <v>900</v>
      </c>
      <c r="D578">
        <v>10</v>
      </c>
    </row>
    <row r="579" spans="1:4">
      <c r="A579" s="93" t="s">
        <v>6082</v>
      </c>
      <c r="B579">
        <v>1.7</v>
      </c>
      <c r="C579">
        <v>900</v>
      </c>
      <c r="D579">
        <v>11</v>
      </c>
    </row>
    <row r="580" spans="1:4">
      <c r="A580" s="93" t="s">
        <v>6083</v>
      </c>
      <c r="B580">
        <v>1.6</v>
      </c>
      <c r="C580">
        <v>900</v>
      </c>
      <c r="D580">
        <v>11</v>
      </c>
    </row>
    <row r="581" spans="1:4">
      <c r="A581" s="93" t="s">
        <v>6084</v>
      </c>
      <c r="B581">
        <v>1.5</v>
      </c>
      <c r="C581">
        <v>900</v>
      </c>
      <c r="D581">
        <v>11</v>
      </c>
    </row>
    <row r="582" spans="1:4">
      <c r="A582" s="93" t="s">
        <v>6085</v>
      </c>
      <c r="B582">
        <v>4.3</v>
      </c>
      <c r="C582">
        <v>910</v>
      </c>
      <c r="D582">
        <v>4</v>
      </c>
    </row>
    <row r="583" spans="1:4">
      <c r="A583" s="93" t="s">
        <v>6086</v>
      </c>
      <c r="B583">
        <v>4.2</v>
      </c>
      <c r="C583">
        <v>910</v>
      </c>
      <c r="D583">
        <v>4</v>
      </c>
    </row>
    <row r="584" spans="1:4">
      <c r="A584" s="93" t="s">
        <v>6087</v>
      </c>
      <c r="B584">
        <v>4.1</v>
      </c>
      <c r="C584">
        <v>910</v>
      </c>
      <c r="D584">
        <v>4</v>
      </c>
    </row>
    <row r="585" spans="1:4">
      <c r="A585" s="93" t="s">
        <v>6088</v>
      </c>
      <c r="B585">
        <v>4</v>
      </c>
      <c r="C585">
        <v>910</v>
      </c>
      <c r="D585">
        <v>4</v>
      </c>
    </row>
    <row r="586" spans="1:4">
      <c r="A586" s="93" t="s">
        <v>6089</v>
      </c>
      <c r="B586">
        <v>3.9</v>
      </c>
      <c r="C586">
        <v>910</v>
      </c>
      <c r="D586">
        <v>4</v>
      </c>
    </row>
    <row r="587" spans="1:4">
      <c r="A587" s="93" t="s">
        <v>6090</v>
      </c>
      <c r="B587">
        <v>3.8</v>
      </c>
      <c r="C587">
        <v>910</v>
      </c>
      <c r="D587">
        <v>4</v>
      </c>
    </row>
    <row r="588" spans="1:4">
      <c r="A588" s="93" t="s">
        <v>6091</v>
      </c>
      <c r="B588">
        <v>3.7</v>
      </c>
      <c r="C588">
        <v>910</v>
      </c>
      <c r="D588">
        <v>5</v>
      </c>
    </row>
    <row r="589" spans="1:4">
      <c r="A589" s="93" t="s">
        <v>6092</v>
      </c>
      <c r="B589">
        <v>3.6</v>
      </c>
      <c r="C589">
        <v>910</v>
      </c>
      <c r="D589">
        <v>5</v>
      </c>
    </row>
    <row r="590" spans="1:4">
      <c r="A590" s="93" t="s">
        <v>6093</v>
      </c>
      <c r="B590">
        <v>3.5</v>
      </c>
      <c r="C590">
        <v>910</v>
      </c>
      <c r="D590">
        <v>5</v>
      </c>
    </row>
    <row r="591" spans="1:4">
      <c r="A591" s="93" t="s">
        <v>6094</v>
      </c>
      <c r="B591">
        <v>3.4</v>
      </c>
      <c r="C591">
        <v>910</v>
      </c>
      <c r="D591">
        <v>5</v>
      </c>
    </row>
    <row r="592" spans="1:4">
      <c r="A592" s="93" t="s">
        <v>6095</v>
      </c>
      <c r="B592">
        <v>3.3</v>
      </c>
      <c r="C592">
        <v>910</v>
      </c>
      <c r="D592">
        <v>5</v>
      </c>
    </row>
    <row r="593" spans="1:4">
      <c r="A593" s="93" t="s">
        <v>6096</v>
      </c>
      <c r="B593">
        <v>3.2</v>
      </c>
      <c r="C593">
        <v>910</v>
      </c>
      <c r="D593">
        <v>6</v>
      </c>
    </row>
    <row r="594" spans="1:4">
      <c r="A594" s="93" t="s">
        <v>6097</v>
      </c>
      <c r="B594">
        <v>3.1</v>
      </c>
      <c r="C594">
        <v>910</v>
      </c>
      <c r="D594">
        <v>7</v>
      </c>
    </row>
    <row r="595" spans="1:4">
      <c r="A595" s="93" t="s">
        <v>6098</v>
      </c>
      <c r="B595">
        <v>3</v>
      </c>
      <c r="C595">
        <v>910</v>
      </c>
      <c r="D595">
        <v>7</v>
      </c>
    </row>
    <row r="596" spans="1:4">
      <c r="A596" s="93" t="s">
        <v>6099</v>
      </c>
      <c r="B596">
        <v>2.9</v>
      </c>
      <c r="C596">
        <v>910</v>
      </c>
      <c r="D596">
        <v>7</v>
      </c>
    </row>
    <row r="597" spans="1:4">
      <c r="A597" s="93" t="s">
        <v>6100</v>
      </c>
      <c r="B597">
        <v>2.8</v>
      </c>
      <c r="C597">
        <v>910</v>
      </c>
      <c r="D597">
        <v>8</v>
      </c>
    </row>
    <row r="598" spans="1:4">
      <c r="A598" s="93" t="s">
        <v>6101</v>
      </c>
      <c r="B598">
        <v>2.7</v>
      </c>
      <c r="C598">
        <v>910</v>
      </c>
      <c r="D598">
        <v>8</v>
      </c>
    </row>
    <row r="599" spans="1:4">
      <c r="A599" s="93" t="s">
        <v>6102</v>
      </c>
      <c r="B599">
        <v>2.6</v>
      </c>
      <c r="C599">
        <v>910</v>
      </c>
      <c r="D599">
        <v>8</v>
      </c>
    </row>
    <row r="600" spans="1:4">
      <c r="A600" s="93" t="s">
        <v>6103</v>
      </c>
      <c r="B600">
        <v>2.5</v>
      </c>
      <c r="C600">
        <v>910</v>
      </c>
      <c r="D600">
        <v>9</v>
      </c>
    </row>
    <row r="601" spans="1:4">
      <c r="A601" s="93" t="s">
        <v>6104</v>
      </c>
      <c r="B601">
        <v>2.4</v>
      </c>
      <c r="C601">
        <v>910</v>
      </c>
      <c r="D601">
        <v>9</v>
      </c>
    </row>
    <row r="602" spans="1:4">
      <c r="A602" s="93" t="s">
        <v>6105</v>
      </c>
      <c r="B602">
        <v>2.3</v>
      </c>
      <c r="C602">
        <v>910</v>
      </c>
      <c r="D602">
        <v>9</v>
      </c>
    </row>
    <row r="603" spans="1:4">
      <c r="A603" s="93" t="s">
        <v>6106</v>
      </c>
      <c r="B603">
        <v>2.2</v>
      </c>
      <c r="C603">
        <v>910</v>
      </c>
      <c r="D603">
        <v>9</v>
      </c>
    </row>
    <row r="604" spans="1:4">
      <c r="A604" s="93" t="s">
        <v>6107</v>
      </c>
      <c r="B604">
        <v>2.1</v>
      </c>
      <c r="C604">
        <v>910</v>
      </c>
      <c r="D604">
        <v>10</v>
      </c>
    </row>
    <row r="605" spans="1:4">
      <c r="A605" s="93" t="s">
        <v>6108</v>
      </c>
      <c r="B605">
        <v>2</v>
      </c>
      <c r="C605">
        <v>910</v>
      </c>
      <c r="D605">
        <v>10</v>
      </c>
    </row>
    <row r="606" spans="1:4">
      <c r="A606" s="93" t="s">
        <v>6109</v>
      </c>
      <c r="B606">
        <v>1.9</v>
      </c>
      <c r="C606">
        <v>910</v>
      </c>
      <c r="D606">
        <v>10</v>
      </c>
    </row>
    <row r="607" spans="1:4">
      <c r="A607" s="93" t="s">
        <v>6110</v>
      </c>
      <c r="B607">
        <v>1.8</v>
      </c>
      <c r="C607">
        <v>910</v>
      </c>
      <c r="D607">
        <v>10</v>
      </c>
    </row>
    <row r="608" spans="1:4">
      <c r="A608" s="93" t="s">
        <v>6111</v>
      </c>
      <c r="B608">
        <v>1.7</v>
      </c>
      <c r="C608">
        <v>910</v>
      </c>
      <c r="D608">
        <v>11</v>
      </c>
    </row>
    <row r="609" spans="1:4">
      <c r="A609" s="93" t="s">
        <v>6112</v>
      </c>
      <c r="B609">
        <v>1.6</v>
      </c>
      <c r="C609">
        <v>910</v>
      </c>
      <c r="D609">
        <v>11</v>
      </c>
    </row>
    <row r="610" spans="1:4">
      <c r="A610" s="93" t="s">
        <v>6113</v>
      </c>
      <c r="B610">
        <v>1.5</v>
      </c>
      <c r="C610">
        <v>910</v>
      </c>
      <c r="D610">
        <v>11</v>
      </c>
    </row>
    <row r="611" spans="1:4">
      <c r="A611" s="93" t="s">
        <v>6114</v>
      </c>
      <c r="B611">
        <v>4.3</v>
      </c>
      <c r="C611">
        <v>920</v>
      </c>
      <c r="D611">
        <v>4</v>
      </c>
    </row>
    <row r="612" spans="1:4">
      <c r="A612" s="93" t="s">
        <v>6115</v>
      </c>
      <c r="B612">
        <v>4.2</v>
      </c>
      <c r="C612">
        <v>920</v>
      </c>
      <c r="D612">
        <v>4</v>
      </c>
    </row>
    <row r="613" spans="1:4">
      <c r="A613" s="93" t="s">
        <v>6116</v>
      </c>
      <c r="B613">
        <v>4.1</v>
      </c>
      <c r="C613">
        <v>920</v>
      </c>
      <c r="D613">
        <v>4</v>
      </c>
    </row>
    <row r="614" spans="1:4">
      <c r="A614" s="93" t="s">
        <v>6117</v>
      </c>
      <c r="B614">
        <v>4</v>
      </c>
      <c r="C614">
        <v>920</v>
      </c>
      <c r="D614">
        <v>4</v>
      </c>
    </row>
    <row r="615" spans="1:4">
      <c r="A615" s="93" t="s">
        <v>6118</v>
      </c>
      <c r="B615">
        <v>3.9</v>
      </c>
      <c r="C615">
        <v>920</v>
      </c>
      <c r="D615">
        <v>4</v>
      </c>
    </row>
    <row r="616" spans="1:4">
      <c r="A616" s="93" t="s">
        <v>6119</v>
      </c>
      <c r="B616">
        <v>3.8</v>
      </c>
      <c r="C616">
        <v>920</v>
      </c>
      <c r="D616">
        <v>4</v>
      </c>
    </row>
    <row r="617" spans="1:4">
      <c r="A617" s="93" t="s">
        <v>6120</v>
      </c>
      <c r="B617">
        <v>3.7</v>
      </c>
      <c r="C617">
        <v>920</v>
      </c>
      <c r="D617">
        <v>4</v>
      </c>
    </row>
    <row r="618" spans="1:4">
      <c r="A618" s="93" t="s">
        <v>6121</v>
      </c>
      <c r="B618">
        <v>3.6</v>
      </c>
      <c r="C618">
        <v>920</v>
      </c>
      <c r="D618">
        <v>5</v>
      </c>
    </row>
    <row r="619" spans="1:4">
      <c r="A619" s="93" t="s">
        <v>6122</v>
      </c>
      <c r="B619">
        <v>3.5</v>
      </c>
      <c r="C619">
        <v>920</v>
      </c>
      <c r="D619">
        <v>5</v>
      </c>
    </row>
    <row r="620" spans="1:4">
      <c r="A620" s="93" t="s">
        <v>6123</v>
      </c>
      <c r="B620">
        <v>3.4</v>
      </c>
      <c r="C620">
        <v>920</v>
      </c>
      <c r="D620">
        <v>5</v>
      </c>
    </row>
    <row r="621" spans="1:4">
      <c r="A621" s="93" t="s">
        <v>6124</v>
      </c>
      <c r="B621">
        <v>3.3</v>
      </c>
      <c r="C621">
        <v>920</v>
      </c>
      <c r="D621">
        <v>5</v>
      </c>
    </row>
    <row r="622" spans="1:4">
      <c r="A622" s="93" t="s">
        <v>6125</v>
      </c>
      <c r="B622">
        <v>3.2</v>
      </c>
      <c r="C622">
        <v>920</v>
      </c>
      <c r="D622">
        <v>6</v>
      </c>
    </row>
    <row r="623" spans="1:4">
      <c r="A623" s="93" t="s">
        <v>6126</v>
      </c>
      <c r="B623">
        <v>3.1</v>
      </c>
      <c r="C623">
        <v>920</v>
      </c>
      <c r="D623">
        <v>6</v>
      </c>
    </row>
    <row r="624" spans="1:4">
      <c r="A624" s="93" t="s">
        <v>6127</v>
      </c>
      <c r="B624">
        <v>3</v>
      </c>
      <c r="C624">
        <v>920</v>
      </c>
      <c r="D624">
        <v>7</v>
      </c>
    </row>
    <row r="625" spans="1:4">
      <c r="A625" s="93" t="s">
        <v>6128</v>
      </c>
      <c r="B625">
        <v>2.9</v>
      </c>
      <c r="C625">
        <v>920</v>
      </c>
      <c r="D625">
        <v>7</v>
      </c>
    </row>
    <row r="626" spans="1:4">
      <c r="A626" s="93" t="s">
        <v>6129</v>
      </c>
      <c r="B626">
        <v>2.8</v>
      </c>
      <c r="C626">
        <v>920</v>
      </c>
      <c r="D626">
        <v>7</v>
      </c>
    </row>
    <row r="627" spans="1:4">
      <c r="A627" s="93" t="s">
        <v>6130</v>
      </c>
      <c r="B627">
        <v>2.7</v>
      </c>
      <c r="C627">
        <v>920</v>
      </c>
      <c r="D627">
        <v>7</v>
      </c>
    </row>
    <row r="628" spans="1:4">
      <c r="A628" s="93" t="s">
        <v>6131</v>
      </c>
      <c r="B628">
        <v>2.6</v>
      </c>
      <c r="C628">
        <v>920</v>
      </c>
      <c r="D628">
        <v>8</v>
      </c>
    </row>
    <row r="629" spans="1:4">
      <c r="A629" s="93" t="s">
        <v>6132</v>
      </c>
      <c r="B629">
        <v>2.5</v>
      </c>
      <c r="C629">
        <v>920</v>
      </c>
      <c r="D629">
        <v>8</v>
      </c>
    </row>
    <row r="630" spans="1:4">
      <c r="A630" s="93" t="s">
        <v>6133</v>
      </c>
      <c r="B630">
        <v>2.4</v>
      </c>
      <c r="C630">
        <v>920</v>
      </c>
      <c r="D630">
        <v>8</v>
      </c>
    </row>
    <row r="631" spans="1:4">
      <c r="A631" s="93" t="s">
        <v>6134</v>
      </c>
      <c r="B631">
        <v>2.3</v>
      </c>
      <c r="C631">
        <v>920</v>
      </c>
      <c r="D631">
        <v>9</v>
      </c>
    </row>
    <row r="632" spans="1:4">
      <c r="A632" s="93" t="s">
        <v>6135</v>
      </c>
      <c r="B632">
        <v>2.2</v>
      </c>
      <c r="C632">
        <v>920</v>
      </c>
      <c r="D632">
        <v>9</v>
      </c>
    </row>
    <row r="633" spans="1:4">
      <c r="A633" s="93" t="s">
        <v>6136</v>
      </c>
      <c r="B633">
        <v>2.1</v>
      </c>
      <c r="C633">
        <v>920</v>
      </c>
      <c r="D633">
        <v>9</v>
      </c>
    </row>
    <row r="634" spans="1:4">
      <c r="A634" s="93" t="s">
        <v>6137</v>
      </c>
      <c r="B634">
        <v>2</v>
      </c>
      <c r="C634">
        <v>920</v>
      </c>
      <c r="D634">
        <v>9</v>
      </c>
    </row>
    <row r="635" spans="1:4">
      <c r="A635" s="93" t="s">
        <v>6138</v>
      </c>
      <c r="B635">
        <v>1.9</v>
      </c>
      <c r="C635">
        <v>920</v>
      </c>
      <c r="D635">
        <v>10</v>
      </c>
    </row>
    <row r="636" spans="1:4">
      <c r="A636" s="93" t="s">
        <v>6139</v>
      </c>
      <c r="B636">
        <v>1.8</v>
      </c>
      <c r="C636">
        <v>920</v>
      </c>
      <c r="D636">
        <v>10</v>
      </c>
    </row>
    <row r="637" spans="1:4">
      <c r="A637" s="93" t="s">
        <v>6140</v>
      </c>
      <c r="B637">
        <v>1.7</v>
      </c>
      <c r="C637">
        <v>920</v>
      </c>
      <c r="D637">
        <v>10</v>
      </c>
    </row>
    <row r="638" spans="1:4">
      <c r="A638" s="93" t="s">
        <v>6141</v>
      </c>
      <c r="B638">
        <v>1.6</v>
      </c>
      <c r="C638">
        <v>920</v>
      </c>
      <c r="D638">
        <v>10</v>
      </c>
    </row>
    <row r="639" spans="1:4">
      <c r="A639" s="93" t="s">
        <v>6142</v>
      </c>
      <c r="B639">
        <v>1.5</v>
      </c>
      <c r="C639">
        <v>920</v>
      </c>
      <c r="D639">
        <v>11</v>
      </c>
    </row>
    <row r="640" spans="1:4">
      <c r="A640" s="93" t="s">
        <v>6143</v>
      </c>
      <c r="B640">
        <v>4.3</v>
      </c>
      <c r="C640">
        <v>930</v>
      </c>
      <c r="D640">
        <v>4</v>
      </c>
    </row>
    <row r="641" spans="1:4">
      <c r="A641" s="93" t="s">
        <v>6144</v>
      </c>
      <c r="B641">
        <v>4.2</v>
      </c>
      <c r="C641">
        <v>930</v>
      </c>
      <c r="D641">
        <v>4</v>
      </c>
    </row>
    <row r="642" spans="1:4">
      <c r="A642" s="93" t="s">
        <v>6145</v>
      </c>
      <c r="B642">
        <v>4.1</v>
      </c>
      <c r="C642">
        <v>930</v>
      </c>
      <c r="D642">
        <v>4</v>
      </c>
    </row>
    <row r="643" spans="1:4">
      <c r="A643" s="93" t="s">
        <v>6146</v>
      </c>
      <c r="B643">
        <v>4</v>
      </c>
      <c r="C643">
        <v>930</v>
      </c>
      <c r="D643">
        <v>4</v>
      </c>
    </row>
    <row r="644" spans="1:4">
      <c r="A644" s="93" t="s">
        <v>6147</v>
      </c>
      <c r="B644">
        <v>3.9</v>
      </c>
      <c r="C644">
        <v>930</v>
      </c>
      <c r="D644">
        <v>4</v>
      </c>
    </row>
    <row r="645" spans="1:4">
      <c r="A645" s="93" t="s">
        <v>6148</v>
      </c>
      <c r="B645">
        <v>3.8</v>
      </c>
      <c r="C645">
        <v>930</v>
      </c>
      <c r="D645">
        <v>4</v>
      </c>
    </row>
    <row r="646" spans="1:4">
      <c r="A646" s="93" t="s">
        <v>6149</v>
      </c>
      <c r="B646">
        <v>3.7</v>
      </c>
      <c r="C646">
        <v>930</v>
      </c>
      <c r="D646">
        <v>4</v>
      </c>
    </row>
    <row r="647" spans="1:4">
      <c r="A647" s="93" t="s">
        <v>6150</v>
      </c>
      <c r="B647">
        <v>3.6</v>
      </c>
      <c r="C647">
        <v>930</v>
      </c>
      <c r="D647">
        <v>5</v>
      </c>
    </row>
    <row r="648" spans="1:4">
      <c r="A648" s="93" t="s">
        <v>6151</v>
      </c>
      <c r="B648">
        <v>3.5</v>
      </c>
      <c r="C648">
        <v>930</v>
      </c>
      <c r="D648">
        <v>5</v>
      </c>
    </row>
    <row r="649" spans="1:4">
      <c r="A649" s="93" t="s">
        <v>6152</v>
      </c>
      <c r="B649">
        <v>3.4</v>
      </c>
      <c r="C649">
        <v>930</v>
      </c>
      <c r="D649">
        <v>5</v>
      </c>
    </row>
    <row r="650" spans="1:4">
      <c r="A650" s="93" t="s">
        <v>6153</v>
      </c>
      <c r="B650">
        <v>3.3</v>
      </c>
      <c r="C650">
        <v>930</v>
      </c>
      <c r="D650">
        <v>5</v>
      </c>
    </row>
    <row r="651" spans="1:4">
      <c r="A651" s="93" t="s">
        <v>6154</v>
      </c>
      <c r="B651">
        <v>3.2</v>
      </c>
      <c r="C651">
        <v>930</v>
      </c>
      <c r="D651">
        <v>6</v>
      </c>
    </row>
    <row r="652" spans="1:4">
      <c r="A652" s="93" t="s">
        <v>6155</v>
      </c>
      <c r="B652">
        <v>3.1</v>
      </c>
      <c r="C652">
        <v>930</v>
      </c>
      <c r="D652">
        <v>6</v>
      </c>
    </row>
    <row r="653" spans="1:4">
      <c r="A653" s="93" t="s">
        <v>6156</v>
      </c>
      <c r="B653">
        <v>3</v>
      </c>
      <c r="C653">
        <v>930</v>
      </c>
      <c r="D653">
        <v>7</v>
      </c>
    </row>
    <row r="654" spans="1:4">
      <c r="A654" s="93" t="s">
        <v>6157</v>
      </c>
      <c r="B654">
        <v>2.9</v>
      </c>
      <c r="C654">
        <v>930</v>
      </c>
      <c r="D654">
        <v>7</v>
      </c>
    </row>
    <row r="655" spans="1:4">
      <c r="A655" s="93" t="s">
        <v>6158</v>
      </c>
      <c r="B655">
        <v>2.8</v>
      </c>
      <c r="C655">
        <v>930</v>
      </c>
      <c r="D655">
        <v>7</v>
      </c>
    </row>
    <row r="656" spans="1:4">
      <c r="A656" s="93" t="s">
        <v>6159</v>
      </c>
      <c r="B656">
        <v>2.7</v>
      </c>
      <c r="C656">
        <v>930</v>
      </c>
      <c r="D656">
        <v>7</v>
      </c>
    </row>
    <row r="657" spans="1:4">
      <c r="A657" s="93" t="s">
        <v>6160</v>
      </c>
      <c r="B657">
        <v>2.6</v>
      </c>
      <c r="C657">
        <v>930</v>
      </c>
      <c r="D657">
        <v>8</v>
      </c>
    </row>
    <row r="658" spans="1:4">
      <c r="A658" s="93" t="s">
        <v>6161</v>
      </c>
      <c r="B658">
        <v>2.5</v>
      </c>
      <c r="C658">
        <v>930</v>
      </c>
      <c r="D658">
        <v>8</v>
      </c>
    </row>
    <row r="659" spans="1:4">
      <c r="A659" s="93" t="s">
        <v>6162</v>
      </c>
      <c r="B659">
        <v>2.4</v>
      </c>
      <c r="C659">
        <v>930</v>
      </c>
      <c r="D659">
        <v>8</v>
      </c>
    </row>
    <row r="660" spans="1:4">
      <c r="A660" s="93" t="s">
        <v>6163</v>
      </c>
      <c r="B660">
        <v>2.3</v>
      </c>
      <c r="C660">
        <v>930</v>
      </c>
      <c r="D660">
        <v>9</v>
      </c>
    </row>
    <row r="661" spans="1:4">
      <c r="A661" s="93" t="s">
        <v>6164</v>
      </c>
      <c r="B661">
        <v>2.2</v>
      </c>
      <c r="C661">
        <v>930</v>
      </c>
      <c r="D661">
        <v>9</v>
      </c>
    </row>
    <row r="662" spans="1:4">
      <c r="A662" s="93" t="s">
        <v>6165</v>
      </c>
      <c r="B662">
        <v>2.1</v>
      </c>
      <c r="C662">
        <v>930</v>
      </c>
      <c r="D662">
        <v>9</v>
      </c>
    </row>
    <row r="663" spans="1:4">
      <c r="A663" s="93" t="s">
        <v>6166</v>
      </c>
      <c r="B663">
        <v>2</v>
      </c>
      <c r="C663">
        <v>930</v>
      </c>
      <c r="D663">
        <v>9</v>
      </c>
    </row>
    <row r="664" spans="1:4">
      <c r="A664" s="93" t="s">
        <v>6167</v>
      </c>
      <c r="B664">
        <v>1.9</v>
      </c>
      <c r="C664">
        <v>930</v>
      </c>
      <c r="D664">
        <v>10</v>
      </c>
    </row>
    <row r="665" spans="1:4">
      <c r="A665" s="93" t="s">
        <v>6168</v>
      </c>
      <c r="B665">
        <v>1.8</v>
      </c>
      <c r="C665">
        <v>930</v>
      </c>
      <c r="D665">
        <v>10</v>
      </c>
    </row>
    <row r="666" spans="1:4">
      <c r="A666" s="93" t="s">
        <v>6169</v>
      </c>
      <c r="B666">
        <v>1.7</v>
      </c>
      <c r="C666">
        <v>930</v>
      </c>
      <c r="D666">
        <v>10</v>
      </c>
    </row>
    <row r="667" spans="1:4">
      <c r="A667" s="93" t="s">
        <v>6170</v>
      </c>
      <c r="B667">
        <v>1.6</v>
      </c>
      <c r="C667">
        <v>930</v>
      </c>
      <c r="D667">
        <v>10</v>
      </c>
    </row>
    <row r="668" spans="1:4">
      <c r="A668" s="93" t="s">
        <v>6171</v>
      </c>
      <c r="B668">
        <v>1.5</v>
      </c>
      <c r="C668">
        <v>930</v>
      </c>
      <c r="D668">
        <v>11</v>
      </c>
    </row>
    <row r="669" spans="1:4">
      <c r="A669" s="93" t="s">
        <v>6172</v>
      </c>
      <c r="B669">
        <v>4.3</v>
      </c>
      <c r="C669">
        <v>940</v>
      </c>
      <c r="D669">
        <v>4</v>
      </c>
    </row>
    <row r="670" spans="1:4">
      <c r="A670" s="93" t="s">
        <v>6173</v>
      </c>
      <c r="B670">
        <v>4.2</v>
      </c>
      <c r="C670">
        <v>940</v>
      </c>
      <c r="D670">
        <v>4</v>
      </c>
    </row>
    <row r="671" spans="1:4">
      <c r="A671" s="93" t="s">
        <v>6174</v>
      </c>
      <c r="B671">
        <v>4.1</v>
      </c>
      <c r="C671">
        <v>940</v>
      </c>
      <c r="D671">
        <v>4</v>
      </c>
    </row>
    <row r="672" spans="1:4">
      <c r="A672" s="93" t="s">
        <v>6175</v>
      </c>
      <c r="B672">
        <v>4</v>
      </c>
      <c r="C672">
        <v>940</v>
      </c>
      <c r="D672">
        <v>4</v>
      </c>
    </row>
    <row r="673" spans="1:4">
      <c r="A673" s="93" t="s">
        <v>6176</v>
      </c>
      <c r="B673">
        <v>3.9</v>
      </c>
      <c r="C673">
        <v>940</v>
      </c>
      <c r="D673">
        <v>4</v>
      </c>
    </row>
    <row r="674" spans="1:4">
      <c r="A674" s="93" t="s">
        <v>6177</v>
      </c>
      <c r="B674">
        <v>3.8</v>
      </c>
      <c r="C674">
        <v>940</v>
      </c>
      <c r="D674">
        <v>4</v>
      </c>
    </row>
    <row r="675" spans="1:4">
      <c r="A675" s="93" t="s">
        <v>6178</v>
      </c>
      <c r="B675">
        <v>3.7</v>
      </c>
      <c r="C675">
        <v>940</v>
      </c>
      <c r="D675">
        <v>4</v>
      </c>
    </row>
    <row r="676" spans="1:4">
      <c r="A676" s="93" t="s">
        <v>6179</v>
      </c>
      <c r="B676">
        <v>3.6</v>
      </c>
      <c r="C676">
        <v>940</v>
      </c>
      <c r="D676">
        <v>5</v>
      </c>
    </row>
    <row r="677" spans="1:4">
      <c r="A677" s="93" t="s">
        <v>6180</v>
      </c>
      <c r="B677">
        <v>3.5</v>
      </c>
      <c r="C677">
        <v>940</v>
      </c>
      <c r="D677">
        <v>5</v>
      </c>
    </row>
    <row r="678" spans="1:4">
      <c r="A678" s="93" t="s">
        <v>6181</v>
      </c>
      <c r="B678">
        <v>3.4</v>
      </c>
      <c r="C678">
        <v>940</v>
      </c>
      <c r="D678">
        <v>5</v>
      </c>
    </row>
    <row r="679" spans="1:4">
      <c r="A679" s="93" t="s">
        <v>6182</v>
      </c>
      <c r="B679">
        <v>3.3</v>
      </c>
      <c r="C679">
        <v>940</v>
      </c>
      <c r="D679">
        <v>5</v>
      </c>
    </row>
    <row r="680" spans="1:4">
      <c r="A680" s="93" t="s">
        <v>6183</v>
      </c>
      <c r="B680">
        <v>3.2</v>
      </c>
      <c r="C680">
        <v>940</v>
      </c>
      <c r="D680">
        <v>6</v>
      </c>
    </row>
    <row r="681" spans="1:4">
      <c r="A681" s="93" t="s">
        <v>6184</v>
      </c>
      <c r="B681">
        <v>3.1</v>
      </c>
      <c r="C681">
        <v>940</v>
      </c>
      <c r="D681">
        <v>6</v>
      </c>
    </row>
    <row r="682" spans="1:4">
      <c r="A682" s="93" t="s">
        <v>6185</v>
      </c>
      <c r="B682">
        <v>3</v>
      </c>
      <c r="C682">
        <v>940</v>
      </c>
      <c r="D682">
        <v>7</v>
      </c>
    </row>
    <row r="683" spans="1:4">
      <c r="A683" s="93" t="s">
        <v>6186</v>
      </c>
      <c r="B683">
        <v>2.9</v>
      </c>
      <c r="C683">
        <v>940</v>
      </c>
      <c r="D683">
        <v>7</v>
      </c>
    </row>
    <row r="684" spans="1:4">
      <c r="A684" s="93" t="s">
        <v>6187</v>
      </c>
      <c r="B684">
        <v>2.8</v>
      </c>
      <c r="C684">
        <v>940</v>
      </c>
      <c r="D684">
        <v>7</v>
      </c>
    </row>
    <row r="685" spans="1:4">
      <c r="A685" s="93" t="s">
        <v>6188</v>
      </c>
      <c r="B685">
        <v>2.7</v>
      </c>
      <c r="C685">
        <v>940</v>
      </c>
      <c r="D685">
        <v>7</v>
      </c>
    </row>
    <row r="686" spans="1:4">
      <c r="A686" s="93" t="s">
        <v>6189</v>
      </c>
      <c r="B686">
        <v>2.6</v>
      </c>
      <c r="C686">
        <v>940</v>
      </c>
      <c r="D686">
        <v>8</v>
      </c>
    </row>
    <row r="687" spans="1:4">
      <c r="A687" s="93" t="s">
        <v>6190</v>
      </c>
      <c r="B687">
        <v>2.5</v>
      </c>
      <c r="C687">
        <v>940</v>
      </c>
      <c r="D687">
        <v>8</v>
      </c>
    </row>
    <row r="688" spans="1:4">
      <c r="A688" s="93" t="s">
        <v>6191</v>
      </c>
      <c r="B688">
        <v>2.4</v>
      </c>
      <c r="C688">
        <v>940</v>
      </c>
      <c r="D688">
        <v>8</v>
      </c>
    </row>
    <row r="689" spans="1:4">
      <c r="A689" s="93" t="s">
        <v>6192</v>
      </c>
      <c r="B689">
        <v>2.3</v>
      </c>
      <c r="C689">
        <v>940</v>
      </c>
      <c r="D689">
        <v>9</v>
      </c>
    </row>
    <row r="690" spans="1:4">
      <c r="A690" s="93" t="s">
        <v>6193</v>
      </c>
      <c r="B690">
        <v>2.2</v>
      </c>
      <c r="C690">
        <v>940</v>
      </c>
      <c r="D690">
        <v>9</v>
      </c>
    </row>
    <row r="691" spans="1:4">
      <c r="A691" s="93" t="s">
        <v>6194</v>
      </c>
      <c r="B691">
        <v>2.1</v>
      </c>
      <c r="C691">
        <v>940</v>
      </c>
      <c r="D691">
        <v>9</v>
      </c>
    </row>
    <row r="692" spans="1:4">
      <c r="A692" s="93" t="s">
        <v>6195</v>
      </c>
      <c r="B692">
        <v>2</v>
      </c>
      <c r="C692">
        <v>940</v>
      </c>
      <c r="D692">
        <v>9</v>
      </c>
    </row>
    <row r="693" spans="1:4">
      <c r="A693" s="93" t="s">
        <v>6196</v>
      </c>
      <c r="B693">
        <v>1.9</v>
      </c>
      <c r="C693">
        <v>940</v>
      </c>
      <c r="D693">
        <v>10</v>
      </c>
    </row>
    <row r="694" spans="1:4">
      <c r="A694" s="93" t="s">
        <v>6197</v>
      </c>
      <c r="B694">
        <v>1.8</v>
      </c>
      <c r="C694">
        <v>940</v>
      </c>
      <c r="D694">
        <v>10</v>
      </c>
    </row>
    <row r="695" spans="1:4">
      <c r="A695" s="93" t="s">
        <v>6198</v>
      </c>
      <c r="B695">
        <v>1.7</v>
      </c>
      <c r="C695">
        <v>940</v>
      </c>
      <c r="D695">
        <v>10</v>
      </c>
    </row>
    <row r="696" spans="1:4">
      <c r="A696" s="93" t="s">
        <v>6199</v>
      </c>
      <c r="B696">
        <v>1.6</v>
      </c>
      <c r="C696">
        <v>940</v>
      </c>
      <c r="D696">
        <v>10</v>
      </c>
    </row>
    <row r="697" spans="1:4">
      <c r="A697" s="93" t="s">
        <v>6200</v>
      </c>
      <c r="B697">
        <v>1.5</v>
      </c>
      <c r="C697">
        <v>940</v>
      </c>
      <c r="D697">
        <v>11</v>
      </c>
    </row>
    <row r="698" spans="1:4">
      <c r="A698" s="93" t="s">
        <v>6201</v>
      </c>
      <c r="B698">
        <v>4.3</v>
      </c>
      <c r="C698">
        <v>950</v>
      </c>
      <c r="D698">
        <v>4</v>
      </c>
    </row>
    <row r="699" spans="1:4">
      <c r="A699" s="93" t="s">
        <v>6202</v>
      </c>
      <c r="B699">
        <v>4.2</v>
      </c>
      <c r="C699">
        <v>950</v>
      </c>
      <c r="D699">
        <v>4</v>
      </c>
    </row>
    <row r="700" spans="1:4">
      <c r="A700" s="93" t="s">
        <v>6203</v>
      </c>
      <c r="B700">
        <v>4.1</v>
      </c>
      <c r="C700">
        <v>950</v>
      </c>
      <c r="D700">
        <v>4</v>
      </c>
    </row>
    <row r="701" spans="1:4">
      <c r="A701" s="93" t="s">
        <v>6204</v>
      </c>
      <c r="B701">
        <v>4</v>
      </c>
      <c r="C701">
        <v>950</v>
      </c>
      <c r="D701">
        <v>4</v>
      </c>
    </row>
    <row r="702" spans="1:4">
      <c r="A702" s="93" t="s">
        <v>6205</v>
      </c>
      <c r="B702">
        <v>3.9</v>
      </c>
      <c r="C702">
        <v>950</v>
      </c>
      <c r="D702">
        <v>4</v>
      </c>
    </row>
    <row r="703" spans="1:4">
      <c r="A703" s="93" t="s">
        <v>6206</v>
      </c>
      <c r="B703">
        <v>3.8</v>
      </c>
      <c r="C703">
        <v>950</v>
      </c>
      <c r="D703">
        <v>4</v>
      </c>
    </row>
    <row r="704" spans="1:4">
      <c r="A704" s="93" t="s">
        <v>6207</v>
      </c>
      <c r="B704">
        <v>3.7</v>
      </c>
      <c r="C704">
        <v>950</v>
      </c>
      <c r="D704">
        <v>4</v>
      </c>
    </row>
    <row r="705" spans="1:4">
      <c r="A705" s="93" t="s">
        <v>6208</v>
      </c>
      <c r="B705">
        <v>3.6</v>
      </c>
      <c r="C705">
        <v>950</v>
      </c>
      <c r="D705">
        <v>5</v>
      </c>
    </row>
    <row r="706" spans="1:4">
      <c r="A706" s="93" t="s">
        <v>6209</v>
      </c>
      <c r="B706">
        <v>3.5</v>
      </c>
      <c r="C706">
        <v>950</v>
      </c>
      <c r="D706">
        <v>5</v>
      </c>
    </row>
    <row r="707" spans="1:4">
      <c r="A707" s="93" t="s">
        <v>6210</v>
      </c>
      <c r="B707">
        <v>3.4</v>
      </c>
      <c r="C707">
        <v>950</v>
      </c>
      <c r="D707">
        <v>5</v>
      </c>
    </row>
    <row r="708" spans="1:4">
      <c r="A708" s="93" t="s">
        <v>6211</v>
      </c>
      <c r="B708">
        <v>3.3</v>
      </c>
      <c r="C708">
        <v>950</v>
      </c>
      <c r="D708">
        <v>5</v>
      </c>
    </row>
    <row r="709" spans="1:4">
      <c r="A709" s="93" t="s">
        <v>6212</v>
      </c>
      <c r="B709">
        <v>3.2</v>
      </c>
      <c r="C709">
        <v>950</v>
      </c>
      <c r="D709">
        <v>6</v>
      </c>
    </row>
    <row r="710" spans="1:4">
      <c r="A710" s="93" t="s">
        <v>6213</v>
      </c>
      <c r="B710">
        <v>3.1</v>
      </c>
      <c r="C710">
        <v>950</v>
      </c>
      <c r="D710">
        <v>6</v>
      </c>
    </row>
    <row r="711" spans="1:4">
      <c r="A711" s="93" t="s">
        <v>6214</v>
      </c>
      <c r="B711">
        <v>3</v>
      </c>
      <c r="C711">
        <v>950</v>
      </c>
      <c r="D711">
        <v>7</v>
      </c>
    </row>
    <row r="712" spans="1:4">
      <c r="A712" s="93" t="s">
        <v>6215</v>
      </c>
      <c r="B712">
        <v>2.9</v>
      </c>
      <c r="C712">
        <v>950</v>
      </c>
      <c r="D712">
        <v>7</v>
      </c>
    </row>
    <row r="713" spans="1:4">
      <c r="A713" s="93" t="s">
        <v>6216</v>
      </c>
      <c r="B713">
        <v>2.8</v>
      </c>
      <c r="C713">
        <v>950</v>
      </c>
      <c r="D713">
        <v>7</v>
      </c>
    </row>
    <row r="714" spans="1:4">
      <c r="A714" s="93" t="s">
        <v>6217</v>
      </c>
      <c r="B714">
        <v>2.7</v>
      </c>
      <c r="C714">
        <v>950</v>
      </c>
      <c r="D714">
        <v>7</v>
      </c>
    </row>
    <row r="715" spans="1:4">
      <c r="A715" s="93" t="s">
        <v>6218</v>
      </c>
      <c r="B715">
        <v>2.6</v>
      </c>
      <c r="C715">
        <v>950</v>
      </c>
      <c r="D715">
        <v>8</v>
      </c>
    </row>
    <row r="716" spans="1:4">
      <c r="A716" s="93" t="s">
        <v>6219</v>
      </c>
      <c r="B716">
        <v>2.5</v>
      </c>
      <c r="C716">
        <v>950</v>
      </c>
      <c r="D716">
        <v>8</v>
      </c>
    </row>
    <row r="717" spans="1:4">
      <c r="A717" s="93" t="s">
        <v>6220</v>
      </c>
      <c r="B717">
        <v>2.4</v>
      </c>
      <c r="C717">
        <v>950</v>
      </c>
      <c r="D717">
        <v>8</v>
      </c>
    </row>
    <row r="718" spans="1:4">
      <c r="A718" s="93" t="s">
        <v>6221</v>
      </c>
      <c r="B718">
        <v>2.3</v>
      </c>
      <c r="C718">
        <v>950</v>
      </c>
      <c r="D718">
        <v>9</v>
      </c>
    </row>
    <row r="719" spans="1:4">
      <c r="A719" s="93" t="s">
        <v>6222</v>
      </c>
      <c r="B719">
        <v>2.2</v>
      </c>
      <c r="C719">
        <v>950</v>
      </c>
      <c r="D719">
        <v>9</v>
      </c>
    </row>
    <row r="720" spans="1:4">
      <c r="A720" s="93" t="s">
        <v>6223</v>
      </c>
      <c r="B720">
        <v>2.1</v>
      </c>
      <c r="C720">
        <v>950</v>
      </c>
      <c r="D720">
        <v>9</v>
      </c>
    </row>
    <row r="721" spans="1:4">
      <c r="A721" s="93" t="s">
        <v>6224</v>
      </c>
      <c r="B721">
        <v>2</v>
      </c>
      <c r="C721">
        <v>950</v>
      </c>
      <c r="D721">
        <v>9</v>
      </c>
    </row>
    <row r="722" spans="1:4">
      <c r="A722" s="93" t="s">
        <v>6225</v>
      </c>
      <c r="B722">
        <v>1.9</v>
      </c>
      <c r="C722">
        <v>950</v>
      </c>
      <c r="D722">
        <v>10</v>
      </c>
    </row>
    <row r="723" spans="1:4">
      <c r="A723" s="93" t="s">
        <v>6226</v>
      </c>
      <c r="B723">
        <v>1.8</v>
      </c>
      <c r="C723">
        <v>950</v>
      </c>
      <c r="D723">
        <v>10</v>
      </c>
    </row>
    <row r="724" spans="1:4">
      <c r="A724" s="93" t="s">
        <v>6227</v>
      </c>
      <c r="B724">
        <v>1.7</v>
      </c>
      <c r="C724">
        <v>950</v>
      </c>
      <c r="D724">
        <v>10</v>
      </c>
    </row>
    <row r="725" spans="1:4">
      <c r="A725" s="93" t="s">
        <v>6228</v>
      </c>
      <c r="B725">
        <v>1.6</v>
      </c>
      <c r="C725">
        <v>950</v>
      </c>
      <c r="D725">
        <v>10</v>
      </c>
    </row>
    <row r="726" spans="1:4">
      <c r="A726" s="93" t="s">
        <v>6229</v>
      </c>
      <c r="B726">
        <v>1.5</v>
      </c>
      <c r="C726">
        <v>950</v>
      </c>
      <c r="D726">
        <v>11</v>
      </c>
    </row>
    <row r="727" spans="1:4">
      <c r="A727" s="93" t="s">
        <v>6230</v>
      </c>
      <c r="B727">
        <v>4.3</v>
      </c>
      <c r="C727">
        <v>960</v>
      </c>
      <c r="D727">
        <v>3</v>
      </c>
    </row>
    <row r="728" spans="1:4">
      <c r="A728" s="93" t="s">
        <v>6231</v>
      </c>
      <c r="B728">
        <v>4.2</v>
      </c>
      <c r="C728">
        <v>960</v>
      </c>
      <c r="D728">
        <v>3</v>
      </c>
    </row>
    <row r="729" spans="1:4">
      <c r="A729" s="93" t="s">
        <v>6232</v>
      </c>
      <c r="B729">
        <v>4.1</v>
      </c>
      <c r="C729">
        <v>960</v>
      </c>
      <c r="D729">
        <v>3</v>
      </c>
    </row>
    <row r="730" spans="1:4">
      <c r="A730" s="93" t="s">
        <v>6233</v>
      </c>
      <c r="B730">
        <v>4</v>
      </c>
      <c r="C730">
        <v>960</v>
      </c>
      <c r="D730">
        <v>4</v>
      </c>
    </row>
    <row r="731" spans="1:4">
      <c r="A731" s="93" t="s">
        <v>6234</v>
      </c>
      <c r="B731">
        <v>3.9</v>
      </c>
      <c r="C731">
        <v>960</v>
      </c>
      <c r="D731">
        <v>4</v>
      </c>
    </row>
    <row r="732" spans="1:4">
      <c r="A732" s="93" t="s">
        <v>6235</v>
      </c>
      <c r="B732">
        <v>3.8</v>
      </c>
      <c r="C732">
        <v>960</v>
      </c>
      <c r="D732">
        <v>4</v>
      </c>
    </row>
    <row r="733" spans="1:4">
      <c r="A733" s="93" t="s">
        <v>6236</v>
      </c>
      <c r="B733">
        <v>3.7</v>
      </c>
      <c r="C733">
        <v>960</v>
      </c>
      <c r="D733">
        <v>4</v>
      </c>
    </row>
    <row r="734" spans="1:4">
      <c r="A734" s="93" t="s">
        <v>6237</v>
      </c>
      <c r="B734">
        <v>3.6</v>
      </c>
      <c r="C734">
        <v>960</v>
      </c>
      <c r="D734">
        <v>4</v>
      </c>
    </row>
    <row r="735" spans="1:4">
      <c r="A735" s="93" t="s">
        <v>6238</v>
      </c>
      <c r="B735">
        <v>3.5</v>
      </c>
      <c r="C735">
        <v>960</v>
      </c>
      <c r="D735">
        <v>5</v>
      </c>
    </row>
    <row r="736" spans="1:4">
      <c r="A736" s="93" t="s">
        <v>6239</v>
      </c>
      <c r="B736">
        <v>3.4</v>
      </c>
      <c r="C736">
        <v>960</v>
      </c>
      <c r="D736">
        <v>5</v>
      </c>
    </row>
    <row r="737" spans="1:4">
      <c r="A737" s="93" t="s">
        <v>6240</v>
      </c>
      <c r="B737">
        <v>3.3</v>
      </c>
      <c r="C737">
        <v>960</v>
      </c>
      <c r="D737">
        <v>5</v>
      </c>
    </row>
    <row r="738" spans="1:4">
      <c r="A738" s="93" t="s">
        <v>6241</v>
      </c>
      <c r="B738">
        <v>3.2</v>
      </c>
      <c r="C738">
        <v>960</v>
      </c>
      <c r="D738">
        <v>5</v>
      </c>
    </row>
    <row r="739" spans="1:4">
      <c r="A739" s="93" t="s">
        <v>6242</v>
      </c>
      <c r="B739">
        <v>3.1</v>
      </c>
      <c r="C739">
        <v>960</v>
      </c>
      <c r="D739">
        <v>6</v>
      </c>
    </row>
    <row r="740" spans="1:4">
      <c r="A740" s="93" t="s">
        <v>6243</v>
      </c>
      <c r="B740">
        <v>3</v>
      </c>
      <c r="C740">
        <v>960</v>
      </c>
      <c r="D740">
        <v>6</v>
      </c>
    </row>
    <row r="741" spans="1:4">
      <c r="A741" s="93" t="s">
        <v>6244</v>
      </c>
      <c r="B741">
        <v>2.9</v>
      </c>
      <c r="C741">
        <v>960</v>
      </c>
      <c r="D741">
        <v>7</v>
      </c>
    </row>
    <row r="742" spans="1:4">
      <c r="A742" s="93" t="s">
        <v>6245</v>
      </c>
      <c r="B742">
        <v>2.8</v>
      </c>
      <c r="C742">
        <v>960</v>
      </c>
      <c r="D742">
        <v>7</v>
      </c>
    </row>
    <row r="743" spans="1:4">
      <c r="A743" s="93" t="s">
        <v>6246</v>
      </c>
      <c r="B743">
        <v>2.7</v>
      </c>
      <c r="C743">
        <v>960</v>
      </c>
      <c r="D743">
        <v>7</v>
      </c>
    </row>
    <row r="744" spans="1:4">
      <c r="A744" s="93" t="s">
        <v>6247</v>
      </c>
      <c r="B744">
        <v>2.6</v>
      </c>
      <c r="C744">
        <v>960</v>
      </c>
      <c r="D744">
        <v>7</v>
      </c>
    </row>
    <row r="745" spans="1:4">
      <c r="A745" s="93" t="s">
        <v>6248</v>
      </c>
      <c r="B745">
        <v>2.5</v>
      </c>
      <c r="C745">
        <v>960</v>
      </c>
      <c r="D745">
        <v>8</v>
      </c>
    </row>
    <row r="746" spans="1:4">
      <c r="A746" s="93" t="s">
        <v>6249</v>
      </c>
      <c r="B746">
        <v>2.4</v>
      </c>
      <c r="C746">
        <v>960</v>
      </c>
      <c r="D746">
        <v>8</v>
      </c>
    </row>
    <row r="747" spans="1:4">
      <c r="A747" s="93" t="s">
        <v>6250</v>
      </c>
      <c r="B747">
        <v>2.3</v>
      </c>
      <c r="C747">
        <v>960</v>
      </c>
      <c r="D747">
        <v>8</v>
      </c>
    </row>
    <row r="748" spans="1:4">
      <c r="A748" s="93" t="s">
        <v>6251</v>
      </c>
      <c r="B748">
        <v>2.2</v>
      </c>
      <c r="C748">
        <v>960</v>
      </c>
      <c r="D748">
        <v>9</v>
      </c>
    </row>
    <row r="749" spans="1:4">
      <c r="A749" s="93" t="s">
        <v>6252</v>
      </c>
      <c r="B749">
        <v>2.1</v>
      </c>
      <c r="C749">
        <v>960</v>
      </c>
      <c r="D749">
        <v>9</v>
      </c>
    </row>
    <row r="750" spans="1:4">
      <c r="A750" s="93" t="s">
        <v>6253</v>
      </c>
      <c r="B750">
        <v>2</v>
      </c>
      <c r="C750">
        <v>960</v>
      </c>
      <c r="D750">
        <v>9</v>
      </c>
    </row>
    <row r="751" spans="1:4">
      <c r="A751" s="93" t="s">
        <v>6254</v>
      </c>
      <c r="B751">
        <v>1.9</v>
      </c>
      <c r="C751">
        <v>960</v>
      </c>
      <c r="D751">
        <v>9</v>
      </c>
    </row>
    <row r="752" spans="1:4">
      <c r="A752" s="93" t="s">
        <v>6255</v>
      </c>
      <c r="B752">
        <v>1.8</v>
      </c>
      <c r="C752">
        <v>960</v>
      </c>
      <c r="D752">
        <v>10</v>
      </c>
    </row>
    <row r="753" spans="1:4">
      <c r="A753" s="93" t="s">
        <v>6256</v>
      </c>
      <c r="B753">
        <v>1.7</v>
      </c>
      <c r="C753">
        <v>960</v>
      </c>
      <c r="D753">
        <v>10</v>
      </c>
    </row>
    <row r="754" spans="1:4">
      <c r="A754" s="93" t="s">
        <v>6257</v>
      </c>
      <c r="B754">
        <v>1.6</v>
      </c>
      <c r="C754">
        <v>960</v>
      </c>
      <c r="D754">
        <v>10</v>
      </c>
    </row>
    <row r="755" spans="1:4">
      <c r="A755" s="93" t="s">
        <v>6258</v>
      </c>
      <c r="B755">
        <v>1.5</v>
      </c>
      <c r="C755">
        <v>960</v>
      </c>
      <c r="D755">
        <v>10</v>
      </c>
    </row>
    <row r="756" spans="1:4">
      <c r="A756" s="93" t="s">
        <v>6259</v>
      </c>
      <c r="B756">
        <v>4.3</v>
      </c>
      <c r="C756">
        <v>970</v>
      </c>
      <c r="D756">
        <v>3</v>
      </c>
    </row>
    <row r="757" spans="1:4">
      <c r="A757" s="93" t="s">
        <v>6260</v>
      </c>
      <c r="B757">
        <v>4.2</v>
      </c>
      <c r="C757">
        <v>970</v>
      </c>
      <c r="D757">
        <v>3</v>
      </c>
    </row>
    <row r="758" spans="1:4">
      <c r="A758" s="93" t="s">
        <v>6261</v>
      </c>
      <c r="B758">
        <v>4.1</v>
      </c>
      <c r="C758">
        <v>970</v>
      </c>
      <c r="D758">
        <v>3</v>
      </c>
    </row>
    <row r="759" spans="1:4">
      <c r="A759" s="93" t="s">
        <v>6262</v>
      </c>
      <c r="B759">
        <v>4</v>
      </c>
      <c r="C759">
        <v>970</v>
      </c>
      <c r="D759">
        <v>4</v>
      </c>
    </row>
    <row r="760" spans="1:4">
      <c r="A760" s="93" t="s">
        <v>6263</v>
      </c>
      <c r="B760">
        <v>3.9</v>
      </c>
      <c r="C760">
        <v>970</v>
      </c>
      <c r="D760">
        <v>4</v>
      </c>
    </row>
    <row r="761" spans="1:4">
      <c r="A761" s="93" t="s">
        <v>6264</v>
      </c>
      <c r="B761">
        <v>3.8</v>
      </c>
      <c r="C761">
        <v>970</v>
      </c>
      <c r="D761">
        <v>4</v>
      </c>
    </row>
    <row r="762" spans="1:4">
      <c r="A762" s="93" t="s">
        <v>6265</v>
      </c>
      <c r="B762">
        <v>3.7</v>
      </c>
      <c r="C762">
        <v>970</v>
      </c>
      <c r="D762">
        <v>4</v>
      </c>
    </row>
    <row r="763" spans="1:4">
      <c r="A763" s="93" t="s">
        <v>6266</v>
      </c>
      <c r="B763">
        <v>3.6</v>
      </c>
      <c r="C763">
        <v>970</v>
      </c>
      <c r="D763">
        <v>4</v>
      </c>
    </row>
    <row r="764" spans="1:4">
      <c r="A764" s="93" t="s">
        <v>6267</v>
      </c>
      <c r="B764">
        <v>3.5</v>
      </c>
      <c r="C764">
        <v>970</v>
      </c>
      <c r="D764">
        <v>5</v>
      </c>
    </row>
    <row r="765" spans="1:4">
      <c r="A765" s="93" t="s">
        <v>6268</v>
      </c>
      <c r="B765">
        <v>3.4</v>
      </c>
      <c r="C765">
        <v>970</v>
      </c>
      <c r="D765">
        <v>5</v>
      </c>
    </row>
    <row r="766" spans="1:4">
      <c r="A766" s="93" t="s">
        <v>6269</v>
      </c>
      <c r="B766">
        <v>3.3</v>
      </c>
      <c r="C766">
        <v>970</v>
      </c>
      <c r="D766">
        <v>5</v>
      </c>
    </row>
    <row r="767" spans="1:4">
      <c r="A767" s="93" t="s">
        <v>6270</v>
      </c>
      <c r="B767">
        <v>3.2</v>
      </c>
      <c r="C767">
        <v>970</v>
      </c>
      <c r="D767">
        <v>5</v>
      </c>
    </row>
    <row r="768" spans="1:4">
      <c r="A768" s="93" t="s">
        <v>6271</v>
      </c>
      <c r="B768">
        <v>3.1</v>
      </c>
      <c r="C768">
        <v>970</v>
      </c>
      <c r="D768">
        <v>6</v>
      </c>
    </row>
    <row r="769" spans="1:4">
      <c r="A769" s="93" t="s">
        <v>6272</v>
      </c>
      <c r="B769">
        <v>3</v>
      </c>
      <c r="C769">
        <v>970</v>
      </c>
      <c r="D769">
        <v>6</v>
      </c>
    </row>
    <row r="770" spans="1:4">
      <c r="A770" s="93" t="s">
        <v>6273</v>
      </c>
      <c r="B770">
        <v>2.9</v>
      </c>
      <c r="C770">
        <v>970</v>
      </c>
      <c r="D770">
        <v>7</v>
      </c>
    </row>
    <row r="771" spans="1:4">
      <c r="A771" s="93" t="s">
        <v>6274</v>
      </c>
      <c r="B771">
        <v>2.8</v>
      </c>
      <c r="C771">
        <v>970</v>
      </c>
      <c r="D771">
        <v>7</v>
      </c>
    </row>
    <row r="772" spans="1:4">
      <c r="A772" s="93" t="s">
        <v>6275</v>
      </c>
      <c r="B772">
        <v>2.7</v>
      </c>
      <c r="C772">
        <v>970</v>
      </c>
      <c r="D772">
        <v>7</v>
      </c>
    </row>
    <row r="773" spans="1:4">
      <c r="A773" s="93" t="s">
        <v>6276</v>
      </c>
      <c r="B773">
        <v>2.6</v>
      </c>
      <c r="C773">
        <v>970</v>
      </c>
      <c r="D773">
        <v>7</v>
      </c>
    </row>
    <row r="774" spans="1:4">
      <c r="A774" s="93" t="s">
        <v>6277</v>
      </c>
      <c r="B774">
        <v>2.5</v>
      </c>
      <c r="C774">
        <v>970</v>
      </c>
      <c r="D774">
        <v>8</v>
      </c>
    </row>
    <row r="775" spans="1:4">
      <c r="A775" s="93" t="s">
        <v>6278</v>
      </c>
      <c r="B775">
        <v>2.4</v>
      </c>
      <c r="C775">
        <v>970</v>
      </c>
      <c r="D775">
        <v>8</v>
      </c>
    </row>
    <row r="776" spans="1:4">
      <c r="A776" s="93" t="s">
        <v>6279</v>
      </c>
      <c r="B776">
        <v>2.3</v>
      </c>
      <c r="C776">
        <v>970</v>
      </c>
      <c r="D776">
        <v>8</v>
      </c>
    </row>
    <row r="777" spans="1:4">
      <c r="A777" s="93" t="s">
        <v>6280</v>
      </c>
      <c r="B777">
        <v>2.2</v>
      </c>
      <c r="C777">
        <v>970</v>
      </c>
      <c r="D777">
        <v>9</v>
      </c>
    </row>
    <row r="778" spans="1:4">
      <c r="A778" s="93" t="s">
        <v>6281</v>
      </c>
      <c r="B778">
        <v>2.1</v>
      </c>
      <c r="C778">
        <v>970</v>
      </c>
      <c r="D778">
        <v>9</v>
      </c>
    </row>
    <row r="779" spans="1:4">
      <c r="A779" s="93" t="s">
        <v>6282</v>
      </c>
      <c r="B779">
        <v>2</v>
      </c>
      <c r="C779">
        <v>970</v>
      </c>
      <c r="D779">
        <v>9</v>
      </c>
    </row>
    <row r="780" spans="1:4">
      <c r="A780" s="93" t="s">
        <v>6283</v>
      </c>
      <c r="B780">
        <v>1.9</v>
      </c>
      <c r="C780">
        <v>970</v>
      </c>
      <c r="D780">
        <v>9</v>
      </c>
    </row>
    <row r="781" spans="1:4">
      <c r="A781" s="93" t="s">
        <v>6284</v>
      </c>
      <c r="B781">
        <v>1.8</v>
      </c>
      <c r="C781">
        <v>970</v>
      </c>
      <c r="D781">
        <v>10</v>
      </c>
    </row>
    <row r="782" spans="1:4">
      <c r="A782" s="93" t="s">
        <v>6285</v>
      </c>
      <c r="B782">
        <v>1.7</v>
      </c>
      <c r="C782">
        <v>970</v>
      </c>
      <c r="D782">
        <v>10</v>
      </c>
    </row>
    <row r="783" spans="1:4">
      <c r="A783" s="93" t="s">
        <v>6286</v>
      </c>
      <c r="B783">
        <v>1.6</v>
      </c>
      <c r="C783">
        <v>970</v>
      </c>
      <c r="D783">
        <v>10</v>
      </c>
    </row>
    <row r="784" spans="1:4">
      <c r="A784" s="93" t="s">
        <v>6287</v>
      </c>
      <c r="B784">
        <v>1.5</v>
      </c>
      <c r="C784">
        <v>970</v>
      </c>
      <c r="D784">
        <v>10</v>
      </c>
    </row>
    <row r="785" spans="1:4">
      <c r="A785" s="93" t="s">
        <v>6288</v>
      </c>
      <c r="B785">
        <v>4.3</v>
      </c>
      <c r="C785">
        <v>980</v>
      </c>
      <c r="D785">
        <v>3</v>
      </c>
    </row>
    <row r="786" spans="1:4">
      <c r="A786" s="93" t="s">
        <v>6289</v>
      </c>
      <c r="B786">
        <v>4.2</v>
      </c>
      <c r="C786">
        <v>980</v>
      </c>
      <c r="D786">
        <v>3</v>
      </c>
    </row>
    <row r="787" spans="1:4">
      <c r="A787" s="93" t="s">
        <v>6290</v>
      </c>
      <c r="B787">
        <v>4.1</v>
      </c>
      <c r="C787">
        <v>980</v>
      </c>
      <c r="D787">
        <v>3</v>
      </c>
    </row>
    <row r="788" spans="1:4">
      <c r="A788" s="93" t="s">
        <v>6291</v>
      </c>
      <c r="B788">
        <v>4</v>
      </c>
      <c r="C788">
        <v>980</v>
      </c>
      <c r="D788">
        <v>4</v>
      </c>
    </row>
    <row r="789" spans="1:4">
      <c r="A789" s="93" t="s">
        <v>6292</v>
      </c>
      <c r="B789">
        <v>3.9</v>
      </c>
      <c r="C789">
        <v>980</v>
      </c>
      <c r="D789">
        <v>4</v>
      </c>
    </row>
    <row r="790" spans="1:4">
      <c r="A790" s="93" t="s">
        <v>6293</v>
      </c>
      <c r="B790">
        <v>3.8</v>
      </c>
      <c r="C790">
        <v>980</v>
      </c>
      <c r="D790">
        <v>4</v>
      </c>
    </row>
    <row r="791" spans="1:4">
      <c r="A791" s="93" t="s">
        <v>6294</v>
      </c>
      <c r="B791">
        <v>3.7</v>
      </c>
      <c r="C791">
        <v>980</v>
      </c>
      <c r="D791">
        <v>4</v>
      </c>
    </row>
    <row r="792" spans="1:4">
      <c r="A792" s="93" t="s">
        <v>6295</v>
      </c>
      <c r="B792">
        <v>3.6</v>
      </c>
      <c r="C792">
        <v>980</v>
      </c>
      <c r="D792">
        <v>4</v>
      </c>
    </row>
    <row r="793" spans="1:4">
      <c r="A793" s="93" t="s">
        <v>6296</v>
      </c>
      <c r="B793">
        <v>3.5</v>
      </c>
      <c r="C793">
        <v>980</v>
      </c>
      <c r="D793">
        <v>5</v>
      </c>
    </row>
    <row r="794" spans="1:4">
      <c r="A794" s="93" t="s">
        <v>6297</v>
      </c>
      <c r="B794">
        <v>3.4</v>
      </c>
      <c r="C794">
        <v>980</v>
      </c>
      <c r="D794">
        <v>5</v>
      </c>
    </row>
    <row r="795" spans="1:4">
      <c r="A795" s="93" t="s">
        <v>6298</v>
      </c>
      <c r="B795">
        <v>3.3</v>
      </c>
      <c r="C795">
        <v>980</v>
      </c>
      <c r="D795">
        <v>5</v>
      </c>
    </row>
    <row r="796" spans="1:4">
      <c r="A796" s="93" t="s">
        <v>6299</v>
      </c>
      <c r="B796">
        <v>3.2</v>
      </c>
      <c r="C796">
        <v>980</v>
      </c>
      <c r="D796">
        <v>5</v>
      </c>
    </row>
    <row r="797" spans="1:4">
      <c r="A797" s="93" t="s">
        <v>6300</v>
      </c>
      <c r="B797">
        <v>3.1</v>
      </c>
      <c r="C797">
        <v>980</v>
      </c>
      <c r="D797">
        <v>6</v>
      </c>
    </row>
    <row r="798" spans="1:4">
      <c r="A798" s="93" t="s">
        <v>6301</v>
      </c>
      <c r="B798">
        <v>3</v>
      </c>
      <c r="C798">
        <v>980</v>
      </c>
      <c r="D798">
        <v>6</v>
      </c>
    </row>
    <row r="799" spans="1:4">
      <c r="A799" s="93" t="s">
        <v>6302</v>
      </c>
      <c r="B799">
        <v>2.9</v>
      </c>
      <c r="C799">
        <v>980</v>
      </c>
      <c r="D799">
        <v>7</v>
      </c>
    </row>
    <row r="800" spans="1:4">
      <c r="A800" s="93" t="s">
        <v>6303</v>
      </c>
      <c r="B800">
        <v>2.8</v>
      </c>
      <c r="C800">
        <v>980</v>
      </c>
      <c r="D800">
        <v>7</v>
      </c>
    </row>
    <row r="801" spans="1:4">
      <c r="A801" s="93" t="s">
        <v>6304</v>
      </c>
      <c r="B801">
        <v>2.7</v>
      </c>
      <c r="C801">
        <v>980</v>
      </c>
      <c r="D801">
        <v>7</v>
      </c>
    </row>
    <row r="802" spans="1:4">
      <c r="A802" s="93" t="s">
        <v>6305</v>
      </c>
      <c r="B802">
        <v>2.6</v>
      </c>
      <c r="C802">
        <v>980</v>
      </c>
      <c r="D802">
        <v>7</v>
      </c>
    </row>
    <row r="803" spans="1:4">
      <c r="A803" s="93" t="s">
        <v>6306</v>
      </c>
      <c r="B803">
        <v>2.5</v>
      </c>
      <c r="C803">
        <v>980</v>
      </c>
      <c r="D803">
        <v>8</v>
      </c>
    </row>
    <row r="804" spans="1:4">
      <c r="A804" s="93" t="s">
        <v>6307</v>
      </c>
      <c r="B804">
        <v>2.4</v>
      </c>
      <c r="C804">
        <v>980</v>
      </c>
      <c r="D804">
        <v>8</v>
      </c>
    </row>
    <row r="805" spans="1:4">
      <c r="A805" s="93" t="s">
        <v>6308</v>
      </c>
      <c r="B805">
        <v>2.3</v>
      </c>
      <c r="C805">
        <v>980</v>
      </c>
      <c r="D805">
        <v>8</v>
      </c>
    </row>
    <row r="806" spans="1:4">
      <c r="A806" s="93" t="s">
        <v>6309</v>
      </c>
      <c r="B806">
        <v>2.2</v>
      </c>
      <c r="C806">
        <v>980</v>
      </c>
      <c r="D806">
        <v>9</v>
      </c>
    </row>
    <row r="807" spans="1:4">
      <c r="A807" s="93" t="s">
        <v>6310</v>
      </c>
      <c r="B807">
        <v>2.1</v>
      </c>
      <c r="C807">
        <v>980</v>
      </c>
      <c r="D807">
        <v>9</v>
      </c>
    </row>
    <row r="808" spans="1:4">
      <c r="A808" s="93" t="s">
        <v>6311</v>
      </c>
      <c r="B808">
        <v>2</v>
      </c>
      <c r="C808">
        <v>980</v>
      </c>
      <c r="D808">
        <v>9</v>
      </c>
    </row>
    <row r="809" spans="1:4">
      <c r="A809" s="93" t="s">
        <v>6312</v>
      </c>
      <c r="B809">
        <v>1.9</v>
      </c>
      <c r="C809">
        <v>980</v>
      </c>
      <c r="D809">
        <v>9</v>
      </c>
    </row>
    <row r="810" spans="1:4">
      <c r="A810" s="93" t="s">
        <v>6313</v>
      </c>
      <c r="B810">
        <v>1.8</v>
      </c>
      <c r="C810">
        <v>980</v>
      </c>
      <c r="D810">
        <v>10</v>
      </c>
    </row>
    <row r="811" spans="1:4">
      <c r="A811" s="93" t="s">
        <v>6314</v>
      </c>
      <c r="B811">
        <v>1.7</v>
      </c>
      <c r="C811">
        <v>980</v>
      </c>
      <c r="D811">
        <v>10</v>
      </c>
    </row>
    <row r="812" spans="1:4">
      <c r="A812" s="93" t="s">
        <v>6315</v>
      </c>
      <c r="B812">
        <v>1.6</v>
      </c>
      <c r="C812">
        <v>980</v>
      </c>
      <c r="D812">
        <v>10</v>
      </c>
    </row>
    <row r="813" spans="1:4">
      <c r="A813" s="93" t="s">
        <v>6316</v>
      </c>
      <c r="B813">
        <v>1.5</v>
      </c>
      <c r="C813">
        <v>980</v>
      </c>
      <c r="D813">
        <v>10</v>
      </c>
    </row>
    <row r="814" spans="1:4">
      <c r="A814" s="93" t="s">
        <v>6317</v>
      </c>
      <c r="B814">
        <v>4.3</v>
      </c>
      <c r="C814">
        <v>990</v>
      </c>
      <c r="D814">
        <v>3</v>
      </c>
    </row>
    <row r="815" spans="1:4">
      <c r="A815" s="93" t="s">
        <v>6318</v>
      </c>
      <c r="B815">
        <v>4.2</v>
      </c>
      <c r="C815">
        <v>990</v>
      </c>
      <c r="D815">
        <v>3</v>
      </c>
    </row>
    <row r="816" spans="1:4">
      <c r="A816" s="93" t="s">
        <v>6319</v>
      </c>
      <c r="B816">
        <v>4.1</v>
      </c>
      <c r="C816">
        <v>990</v>
      </c>
      <c r="D816">
        <v>3</v>
      </c>
    </row>
    <row r="817" spans="1:4">
      <c r="A817" s="93" t="s">
        <v>6320</v>
      </c>
      <c r="B817">
        <v>4</v>
      </c>
      <c r="C817">
        <v>990</v>
      </c>
      <c r="D817">
        <v>3</v>
      </c>
    </row>
    <row r="818" spans="1:4">
      <c r="A818" s="93" t="s">
        <v>6321</v>
      </c>
      <c r="B818">
        <v>3.9</v>
      </c>
      <c r="C818">
        <v>990</v>
      </c>
      <c r="D818">
        <v>3</v>
      </c>
    </row>
    <row r="819" spans="1:4">
      <c r="A819" s="93" t="s">
        <v>6322</v>
      </c>
      <c r="B819">
        <v>3.8</v>
      </c>
      <c r="C819">
        <v>990</v>
      </c>
      <c r="D819">
        <v>4</v>
      </c>
    </row>
    <row r="820" spans="1:4">
      <c r="A820" s="93" t="s">
        <v>6323</v>
      </c>
      <c r="B820">
        <v>3.7</v>
      </c>
      <c r="C820">
        <v>990</v>
      </c>
      <c r="D820">
        <v>4</v>
      </c>
    </row>
    <row r="821" spans="1:4">
      <c r="A821" s="93" t="s">
        <v>6324</v>
      </c>
      <c r="B821">
        <v>3.6</v>
      </c>
      <c r="C821">
        <v>990</v>
      </c>
      <c r="D821">
        <v>4</v>
      </c>
    </row>
    <row r="822" spans="1:4">
      <c r="A822" s="93" t="s">
        <v>6325</v>
      </c>
      <c r="B822">
        <v>3.5</v>
      </c>
      <c r="C822">
        <v>990</v>
      </c>
      <c r="D822">
        <v>4</v>
      </c>
    </row>
    <row r="823" spans="1:4">
      <c r="A823" s="93" t="s">
        <v>6326</v>
      </c>
      <c r="B823">
        <v>3.4</v>
      </c>
      <c r="C823">
        <v>990</v>
      </c>
      <c r="D823">
        <v>5</v>
      </c>
    </row>
    <row r="824" spans="1:4">
      <c r="A824" s="93" t="s">
        <v>6327</v>
      </c>
      <c r="B824">
        <v>3.3</v>
      </c>
      <c r="C824">
        <v>990</v>
      </c>
      <c r="D824">
        <v>5</v>
      </c>
    </row>
    <row r="825" spans="1:4">
      <c r="A825" s="93" t="s">
        <v>6328</v>
      </c>
      <c r="B825">
        <v>3.2</v>
      </c>
      <c r="C825">
        <v>990</v>
      </c>
      <c r="D825">
        <v>5</v>
      </c>
    </row>
    <row r="826" spans="1:4">
      <c r="A826" s="93" t="s">
        <v>6329</v>
      </c>
      <c r="B826">
        <v>3.1</v>
      </c>
      <c r="C826">
        <v>990</v>
      </c>
      <c r="D826">
        <v>5</v>
      </c>
    </row>
    <row r="827" spans="1:4">
      <c r="A827" s="93" t="s">
        <v>6330</v>
      </c>
      <c r="B827">
        <v>3</v>
      </c>
      <c r="C827">
        <v>990</v>
      </c>
      <c r="D827">
        <v>6</v>
      </c>
    </row>
    <row r="828" spans="1:4">
      <c r="A828" s="93" t="s">
        <v>6331</v>
      </c>
      <c r="B828">
        <v>2.9</v>
      </c>
      <c r="C828">
        <v>990</v>
      </c>
      <c r="D828">
        <v>6</v>
      </c>
    </row>
    <row r="829" spans="1:4">
      <c r="A829" s="93" t="s">
        <v>6332</v>
      </c>
      <c r="B829">
        <v>2.8</v>
      </c>
      <c r="C829">
        <v>990</v>
      </c>
      <c r="D829">
        <v>7</v>
      </c>
    </row>
    <row r="830" spans="1:4">
      <c r="A830" s="93" t="s">
        <v>6333</v>
      </c>
      <c r="B830">
        <v>2.7</v>
      </c>
      <c r="C830">
        <v>990</v>
      </c>
      <c r="D830">
        <v>7</v>
      </c>
    </row>
    <row r="831" spans="1:4">
      <c r="A831" s="93" t="s">
        <v>6334</v>
      </c>
      <c r="B831">
        <v>2.6</v>
      </c>
      <c r="C831">
        <v>990</v>
      </c>
      <c r="D831">
        <v>7</v>
      </c>
    </row>
    <row r="832" spans="1:4">
      <c r="A832" s="93" t="s">
        <v>6335</v>
      </c>
      <c r="B832">
        <v>2.5</v>
      </c>
      <c r="C832">
        <v>990</v>
      </c>
      <c r="D832">
        <v>7</v>
      </c>
    </row>
    <row r="833" spans="1:4">
      <c r="A833" s="93" t="s">
        <v>6336</v>
      </c>
      <c r="B833">
        <v>2.4</v>
      </c>
      <c r="C833">
        <v>990</v>
      </c>
      <c r="D833">
        <v>8</v>
      </c>
    </row>
    <row r="834" spans="1:4">
      <c r="A834" s="93" t="s">
        <v>6337</v>
      </c>
      <c r="B834">
        <v>2.3</v>
      </c>
      <c r="C834">
        <v>990</v>
      </c>
      <c r="D834">
        <v>8</v>
      </c>
    </row>
    <row r="835" spans="1:4">
      <c r="A835" s="93" t="s">
        <v>6338</v>
      </c>
      <c r="B835">
        <v>2.2</v>
      </c>
      <c r="C835">
        <v>990</v>
      </c>
      <c r="D835">
        <v>8</v>
      </c>
    </row>
    <row r="836" spans="1:4">
      <c r="A836" s="93" t="s">
        <v>6339</v>
      </c>
      <c r="B836">
        <v>2.1</v>
      </c>
      <c r="C836">
        <v>990</v>
      </c>
      <c r="D836">
        <v>8</v>
      </c>
    </row>
    <row r="837" spans="1:4">
      <c r="A837" s="93" t="s">
        <v>6340</v>
      </c>
      <c r="B837">
        <v>2</v>
      </c>
      <c r="C837">
        <v>990</v>
      </c>
      <c r="D837">
        <v>9</v>
      </c>
    </row>
    <row r="838" spans="1:4">
      <c r="A838" s="93" t="s">
        <v>6341</v>
      </c>
      <c r="B838">
        <v>1.9</v>
      </c>
      <c r="C838">
        <v>990</v>
      </c>
      <c r="D838">
        <v>9</v>
      </c>
    </row>
    <row r="839" spans="1:4">
      <c r="A839" s="93" t="s">
        <v>6342</v>
      </c>
      <c r="B839">
        <v>1.8</v>
      </c>
      <c r="C839">
        <v>990</v>
      </c>
      <c r="D839">
        <v>9</v>
      </c>
    </row>
    <row r="840" spans="1:4">
      <c r="A840" s="93" t="s">
        <v>6343</v>
      </c>
      <c r="B840">
        <v>1.7</v>
      </c>
      <c r="C840">
        <v>990</v>
      </c>
      <c r="D840">
        <v>10</v>
      </c>
    </row>
    <row r="841" spans="1:4">
      <c r="A841" s="93" t="s">
        <v>6344</v>
      </c>
      <c r="B841">
        <v>1.6</v>
      </c>
      <c r="C841">
        <v>990</v>
      </c>
      <c r="D841">
        <v>10</v>
      </c>
    </row>
    <row r="842" spans="1:4">
      <c r="A842" s="93" t="s">
        <v>6345</v>
      </c>
      <c r="B842">
        <v>1.5</v>
      </c>
      <c r="C842">
        <v>990</v>
      </c>
      <c r="D842">
        <v>10</v>
      </c>
    </row>
    <row r="843" spans="1:4">
      <c r="A843" s="93" t="s">
        <v>6346</v>
      </c>
      <c r="B843">
        <v>4.3</v>
      </c>
      <c r="C843">
        <v>1000</v>
      </c>
      <c r="D843">
        <v>3</v>
      </c>
    </row>
    <row r="844" spans="1:4">
      <c r="A844" s="93" t="s">
        <v>6347</v>
      </c>
      <c r="B844">
        <v>4.2</v>
      </c>
      <c r="C844">
        <v>1000</v>
      </c>
      <c r="D844">
        <v>3</v>
      </c>
    </row>
    <row r="845" spans="1:4">
      <c r="A845" s="93" t="s">
        <v>6348</v>
      </c>
      <c r="B845">
        <v>4.1</v>
      </c>
      <c r="C845">
        <v>1000</v>
      </c>
      <c r="D845">
        <v>3</v>
      </c>
    </row>
    <row r="846" spans="1:4">
      <c r="A846" s="93" t="s">
        <v>6349</v>
      </c>
      <c r="B846">
        <v>4</v>
      </c>
      <c r="C846">
        <v>1000</v>
      </c>
      <c r="D846">
        <v>3</v>
      </c>
    </row>
    <row r="847" spans="1:4">
      <c r="A847" s="93" t="s">
        <v>6350</v>
      </c>
      <c r="B847">
        <v>3.9</v>
      </c>
      <c r="C847">
        <v>1000</v>
      </c>
      <c r="D847">
        <v>3</v>
      </c>
    </row>
    <row r="848" spans="1:4">
      <c r="A848" s="93" t="s">
        <v>6351</v>
      </c>
      <c r="B848">
        <v>3.8</v>
      </c>
      <c r="C848">
        <v>1000</v>
      </c>
      <c r="D848">
        <v>4</v>
      </c>
    </row>
    <row r="849" spans="1:4">
      <c r="A849" s="93" t="s">
        <v>6352</v>
      </c>
      <c r="B849">
        <v>3.7</v>
      </c>
      <c r="C849">
        <v>1000</v>
      </c>
      <c r="D849">
        <v>4</v>
      </c>
    </row>
    <row r="850" spans="1:4">
      <c r="A850" s="93" t="s">
        <v>6353</v>
      </c>
      <c r="B850">
        <v>3.6</v>
      </c>
      <c r="C850">
        <v>1000</v>
      </c>
      <c r="D850">
        <v>4</v>
      </c>
    </row>
    <row r="851" spans="1:4">
      <c r="A851" s="93" t="s">
        <v>6354</v>
      </c>
      <c r="B851">
        <v>3.5</v>
      </c>
      <c r="C851">
        <v>1000</v>
      </c>
      <c r="D851">
        <v>4</v>
      </c>
    </row>
    <row r="852" spans="1:4">
      <c r="A852" s="93" t="s">
        <v>6355</v>
      </c>
      <c r="B852">
        <v>3.4</v>
      </c>
      <c r="C852">
        <v>1000</v>
      </c>
      <c r="D852">
        <v>5</v>
      </c>
    </row>
    <row r="853" spans="1:4">
      <c r="A853" s="93" t="s">
        <v>6356</v>
      </c>
      <c r="B853">
        <v>3.3</v>
      </c>
      <c r="C853">
        <v>1000</v>
      </c>
      <c r="D853">
        <v>5</v>
      </c>
    </row>
    <row r="854" spans="1:4">
      <c r="A854" s="93" t="s">
        <v>6357</v>
      </c>
      <c r="B854">
        <v>3.2</v>
      </c>
      <c r="C854">
        <v>1000</v>
      </c>
      <c r="D854">
        <v>5</v>
      </c>
    </row>
    <row r="855" spans="1:4">
      <c r="A855" s="93" t="s">
        <v>6358</v>
      </c>
      <c r="B855">
        <v>3.1</v>
      </c>
      <c r="C855">
        <v>1000</v>
      </c>
      <c r="D855">
        <v>5</v>
      </c>
    </row>
    <row r="856" spans="1:4">
      <c r="A856" s="93" t="s">
        <v>6359</v>
      </c>
      <c r="B856">
        <v>3</v>
      </c>
      <c r="C856">
        <v>1000</v>
      </c>
      <c r="D856">
        <v>6</v>
      </c>
    </row>
    <row r="857" spans="1:4">
      <c r="A857" s="93" t="s">
        <v>6360</v>
      </c>
      <c r="B857">
        <v>2.9</v>
      </c>
      <c r="C857">
        <v>1000</v>
      </c>
      <c r="D857">
        <v>6</v>
      </c>
    </row>
    <row r="858" spans="1:4">
      <c r="A858" s="93" t="s">
        <v>6361</v>
      </c>
      <c r="B858">
        <v>2.8</v>
      </c>
      <c r="C858">
        <v>1000</v>
      </c>
      <c r="D858">
        <v>7</v>
      </c>
    </row>
    <row r="859" spans="1:4">
      <c r="A859" s="93" t="s">
        <v>6362</v>
      </c>
      <c r="B859">
        <v>2.7</v>
      </c>
      <c r="C859">
        <v>1000</v>
      </c>
      <c r="D859">
        <v>7</v>
      </c>
    </row>
    <row r="860" spans="1:4">
      <c r="A860" s="93" t="s">
        <v>6363</v>
      </c>
      <c r="B860">
        <v>2.6</v>
      </c>
      <c r="C860">
        <v>1000</v>
      </c>
      <c r="D860">
        <v>7</v>
      </c>
    </row>
    <row r="861" spans="1:4">
      <c r="A861" s="93" t="s">
        <v>6364</v>
      </c>
      <c r="B861">
        <v>2.5</v>
      </c>
      <c r="C861">
        <v>1000</v>
      </c>
      <c r="D861">
        <v>7</v>
      </c>
    </row>
    <row r="862" spans="1:4">
      <c r="A862" s="93" t="s">
        <v>6365</v>
      </c>
      <c r="B862">
        <v>2.4</v>
      </c>
      <c r="C862">
        <v>1000</v>
      </c>
      <c r="D862">
        <v>8</v>
      </c>
    </row>
    <row r="863" spans="1:4">
      <c r="A863" s="93" t="s">
        <v>6366</v>
      </c>
      <c r="B863">
        <v>2.3</v>
      </c>
      <c r="C863">
        <v>1000</v>
      </c>
      <c r="D863">
        <v>8</v>
      </c>
    </row>
    <row r="864" spans="1:4">
      <c r="A864" s="93" t="s">
        <v>6367</v>
      </c>
      <c r="B864">
        <v>2.2</v>
      </c>
      <c r="C864">
        <v>1000</v>
      </c>
      <c r="D864">
        <v>8</v>
      </c>
    </row>
    <row r="865" spans="1:4">
      <c r="A865" s="93" t="s">
        <v>6368</v>
      </c>
      <c r="B865">
        <v>2.1</v>
      </c>
      <c r="C865">
        <v>1000</v>
      </c>
      <c r="D865">
        <v>8</v>
      </c>
    </row>
    <row r="866" spans="1:4">
      <c r="A866" s="93" t="s">
        <v>6369</v>
      </c>
      <c r="B866">
        <v>2</v>
      </c>
      <c r="C866">
        <v>1000</v>
      </c>
      <c r="D866">
        <v>9</v>
      </c>
    </row>
    <row r="867" spans="1:4">
      <c r="A867" s="93" t="s">
        <v>6370</v>
      </c>
      <c r="B867">
        <v>1.9</v>
      </c>
      <c r="C867">
        <v>1000</v>
      </c>
      <c r="D867">
        <v>9</v>
      </c>
    </row>
    <row r="868" spans="1:4">
      <c r="A868" s="93" t="s">
        <v>6371</v>
      </c>
      <c r="B868">
        <v>1.8</v>
      </c>
      <c r="C868">
        <v>1000</v>
      </c>
      <c r="D868">
        <v>9</v>
      </c>
    </row>
    <row r="869" spans="1:4">
      <c r="A869" s="93" t="s">
        <v>6372</v>
      </c>
      <c r="B869">
        <v>1.7</v>
      </c>
      <c r="C869">
        <v>1000</v>
      </c>
      <c r="D869">
        <v>10</v>
      </c>
    </row>
    <row r="870" spans="1:4">
      <c r="A870" s="93" t="s">
        <v>6373</v>
      </c>
      <c r="B870">
        <v>1.6</v>
      </c>
      <c r="C870">
        <v>1000</v>
      </c>
      <c r="D870">
        <v>10</v>
      </c>
    </row>
    <row r="871" spans="1:4">
      <c r="A871" s="93" t="s">
        <v>6374</v>
      </c>
      <c r="B871">
        <v>1.5</v>
      </c>
      <c r="C871">
        <v>1000</v>
      </c>
      <c r="D871">
        <v>10</v>
      </c>
    </row>
    <row r="872" spans="1:4">
      <c r="A872" s="93" t="s">
        <v>6375</v>
      </c>
      <c r="B872">
        <v>4.3</v>
      </c>
      <c r="C872">
        <v>1010</v>
      </c>
      <c r="D872">
        <v>3</v>
      </c>
    </row>
    <row r="873" spans="1:4">
      <c r="A873" s="93" t="s">
        <v>6376</v>
      </c>
      <c r="B873">
        <v>4.2</v>
      </c>
      <c r="C873">
        <v>1010</v>
      </c>
      <c r="D873">
        <v>3</v>
      </c>
    </row>
    <row r="874" spans="1:4">
      <c r="A874" s="93" t="s">
        <v>6377</v>
      </c>
      <c r="B874">
        <v>4.1</v>
      </c>
      <c r="C874">
        <v>1010</v>
      </c>
      <c r="D874">
        <v>3</v>
      </c>
    </row>
    <row r="875" spans="1:4">
      <c r="A875" s="93" t="s">
        <v>6378</v>
      </c>
      <c r="B875">
        <v>4</v>
      </c>
      <c r="C875">
        <v>1010</v>
      </c>
      <c r="D875">
        <v>3</v>
      </c>
    </row>
    <row r="876" spans="1:4">
      <c r="A876" s="93" t="s">
        <v>6379</v>
      </c>
      <c r="B876">
        <v>3.9</v>
      </c>
      <c r="C876">
        <v>1010</v>
      </c>
      <c r="D876">
        <v>3</v>
      </c>
    </row>
    <row r="877" spans="1:4">
      <c r="A877" s="93" t="s">
        <v>6380</v>
      </c>
      <c r="B877">
        <v>3.8</v>
      </c>
      <c r="C877">
        <v>1010</v>
      </c>
      <c r="D877">
        <v>4</v>
      </c>
    </row>
    <row r="878" spans="1:4">
      <c r="A878" s="93" t="s">
        <v>6381</v>
      </c>
      <c r="B878">
        <v>3.7</v>
      </c>
      <c r="C878">
        <v>1010</v>
      </c>
      <c r="D878">
        <v>4</v>
      </c>
    </row>
    <row r="879" spans="1:4">
      <c r="A879" s="93" t="s">
        <v>6382</v>
      </c>
      <c r="B879">
        <v>3.6</v>
      </c>
      <c r="C879">
        <v>1010</v>
      </c>
      <c r="D879">
        <v>4</v>
      </c>
    </row>
    <row r="880" spans="1:4">
      <c r="A880" s="93" t="s">
        <v>6383</v>
      </c>
      <c r="B880">
        <v>3.5</v>
      </c>
      <c r="C880">
        <v>1010</v>
      </c>
      <c r="D880">
        <v>4</v>
      </c>
    </row>
    <row r="881" spans="1:4">
      <c r="A881" s="93" t="s">
        <v>6384</v>
      </c>
      <c r="B881">
        <v>3.4</v>
      </c>
      <c r="C881">
        <v>1010</v>
      </c>
      <c r="D881">
        <v>5</v>
      </c>
    </row>
    <row r="882" spans="1:4">
      <c r="A882" s="93" t="s">
        <v>6385</v>
      </c>
      <c r="B882">
        <v>3.3</v>
      </c>
      <c r="C882">
        <v>1010</v>
      </c>
      <c r="D882">
        <v>5</v>
      </c>
    </row>
    <row r="883" spans="1:4">
      <c r="A883" s="93" t="s">
        <v>6386</v>
      </c>
      <c r="B883">
        <v>3.2</v>
      </c>
      <c r="C883">
        <v>1010</v>
      </c>
      <c r="D883">
        <v>5</v>
      </c>
    </row>
    <row r="884" spans="1:4">
      <c r="A884" s="93" t="s">
        <v>6387</v>
      </c>
      <c r="B884">
        <v>3.1</v>
      </c>
      <c r="C884">
        <v>1010</v>
      </c>
      <c r="D884">
        <v>5</v>
      </c>
    </row>
    <row r="885" spans="1:4">
      <c r="A885" s="93" t="s">
        <v>6388</v>
      </c>
      <c r="B885">
        <v>3</v>
      </c>
      <c r="C885">
        <v>1010</v>
      </c>
      <c r="D885">
        <v>6</v>
      </c>
    </row>
    <row r="886" spans="1:4">
      <c r="A886" s="93" t="s">
        <v>6389</v>
      </c>
      <c r="B886">
        <v>2.9</v>
      </c>
      <c r="C886">
        <v>1010</v>
      </c>
      <c r="D886">
        <v>6</v>
      </c>
    </row>
    <row r="887" spans="1:4">
      <c r="A887" s="93" t="s">
        <v>6390</v>
      </c>
      <c r="B887">
        <v>2.8</v>
      </c>
      <c r="C887">
        <v>1010</v>
      </c>
      <c r="D887">
        <v>7</v>
      </c>
    </row>
    <row r="888" spans="1:4">
      <c r="A888" s="93" t="s">
        <v>6391</v>
      </c>
      <c r="B888">
        <v>2.7</v>
      </c>
      <c r="C888">
        <v>1010</v>
      </c>
      <c r="D888">
        <v>7</v>
      </c>
    </row>
    <row r="889" spans="1:4">
      <c r="A889" s="93" t="s">
        <v>6392</v>
      </c>
      <c r="B889">
        <v>2.6</v>
      </c>
      <c r="C889">
        <v>1010</v>
      </c>
      <c r="D889">
        <v>7</v>
      </c>
    </row>
    <row r="890" spans="1:4">
      <c r="A890" s="93" t="s">
        <v>6393</v>
      </c>
      <c r="B890">
        <v>2.5</v>
      </c>
      <c r="C890">
        <v>1010</v>
      </c>
      <c r="D890">
        <v>7</v>
      </c>
    </row>
    <row r="891" spans="1:4">
      <c r="A891" s="93" t="s">
        <v>6394</v>
      </c>
      <c r="B891">
        <v>2.4</v>
      </c>
      <c r="C891">
        <v>1010</v>
      </c>
      <c r="D891">
        <v>8</v>
      </c>
    </row>
    <row r="892" spans="1:4">
      <c r="A892" s="93" t="s">
        <v>6395</v>
      </c>
      <c r="B892">
        <v>2.3</v>
      </c>
      <c r="C892">
        <v>1010</v>
      </c>
      <c r="D892">
        <v>8</v>
      </c>
    </row>
    <row r="893" spans="1:4">
      <c r="A893" s="93" t="s">
        <v>6396</v>
      </c>
      <c r="B893">
        <v>2.2</v>
      </c>
      <c r="C893">
        <v>1010</v>
      </c>
      <c r="D893">
        <v>8</v>
      </c>
    </row>
    <row r="894" spans="1:4">
      <c r="A894" s="93" t="s">
        <v>6397</v>
      </c>
      <c r="B894">
        <v>2.1</v>
      </c>
      <c r="C894">
        <v>1010</v>
      </c>
      <c r="D894">
        <v>8</v>
      </c>
    </row>
    <row r="895" spans="1:4">
      <c r="A895" s="93" t="s">
        <v>6398</v>
      </c>
      <c r="B895">
        <v>2</v>
      </c>
      <c r="C895">
        <v>1010</v>
      </c>
      <c r="D895">
        <v>9</v>
      </c>
    </row>
    <row r="896" spans="1:4">
      <c r="A896" s="93" t="s">
        <v>6399</v>
      </c>
      <c r="B896">
        <v>1.9</v>
      </c>
      <c r="C896">
        <v>1010</v>
      </c>
      <c r="D896">
        <v>9</v>
      </c>
    </row>
    <row r="897" spans="1:4">
      <c r="A897" s="93" t="s">
        <v>6400</v>
      </c>
      <c r="B897">
        <v>1.8</v>
      </c>
      <c r="C897">
        <v>1010</v>
      </c>
      <c r="D897">
        <v>9</v>
      </c>
    </row>
    <row r="898" spans="1:4">
      <c r="A898" s="93" t="s">
        <v>6401</v>
      </c>
      <c r="B898">
        <v>1.7</v>
      </c>
      <c r="C898">
        <v>1010</v>
      </c>
      <c r="D898">
        <v>10</v>
      </c>
    </row>
    <row r="899" spans="1:4">
      <c r="A899" s="93" t="s">
        <v>6402</v>
      </c>
      <c r="B899">
        <v>1.6</v>
      </c>
      <c r="C899">
        <v>1010</v>
      </c>
      <c r="D899">
        <v>10</v>
      </c>
    </row>
    <row r="900" spans="1:4">
      <c r="A900" s="93" t="s">
        <v>6403</v>
      </c>
      <c r="B900">
        <v>1.5</v>
      </c>
      <c r="C900">
        <v>1010</v>
      </c>
      <c r="D900">
        <v>10</v>
      </c>
    </row>
    <row r="901" spans="1:4">
      <c r="A901" s="93" t="s">
        <v>6404</v>
      </c>
      <c r="B901">
        <v>4.3</v>
      </c>
      <c r="C901">
        <v>1020</v>
      </c>
      <c r="D901">
        <v>3</v>
      </c>
    </row>
    <row r="902" spans="1:4">
      <c r="A902" s="93" t="s">
        <v>6405</v>
      </c>
      <c r="B902">
        <v>4.2</v>
      </c>
      <c r="C902">
        <v>1020</v>
      </c>
      <c r="D902">
        <v>3</v>
      </c>
    </row>
    <row r="903" spans="1:4">
      <c r="A903" s="93" t="s">
        <v>6406</v>
      </c>
      <c r="B903">
        <v>4.1</v>
      </c>
      <c r="C903">
        <v>1020</v>
      </c>
      <c r="D903">
        <v>3</v>
      </c>
    </row>
    <row r="904" spans="1:4">
      <c r="A904" s="93" t="s">
        <v>6407</v>
      </c>
      <c r="B904">
        <v>4</v>
      </c>
      <c r="C904">
        <v>1020</v>
      </c>
      <c r="D904">
        <v>3</v>
      </c>
    </row>
    <row r="905" spans="1:4">
      <c r="A905" s="93" t="s">
        <v>6408</v>
      </c>
      <c r="B905">
        <v>3.9</v>
      </c>
      <c r="C905">
        <v>1020</v>
      </c>
      <c r="D905">
        <v>3</v>
      </c>
    </row>
    <row r="906" spans="1:4">
      <c r="A906" s="93" t="s">
        <v>6409</v>
      </c>
      <c r="B906">
        <v>3.8</v>
      </c>
      <c r="C906">
        <v>1020</v>
      </c>
      <c r="D906">
        <v>4</v>
      </c>
    </row>
    <row r="907" spans="1:4">
      <c r="A907" s="93" t="s">
        <v>6410</v>
      </c>
      <c r="B907">
        <v>3.7</v>
      </c>
      <c r="C907">
        <v>1020</v>
      </c>
      <c r="D907">
        <v>4</v>
      </c>
    </row>
    <row r="908" spans="1:4">
      <c r="A908" s="93" t="s">
        <v>6411</v>
      </c>
      <c r="B908">
        <v>3.6</v>
      </c>
      <c r="C908">
        <v>1020</v>
      </c>
      <c r="D908">
        <v>4</v>
      </c>
    </row>
    <row r="909" spans="1:4">
      <c r="A909" s="93" t="s">
        <v>6412</v>
      </c>
      <c r="B909">
        <v>3.5</v>
      </c>
      <c r="C909">
        <v>1020</v>
      </c>
      <c r="D909">
        <v>4</v>
      </c>
    </row>
    <row r="910" spans="1:4">
      <c r="A910" s="93" t="s">
        <v>6413</v>
      </c>
      <c r="B910">
        <v>3.4</v>
      </c>
      <c r="C910">
        <v>1020</v>
      </c>
      <c r="D910">
        <v>5</v>
      </c>
    </row>
    <row r="911" spans="1:4">
      <c r="A911" s="93" t="s">
        <v>6414</v>
      </c>
      <c r="B911">
        <v>3.3</v>
      </c>
      <c r="C911">
        <v>1020</v>
      </c>
      <c r="D911">
        <v>5</v>
      </c>
    </row>
    <row r="912" spans="1:4">
      <c r="A912" s="93" t="s">
        <v>6415</v>
      </c>
      <c r="B912">
        <v>3.2</v>
      </c>
      <c r="C912">
        <v>1020</v>
      </c>
      <c r="D912">
        <v>5</v>
      </c>
    </row>
    <row r="913" spans="1:4">
      <c r="A913" s="93" t="s">
        <v>6416</v>
      </c>
      <c r="B913">
        <v>3.1</v>
      </c>
      <c r="C913">
        <v>1020</v>
      </c>
      <c r="D913">
        <v>5</v>
      </c>
    </row>
    <row r="914" spans="1:4">
      <c r="A914" s="93" t="s">
        <v>6417</v>
      </c>
      <c r="B914">
        <v>3</v>
      </c>
      <c r="C914">
        <v>1020</v>
      </c>
      <c r="D914">
        <v>6</v>
      </c>
    </row>
    <row r="915" spans="1:4">
      <c r="A915" s="93" t="s">
        <v>6418</v>
      </c>
      <c r="B915">
        <v>2.9</v>
      </c>
      <c r="C915">
        <v>1020</v>
      </c>
      <c r="D915">
        <v>6</v>
      </c>
    </row>
    <row r="916" spans="1:4">
      <c r="A916" s="93" t="s">
        <v>6419</v>
      </c>
      <c r="B916">
        <v>2.8</v>
      </c>
      <c r="C916">
        <v>1020</v>
      </c>
      <c r="D916">
        <v>7</v>
      </c>
    </row>
    <row r="917" spans="1:4">
      <c r="A917" s="93" t="s">
        <v>6420</v>
      </c>
      <c r="B917">
        <v>2.7</v>
      </c>
      <c r="C917">
        <v>1020</v>
      </c>
      <c r="D917">
        <v>7</v>
      </c>
    </row>
    <row r="918" spans="1:4">
      <c r="A918" s="93" t="s">
        <v>6421</v>
      </c>
      <c r="B918">
        <v>2.6</v>
      </c>
      <c r="C918">
        <v>1020</v>
      </c>
      <c r="D918">
        <v>7</v>
      </c>
    </row>
    <row r="919" spans="1:4">
      <c r="A919" s="93" t="s">
        <v>6422</v>
      </c>
      <c r="B919">
        <v>2.5</v>
      </c>
      <c r="C919">
        <v>1020</v>
      </c>
      <c r="D919">
        <v>7</v>
      </c>
    </row>
    <row r="920" spans="1:4">
      <c r="A920" s="93" t="s">
        <v>6423</v>
      </c>
      <c r="B920">
        <v>2.4</v>
      </c>
      <c r="C920">
        <v>1020</v>
      </c>
      <c r="D920">
        <v>8</v>
      </c>
    </row>
    <row r="921" spans="1:4">
      <c r="A921" s="93" t="s">
        <v>6424</v>
      </c>
      <c r="B921">
        <v>2.3</v>
      </c>
      <c r="C921">
        <v>1020</v>
      </c>
      <c r="D921">
        <v>8</v>
      </c>
    </row>
    <row r="922" spans="1:4">
      <c r="A922" s="93" t="s">
        <v>6425</v>
      </c>
      <c r="B922">
        <v>2.2</v>
      </c>
      <c r="C922">
        <v>1020</v>
      </c>
      <c r="D922">
        <v>8</v>
      </c>
    </row>
    <row r="923" spans="1:4">
      <c r="A923" s="93" t="s">
        <v>6426</v>
      </c>
      <c r="B923">
        <v>2.1</v>
      </c>
      <c r="C923">
        <v>1020</v>
      </c>
      <c r="D923">
        <v>8</v>
      </c>
    </row>
    <row r="924" spans="1:4">
      <c r="A924" s="93" t="s">
        <v>6427</v>
      </c>
      <c r="B924">
        <v>2</v>
      </c>
      <c r="C924">
        <v>1020</v>
      </c>
      <c r="D924">
        <v>9</v>
      </c>
    </row>
    <row r="925" spans="1:4">
      <c r="A925" s="93" t="s">
        <v>6428</v>
      </c>
      <c r="B925">
        <v>1.9</v>
      </c>
      <c r="C925">
        <v>1020</v>
      </c>
      <c r="D925">
        <v>9</v>
      </c>
    </row>
    <row r="926" spans="1:4">
      <c r="A926" s="93" t="s">
        <v>6429</v>
      </c>
      <c r="B926">
        <v>1.8</v>
      </c>
      <c r="C926">
        <v>1020</v>
      </c>
      <c r="D926">
        <v>9</v>
      </c>
    </row>
    <row r="927" spans="1:4">
      <c r="A927" s="93" t="s">
        <v>6430</v>
      </c>
      <c r="B927">
        <v>1.7</v>
      </c>
      <c r="C927">
        <v>1020</v>
      </c>
      <c r="D927">
        <v>10</v>
      </c>
    </row>
    <row r="928" spans="1:4">
      <c r="A928" s="93" t="s">
        <v>6431</v>
      </c>
      <c r="B928">
        <v>1.6</v>
      </c>
      <c r="C928">
        <v>1020</v>
      </c>
      <c r="D928">
        <v>10</v>
      </c>
    </row>
    <row r="929" spans="1:4">
      <c r="A929" s="93" t="s">
        <v>6432</v>
      </c>
      <c r="B929">
        <v>1.5</v>
      </c>
      <c r="C929">
        <v>1020</v>
      </c>
      <c r="D929">
        <v>10</v>
      </c>
    </row>
    <row r="930" spans="1:4">
      <c r="A930" s="93" t="s">
        <v>6433</v>
      </c>
      <c r="B930">
        <v>4.3</v>
      </c>
      <c r="C930">
        <v>1030</v>
      </c>
      <c r="D930">
        <v>3</v>
      </c>
    </row>
    <row r="931" spans="1:4">
      <c r="A931" s="93" t="s">
        <v>6434</v>
      </c>
      <c r="B931">
        <v>4.2</v>
      </c>
      <c r="C931">
        <v>1030</v>
      </c>
      <c r="D931">
        <v>3</v>
      </c>
    </row>
    <row r="932" spans="1:4">
      <c r="A932" s="93" t="s">
        <v>6435</v>
      </c>
      <c r="B932">
        <v>4.1</v>
      </c>
      <c r="C932">
        <v>1030</v>
      </c>
      <c r="D932">
        <v>3</v>
      </c>
    </row>
    <row r="933" spans="1:4">
      <c r="A933" s="93" t="s">
        <v>6436</v>
      </c>
      <c r="B933">
        <v>4</v>
      </c>
      <c r="C933">
        <v>1030</v>
      </c>
      <c r="D933">
        <v>3</v>
      </c>
    </row>
    <row r="934" spans="1:4">
      <c r="A934" s="93" t="s">
        <v>6437</v>
      </c>
      <c r="B934">
        <v>3.9</v>
      </c>
      <c r="C934">
        <v>1030</v>
      </c>
      <c r="D934">
        <v>3</v>
      </c>
    </row>
    <row r="935" spans="1:4">
      <c r="A935" s="93" t="s">
        <v>6438</v>
      </c>
      <c r="B935">
        <v>3.8</v>
      </c>
      <c r="C935">
        <v>1030</v>
      </c>
      <c r="D935">
        <v>3</v>
      </c>
    </row>
    <row r="936" spans="1:4">
      <c r="A936" s="93" t="s">
        <v>6439</v>
      </c>
      <c r="B936">
        <v>3.7</v>
      </c>
      <c r="C936">
        <v>1030</v>
      </c>
      <c r="D936">
        <v>3</v>
      </c>
    </row>
    <row r="937" spans="1:4">
      <c r="A937" s="93" t="s">
        <v>6440</v>
      </c>
      <c r="B937">
        <v>3.6</v>
      </c>
      <c r="C937">
        <v>1030</v>
      </c>
      <c r="D937">
        <v>4</v>
      </c>
    </row>
    <row r="938" spans="1:4">
      <c r="A938" s="93" t="s">
        <v>6441</v>
      </c>
      <c r="B938">
        <v>3.5</v>
      </c>
      <c r="C938">
        <v>1030</v>
      </c>
      <c r="D938">
        <v>4</v>
      </c>
    </row>
    <row r="939" spans="1:4">
      <c r="A939" s="93" t="s">
        <v>6442</v>
      </c>
      <c r="B939">
        <v>3.4</v>
      </c>
      <c r="C939">
        <v>1030</v>
      </c>
      <c r="D939">
        <v>5</v>
      </c>
    </row>
    <row r="940" spans="1:4">
      <c r="A940" s="93" t="s">
        <v>6443</v>
      </c>
      <c r="B940">
        <v>3.3</v>
      </c>
      <c r="C940">
        <v>1030</v>
      </c>
      <c r="D940">
        <v>5</v>
      </c>
    </row>
    <row r="941" spans="1:4">
      <c r="A941" s="93" t="s">
        <v>6444</v>
      </c>
      <c r="B941">
        <v>3.2</v>
      </c>
      <c r="C941">
        <v>1030</v>
      </c>
      <c r="D941">
        <v>5</v>
      </c>
    </row>
    <row r="942" spans="1:4">
      <c r="A942" s="93" t="s">
        <v>6445</v>
      </c>
      <c r="B942">
        <v>3.1</v>
      </c>
      <c r="C942">
        <v>1030</v>
      </c>
      <c r="D942">
        <v>5</v>
      </c>
    </row>
    <row r="943" spans="1:4">
      <c r="A943" s="93" t="s">
        <v>6446</v>
      </c>
      <c r="B943">
        <v>3</v>
      </c>
      <c r="C943">
        <v>1030</v>
      </c>
      <c r="D943">
        <v>5</v>
      </c>
    </row>
    <row r="944" spans="1:4">
      <c r="A944" s="93" t="s">
        <v>6447</v>
      </c>
      <c r="B944">
        <v>2.9</v>
      </c>
      <c r="C944">
        <v>1030</v>
      </c>
      <c r="D944">
        <v>6</v>
      </c>
    </row>
    <row r="945" spans="1:4">
      <c r="A945" s="93" t="s">
        <v>6448</v>
      </c>
      <c r="B945">
        <v>2.8</v>
      </c>
      <c r="C945">
        <v>1030</v>
      </c>
      <c r="D945">
        <v>6</v>
      </c>
    </row>
    <row r="946" spans="1:4">
      <c r="A946" s="93" t="s">
        <v>6449</v>
      </c>
      <c r="B946">
        <v>2.7</v>
      </c>
      <c r="C946">
        <v>1030</v>
      </c>
      <c r="D946">
        <v>7</v>
      </c>
    </row>
    <row r="947" spans="1:4">
      <c r="A947" s="93" t="s">
        <v>6450</v>
      </c>
      <c r="B947">
        <v>2.6</v>
      </c>
      <c r="C947">
        <v>1030</v>
      </c>
      <c r="D947">
        <v>7</v>
      </c>
    </row>
    <row r="948" spans="1:4">
      <c r="A948" s="93" t="s">
        <v>6451</v>
      </c>
      <c r="B948">
        <v>2.5</v>
      </c>
      <c r="C948">
        <v>1030</v>
      </c>
      <c r="D948">
        <v>7</v>
      </c>
    </row>
    <row r="949" spans="1:4">
      <c r="A949" s="93" t="s">
        <v>6452</v>
      </c>
      <c r="B949">
        <v>2.4</v>
      </c>
      <c r="C949">
        <v>1030</v>
      </c>
      <c r="D949">
        <v>7</v>
      </c>
    </row>
    <row r="950" spans="1:4">
      <c r="A950" s="93" t="s">
        <v>6453</v>
      </c>
      <c r="B950">
        <v>2.3</v>
      </c>
      <c r="C950">
        <v>1030</v>
      </c>
      <c r="D950">
        <v>8</v>
      </c>
    </row>
    <row r="951" spans="1:4">
      <c r="A951" s="93" t="s">
        <v>6454</v>
      </c>
      <c r="B951">
        <v>2.2</v>
      </c>
      <c r="C951">
        <v>1030</v>
      </c>
      <c r="D951">
        <v>8</v>
      </c>
    </row>
    <row r="952" spans="1:4">
      <c r="A952" s="93" t="s">
        <v>6455</v>
      </c>
      <c r="B952">
        <v>2.1</v>
      </c>
      <c r="C952">
        <v>1030</v>
      </c>
      <c r="D952">
        <v>8</v>
      </c>
    </row>
    <row r="953" spans="1:4">
      <c r="A953" s="93" t="s">
        <v>6456</v>
      </c>
      <c r="B953">
        <v>2</v>
      </c>
      <c r="C953">
        <v>1030</v>
      </c>
      <c r="D953">
        <v>8</v>
      </c>
    </row>
    <row r="954" spans="1:4">
      <c r="A954" s="93" t="s">
        <v>6457</v>
      </c>
      <c r="B954">
        <v>1.9</v>
      </c>
      <c r="C954">
        <v>1030</v>
      </c>
      <c r="D954">
        <v>9</v>
      </c>
    </row>
    <row r="955" spans="1:4">
      <c r="A955" s="93" t="s">
        <v>6458</v>
      </c>
      <c r="B955">
        <v>1.8</v>
      </c>
      <c r="C955">
        <v>1030</v>
      </c>
      <c r="D955">
        <v>9</v>
      </c>
    </row>
    <row r="956" spans="1:4">
      <c r="A956" s="93" t="s">
        <v>6459</v>
      </c>
      <c r="B956">
        <v>1.7</v>
      </c>
      <c r="C956">
        <v>1030</v>
      </c>
      <c r="D956">
        <v>9</v>
      </c>
    </row>
    <row r="957" spans="1:4">
      <c r="A957" s="93" t="s">
        <v>6460</v>
      </c>
      <c r="B957">
        <v>1.6</v>
      </c>
      <c r="C957">
        <v>1030</v>
      </c>
      <c r="D957">
        <v>9</v>
      </c>
    </row>
    <row r="958" spans="1:4">
      <c r="A958" s="93" t="s">
        <v>6461</v>
      </c>
      <c r="B958">
        <v>1.5</v>
      </c>
      <c r="C958">
        <v>1030</v>
      </c>
      <c r="D958">
        <v>10</v>
      </c>
    </row>
    <row r="959" spans="1:4">
      <c r="A959" s="93" t="s">
        <v>6462</v>
      </c>
      <c r="B959">
        <v>4.3</v>
      </c>
      <c r="C959">
        <v>1040</v>
      </c>
      <c r="D959">
        <v>3</v>
      </c>
    </row>
    <row r="960" spans="1:4">
      <c r="A960" s="93" t="s">
        <v>6463</v>
      </c>
      <c r="B960">
        <v>4.2</v>
      </c>
      <c r="C960">
        <v>1040</v>
      </c>
      <c r="D960">
        <v>3</v>
      </c>
    </row>
    <row r="961" spans="1:4">
      <c r="A961" s="93" t="s">
        <v>6464</v>
      </c>
      <c r="B961">
        <v>4.1</v>
      </c>
      <c r="C961">
        <v>1040</v>
      </c>
      <c r="D961">
        <v>3</v>
      </c>
    </row>
    <row r="962" spans="1:4">
      <c r="A962" s="93" t="s">
        <v>6465</v>
      </c>
      <c r="B962">
        <v>4</v>
      </c>
      <c r="C962">
        <v>1040</v>
      </c>
      <c r="D962">
        <v>3</v>
      </c>
    </row>
    <row r="963" spans="1:4">
      <c r="A963" s="93" t="s">
        <v>6466</v>
      </c>
      <c r="B963">
        <v>3.9</v>
      </c>
      <c r="C963">
        <v>1040</v>
      </c>
      <c r="D963">
        <v>3</v>
      </c>
    </row>
    <row r="964" spans="1:4">
      <c r="A964" s="93" t="s">
        <v>6467</v>
      </c>
      <c r="B964">
        <v>3.8</v>
      </c>
      <c r="C964">
        <v>1040</v>
      </c>
      <c r="D964">
        <v>3</v>
      </c>
    </row>
    <row r="965" spans="1:4">
      <c r="A965" s="93" t="s">
        <v>6468</v>
      </c>
      <c r="B965">
        <v>3.7</v>
      </c>
      <c r="C965">
        <v>1040</v>
      </c>
      <c r="D965">
        <v>3</v>
      </c>
    </row>
    <row r="966" spans="1:4">
      <c r="A966" s="93" t="s">
        <v>6469</v>
      </c>
      <c r="B966">
        <v>3.6</v>
      </c>
      <c r="C966">
        <v>1040</v>
      </c>
      <c r="D966">
        <v>4</v>
      </c>
    </row>
    <row r="967" spans="1:4">
      <c r="A967" s="93" t="s">
        <v>6470</v>
      </c>
      <c r="B967">
        <v>3.5</v>
      </c>
      <c r="C967">
        <v>1040</v>
      </c>
      <c r="D967">
        <v>4</v>
      </c>
    </row>
    <row r="968" spans="1:4">
      <c r="A968" s="93" t="s">
        <v>6471</v>
      </c>
      <c r="B968">
        <v>3.4</v>
      </c>
      <c r="C968">
        <v>1040</v>
      </c>
      <c r="D968">
        <v>5</v>
      </c>
    </row>
    <row r="969" spans="1:4">
      <c r="A969" s="93" t="s">
        <v>6472</v>
      </c>
      <c r="B969">
        <v>3.3</v>
      </c>
      <c r="C969">
        <v>1040</v>
      </c>
      <c r="D969">
        <v>5</v>
      </c>
    </row>
    <row r="970" spans="1:4">
      <c r="A970" s="93" t="s">
        <v>6473</v>
      </c>
      <c r="B970">
        <v>3.2</v>
      </c>
      <c r="C970">
        <v>1040</v>
      </c>
      <c r="D970">
        <v>5</v>
      </c>
    </row>
    <row r="971" spans="1:4">
      <c r="A971" s="93" t="s">
        <v>6474</v>
      </c>
      <c r="B971">
        <v>3.1</v>
      </c>
      <c r="C971">
        <v>1040</v>
      </c>
      <c r="D971">
        <v>5</v>
      </c>
    </row>
    <row r="972" spans="1:4">
      <c r="A972" s="93" t="s">
        <v>6475</v>
      </c>
      <c r="B972">
        <v>3</v>
      </c>
      <c r="C972">
        <v>1040</v>
      </c>
      <c r="D972">
        <v>5</v>
      </c>
    </row>
    <row r="973" spans="1:4">
      <c r="A973" s="93" t="s">
        <v>6476</v>
      </c>
      <c r="B973">
        <v>2.9</v>
      </c>
      <c r="C973">
        <v>1040</v>
      </c>
      <c r="D973">
        <v>6</v>
      </c>
    </row>
    <row r="974" spans="1:4">
      <c r="A974" s="93" t="s">
        <v>6477</v>
      </c>
      <c r="B974">
        <v>2.8</v>
      </c>
      <c r="C974">
        <v>1040</v>
      </c>
      <c r="D974">
        <v>6</v>
      </c>
    </row>
    <row r="975" spans="1:4">
      <c r="A975" s="93" t="s">
        <v>6478</v>
      </c>
      <c r="B975">
        <v>2.7</v>
      </c>
      <c r="C975">
        <v>1040</v>
      </c>
      <c r="D975">
        <v>7</v>
      </c>
    </row>
    <row r="976" spans="1:4">
      <c r="A976" s="93" t="s">
        <v>6479</v>
      </c>
      <c r="B976">
        <v>2.6</v>
      </c>
      <c r="C976">
        <v>1040</v>
      </c>
      <c r="D976">
        <v>7</v>
      </c>
    </row>
    <row r="977" spans="1:4">
      <c r="A977" s="93" t="s">
        <v>6480</v>
      </c>
      <c r="B977">
        <v>2.5</v>
      </c>
      <c r="C977">
        <v>1040</v>
      </c>
      <c r="D977">
        <v>7</v>
      </c>
    </row>
    <row r="978" spans="1:4">
      <c r="A978" s="93" t="s">
        <v>6481</v>
      </c>
      <c r="B978">
        <v>2.4</v>
      </c>
      <c r="C978">
        <v>1040</v>
      </c>
      <c r="D978">
        <v>7</v>
      </c>
    </row>
    <row r="979" spans="1:4">
      <c r="A979" s="93" t="s">
        <v>6482</v>
      </c>
      <c r="B979">
        <v>2.3</v>
      </c>
      <c r="C979">
        <v>1040</v>
      </c>
      <c r="D979">
        <v>8</v>
      </c>
    </row>
    <row r="980" spans="1:4">
      <c r="A980" s="93" t="s">
        <v>6483</v>
      </c>
      <c r="B980">
        <v>2.2</v>
      </c>
      <c r="C980">
        <v>1040</v>
      </c>
      <c r="D980">
        <v>8</v>
      </c>
    </row>
    <row r="981" spans="1:4">
      <c r="A981" s="93" t="s">
        <v>6484</v>
      </c>
      <c r="B981">
        <v>2.1</v>
      </c>
      <c r="C981">
        <v>1040</v>
      </c>
      <c r="D981">
        <v>8</v>
      </c>
    </row>
    <row r="982" spans="1:4">
      <c r="A982" s="93" t="s">
        <v>6485</v>
      </c>
      <c r="B982">
        <v>2</v>
      </c>
      <c r="C982">
        <v>1040</v>
      </c>
      <c r="D982">
        <v>8</v>
      </c>
    </row>
    <row r="983" spans="1:4">
      <c r="A983" s="93" t="s">
        <v>6486</v>
      </c>
      <c r="B983">
        <v>1.9</v>
      </c>
      <c r="C983">
        <v>1040</v>
      </c>
      <c r="D983">
        <v>9</v>
      </c>
    </row>
    <row r="984" spans="1:4">
      <c r="A984" s="93" t="s">
        <v>6487</v>
      </c>
      <c r="B984">
        <v>1.8</v>
      </c>
      <c r="C984">
        <v>1040</v>
      </c>
      <c r="D984">
        <v>9</v>
      </c>
    </row>
    <row r="985" spans="1:4">
      <c r="A985" s="93" t="s">
        <v>6488</v>
      </c>
      <c r="B985">
        <v>1.7</v>
      </c>
      <c r="C985">
        <v>1040</v>
      </c>
      <c r="D985">
        <v>9</v>
      </c>
    </row>
    <row r="986" spans="1:4">
      <c r="A986" s="93" t="s">
        <v>6489</v>
      </c>
      <c r="B986">
        <v>1.6</v>
      </c>
      <c r="C986">
        <v>1040</v>
      </c>
      <c r="D986">
        <v>9</v>
      </c>
    </row>
    <row r="987" spans="1:4">
      <c r="A987" s="93" t="s">
        <v>6490</v>
      </c>
      <c r="B987">
        <v>1.5</v>
      </c>
      <c r="C987">
        <v>1040</v>
      </c>
      <c r="D987">
        <v>10</v>
      </c>
    </row>
    <row r="988" spans="1:4">
      <c r="A988" s="93" t="s">
        <v>6491</v>
      </c>
      <c r="B988">
        <v>4.3</v>
      </c>
      <c r="C988">
        <v>1050</v>
      </c>
      <c r="D988">
        <v>3</v>
      </c>
    </row>
    <row r="989" spans="1:4">
      <c r="A989" s="93" t="s">
        <v>6492</v>
      </c>
      <c r="B989">
        <v>4.2</v>
      </c>
      <c r="C989">
        <v>1050</v>
      </c>
      <c r="D989">
        <v>3</v>
      </c>
    </row>
    <row r="990" spans="1:4">
      <c r="A990" s="93" t="s">
        <v>6493</v>
      </c>
      <c r="B990">
        <v>4.1</v>
      </c>
      <c r="C990">
        <v>1050</v>
      </c>
      <c r="D990">
        <v>3</v>
      </c>
    </row>
    <row r="991" spans="1:4">
      <c r="A991" s="93" t="s">
        <v>6494</v>
      </c>
      <c r="B991">
        <v>4</v>
      </c>
      <c r="C991">
        <v>1050</v>
      </c>
      <c r="D991">
        <v>3</v>
      </c>
    </row>
    <row r="992" spans="1:4">
      <c r="A992" s="93" t="s">
        <v>6495</v>
      </c>
      <c r="B992">
        <v>3.9</v>
      </c>
      <c r="C992">
        <v>1050</v>
      </c>
      <c r="D992">
        <v>3</v>
      </c>
    </row>
    <row r="993" spans="1:4">
      <c r="A993" s="93" t="s">
        <v>6496</v>
      </c>
      <c r="B993">
        <v>3.8</v>
      </c>
      <c r="C993">
        <v>1050</v>
      </c>
      <c r="D993">
        <v>3</v>
      </c>
    </row>
    <row r="994" spans="1:4">
      <c r="A994" s="93" t="s">
        <v>6497</v>
      </c>
      <c r="B994">
        <v>3.7</v>
      </c>
      <c r="C994">
        <v>1050</v>
      </c>
      <c r="D994">
        <v>3</v>
      </c>
    </row>
    <row r="995" spans="1:4">
      <c r="A995" s="93" t="s">
        <v>6498</v>
      </c>
      <c r="B995">
        <v>3.6</v>
      </c>
      <c r="C995">
        <v>1050</v>
      </c>
      <c r="D995">
        <v>4</v>
      </c>
    </row>
    <row r="996" spans="1:4">
      <c r="A996" s="93" t="s">
        <v>6499</v>
      </c>
      <c r="B996">
        <v>3.5</v>
      </c>
      <c r="C996">
        <v>1050</v>
      </c>
      <c r="D996">
        <v>4</v>
      </c>
    </row>
    <row r="997" spans="1:4">
      <c r="A997" s="93" t="s">
        <v>6500</v>
      </c>
      <c r="B997">
        <v>3.4</v>
      </c>
      <c r="C997">
        <v>1050</v>
      </c>
      <c r="D997">
        <v>5</v>
      </c>
    </row>
    <row r="998" spans="1:4">
      <c r="A998" s="93" t="s">
        <v>6501</v>
      </c>
      <c r="B998">
        <v>3.3</v>
      </c>
      <c r="C998">
        <v>1050</v>
      </c>
      <c r="D998">
        <v>5</v>
      </c>
    </row>
    <row r="999" spans="1:4">
      <c r="A999" s="93" t="s">
        <v>6502</v>
      </c>
      <c r="B999">
        <v>3.2</v>
      </c>
      <c r="C999">
        <v>1050</v>
      </c>
      <c r="D999">
        <v>5</v>
      </c>
    </row>
    <row r="1000" spans="1:4">
      <c r="A1000" s="93" t="s">
        <v>6503</v>
      </c>
      <c r="B1000">
        <v>3.1</v>
      </c>
      <c r="C1000">
        <v>1050</v>
      </c>
      <c r="D1000">
        <v>5</v>
      </c>
    </row>
    <row r="1001" spans="1:4">
      <c r="A1001" s="93" t="s">
        <v>6504</v>
      </c>
      <c r="B1001">
        <v>3</v>
      </c>
      <c r="C1001">
        <v>1050</v>
      </c>
      <c r="D1001">
        <v>5</v>
      </c>
    </row>
    <row r="1002" spans="1:4">
      <c r="A1002" s="93" t="s">
        <v>6505</v>
      </c>
      <c r="B1002">
        <v>2.9</v>
      </c>
      <c r="C1002">
        <v>1050</v>
      </c>
      <c r="D1002">
        <v>6</v>
      </c>
    </row>
    <row r="1003" spans="1:4">
      <c r="A1003" s="93" t="s">
        <v>6506</v>
      </c>
      <c r="B1003">
        <v>2.8</v>
      </c>
      <c r="C1003">
        <v>1050</v>
      </c>
      <c r="D1003">
        <v>6</v>
      </c>
    </row>
    <row r="1004" spans="1:4">
      <c r="A1004" s="93" t="s">
        <v>6507</v>
      </c>
      <c r="B1004">
        <v>2.7</v>
      </c>
      <c r="C1004">
        <v>1050</v>
      </c>
      <c r="D1004">
        <v>7</v>
      </c>
    </row>
    <row r="1005" spans="1:4">
      <c r="A1005" s="93" t="s">
        <v>6508</v>
      </c>
      <c r="B1005">
        <v>2.6</v>
      </c>
      <c r="C1005">
        <v>1050</v>
      </c>
      <c r="D1005">
        <v>7</v>
      </c>
    </row>
    <row r="1006" spans="1:4">
      <c r="A1006" s="93" t="s">
        <v>6509</v>
      </c>
      <c r="B1006">
        <v>2.5</v>
      </c>
      <c r="C1006">
        <v>1050</v>
      </c>
      <c r="D1006">
        <v>7</v>
      </c>
    </row>
    <row r="1007" spans="1:4">
      <c r="A1007" s="93" t="s">
        <v>6510</v>
      </c>
      <c r="B1007">
        <v>2.4</v>
      </c>
      <c r="C1007">
        <v>1050</v>
      </c>
      <c r="D1007">
        <v>7</v>
      </c>
    </row>
    <row r="1008" spans="1:4">
      <c r="A1008" s="93" t="s">
        <v>6511</v>
      </c>
      <c r="B1008">
        <v>2.3</v>
      </c>
      <c r="C1008">
        <v>1050</v>
      </c>
      <c r="D1008">
        <v>8</v>
      </c>
    </row>
    <row r="1009" spans="1:4">
      <c r="A1009" s="93" t="s">
        <v>6512</v>
      </c>
      <c r="B1009">
        <v>2.2</v>
      </c>
      <c r="C1009">
        <v>1050</v>
      </c>
      <c r="D1009">
        <v>8</v>
      </c>
    </row>
    <row r="1010" spans="1:4">
      <c r="A1010" s="93" t="s">
        <v>6513</v>
      </c>
      <c r="B1010">
        <v>2.1</v>
      </c>
      <c r="C1010">
        <v>1050</v>
      </c>
      <c r="D1010">
        <v>8</v>
      </c>
    </row>
    <row r="1011" spans="1:4">
      <c r="A1011" s="93" t="s">
        <v>6514</v>
      </c>
      <c r="B1011">
        <v>2</v>
      </c>
      <c r="C1011">
        <v>1050</v>
      </c>
      <c r="D1011">
        <v>8</v>
      </c>
    </row>
    <row r="1012" spans="1:4">
      <c r="A1012" s="93" t="s">
        <v>6515</v>
      </c>
      <c r="B1012">
        <v>1.9</v>
      </c>
      <c r="C1012">
        <v>1050</v>
      </c>
      <c r="D1012">
        <v>9</v>
      </c>
    </row>
    <row r="1013" spans="1:4">
      <c r="A1013" s="93" t="s">
        <v>6516</v>
      </c>
      <c r="B1013">
        <v>1.8</v>
      </c>
      <c r="C1013">
        <v>1050</v>
      </c>
      <c r="D1013">
        <v>9</v>
      </c>
    </row>
    <row r="1014" spans="1:4">
      <c r="A1014" s="93" t="s">
        <v>6517</v>
      </c>
      <c r="B1014">
        <v>1.7</v>
      </c>
      <c r="C1014">
        <v>1050</v>
      </c>
      <c r="D1014">
        <v>9</v>
      </c>
    </row>
    <row r="1015" spans="1:4">
      <c r="A1015" s="93" t="s">
        <v>6518</v>
      </c>
      <c r="B1015">
        <v>1.6</v>
      </c>
      <c r="C1015">
        <v>1050</v>
      </c>
      <c r="D1015">
        <v>9</v>
      </c>
    </row>
    <row r="1016" spans="1:4">
      <c r="A1016" s="93" t="s">
        <v>6519</v>
      </c>
      <c r="B1016">
        <v>1.5</v>
      </c>
      <c r="C1016">
        <v>1050</v>
      </c>
      <c r="D1016">
        <v>10</v>
      </c>
    </row>
    <row r="1017" spans="1:4">
      <c r="A1017" s="93" t="s">
        <v>6520</v>
      </c>
      <c r="B1017">
        <v>4.3</v>
      </c>
      <c r="C1017">
        <v>1060</v>
      </c>
      <c r="D1017">
        <v>3</v>
      </c>
    </row>
    <row r="1018" spans="1:4">
      <c r="A1018" s="93" t="s">
        <v>6521</v>
      </c>
      <c r="B1018">
        <v>4.2</v>
      </c>
      <c r="C1018">
        <v>1060</v>
      </c>
      <c r="D1018">
        <v>3</v>
      </c>
    </row>
    <row r="1019" spans="1:4">
      <c r="A1019" s="93" t="s">
        <v>6522</v>
      </c>
      <c r="B1019">
        <v>4.1</v>
      </c>
      <c r="C1019">
        <v>1060</v>
      </c>
      <c r="D1019">
        <v>3</v>
      </c>
    </row>
    <row r="1020" spans="1:4">
      <c r="A1020" s="93" t="s">
        <v>6523</v>
      </c>
      <c r="B1020">
        <v>4</v>
      </c>
      <c r="C1020">
        <v>1060</v>
      </c>
      <c r="D1020">
        <v>3</v>
      </c>
    </row>
    <row r="1021" spans="1:4">
      <c r="A1021" s="93" t="s">
        <v>6524</v>
      </c>
      <c r="B1021">
        <v>3.9</v>
      </c>
      <c r="C1021">
        <v>1060</v>
      </c>
      <c r="D1021">
        <v>3</v>
      </c>
    </row>
    <row r="1022" spans="1:4">
      <c r="A1022" s="93" t="s">
        <v>6525</v>
      </c>
      <c r="B1022">
        <v>3.8</v>
      </c>
      <c r="C1022">
        <v>1060</v>
      </c>
      <c r="D1022">
        <v>3</v>
      </c>
    </row>
    <row r="1023" spans="1:4">
      <c r="A1023" s="93" t="s">
        <v>6526</v>
      </c>
      <c r="B1023">
        <v>3.7</v>
      </c>
      <c r="C1023">
        <v>1060</v>
      </c>
      <c r="D1023">
        <v>3</v>
      </c>
    </row>
    <row r="1024" spans="1:4">
      <c r="A1024" s="93" t="s">
        <v>6527</v>
      </c>
      <c r="B1024">
        <v>3.6</v>
      </c>
      <c r="C1024">
        <v>1060</v>
      </c>
      <c r="D1024">
        <v>4</v>
      </c>
    </row>
    <row r="1025" spans="1:4">
      <c r="A1025" s="93" t="s">
        <v>6528</v>
      </c>
      <c r="B1025">
        <v>3.5</v>
      </c>
      <c r="C1025">
        <v>1060</v>
      </c>
      <c r="D1025">
        <v>4</v>
      </c>
    </row>
    <row r="1026" spans="1:4">
      <c r="A1026" s="93" t="s">
        <v>6529</v>
      </c>
      <c r="B1026">
        <v>3.4</v>
      </c>
      <c r="C1026">
        <v>1060</v>
      </c>
      <c r="D1026">
        <v>4</v>
      </c>
    </row>
    <row r="1027" spans="1:4">
      <c r="A1027" s="93" t="s">
        <v>6530</v>
      </c>
      <c r="B1027">
        <v>3.3</v>
      </c>
      <c r="C1027">
        <v>1060</v>
      </c>
      <c r="D1027">
        <v>5</v>
      </c>
    </row>
    <row r="1028" spans="1:4">
      <c r="A1028" s="93" t="s">
        <v>6531</v>
      </c>
      <c r="B1028">
        <v>3.2</v>
      </c>
      <c r="C1028">
        <v>1060</v>
      </c>
      <c r="D1028">
        <v>5</v>
      </c>
    </row>
    <row r="1029" spans="1:4">
      <c r="A1029" s="93" t="s">
        <v>6532</v>
      </c>
      <c r="B1029">
        <v>3.1</v>
      </c>
      <c r="C1029">
        <v>1060</v>
      </c>
      <c r="D1029">
        <v>5</v>
      </c>
    </row>
    <row r="1030" spans="1:4">
      <c r="A1030" s="93" t="s">
        <v>6533</v>
      </c>
      <c r="B1030">
        <v>3</v>
      </c>
      <c r="C1030">
        <v>1060</v>
      </c>
      <c r="D1030">
        <v>5</v>
      </c>
    </row>
    <row r="1031" spans="1:4">
      <c r="A1031" s="93" t="s">
        <v>6534</v>
      </c>
      <c r="B1031">
        <v>2.9</v>
      </c>
      <c r="C1031">
        <v>1060</v>
      </c>
      <c r="D1031">
        <v>5</v>
      </c>
    </row>
    <row r="1032" spans="1:4">
      <c r="A1032" s="93" t="s">
        <v>6535</v>
      </c>
      <c r="B1032">
        <v>2.8</v>
      </c>
      <c r="C1032">
        <v>1060</v>
      </c>
      <c r="D1032">
        <v>6</v>
      </c>
    </row>
    <row r="1033" spans="1:4">
      <c r="A1033" s="93" t="s">
        <v>6536</v>
      </c>
      <c r="B1033">
        <v>2.7</v>
      </c>
      <c r="C1033">
        <v>1060</v>
      </c>
      <c r="D1033">
        <v>6</v>
      </c>
    </row>
    <row r="1034" spans="1:4">
      <c r="A1034" s="93" t="s">
        <v>6537</v>
      </c>
      <c r="B1034">
        <v>2.6</v>
      </c>
      <c r="C1034">
        <v>1060</v>
      </c>
      <c r="D1034">
        <v>6</v>
      </c>
    </row>
    <row r="1035" spans="1:4">
      <c r="A1035" s="93" t="s">
        <v>6538</v>
      </c>
      <c r="B1035">
        <v>2.5</v>
      </c>
      <c r="C1035">
        <v>1060</v>
      </c>
      <c r="D1035">
        <v>7</v>
      </c>
    </row>
    <row r="1036" spans="1:4">
      <c r="A1036" s="93" t="s">
        <v>6539</v>
      </c>
      <c r="B1036">
        <v>2.4</v>
      </c>
      <c r="C1036">
        <v>1060</v>
      </c>
      <c r="D1036">
        <v>7</v>
      </c>
    </row>
    <row r="1037" spans="1:4">
      <c r="A1037" s="93" t="s">
        <v>6540</v>
      </c>
      <c r="B1037">
        <v>2.3</v>
      </c>
      <c r="C1037">
        <v>1060</v>
      </c>
      <c r="D1037">
        <v>7</v>
      </c>
    </row>
    <row r="1038" spans="1:4">
      <c r="A1038" s="93" t="s">
        <v>6541</v>
      </c>
      <c r="B1038">
        <v>2.2</v>
      </c>
      <c r="C1038">
        <v>1060</v>
      </c>
      <c r="D1038">
        <v>8</v>
      </c>
    </row>
    <row r="1039" spans="1:4">
      <c r="A1039" s="93" t="s">
        <v>6542</v>
      </c>
      <c r="B1039">
        <v>2.1</v>
      </c>
      <c r="C1039">
        <v>1060</v>
      </c>
      <c r="D1039">
        <v>8</v>
      </c>
    </row>
    <row r="1040" spans="1:4">
      <c r="A1040" s="93" t="s">
        <v>6543</v>
      </c>
      <c r="B1040">
        <v>2</v>
      </c>
      <c r="C1040">
        <v>1060</v>
      </c>
      <c r="D1040">
        <v>8</v>
      </c>
    </row>
    <row r="1041" spans="1:4">
      <c r="A1041" s="93" t="s">
        <v>6544</v>
      </c>
      <c r="B1041">
        <v>1.9</v>
      </c>
      <c r="C1041">
        <v>1060</v>
      </c>
      <c r="D1041">
        <v>8</v>
      </c>
    </row>
    <row r="1042" spans="1:4">
      <c r="A1042" s="93" t="s">
        <v>6545</v>
      </c>
      <c r="B1042">
        <v>1.8</v>
      </c>
      <c r="C1042">
        <v>1060</v>
      </c>
      <c r="D1042">
        <v>9</v>
      </c>
    </row>
    <row r="1043" spans="1:4">
      <c r="A1043" s="93" t="s">
        <v>6546</v>
      </c>
      <c r="B1043">
        <v>1.7</v>
      </c>
      <c r="C1043">
        <v>1060</v>
      </c>
      <c r="D1043">
        <v>9</v>
      </c>
    </row>
    <row r="1044" spans="1:4">
      <c r="A1044" s="93" t="s">
        <v>6547</v>
      </c>
      <c r="B1044">
        <v>1.6</v>
      </c>
      <c r="C1044">
        <v>1060</v>
      </c>
      <c r="D1044">
        <v>9</v>
      </c>
    </row>
    <row r="1045" spans="1:4">
      <c r="A1045" s="93" t="s">
        <v>6548</v>
      </c>
      <c r="B1045">
        <v>1.5</v>
      </c>
      <c r="C1045">
        <v>1060</v>
      </c>
      <c r="D1045">
        <v>9</v>
      </c>
    </row>
    <row r="1046" spans="1:4">
      <c r="A1046" s="93" t="s">
        <v>6549</v>
      </c>
      <c r="B1046">
        <v>4.3</v>
      </c>
      <c r="C1046">
        <v>1070</v>
      </c>
      <c r="D1046">
        <v>3</v>
      </c>
    </row>
    <row r="1047" spans="1:4">
      <c r="A1047" s="93" t="s">
        <v>6550</v>
      </c>
      <c r="B1047">
        <v>4.2</v>
      </c>
      <c r="C1047">
        <v>1070</v>
      </c>
      <c r="D1047">
        <v>3</v>
      </c>
    </row>
    <row r="1048" spans="1:4">
      <c r="A1048" s="93" t="s">
        <v>6551</v>
      </c>
      <c r="B1048">
        <v>4.1</v>
      </c>
      <c r="C1048">
        <v>1070</v>
      </c>
      <c r="D1048">
        <v>3</v>
      </c>
    </row>
    <row r="1049" spans="1:4">
      <c r="A1049" s="93" t="s">
        <v>6552</v>
      </c>
      <c r="B1049">
        <v>4</v>
      </c>
      <c r="C1049">
        <v>1070</v>
      </c>
      <c r="D1049">
        <v>3</v>
      </c>
    </row>
    <row r="1050" spans="1:4">
      <c r="A1050" s="93" t="s">
        <v>6553</v>
      </c>
      <c r="B1050">
        <v>3.9</v>
      </c>
      <c r="C1050">
        <v>1070</v>
      </c>
      <c r="D1050">
        <v>3</v>
      </c>
    </row>
    <row r="1051" spans="1:4">
      <c r="A1051" s="93" t="s">
        <v>6554</v>
      </c>
      <c r="B1051">
        <v>3.8</v>
      </c>
      <c r="C1051">
        <v>1070</v>
      </c>
      <c r="D1051">
        <v>3</v>
      </c>
    </row>
    <row r="1052" spans="1:4">
      <c r="A1052" s="93" t="s">
        <v>6555</v>
      </c>
      <c r="B1052">
        <v>3.7</v>
      </c>
      <c r="C1052">
        <v>1070</v>
      </c>
      <c r="D1052">
        <v>3</v>
      </c>
    </row>
    <row r="1053" spans="1:4">
      <c r="A1053" s="93" t="s">
        <v>6556</v>
      </c>
      <c r="B1053">
        <v>3.6</v>
      </c>
      <c r="C1053">
        <v>1070</v>
      </c>
      <c r="D1053">
        <v>4</v>
      </c>
    </row>
    <row r="1054" spans="1:4">
      <c r="A1054" s="93" t="s">
        <v>6557</v>
      </c>
      <c r="B1054">
        <v>3.5</v>
      </c>
      <c r="C1054">
        <v>1070</v>
      </c>
      <c r="D1054">
        <v>4</v>
      </c>
    </row>
    <row r="1055" spans="1:4">
      <c r="A1055" s="93" t="s">
        <v>6558</v>
      </c>
      <c r="B1055">
        <v>3.4</v>
      </c>
      <c r="C1055">
        <v>1070</v>
      </c>
      <c r="D1055">
        <v>4</v>
      </c>
    </row>
    <row r="1056" spans="1:4">
      <c r="A1056" s="93" t="s">
        <v>6559</v>
      </c>
      <c r="B1056">
        <v>3.3</v>
      </c>
      <c r="C1056">
        <v>1070</v>
      </c>
      <c r="D1056">
        <v>5</v>
      </c>
    </row>
    <row r="1057" spans="1:4">
      <c r="A1057" s="93" t="s">
        <v>6560</v>
      </c>
      <c r="B1057">
        <v>3.2</v>
      </c>
      <c r="C1057">
        <v>1070</v>
      </c>
      <c r="D1057">
        <v>5</v>
      </c>
    </row>
    <row r="1058" spans="1:4">
      <c r="A1058" s="93" t="s">
        <v>6561</v>
      </c>
      <c r="B1058">
        <v>3.1</v>
      </c>
      <c r="C1058">
        <v>1070</v>
      </c>
      <c r="D1058">
        <v>5</v>
      </c>
    </row>
    <row r="1059" spans="1:4">
      <c r="A1059" s="93" t="s">
        <v>6562</v>
      </c>
      <c r="B1059">
        <v>3</v>
      </c>
      <c r="C1059">
        <v>1070</v>
      </c>
      <c r="D1059">
        <v>5</v>
      </c>
    </row>
    <row r="1060" spans="1:4">
      <c r="A1060" s="93" t="s">
        <v>6563</v>
      </c>
      <c r="B1060">
        <v>2.9</v>
      </c>
      <c r="C1060">
        <v>1070</v>
      </c>
      <c r="D1060">
        <v>5</v>
      </c>
    </row>
    <row r="1061" spans="1:4">
      <c r="A1061" s="93" t="s">
        <v>6564</v>
      </c>
      <c r="B1061">
        <v>2.8</v>
      </c>
      <c r="C1061">
        <v>1070</v>
      </c>
      <c r="D1061">
        <v>6</v>
      </c>
    </row>
    <row r="1062" spans="1:4">
      <c r="A1062" s="93" t="s">
        <v>6565</v>
      </c>
      <c r="B1062">
        <v>2.7</v>
      </c>
      <c r="C1062">
        <v>1070</v>
      </c>
      <c r="D1062">
        <v>6</v>
      </c>
    </row>
    <row r="1063" spans="1:4">
      <c r="A1063" s="93" t="s">
        <v>6566</v>
      </c>
      <c r="B1063">
        <v>2.6</v>
      </c>
      <c r="C1063">
        <v>1070</v>
      </c>
      <c r="D1063">
        <v>6</v>
      </c>
    </row>
    <row r="1064" spans="1:4">
      <c r="A1064" s="93" t="s">
        <v>6567</v>
      </c>
      <c r="B1064">
        <v>2.5</v>
      </c>
      <c r="C1064">
        <v>1070</v>
      </c>
      <c r="D1064">
        <v>7</v>
      </c>
    </row>
    <row r="1065" spans="1:4">
      <c r="A1065" s="93" t="s">
        <v>6568</v>
      </c>
      <c r="B1065">
        <v>2.4</v>
      </c>
      <c r="C1065">
        <v>1070</v>
      </c>
      <c r="D1065">
        <v>7</v>
      </c>
    </row>
    <row r="1066" spans="1:4">
      <c r="A1066" s="93" t="s">
        <v>6569</v>
      </c>
      <c r="B1066">
        <v>2.3</v>
      </c>
      <c r="C1066">
        <v>1070</v>
      </c>
      <c r="D1066">
        <v>7</v>
      </c>
    </row>
    <row r="1067" spans="1:4">
      <c r="A1067" s="93" t="s">
        <v>6570</v>
      </c>
      <c r="B1067">
        <v>2.2</v>
      </c>
      <c r="C1067">
        <v>1070</v>
      </c>
      <c r="D1067">
        <v>8</v>
      </c>
    </row>
    <row r="1068" spans="1:4">
      <c r="A1068" s="93" t="s">
        <v>6571</v>
      </c>
      <c r="B1068">
        <v>2.1</v>
      </c>
      <c r="C1068">
        <v>1070</v>
      </c>
      <c r="D1068">
        <v>8</v>
      </c>
    </row>
    <row r="1069" spans="1:4">
      <c r="A1069" s="93" t="s">
        <v>6572</v>
      </c>
      <c r="B1069">
        <v>2</v>
      </c>
      <c r="C1069">
        <v>1070</v>
      </c>
      <c r="D1069">
        <v>8</v>
      </c>
    </row>
    <row r="1070" spans="1:4">
      <c r="A1070" s="93" t="s">
        <v>6573</v>
      </c>
      <c r="B1070">
        <v>1.9</v>
      </c>
      <c r="C1070">
        <v>1070</v>
      </c>
      <c r="D1070">
        <v>8</v>
      </c>
    </row>
    <row r="1071" spans="1:4">
      <c r="A1071" s="93" t="s">
        <v>6574</v>
      </c>
      <c r="B1071">
        <v>1.8</v>
      </c>
      <c r="C1071">
        <v>1070</v>
      </c>
      <c r="D1071">
        <v>9</v>
      </c>
    </row>
    <row r="1072" spans="1:4">
      <c r="A1072" s="93" t="s">
        <v>6575</v>
      </c>
      <c r="B1072">
        <v>1.7</v>
      </c>
      <c r="C1072">
        <v>1070</v>
      </c>
      <c r="D1072">
        <v>9</v>
      </c>
    </row>
    <row r="1073" spans="1:4">
      <c r="A1073" s="93" t="s">
        <v>6576</v>
      </c>
      <c r="B1073">
        <v>1.6</v>
      </c>
      <c r="C1073">
        <v>1070</v>
      </c>
      <c r="D1073">
        <v>9</v>
      </c>
    </row>
    <row r="1074" spans="1:4">
      <c r="A1074" s="93" t="s">
        <v>6577</v>
      </c>
      <c r="B1074">
        <v>1.5</v>
      </c>
      <c r="C1074">
        <v>1070</v>
      </c>
      <c r="D1074">
        <v>9</v>
      </c>
    </row>
    <row r="1075" spans="1:4">
      <c r="A1075" s="93" t="s">
        <v>6578</v>
      </c>
      <c r="B1075">
        <v>4.3</v>
      </c>
      <c r="C1075">
        <v>1080</v>
      </c>
      <c r="D1075">
        <v>3</v>
      </c>
    </row>
    <row r="1076" spans="1:4">
      <c r="A1076" s="93" t="s">
        <v>6579</v>
      </c>
      <c r="B1076">
        <v>4.2</v>
      </c>
      <c r="C1076">
        <v>1080</v>
      </c>
      <c r="D1076">
        <v>3</v>
      </c>
    </row>
    <row r="1077" spans="1:4">
      <c r="A1077" s="93" t="s">
        <v>6580</v>
      </c>
      <c r="B1077">
        <v>4.1</v>
      </c>
      <c r="C1077">
        <v>1080</v>
      </c>
      <c r="D1077">
        <v>3</v>
      </c>
    </row>
    <row r="1078" spans="1:4">
      <c r="A1078" s="93" t="s">
        <v>6581</v>
      </c>
      <c r="B1078">
        <v>4</v>
      </c>
      <c r="C1078">
        <v>1080</v>
      </c>
      <c r="D1078">
        <v>3</v>
      </c>
    </row>
    <row r="1079" spans="1:4">
      <c r="A1079" s="93" t="s">
        <v>6582</v>
      </c>
      <c r="B1079">
        <v>3.9</v>
      </c>
      <c r="C1079">
        <v>1080</v>
      </c>
      <c r="D1079">
        <v>3</v>
      </c>
    </row>
    <row r="1080" spans="1:4">
      <c r="A1080" s="93" t="s">
        <v>6583</v>
      </c>
      <c r="B1080">
        <v>3.8</v>
      </c>
      <c r="C1080">
        <v>1080</v>
      </c>
      <c r="D1080">
        <v>3</v>
      </c>
    </row>
    <row r="1081" spans="1:4">
      <c r="A1081" s="93" t="s">
        <v>6584</v>
      </c>
      <c r="B1081">
        <v>3.7</v>
      </c>
      <c r="C1081">
        <v>1080</v>
      </c>
      <c r="D1081">
        <v>3</v>
      </c>
    </row>
    <row r="1082" spans="1:4">
      <c r="A1082" s="93" t="s">
        <v>6585</v>
      </c>
      <c r="B1082">
        <v>3.6</v>
      </c>
      <c r="C1082">
        <v>1080</v>
      </c>
      <c r="D1082">
        <v>4</v>
      </c>
    </row>
    <row r="1083" spans="1:4">
      <c r="A1083" s="93" t="s">
        <v>6586</v>
      </c>
      <c r="B1083">
        <v>3.5</v>
      </c>
      <c r="C1083">
        <v>1080</v>
      </c>
      <c r="D1083">
        <v>4</v>
      </c>
    </row>
    <row r="1084" spans="1:4">
      <c r="A1084" s="93" t="s">
        <v>6587</v>
      </c>
      <c r="B1084">
        <v>3.4</v>
      </c>
      <c r="C1084">
        <v>1080</v>
      </c>
      <c r="D1084">
        <v>4</v>
      </c>
    </row>
    <row r="1085" spans="1:4">
      <c r="A1085" s="93" t="s">
        <v>6588</v>
      </c>
      <c r="B1085">
        <v>3.3</v>
      </c>
      <c r="C1085">
        <v>1080</v>
      </c>
      <c r="D1085">
        <v>5</v>
      </c>
    </row>
    <row r="1086" spans="1:4">
      <c r="A1086" s="93" t="s">
        <v>6589</v>
      </c>
      <c r="B1086">
        <v>3.2</v>
      </c>
      <c r="C1086">
        <v>1080</v>
      </c>
      <c r="D1086">
        <v>5</v>
      </c>
    </row>
    <row r="1087" spans="1:4">
      <c r="A1087" s="93" t="s">
        <v>6590</v>
      </c>
      <c r="B1087">
        <v>3.1</v>
      </c>
      <c r="C1087">
        <v>1080</v>
      </c>
      <c r="D1087">
        <v>5</v>
      </c>
    </row>
    <row r="1088" spans="1:4">
      <c r="A1088" s="93" t="s">
        <v>6591</v>
      </c>
      <c r="B1088">
        <v>3</v>
      </c>
      <c r="C1088">
        <v>1080</v>
      </c>
      <c r="D1088">
        <v>5</v>
      </c>
    </row>
    <row r="1089" spans="1:4">
      <c r="A1089" s="93" t="s">
        <v>6592</v>
      </c>
      <c r="B1089">
        <v>2.9</v>
      </c>
      <c r="C1089">
        <v>1080</v>
      </c>
      <c r="D1089">
        <v>5</v>
      </c>
    </row>
    <row r="1090" spans="1:4">
      <c r="A1090" s="93" t="s">
        <v>6593</v>
      </c>
      <c r="B1090">
        <v>2.8</v>
      </c>
      <c r="C1090">
        <v>1080</v>
      </c>
      <c r="D1090">
        <v>6</v>
      </c>
    </row>
    <row r="1091" spans="1:4">
      <c r="A1091" s="93" t="s">
        <v>6594</v>
      </c>
      <c r="B1091">
        <v>2.7</v>
      </c>
      <c r="C1091">
        <v>1080</v>
      </c>
      <c r="D1091">
        <v>6</v>
      </c>
    </row>
    <row r="1092" spans="1:4">
      <c r="A1092" s="93" t="s">
        <v>6595</v>
      </c>
      <c r="B1092">
        <v>2.6</v>
      </c>
      <c r="C1092">
        <v>1080</v>
      </c>
      <c r="D1092">
        <v>6</v>
      </c>
    </row>
    <row r="1093" spans="1:4">
      <c r="A1093" s="93" t="s">
        <v>6596</v>
      </c>
      <c r="B1093">
        <v>2.5</v>
      </c>
      <c r="C1093">
        <v>1080</v>
      </c>
      <c r="D1093">
        <v>7</v>
      </c>
    </row>
    <row r="1094" spans="1:4">
      <c r="A1094" s="93" t="s">
        <v>6597</v>
      </c>
      <c r="B1094">
        <v>2.4</v>
      </c>
      <c r="C1094">
        <v>1080</v>
      </c>
      <c r="D1094">
        <v>7</v>
      </c>
    </row>
    <row r="1095" spans="1:4">
      <c r="A1095" s="93" t="s">
        <v>6598</v>
      </c>
      <c r="B1095">
        <v>2.3</v>
      </c>
      <c r="C1095">
        <v>1080</v>
      </c>
      <c r="D1095">
        <v>7</v>
      </c>
    </row>
    <row r="1096" spans="1:4">
      <c r="A1096" s="93" t="s">
        <v>6599</v>
      </c>
      <c r="B1096">
        <v>2.2</v>
      </c>
      <c r="C1096">
        <v>1080</v>
      </c>
      <c r="D1096">
        <v>8</v>
      </c>
    </row>
    <row r="1097" spans="1:4">
      <c r="A1097" s="93" t="s">
        <v>6600</v>
      </c>
      <c r="B1097">
        <v>2.1</v>
      </c>
      <c r="C1097">
        <v>1080</v>
      </c>
      <c r="D1097">
        <v>8</v>
      </c>
    </row>
    <row r="1098" spans="1:4">
      <c r="A1098" s="93" t="s">
        <v>6601</v>
      </c>
      <c r="B1098">
        <v>2</v>
      </c>
      <c r="C1098">
        <v>1080</v>
      </c>
      <c r="D1098">
        <v>8</v>
      </c>
    </row>
    <row r="1099" spans="1:4">
      <c r="A1099" s="93" t="s">
        <v>6602</v>
      </c>
      <c r="B1099">
        <v>1.9</v>
      </c>
      <c r="C1099">
        <v>1080</v>
      </c>
      <c r="D1099">
        <v>8</v>
      </c>
    </row>
    <row r="1100" spans="1:4">
      <c r="A1100" s="93" t="s">
        <v>6603</v>
      </c>
      <c r="B1100">
        <v>1.8</v>
      </c>
      <c r="C1100">
        <v>1080</v>
      </c>
      <c r="D1100">
        <v>9</v>
      </c>
    </row>
    <row r="1101" spans="1:4">
      <c r="A1101" s="93" t="s">
        <v>6604</v>
      </c>
      <c r="B1101">
        <v>1.7</v>
      </c>
      <c r="C1101">
        <v>1080</v>
      </c>
      <c r="D1101">
        <v>9</v>
      </c>
    </row>
    <row r="1102" spans="1:4">
      <c r="A1102" s="93" t="s">
        <v>6605</v>
      </c>
      <c r="B1102">
        <v>1.6</v>
      </c>
      <c r="C1102">
        <v>1080</v>
      </c>
      <c r="D1102">
        <v>9</v>
      </c>
    </row>
    <row r="1103" spans="1:4">
      <c r="A1103" s="93" t="s">
        <v>6606</v>
      </c>
      <c r="B1103">
        <v>1.5</v>
      </c>
      <c r="C1103">
        <v>1080</v>
      </c>
      <c r="D1103">
        <v>9</v>
      </c>
    </row>
    <row r="1104" spans="1:4">
      <c r="A1104" s="93" t="s">
        <v>6607</v>
      </c>
      <c r="B1104">
        <v>4.3</v>
      </c>
      <c r="C1104">
        <v>1090</v>
      </c>
      <c r="D1104">
        <v>3</v>
      </c>
    </row>
    <row r="1105" spans="1:4">
      <c r="A1105" s="93" t="s">
        <v>6608</v>
      </c>
      <c r="B1105">
        <v>4.2</v>
      </c>
      <c r="C1105">
        <v>1090</v>
      </c>
      <c r="D1105">
        <v>3</v>
      </c>
    </row>
    <row r="1106" spans="1:4">
      <c r="A1106" s="93" t="s">
        <v>6609</v>
      </c>
      <c r="B1106">
        <v>4.1</v>
      </c>
      <c r="C1106">
        <v>1090</v>
      </c>
      <c r="D1106">
        <v>3</v>
      </c>
    </row>
    <row r="1107" spans="1:4">
      <c r="A1107" s="93" t="s">
        <v>6610</v>
      </c>
      <c r="B1107">
        <v>4</v>
      </c>
      <c r="C1107">
        <v>1090</v>
      </c>
      <c r="D1107">
        <v>3</v>
      </c>
    </row>
    <row r="1108" spans="1:4">
      <c r="A1108" s="93" t="s">
        <v>6611</v>
      </c>
      <c r="B1108">
        <v>3.9</v>
      </c>
      <c r="C1108">
        <v>1090</v>
      </c>
      <c r="D1108">
        <v>3</v>
      </c>
    </row>
    <row r="1109" spans="1:4">
      <c r="A1109" s="93" t="s">
        <v>6612</v>
      </c>
      <c r="B1109">
        <v>3.8</v>
      </c>
      <c r="C1109">
        <v>1090</v>
      </c>
      <c r="D1109">
        <v>3</v>
      </c>
    </row>
    <row r="1110" spans="1:4">
      <c r="A1110" s="93" t="s">
        <v>6613</v>
      </c>
      <c r="B1110">
        <v>3.7</v>
      </c>
      <c r="C1110">
        <v>1090</v>
      </c>
      <c r="D1110">
        <v>3</v>
      </c>
    </row>
    <row r="1111" spans="1:4">
      <c r="A1111" s="93" t="s">
        <v>6614</v>
      </c>
      <c r="B1111">
        <v>3.6</v>
      </c>
      <c r="C1111">
        <v>1090</v>
      </c>
      <c r="D1111">
        <v>4</v>
      </c>
    </row>
    <row r="1112" spans="1:4">
      <c r="A1112" s="93" t="s">
        <v>6615</v>
      </c>
      <c r="B1112">
        <v>3.5</v>
      </c>
      <c r="C1112">
        <v>1090</v>
      </c>
      <c r="D1112">
        <v>4</v>
      </c>
    </row>
    <row r="1113" spans="1:4">
      <c r="A1113" s="93" t="s">
        <v>6616</v>
      </c>
      <c r="B1113">
        <v>3.4</v>
      </c>
      <c r="C1113">
        <v>1090</v>
      </c>
      <c r="D1113">
        <v>4</v>
      </c>
    </row>
    <row r="1114" spans="1:4">
      <c r="A1114" s="93" t="s">
        <v>6617</v>
      </c>
      <c r="B1114">
        <v>3.3</v>
      </c>
      <c r="C1114">
        <v>1090</v>
      </c>
      <c r="D1114">
        <v>5</v>
      </c>
    </row>
    <row r="1115" spans="1:4">
      <c r="A1115" s="93" t="s">
        <v>6618</v>
      </c>
      <c r="B1115">
        <v>3.2</v>
      </c>
      <c r="C1115">
        <v>1090</v>
      </c>
      <c r="D1115">
        <v>5</v>
      </c>
    </row>
    <row r="1116" spans="1:4">
      <c r="A1116" s="93" t="s">
        <v>6619</v>
      </c>
      <c r="B1116">
        <v>3.1</v>
      </c>
      <c r="C1116">
        <v>1090</v>
      </c>
      <c r="D1116">
        <v>5</v>
      </c>
    </row>
    <row r="1117" spans="1:4">
      <c r="A1117" s="93" t="s">
        <v>6620</v>
      </c>
      <c r="B1117">
        <v>3</v>
      </c>
      <c r="C1117">
        <v>1090</v>
      </c>
      <c r="D1117">
        <v>5</v>
      </c>
    </row>
    <row r="1118" spans="1:4">
      <c r="A1118" s="93" t="s">
        <v>6621</v>
      </c>
      <c r="B1118">
        <v>2.9</v>
      </c>
      <c r="C1118">
        <v>1090</v>
      </c>
      <c r="D1118">
        <v>5</v>
      </c>
    </row>
    <row r="1119" spans="1:4">
      <c r="A1119" s="93" t="s">
        <v>6622</v>
      </c>
      <c r="B1119">
        <v>2.8</v>
      </c>
      <c r="C1119">
        <v>1090</v>
      </c>
      <c r="D1119">
        <v>6</v>
      </c>
    </row>
    <row r="1120" spans="1:4">
      <c r="A1120" s="93" t="s">
        <v>6623</v>
      </c>
      <c r="B1120">
        <v>2.7</v>
      </c>
      <c r="C1120">
        <v>1090</v>
      </c>
      <c r="D1120">
        <v>6</v>
      </c>
    </row>
    <row r="1121" spans="1:4">
      <c r="A1121" s="93" t="s">
        <v>6624</v>
      </c>
      <c r="B1121">
        <v>2.6</v>
      </c>
      <c r="C1121">
        <v>1090</v>
      </c>
      <c r="D1121">
        <v>6</v>
      </c>
    </row>
    <row r="1122" spans="1:4">
      <c r="A1122" s="93" t="s">
        <v>6625</v>
      </c>
      <c r="B1122">
        <v>2.5</v>
      </c>
      <c r="C1122">
        <v>1090</v>
      </c>
      <c r="D1122">
        <v>7</v>
      </c>
    </row>
    <row r="1123" spans="1:4">
      <c r="A1123" s="93" t="s">
        <v>6626</v>
      </c>
      <c r="B1123">
        <v>2.4</v>
      </c>
      <c r="C1123">
        <v>1090</v>
      </c>
      <c r="D1123">
        <v>7</v>
      </c>
    </row>
    <row r="1124" spans="1:4">
      <c r="A1124" s="93" t="s">
        <v>6627</v>
      </c>
      <c r="B1124">
        <v>2.3</v>
      </c>
      <c r="C1124">
        <v>1090</v>
      </c>
      <c r="D1124">
        <v>7</v>
      </c>
    </row>
    <row r="1125" spans="1:4">
      <c r="A1125" s="93" t="s">
        <v>6628</v>
      </c>
      <c r="B1125">
        <v>2.2</v>
      </c>
      <c r="C1125">
        <v>1090</v>
      </c>
      <c r="D1125">
        <v>8</v>
      </c>
    </row>
    <row r="1126" spans="1:4">
      <c r="A1126" s="93" t="s">
        <v>6629</v>
      </c>
      <c r="B1126">
        <v>2.1</v>
      </c>
      <c r="C1126">
        <v>1090</v>
      </c>
      <c r="D1126">
        <v>8</v>
      </c>
    </row>
    <row r="1127" spans="1:4">
      <c r="A1127" s="93" t="s">
        <v>6630</v>
      </c>
      <c r="B1127">
        <v>2</v>
      </c>
      <c r="C1127">
        <v>1090</v>
      </c>
      <c r="D1127">
        <v>8</v>
      </c>
    </row>
    <row r="1128" spans="1:4">
      <c r="A1128" s="93" t="s">
        <v>6631</v>
      </c>
      <c r="B1128">
        <v>1.9</v>
      </c>
      <c r="C1128">
        <v>1090</v>
      </c>
      <c r="D1128">
        <v>8</v>
      </c>
    </row>
    <row r="1129" spans="1:4">
      <c r="A1129" s="93" t="s">
        <v>6632</v>
      </c>
      <c r="B1129">
        <v>1.8</v>
      </c>
      <c r="C1129">
        <v>1090</v>
      </c>
      <c r="D1129">
        <v>9</v>
      </c>
    </row>
    <row r="1130" spans="1:4">
      <c r="A1130" s="93" t="s">
        <v>6633</v>
      </c>
      <c r="B1130">
        <v>1.7</v>
      </c>
      <c r="C1130">
        <v>1090</v>
      </c>
      <c r="D1130">
        <v>9</v>
      </c>
    </row>
    <row r="1131" spans="1:4">
      <c r="A1131" s="93" t="s">
        <v>6634</v>
      </c>
      <c r="B1131">
        <v>1.6</v>
      </c>
      <c r="C1131">
        <v>1090</v>
      </c>
      <c r="D1131">
        <v>9</v>
      </c>
    </row>
    <row r="1132" spans="1:4">
      <c r="A1132" s="93" t="s">
        <v>6635</v>
      </c>
      <c r="B1132">
        <v>1.5</v>
      </c>
      <c r="C1132">
        <v>1090</v>
      </c>
      <c r="D1132">
        <v>9</v>
      </c>
    </row>
    <row r="1133" spans="1:4">
      <c r="A1133" s="93" t="s">
        <v>6636</v>
      </c>
      <c r="B1133">
        <v>4.3</v>
      </c>
      <c r="C1133">
        <v>1100</v>
      </c>
      <c r="D1133">
        <v>3</v>
      </c>
    </row>
    <row r="1134" spans="1:4">
      <c r="A1134" s="93" t="s">
        <v>6637</v>
      </c>
      <c r="B1134">
        <v>4.2</v>
      </c>
      <c r="C1134">
        <v>1100</v>
      </c>
      <c r="D1134">
        <v>3</v>
      </c>
    </row>
    <row r="1135" spans="1:4">
      <c r="A1135" s="93" t="s">
        <v>6638</v>
      </c>
      <c r="B1135">
        <v>4.1</v>
      </c>
      <c r="C1135">
        <v>1100</v>
      </c>
      <c r="D1135">
        <v>3</v>
      </c>
    </row>
    <row r="1136" spans="1:4">
      <c r="A1136" s="93" t="s">
        <v>6639</v>
      </c>
      <c r="B1136">
        <v>4</v>
      </c>
      <c r="C1136">
        <v>1100</v>
      </c>
      <c r="D1136">
        <v>3</v>
      </c>
    </row>
    <row r="1137" spans="1:4">
      <c r="A1137" s="93" t="s">
        <v>6640</v>
      </c>
      <c r="B1137">
        <v>3.9</v>
      </c>
      <c r="C1137">
        <v>1100</v>
      </c>
      <c r="D1137">
        <v>3</v>
      </c>
    </row>
    <row r="1138" spans="1:4">
      <c r="A1138" s="93" t="s">
        <v>6641</v>
      </c>
      <c r="B1138">
        <v>3.8</v>
      </c>
      <c r="C1138">
        <v>1100</v>
      </c>
      <c r="D1138">
        <v>3</v>
      </c>
    </row>
    <row r="1139" spans="1:4">
      <c r="A1139" s="93" t="s">
        <v>6642</v>
      </c>
      <c r="B1139">
        <v>3.7</v>
      </c>
      <c r="C1139">
        <v>1100</v>
      </c>
      <c r="D1139">
        <v>3</v>
      </c>
    </row>
    <row r="1140" spans="1:4">
      <c r="A1140" s="93" t="s">
        <v>6643</v>
      </c>
      <c r="B1140">
        <v>3.6</v>
      </c>
      <c r="C1140">
        <v>1100</v>
      </c>
      <c r="D1140">
        <v>3</v>
      </c>
    </row>
    <row r="1141" spans="1:4">
      <c r="A1141" s="93" t="s">
        <v>6644</v>
      </c>
      <c r="B1141">
        <v>3.5</v>
      </c>
      <c r="C1141">
        <v>1100</v>
      </c>
      <c r="D1141">
        <v>4</v>
      </c>
    </row>
    <row r="1142" spans="1:4">
      <c r="A1142" s="93" t="s">
        <v>6645</v>
      </c>
      <c r="B1142">
        <v>3.4</v>
      </c>
      <c r="C1142">
        <v>1100</v>
      </c>
      <c r="D1142">
        <v>4</v>
      </c>
    </row>
    <row r="1143" spans="1:4">
      <c r="A1143" s="93" t="s">
        <v>6646</v>
      </c>
      <c r="B1143">
        <v>3.3</v>
      </c>
      <c r="C1143">
        <v>1100</v>
      </c>
      <c r="D1143">
        <v>4</v>
      </c>
    </row>
    <row r="1144" spans="1:4">
      <c r="A1144" s="93" t="s">
        <v>6647</v>
      </c>
      <c r="B1144">
        <v>3.2</v>
      </c>
      <c r="C1144">
        <v>1100</v>
      </c>
      <c r="D1144">
        <v>5</v>
      </c>
    </row>
    <row r="1145" spans="1:4">
      <c r="A1145" s="93" t="s">
        <v>6648</v>
      </c>
      <c r="B1145">
        <v>3.1</v>
      </c>
      <c r="C1145">
        <v>1100</v>
      </c>
      <c r="D1145">
        <v>5</v>
      </c>
    </row>
    <row r="1146" spans="1:4">
      <c r="A1146" s="93" t="s">
        <v>6649</v>
      </c>
      <c r="B1146">
        <v>3</v>
      </c>
      <c r="C1146">
        <v>1100</v>
      </c>
      <c r="D1146">
        <v>5</v>
      </c>
    </row>
    <row r="1147" spans="1:4">
      <c r="A1147" s="93" t="s">
        <v>6650</v>
      </c>
      <c r="B1147">
        <v>2.9</v>
      </c>
      <c r="C1147">
        <v>1100</v>
      </c>
      <c r="D1147">
        <v>5</v>
      </c>
    </row>
    <row r="1148" spans="1:4">
      <c r="A1148" s="93" t="s">
        <v>6651</v>
      </c>
      <c r="B1148">
        <v>2.8</v>
      </c>
      <c r="C1148">
        <v>1100</v>
      </c>
      <c r="D1148">
        <v>6</v>
      </c>
    </row>
    <row r="1149" spans="1:4">
      <c r="A1149" s="93" t="s">
        <v>6652</v>
      </c>
      <c r="B1149">
        <v>2.7</v>
      </c>
      <c r="C1149">
        <v>1100</v>
      </c>
      <c r="D1149">
        <v>6</v>
      </c>
    </row>
    <row r="1150" spans="1:4">
      <c r="A1150" s="93" t="s">
        <v>6653</v>
      </c>
      <c r="B1150">
        <v>2.6</v>
      </c>
      <c r="C1150">
        <v>1100</v>
      </c>
      <c r="D1150">
        <v>6</v>
      </c>
    </row>
    <row r="1151" spans="1:4">
      <c r="A1151" s="93" t="s">
        <v>6654</v>
      </c>
      <c r="B1151">
        <v>2.5</v>
      </c>
      <c r="C1151">
        <v>1100</v>
      </c>
      <c r="D1151">
        <v>6</v>
      </c>
    </row>
    <row r="1152" spans="1:4">
      <c r="A1152" s="93" t="s">
        <v>6655</v>
      </c>
      <c r="B1152">
        <v>2.4</v>
      </c>
      <c r="C1152">
        <v>1100</v>
      </c>
      <c r="D1152">
        <v>7</v>
      </c>
    </row>
    <row r="1153" spans="1:4">
      <c r="A1153" s="93" t="s">
        <v>6656</v>
      </c>
      <c r="B1153">
        <v>2.3</v>
      </c>
      <c r="C1153">
        <v>1100</v>
      </c>
      <c r="D1153">
        <v>7</v>
      </c>
    </row>
    <row r="1154" spans="1:4">
      <c r="A1154" s="93" t="s">
        <v>6657</v>
      </c>
      <c r="B1154">
        <v>2.2</v>
      </c>
      <c r="C1154">
        <v>1100</v>
      </c>
      <c r="D1154">
        <v>7</v>
      </c>
    </row>
    <row r="1155" spans="1:4">
      <c r="A1155" s="93" t="s">
        <v>6658</v>
      </c>
      <c r="B1155">
        <v>2.1</v>
      </c>
      <c r="C1155">
        <v>1100</v>
      </c>
      <c r="D1155">
        <v>7</v>
      </c>
    </row>
    <row r="1156" spans="1:4">
      <c r="A1156" s="93" t="s">
        <v>6659</v>
      </c>
      <c r="B1156">
        <v>2</v>
      </c>
      <c r="C1156">
        <v>1100</v>
      </c>
      <c r="D1156">
        <v>8</v>
      </c>
    </row>
    <row r="1157" spans="1:4">
      <c r="A1157" s="93" t="s">
        <v>6660</v>
      </c>
      <c r="B1157">
        <v>1.9</v>
      </c>
      <c r="C1157">
        <v>1100</v>
      </c>
      <c r="D1157">
        <v>8</v>
      </c>
    </row>
    <row r="1158" spans="1:4">
      <c r="A1158" s="93" t="s">
        <v>6661</v>
      </c>
      <c r="B1158">
        <v>1.8</v>
      </c>
      <c r="C1158">
        <v>1100</v>
      </c>
      <c r="D1158">
        <v>8</v>
      </c>
    </row>
    <row r="1159" spans="1:4">
      <c r="A1159" s="93" t="s">
        <v>6662</v>
      </c>
      <c r="B1159">
        <v>1.7</v>
      </c>
      <c r="C1159">
        <v>1100</v>
      </c>
      <c r="D1159">
        <v>8</v>
      </c>
    </row>
    <row r="1160" spans="1:4">
      <c r="A1160" s="93" t="s">
        <v>6663</v>
      </c>
      <c r="B1160">
        <v>1.6</v>
      </c>
      <c r="C1160">
        <v>1100</v>
      </c>
      <c r="D1160">
        <v>9</v>
      </c>
    </row>
    <row r="1161" spans="1:4">
      <c r="A1161" s="93" t="s">
        <v>6664</v>
      </c>
      <c r="B1161">
        <v>1.5</v>
      </c>
      <c r="C1161">
        <v>1100</v>
      </c>
      <c r="D1161">
        <v>9</v>
      </c>
    </row>
    <row r="1162" spans="1:4">
      <c r="A1162" s="93" t="s">
        <v>6665</v>
      </c>
      <c r="B1162">
        <v>4.3</v>
      </c>
      <c r="C1162">
        <v>1110</v>
      </c>
      <c r="D1162">
        <v>3</v>
      </c>
    </row>
    <row r="1163" spans="1:4">
      <c r="A1163" s="93" t="s">
        <v>6666</v>
      </c>
      <c r="B1163">
        <v>4.2</v>
      </c>
      <c r="C1163">
        <v>1110</v>
      </c>
      <c r="D1163">
        <v>3</v>
      </c>
    </row>
    <row r="1164" spans="1:4">
      <c r="A1164" s="93" t="s">
        <v>6667</v>
      </c>
      <c r="B1164">
        <v>4.1</v>
      </c>
      <c r="C1164">
        <v>1110</v>
      </c>
      <c r="D1164">
        <v>3</v>
      </c>
    </row>
    <row r="1165" spans="1:4">
      <c r="A1165" s="93" t="s">
        <v>6668</v>
      </c>
      <c r="B1165">
        <v>4</v>
      </c>
      <c r="C1165">
        <v>1110</v>
      </c>
      <c r="D1165">
        <v>3</v>
      </c>
    </row>
    <row r="1166" spans="1:4">
      <c r="A1166" s="93" t="s">
        <v>6669</v>
      </c>
      <c r="B1166">
        <v>3.9</v>
      </c>
      <c r="C1166">
        <v>1110</v>
      </c>
      <c r="D1166">
        <v>3</v>
      </c>
    </row>
    <row r="1167" spans="1:4">
      <c r="A1167" s="93" t="s">
        <v>6670</v>
      </c>
      <c r="B1167">
        <v>3.8</v>
      </c>
      <c r="C1167">
        <v>1110</v>
      </c>
      <c r="D1167">
        <v>3</v>
      </c>
    </row>
    <row r="1168" spans="1:4">
      <c r="A1168" s="93" t="s">
        <v>6671</v>
      </c>
      <c r="B1168">
        <v>3.7</v>
      </c>
      <c r="C1168">
        <v>1110</v>
      </c>
      <c r="D1168">
        <v>3</v>
      </c>
    </row>
    <row r="1169" spans="1:4">
      <c r="A1169" s="93" t="s">
        <v>6672</v>
      </c>
      <c r="B1169">
        <v>3.6</v>
      </c>
      <c r="C1169">
        <v>1110</v>
      </c>
      <c r="D1169">
        <v>3</v>
      </c>
    </row>
    <row r="1170" spans="1:4">
      <c r="A1170" s="93" t="s">
        <v>6673</v>
      </c>
      <c r="B1170">
        <v>3.5</v>
      </c>
      <c r="C1170">
        <v>1110</v>
      </c>
      <c r="D1170">
        <v>4</v>
      </c>
    </row>
    <row r="1171" spans="1:4">
      <c r="A1171" s="93" t="s">
        <v>6674</v>
      </c>
      <c r="B1171">
        <v>3.4</v>
      </c>
      <c r="C1171">
        <v>1110</v>
      </c>
      <c r="D1171">
        <v>4</v>
      </c>
    </row>
    <row r="1172" spans="1:4">
      <c r="A1172" s="93" t="s">
        <v>6675</v>
      </c>
      <c r="B1172">
        <v>3.3</v>
      </c>
      <c r="C1172">
        <v>1110</v>
      </c>
      <c r="D1172">
        <v>4</v>
      </c>
    </row>
    <row r="1173" spans="1:4">
      <c r="A1173" s="93" t="s">
        <v>6676</v>
      </c>
      <c r="B1173">
        <v>3.2</v>
      </c>
      <c r="C1173">
        <v>1110</v>
      </c>
      <c r="D1173">
        <v>5</v>
      </c>
    </row>
    <row r="1174" spans="1:4">
      <c r="A1174" s="93" t="s">
        <v>6677</v>
      </c>
      <c r="B1174">
        <v>3.1</v>
      </c>
      <c r="C1174">
        <v>1110</v>
      </c>
      <c r="D1174">
        <v>5</v>
      </c>
    </row>
    <row r="1175" spans="1:4">
      <c r="A1175" s="93" t="s">
        <v>6678</v>
      </c>
      <c r="B1175">
        <v>3</v>
      </c>
      <c r="C1175">
        <v>1110</v>
      </c>
      <c r="D1175">
        <v>5</v>
      </c>
    </row>
    <row r="1176" spans="1:4">
      <c r="A1176" s="93" t="s">
        <v>6679</v>
      </c>
      <c r="B1176">
        <v>2.9</v>
      </c>
      <c r="C1176">
        <v>1110</v>
      </c>
      <c r="D1176">
        <v>5</v>
      </c>
    </row>
    <row r="1177" spans="1:4">
      <c r="A1177" s="93" t="s">
        <v>6680</v>
      </c>
      <c r="B1177">
        <v>2.8</v>
      </c>
      <c r="C1177">
        <v>1110</v>
      </c>
      <c r="D1177">
        <v>6</v>
      </c>
    </row>
    <row r="1178" spans="1:4">
      <c r="A1178" s="93" t="s">
        <v>6681</v>
      </c>
      <c r="B1178">
        <v>2.7</v>
      </c>
      <c r="C1178">
        <v>1110</v>
      </c>
      <c r="D1178">
        <v>6</v>
      </c>
    </row>
    <row r="1179" spans="1:4">
      <c r="A1179" s="93" t="s">
        <v>6682</v>
      </c>
      <c r="B1179">
        <v>2.6</v>
      </c>
      <c r="C1179">
        <v>1110</v>
      </c>
      <c r="D1179">
        <v>6</v>
      </c>
    </row>
    <row r="1180" spans="1:4">
      <c r="A1180" s="93" t="s">
        <v>6683</v>
      </c>
      <c r="B1180">
        <v>2.5</v>
      </c>
      <c r="C1180">
        <v>1110</v>
      </c>
      <c r="D1180">
        <v>6</v>
      </c>
    </row>
    <row r="1181" spans="1:4">
      <c r="A1181" s="93" t="s">
        <v>6684</v>
      </c>
      <c r="B1181">
        <v>2.4</v>
      </c>
      <c r="C1181">
        <v>1110</v>
      </c>
      <c r="D1181">
        <v>7</v>
      </c>
    </row>
    <row r="1182" spans="1:4">
      <c r="A1182" s="93" t="s">
        <v>6685</v>
      </c>
      <c r="B1182">
        <v>2.3</v>
      </c>
      <c r="C1182">
        <v>1110</v>
      </c>
      <c r="D1182">
        <v>7</v>
      </c>
    </row>
    <row r="1183" spans="1:4">
      <c r="A1183" s="93" t="s">
        <v>6686</v>
      </c>
      <c r="B1183">
        <v>2.2</v>
      </c>
      <c r="C1183">
        <v>1110</v>
      </c>
      <c r="D1183">
        <v>7</v>
      </c>
    </row>
    <row r="1184" spans="1:4">
      <c r="A1184" s="93" t="s">
        <v>6687</v>
      </c>
      <c r="B1184">
        <v>2.1</v>
      </c>
      <c r="C1184">
        <v>1110</v>
      </c>
      <c r="D1184">
        <v>7</v>
      </c>
    </row>
    <row r="1185" spans="1:4">
      <c r="A1185" s="93" t="s">
        <v>6688</v>
      </c>
      <c r="B1185">
        <v>2</v>
      </c>
      <c r="C1185">
        <v>1110</v>
      </c>
      <c r="D1185">
        <v>8</v>
      </c>
    </row>
    <row r="1186" spans="1:4">
      <c r="A1186" s="93" t="s">
        <v>6689</v>
      </c>
      <c r="B1186">
        <v>1.9</v>
      </c>
      <c r="C1186">
        <v>1110</v>
      </c>
      <c r="D1186">
        <v>8</v>
      </c>
    </row>
    <row r="1187" spans="1:4">
      <c r="A1187" s="93" t="s">
        <v>6690</v>
      </c>
      <c r="B1187">
        <v>1.8</v>
      </c>
      <c r="C1187">
        <v>1110</v>
      </c>
      <c r="D1187">
        <v>8</v>
      </c>
    </row>
    <row r="1188" spans="1:4">
      <c r="A1188" s="93" t="s">
        <v>6691</v>
      </c>
      <c r="B1188">
        <v>1.7</v>
      </c>
      <c r="C1188">
        <v>1110</v>
      </c>
      <c r="D1188">
        <v>8</v>
      </c>
    </row>
    <row r="1189" spans="1:4">
      <c r="A1189" s="93" t="s">
        <v>6692</v>
      </c>
      <c r="B1189">
        <v>1.6</v>
      </c>
      <c r="C1189">
        <v>1110</v>
      </c>
      <c r="D1189">
        <v>9</v>
      </c>
    </row>
    <row r="1190" spans="1:4">
      <c r="A1190" s="93" t="s">
        <v>6693</v>
      </c>
      <c r="B1190">
        <v>1.5</v>
      </c>
      <c r="C1190">
        <v>1110</v>
      </c>
      <c r="D1190">
        <v>9</v>
      </c>
    </row>
    <row r="1191" spans="1:4">
      <c r="A1191" s="93" t="s">
        <v>6694</v>
      </c>
      <c r="B1191">
        <v>4.3</v>
      </c>
      <c r="C1191">
        <v>1120</v>
      </c>
      <c r="D1191">
        <v>3</v>
      </c>
    </row>
    <row r="1192" spans="1:4">
      <c r="A1192" s="93" t="s">
        <v>6695</v>
      </c>
      <c r="B1192">
        <v>4.2</v>
      </c>
      <c r="C1192">
        <v>1120</v>
      </c>
      <c r="D1192">
        <v>3</v>
      </c>
    </row>
    <row r="1193" spans="1:4">
      <c r="A1193" s="93" t="s">
        <v>6696</v>
      </c>
      <c r="B1193">
        <v>4.1</v>
      </c>
      <c r="C1193">
        <v>1120</v>
      </c>
      <c r="D1193">
        <v>3</v>
      </c>
    </row>
    <row r="1194" spans="1:4">
      <c r="A1194" s="93" t="s">
        <v>6697</v>
      </c>
      <c r="B1194">
        <v>4</v>
      </c>
      <c r="C1194">
        <v>1120</v>
      </c>
      <c r="D1194">
        <v>3</v>
      </c>
    </row>
    <row r="1195" spans="1:4">
      <c r="A1195" s="93" t="s">
        <v>6698</v>
      </c>
      <c r="B1195">
        <v>3.9</v>
      </c>
      <c r="C1195">
        <v>1120</v>
      </c>
      <c r="D1195">
        <v>3</v>
      </c>
    </row>
    <row r="1196" spans="1:4">
      <c r="A1196" s="93" t="s">
        <v>6699</v>
      </c>
      <c r="B1196">
        <v>3.8</v>
      </c>
      <c r="C1196">
        <v>1120</v>
      </c>
      <c r="D1196">
        <v>3</v>
      </c>
    </row>
    <row r="1197" spans="1:4">
      <c r="A1197" s="93" t="s">
        <v>6700</v>
      </c>
      <c r="B1197">
        <v>3.7</v>
      </c>
      <c r="C1197">
        <v>1120</v>
      </c>
      <c r="D1197">
        <v>3</v>
      </c>
    </row>
    <row r="1198" spans="1:4">
      <c r="A1198" s="93" t="s">
        <v>6701</v>
      </c>
      <c r="B1198">
        <v>3.6</v>
      </c>
      <c r="C1198">
        <v>1120</v>
      </c>
      <c r="D1198">
        <v>3</v>
      </c>
    </row>
    <row r="1199" spans="1:4">
      <c r="A1199" s="93" t="s">
        <v>6702</v>
      </c>
      <c r="B1199">
        <v>3.5</v>
      </c>
      <c r="C1199">
        <v>1120</v>
      </c>
      <c r="D1199">
        <v>4</v>
      </c>
    </row>
    <row r="1200" spans="1:4">
      <c r="A1200" s="93" t="s">
        <v>6703</v>
      </c>
      <c r="B1200">
        <v>3.4</v>
      </c>
      <c r="C1200">
        <v>1120</v>
      </c>
      <c r="D1200">
        <v>4</v>
      </c>
    </row>
    <row r="1201" spans="1:4">
      <c r="A1201" s="93" t="s">
        <v>6704</v>
      </c>
      <c r="B1201">
        <v>3.3</v>
      </c>
      <c r="C1201">
        <v>1120</v>
      </c>
      <c r="D1201">
        <v>4</v>
      </c>
    </row>
    <row r="1202" spans="1:4">
      <c r="A1202" s="93" t="s">
        <v>6705</v>
      </c>
      <c r="B1202">
        <v>3.2</v>
      </c>
      <c r="C1202">
        <v>1120</v>
      </c>
      <c r="D1202">
        <v>5</v>
      </c>
    </row>
    <row r="1203" spans="1:4">
      <c r="A1203" s="93" t="s">
        <v>6706</v>
      </c>
      <c r="B1203">
        <v>3.1</v>
      </c>
      <c r="C1203">
        <v>1120</v>
      </c>
      <c r="D1203">
        <v>5</v>
      </c>
    </row>
    <row r="1204" spans="1:4">
      <c r="A1204" s="93" t="s">
        <v>6707</v>
      </c>
      <c r="B1204">
        <v>3</v>
      </c>
      <c r="C1204">
        <v>1120</v>
      </c>
      <c r="D1204">
        <v>5</v>
      </c>
    </row>
    <row r="1205" spans="1:4">
      <c r="A1205" s="93" t="s">
        <v>6708</v>
      </c>
      <c r="B1205">
        <v>2.9</v>
      </c>
      <c r="C1205">
        <v>1120</v>
      </c>
      <c r="D1205">
        <v>5</v>
      </c>
    </row>
    <row r="1206" spans="1:4">
      <c r="A1206" s="93" t="s">
        <v>6709</v>
      </c>
      <c r="B1206">
        <v>2.8</v>
      </c>
      <c r="C1206">
        <v>1120</v>
      </c>
      <c r="D1206">
        <v>6</v>
      </c>
    </row>
    <row r="1207" spans="1:4">
      <c r="A1207" s="93" t="s">
        <v>6710</v>
      </c>
      <c r="B1207">
        <v>2.7</v>
      </c>
      <c r="C1207">
        <v>1120</v>
      </c>
      <c r="D1207">
        <v>6</v>
      </c>
    </row>
    <row r="1208" spans="1:4">
      <c r="A1208" s="93" t="s">
        <v>6711</v>
      </c>
      <c r="B1208">
        <v>2.6</v>
      </c>
      <c r="C1208">
        <v>1120</v>
      </c>
      <c r="D1208">
        <v>6</v>
      </c>
    </row>
    <row r="1209" spans="1:4">
      <c r="A1209" s="93" t="s">
        <v>6712</v>
      </c>
      <c r="B1209">
        <v>2.5</v>
      </c>
      <c r="C1209">
        <v>1120</v>
      </c>
      <c r="D1209">
        <v>6</v>
      </c>
    </row>
    <row r="1210" spans="1:4">
      <c r="A1210" s="93" t="s">
        <v>6713</v>
      </c>
      <c r="B1210">
        <v>2.4</v>
      </c>
      <c r="C1210">
        <v>1120</v>
      </c>
      <c r="D1210">
        <v>7</v>
      </c>
    </row>
    <row r="1211" spans="1:4">
      <c r="A1211" s="93" t="s">
        <v>6714</v>
      </c>
      <c r="B1211">
        <v>2.3</v>
      </c>
      <c r="C1211">
        <v>1120</v>
      </c>
      <c r="D1211">
        <v>7</v>
      </c>
    </row>
    <row r="1212" spans="1:4">
      <c r="A1212" s="93" t="s">
        <v>6715</v>
      </c>
      <c r="B1212">
        <v>2.2</v>
      </c>
      <c r="C1212">
        <v>1120</v>
      </c>
      <c r="D1212">
        <v>7</v>
      </c>
    </row>
    <row r="1213" spans="1:4">
      <c r="A1213" s="93" t="s">
        <v>6716</v>
      </c>
      <c r="B1213">
        <v>2.1</v>
      </c>
      <c r="C1213">
        <v>1120</v>
      </c>
      <c r="D1213">
        <v>7</v>
      </c>
    </row>
    <row r="1214" spans="1:4">
      <c r="A1214" s="93" t="s">
        <v>6717</v>
      </c>
      <c r="B1214">
        <v>2</v>
      </c>
      <c r="C1214">
        <v>1120</v>
      </c>
      <c r="D1214">
        <v>8</v>
      </c>
    </row>
    <row r="1215" spans="1:4">
      <c r="A1215" s="93" t="s">
        <v>6718</v>
      </c>
      <c r="B1215">
        <v>1.9</v>
      </c>
      <c r="C1215">
        <v>1120</v>
      </c>
      <c r="D1215">
        <v>8</v>
      </c>
    </row>
    <row r="1216" spans="1:4">
      <c r="A1216" s="93" t="s">
        <v>6719</v>
      </c>
      <c r="B1216">
        <v>1.8</v>
      </c>
      <c r="C1216">
        <v>1120</v>
      </c>
      <c r="D1216">
        <v>8</v>
      </c>
    </row>
    <row r="1217" spans="1:4">
      <c r="A1217" s="93" t="s">
        <v>6720</v>
      </c>
      <c r="B1217">
        <v>1.7</v>
      </c>
      <c r="C1217">
        <v>1120</v>
      </c>
      <c r="D1217">
        <v>8</v>
      </c>
    </row>
    <row r="1218" spans="1:4">
      <c r="A1218" s="93" t="s">
        <v>6721</v>
      </c>
      <c r="B1218">
        <v>1.6</v>
      </c>
      <c r="C1218">
        <v>1120</v>
      </c>
      <c r="D1218">
        <v>9</v>
      </c>
    </row>
    <row r="1219" spans="1:4">
      <c r="A1219" s="93" t="s">
        <v>6722</v>
      </c>
      <c r="B1219">
        <v>1.5</v>
      </c>
      <c r="C1219">
        <v>1120</v>
      </c>
      <c r="D1219">
        <v>9</v>
      </c>
    </row>
    <row r="1220" spans="1:4">
      <c r="A1220" s="93" t="s">
        <v>6723</v>
      </c>
      <c r="B1220">
        <v>4.3</v>
      </c>
      <c r="C1220">
        <v>1130</v>
      </c>
      <c r="D1220">
        <v>2</v>
      </c>
    </row>
    <row r="1221" spans="1:4">
      <c r="A1221" s="93" t="s">
        <v>6724</v>
      </c>
      <c r="B1221">
        <v>4.2</v>
      </c>
      <c r="C1221">
        <v>1130</v>
      </c>
      <c r="D1221">
        <v>3</v>
      </c>
    </row>
    <row r="1222" spans="1:4">
      <c r="A1222" s="93" t="s">
        <v>6725</v>
      </c>
      <c r="B1222">
        <v>4.1</v>
      </c>
      <c r="C1222">
        <v>1130</v>
      </c>
      <c r="D1222">
        <v>3</v>
      </c>
    </row>
    <row r="1223" spans="1:4">
      <c r="A1223" s="93" t="s">
        <v>6726</v>
      </c>
      <c r="B1223">
        <v>4</v>
      </c>
      <c r="C1223">
        <v>1130</v>
      </c>
      <c r="D1223">
        <v>3</v>
      </c>
    </row>
    <row r="1224" spans="1:4">
      <c r="A1224" s="93" t="s">
        <v>6727</v>
      </c>
      <c r="B1224">
        <v>3.9</v>
      </c>
      <c r="C1224">
        <v>1130</v>
      </c>
      <c r="D1224">
        <v>3</v>
      </c>
    </row>
    <row r="1225" spans="1:4">
      <c r="A1225" s="93" t="s">
        <v>6728</v>
      </c>
      <c r="B1225">
        <v>3.8</v>
      </c>
      <c r="C1225">
        <v>1130</v>
      </c>
      <c r="D1225">
        <v>3</v>
      </c>
    </row>
    <row r="1226" spans="1:4">
      <c r="A1226" s="93" t="s">
        <v>6729</v>
      </c>
      <c r="B1226">
        <v>3.7</v>
      </c>
      <c r="C1226">
        <v>1130</v>
      </c>
      <c r="D1226">
        <v>3</v>
      </c>
    </row>
    <row r="1227" spans="1:4">
      <c r="A1227" s="93" t="s">
        <v>6730</v>
      </c>
      <c r="B1227">
        <v>3.6</v>
      </c>
      <c r="C1227">
        <v>1130</v>
      </c>
      <c r="D1227">
        <v>3</v>
      </c>
    </row>
    <row r="1228" spans="1:4">
      <c r="A1228" s="93" t="s">
        <v>6731</v>
      </c>
      <c r="B1228">
        <v>3.5</v>
      </c>
      <c r="C1228">
        <v>1130</v>
      </c>
      <c r="D1228">
        <v>3</v>
      </c>
    </row>
    <row r="1229" spans="1:4">
      <c r="A1229" s="93" t="s">
        <v>6732</v>
      </c>
      <c r="B1229">
        <v>3.4</v>
      </c>
      <c r="C1229">
        <v>1130</v>
      </c>
      <c r="D1229">
        <v>4</v>
      </c>
    </row>
    <row r="1230" spans="1:4">
      <c r="A1230" s="93" t="s">
        <v>6733</v>
      </c>
      <c r="B1230">
        <v>3.3</v>
      </c>
      <c r="C1230">
        <v>1130</v>
      </c>
      <c r="D1230">
        <v>4</v>
      </c>
    </row>
    <row r="1231" spans="1:4">
      <c r="A1231" s="93" t="s">
        <v>6734</v>
      </c>
      <c r="B1231">
        <v>3.2</v>
      </c>
      <c r="C1231">
        <v>1130</v>
      </c>
      <c r="D1231">
        <v>4</v>
      </c>
    </row>
    <row r="1232" spans="1:4">
      <c r="A1232" s="93" t="s">
        <v>6735</v>
      </c>
      <c r="B1232">
        <v>3.1</v>
      </c>
      <c r="C1232">
        <v>1130</v>
      </c>
      <c r="D1232">
        <v>5</v>
      </c>
    </row>
    <row r="1233" spans="1:4">
      <c r="A1233" s="93" t="s">
        <v>6736</v>
      </c>
      <c r="B1233">
        <v>3</v>
      </c>
      <c r="C1233">
        <v>1130</v>
      </c>
      <c r="D1233">
        <v>5</v>
      </c>
    </row>
    <row r="1234" spans="1:4">
      <c r="A1234" s="93" t="s">
        <v>6737</v>
      </c>
      <c r="B1234">
        <v>2.9</v>
      </c>
      <c r="C1234">
        <v>1130</v>
      </c>
      <c r="D1234">
        <v>5</v>
      </c>
    </row>
    <row r="1235" spans="1:4">
      <c r="A1235" s="93" t="s">
        <v>6738</v>
      </c>
      <c r="B1235">
        <v>2.8</v>
      </c>
      <c r="C1235">
        <v>1130</v>
      </c>
      <c r="D1235">
        <v>5</v>
      </c>
    </row>
    <row r="1236" spans="1:4">
      <c r="A1236" s="93" t="s">
        <v>6739</v>
      </c>
      <c r="B1236">
        <v>2.7</v>
      </c>
      <c r="C1236">
        <v>1130</v>
      </c>
      <c r="D1236">
        <v>6</v>
      </c>
    </row>
    <row r="1237" spans="1:4">
      <c r="A1237" s="93" t="s">
        <v>6740</v>
      </c>
      <c r="B1237">
        <v>2.6</v>
      </c>
      <c r="C1237">
        <v>1130</v>
      </c>
      <c r="D1237">
        <v>6</v>
      </c>
    </row>
    <row r="1238" spans="1:4">
      <c r="A1238" s="93" t="s">
        <v>6741</v>
      </c>
      <c r="B1238">
        <v>2.5</v>
      </c>
      <c r="C1238">
        <v>1130</v>
      </c>
      <c r="D1238">
        <v>6</v>
      </c>
    </row>
    <row r="1239" spans="1:4">
      <c r="A1239" s="93" t="s">
        <v>6742</v>
      </c>
      <c r="B1239">
        <v>2.4</v>
      </c>
      <c r="C1239">
        <v>1130</v>
      </c>
      <c r="D1239">
        <v>6</v>
      </c>
    </row>
    <row r="1240" spans="1:4">
      <c r="A1240" s="93" t="s">
        <v>6743</v>
      </c>
      <c r="B1240">
        <v>2.3</v>
      </c>
      <c r="C1240">
        <v>1130</v>
      </c>
      <c r="D1240">
        <v>7</v>
      </c>
    </row>
    <row r="1241" spans="1:4">
      <c r="A1241" s="93" t="s">
        <v>6744</v>
      </c>
      <c r="B1241">
        <v>2.2</v>
      </c>
      <c r="C1241">
        <v>1130</v>
      </c>
      <c r="D1241">
        <v>7</v>
      </c>
    </row>
    <row r="1242" spans="1:4">
      <c r="A1242" s="93" t="s">
        <v>6745</v>
      </c>
      <c r="B1242">
        <v>2.1</v>
      </c>
      <c r="C1242">
        <v>1130</v>
      </c>
      <c r="D1242">
        <v>7</v>
      </c>
    </row>
    <row r="1243" spans="1:4">
      <c r="A1243" s="93" t="s">
        <v>6746</v>
      </c>
      <c r="B1243">
        <v>2</v>
      </c>
      <c r="C1243">
        <v>1130</v>
      </c>
      <c r="D1243">
        <v>7</v>
      </c>
    </row>
    <row r="1244" spans="1:4">
      <c r="A1244" s="93" t="s">
        <v>6747</v>
      </c>
      <c r="B1244">
        <v>1.9</v>
      </c>
      <c r="C1244">
        <v>1130</v>
      </c>
      <c r="D1244">
        <v>8</v>
      </c>
    </row>
    <row r="1245" spans="1:4">
      <c r="A1245" s="93" t="s">
        <v>6748</v>
      </c>
      <c r="B1245">
        <v>1.8</v>
      </c>
      <c r="C1245">
        <v>1130</v>
      </c>
      <c r="D1245">
        <v>8</v>
      </c>
    </row>
    <row r="1246" spans="1:4">
      <c r="A1246" s="93" t="s">
        <v>6749</v>
      </c>
      <c r="B1246">
        <v>1.7</v>
      </c>
      <c r="C1246">
        <v>1130</v>
      </c>
      <c r="D1246">
        <v>8</v>
      </c>
    </row>
    <row r="1247" spans="1:4">
      <c r="A1247" s="93" t="s">
        <v>6750</v>
      </c>
      <c r="B1247">
        <v>1.6</v>
      </c>
      <c r="C1247">
        <v>1130</v>
      </c>
      <c r="D1247">
        <v>8</v>
      </c>
    </row>
    <row r="1248" spans="1:4">
      <c r="A1248" s="93" t="s">
        <v>6751</v>
      </c>
      <c r="B1248">
        <v>1.5</v>
      </c>
      <c r="C1248">
        <v>1130</v>
      </c>
      <c r="D1248">
        <v>9</v>
      </c>
    </row>
    <row r="1249" spans="1:4">
      <c r="A1249" s="93" t="s">
        <v>6752</v>
      </c>
      <c r="B1249">
        <v>4.3</v>
      </c>
      <c r="C1249">
        <v>1140</v>
      </c>
      <c r="D1249">
        <v>2</v>
      </c>
    </row>
    <row r="1250" spans="1:4">
      <c r="A1250" s="93" t="s">
        <v>6753</v>
      </c>
      <c r="B1250">
        <v>4.2</v>
      </c>
      <c r="C1250">
        <v>1140</v>
      </c>
      <c r="D1250">
        <v>3</v>
      </c>
    </row>
    <row r="1251" spans="1:4">
      <c r="A1251" s="93" t="s">
        <v>6754</v>
      </c>
      <c r="B1251">
        <v>4.1</v>
      </c>
      <c r="C1251">
        <v>1140</v>
      </c>
      <c r="D1251">
        <v>3</v>
      </c>
    </row>
    <row r="1252" spans="1:4">
      <c r="A1252" s="93" t="s">
        <v>6755</v>
      </c>
      <c r="B1252">
        <v>4</v>
      </c>
      <c r="C1252">
        <v>1140</v>
      </c>
      <c r="D1252">
        <v>3</v>
      </c>
    </row>
    <row r="1253" spans="1:4">
      <c r="A1253" s="93" t="s">
        <v>6756</v>
      </c>
      <c r="B1253">
        <v>3.9</v>
      </c>
      <c r="C1253">
        <v>1140</v>
      </c>
      <c r="D1253">
        <v>3</v>
      </c>
    </row>
    <row r="1254" spans="1:4">
      <c r="A1254" s="93" t="s">
        <v>6757</v>
      </c>
      <c r="B1254">
        <v>3.8</v>
      </c>
      <c r="C1254">
        <v>1140</v>
      </c>
      <c r="D1254">
        <v>3</v>
      </c>
    </row>
    <row r="1255" spans="1:4">
      <c r="A1255" s="93" t="s">
        <v>6758</v>
      </c>
      <c r="B1255">
        <v>3.7</v>
      </c>
      <c r="C1255">
        <v>1140</v>
      </c>
      <c r="D1255">
        <v>3</v>
      </c>
    </row>
    <row r="1256" spans="1:4">
      <c r="A1256" s="93" t="s">
        <v>6759</v>
      </c>
      <c r="B1256">
        <v>3.6</v>
      </c>
      <c r="C1256">
        <v>1140</v>
      </c>
      <c r="D1256">
        <v>3</v>
      </c>
    </row>
    <row r="1257" spans="1:4">
      <c r="A1257" s="93" t="s">
        <v>6760</v>
      </c>
      <c r="B1257">
        <v>3.5</v>
      </c>
      <c r="C1257">
        <v>1140</v>
      </c>
      <c r="D1257">
        <v>3</v>
      </c>
    </row>
    <row r="1258" spans="1:4">
      <c r="A1258" s="93" t="s">
        <v>6761</v>
      </c>
      <c r="B1258">
        <v>3.4</v>
      </c>
      <c r="C1258">
        <v>1140</v>
      </c>
      <c r="D1258">
        <v>4</v>
      </c>
    </row>
    <row r="1259" spans="1:4">
      <c r="A1259" s="93" t="s">
        <v>6762</v>
      </c>
      <c r="B1259">
        <v>3.3</v>
      </c>
      <c r="C1259">
        <v>1140</v>
      </c>
      <c r="D1259">
        <v>4</v>
      </c>
    </row>
    <row r="1260" spans="1:4">
      <c r="A1260" s="93" t="s">
        <v>6763</v>
      </c>
      <c r="B1260">
        <v>3.2</v>
      </c>
      <c r="C1260">
        <v>1140</v>
      </c>
      <c r="D1260">
        <v>4</v>
      </c>
    </row>
    <row r="1261" spans="1:4">
      <c r="A1261" s="93" t="s">
        <v>6764</v>
      </c>
      <c r="B1261">
        <v>3.1</v>
      </c>
      <c r="C1261">
        <v>1140</v>
      </c>
      <c r="D1261">
        <v>5</v>
      </c>
    </row>
    <row r="1262" spans="1:4">
      <c r="A1262" s="93" t="s">
        <v>6765</v>
      </c>
      <c r="B1262">
        <v>3</v>
      </c>
      <c r="C1262">
        <v>1140</v>
      </c>
      <c r="D1262">
        <v>5</v>
      </c>
    </row>
    <row r="1263" spans="1:4">
      <c r="A1263" s="93" t="s">
        <v>6766</v>
      </c>
      <c r="B1263">
        <v>2.9</v>
      </c>
      <c r="C1263">
        <v>1140</v>
      </c>
      <c r="D1263">
        <v>5</v>
      </c>
    </row>
    <row r="1264" spans="1:4">
      <c r="A1264" s="93" t="s">
        <v>6767</v>
      </c>
      <c r="B1264">
        <v>2.8</v>
      </c>
      <c r="C1264">
        <v>1140</v>
      </c>
      <c r="D1264">
        <v>5</v>
      </c>
    </row>
    <row r="1265" spans="1:4">
      <c r="A1265" s="93" t="s">
        <v>6768</v>
      </c>
      <c r="B1265">
        <v>2.7</v>
      </c>
      <c r="C1265">
        <v>1140</v>
      </c>
      <c r="D1265">
        <v>6</v>
      </c>
    </row>
    <row r="1266" spans="1:4">
      <c r="A1266" s="93" t="s">
        <v>6769</v>
      </c>
      <c r="B1266">
        <v>2.6</v>
      </c>
      <c r="C1266">
        <v>1140</v>
      </c>
      <c r="D1266">
        <v>6</v>
      </c>
    </row>
    <row r="1267" spans="1:4">
      <c r="A1267" s="93" t="s">
        <v>6770</v>
      </c>
      <c r="B1267">
        <v>2.5</v>
      </c>
      <c r="C1267">
        <v>1140</v>
      </c>
      <c r="D1267">
        <v>6</v>
      </c>
    </row>
    <row r="1268" spans="1:4">
      <c r="A1268" s="93" t="s">
        <v>6771</v>
      </c>
      <c r="B1268">
        <v>2.4</v>
      </c>
      <c r="C1268">
        <v>1140</v>
      </c>
      <c r="D1268">
        <v>6</v>
      </c>
    </row>
    <row r="1269" spans="1:4">
      <c r="A1269" s="93" t="s">
        <v>6772</v>
      </c>
      <c r="B1269">
        <v>2.3</v>
      </c>
      <c r="C1269">
        <v>1140</v>
      </c>
      <c r="D1269">
        <v>7</v>
      </c>
    </row>
    <row r="1270" spans="1:4">
      <c r="A1270" s="93" t="s">
        <v>6773</v>
      </c>
      <c r="B1270">
        <v>2.2</v>
      </c>
      <c r="C1270">
        <v>1140</v>
      </c>
      <c r="D1270">
        <v>7</v>
      </c>
    </row>
    <row r="1271" spans="1:4">
      <c r="A1271" s="93" t="s">
        <v>6774</v>
      </c>
      <c r="B1271">
        <v>2.1</v>
      </c>
      <c r="C1271">
        <v>1140</v>
      </c>
      <c r="D1271">
        <v>7</v>
      </c>
    </row>
    <row r="1272" spans="1:4">
      <c r="A1272" s="93" t="s">
        <v>6775</v>
      </c>
      <c r="B1272">
        <v>2</v>
      </c>
      <c r="C1272">
        <v>1140</v>
      </c>
      <c r="D1272">
        <v>7</v>
      </c>
    </row>
    <row r="1273" spans="1:4">
      <c r="A1273" s="93" t="s">
        <v>6776</v>
      </c>
      <c r="B1273">
        <v>1.9</v>
      </c>
      <c r="C1273">
        <v>1140</v>
      </c>
      <c r="D1273">
        <v>8</v>
      </c>
    </row>
    <row r="1274" spans="1:4">
      <c r="A1274" s="93" t="s">
        <v>6777</v>
      </c>
      <c r="B1274">
        <v>1.8</v>
      </c>
      <c r="C1274">
        <v>1140</v>
      </c>
      <c r="D1274">
        <v>8</v>
      </c>
    </row>
    <row r="1275" spans="1:4">
      <c r="A1275" s="93" t="s">
        <v>6778</v>
      </c>
      <c r="B1275">
        <v>1.7</v>
      </c>
      <c r="C1275">
        <v>1140</v>
      </c>
      <c r="D1275">
        <v>8</v>
      </c>
    </row>
    <row r="1276" spans="1:4">
      <c r="A1276" s="93" t="s">
        <v>6779</v>
      </c>
      <c r="B1276">
        <v>1.6</v>
      </c>
      <c r="C1276">
        <v>1140</v>
      </c>
      <c r="D1276">
        <v>8</v>
      </c>
    </row>
    <row r="1277" spans="1:4">
      <c r="A1277" s="93" t="s">
        <v>6780</v>
      </c>
      <c r="B1277">
        <v>1.5</v>
      </c>
      <c r="C1277">
        <v>1140</v>
      </c>
      <c r="D1277">
        <v>9</v>
      </c>
    </row>
    <row r="1278" spans="1:4">
      <c r="A1278" s="93" t="s">
        <v>6781</v>
      </c>
      <c r="B1278">
        <v>4.3</v>
      </c>
      <c r="C1278">
        <v>1150</v>
      </c>
      <c r="D1278">
        <v>2</v>
      </c>
    </row>
    <row r="1279" spans="1:4">
      <c r="A1279" s="93" t="s">
        <v>6782</v>
      </c>
      <c r="B1279">
        <v>4.2</v>
      </c>
      <c r="C1279">
        <v>1150</v>
      </c>
      <c r="D1279">
        <v>3</v>
      </c>
    </row>
    <row r="1280" spans="1:4">
      <c r="A1280" s="93" t="s">
        <v>6783</v>
      </c>
      <c r="B1280">
        <v>4.1</v>
      </c>
      <c r="C1280">
        <v>1150</v>
      </c>
      <c r="D1280">
        <v>3</v>
      </c>
    </row>
    <row r="1281" spans="1:4">
      <c r="A1281" s="93" t="s">
        <v>6784</v>
      </c>
      <c r="B1281">
        <v>4</v>
      </c>
      <c r="C1281">
        <v>1150</v>
      </c>
      <c r="D1281">
        <v>3</v>
      </c>
    </row>
    <row r="1282" spans="1:4">
      <c r="A1282" s="93" t="s">
        <v>6785</v>
      </c>
      <c r="B1282">
        <v>3.9</v>
      </c>
      <c r="C1282">
        <v>1150</v>
      </c>
      <c r="D1282">
        <v>3</v>
      </c>
    </row>
    <row r="1283" spans="1:4">
      <c r="A1283" s="93" t="s">
        <v>6786</v>
      </c>
      <c r="B1283">
        <v>3.8</v>
      </c>
      <c r="C1283">
        <v>1150</v>
      </c>
      <c r="D1283">
        <v>3</v>
      </c>
    </row>
    <row r="1284" spans="1:4">
      <c r="A1284" s="93" t="s">
        <v>6787</v>
      </c>
      <c r="B1284">
        <v>3.7</v>
      </c>
      <c r="C1284">
        <v>1150</v>
      </c>
      <c r="D1284">
        <v>3</v>
      </c>
    </row>
    <row r="1285" spans="1:4">
      <c r="A1285" s="93" t="s">
        <v>6788</v>
      </c>
      <c r="B1285">
        <v>3.6</v>
      </c>
      <c r="C1285">
        <v>1150</v>
      </c>
      <c r="D1285">
        <v>3</v>
      </c>
    </row>
    <row r="1286" spans="1:4">
      <c r="A1286" s="93" t="s">
        <v>6789</v>
      </c>
      <c r="B1286">
        <v>3.5</v>
      </c>
      <c r="C1286">
        <v>1150</v>
      </c>
      <c r="D1286">
        <v>3</v>
      </c>
    </row>
    <row r="1287" spans="1:4">
      <c r="A1287" s="93" t="s">
        <v>6790</v>
      </c>
      <c r="B1287">
        <v>3.4</v>
      </c>
      <c r="C1287">
        <v>1150</v>
      </c>
      <c r="D1287">
        <v>4</v>
      </c>
    </row>
    <row r="1288" spans="1:4">
      <c r="A1288" s="93" t="s">
        <v>6791</v>
      </c>
      <c r="B1288">
        <v>3.3</v>
      </c>
      <c r="C1288">
        <v>1150</v>
      </c>
      <c r="D1288">
        <v>4</v>
      </c>
    </row>
    <row r="1289" spans="1:4">
      <c r="A1289" s="93" t="s">
        <v>6792</v>
      </c>
      <c r="B1289">
        <v>3.2</v>
      </c>
      <c r="C1289">
        <v>1150</v>
      </c>
      <c r="D1289">
        <v>4</v>
      </c>
    </row>
    <row r="1290" spans="1:4">
      <c r="A1290" s="93" t="s">
        <v>6793</v>
      </c>
      <c r="B1290">
        <v>3.1</v>
      </c>
      <c r="C1290">
        <v>1150</v>
      </c>
      <c r="D1290">
        <v>5</v>
      </c>
    </row>
    <row r="1291" spans="1:4">
      <c r="A1291" s="93" t="s">
        <v>6794</v>
      </c>
      <c r="B1291">
        <v>3</v>
      </c>
      <c r="C1291">
        <v>1150</v>
      </c>
      <c r="D1291">
        <v>5</v>
      </c>
    </row>
    <row r="1292" spans="1:4">
      <c r="A1292" s="93" t="s">
        <v>6795</v>
      </c>
      <c r="B1292">
        <v>2.9</v>
      </c>
      <c r="C1292">
        <v>1150</v>
      </c>
      <c r="D1292">
        <v>5</v>
      </c>
    </row>
    <row r="1293" spans="1:4">
      <c r="A1293" s="93" t="s">
        <v>6796</v>
      </c>
      <c r="B1293">
        <v>2.8</v>
      </c>
      <c r="C1293">
        <v>1150</v>
      </c>
      <c r="D1293">
        <v>5</v>
      </c>
    </row>
    <row r="1294" spans="1:4">
      <c r="A1294" s="93" t="s">
        <v>6797</v>
      </c>
      <c r="B1294">
        <v>2.7</v>
      </c>
      <c r="C1294">
        <v>1150</v>
      </c>
      <c r="D1294">
        <v>6</v>
      </c>
    </row>
    <row r="1295" spans="1:4">
      <c r="A1295" s="93" t="s">
        <v>6798</v>
      </c>
      <c r="B1295">
        <v>2.6</v>
      </c>
      <c r="C1295">
        <v>1150</v>
      </c>
      <c r="D1295">
        <v>6</v>
      </c>
    </row>
    <row r="1296" spans="1:4">
      <c r="A1296" s="93" t="s">
        <v>6799</v>
      </c>
      <c r="B1296">
        <v>2.5</v>
      </c>
      <c r="C1296">
        <v>1150</v>
      </c>
      <c r="D1296">
        <v>6</v>
      </c>
    </row>
    <row r="1297" spans="1:4">
      <c r="A1297" s="93" t="s">
        <v>6800</v>
      </c>
      <c r="B1297">
        <v>2.4</v>
      </c>
      <c r="C1297">
        <v>1150</v>
      </c>
      <c r="D1297">
        <v>6</v>
      </c>
    </row>
    <row r="1298" spans="1:4">
      <c r="A1298" s="93" t="s">
        <v>6801</v>
      </c>
      <c r="B1298">
        <v>2.3</v>
      </c>
      <c r="C1298">
        <v>1150</v>
      </c>
      <c r="D1298">
        <v>7</v>
      </c>
    </row>
    <row r="1299" spans="1:4">
      <c r="A1299" s="93" t="s">
        <v>6802</v>
      </c>
      <c r="B1299">
        <v>2.2</v>
      </c>
      <c r="C1299">
        <v>1150</v>
      </c>
      <c r="D1299">
        <v>7</v>
      </c>
    </row>
    <row r="1300" spans="1:4">
      <c r="A1300" s="93" t="s">
        <v>6803</v>
      </c>
      <c r="B1300">
        <v>2.1</v>
      </c>
      <c r="C1300">
        <v>1150</v>
      </c>
      <c r="D1300">
        <v>7</v>
      </c>
    </row>
    <row r="1301" spans="1:4">
      <c r="A1301" s="93" t="s">
        <v>6804</v>
      </c>
      <c r="B1301">
        <v>2</v>
      </c>
      <c r="C1301">
        <v>1150</v>
      </c>
      <c r="D1301">
        <v>7</v>
      </c>
    </row>
    <row r="1302" spans="1:4">
      <c r="A1302" s="93" t="s">
        <v>6805</v>
      </c>
      <c r="B1302">
        <v>1.9</v>
      </c>
      <c r="C1302">
        <v>1150</v>
      </c>
      <c r="D1302">
        <v>8</v>
      </c>
    </row>
    <row r="1303" spans="1:4">
      <c r="A1303" s="93" t="s">
        <v>6806</v>
      </c>
      <c r="B1303">
        <v>1.8</v>
      </c>
      <c r="C1303">
        <v>1150</v>
      </c>
      <c r="D1303">
        <v>8</v>
      </c>
    </row>
    <row r="1304" spans="1:4">
      <c r="A1304" s="93" t="s">
        <v>6807</v>
      </c>
      <c r="B1304">
        <v>1.7</v>
      </c>
      <c r="C1304">
        <v>1150</v>
      </c>
      <c r="D1304">
        <v>8</v>
      </c>
    </row>
    <row r="1305" spans="1:4">
      <c r="A1305" s="93" t="s">
        <v>6808</v>
      </c>
      <c r="B1305">
        <v>1.6</v>
      </c>
      <c r="C1305">
        <v>1150</v>
      </c>
      <c r="D1305">
        <v>8</v>
      </c>
    </row>
    <row r="1306" spans="1:4">
      <c r="A1306" s="93" t="s">
        <v>6809</v>
      </c>
      <c r="B1306">
        <v>1.5</v>
      </c>
      <c r="C1306">
        <v>1150</v>
      </c>
      <c r="D1306">
        <v>9</v>
      </c>
    </row>
    <row r="1307" spans="1:4">
      <c r="A1307" s="93" t="s">
        <v>6810</v>
      </c>
      <c r="B1307">
        <v>4.3</v>
      </c>
      <c r="C1307">
        <v>1160</v>
      </c>
      <c r="D1307">
        <v>2</v>
      </c>
    </row>
    <row r="1308" spans="1:4">
      <c r="A1308" s="93" t="s">
        <v>6811</v>
      </c>
      <c r="B1308">
        <v>4.2</v>
      </c>
      <c r="C1308">
        <v>1160</v>
      </c>
      <c r="D1308">
        <v>2</v>
      </c>
    </row>
    <row r="1309" spans="1:4">
      <c r="A1309" s="93" t="s">
        <v>6812</v>
      </c>
      <c r="B1309">
        <v>4.1</v>
      </c>
      <c r="C1309">
        <v>1160</v>
      </c>
      <c r="D1309">
        <v>2</v>
      </c>
    </row>
    <row r="1310" spans="1:4">
      <c r="A1310" s="93" t="s">
        <v>6813</v>
      </c>
      <c r="B1310">
        <v>4</v>
      </c>
      <c r="C1310">
        <v>1160</v>
      </c>
      <c r="D1310">
        <v>3</v>
      </c>
    </row>
    <row r="1311" spans="1:4">
      <c r="A1311" s="93" t="s">
        <v>6814</v>
      </c>
      <c r="B1311">
        <v>3.9</v>
      </c>
      <c r="C1311">
        <v>1160</v>
      </c>
      <c r="D1311">
        <v>3</v>
      </c>
    </row>
    <row r="1312" spans="1:4">
      <c r="A1312" s="93" t="s">
        <v>6815</v>
      </c>
      <c r="B1312">
        <v>3.8</v>
      </c>
      <c r="C1312">
        <v>1160</v>
      </c>
      <c r="D1312">
        <v>3</v>
      </c>
    </row>
    <row r="1313" spans="1:4">
      <c r="A1313" s="93" t="s">
        <v>6816</v>
      </c>
      <c r="B1313">
        <v>3.7</v>
      </c>
      <c r="C1313">
        <v>1160</v>
      </c>
      <c r="D1313">
        <v>3</v>
      </c>
    </row>
    <row r="1314" spans="1:4">
      <c r="A1314" s="93" t="s">
        <v>6817</v>
      </c>
      <c r="B1314">
        <v>3.6</v>
      </c>
      <c r="C1314">
        <v>1160</v>
      </c>
      <c r="D1314">
        <v>3</v>
      </c>
    </row>
    <row r="1315" spans="1:4">
      <c r="A1315" s="93" t="s">
        <v>6818</v>
      </c>
      <c r="B1315">
        <v>3.5</v>
      </c>
      <c r="C1315">
        <v>1160</v>
      </c>
      <c r="D1315">
        <v>3</v>
      </c>
    </row>
    <row r="1316" spans="1:4">
      <c r="A1316" s="93" t="s">
        <v>6819</v>
      </c>
      <c r="B1316">
        <v>3.4</v>
      </c>
      <c r="C1316">
        <v>1160</v>
      </c>
      <c r="D1316">
        <v>3</v>
      </c>
    </row>
    <row r="1317" spans="1:4">
      <c r="A1317" s="93" t="s">
        <v>6820</v>
      </c>
      <c r="B1317">
        <v>3.3</v>
      </c>
      <c r="C1317">
        <v>1160</v>
      </c>
      <c r="D1317">
        <v>4</v>
      </c>
    </row>
    <row r="1318" spans="1:4">
      <c r="A1318" s="93" t="s">
        <v>6821</v>
      </c>
      <c r="B1318">
        <v>3.2</v>
      </c>
      <c r="C1318">
        <v>1160</v>
      </c>
      <c r="D1318">
        <v>4</v>
      </c>
    </row>
    <row r="1319" spans="1:4">
      <c r="A1319" s="93" t="s">
        <v>6822</v>
      </c>
      <c r="B1319">
        <v>3.1</v>
      </c>
      <c r="C1319">
        <v>1160</v>
      </c>
      <c r="D1319">
        <v>4</v>
      </c>
    </row>
    <row r="1320" spans="1:4">
      <c r="A1320" s="93" t="s">
        <v>6823</v>
      </c>
      <c r="B1320">
        <v>3</v>
      </c>
      <c r="C1320">
        <v>1160</v>
      </c>
      <c r="D1320">
        <v>5</v>
      </c>
    </row>
    <row r="1321" spans="1:4">
      <c r="A1321" s="93" t="s">
        <v>6824</v>
      </c>
      <c r="B1321">
        <v>2.9</v>
      </c>
      <c r="C1321">
        <v>1160</v>
      </c>
      <c r="D1321">
        <v>5</v>
      </c>
    </row>
    <row r="1322" spans="1:4">
      <c r="A1322" s="93" t="s">
        <v>6825</v>
      </c>
      <c r="B1322">
        <v>2.8</v>
      </c>
      <c r="C1322">
        <v>1160</v>
      </c>
      <c r="D1322">
        <v>5</v>
      </c>
    </row>
    <row r="1323" spans="1:4">
      <c r="A1323" s="93" t="s">
        <v>6826</v>
      </c>
      <c r="B1323">
        <v>2.7</v>
      </c>
      <c r="C1323">
        <v>1160</v>
      </c>
      <c r="D1323">
        <v>5</v>
      </c>
    </row>
    <row r="1324" spans="1:4">
      <c r="A1324" s="93" t="s">
        <v>6827</v>
      </c>
      <c r="B1324">
        <v>2.6</v>
      </c>
      <c r="C1324">
        <v>1160</v>
      </c>
      <c r="D1324">
        <v>6</v>
      </c>
    </row>
    <row r="1325" spans="1:4">
      <c r="A1325" s="93" t="s">
        <v>6828</v>
      </c>
      <c r="B1325">
        <v>2.5</v>
      </c>
      <c r="C1325">
        <v>1160</v>
      </c>
      <c r="D1325">
        <v>6</v>
      </c>
    </row>
    <row r="1326" spans="1:4">
      <c r="A1326" s="93" t="s">
        <v>6829</v>
      </c>
      <c r="B1326">
        <v>2.4</v>
      </c>
      <c r="C1326">
        <v>1160</v>
      </c>
      <c r="D1326">
        <v>6</v>
      </c>
    </row>
    <row r="1327" spans="1:4">
      <c r="A1327" s="93" t="s">
        <v>6830</v>
      </c>
      <c r="B1327">
        <v>2.3</v>
      </c>
      <c r="C1327">
        <v>1160</v>
      </c>
      <c r="D1327">
        <v>6</v>
      </c>
    </row>
    <row r="1328" spans="1:4">
      <c r="A1328" s="93" t="s">
        <v>6831</v>
      </c>
      <c r="B1328">
        <v>2.2</v>
      </c>
      <c r="C1328">
        <v>1160</v>
      </c>
      <c r="D1328">
        <v>7</v>
      </c>
    </row>
    <row r="1329" spans="1:4">
      <c r="A1329" s="93" t="s">
        <v>6832</v>
      </c>
      <c r="B1329">
        <v>2.1</v>
      </c>
      <c r="C1329">
        <v>1160</v>
      </c>
      <c r="D1329">
        <v>7</v>
      </c>
    </row>
    <row r="1330" spans="1:4">
      <c r="A1330" s="93" t="s">
        <v>6833</v>
      </c>
      <c r="B1330">
        <v>2</v>
      </c>
      <c r="C1330">
        <v>1160</v>
      </c>
      <c r="D1330">
        <v>7</v>
      </c>
    </row>
    <row r="1331" spans="1:4">
      <c r="A1331" s="93" t="s">
        <v>6834</v>
      </c>
      <c r="B1331">
        <v>1.9</v>
      </c>
      <c r="C1331">
        <v>1160</v>
      </c>
      <c r="D1331">
        <v>7</v>
      </c>
    </row>
    <row r="1332" spans="1:4">
      <c r="A1332" s="93" t="s">
        <v>6835</v>
      </c>
      <c r="B1332">
        <v>1.8</v>
      </c>
      <c r="C1332">
        <v>1160</v>
      </c>
      <c r="D1332">
        <v>8</v>
      </c>
    </row>
    <row r="1333" spans="1:4">
      <c r="A1333" s="93" t="s">
        <v>6836</v>
      </c>
      <c r="B1333">
        <v>1.7</v>
      </c>
      <c r="C1333">
        <v>1160</v>
      </c>
      <c r="D1333">
        <v>8</v>
      </c>
    </row>
    <row r="1334" spans="1:4">
      <c r="A1334" s="93" t="s">
        <v>6837</v>
      </c>
      <c r="B1334">
        <v>1.6</v>
      </c>
      <c r="C1334">
        <v>1160</v>
      </c>
      <c r="D1334">
        <v>8</v>
      </c>
    </row>
    <row r="1335" spans="1:4">
      <c r="A1335" s="93" t="s">
        <v>6838</v>
      </c>
      <c r="B1335">
        <v>1.5</v>
      </c>
      <c r="C1335">
        <v>1160</v>
      </c>
      <c r="D1335">
        <v>8</v>
      </c>
    </row>
    <row r="1336" spans="1:4">
      <c r="A1336" s="93" t="s">
        <v>6839</v>
      </c>
      <c r="B1336">
        <v>4.3</v>
      </c>
      <c r="C1336">
        <v>1170</v>
      </c>
      <c r="D1336">
        <v>2</v>
      </c>
    </row>
    <row r="1337" spans="1:4">
      <c r="A1337" s="93" t="s">
        <v>6840</v>
      </c>
      <c r="B1337">
        <v>4.2</v>
      </c>
      <c r="C1337">
        <v>1170</v>
      </c>
      <c r="D1337">
        <v>2</v>
      </c>
    </row>
    <row r="1338" spans="1:4">
      <c r="A1338" s="93" t="s">
        <v>6841</v>
      </c>
      <c r="B1338">
        <v>4.1</v>
      </c>
      <c r="C1338">
        <v>1170</v>
      </c>
      <c r="D1338">
        <v>2</v>
      </c>
    </row>
    <row r="1339" spans="1:4">
      <c r="A1339" s="93" t="s">
        <v>6842</v>
      </c>
      <c r="B1339">
        <v>4</v>
      </c>
      <c r="C1339">
        <v>1170</v>
      </c>
      <c r="D1339">
        <v>3</v>
      </c>
    </row>
    <row r="1340" spans="1:4">
      <c r="A1340" s="93" t="s">
        <v>6843</v>
      </c>
      <c r="B1340">
        <v>3.9</v>
      </c>
      <c r="C1340">
        <v>1170</v>
      </c>
      <c r="D1340">
        <v>3</v>
      </c>
    </row>
    <row r="1341" spans="1:4">
      <c r="A1341" s="93" t="s">
        <v>6844</v>
      </c>
      <c r="B1341">
        <v>3.8</v>
      </c>
      <c r="C1341">
        <v>1170</v>
      </c>
      <c r="D1341">
        <v>3</v>
      </c>
    </row>
    <row r="1342" spans="1:4">
      <c r="A1342" s="93" t="s">
        <v>6845</v>
      </c>
      <c r="B1342">
        <v>3.7</v>
      </c>
      <c r="C1342">
        <v>1170</v>
      </c>
      <c r="D1342">
        <v>3</v>
      </c>
    </row>
    <row r="1343" spans="1:4">
      <c r="A1343" s="93" t="s">
        <v>6846</v>
      </c>
      <c r="B1343">
        <v>3.6</v>
      </c>
      <c r="C1343">
        <v>1170</v>
      </c>
      <c r="D1343">
        <v>3</v>
      </c>
    </row>
    <row r="1344" spans="1:4">
      <c r="A1344" s="93" t="s">
        <v>6847</v>
      </c>
      <c r="B1344">
        <v>3.5</v>
      </c>
      <c r="C1344">
        <v>1170</v>
      </c>
      <c r="D1344">
        <v>3</v>
      </c>
    </row>
    <row r="1345" spans="1:4">
      <c r="A1345" s="93" t="s">
        <v>6848</v>
      </c>
      <c r="B1345">
        <v>3.4</v>
      </c>
      <c r="C1345">
        <v>1170</v>
      </c>
      <c r="D1345">
        <v>3</v>
      </c>
    </row>
    <row r="1346" spans="1:4">
      <c r="A1346" s="93" t="s">
        <v>6849</v>
      </c>
      <c r="B1346">
        <v>3.3</v>
      </c>
      <c r="C1346">
        <v>1170</v>
      </c>
      <c r="D1346">
        <v>4</v>
      </c>
    </row>
    <row r="1347" spans="1:4">
      <c r="A1347" s="93" t="s">
        <v>6850</v>
      </c>
      <c r="B1347">
        <v>3.2</v>
      </c>
      <c r="C1347">
        <v>1170</v>
      </c>
      <c r="D1347">
        <v>4</v>
      </c>
    </row>
    <row r="1348" spans="1:4">
      <c r="A1348" s="93" t="s">
        <v>6851</v>
      </c>
      <c r="B1348">
        <v>3.1</v>
      </c>
      <c r="C1348">
        <v>1170</v>
      </c>
      <c r="D1348">
        <v>4</v>
      </c>
    </row>
    <row r="1349" spans="1:4">
      <c r="A1349" s="93" t="s">
        <v>6852</v>
      </c>
      <c r="B1349">
        <v>3</v>
      </c>
      <c r="C1349">
        <v>1170</v>
      </c>
      <c r="D1349">
        <v>5</v>
      </c>
    </row>
    <row r="1350" spans="1:4">
      <c r="A1350" s="93" t="s">
        <v>6853</v>
      </c>
      <c r="B1350">
        <v>2.9</v>
      </c>
      <c r="C1350">
        <v>1170</v>
      </c>
      <c r="D1350">
        <v>5</v>
      </c>
    </row>
    <row r="1351" spans="1:4">
      <c r="A1351" s="93" t="s">
        <v>6854</v>
      </c>
      <c r="B1351">
        <v>2.8</v>
      </c>
      <c r="C1351">
        <v>1170</v>
      </c>
      <c r="D1351">
        <v>5</v>
      </c>
    </row>
    <row r="1352" spans="1:4">
      <c r="A1352" s="93" t="s">
        <v>6855</v>
      </c>
      <c r="B1352">
        <v>2.7</v>
      </c>
      <c r="C1352">
        <v>1170</v>
      </c>
      <c r="D1352">
        <v>5</v>
      </c>
    </row>
    <row r="1353" spans="1:4">
      <c r="A1353" s="93" t="s">
        <v>6856</v>
      </c>
      <c r="B1353">
        <v>2.6</v>
      </c>
      <c r="C1353">
        <v>1170</v>
      </c>
      <c r="D1353">
        <v>6</v>
      </c>
    </row>
    <row r="1354" spans="1:4">
      <c r="A1354" s="93" t="s">
        <v>6857</v>
      </c>
      <c r="B1354">
        <v>2.5</v>
      </c>
      <c r="C1354">
        <v>1170</v>
      </c>
      <c r="D1354">
        <v>6</v>
      </c>
    </row>
    <row r="1355" spans="1:4">
      <c r="A1355" s="93" t="s">
        <v>6858</v>
      </c>
      <c r="B1355">
        <v>2.4</v>
      </c>
      <c r="C1355">
        <v>1170</v>
      </c>
      <c r="D1355">
        <v>6</v>
      </c>
    </row>
    <row r="1356" spans="1:4">
      <c r="A1356" s="93" t="s">
        <v>6859</v>
      </c>
      <c r="B1356">
        <v>2.3</v>
      </c>
      <c r="C1356">
        <v>1170</v>
      </c>
      <c r="D1356">
        <v>6</v>
      </c>
    </row>
    <row r="1357" spans="1:4">
      <c r="A1357" s="93" t="s">
        <v>6860</v>
      </c>
      <c r="B1357">
        <v>2.2</v>
      </c>
      <c r="C1357">
        <v>1170</v>
      </c>
      <c r="D1357">
        <v>7</v>
      </c>
    </row>
    <row r="1358" spans="1:4">
      <c r="A1358" s="93" t="s">
        <v>6861</v>
      </c>
      <c r="B1358">
        <v>2.1</v>
      </c>
      <c r="C1358">
        <v>1170</v>
      </c>
      <c r="D1358">
        <v>7</v>
      </c>
    </row>
    <row r="1359" spans="1:4">
      <c r="A1359" s="93" t="s">
        <v>6862</v>
      </c>
      <c r="B1359">
        <v>2</v>
      </c>
      <c r="C1359">
        <v>1170</v>
      </c>
      <c r="D1359">
        <v>7</v>
      </c>
    </row>
    <row r="1360" spans="1:4">
      <c r="A1360" s="93" t="s">
        <v>6863</v>
      </c>
      <c r="B1360">
        <v>1.9</v>
      </c>
      <c r="C1360">
        <v>1170</v>
      </c>
      <c r="D1360">
        <v>7</v>
      </c>
    </row>
    <row r="1361" spans="1:4">
      <c r="A1361" s="93" t="s">
        <v>6864</v>
      </c>
      <c r="B1361">
        <v>1.8</v>
      </c>
      <c r="C1361">
        <v>1170</v>
      </c>
      <c r="D1361">
        <v>8</v>
      </c>
    </row>
    <row r="1362" spans="1:4">
      <c r="A1362" s="93" t="s">
        <v>6865</v>
      </c>
      <c r="B1362">
        <v>1.7</v>
      </c>
      <c r="C1362">
        <v>1170</v>
      </c>
      <c r="D1362">
        <v>8</v>
      </c>
    </row>
    <row r="1363" spans="1:4">
      <c r="A1363" s="93" t="s">
        <v>6866</v>
      </c>
      <c r="B1363">
        <v>1.6</v>
      </c>
      <c r="C1363">
        <v>1170</v>
      </c>
      <c r="D1363">
        <v>8</v>
      </c>
    </row>
    <row r="1364" spans="1:4">
      <c r="A1364" s="93" t="s">
        <v>6867</v>
      </c>
      <c r="B1364">
        <v>1.5</v>
      </c>
      <c r="C1364">
        <v>1170</v>
      </c>
      <c r="D1364">
        <v>8</v>
      </c>
    </row>
    <row r="1365" spans="1:4">
      <c r="A1365" s="93" t="s">
        <v>6868</v>
      </c>
      <c r="B1365">
        <v>4.3</v>
      </c>
      <c r="C1365">
        <v>1180</v>
      </c>
      <c r="D1365">
        <v>2</v>
      </c>
    </row>
    <row r="1366" spans="1:4">
      <c r="A1366" s="93" t="s">
        <v>6869</v>
      </c>
      <c r="B1366">
        <v>4.2</v>
      </c>
      <c r="C1366">
        <v>1180</v>
      </c>
      <c r="D1366">
        <v>2</v>
      </c>
    </row>
    <row r="1367" spans="1:4">
      <c r="A1367" s="93" t="s">
        <v>6870</v>
      </c>
      <c r="B1367">
        <v>4.1</v>
      </c>
      <c r="C1367">
        <v>1180</v>
      </c>
      <c r="D1367">
        <v>2</v>
      </c>
    </row>
    <row r="1368" spans="1:4">
      <c r="A1368" s="93" t="s">
        <v>6871</v>
      </c>
      <c r="B1368">
        <v>4</v>
      </c>
      <c r="C1368">
        <v>1180</v>
      </c>
      <c r="D1368">
        <v>3</v>
      </c>
    </row>
    <row r="1369" spans="1:4">
      <c r="A1369" s="93" t="s">
        <v>6872</v>
      </c>
      <c r="B1369">
        <v>3.9</v>
      </c>
      <c r="C1369">
        <v>1180</v>
      </c>
      <c r="D1369">
        <v>3</v>
      </c>
    </row>
    <row r="1370" spans="1:4">
      <c r="A1370" s="93" t="s">
        <v>6873</v>
      </c>
      <c r="B1370">
        <v>3.8</v>
      </c>
      <c r="C1370">
        <v>1180</v>
      </c>
      <c r="D1370">
        <v>3</v>
      </c>
    </row>
    <row r="1371" spans="1:4">
      <c r="A1371" s="93" t="s">
        <v>6874</v>
      </c>
      <c r="B1371">
        <v>3.7</v>
      </c>
      <c r="C1371">
        <v>1180</v>
      </c>
      <c r="D1371">
        <v>3</v>
      </c>
    </row>
    <row r="1372" spans="1:4">
      <c r="A1372" s="93" t="s">
        <v>6875</v>
      </c>
      <c r="B1372">
        <v>3.6</v>
      </c>
      <c r="C1372">
        <v>1180</v>
      </c>
      <c r="D1372">
        <v>3</v>
      </c>
    </row>
    <row r="1373" spans="1:4">
      <c r="A1373" s="93" t="s">
        <v>6876</v>
      </c>
      <c r="B1373">
        <v>3.5</v>
      </c>
      <c r="C1373">
        <v>1180</v>
      </c>
      <c r="D1373">
        <v>3</v>
      </c>
    </row>
    <row r="1374" spans="1:4">
      <c r="A1374" s="93" t="s">
        <v>6877</v>
      </c>
      <c r="B1374">
        <v>3.4</v>
      </c>
      <c r="C1374">
        <v>1180</v>
      </c>
      <c r="D1374">
        <v>3</v>
      </c>
    </row>
    <row r="1375" spans="1:4">
      <c r="A1375" s="93" t="s">
        <v>6878</v>
      </c>
      <c r="B1375">
        <v>3.3</v>
      </c>
      <c r="C1375">
        <v>1180</v>
      </c>
      <c r="D1375">
        <v>4</v>
      </c>
    </row>
    <row r="1376" spans="1:4">
      <c r="A1376" s="93" t="s">
        <v>6879</v>
      </c>
      <c r="B1376">
        <v>3.2</v>
      </c>
      <c r="C1376">
        <v>1180</v>
      </c>
      <c r="D1376">
        <v>4</v>
      </c>
    </row>
    <row r="1377" spans="1:4">
      <c r="A1377" s="93" t="s">
        <v>6880</v>
      </c>
      <c r="B1377">
        <v>3.1</v>
      </c>
      <c r="C1377">
        <v>1180</v>
      </c>
      <c r="D1377">
        <v>4</v>
      </c>
    </row>
    <row r="1378" spans="1:4">
      <c r="A1378" s="93" t="s">
        <v>6881</v>
      </c>
      <c r="B1378">
        <v>3</v>
      </c>
      <c r="C1378">
        <v>1180</v>
      </c>
      <c r="D1378">
        <v>5</v>
      </c>
    </row>
    <row r="1379" spans="1:4">
      <c r="A1379" s="93" t="s">
        <v>6882</v>
      </c>
      <c r="B1379">
        <v>2.9</v>
      </c>
      <c r="C1379">
        <v>1180</v>
      </c>
      <c r="D1379">
        <v>5</v>
      </c>
    </row>
    <row r="1380" spans="1:4">
      <c r="A1380" s="93" t="s">
        <v>6883</v>
      </c>
      <c r="B1380">
        <v>2.8</v>
      </c>
      <c r="C1380">
        <v>1180</v>
      </c>
      <c r="D1380">
        <v>5</v>
      </c>
    </row>
    <row r="1381" spans="1:4">
      <c r="A1381" s="93" t="s">
        <v>6884</v>
      </c>
      <c r="B1381">
        <v>2.7</v>
      </c>
      <c r="C1381">
        <v>1180</v>
      </c>
      <c r="D1381">
        <v>5</v>
      </c>
    </row>
    <row r="1382" spans="1:4">
      <c r="A1382" s="93" t="s">
        <v>6885</v>
      </c>
      <c r="B1382">
        <v>2.6</v>
      </c>
      <c r="C1382">
        <v>1180</v>
      </c>
      <c r="D1382">
        <v>6</v>
      </c>
    </row>
    <row r="1383" spans="1:4">
      <c r="A1383" s="93" t="s">
        <v>6886</v>
      </c>
      <c r="B1383">
        <v>2.5</v>
      </c>
      <c r="C1383">
        <v>1180</v>
      </c>
      <c r="D1383">
        <v>6</v>
      </c>
    </row>
    <row r="1384" spans="1:4">
      <c r="A1384" s="93" t="s">
        <v>6887</v>
      </c>
      <c r="B1384">
        <v>2.4</v>
      </c>
      <c r="C1384">
        <v>1180</v>
      </c>
      <c r="D1384">
        <v>6</v>
      </c>
    </row>
    <row r="1385" spans="1:4">
      <c r="A1385" s="93" t="s">
        <v>6888</v>
      </c>
      <c r="B1385">
        <v>2.3</v>
      </c>
      <c r="C1385">
        <v>1180</v>
      </c>
      <c r="D1385">
        <v>6</v>
      </c>
    </row>
    <row r="1386" spans="1:4">
      <c r="A1386" s="93" t="s">
        <v>6889</v>
      </c>
      <c r="B1386">
        <v>2.2</v>
      </c>
      <c r="C1386">
        <v>1180</v>
      </c>
      <c r="D1386">
        <v>7</v>
      </c>
    </row>
    <row r="1387" spans="1:4">
      <c r="A1387" s="93" t="s">
        <v>6890</v>
      </c>
      <c r="B1387">
        <v>2.1</v>
      </c>
      <c r="C1387">
        <v>1180</v>
      </c>
      <c r="D1387">
        <v>7</v>
      </c>
    </row>
    <row r="1388" spans="1:4">
      <c r="A1388" s="93" t="s">
        <v>6891</v>
      </c>
      <c r="B1388">
        <v>2</v>
      </c>
      <c r="C1388">
        <v>1180</v>
      </c>
      <c r="D1388">
        <v>7</v>
      </c>
    </row>
    <row r="1389" spans="1:4">
      <c r="A1389" s="93" t="s">
        <v>6892</v>
      </c>
      <c r="B1389">
        <v>1.9</v>
      </c>
      <c r="C1389">
        <v>1180</v>
      </c>
      <c r="D1389">
        <v>7</v>
      </c>
    </row>
    <row r="1390" spans="1:4">
      <c r="A1390" s="93" t="s">
        <v>6893</v>
      </c>
      <c r="B1390">
        <v>1.8</v>
      </c>
      <c r="C1390">
        <v>1180</v>
      </c>
      <c r="D1390">
        <v>8</v>
      </c>
    </row>
    <row r="1391" spans="1:4">
      <c r="A1391" s="93" t="s">
        <v>6894</v>
      </c>
      <c r="B1391">
        <v>1.7</v>
      </c>
      <c r="C1391">
        <v>1180</v>
      </c>
      <c r="D1391">
        <v>8</v>
      </c>
    </row>
    <row r="1392" spans="1:4">
      <c r="A1392" s="93" t="s">
        <v>6895</v>
      </c>
      <c r="B1392">
        <v>1.6</v>
      </c>
      <c r="C1392">
        <v>1180</v>
      </c>
      <c r="D1392">
        <v>8</v>
      </c>
    </row>
    <row r="1393" spans="1:4">
      <c r="A1393" s="93" t="s">
        <v>6896</v>
      </c>
      <c r="B1393">
        <v>1.5</v>
      </c>
      <c r="C1393">
        <v>1180</v>
      </c>
      <c r="D1393">
        <v>8</v>
      </c>
    </row>
    <row r="1394" spans="1:4">
      <c r="A1394" s="93" t="s">
        <v>6897</v>
      </c>
      <c r="B1394">
        <v>4.3</v>
      </c>
      <c r="C1394">
        <v>1190</v>
      </c>
      <c r="D1394">
        <v>2</v>
      </c>
    </row>
    <row r="1395" spans="1:4">
      <c r="A1395" s="93" t="s">
        <v>6898</v>
      </c>
      <c r="B1395">
        <v>4.2</v>
      </c>
      <c r="C1395">
        <v>1190</v>
      </c>
      <c r="D1395">
        <v>2</v>
      </c>
    </row>
    <row r="1396" spans="1:4">
      <c r="A1396" s="93" t="s">
        <v>6899</v>
      </c>
      <c r="B1396">
        <v>4.1</v>
      </c>
      <c r="C1396">
        <v>1190</v>
      </c>
      <c r="D1396">
        <v>2</v>
      </c>
    </row>
    <row r="1397" spans="1:4">
      <c r="A1397" s="93" t="s">
        <v>6900</v>
      </c>
      <c r="B1397">
        <v>4</v>
      </c>
      <c r="C1397">
        <v>1190</v>
      </c>
      <c r="D1397">
        <v>3</v>
      </c>
    </row>
    <row r="1398" spans="1:4">
      <c r="A1398" s="93" t="s">
        <v>6901</v>
      </c>
      <c r="B1398">
        <v>3.9</v>
      </c>
      <c r="C1398">
        <v>1190</v>
      </c>
      <c r="D1398">
        <v>3</v>
      </c>
    </row>
    <row r="1399" spans="1:4">
      <c r="A1399" s="93" t="s">
        <v>6902</v>
      </c>
      <c r="B1399">
        <v>3.8</v>
      </c>
      <c r="C1399">
        <v>1190</v>
      </c>
      <c r="D1399">
        <v>3</v>
      </c>
    </row>
    <row r="1400" spans="1:4">
      <c r="A1400" s="93" t="s">
        <v>6903</v>
      </c>
      <c r="B1400">
        <v>3.7</v>
      </c>
      <c r="C1400">
        <v>1190</v>
      </c>
      <c r="D1400">
        <v>3</v>
      </c>
    </row>
    <row r="1401" spans="1:4">
      <c r="A1401" s="93" t="s">
        <v>6904</v>
      </c>
      <c r="B1401">
        <v>3.6</v>
      </c>
      <c r="C1401">
        <v>1190</v>
      </c>
      <c r="D1401">
        <v>3</v>
      </c>
    </row>
    <row r="1402" spans="1:4">
      <c r="A1402" s="93" t="s">
        <v>6905</v>
      </c>
      <c r="B1402">
        <v>3.5</v>
      </c>
      <c r="C1402">
        <v>1190</v>
      </c>
      <c r="D1402">
        <v>3</v>
      </c>
    </row>
    <row r="1403" spans="1:4">
      <c r="A1403" s="93" t="s">
        <v>6906</v>
      </c>
      <c r="B1403">
        <v>3.4</v>
      </c>
      <c r="C1403">
        <v>1190</v>
      </c>
      <c r="D1403">
        <v>3</v>
      </c>
    </row>
    <row r="1404" spans="1:4">
      <c r="A1404" s="93" t="s">
        <v>6907</v>
      </c>
      <c r="B1404">
        <v>3.3</v>
      </c>
      <c r="C1404">
        <v>1190</v>
      </c>
      <c r="D1404">
        <v>4</v>
      </c>
    </row>
    <row r="1405" spans="1:4">
      <c r="A1405" s="93" t="s">
        <v>6908</v>
      </c>
      <c r="B1405">
        <v>3.2</v>
      </c>
      <c r="C1405">
        <v>1190</v>
      </c>
      <c r="D1405">
        <v>4</v>
      </c>
    </row>
    <row r="1406" spans="1:4">
      <c r="A1406" s="93" t="s">
        <v>6909</v>
      </c>
      <c r="B1406">
        <v>3.1</v>
      </c>
      <c r="C1406">
        <v>1190</v>
      </c>
      <c r="D1406">
        <v>4</v>
      </c>
    </row>
    <row r="1407" spans="1:4">
      <c r="A1407" s="93" t="s">
        <v>6910</v>
      </c>
      <c r="B1407">
        <v>3</v>
      </c>
      <c r="C1407">
        <v>1190</v>
      </c>
      <c r="D1407">
        <v>5</v>
      </c>
    </row>
    <row r="1408" spans="1:4">
      <c r="A1408" s="93" t="s">
        <v>6911</v>
      </c>
      <c r="B1408">
        <v>2.9</v>
      </c>
      <c r="C1408">
        <v>1190</v>
      </c>
      <c r="D1408">
        <v>5</v>
      </c>
    </row>
    <row r="1409" spans="1:4">
      <c r="A1409" s="93" t="s">
        <v>6912</v>
      </c>
      <c r="B1409">
        <v>2.8</v>
      </c>
      <c r="C1409">
        <v>1190</v>
      </c>
      <c r="D1409">
        <v>5</v>
      </c>
    </row>
    <row r="1410" spans="1:4">
      <c r="A1410" s="93" t="s">
        <v>6913</v>
      </c>
      <c r="B1410">
        <v>2.7</v>
      </c>
      <c r="C1410">
        <v>1190</v>
      </c>
      <c r="D1410">
        <v>5</v>
      </c>
    </row>
    <row r="1411" spans="1:4">
      <c r="A1411" s="93" t="s">
        <v>6914</v>
      </c>
      <c r="B1411">
        <v>2.6</v>
      </c>
      <c r="C1411">
        <v>1190</v>
      </c>
      <c r="D1411">
        <v>6</v>
      </c>
    </row>
    <row r="1412" spans="1:4">
      <c r="A1412" s="93" t="s">
        <v>6915</v>
      </c>
      <c r="B1412">
        <v>2.5</v>
      </c>
      <c r="C1412">
        <v>1190</v>
      </c>
      <c r="D1412">
        <v>6</v>
      </c>
    </row>
    <row r="1413" spans="1:4">
      <c r="A1413" s="93" t="s">
        <v>6916</v>
      </c>
      <c r="B1413">
        <v>2.4</v>
      </c>
      <c r="C1413">
        <v>1190</v>
      </c>
      <c r="D1413">
        <v>6</v>
      </c>
    </row>
    <row r="1414" spans="1:4">
      <c r="A1414" s="93" t="s">
        <v>6917</v>
      </c>
      <c r="B1414">
        <v>2.3</v>
      </c>
      <c r="C1414">
        <v>1190</v>
      </c>
      <c r="D1414">
        <v>6</v>
      </c>
    </row>
    <row r="1415" spans="1:4">
      <c r="A1415" s="93" t="s">
        <v>6918</v>
      </c>
      <c r="B1415">
        <v>2.2</v>
      </c>
      <c r="C1415">
        <v>1190</v>
      </c>
      <c r="D1415">
        <v>7</v>
      </c>
    </row>
    <row r="1416" spans="1:4">
      <c r="A1416" s="93" t="s">
        <v>6919</v>
      </c>
      <c r="B1416">
        <v>2.1</v>
      </c>
      <c r="C1416">
        <v>1190</v>
      </c>
      <c r="D1416">
        <v>7</v>
      </c>
    </row>
    <row r="1417" spans="1:4">
      <c r="A1417" s="93" t="s">
        <v>6920</v>
      </c>
      <c r="B1417">
        <v>2</v>
      </c>
      <c r="C1417">
        <v>1190</v>
      </c>
      <c r="D1417">
        <v>7</v>
      </c>
    </row>
    <row r="1418" spans="1:4">
      <c r="A1418" s="93" t="s">
        <v>6921</v>
      </c>
      <c r="B1418">
        <v>1.9</v>
      </c>
      <c r="C1418">
        <v>1190</v>
      </c>
      <c r="D1418">
        <v>7</v>
      </c>
    </row>
    <row r="1419" spans="1:4">
      <c r="A1419" s="93" t="s">
        <v>6922</v>
      </c>
      <c r="B1419">
        <v>1.8</v>
      </c>
      <c r="C1419">
        <v>1190</v>
      </c>
      <c r="D1419">
        <v>8</v>
      </c>
    </row>
    <row r="1420" spans="1:4">
      <c r="A1420" s="93" t="s">
        <v>6923</v>
      </c>
      <c r="B1420">
        <v>1.7</v>
      </c>
      <c r="C1420">
        <v>1190</v>
      </c>
      <c r="D1420">
        <v>8</v>
      </c>
    </row>
    <row r="1421" spans="1:4">
      <c r="A1421" s="93" t="s">
        <v>6924</v>
      </c>
      <c r="B1421">
        <v>1.6</v>
      </c>
      <c r="C1421">
        <v>1190</v>
      </c>
      <c r="D1421">
        <v>8</v>
      </c>
    </row>
    <row r="1422" spans="1:4">
      <c r="A1422" s="93" t="s">
        <v>6925</v>
      </c>
      <c r="B1422">
        <v>1.5</v>
      </c>
      <c r="C1422">
        <v>1190</v>
      </c>
      <c r="D1422">
        <v>8</v>
      </c>
    </row>
    <row r="1423" spans="1:4">
      <c r="A1423" s="93" t="s">
        <v>6926</v>
      </c>
      <c r="B1423">
        <v>4.3</v>
      </c>
      <c r="C1423">
        <v>1200</v>
      </c>
      <c r="D1423">
        <v>2</v>
      </c>
    </row>
    <row r="1424" spans="1:4">
      <c r="A1424" s="93" t="s">
        <v>6927</v>
      </c>
      <c r="B1424">
        <v>4.2</v>
      </c>
      <c r="C1424">
        <v>1200</v>
      </c>
      <c r="D1424">
        <v>2</v>
      </c>
    </row>
    <row r="1425" spans="1:4">
      <c r="A1425" s="93" t="s">
        <v>6928</v>
      </c>
      <c r="B1425">
        <v>4.1</v>
      </c>
      <c r="C1425">
        <v>1200</v>
      </c>
      <c r="D1425">
        <v>2</v>
      </c>
    </row>
    <row r="1426" spans="1:4">
      <c r="A1426" s="93" t="s">
        <v>6929</v>
      </c>
      <c r="B1426">
        <v>4</v>
      </c>
      <c r="C1426">
        <v>1200</v>
      </c>
      <c r="D1426">
        <v>2</v>
      </c>
    </row>
    <row r="1427" spans="1:4">
      <c r="A1427" s="93" t="s">
        <v>6930</v>
      </c>
      <c r="B1427">
        <v>3.9</v>
      </c>
      <c r="C1427">
        <v>1200</v>
      </c>
      <c r="D1427">
        <v>2</v>
      </c>
    </row>
    <row r="1428" spans="1:4">
      <c r="A1428" s="93" t="s">
        <v>6931</v>
      </c>
      <c r="B1428">
        <v>3.8</v>
      </c>
      <c r="C1428">
        <v>1200</v>
      </c>
      <c r="D1428">
        <v>3</v>
      </c>
    </row>
    <row r="1429" spans="1:4">
      <c r="A1429" s="93" t="s">
        <v>6932</v>
      </c>
      <c r="B1429">
        <v>3.7</v>
      </c>
      <c r="C1429">
        <v>1200</v>
      </c>
      <c r="D1429">
        <v>3</v>
      </c>
    </row>
    <row r="1430" spans="1:4">
      <c r="A1430" s="93" t="s">
        <v>6933</v>
      </c>
      <c r="B1430">
        <v>3.6</v>
      </c>
      <c r="C1430">
        <v>1200</v>
      </c>
      <c r="D1430">
        <v>3</v>
      </c>
    </row>
    <row r="1431" spans="1:4">
      <c r="A1431" s="93" t="s">
        <v>6934</v>
      </c>
      <c r="B1431">
        <v>3.5</v>
      </c>
      <c r="C1431">
        <v>1200</v>
      </c>
      <c r="D1431">
        <v>3</v>
      </c>
    </row>
    <row r="1432" spans="1:4">
      <c r="A1432" s="93" t="s">
        <v>6935</v>
      </c>
      <c r="B1432">
        <v>3.4</v>
      </c>
      <c r="C1432">
        <v>1200</v>
      </c>
      <c r="D1432">
        <v>3</v>
      </c>
    </row>
    <row r="1433" spans="1:4">
      <c r="A1433" s="93" t="s">
        <v>6936</v>
      </c>
      <c r="B1433">
        <v>3.3</v>
      </c>
      <c r="C1433">
        <v>1200</v>
      </c>
      <c r="D1433">
        <v>3</v>
      </c>
    </row>
    <row r="1434" spans="1:4">
      <c r="A1434" s="93" t="s">
        <v>6937</v>
      </c>
      <c r="B1434">
        <v>3.2</v>
      </c>
      <c r="C1434">
        <v>1200</v>
      </c>
      <c r="D1434">
        <v>4</v>
      </c>
    </row>
    <row r="1435" spans="1:4">
      <c r="A1435" s="93" t="s">
        <v>6938</v>
      </c>
      <c r="B1435">
        <v>3.1</v>
      </c>
      <c r="C1435">
        <v>1200</v>
      </c>
      <c r="D1435">
        <v>4</v>
      </c>
    </row>
    <row r="1436" spans="1:4">
      <c r="A1436" s="93" t="s">
        <v>6939</v>
      </c>
      <c r="B1436">
        <v>3</v>
      </c>
      <c r="C1436">
        <v>1200</v>
      </c>
      <c r="D1436">
        <v>5</v>
      </c>
    </row>
    <row r="1437" spans="1:4">
      <c r="A1437" s="93" t="s">
        <v>6940</v>
      </c>
      <c r="B1437">
        <v>2.9</v>
      </c>
      <c r="C1437">
        <v>1200</v>
      </c>
      <c r="D1437">
        <v>5</v>
      </c>
    </row>
    <row r="1438" spans="1:4">
      <c r="A1438" s="93" t="s">
        <v>6941</v>
      </c>
      <c r="B1438">
        <v>2.8</v>
      </c>
      <c r="C1438">
        <v>1200</v>
      </c>
      <c r="D1438">
        <v>5</v>
      </c>
    </row>
    <row r="1439" spans="1:4">
      <c r="A1439" s="93" t="s">
        <v>6942</v>
      </c>
      <c r="B1439">
        <v>2.7</v>
      </c>
      <c r="C1439">
        <v>1200</v>
      </c>
      <c r="D1439">
        <v>5</v>
      </c>
    </row>
    <row r="1440" spans="1:4">
      <c r="A1440" s="93" t="s">
        <v>6943</v>
      </c>
      <c r="B1440">
        <v>2.6</v>
      </c>
      <c r="C1440">
        <v>1200</v>
      </c>
      <c r="D1440">
        <v>5</v>
      </c>
    </row>
    <row r="1441" spans="1:4">
      <c r="A1441" s="93" t="s">
        <v>6944</v>
      </c>
      <c r="B1441">
        <v>2.5</v>
      </c>
      <c r="C1441">
        <v>1200</v>
      </c>
      <c r="D1441">
        <v>6</v>
      </c>
    </row>
    <row r="1442" spans="1:4">
      <c r="A1442" s="93" t="s">
        <v>6945</v>
      </c>
      <c r="B1442">
        <v>2.4</v>
      </c>
      <c r="C1442">
        <v>1200</v>
      </c>
      <c r="D1442">
        <v>6</v>
      </c>
    </row>
    <row r="1443" spans="1:4">
      <c r="A1443" s="93" t="s">
        <v>6946</v>
      </c>
      <c r="B1443">
        <v>2.3</v>
      </c>
      <c r="C1443">
        <v>1200</v>
      </c>
      <c r="D1443">
        <v>6</v>
      </c>
    </row>
    <row r="1444" spans="1:4">
      <c r="A1444" s="93" t="s">
        <v>6947</v>
      </c>
      <c r="B1444">
        <v>2.2</v>
      </c>
      <c r="C1444">
        <v>1200</v>
      </c>
      <c r="D1444">
        <v>6</v>
      </c>
    </row>
    <row r="1445" spans="1:4">
      <c r="A1445" s="93" t="s">
        <v>6948</v>
      </c>
      <c r="B1445">
        <v>2.1</v>
      </c>
      <c r="C1445">
        <v>1200</v>
      </c>
      <c r="D1445">
        <v>7</v>
      </c>
    </row>
    <row r="1446" spans="1:4">
      <c r="A1446" s="93" t="s">
        <v>6949</v>
      </c>
      <c r="B1446">
        <v>2</v>
      </c>
      <c r="C1446">
        <v>1200</v>
      </c>
      <c r="D1446">
        <v>7</v>
      </c>
    </row>
    <row r="1447" spans="1:4">
      <c r="A1447" s="93" t="s">
        <v>6950</v>
      </c>
      <c r="B1447">
        <v>1.9</v>
      </c>
      <c r="C1447">
        <v>1200</v>
      </c>
      <c r="D1447">
        <v>7</v>
      </c>
    </row>
    <row r="1448" spans="1:4">
      <c r="A1448" s="93" t="s">
        <v>6951</v>
      </c>
      <c r="B1448">
        <v>1.8</v>
      </c>
      <c r="C1448">
        <v>1200</v>
      </c>
      <c r="D1448">
        <v>7</v>
      </c>
    </row>
    <row r="1449" spans="1:4">
      <c r="A1449" s="93" t="s">
        <v>6952</v>
      </c>
      <c r="B1449">
        <v>1.7</v>
      </c>
      <c r="C1449">
        <v>1200</v>
      </c>
      <c r="D1449">
        <v>8</v>
      </c>
    </row>
    <row r="1450" spans="1:4">
      <c r="A1450" s="93" t="s">
        <v>6953</v>
      </c>
      <c r="B1450">
        <v>1.6</v>
      </c>
      <c r="C1450">
        <v>1200</v>
      </c>
      <c r="D1450">
        <v>8</v>
      </c>
    </row>
    <row r="1451" spans="1:4">
      <c r="A1451" s="93" t="s">
        <v>6954</v>
      </c>
      <c r="B1451">
        <v>1.5</v>
      </c>
      <c r="C1451">
        <v>1200</v>
      </c>
      <c r="D1451">
        <v>8</v>
      </c>
    </row>
    <row r="1452" spans="1:4">
      <c r="A1452" s="93" t="s">
        <v>6955</v>
      </c>
      <c r="B1452">
        <v>4.3</v>
      </c>
      <c r="C1452">
        <v>1210</v>
      </c>
      <c r="D1452">
        <v>2</v>
      </c>
    </row>
    <row r="1453" spans="1:4">
      <c r="A1453" s="93" t="s">
        <v>6956</v>
      </c>
      <c r="B1453">
        <v>4.2</v>
      </c>
      <c r="C1453">
        <v>1210</v>
      </c>
      <c r="D1453">
        <v>2</v>
      </c>
    </row>
    <row r="1454" spans="1:4">
      <c r="A1454" s="93" t="s">
        <v>6957</v>
      </c>
      <c r="B1454">
        <v>4.1</v>
      </c>
      <c r="C1454">
        <v>1210</v>
      </c>
      <c r="D1454">
        <v>2</v>
      </c>
    </row>
    <row r="1455" spans="1:4">
      <c r="A1455" s="93" t="s">
        <v>6958</v>
      </c>
      <c r="B1455">
        <v>4</v>
      </c>
      <c r="C1455">
        <v>1210</v>
      </c>
      <c r="D1455">
        <v>2</v>
      </c>
    </row>
    <row r="1456" spans="1:4">
      <c r="A1456" s="93" t="s">
        <v>6959</v>
      </c>
      <c r="B1456">
        <v>3.9</v>
      </c>
      <c r="C1456">
        <v>1210</v>
      </c>
      <c r="D1456">
        <v>2</v>
      </c>
    </row>
    <row r="1457" spans="1:4">
      <c r="A1457" s="93" t="s">
        <v>6960</v>
      </c>
      <c r="B1457">
        <v>3.8</v>
      </c>
      <c r="C1457">
        <v>1210</v>
      </c>
      <c r="D1457">
        <v>3</v>
      </c>
    </row>
    <row r="1458" spans="1:4">
      <c r="A1458" s="93" t="s">
        <v>6961</v>
      </c>
      <c r="B1458">
        <v>3.7</v>
      </c>
      <c r="C1458">
        <v>1210</v>
      </c>
      <c r="D1458">
        <v>3</v>
      </c>
    </row>
    <row r="1459" spans="1:4">
      <c r="A1459" s="93" t="s">
        <v>6962</v>
      </c>
      <c r="B1459">
        <v>3.6</v>
      </c>
      <c r="C1459">
        <v>1210</v>
      </c>
      <c r="D1459">
        <v>3</v>
      </c>
    </row>
    <row r="1460" spans="1:4">
      <c r="A1460" s="93" t="s">
        <v>6963</v>
      </c>
      <c r="B1460">
        <v>3.5</v>
      </c>
      <c r="C1460">
        <v>1210</v>
      </c>
      <c r="D1460">
        <v>3</v>
      </c>
    </row>
    <row r="1461" spans="1:4">
      <c r="A1461" s="93" t="s">
        <v>6964</v>
      </c>
      <c r="B1461">
        <v>3.4</v>
      </c>
      <c r="C1461">
        <v>1210</v>
      </c>
      <c r="D1461">
        <v>3</v>
      </c>
    </row>
    <row r="1462" spans="1:4">
      <c r="A1462" s="93" t="s">
        <v>6965</v>
      </c>
      <c r="B1462">
        <v>3.3</v>
      </c>
      <c r="C1462">
        <v>1210</v>
      </c>
      <c r="D1462">
        <v>3</v>
      </c>
    </row>
    <row r="1463" spans="1:4">
      <c r="A1463" s="93" t="s">
        <v>6966</v>
      </c>
      <c r="B1463">
        <v>3.2</v>
      </c>
      <c r="C1463">
        <v>1210</v>
      </c>
      <c r="D1463">
        <v>4</v>
      </c>
    </row>
    <row r="1464" spans="1:4">
      <c r="A1464" s="93" t="s">
        <v>6967</v>
      </c>
      <c r="B1464">
        <v>3.1</v>
      </c>
      <c r="C1464">
        <v>1210</v>
      </c>
      <c r="D1464">
        <v>4</v>
      </c>
    </row>
    <row r="1465" spans="1:4">
      <c r="A1465" s="93" t="s">
        <v>6968</v>
      </c>
      <c r="B1465">
        <v>3</v>
      </c>
      <c r="C1465">
        <v>1210</v>
      </c>
      <c r="D1465">
        <v>5</v>
      </c>
    </row>
    <row r="1466" spans="1:4">
      <c r="A1466" s="93" t="s">
        <v>6969</v>
      </c>
      <c r="B1466">
        <v>2.9</v>
      </c>
      <c r="C1466">
        <v>1210</v>
      </c>
      <c r="D1466">
        <v>5</v>
      </c>
    </row>
    <row r="1467" spans="1:4">
      <c r="A1467" s="93" t="s">
        <v>6970</v>
      </c>
      <c r="B1467">
        <v>2.8</v>
      </c>
      <c r="C1467">
        <v>1210</v>
      </c>
      <c r="D1467">
        <v>5</v>
      </c>
    </row>
    <row r="1468" spans="1:4">
      <c r="A1468" s="93" t="s">
        <v>6971</v>
      </c>
      <c r="B1468">
        <v>2.7</v>
      </c>
      <c r="C1468">
        <v>1210</v>
      </c>
      <c r="D1468">
        <v>5</v>
      </c>
    </row>
    <row r="1469" spans="1:4">
      <c r="A1469" s="93" t="s">
        <v>6972</v>
      </c>
      <c r="B1469">
        <v>2.6</v>
      </c>
      <c r="C1469">
        <v>1210</v>
      </c>
      <c r="D1469">
        <v>5</v>
      </c>
    </row>
    <row r="1470" spans="1:4">
      <c r="A1470" s="93" t="s">
        <v>6973</v>
      </c>
      <c r="B1470">
        <v>2.5</v>
      </c>
      <c r="C1470">
        <v>1210</v>
      </c>
      <c r="D1470">
        <v>6</v>
      </c>
    </row>
    <row r="1471" spans="1:4">
      <c r="A1471" s="93" t="s">
        <v>6974</v>
      </c>
      <c r="B1471">
        <v>2.4</v>
      </c>
      <c r="C1471">
        <v>1210</v>
      </c>
      <c r="D1471">
        <v>6</v>
      </c>
    </row>
    <row r="1472" spans="1:4">
      <c r="A1472" s="93" t="s">
        <v>6975</v>
      </c>
      <c r="B1472">
        <v>2.3</v>
      </c>
      <c r="C1472">
        <v>1210</v>
      </c>
      <c r="D1472">
        <v>6</v>
      </c>
    </row>
    <row r="1473" spans="1:4">
      <c r="A1473" s="93" t="s">
        <v>6976</v>
      </c>
      <c r="B1473">
        <v>2.2</v>
      </c>
      <c r="C1473">
        <v>1210</v>
      </c>
      <c r="D1473">
        <v>6</v>
      </c>
    </row>
    <row r="1474" spans="1:4">
      <c r="A1474" s="93" t="s">
        <v>6977</v>
      </c>
      <c r="B1474">
        <v>2.1</v>
      </c>
      <c r="C1474">
        <v>1210</v>
      </c>
      <c r="D1474">
        <v>7</v>
      </c>
    </row>
    <row r="1475" spans="1:4">
      <c r="A1475" s="93" t="s">
        <v>6978</v>
      </c>
      <c r="B1475">
        <v>2</v>
      </c>
      <c r="C1475">
        <v>1210</v>
      </c>
      <c r="D1475">
        <v>7</v>
      </c>
    </row>
    <row r="1476" spans="1:4">
      <c r="A1476" s="93" t="s">
        <v>6979</v>
      </c>
      <c r="B1476">
        <v>1.9</v>
      </c>
      <c r="C1476">
        <v>1210</v>
      </c>
      <c r="D1476">
        <v>7</v>
      </c>
    </row>
    <row r="1477" spans="1:4">
      <c r="A1477" s="93" t="s">
        <v>6980</v>
      </c>
      <c r="B1477">
        <v>1.8</v>
      </c>
      <c r="C1477">
        <v>1210</v>
      </c>
      <c r="D1477">
        <v>7</v>
      </c>
    </row>
    <row r="1478" spans="1:4">
      <c r="A1478" s="93" t="s">
        <v>6981</v>
      </c>
      <c r="B1478">
        <v>1.7</v>
      </c>
      <c r="C1478">
        <v>1210</v>
      </c>
      <c r="D1478">
        <v>8</v>
      </c>
    </row>
    <row r="1479" spans="1:4">
      <c r="A1479" s="93" t="s">
        <v>6982</v>
      </c>
      <c r="B1479">
        <v>1.6</v>
      </c>
      <c r="C1479">
        <v>1210</v>
      </c>
      <c r="D1479">
        <v>8</v>
      </c>
    </row>
    <row r="1480" spans="1:4">
      <c r="A1480" s="93" t="s">
        <v>6983</v>
      </c>
      <c r="B1480">
        <v>1.5</v>
      </c>
      <c r="C1480">
        <v>1210</v>
      </c>
      <c r="D1480">
        <v>8</v>
      </c>
    </row>
    <row r="1481" spans="1:4">
      <c r="A1481" s="93" t="s">
        <v>6984</v>
      </c>
      <c r="B1481">
        <v>4.3</v>
      </c>
      <c r="C1481">
        <v>1220</v>
      </c>
      <c r="D1481">
        <v>2</v>
      </c>
    </row>
    <row r="1482" spans="1:4">
      <c r="A1482" s="93" t="s">
        <v>6985</v>
      </c>
      <c r="B1482">
        <v>4.2</v>
      </c>
      <c r="C1482">
        <v>1220</v>
      </c>
      <c r="D1482">
        <v>2</v>
      </c>
    </row>
    <row r="1483" spans="1:4">
      <c r="A1483" s="93" t="s">
        <v>6986</v>
      </c>
      <c r="B1483">
        <v>4.1</v>
      </c>
      <c r="C1483">
        <v>1220</v>
      </c>
      <c r="D1483">
        <v>2</v>
      </c>
    </row>
    <row r="1484" spans="1:4">
      <c r="A1484" s="93" t="s">
        <v>6987</v>
      </c>
      <c r="B1484">
        <v>4</v>
      </c>
      <c r="C1484">
        <v>1220</v>
      </c>
      <c r="D1484">
        <v>2</v>
      </c>
    </row>
    <row r="1485" spans="1:4">
      <c r="A1485" s="93" t="s">
        <v>6988</v>
      </c>
      <c r="B1485">
        <v>3.9</v>
      </c>
      <c r="C1485">
        <v>1220</v>
      </c>
      <c r="D1485">
        <v>2</v>
      </c>
    </row>
    <row r="1486" spans="1:4">
      <c r="A1486" s="93" t="s">
        <v>6989</v>
      </c>
      <c r="B1486">
        <v>3.8</v>
      </c>
      <c r="C1486">
        <v>1220</v>
      </c>
      <c r="D1486">
        <v>3</v>
      </c>
    </row>
    <row r="1487" spans="1:4">
      <c r="A1487" s="93" t="s">
        <v>6990</v>
      </c>
      <c r="B1487">
        <v>3.7</v>
      </c>
      <c r="C1487">
        <v>1220</v>
      </c>
      <c r="D1487">
        <v>3</v>
      </c>
    </row>
    <row r="1488" spans="1:4">
      <c r="A1488" s="93" t="s">
        <v>6991</v>
      </c>
      <c r="B1488">
        <v>3.6</v>
      </c>
      <c r="C1488">
        <v>1220</v>
      </c>
      <c r="D1488">
        <v>3</v>
      </c>
    </row>
    <row r="1489" spans="1:4">
      <c r="A1489" s="93" t="s">
        <v>6992</v>
      </c>
      <c r="B1489">
        <v>3.5</v>
      </c>
      <c r="C1489">
        <v>1220</v>
      </c>
      <c r="D1489">
        <v>3</v>
      </c>
    </row>
    <row r="1490" spans="1:4">
      <c r="A1490" s="93" t="s">
        <v>6993</v>
      </c>
      <c r="B1490">
        <v>3.4</v>
      </c>
      <c r="C1490">
        <v>1220</v>
      </c>
      <c r="D1490">
        <v>3</v>
      </c>
    </row>
    <row r="1491" spans="1:4">
      <c r="A1491" s="93" t="s">
        <v>6994</v>
      </c>
      <c r="B1491">
        <v>3.3</v>
      </c>
      <c r="C1491">
        <v>1220</v>
      </c>
      <c r="D1491">
        <v>3</v>
      </c>
    </row>
    <row r="1492" spans="1:4">
      <c r="A1492" s="93" t="s">
        <v>6995</v>
      </c>
      <c r="B1492">
        <v>3.2</v>
      </c>
      <c r="C1492">
        <v>1220</v>
      </c>
      <c r="D1492">
        <v>4</v>
      </c>
    </row>
    <row r="1493" spans="1:4">
      <c r="A1493" s="93" t="s">
        <v>6996</v>
      </c>
      <c r="B1493">
        <v>3.1</v>
      </c>
      <c r="C1493">
        <v>1220</v>
      </c>
      <c r="D1493">
        <v>4</v>
      </c>
    </row>
    <row r="1494" spans="1:4">
      <c r="A1494" s="93" t="s">
        <v>6997</v>
      </c>
      <c r="B1494">
        <v>3</v>
      </c>
      <c r="C1494">
        <v>1220</v>
      </c>
      <c r="D1494">
        <v>5</v>
      </c>
    </row>
    <row r="1495" spans="1:4">
      <c r="A1495" s="93" t="s">
        <v>6998</v>
      </c>
      <c r="B1495">
        <v>2.9</v>
      </c>
      <c r="C1495">
        <v>1220</v>
      </c>
      <c r="D1495">
        <v>5</v>
      </c>
    </row>
    <row r="1496" spans="1:4">
      <c r="A1496" s="93" t="s">
        <v>6999</v>
      </c>
      <c r="B1496">
        <v>2.8</v>
      </c>
      <c r="C1496">
        <v>1220</v>
      </c>
      <c r="D1496">
        <v>5</v>
      </c>
    </row>
    <row r="1497" spans="1:4">
      <c r="A1497" s="93" t="s">
        <v>7000</v>
      </c>
      <c r="B1497">
        <v>2.7</v>
      </c>
      <c r="C1497">
        <v>1220</v>
      </c>
      <c r="D1497">
        <v>5</v>
      </c>
    </row>
    <row r="1498" spans="1:4">
      <c r="A1498" s="93" t="s">
        <v>7001</v>
      </c>
      <c r="B1498">
        <v>2.6</v>
      </c>
      <c r="C1498">
        <v>1220</v>
      </c>
      <c r="D1498">
        <v>5</v>
      </c>
    </row>
    <row r="1499" spans="1:4">
      <c r="A1499" s="93" t="s">
        <v>7002</v>
      </c>
      <c r="B1499">
        <v>2.5</v>
      </c>
      <c r="C1499">
        <v>1220</v>
      </c>
      <c r="D1499">
        <v>6</v>
      </c>
    </row>
    <row r="1500" spans="1:4">
      <c r="A1500" s="93" t="s">
        <v>7003</v>
      </c>
      <c r="B1500">
        <v>2.4</v>
      </c>
      <c r="C1500">
        <v>1220</v>
      </c>
      <c r="D1500">
        <v>6</v>
      </c>
    </row>
    <row r="1501" spans="1:4">
      <c r="A1501" s="93" t="s">
        <v>7004</v>
      </c>
      <c r="B1501">
        <v>2.3</v>
      </c>
      <c r="C1501">
        <v>1220</v>
      </c>
      <c r="D1501">
        <v>6</v>
      </c>
    </row>
    <row r="1502" spans="1:4">
      <c r="A1502" s="93" t="s">
        <v>7005</v>
      </c>
      <c r="B1502">
        <v>2.2</v>
      </c>
      <c r="C1502">
        <v>1220</v>
      </c>
      <c r="D1502">
        <v>6</v>
      </c>
    </row>
    <row r="1503" spans="1:4">
      <c r="A1503" s="93" t="s">
        <v>7006</v>
      </c>
      <c r="B1503">
        <v>2.1</v>
      </c>
      <c r="C1503">
        <v>1220</v>
      </c>
      <c r="D1503">
        <v>7</v>
      </c>
    </row>
    <row r="1504" spans="1:4">
      <c r="A1504" s="93" t="s">
        <v>7007</v>
      </c>
      <c r="B1504">
        <v>2</v>
      </c>
      <c r="C1504">
        <v>1220</v>
      </c>
      <c r="D1504">
        <v>7</v>
      </c>
    </row>
    <row r="1505" spans="1:4">
      <c r="A1505" s="93" t="s">
        <v>7008</v>
      </c>
      <c r="B1505">
        <v>1.9</v>
      </c>
      <c r="C1505">
        <v>1220</v>
      </c>
      <c r="D1505">
        <v>7</v>
      </c>
    </row>
    <row r="1506" spans="1:4">
      <c r="A1506" s="93" t="s">
        <v>7009</v>
      </c>
      <c r="B1506">
        <v>1.8</v>
      </c>
      <c r="C1506">
        <v>1220</v>
      </c>
      <c r="D1506">
        <v>7</v>
      </c>
    </row>
    <row r="1507" spans="1:4">
      <c r="A1507" s="93" t="s">
        <v>7010</v>
      </c>
      <c r="B1507">
        <v>1.7</v>
      </c>
      <c r="C1507">
        <v>1220</v>
      </c>
      <c r="D1507">
        <v>8</v>
      </c>
    </row>
    <row r="1508" spans="1:4">
      <c r="A1508" s="93" t="s">
        <v>7011</v>
      </c>
      <c r="B1508">
        <v>1.6</v>
      </c>
      <c r="C1508">
        <v>1220</v>
      </c>
      <c r="D1508">
        <v>8</v>
      </c>
    </row>
    <row r="1509" spans="1:4">
      <c r="A1509" s="93" t="s">
        <v>7012</v>
      </c>
      <c r="B1509">
        <v>1.5</v>
      </c>
      <c r="C1509">
        <v>1220</v>
      </c>
      <c r="D1509">
        <v>8</v>
      </c>
    </row>
    <row r="1510" spans="1:4">
      <c r="A1510" s="93" t="s">
        <v>7013</v>
      </c>
      <c r="B1510">
        <v>4.3</v>
      </c>
      <c r="C1510">
        <v>1230</v>
      </c>
      <c r="D1510">
        <v>2</v>
      </c>
    </row>
    <row r="1511" spans="1:4">
      <c r="A1511" s="93" t="s">
        <v>7014</v>
      </c>
      <c r="B1511">
        <v>4.2</v>
      </c>
      <c r="C1511">
        <v>1230</v>
      </c>
      <c r="D1511">
        <v>2</v>
      </c>
    </row>
    <row r="1512" spans="1:4">
      <c r="A1512" s="93" t="s">
        <v>7015</v>
      </c>
      <c r="B1512">
        <v>4.1</v>
      </c>
      <c r="C1512">
        <v>1230</v>
      </c>
      <c r="D1512">
        <v>2</v>
      </c>
    </row>
    <row r="1513" spans="1:4">
      <c r="A1513" s="93" t="s">
        <v>7016</v>
      </c>
      <c r="B1513">
        <v>4</v>
      </c>
      <c r="C1513">
        <v>1230</v>
      </c>
      <c r="D1513">
        <v>2</v>
      </c>
    </row>
    <row r="1514" spans="1:4">
      <c r="A1514" s="93" t="s">
        <v>7017</v>
      </c>
      <c r="B1514">
        <v>3.9</v>
      </c>
      <c r="C1514">
        <v>1230</v>
      </c>
      <c r="D1514">
        <v>2</v>
      </c>
    </row>
    <row r="1515" spans="1:4">
      <c r="A1515" s="93" t="s">
        <v>7018</v>
      </c>
      <c r="B1515">
        <v>3.8</v>
      </c>
      <c r="C1515">
        <v>1230</v>
      </c>
      <c r="D1515">
        <v>2</v>
      </c>
    </row>
    <row r="1516" spans="1:4">
      <c r="A1516" s="93" t="s">
        <v>7019</v>
      </c>
      <c r="B1516">
        <v>3.7</v>
      </c>
      <c r="C1516">
        <v>1230</v>
      </c>
      <c r="D1516">
        <v>2</v>
      </c>
    </row>
    <row r="1517" spans="1:4">
      <c r="A1517" s="93" t="s">
        <v>7020</v>
      </c>
      <c r="B1517">
        <v>3.6</v>
      </c>
      <c r="C1517">
        <v>1230</v>
      </c>
      <c r="D1517">
        <v>3</v>
      </c>
    </row>
    <row r="1518" spans="1:4">
      <c r="A1518" s="93" t="s">
        <v>7021</v>
      </c>
      <c r="B1518">
        <v>3.5</v>
      </c>
      <c r="C1518">
        <v>1230</v>
      </c>
      <c r="D1518">
        <v>3</v>
      </c>
    </row>
    <row r="1519" spans="1:4">
      <c r="A1519" s="93" t="s">
        <v>7022</v>
      </c>
      <c r="B1519">
        <v>3.4</v>
      </c>
      <c r="C1519">
        <v>1230</v>
      </c>
      <c r="D1519">
        <v>3</v>
      </c>
    </row>
    <row r="1520" spans="1:4">
      <c r="A1520" s="93" t="s">
        <v>7023</v>
      </c>
      <c r="B1520">
        <v>3.3</v>
      </c>
      <c r="C1520">
        <v>1230</v>
      </c>
      <c r="D1520">
        <v>3</v>
      </c>
    </row>
    <row r="1521" spans="1:4">
      <c r="A1521" s="93" t="s">
        <v>7024</v>
      </c>
      <c r="B1521">
        <v>3.2</v>
      </c>
      <c r="C1521">
        <v>1230</v>
      </c>
      <c r="D1521">
        <v>3</v>
      </c>
    </row>
    <row r="1522" spans="1:4">
      <c r="A1522" s="93" t="s">
        <v>7025</v>
      </c>
      <c r="B1522">
        <v>3.1</v>
      </c>
      <c r="C1522">
        <v>1230</v>
      </c>
      <c r="D1522">
        <v>4</v>
      </c>
    </row>
    <row r="1523" spans="1:4">
      <c r="A1523" s="93" t="s">
        <v>7026</v>
      </c>
      <c r="B1523">
        <v>3</v>
      </c>
      <c r="C1523">
        <v>1230</v>
      </c>
      <c r="D1523">
        <v>4</v>
      </c>
    </row>
    <row r="1524" spans="1:4">
      <c r="A1524" s="93" t="s">
        <v>7027</v>
      </c>
      <c r="B1524">
        <v>2.9</v>
      </c>
      <c r="C1524">
        <v>1230</v>
      </c>
      <c r="D1524">
        <v>5</v>
      </c>
    </row>
    <row r="1525" spans="1:4">
      <c r="A1525" s="93" t="s">
        <v>7028</v>
      </c>
      <c r="B1525">
        <v>2.8</v>
      </c>
      <c r="C1525">
        <v>1230</v>
      </c>
      <c r="D1525">
        <v>5</v>
      </c>
    </row>
    <row r="1526" spans="1:4">
      <c r="A1526" s="93" t="s">
        <v>7029</v>
      </c>
      <c r="B1526">
        <v>2.7</v>
      </c>
      <c r="C1526">
        <v>1230</v>
      </c>
      <c r="D1526">
        <v>5</v>
      </c>
    </row>
    <row r="1527" spans="1:4">
      <c r="A1527" s="93" t="s">
        <v>7030</v>
      </c>
      <c r="B1527">
        <v>2.6</v>
      </c>
      <c r="C1527">
        <v>1230</v>
      </c>
      <c r="D1527">
        <v>5</v>
      </c>
    </row>
    <row r="1528" spans="1:4">
      <c r="A1528" s="93" t="s">
        <v>7031</v>
      </c>
      <c r="B1528">
        <v>2.5</v>
      </c>
      <c r="C1528">
        <v>1230</v>
      </c>
      <c r="D1528">
        <v>5</v>
      </c>
    </row>
    <row r="1529" spans="1:4">
      <c r="A1529" s="93" t="s">
        <v>7032</v>
      </c>
      <c r="B1529">
        <v>2.4</v>
      </c>
      <c r="C1529">
        <v>1230</v>
      </c>
      <c r="D1529">
        <v>6</v>
      </c>
    </row>
    <row r="1530" spans="1:4">
      <c r="A1530" s="93" t="s">
        <v>7033</v>
      </c>
      <c r="B1530">
        <v>2.3</v>
      </c>
      <c r="C1530">
        <v>1230</v>
      </c>
      <c r="D1530">
        <v>6</v>
      </c>
    </row>
    <row r="1531" spans="1:4">
      <c r="A1531" s="93" t="s">
        <v>7034</v>
      </c>
      <c r="B1531">
        <v>2.2</v>
      </c>
      <c r="C1531">
        <v>1230</v>
      </c>
      <c r="D1531">
        <v>6</v>
      </c>
    </row>
    <row r="1532" spans="1:4">
      <c r="A1532" s="93" t="s">
        <v>7035</v>
      </c>
      <c r="B1532">
        <v>2.1</v>
      </c>
      <c r="C1532">
        <v>1230</v>
      </c>
      <c r="D1532">
        <v>6</v>
      </c>
    </row>
    <row r="1533" spans="1:4">
      <c r="A1533" s="93" t="s">
        <v>7036</v>
      </c>
      <c r="B1533">
        <v>2</v>
      </c>
      <c r="C1533">
        <v>1230</v>
      </c>
      <c r="D1533">
        <v>6</v>
      </c>
    </row>
    <row r="1534" spans="1:4">
      <c r="A1534" s="93" t="s">
        <v>7037</v>
      </c>
      <c r="B1534">
        <v>1.9</v>
      </c>
      <c r="C1534">
        <v>1230</v>
      </c>
      <c r="D1534">
        <v>7</v>
      </c>
    </row>
    <row r="1535" spans="1:4">
      <c r="A1535" s="93" t="s">
        <v>7038</v>
      </c>
      <c r="B1535">
        <v>1.8</v>
      </c>
      <c r="C1535">
        <v>1230</v>
      </c>
      <c r="D1535">
        <v>7</v>
      </c>
    </row>
    <row r="1536" spans="1:4">
      <c r="A1536" s="93" t="s">
        <v>7039</v>
      </c>
      <c r="B1536">
        <v>1.7</v>
      </c>
      <c r="C1536">
        <v>1230</v>
      </c>
      <c r="D1536">
        <v>7</v>
      </c>
    </row>
    <row r="1537" spans="1:4">
      <c r="A1537" s="93" t="s">
        <v>7040</v>
      </c>
      <c r="B1537">
        <v>1.6</v>
      </c>
      <c r="C1537">
        <v>1230</v>
      </c>
      <c r="D1537">
        <v>8</v>
      </c>
    </row>
    <row r="1538" spans="1:4">
      <c r="A1538" s="93" t="s">
        <v>7041</v>
      </c>
      <c r="B1538">
        <v>1.5</v>
      </c>
      <c r="C1538">
        <v>1230</v>
      </c>
      <c r="D1538">
        <v>8</v>
      </c>
    </row>
    <row r="1539" spans="1:4">
      <c r="A1539" s="93" t="s">
        <v>7042</v>
      </c>
      <c r="B1539">
        <v>4.3</v>
      </c>
      <c r="C1539">
        <v>1240</v>
      </c>
      <c r="D1539">
        <v>2</v>
      </c>
    </row>
    <row r="1540" spans="1:4">
      <c r="A1540" s="93" t="s">
        <v>7043</v>
      </c>
      <c r="B1540">
        <v>4.2</v>
      </c>
      <c r="C1540">
        <v>1240</v>
      </c>
      <c r="D1540">
        <v>2</v>
      </c>
    </row>
    <row r="1541" spans="1:4">
      <c r="A1541" s="93" t="s">
        <v>7044</v>
      </c>
      <c r="B1541">
        <v>4.1</v>
      </c>
      <c r="C1541">
        <v>1240</v>
      </c>
      <c r="D1541">
        <v>2</v>
      </c>
    </row>
    <row r="1542" spans="1:4">
      <c r="A1542" s="93" t="s">
        <v>7045</v>
      </c>
      <c r="B1542">
        <v>4</v>
      </c>
      <c r="C1542">
        <v>1240</v>
      </c>
      <c r="D1542">
        <v>2</v>
      </c>
    </row>
    <row r="1543" spans="1:4">
      <c r="A1543" s="93" t="s">
        <v>7046</v>
      </c>
      <c r="B1543">
        <v>3.9</v>
      </c>
      <c r="C1543">
        <v>1240</v>
      </c>
      <c r="D1543">
        <v>2</v>
      </c>
    </row>
    <row r="1544" spans="1:4">
      <c r="A1544" s="93" t="s">
        <v>7047</v>
      </c>
      <c r="B1544">
        <v>3.8</v>
      </c>
      <c r="C1544">
        <v>1240</v>
      </c>
      <c r="D1544">
        <v>2</v>
      </c>
    </row>
    <row r="1545" spans="1:4">
      <c r="A1545" s="93" t="s">
        <v>7048</v>
      </c>
      <c r="B1545">
        <v>3.7</v>
      </c>
      <c r="C1545">
        <v>1240</v>
      </c>
      <c r="D1545">
        <v>2</v>
      </c>
    </row>
    <row r="1546" spans="1:4">
      <c r="A1546" s="93" t="s">
        <v>7049</v>
      </c>
      <c r="B1546">
        <v>3.6</v>
      </c>
      <c r="C1546">
        <v>1240</v>
      </c>
      <c r="D1546">
        <v>3</v>
      </c>
    </row>
    <row r="1547" spans="1:4">
      <c r="A1547" s="93" t="s">
        <v>7050</v>
      </c>
      <c r="B1547">
        <v>3.5</v>
      </c>
      <c r="C1547">
        <v>1240</v>
      </c>
      <c r="D1547">
        <v>3</v>
      </c>
    </row>
    <row r="1548" spans="1:4">
      <c r="A1548" s="93" t="s">
        <v>7051</v>
      </c>
      <c r="B1548">
        <v>3.4</v>
      </c>
      <c r="C1548">
        <v>1240</v>
      </c>
      <c r="D1548">
        <v>3</v>
      </c>
    </row>
    <row r="1549" spans="1:4">
      <c r="A1549" s="93" t="s">
        <v>7052</v>
      </c>
      <c r="B1549">
        <v>3.3</v>
      </c>
      <c r="C1549">
        <v>1240</v>
      </c>
      <c r="D1549">
        <v>3</v>
      </c>
    </row>
    <row r="1550" spans="1:4">
      <c r="A1550" s="93" t="s">
        <v>7053</v>
      </c>
      <c r="B1550">
        <v>3.2</v>
      </c>
      <c r="C1550">
        <v>1240</v>
      </c>
      <c r="D1550">
        <v>3</v>
      </c>
    </row>
    <row r="1551" spans="1:4">
      <c r="A1551" s="93" t="s">
        <v>7054</v>
      </c>
      <c r="B1551">
        <v>3.1</v>
      </c>
      <c r="C1551">
        <v>1240</v>
      </c>
      <c r="D1551">
        <v>4</v>
      </c>
    </row>
    <row r="1552" spans="1:4">
      <c r="A1552" s="93" t="s">
        <v>7055</v>
      </c>
      <c r="B1552">
        <v>3</v>
      </c>
      <c r="C1552">
        <v>1240</v>
      </c>
      <c r="D1552">
        <v>4</v>
      </c>
    </row>
    <row r="1553" spans="1:4">
      <c r="A1553" s="93" t="s">
        <v>7056</v>
      </c>
      <c r="B1553">
        <v>2.9</v>
      </c>
      <c r="C1553">
        <v>1240</v>
      </c>
      <c r="D1553">
        <v>5</v>
      </c>
    </row>
    <row r="1554" spans="1:4">
      <c r="A1554" s="93" t="s">
        <v>7057</v>
      </c>
      <c r="B1554">
        <v>2.8</v>
      </c>
      <c r="C1554">
        <v>1240</v>
      </c>
      <c r="D1554">
        <v>5</v>
      </c>
    </row>
    <row r="1555" spans="1:4">
      <c r="A1555" s="93" t="s">
        <v>7058</v>
      </c>
      <c r="B1555">
        <v>2.7</v>
      </c>
      <c r="C1555">
        <v>1240</v>
      </c>
      <c r="D1555">
        <v>5</v>
      </c>
    </row>
    <row r="1556" spans="1:4">
      <c r="A1556" s="93" t="s">
        <v>7059</v>
      </c>
      <c r="B1556">
        <v>2.6</v>
      </c>
      <c r="C1556">
        <v>1240</v>
      </c>
      <c r="D1556">
        <v>5</v>
      </c>
    </row>
    <row r="1557" spans="1:4">
      <c r="A1557" s="93" t="s">
        <v>7060</v>
      </c>
      <c r="B1557">
        <v>2.5</v>
      </c>
      <c r="C1557">
        <v>1240</v>
      </c>
      <c r="D1557">
        <v>5</v>
      </c>
    </row>
    <row r="1558" spans="1:4">
      <c r="A1558" s="93" t="s">
        <v>7061</v>
      </c>
      <c r="B1558">
        <v>2.4</v>
      </c>
      <c r="C1558">
        <v>1240</v>
      </c>
      <c r="D1558">
        <v>6</v>
      </c>
    </row>
    <row r="1559" spans="1:4">
      <c r="A1559" s="93" t="s">
        <v>7062</v>
      </c>
      <c r="B1559">
        <v>2.3</v>
      </c>
      <c r="C1559">
        <v>1240</v>
      </c>
      <c r="D1559">
        <v>6</v>
      </c>
    </row>
    <row r="1560" spans="1:4">
      <c r="A1560" s="93" t="s">
        <v>7063</v>
      </c>
      <c r="B1560">
        <v>2.2</v>
      </c>
      <c r="C1560">
        <v>1240</v>
      </c>
      <c r="D1560">
        <v>6</v>
      </c>
    </row>
    <row r="1561" spans="1:4">
      <c r="A1561" s="93" t="s">
        <v>7064</v>
      </c>
      <c r="B1561">
        <v>2.1</v>
      </c>
      <c r="C1561">
        <v>1240</v>
      </c>
      <c r="D1561">
        <v>6</v>
      </c>
    </row>
    <row r="1562" spans="1:4">
      <c r="A1562" s="93" t="s">
        <v>7065</v>
      </c>
      <c r="B1562">
        <v>2</v>
      </c>
      <c r="C1562">
        <v>1240</v>
      </c>
      <c r="D1562">
        <v>6</v>
      </c>
    </row>
    <row r="1563" spans="1:4">
      <c r="A1563" s="93" t="s">
        <v>7066</v>
      </c>
      <c r="B1563">
        <v>1.9</v>
      </c>
      <c r="C1563">
        <v>1240</v>
      </c>
      <c r="D1563">
        <v>7</v>
      </c>
    </row>
    <row r="1564" spans="1:4">
      <c r="A1564" s="93" t="s">
        <v>7067</v>
      </c>
      <c r="B1564">
        <v>1.8</v>
      </c>
      <c r="C1564">
        <v>1240</v>
      </c>
      <c r="D1564">
        <v>7</v>
      </c>
    </row>
    <row r="1565" spans="1:4">
      <c r="A1565" s="93" t="s">
        <v>7068</v>
      </c>
      <c r="B1565">
        <v>1.7</v>
      </c>
      <c r="C1565">
        <v>1240</v>
      </c>
      <c r="D1565">
        <v>7</v>
      </c>
    </row>
    <row r="1566" spans="1:4">
      <c r="A1566" s="93" t="s">
        <v>7069</v>
      </c>
      <c r="B1566">
        <v>1.6</v>
      </c>
      <c r="C1566">
        <v>1240</v>
      </c>
      <c r="D1566">
        <v>8</v>
      </c>
    </row>
    <row r="1567" spans="1:4">
      <c r="A1567" s="93" t="s">
        <v>7070</v>
      </c>
      <c r="B1567">
        <v>1.5</v>
      </c>
      <c r="C1567">
        <v>1240</v>
      </c>
      <c r="D1567">
        <v>8</v>
      </c>
    </row>
    <row r="1568" spans="1:4">
      <c r="A1568" s="93" t="s">
        <v>7071</v>
      </c>
      <c r="B1568">
        <v>4.3</v>
      </c>
      <c r="C1568">
        <v>1250</v>
      </c>
      <c r="D1568">
        <v>2</v>
      </c>
    </row>
    <row r="1569" spans="1:4">
      <c r="A1569" s="93" t="s">
        <v>7072</v>
      </c>
      <c r="B1569">
        <v>4.2</v>
      </c>
      <c r="C1569">
        <v>1250</v>
      </c>
      <c r="D1569">
        <v>2</v>
      </c>
    </row>
    <row r="1570" spans="1:4">
      <c r="A1570" s="93" t="s">
        <v>7073</v>
      </c>
      <c r="B1570">
        <v>4.1</v>
      </c>
      <c r="C1570">
        <v>1250</v>
      </c>
      <c r="D1570">
        <v>2</v>
      </c>
    </row>
    <row r="1571" spans="1:4">
      <c r="A1571" s="93" t="s">
        <v>7074</v>
      </c>
      <c r="B1571">
        <v>4</v>
      </c>
      <c r="C1571">
        <v>1250</v>
      </c>
      <c r="D1571">
        <v>2</v>
      </c>
    </row>
    <row r="1572" spans="1:4">
      <c r="A1572" s="93" t="s">
        <v>7075</v>
      </c>
      <c r="B1572">
        <v>3.9</v>
      </c>
      <c r="C1572">
        <v>1250</v>
      </c>
      <c r="D1572">
        <v>2</v>
      </c>
    </row>
    <row r="1573" spans="1:4">
      <c r="A1573" s="93" t="s">
        <v>7076</v>
      </c>
      <c r="B1573">
        <v>3.8</v>
      </c>
      <c r="C1573">
        <v>1250</v>
      </c>
      <c r="D1573">
        <v>2</v>
      </c>
    </row>
    <row r="1574" spans="1:4">
      <c r="A1574" s="93" t="s">
        <v>7077</v>
      </c>
      <c r="B1574">
        <v>3.7</v>
      </c>
      <c r="C1574">
        <v>1250</v>
      </c>
      <c r="D1574">
        <v>2</v>
      </c>
    </row>
    <row r="1575" spans="1:4">
      <c r="A1575" s="93" t="s">
        <v>7078</v>
      </c>
      <c r="B1575">
        <v>3.6</v>
      </c>
      <c r="C1575">
        <v>1250</v>
      </c>
      <c r="D1575">
        <v>3</v>
      </c>
    </row>
    <row r="1576" spans="1:4">
      <c r="A1576" s="93" t="s">
        <v>7079</v>
      </c>
      <c r="B1576">
        <v>3.5</v>
      </c>
      <c r="C1576">
        <v>1250</v>
      </c>
      <c r="D1576">
        <v>3</v>
      </c>
    </row>
    <row r="1577" spans="1:4">
      <c r="A1577" s="93" t="s">
        <v>7080</v>
      </c>
      <c r="B1577">
        <v>3.4</v>
      </c>
      <c r="C1577">
        <v>1250</v>
      </c>
      <c r="D1577">
        <v>3</v>
      </c>
    </row>
    <row r="1578" spans="1:4">
      <c r="A1578" s="93" t="s">
        <v>7081</v>
      </c>
      <c r="B1578">
        <v>3.3</v>
      </c>
      <c r="C1578">
        <v>1250</v>
      </c>
      <c r="D1578">
        <v>3</v>
      </c>
    </row>
    <row r="1579" spans="1:4">
      <c r="A1579" s="93" t="s">
        <v>7082</v>
      </c>
      <c r="B1579">
        <v>3.2</v>
      </c>
      <c r="C1579">
        <v>1250</v>
      </c>
      <c r="D1579">
        <v>3</v>
      </c>
    </row>
    <row r="1580" spans="1:4">
      <c r="A1580" s="93" t="s">
        <v>7083</v>
      </c>
      <c r="B1580">
        <v>3.1</v>
      </c>
      <c r="C1580">
        <v>1250</v>
      </c>
      <c r="D1580">
        <v>4</v>
      </c>
    </row>
    <row r="1581" spans="1:4">
      <c r="A1581" s="93" t="s">
        <v>7084</v>
      </c>
      <c r="B1581">
        <v>3</v>
      </c>
      <c r="C1581">
        <v>1250</v>
      </c>
      <c r="D1581">
        <v>4</v>
      </c>
    </row>
    <row r="1582" spans="1:4">
      <c r="A1582" s="93" t="s">
        <v>7085</v>
      </c>
      <c r="B1582">
        <v>2.9</v>
      </c>
      <c r="C1582">
        <v>1250</v>
      </c>
      <c r="D1582">
        <v>5</v>
      </c>
    </row>
    <row r="1583" spans="1:4">
      <c r="A1583" s="93" t="s">
        <v>7086</v>
      </c>
      <c r="B1583">
        <v>2.8</v>
      </c>
      <c r="C1583">
        <v>1250</v>
      </c>
      <c r="D1583">
        <v>5</v>
      </c>
    </row>
    <row r="1584" spans="1:4">
      <c r="A1584" s="93" t="s">
        <v>7087</v>
      </c>
      <c r="B1584">
        <v>2.7</v>
      </c>
      <c r="C1584">
        <v>1250</v>
      </c>
      <c r="D1584">
        <v>5</v>
      </c>
    </row>
    <row r="1585" spans="1:4">
      <c r="A1585" s="93" t="s">
        <v>7088</v>
      </c>
      <c r="B1585">
        <v>2.6</v>
      </c>
      <c r="C1585">
        <v>1250</v>
      </c>
      <c r="D1585">
        <v>5</v>
      </c>
    </row>
    <row r="1586" spans="1:4">
      <c r="A1586" s="93" t="s">
        <v>7089</v>
      </c>
      <c r="B1586">
        <v>2.5</v>
      </c>
      <c r="C1586">
        <v>1250</v>
      </c>
      <c r="D1586">
        <v>5</v>
      </c>
    </row>
    <row r="1587" spans="1:4">
      <c r="A1587" s="93" t="s">
        <v>7090</v>
      </c>
      <c r="B1587">
        <v>2.4</v>
      </c>
      <c r="C1587">
        <v>1250</v>
      </c>
      <c r="D1587">
        <v>6</v>
      </c>
    </row>
    <row r="1588" spans="1:4">
      <c r="A1588" s="93" t="s">
        <v>7091</v>
      </c>
      <c r="B1588">
        <v>2.3</v>
      </c>
      <c r="C1588">
        <v>1250</v>
      </c>
      <c r="D1588">
        <v>6</v>
      </c>
    </row>
    <row r="1589" spans="1:4">
      <c r="A1589" s="93" t="s">
        <v>7092</v>
      </c>
      <c r="B1589">
        <v>2.2</v>
      </c>
      <c r="C1589">
        <v>1250</v>
      </c>
      <c r="D1589">
        <v>6</v>
      </c>
    </row>
    <row r="1590" spans="1:4">
      <c r="A1590" s="93" t="s">
        <v>7093</v>
      </c>
      <c r="B1590">
        <v>2.1</v>
      </c>
      <c r="C1590">
        <v>1250</v>
      </c>
      <c r="D1590">
        <v>6</v>
      </c>
    </row>
    <row r="1591" spans="1:4">
      <c r="A1591" s="93" t="s">
        <v>7094</v>
      </c>
      <c r="B1591">
        <v>2</v>
      </c>
      <c r="C1591">
        <v>1250</v>
      </c>
      <c r="D1591">
        <v>6</v>
      </c>
    </row>
    <row r="1592" spans="1:4">
      <c r="A1592" s="93" t="s">
        <v>7095</v>
      </c>
      <c r="B1592">
        <v>1.9</v>
      </c>
      <c r="C1592">
        <v>1250</v>
      </c>
      <c r="D1592">
        <v>7</v>
      </c>
    </row>
    <row r="1593" spans="1:4">
      <c r="A1593" s="93" t="s">
        <v>7096</v>
      </c>
      <c r="B1593">
        <v>1.8</v>
      </c>
      <c r="C1593">
        <v>1250</v>
      </c>
      <c r="D1593">
        <v>7</v>
      </c>
    </row>
    <row r="1594" spans="1:4">
      <c r="A1594" s="93" t="s">
        <v>7097</v>
      </c>
      <c r="B1594">
        <v>1.7</v>
      </c>
      <c r="C1594">
        <v>1250</v>
      </c>
      <c r="D1594">
        <v>7</v>
      </c>
    </row>
    <row r="1595" spans="1:4">
      <c r="A1595" s="93" t="s">
        <v>7098</v>
      </c>
      <c r="B1595">
        <v>1.6</v>
      </c>
      <c r="C1595">
        <v>1250</v>
      </c>
      <c r="D1595">
        <v>8</v>
      </c>
    </row>
    <row r="1596" spans="1:4">
      <c r="A1596" s="93" t="s">
        <v>7099</v>
      </c>
      <c r="B1596">
        <v>1.5</v>
      </c>
      <c r="C1596">
        <v>1250</v>
      </c>
      <c r="D1596">
        <v>8</v>
      </c>
    </row>
    <row r="1597" spans="1:4">
      <c r="A1597" s="93" t="s">
        <v>7100</v>
      </c>
      <c r="B1597">
        <v>4.3</v>
      </c>
      <c r="C1597">
        <v>1260</v>
      </c>
      <c r="D1597">
        <v>1</v>
      </c>
    </row>
    <row r="1598" spans="1:4">
      <c r="A1598" s="93" t="s">
        <v>7101</v>
      </c>
      <c r="B1598">
        <v>4.2</v>
      </c>
      <c r="C1598">
        <v>1260</v>
      </c>
      <c r="D1598">
        <v>1</v>
      </c>
    </row>
    <row r="1599" spans="1:4">
      <c r="A1599" s="93" t="s">
        <v>7102</v>
      </c>
      <c r="B1599">
        <v>4.1</v>
      </c>
      <c r="C1599">
        <v>1260</v>
      </c>
      <c r="D1599">
        <v>2</v>
      </c>
    </row>
    <row r="1600" spans="1:4">
      <c r="A1600" s="93" t="s">
        <v>7103</v>
      </c>
      <c r="B1600">
        <v>4</v>
      </c>
      <c r="C1600">
        <v>1260</v>
      </c>
      <c r="D1600">
        <v>2</v>
      </c>
    </row>
    <row r="1601" spans="1:4">
      <c r="A1601" s="93" t="s">
        <v>7104</v>
      </c>
      <c r="B1601">
        <v>3.9</v>
      </c>
      <c r="C1601">
        <v>1260</v>
      </c>
      <c r="D1601">
        <v>2</v>
      </c>
    </row>
    <row r="1602" spans="1:4">
      <c r="A1602" s="93" t="s">
        <v>7105</v>
      </c>
      <c r="B1602">
        <v>3.8</v>
      </c>
      <c r="C1602">
        <v>1260</v>
      </c>
      <c r="D1602">
        <v>2</v>
      </c>
    </row>
    <row r="1603" spans="1:4">
      <c r="A1603" s="93" t="s">
        <v>7106</v>
      </c>
      <c r="B1603">
        <v>3.7</v>
      </c>
      <c r="C1603">
        <v>1260</v>
      </c>
      <c r="D1603">
        <v>2</v>
      </c>
    </row>
    <row r="1604" spans="1:4">
      <c r="A1604" s="93" t="s">
        <v>7107</v>
      </c>
      <c r="B1604">
        <v>3.6</v>
      </c>
      <c r="C1604">
        <v>1260</v>
      </c>
      <c r="D1604">
        <v>2</v>
      </c>
    </row>
    <row r="1605" spans="1:4">
      <c r="A1605" s="93" t="s">
        <v>7108</v>
      </c>
      <c r="B1605">
        <v>3.5</v>
      </c>
      <c r="C1605">
        <v>1260</v>
      </c>
      <c r="D1605">
        <v>2</v>
      </c>
    </row>
    <row r="1606" spans="1:4">
      <c r="A1606" s="93" t="s">
        <v>7109</v>
      </c>
      <c r="B1606">
        <v>3.4</v>
      </c>
      <c r="C1606">
        <v>1260</v>
      </c>
      <c r="D1606">
        <v>3</v>
      </c>
    </row>
    <row r="1607" spans="1:4">
      <c r="A1607" s="93" t="s">
        <v>7110</v>
      </c>
      <c r="B1607">
        <v>3.3</v>
      </c>
      <c r="C1607">
        <v>1260</v>
      </c>
      <c r="D1607">
        <v>3</v>
      </c>
    </row>
    <row r="1608" spans="1:4">
      <c r="A1608" s="93" t="s">
        <v>7111</v>
      </c>
      <c r="B1608">
        <v>3.2</v>
      </c>
      <c r="C1608">
        <v>1260</v>
      </c>
      <c r="D1608">
        <v>3</v>
      </c>
    </row>
    <row r="1609" spans="1:4">
      <c r="A1609" s="93" t="s">
        <v>7112</v>
      </c>
      <c r="B1609">
        <v>3.1</v>
      </c>
      <c r="C1609">
        <v>1260</v>
      </c>
      <c r="D1609">
        <v>3</v>
      </c>
    </row>
    <row r="1610" spans="1:4">
      <c r="A1610" s="93" t="s">
        <v>7113</v>
      </c>
      <c r="B1610">
        <v>3</v>
      </c>
      <c r="C1610">
        <v>1260</v>
      </c>
      <c r="D1610">
        <v>4</v>
      </c>
    </row>
    <row r="1611" spans="1:4">
      <c r="A1611" s="93" t="s">
        <v>7114</v>
      </c>
      <c r="B1611">
        <v>2.9</v>
      </c>
      <c r="C1611">
        <v>1260</v>
      </c>
      <c r="D1611">
        <v>4</v>
      </c>
    </row>
    <row r="1612" spans="1:4">
      <c r="A1612" s="93" t="s">
        <v>7115</v>
      </c>
      <c r="B1612">
        <v>2.8</v>
      </c>
      <c r="C1612">
        <v>1260</v>
      </c>
      <c r="D1612">
        <v>5</v>
      </c>
    </row>
    <row r="1613" spans="1:4">
      <c r="A1613" s="93" t="s">
        <v>7116</v>
      </c>
      <c r="B1613">
        <v>2.7</v>
      </c>
      <c r="C1613">
        <v>1260</v>
      </c>
      <c r="D1613">
        <v>5</v>
      </c>
    </row>
    <row r="1614" spans="1:4">
      <c r="A1614" s="93" t="s">
        <v>7117</v>
      </c>
      <c r="B1614">
        <v>2.6</v>
      </c>
      <c r="C1614">
        <v>1260</v>
      </c>
      <c r="D1614">
        <v>5</v>
      </c>
    </row>
    <row r="1615" spans="1:4">
      <c r="A1615" s="93" t="s">
        <v>7118</v>
      </c>
      <c r="B1615">
        <v>2.5</v>
      </c>
      <c r="C1615">
        <v>1260</v>
      </c>
      <c r="D1615">
        <v>5</v>
      </c>
    </row>
    <row r="1616" spans="1:4">
      <c r="A1616" s="93" t="s">
        <v>7119</v>
      </c>
      <c r="B1616">
        <v>2.4</v>
      </c>
      <c r="C1616">
        <v>1260</v>
      </c>
      <c r="D1616">
        <v>6</v>
      </c>
    </row>
    <row r="1617" spans="1:4">
      <c r="A1617" s="93" t="s">
        <v>7120</v>
      </c>
      <c r="B1617">
        <v>2.3</v>
      </c>
      <c r="C1617">
        <v>1260</v>
      </c>
      <c r="D1617">
        <v>6</v>
      </c>
    </row>
    <row r="1618" spans="1:4">
      <c r="A1618" s="93" t="s">
        <v>7121</v>
      </c>
      <c r="B1618">
        <v>2.2</v>
      </c>
      <c r="C1618">
        <v>1260</v>
      </c>
      <c r="D1618">
        <v>6</v>
      </c>
    </row>
    <row r="1619" spans="1:4">
      <c r="A1619" s="93" t="s">
        <v>7122</v>
      </c>
      <c r="B1619">
        <v>2.1</v>
      </c>
      <c r="C1619">
        <v>1260</v>
      </c>
      <c r="D1619">
        <v>6</v>
      </c>
    </row>
    <row r="1620" spans="1:4">
      <c r="A1620" s="93" t="s">
        <v>7123</v>
      </c>
      <c r="B1620">
        <v>2</v>
      </c>
      <c r="C1620">
        <v>1260</v>
      </c>
      <c r="D1620">
        <v>6</v>
      </c>
    </row>
    <row r="1621" spans="1:4">
      <c r="A1621" s="93" t="s">
        <v>7124</v>
      </c>
      <c r="B1621">
        <v>1.9</v>
      </c>
      <c r="C1621">
        <v>1260</v>
      </c>
      <c r="D1621">
        <v>6</v>
      </c>
    </row>
    <row r="1622" spans="1:4">
      <c r="A1622" s="93" t="s">
        <v>7125</v>
      </c>
      <c r="B1622">
        <v>1.8</v>
      </c>
      <c r="C1622">
        <v>1260</v>
      </c>
      <c r="D1622">
        <v>7</v>
      </c>
    </row>
    <row r="1623" spans="1:4">
      <c r="A1623" s="93" t="s">
        <v>7126</v>
      </c>
      <c r="B1623">
        <v>1.7</v>
      </c>
      <c r="C1623">
        <v>1260</v>
      </c>
      <c r="D1623">
        <v>7</v>
      </c>
    </row>
    <row r="1624" spans="1:4">
      <c r="A1624" s="93" t="s">
        <v>7127</v>
      </c>
      <c r="B1624">
        <v>1.6</v>
      </c>
      <c r="C1624">
        <v>1260</v>
      </c>
      <c r="D1624">
        <v>7</v>
      </c>
    </row>
    <row r="1625" spans="1:4">
      <c r="A1625" s="93" t="s">
        <v>7128</v>
      </c>
      <c r="B1625">
        <v>1.5</v>
      </c>
      <c r="C1625">
        <v>1260</v>
      </c>
      <c r="D1625">
        <v>7</v>
      </c>
    </row>
    <row r="1626" spans="1:4">
      <c r="A1626" s="93" t="s">
        <v>7129</v>
      </c>
      <c r="B1626">
        <v>4.3</v>
      </c>
      <c r="C1626">
        <v>1270</v>
      </c>
      <c r="D1626">
        <v>1</v>
      </c>
    </row>
    <row r="1627" spans="1:4">
      <c r="A1627" s="93" t="s">
        <v>7130</v>
      </c>
      <c r="B1627">
        <v>4.2</v>
      </c>
      <c r="C1627">
        <v>1270</v>
      </c>
      <c r="D1627">
        <v>1</v>
      </c>
    </row>
    <row r="1628" spans="1:4">
      <c r="A1628" s="93" t="s">
        <v>7131</v>
      </c>
      <c r="B1628">
        <v>4.1</v>
      </c>
      <c r="C1628">
        <v>1270</v>
      </c>
      <c r="D1628">
        <v>2</v>
      </c>
    </row>
    <row r="1629" spans="1:4">
      <c r="A1629" s="93" t="s">
        <v>7132</v>
      </c>
      <c r="B1629">
        <v>4</v>
      </c>
      <c r="C1629">
        <v>1270</v>
      </c>
      <c r="D1629">
        <v>2</v>
      </c>
    </row>
    <row r="1630" spans="1:4">
      <c r="A1630" s="93" t="s">
        <v>7133</v>
      </c>
      <c r="B1630">
        <v>3.9</v>
      </c>
      <c r="C1630">
        <v>1270</v>
      </c>
      <c r="D1630">
        <v>2</v>
      </c>
    </row>
    <row r="1631" spans="1:4">
      <c r="A1631" s="93" t="s">
        <v>7134</v>
      </c>
      <c r="B1631">
        <v>3.8</v>
      </c>
      <c r="C1631">
        <v>1270</v>
      </c>
      <c r="D1631">
        <v>2</v>
      </c>
    </row>
    <row r="1632" spans="1:4">
      <c r="A1632" s="93" t="s">
        <v>7135</v>
      </c>
      <c r="B1632">
        <v>3.7</v>
      </c>
      <c r="C1632">
        <v>1270</v>
      </c>
      <c r="D1632">
        <v>2</v>
      </c>
    </row>
    <row r="1633" spans="1:4">
      <c r="A1633" s="93" t="s">
        <v>7136</v>
      </c>
      <c r="B1633">
        <v>3.6</v>
      </c>
      <c r="C1633">
        <v>1270</v>
      </c>
      <c r="D1633">
        <v>2</v>
      </c>
    </row>
    <row r="1634" spans="1:4">
      <c r="A1634" s="93" t="s">
        <v>7137</v>
      </c>
      <c r="B1634">
        <v>3.5</v>
      </c>
      <c r="C1634">
        <v>1270</v>
      </c>
      <c r="D1634">
        <v>2</v>
      </c>
    </row>
    <row r="1635" spans="1:4">
      <c r="A1635" s="93" t="s">
        <v>7138</v>
      </c>
      <c r="B1635">
        <v>3.4</v>
      </c>
      <c r="C1635">
        <v>1270</v>
      </c>
      <c r="D1635">
        <v>3</v>
      </c>
    </row>
    <row r="1636" spans="1:4">
      <c r="A1636" s="93" t="s">
        <v>7139</v>
      </c>
      <c r="B1636">
        <v>3.3</v>
      </c>
      <c r="C1636">
        <v>1270</v>
      </c>
      <c r="D1636">
        <v>3</v>
      </c>
    </row>
    <row r="1637" spans="1:4">
      <c r="A1637" s="93" t="s">
        <v>7140</v>
      </c>
      <c r="B1637">
        <v>3.2</v>
      </c>
      <c r="C1637">
        <v>1270</v>
      </c>
      <c r="D1637">
        <v>3</v>
      </c>
    </row>
    <row r="1638" spans="1:4">
      <c r="A1638" s="93" t="s">
        <v>7141</v>
      </c>
      <c r="B1638">
        <v>3.1</v>
      </c>
      <c r="C1638">
        <v>1270</v>
      </c>
      <c r="D1638">
        <v>3</v>
      </c>
    </row>
    <row r="1639" spans="1:4">
      <c r="A1639" s="93" t="s">
        <v>7142</v>
      </c>
      <c r="B1639">
        <v>3</v>
      </c>
      <c r="C1639">
        <v>1270</v>
      </c>
      <c r="D1639">
        <v>4</v>
      </c>
    </row>
    <row r="1640" spans="1:4">
      <c r="A1640" s="93" t="s">
        <v>7143</v>
      </c>
      <c r="B1640">
        <v>2.9</v>
      </c>
      <c r="C1640">
        <v>1270</v>
      </c>
      <c r="D1640">
        <v>4</v>
      </c>
    </row>
    <row r="1641" spans="1:4">
      <c r="A1641" s="93" t="s">
        <v>7144</v>
      </c>
      <c r="B1641">
        <v>2.8</v>
      </c>
      <c r="C1641">
        <v>1270</v>
      </c>
      <c r="D1641">
        <v>5</v>
      </c>
    </row>
    <row r="1642" spans="1:4">
      <c r="A1642" s="93" t="s">
        <v>7145</v>
      </c>
      <c r="B1642">
        <v>2.7</v>
      </c>
      <c r="C1642">
        <v>1270</v>
      </c>
      <c r="D1642">
        <v>5</v>
      </c>
    </row>
    <row r="1643" spans="1:4">
      <c r="A1643" s="93" t="s">
        <v>7146</v>
      </c>
      <c r="B1643">
        <v>2.6</v>
      </c>
      <c r="C1643">
        <v>1270</v>
      </c>
      <c r="D1643">
        <v>5</v>
      </c>
    </row>
    <row r="1644" spans="1:4">
      <c r="A1644" s="93" t="s">
        <v>7147</v>
      </c>
      <c r="B1644">
        <v>2.5</v>
      </c>
      <c r="C1644">
        <v>1270</v>
      </c>
      <c r="D1644">
        <v>5</v>
      </c>
    </row>
    <row r="1645" spans="1:4">
      <c r="A1645" s="93" t="s">
        <v>7148</v>
      </c>
      <c r="B1645">
        <v>2.4</v>
      </c>
      <c r="C1645">
        <v>1270</v>
      </c>
      <c r="D1645">
        <v>6</v>
      </c>
    </row>
    <row r="1646" spans="1:4">
      <c r="A1646" s="93" t="s">
        <v>7149</v>
      </c>
      <c r="B1646">
        <v>2.3</v>
      </c>
      <c r="C1646">
        <v>1270</v>
      </c>
      <c r="D1646">
        <v>6</v>
      </c>
    </row>
    <row r="1647" spans="1:4">
      <c r="A1647" s="93" t="s">
        <v>7150</v>
      </c>
      <c r="B1647">
        <v>2.2</v>
      </c>
      <c r="C1647">
        <v>1270</v>
      </c>
      <c r="D1647">
        <v>6</v>
      </c>
    </row>
    <row r="1648" spans="1:4">
      <c r="A1648" s="93" t="s">
        <v>7151</v>
      </c>
      <c r="B1648">
        <v>2.1</v>
      </c>
      <c r="C1648">
        <v>1270</v>
      </c>
      <c r="D1648">
        <v>6</v>
      </c>
    </row>
    <row r="1649" spans="1:4">
      <c r="A1649" s="93" t="s">
        <v>7152</v>
      </c>
      <c r="B1649">
        <v>2</v>
      </c>
      <c r="C1649">
        <v>1270</v>
      </c>
      <c r="D1649">
        <v>6</v>
      </c>
    </row>
    <row r="1650" spans="1:4">
      <c r="A1650" s="93" t="s">
        <v>7153</v>
      </c>
      <c r="B1650">
        <v>1.9</v>
      </c>
      <c r="C1650">
        <v>1270</v>
      </c>
      <c r="D1650">
        <v>6</v>
      </c>
    </row>
    <row r="1651" spans="1:4">
      <c r="A1651" s="93" t="s">
        <v>7154</v>
      </c>
      <c r="B1651">
        <v>1.8</v>
      </c>
      <c r="C1651">
        <v>1270</v>
      </c>
      <c r="D1651">
        <v>7</v>
      </c>
    </row>
    <row r="1652" spans="1:4">
      <c r="A1652" s="93" t="s">
        <v>7155</v>
      </c>
      <c r="B1652">
        <v>1.7</v>
      </c>
      <c r="C1652">
        <v>1270</v>
      </c>
      <c r="D1652">
        <v>7</v>
      </c>
    </row>
    <row r="1653" spans="1:4">
      <c r="A1653" s="93" t="s">
        <v>7156</v>
      </c>
      <c r="B1653">
        <v>1.6</v>
      </c>
      <c r="C1653">
        <v>1270</v>
      </c>
      <c r="D1653">
        <v>7</v>
      </c>
    </row>
    <row r="1654" spans="1:4">
      <c r="A1654" s="93" t="s">
        <v>7157</v>
      </c>
      <c r="B1654">
        <v>1.5</v>
      </c>
      <c r="C1654">
        <v>1270</v>
      </c>
      <c r="D1654">
        <v>7</v>
      </c>
    </row>
    <row r="1655" spans="1:4">
      <c r="A1655" s="93" t="s">
        <v>7158</v>
      </c>
      <c r="B1655">
        <v>4.3</v>
      </c>
      <c r="C1655">
        <v>1280</v>
      </c>
      <c r="D1655">
        <v>1</v>
      </c>
    </row>
    <row r="1656" spans="1:4">
      <c r="A1656" s="93" t="s">
        <v>7159</v>
      </c>
      <c r="B1656">
        <v>4.2</v>
      </c>
      <c r="C1656">
        <v>1280</v>
      </c>
      <c r="D1656">
        <v>1</v>
      </c>
    </row>
    <row r="1657" spans="1:4">
      <c r="A1657" s="93" t="s">
        <v>7160</v>
      </c>
      <c r="B1657">
        <v>4.1</v>
      </c>
      <c r="C1657">
        <v>1280</v>
      </c>
      <c r="D1657">
        <v>2</v>
      </c>
    </row>
    <row r="1658" spans="1:4">
      <c r="A1658" s="93" t="s">
        <v>7161</v>
      </c>
      <c r="B1658">
        <v>4</v>
      </c>
      <c r="C1658">
        <v>1280</v>
      </c>
      <c r="D1658">
        <v>2</v>
      </c>
    </row>
    <row r="1659" spans="1:4">
      <c r="A1659" s="93" t="s">
        <v>7162</v>
      </c>
      <c r="B1659">
        <v>3.9</v>
      </c>
      <c r="C1659">
        <v>1280</v>
      </c>
      <c r="D1659">
        <v>2</v>
      </c>
    </row>
    <row r="1660" spans="1:4">
      <c r="A1660" s="93" t="s">
        <v>7163</v>
      </c>
      <c r="B1660">
        <v>3.8</v>
      </c>
      <c r="C1660">
        <v>1280</v>
      </c>
      <c r="D1660">
        <v>2</v>
      </c>
    </row>
    <row r="1661" spans="1:4">
      <c r="A1661" s="93" t="s">
        <v>7164</v>
      </c>
      <c r="B1661">
        <v>3.7</v>
      </c>
      <c r="C1661">
        <v>1280</v>
      </c>
      <c r="D1661">
        <v>2</v>
      </c>
    </row>
    <row r="1662" spans="1:4">
      <c r="A1662" s="93" t="s">
        <v>7165</v>
      </c>
      <c r="B1662">
        <v>3.6</v>
      </c>
      <c r="C1662">
        <v>1280</v>
      </c>
      <c r="D1662">
        <v>2</v>
      </c>
    </row>
    <row r="1663" spans="1:4">
      <c r="A1663" s="93" t="s">
        <v>7166</v>
      </c>
      <c r="B1663">
        <v>3.5</v>
      </c>
      <c r="C1663">
        <v>1280</v>
      </c>
      <c r="D1663">
        <v>2</v>
      </c>
    </row>
    <row r="1664" spans="1:4">
      <c r="A1664" s="93" t="s">
        <v>7167</v>
      </c>
      <c r="B1664">
        <v>3.4</v>
      </c>
      <c r="C1664">
        <v>1280</v>
      </c>
      <c r="D1664">
        <v>3</v>
      </c>
    </row>
    <row r="1665" spans="1:4">
      <c r="A1665" s="93" t="s">
        <v>7168</v>
      </c>
      <c r="B1665">
        <v>3.3</v>
      </c>
      <c r="C1665">
        <v>1280</v>
      </c>
      <c r="D1665">
        <v>3</v>
      </c>
    </row>
    <row r="1666" spans="1:4">
      <c r="A1666" s="93" t="s">
        <v>7169</v>
      </c>
      <c r="B1666">
        <v>3.2</v>
      </c>
      <c r="C1666">
        <v>1280</v>
      </c>
      <c r="D1666">
        <v>3</v>
      </c>
    </row>
    <row r="1667" spans="1:4">
      <c r="A1667" s="93" t="s">
        <v>7170</v>
      </c>
      <c r="B1667">
        <v>3.1</v>
      </c>
      <c r="C1667">
        <v>1280</v>
      </c>
      <c r="D1667">
        <v>3</v>
      </c>
    </row>
    <row r="1668" spans="1:4">
      <c r="A1668" s="93" t="s">
        <v>7171</v>
      </c>
      <c r="B1668">
        <v>3</v>
      </c>
      <c r="C1668">
        <v>1280</v>
      </c>
      <c r="D1668">
        <v>4</v>
      </c>
    </row>
    <row r="1669" spans="1:4">
      <c r="A1669" s="93" t="s">
        <v>7172</v>
      </c>
      <c r="B1669">
        <v>2.9</v>
      </c>
      <c r="C1669">
        <v>1280</v>
      </c>
      <c r="D1669">
        <v>4</v>
      </c>
    </row>
    <row r="1670" spans="1:4">
      <c r="A1670" s="93" t="s">
        <v>7173</v>
      </c>
      <c r="B1670">
        <v>2.8</v>
      </c>
      <c r="C1670">
        <v>1280</v>
      </c>
      <c r="D1670">
        <v>5</v>
      </c>
    </row>
    <row r="1671" spans="1:4">
      <c r="A1671" s="93" t="s">
        <v>7174</v>
      </c>
      <c r="B1671">
        <v>2.7</v>
      </c>
      <c r="C1671">
        <v>1280</v>
      </c>
      <c r="D1671">
        <v>5</v>
      </c>
    </row>
    <row r="1672" spans="1:4">
      <c r="A1672" s="93" t="s">
        <v>7175</v>
      </c>
      <c r="B1672">
        <v>2.6</v>
      </c>
      <c r="C1672">
        <v>1280</v>
      </c>
      <c r="D1672">
        <v>5</v>
      </c>
    </row>
    <row r="1673" spans="1:4">
      <c r="A1673" s="93" t="s">
        <v>7176</v>
      </c>
      <c r="B1673">
        <v>2.5</v>
      </c>
      <c r="C1673">
        <v>1280</v>
      </c>
      <c r="D1673">
        <v>5</v>
      </c>
    </row>
    <row r="1674" spans="1:4">
      <c r="A1674" s="93" t="s">
        <v>7177</v>
      </c>
      <c r="B1674">
        <v>2.4</v>
      </c>
      <c r="C1674">
        <v>1280</v>
      </c>
      <c r="D1674">
        <v>6</v>
      </c>
    </row>
    <row r="1675" spans="1:4">
      <c r="A1675" s="93" t="s">
        <v>7178</v>
      </c>
      <c r="B1675">
        <v>2.3</v>
      </c>
      <c r="C1675">
        <v>1280</v>
      </c>
      <c r="D1675">
        <v>6</v>
      </c>
    </row>
    <row r="1676" spans="1:4">
      <c r="A1676" s="93" t="s">
        <v>7179</v>
      </c>
      <c r="B1676">
        <v>2.2</v>
      </c>
      <c r="C1676">
        <v>1280</v>
      </c>
      <c r="D1676">
        <v>6</v>
      </c>
    </row>
    <row r="1677" spans="1:4">
      <c r="A1677" s="93" t="s">
        <v>7180</v>
      </c>
      <c r="B1677">
        <v>2.1</v>
      </c>
      <c r="C1677">
        <v>1280</v>
      </c>
      <c r="D1677">
        <v>6</v>
      </c>
    </row>
    <row r="1678" spans="1:4">
      <c r="A1678" s="93" t="s">
        <v>7181</v>
      </c>
      <c r="B1678">
        <v>2</v>
      </c>
      <c r="C1678">
        <v>1280</v>
      </c>
      <c r="D1678">
        <v>6</v>
      </c>
    </row>
    <row r="1679" spans="1:4">
      <c r="A1679" s="93" t="s">
        <v>7182</v>
      </c>
      <c r="B1679">
        <v>1.9</v>
      </c>
      <c r="C1679">
        <v>1280</v>
      </c>
      <c r="D1679">
        <v>6</v>
      </c>
    </row>
    <row r="1680" spans="1:4">
      <c r="A1680" s="93" t="s">
        <v>7183</v>
      </c>
      <c r="B1680">
        <v>1.8</v>
      </c>
      <c r="C1680">
        <v>1280</v>
      </c>
      <c r="D1680">
        <v>7</v>
      </c>
    </row>
    <row r="1681" spans="1:4">
      <c r="A1681" s="93" t="s">
        <v>7184</v>
      </c>
      <c r="B1681">
        <v>1.7</v>
      </c>
      <c r="C1681">
        <v>1280</v>
      </c>
      <c r="D1681">
        <v>7</v>
      </c>
    </row>
    <row r="1682" spans="1:4">
      <c r="A1682" s="93" t="s">
        <v>7185</v>
      </c>
      <c r="B1682">
        <v>1.6</v>
      </c>
      <c r="C1682">
        <v>1280</v>
      </c>
      <c r="D1682">
        <v>7</v>
      </c>
    </row>
    <row r="1683" spans="1:4">
      <c r="A1683" s="93" t="s">
        <v>7186</v>
      </c>
      <c r="B1683">
        <v>1.5</v>
      </c>
      <c r="C1683">
        <v>1280</v>
      </c>
      <c r="D1683">
        <v>7</v>
      </c>
    </row>
    <row r="1684" spans="1:4">
      <c r="A1684" s="93" t="s">
        <v>7187</v>
      </c>
      <c r="B1684">
        <v>4.3</v>
      </c>
      <c r="C1684">
        <v>1290</v>
      </c>
      <c r="D1684">
        <v>1</v>
      </c>
    </row>
    <row r="1685" spans="1:4">
      <c r="A1685" s="93" t="s">
        <v>7188</v>
      </c>
      <c r="B1685">
        <v>4.2</v>
      </c>
      <c r="C1685">
        <v>1290</v>
      </c>
      <c r="D1685">
        <v>1</v>
      </c>
    </row>
    <row r="1686" spans="1:4">
      <c r="A1686" s="93" t="s">
        <v>7189</v>
      </c>
      <c r="B1686">
        <v>4.1</v>
      </c>
      <c r="C1686">
        <v>1290</v>
      </c>
      <c r="D1686">
        <v>2</v>
      </c>
    </row>
    <row r="1687" spans="1:4">
      <c r="A1687" s="93" t="s">
        <v>7190</v>
      </c>
      <c r="B1687">
        <v>4</v>
      </c>
      <c r="C1687">
        <v>1290</v>
      </c>
      <c r="D1687">
        <v>2</v>
      </c>
    </row>
    <row r="1688" spans="1:4">
      <c r="A1688" s="93" t="s">
        <v>7191</v>
      </c>
      <c r="B1688">
        <v>3.9</v>
      </c>
      <c r="C1688">
        <v>1290</v>
      </c>
      <c r="D1688">
        <v>2</v>
      </c>
    </row>
    <row r="1689" spans="1:4">
      <c r="A1689" s="93" t="s">
        <v>7192</v>
      </c>
      <c r="B1689">
        <v>3.8</v>
      </c>
      <c r="C1689">
        <v>1290</v>
      </c>
      <c r="D1689">
        <v>2</v>
      </c>
    </row>
    <row r="1690" spans="1:4">
      <c r="A1690" s="93" t="s">
        <v>7193</v>
      </c>
      <c r="B1690">
        <v>3.7</v>
      </c>
      <c r="C1690">
        <v>1290</v>
      </c>
      <c r="D1690">
        <v>2</v>
      </c>
    </row>
    <row r="1691" spans="1:4">
      <c r="A1691" s="93" t="s">
        <v>7194</v>
      </c>
      <c r="B1691">
        <v>3.6</v>
      </c>
      <c r="C1691">
        <v>1290</v>
      </c>
      <c r="D1691">
        <v>2</v>
      </c>
    </row>
    <row r="1692" spans="1:4">
      <c r="A1692" s="93" t="s">
        <v>7195</v>
      </c>
      <c r="B1692">
        <v>3.5</v>
      </c>
      <c r="C1692">
        <v>1290</v>
      </c>
      <c r="D1692">
        <v>2</v>
      </c>
    </row>
    <row r="1693" spans="1:4">
      <c r="A1693" s="93" t="s">
        <v>7196</v>
      </c>
      <c r="B1693">
        <v>3.4</v>
      </c>
      <c r="C1693">
        <v>1290</v>
      </c>
      <c r="D1693">
        <v>3</v>
      </c>
    </row>
    <row r="1694" spans="1:4">
      <c r="A1694" s="93" t="s">
        <v>7197</v>
      </c>
      <c r="B1694">
        <v>3.3</v>
      </c>
      <c r="C1694">
        <v>1290</v>
      </c>
      <c r="D1694">
        <v>3</v>
      </c>
    </row>
    <row r="1695" spans="1:4">
      <c r="A1695" s="93" t="s">
        <v>7198</v>
      </c>
      <c r="B1695">
        <v>3.2</v>
      </c>
      <c r="C1695">
        <v>1290</v>
      </c>
      <c r="D1695">
        <v>3</v>
      </c>
    </row>
    <row r="1696" spans="1:4">
      <c r="A1696" s="93" t="s">
        <v>7199</v>
      </c>
      <c r="B1696">
        <v>3.1</v>
      </c>
      <c r="C1696">
        <v>1290</v>
      </c>
      <c r="D1696">
        <v>3</v>
      </c>
    </row>
    <row r="1697" spans="1:4">
      <c r="A1697" s="93" t="s">
        <v>7200</v>
      </c>
      <c r="B1697">
        <v>3</v>
      </c>
      <c r="C1697">
        <v>1290</v>
      </c>
      <c r="D1697">
        <v>4</v>
      </c>
    </row>
    <row r="1698" spans="1:4">
      <c r="A1698" s="93" t="s">
        <v>7201</v>
      </c>
      <c r="B1698">
        <v>2.9</v>
      </c>
      <c r="C1698">
        <v>1290</v>
      </c>
      <c r="D1698">
        <v>4</v>
      </c>
    </row>
    <row r="1699" spans="1:4">
      <c r="A1699" s="93" t="s">
        <v>7202</v>
      </c>
      <c r="B1699">
        <v>2.8</v>
      </c>
      <c r="C1699">
        <v>1290</v>
      </c>
      <c r="D1699">
        <v>5</v>
      </c>
    </row>
    <row r="1700" spans="1:4">
      <c r="A1700" s="93" t="s">
        <v>7203</v>
      </c>
      <c r="B1700">
        <v>2.7</v>
      </c>
      <c r="C1700">
        <v>1290</v>
      </c>
      <c r="D1700">
        <v>5</v>
      </c>
    </row>
    <row r="1701" spans="1:4">
      <c r="A1701" s="93" t="s">
        <v>7204</v>
      </c>
      <c r="B1701">
        <v>2.6</v>
      </c>
      <c r="C1701">
        <v>1290</v>
      </c>
      <c r="D1701">
        <v>5</v>
      </c>
    </row>
    <row r="1702" spans="1:4">
      <c r="A1702" s="93" t="s">
        <v>7205</v>
      </c>
      <c r="B1702">
        <v>2.5</v>
      </c>
      <c r="C1702">
        <v>1290</v>
      </c>
      <c r="D1702">
        <v>5</v>
      </c>
    </row>
    <row r="1703" spans="1:4">
      <c r="A1703" s="93" t="s">
        <v>7206</v>
      </c>
      <c r="B1703">
        <v>2.4</v>
      </c>
      <c r="C1703">
        <v>1290</v>
      </c>
      <c r="D1703">
        <v>6</v>
      </c>
    </row>
    <row r="1704" spans="1:4">
      <c r="A1704" s="93" t="s">
        <v>7207</v>
      </c>
      <c r="B1704">
        <v>2.3</v>
      </c>
      <c r="C1704">
        <v>1290</v>
      </c>
      <c r="D1704">
        <v>6</v>
      </c>
    </row>
    <row r="1705" spans="1:4">
      <c r="A1705" s="93" t="s">
        <v>7208</v>
      </c>
      <c r="B1705">
        <v>2.2</v>
      </c>
      <c r="C1705">
        <v>1290</v>
      </c>
      <c r="D1705">
        <v>6</v>
      </c>
    </row>
    <row r="1706" spans="1:4">
      <c r="A1706" s="93" t="s">
        <v>7209</v>
      </c>
      <c r="B1706">
        <v>2.1</v>
      </c>
      <c r="C1706">
        <v>1290</v>
      </c>
      <c r="D1706">
        <v>6</v>
      </c>
    </row>
    <row r="1707" spans="1:4">
      <c r="A1707" s="93" t="s">
        <v>7210</v>
      </c>
      <c r="B1707">
        <v>2</v>
      </c>
      <c r="C1707">
        <v>1290</v>
      </c>
      <c r="D1707">
        <v>6</v>
      </c>
    </row>
    <row r="1708" spans="1:4">
      <c r="A1708" s="93" t="s">
        <v>7211</v>
      </c>
      <c r="B1708">
        <v>1.9</v>
      </c>
      <c r="C1708">
        <v>1290</v>
      </c>
      <c r="D1708">
        <v>6</v>
      </c>
    </row>
    <row r="1709" spans="1:4">
      <c r="A1709" s="93" t="s">
        <v>7212</v>
      </c>
      <c r="B1709">
        <v>1.8</v>
      </c>
      <c r="C1709">
        <v>1290</v>
      </c>
      <c r="D1709">
        <v>7</v>
      </c>
    </row>
    <row r="1710" spans="1:4">
      <c r="A1710" s="93" t="s">
        <v>7213</v>
      </c>
      <c r="B1710">
        <v>1.7</v>
      </c>
      <c r="C1710">
        <v>1290</v>
      </c>
      <c r="D1710">
        <v>7</v>
      </c>
    </row>
    <row r="1711" spans="1:4">
      <c r="A1711" s="93" t="s">
        <v>7214</v>
      </c>
      <c r="B1711">
        <v>1.6</v>
      </c>
      <c r="C1711">
        <v>1290</v>
      </c>
      <c r="D1711">
        <v>7</v>
      </c>
    </row>
    <row r="1712" spans="1:4">
      <c r="A1712" s="93" t="s">
        <v>7215</v>
      </c>
      <c r="B1712">
        <v>1.5</v>
      </c>
      <c r="C1712">
        <v>1290</v>
      </c>
      <c r="D1712">
        <v>7</v>
      </c>
    </row>
    <row r="1713" spans="1:4">
      <c r="A1713" s="93" t="s">
        <v>7216</v>
      </c>
      <c r="B1713">
        <v>4.3</v>
      </c>
      <c r="C1713">
        <v>1300</v>
      </c>
      <c r="D1713">
        <v>1</v>
      </c>
    </row>
    <row r="1714" spans="1:4">
      <c r="A1714" s="93" t="s">
        <v>7217</v>
      </c>
      <c r="B1714">
        <v>4.2</v>
      </c>
      <c r="C1714">
        <v>1300</v>
      </c>
      <c r="D1714">
        <v>1</v>
      </c>
    </row>
    <row r="1715" spans="1:4">
      <c r="A1715" s="93" t="s">
        <v>7218</v>
      </c>
      <c r="B1715">
        <v>4.1</v>
      </c>
      <c r="C1715">
        <v>1300</v>
      </c>
      <c r="D1715">
        <v>1</v>
      </c>
    </row>
    <row r="1716" spans="1:4">
      <c r="A1716" s="93" t="s">
        <v>7219</v>
      </c>
      <c r="B1716">
        <v>4</v>
      </c>
      <c r="C1716">
        <v>1300</v>
      </c>
      <c r="D1716">
        <v>1</v>
      </c>
    </row>
    <row r="1717" spans="1:4">
      <c r="A1717" s="93" t="s">
        <v>7220</v>
      </c>
      <c r="B1717">
        <v>3.9</v>
      </c>
      <c r="C1717">
        <v>1300</v>
      </c>
      <c r="D1717">
        <v>2</v>
      </c>
    </row>
    <row r="1718" spans="1:4">
      <c r="A1718" s="93" t="s">
        <v>7221</v>
      </c>
      <c r="B1718">
        <v>3.8</v>
      </c>
      <c r="C1718">
        <v>1300</v>
      </c>
      <c r="D1718">
        <v>2</v>
      </c>
    </row>
    <row r="1719" spans="1:4">
      <c r="A1719" s="93" t="s">
        <v>7222</v>
      </c>
      <c r="B1719">
        <v>3.7</v>
      </c>
      <c r="C1719">
        <v>1300</v>
      </c>
      <c r="D1719">
        <v>2</v>
      </c>
    </row>
    <row r="1720" spans="1:4">
      <c r="A1720" s="93" t="s">
        <v>7223</v>
      </c>
      <c r="B1720">
        <v>3.6</v>
      </c>
      <c r="C1720">
        <v>1300</v>
      </c>
      <c r="D1720">
        <v>2</v>
      </c>
    </row>
    <row r="1721" spans="1:4">
      <c r="A1721" s="93" t="s">
        <v>7224</v>
      </c>
      <c r="B1721">
        <v>3.5</v>
      </c>
      <c r="C1721">
        <v>1300</v>
      </c>
      <c r="D1721">
        <v>2</v>
      </c>
    </row>
    <row r="1722" spans="1:4">
      <c r="A1722" s="93" t="s">
        <v>7225</v>
      </c>
      <c r="B1722">
        <v>3.4</v>
      </c>
      <c r="C1722">
        <v>1300</v>
      </c>
      <c r="D1722">
        <v>2</v>
      </c>
    </row>
    <row r="1723" spans="1:4">
      <c r="A1723" s="93" t="s">
        <v>7226</v>
      </c>
      <c r="B1723">
        <v>3.3</v>
      </c>
      <c r="C1723">
        <v>1300</v>
      </c>
      <c r="D1723">
        <v>2</v>
      </c>
    </row>
    <row r="1724" spans="1:4">
      <c r="A1724" s="93" t="s">
        <v>7227</v>
      </c>
      <c r="B1724">
        <v>3.2</v>
      </c>
      <c r="C1724">
        <v>1300</v>
      </c>
      <c r="D1724">
        <v>3</v>
      </c>
    </row>
    <row r="1725" spans="1:4">
      <c r="A1725" s="93" t="s">
        <v>7228</v>
      </c>
      <c r="B1725">
        <v>3.1</v>
      </c>
      <c r="C1725">
        <v>1300</v>
      </c>
      <c r="D1725">
        <v>3</v>
      </c>
    </row>
    <row r="1726" spans="1:4">
      <c r="A1726" s="93" t="s">
        <v>7229</v>
      </c>
      <c r="B1726">
        <v>3</v>
      </c>
      <c r="C1726">
        <v>1300</v>
      </c>
      <c r="D1726">
        <v>3</v>
      </c>
    </row>
    <row r="1727" spans="1:4">
      <c r="A1727" s="93" t="s">
        <v>7230</v>
      </c>
      <c r="B1727">
        <v>2.9</v>
      </c>
      <c r="C1727">
        <v>1300</v>
      </c>
      <c r="D1727">
        <v>4</v>
      </c>
    </row>
    <row r="1728" spans="1:4">
      <c r="A1728" s="93" t="s">
        <v>7231</v>
      </c>
      <c r="B1728">
        <v>2.8</v>
      </c>
      <c r="C1728">
        <v>1300</v>
      </c>
      <c r="D1728">
        <v>4</v>
      </c>
    </row>
    <row r="1729" spans="1:4">
      <c r="A1729" s="93" t="s">
        <v>7232</v>
      </c>
      <c r="B1729">
        <v>2.7</v>
      </c>
      <c r="C1729">
        <v>1300</v>
      </c>
      <c r="D1729">
        <v>5</v>
      </c>
    </row>
    <row r="1730" spans="1:4">
      <c r="A1730" s="93" t="s">
        <v>7233</v>
      </c>
      <c r="B1730">
        <v>2.6</v>
      </c>
      <c r="C1730">
        <v>1300</v>
      </c>
      <c r="D1730">
        <v>5</v>
      </c>
    </row>
    <row r="1731" spans="1:4">
      <c r="A1731" s="93" t="s">
        <v>7234</v>
      </c>
      <c r="B1731">
        <v>2.5</v>
      </c>
      <c r="C1731">
        <v>1300</v>
      </c>
      <c r="D1731">
        <v>5</v>
      </c>
    </row>
    <row r="1732" spans="1:4">
      <c r="A1732" s="93" t="s">
        <v>7235</v>
      </c>
      <c r="B1732">
        <v>2.4</v>
      </c>
      <c r="C1732">
        <v>1300</v>
      </c>
      <c r="D1732">
        <v>5</v>
      </c>
    </row>
    <row r="1733" spans="1:4">
      <c r="A1733" s="93" t="s">
        <v>7236</v>
      </c>
      <c r="B1733">
        <v>2.3</v>
      </c>
      <c r="C1733">
        <v>1300</v>
      </c>
      <c r="D1733">
        <v>6</v>
      </c>
    </row>
    <row r="1734" spans="1:4">
      <c r="A1734" s="93" t="s">
        <v>7237</v>
      </c>
      <c r="B1734">
        <v>2.2</v>
      </c>
      <c r="C1734">
        <v>1300</v>
      </c>
      <c r="D1734">
        <v>6</v>
      </c>
    </row>
    <row r="1735" spans="1:4">
      <c r="A1735" s="93" t="s">
        <v>7238</v>
      </c>
      <c r="B1735">
        <v>2.1</v>
      </c>
      <c r="C1735">
        <v>1300</v>
      </c>
      <c r="D1735">
        <v>6</v>
      </c>
    </row>
    <row r="1736" spans="1:4">
      <c r="A1736" s="93" t="s">
        <v>7239</v>
      </c>
      <c r="B1736">
        <v>2</v>
      </c>
      <c r="C1736">
        <v>1300</v>
      </c>
      <c r="D1736">
        <v>6</v>
      </c>
    </row>
    <row r="1737" spans="1:4">
      <c r="A1737" s="93" t="s">
        <v>7240</v>
      </c>
      <c r="B1737">
        <v>1.9</v>
      </c>
      <c r="C1737">
        <v>1300</v>
      </c>
      <c r="D1737">
        <v>6</v>
      </c>
    </row>
    <row r="1738" spans="1:4">
      <c r="A1738" s="93" t="s">
        <v>7241</v>
      </c>
      <c r="B1738">
        <v>1.8</v>
      </c>
      <c r="C1738">
        <v>1300</v>
      </c>
      <c r="D1738">
        <v>6</v>
      </c>
    </row>
    <row r="1739" spans="1:4">
      <c r="A1739" s="93" t="s">
        <v>7242</v>
      </c>
      <c r="B1739">
        <v>1.7</v>
      </c>
      <c r="C1739">
        <v>1300</v>
      </c>
      <c r="D1739">
        <v>7</v>
      </c>
    </row>
    <row r="1740" spans="1:4">
      <c r="A1740" s="93" t="s">
        <v>7243</v>
      </c>
      <c r="B1740">
        <v>1.6</v>
      </c>
      <c r="C1740">
        <v>1300</v>
      </c>
      <c r="D1740">
        <v>7</v>
      </c>
    </row>
    <row r="1741" spans="1:4">
      <c r="A1741" s="93" t="s">
        <v>7244</v>
      </c>
      <c r="B1741">
        <v>1.5</v>
      </c>
      <c r="C1741">
        <v>1300</v>
      </c>
      <c r="D1741">
        <v>7</v>
      </c>
    </row>
    <row r="1742" spans="1:4">
      <c r="A1742" s="93" t="s">
        <v>7245</v>
      </c>
      <c r="B1742">
        <v>4.3</v>
      </c>
      <c r="C1742">
        <v>1310</v>
      </c>
      <c r="D1742">
        <v>1</v>
      </c>
    </row>
    <row r="1743" spans="1:4">
      <c r="A1743" s="93" t="s">
        <v>7246</v>
      </c>
      <c r="B1743">
        <v>4.2</v>
      </c>
      <c r="C1743">
        <v>1310</v>
      </c>
      <c r="D1743">
        <v>1</v>
      </c>
    </row>
    <row r="1744" spans="1:4">
      <c r="A1744" s="93" t="s">
        <v>7247</v>
      </c>
      <c r="B1744">
        <v>4.1</v>
      </c>
      <c r="C1744">
        <v>1310</v>
      </c>
      <c r="D1744">
        <v>1</v>
      </c>
    </row>
    <row r="1745" spans="1:4">
      <c r="A1745" s="93" t="s">
        <v>7248</v>
      </c>
      <c r="B1745">
        <v>4</v>
      </c>
      <c r="C1745">
        <v>1310</v>
      </c>
      <c r="D1745">
        <v>1</v>
      </c>
    </row>
    <row r="1746" spans="1:4">
      <c r="A1746" s="93" t="s">
        <v>7249</v>
      </c>
      <c r="B1746">
        <v>3.9</v>
      </c>
      <c r="C1746">
        <v>1310</v>
      </c>
      <c r="D1746">
        <v>2</v>
      </c>
    </row>
    <row r="1747" spans="1:4">
      <c r="A1747" s="93" t="s">
        <v>7250</v>
      </c>
      <c r="B1747">
        <v>3.8</v>
      </c>
      <c r="C1747">
        <v>1310</v>
      </c>
      <c r="D1747">
        <v>2</v>
      </c>
    </row>
    <row r="1748" spans="1:4">
      <c r="A1748" s="93" t="s">
        <v>7251</v>
      </c>
      <c r="B1748">
        <v>3.7</v>
      </c>
      <c r="C1748">
        <v>1310</v>
      </c>
      <c r="D1748">
        <v>2</v>
      </c>
    </row>
    <row r="1749" spans="1:4">
      <c r="A1749" s="93" t="s">
        <v>7252</v>
      </c>
      <c r="B1749">
        <v>3.6</v>
      </c>
      <c r="C1749">
        <v>1310</v>
      </c>
      <c r="D1749">
        <v>2</v>
      </c>
    </row>
    <row r="1750" spans="1:4">
      <c r="A1750" s="93" t="s">
        <v>7253</v>
      </c>
      <c r="B1750">
        <v>3.5</v>
      </c>
      <c r="C1750">
        <v>1310</v>
      </c>
      <c r="D1750">
        <v>2</v>
      </c>
    </row>
    <row r="1751" spans="1:4">
      <c r="A1751" s="93" t="s">
        <v>7254</v>
      </c>
      <c r="B1751">
        <v>3.4</v>
      </c>
      <c r="C1751">
        <v>1310</v>
      </c>
      <c r="D1751">
        <v>2</v>
      </c>
    </row>
    <row r="1752" spans="1:4">
      <c r="A1752" s="93" t="s">
        <v>7255</v>
      </c>
      <c r="B1752">
        <v>3.3</v>
      </c>
      <c r="C1752">
        <v>1310</v>
      </c>
      <c r="D1752">
        <v>2</v>
      </c>
    </row>
    <row r="1753" spans="1:4">
      <c r="A1753" s="93" t="s">
        <v>7256</v>
      </c>
      <c r="B1753">
        <v>3.2</v>
      </c>
      <c r="C1753">
        <v>1310</v>
      </c>
      <c r="D1753">
        <v>3</v>
      </c>
    </row>
    <row r="1754" spans="1:4">
      <c r="A1754" s="93" t="s">
        <v>7257</v>
      </c>
      <c r="B1754">
        <v>3.1</v>
      </c>
      <c r="C1754">
        <v>1310</v>
      </c>
      <c r="D1754">
        <v>3</v>
      </c>
    </row>
    <row r="1755" spans="1:4">
      <c r="A1755" s="93" t="s">
        <v>7258</v>
      </c>
      <c r="B1755">
        <v>3</v>
      </c>
      <c r="C1755">
        <v>1310</v>
      </c>
      <c r="D1755">
        <v>3</v>
      </c>
    </row>
    <row r="1756" spans="1:4">
      <c r="A1756" s="93" t="s">
        <v>7259</v>
      </c>
      <c r="B1756">
        <v>2.9</v>
      </c>
      <c r="C1756">
        <v>1310</v>
      </c>
      <c r="D1756">
        <v>4</v>
      </c>
    </row>
    <row r="1757" spans="1:4">
      <c r="A1757" s="93" t="s">
        <v>7260</v>
      </c>
      <c r="B1757">
        <v>2.8</v>
      </c>
      <c r="C1757">
        <v>1310</v>
      </c>
      <c r="D1757">
        <v>4</v>
      </c>
    </row>
    <row r="1758" spans="1:4">
      <c r="A1758" s="93" t="s">
        <v>7261</v>
      </c>
      <c r="B1758">
        <v>2.7</v>
      </c>
      <c r="C1758">
        <v>1310</v>
      </c>
      <c r="D1758">
        <v>5</v>
      </c>
    </row>
    <row r="1759" spans="1:4">
      <c r="A1759" s="93" t="s">
        <v>7262</v>
      </c>
      <c r="B1759">
        <v>2.6</v>
      </c>
      <c r="C1759">
        <v>1310</v>
      </c>
      <c r="D1759">
        <v>5</v>
      </c>
    </row>
    <row r="1760" spans="1:4">
      <c r="A1760" s="93" t="s">
        <v>7263</v>
      </c>
      <c r="B1760">
        <v>2.5</v>
      </c>
      <c r="C1760">
        <v>1310</v>
      </c>
      <c r="D1760">
        <v>5</v>
      </c>
    </row>
    <row r="1761" spans="1:4">
      <c r="A1761" s="93" t="s">
        <v>7264</v>
      </c>
      <c r="B1761">
        <v>2.4</v>
      </c>
      <c r="C1761">
        <v>1310</v>
      </c>
      <c r="D1761">
        <v>5</v>
      </c>
    </row>
    <row r="1762" spans="1:4">
      <c r="A1762" s="93" t="s">
        <v>7265</v>
      </c>
      <c r="B1762">
        <v>2.3</v>
      </c>
      <c r="C1762">
        <v>1310</v>
      </c>
      <c r="D1762">
        <v>6</v>
      </c>
    </row>
    <row r="1763" spans="1:4">
      <c r="A1763" s="93" t="s">
        <v>7266</v>
      </c>
      <c r="B1763">
        <v>2.2</v>
      </c>
      <c r="C1763">
        <v>1310</v>
      </c>
      <c r="D1763">
        <v>6</v>
      </c>
    </row>
    <row r="1764" spans="1:4">
      <c r="A1764" s="93" t="s">
        <v>7267</v>
      </c>
      <c r="B1764">
        <v>2.1</v>
      </c>
      <c r="C1764">
        <v>1310</v>
      </c>
      <c r="D1764">
        <v>6</v>
      </c>
    </row>
    <row r="1765" spans="1:4">
      <c r="A1765" s="93" t="s">
        <v>7268</v>
      </c>
      <c r="B1765">
        <v>2</v>
      </c>
      <c r="C1765">
        <v>1310</v>
      </c>
      <c r="D1765">
        <v>6</v>
      </c>
    </row>
    <row r="1766" spans="1:4">
      <c r="A1766" s="93" t="s">
        <v>7269</v>
      </c>
      <c r="B1766">
        <v>1.9</v>
      </c>
      <c r="C1766">
        <v>1310</v>
      </c>
      <c r="D1766">
        <v>6</v>
      </c>
    </row>
    <row r="1767" spans="1:4">
      <c r="A1767" s="93" t="s">
        <v>7270</v>
      </c>
      <c r="B1767">
        <v>1.8</v>
      </c>
      <c r="C1767">
        <v>1310</v>
      </c>
      <c r="D1767">
        <v>6</v>
      </c>
    </row>
    <row r="1768" spans="1:4">
      <c r="A1768" s="93" t="s">
        <v>7271</v>
      </c>
      <c r="B1768">
        <v>1.7</v>
      </c>
      <c r="C1768">
        <v>1310</v>
      </c>
      <c r="D1768">
        <v>7</v>
      </c>
    </row>
    <row r="1769" spans="1:4">
      <c r="A1769" s="93" t="s">
        <v>7272</v>
      </c>
      <c r="B1769">
        <v>1.6</v>
      </c>
      <c r="C1769">
        <v>1310</v>
      </c>
      <c r="D1769">
        <v>7</v>
      </c>
    </row>
    <row r="1770" spans="1:4">
      <c r="A1770" s="93" t="s">
        <v>7273</v>
      </c>
      <c r="B1770">
        <v>1.5</v>
      </c>
      <c r="C1770">
        <v>1310</v>
      </c>
      <c r="D1770">
        <v>7</v>
      </c>
    </row>
    <row r="1771" spans="1:4">
      <c r="A1771" s="93" t="s">
        <v>7274</v>
      </c>
      <c r="B1771">
        <v>4.3</v>
      </c>
      <c r="C1771">
        <v>1320</v>
      </c>
      <c r="D1771">
        <v>1</v>
      </c>
    </row>
    <row r="1772" spans="1:4">
      <c r="A1772" s="93" t="s">
        <v>7275</v>
      </c>
      <c r="B1772">
        <v>4.2</v>
      </c>
      <c r="C1772">
        <v>1320</v>
      </c>
      <c r="D1772">
        <v>1</v>
      </c>
    </row>
    <row r="1773" spans="1:4">
      <c r="A1773" s="93" t="s">
        <v>7276</v>
      </c>
      <c r="B1773">
        <v>4.1</v>
      </c>
      <c r="C1773">
        <v>1320</v>
      </c>
      <c r="D1773">
        <v>1</v>
      </c>
    </row>
    <row r="1774" spans="1:4">
      <c r="A1774" s="93" t="s">
        <v>7277</v>
      </c>
      <c r="B1774">
        <v>4</v>
      </c>
      <c r="C1774">
        <v>1320</v>
      </c>
      <c r="D1774">
        <v>1</v>
      </c>
    </row>
    <row r="1775" spans="1:4">
      <c r="A1775" s="93" t="s">
        <v>7278</v>
      </c>
      <c r="B1775">
        <v>3.9</v>
      </c>
      <c r="C1775">
        <v>1320</v>
      </c>
      <c r="D1775">
        <v>2</v>
      </c>
    </row>
    <row r="1776" spans="1:4">
      <c r="A1776" s="93" t="s">
        <v>7279</v>
      </c>
      <c r="B1776">
        <v>3.8</v>
      </c>
      <c r="C1776">
        <v>1320</v>
      </c>
      <c r="D1776">
        <v>2</v>
      </c>
    </row>
    <row r="1777" spans="1:4">
      <c r="A1777" s="93" t="s">
        <v>7280</v>
      </c>
      <c r="B1777">
        <v>3.7</v>
      </c>
      <c r="C1777">
        <v>1320</v>
      </c>
      <c r="D1777">
        <v>2</v>
      </c>
    </row>
    <row r="1778" spans="1:4">
      <c r="A1778" s="93" t="s">
        <v>7281</v>
      </c>
      <c r="B1778">
        <v>3.6</v>
      </c>
      <c r="C1778">
        <v>1320</v>
      </c>
      <c r="D1778">
        <v>2</v>
      </c>
    </row>
    <row r="1779" spans="1:4">
      <c r="A1779" s="93" t="s">
        <v>7282</v>
      </c>
      <c r="B1779">
        <v>3.5</v>
      </c>
      <c r="C1779">
        <v>1320</v>
      </c>
      <c r="D1779">
        <v>2</v>
      </c>
    </row>
    <row r="1780" spans="1:4">
      <c r="A1780" s="93" t="s">
        <v>7283</v>
      </c>
      <c r="B1780">
        <v>3.4</v>
      </c>
      <c r="C1780">
        <v>1320</v>
      </c>
      <c r="D1780">
        <v>2</v>
      </c>
    </row>
    <row r="1781" spans="1:4">
      <c r="A1781" s="93" t="s">
        <v>7284</v>
      </c>
      <c r="B1781">
        <v>3.3</v>
      </c>
      <c r="C1781">
        <v>1320</v>
      </c>
      <c r="D1781">
        <v>2</v>
      </c>
    </row>
    <row r="1782" spans="1:4">
      <c r="A1782" s="93" t="s">
        <v>7285</v>
      </c>
      <c r="B1782">
        <v>3.2</v>
      </c>
      <c r="C1782">
        <v>1320</v>
      </c>
      <c r="D1782">
        <v>3</v>
      </c>
    </row>
    <row r="1783" spans="1:4">
      <c r="A1783" s="93" t="s">
        <v>7286</v>
      </c>
      <c r="B1783">
        <v>3.1</v>
      </c>
      <c r="C1783">
        <v>1320</v>
      </c>
      <c r="D1783">
        <v>3</v>
      </c>
    </row>
    <row r="1784" spans="1:4">
      <c r="A1784" s="93" t="s">
        <v>7287</v>
      </c>
      <c r="B1784">
        <v>3</v>
      </c>
      <c r="C1784">
        <v>1320</v>
      </c>
      <c r="D1784">
        <v>3</v>
      </c>
    </row>
    <row r="1785" spans="1:4">
      <c r="A1785" s="93" t="s">
        <v>7288</v>
      </c>
      <c r="B1785">
        <v>2.9</v>
      </c>
      <c r="C1785">
        <v>1320</v>
      </c>
      <c r="D1785">
        <v>4</v>
      </c>
    </row>
    <row r="1786" spans="1:4">
      <c r="A1786" s="93" t="s">
        <v>7289</v>
      </c>
      <c r="B1786">
        <v>2.8</v>
      </c>
      <c r="C1786">
        <v>1320</v>
      </c>
      <c r="D1786">
        <v>4</v>
      </c>
    </row>
    <row r="1787" spans="1:4">
      <c r="A1787" s="93" t="s">
        <v>7290</v>
      </c>
      <c r="B1787">
        <v>2.7</v>
      </c>
      <c r="C1787">
        <v>1320</v>
      </c>
      <c r="D1787">
        <v>5</v>
      </c>
    </row>
    <row r="1788" spans="1:4">
      <c r="A1788" s="93" t="s">
        <v>7291</v>
      </c>
      <c r="B1788">
        <v>2.6</v>
      </c>
      <c r="C1788">
        <v>1320</v>
      </c>
      <c r="D1788">
        <v>5</v>
      </c>
    </row>
    <row r="1789" spans="1:4">
      <c r="A1789" s="93" t="s">
        <v>7292</v>
      </c>
      <c r="B1789">
        <v>2.5</v>
      </c>
      <c r="C1789">
        <v>1320</v>
      </c>
      <c r="D1789">
        <v>5</v>
      </c>
    </row>
    <row r="1790" spans="1:4">
      <c r="A1790" s="93" t="s">
        <v>7293</v>
      </c>
      <c r="B1790">
        <v>2.4</v>
      </c>
      <c r="C1790">
        <v>1320</v>
      </c>
      <c r="D1790">
        <v>5</v>
      </c>
    </row>
    <row r="1791" spans="1:4">
      <c r="A1791" s="93" t="s">
        <v>7294</v>
      </c>
      <c r="B1791">
        <v>2.3</v>
      </c>
      <c r="C1791">
        <v>1320</v>
      </c>
      <c r="D1791">
        <v>6</v>
      </c>
    </row>
    <row r="1792" spans="1:4">
      <c r="A1792" s="93" t="s">
        <v>7295</v>
      </c>
      <c r="B1792">
        <v>2.2</v>
      </c>
      <c r="C1792">
        <v>1320</v>
      </c>
      <c r="D1792">
        <v>6</v>
      </c>
    </row>
    <row r="1793" spans="1:4">
      <c r="A1793" s="93" t="s">
        <v>7296</v>
      </c>
      <c r="B1793">
        <v>2.1</v>
      </c>
      <c r="C1793">
        <v>1320</v>
      </c>
      <c r="D1793">
        <v>6</v>
      </c>
    </row>
    <row r="1794" spans="1:4">
      <c r="A1794" s="93" t="s">
        <v>7297</v>
      </c>
      <c r="B1794">
        <v>2</v>
      </c>
      <c r="C1794">
        <v>1320</v>
      </c>
      <c r="D1794">
        <v>6</v>
      </c>
    </row>
    <row r="1795" spans="1:4">
      <c r="A1795" s="93" t="s">
        <v>7298</v>
      </c>
      <c r="B1795">
        <v>1.9</v>
      </c>
      <c r="C1795">
        <v>1320</v>
      </c>
      <c r="D1795">
        <v>6</v>
      </c>
    </row>
    <row r="1796" spans="1:4">
      <c r="A1796" s="93" t="s">
        <v>7299</v>
      </c>
      <c r="B1796">
        <v>1.8</v>
      </c>
      <c r="C1796">
        <v>1320</v>
      </c>
      <c r="D1796">
        <v>6</v>
      </c>
    </row>
    <row r="1797" spans="1:4">
      <c r="A1797" s="93" t="s">
        <v>7300</v>
      </c>
      <c r="B1797">
        <v>1.7</v>
      </c>
      <c r="C1797">
        <v>1320</v>
      </c>
      <c r="D1797">
        <v>7</v>
      </c>
    </row>
    <row r="1798" spans="1:4">
      <c r="A1798" s="93" t="s">
        <v>7301</v>
      </c>
      <c r="B1798">
        <v>1.6</v>
      </c>
      <c r="C1798">
        <v>1320</v>
      </c>
      <c r="D1798">
        <v>7</v>
      </c>
    </row>
    <row r="1799" spans="1:4">
      <c r="A1799" s="93" t="s">
        <v>7302</v>
      </c>
      <c r="B1799">
        <v>1.5</v>
      </c>
      <c r="C1799">
        <v>1320</v>
      </c>
      <c r="D1799">
        <v>7</v>
      </c>
    </row>
    <row r="1800" spans="1:4">
      <c r="A1800" s="93" t="s">
        <v>7303</v>
      </c>
      <c r="B1800">
        <v>4.3</v>
      </c>
      <c r="C1800">
        <v>1330</v>
      </c>
      <c r="D1800">
        <v>1</v>
      </c>
    </row>
    <row r="1801" spans="1:4">
      <c r="A1801" s="93" t="s">
        <v>7304</v>
      </c>
      <c r="B1801">
        <v>4.2</v>
      </c>
      <c r="C1801">
        <v>1330</v>
      </c>
      <c r="D1801">
        <v>1</v>
      </c>
    </row>
    <row r="1802" spans="1:4">
      <c r="A1802" s="93" t="s">
        <v>7305</v>
      </c>
      <c r="B1802">
        <v>4.1</v>
      </c>
      <c r="C1802">
        <v>1330</v>
      </c>
      <c r="D1802">
        <v>1</v>
      </c>
    </row>
    <row r="1803" spans="1:4">
      <c r="A1803" s="93" t="s">
        <v>7306</v>
      </c>
      <c r="B1803">
        <v>4</v>
      </c>
      <c r="C1803">
        <v>1330</v>
      </c>
      <c r="D1803">
        <v>1</v>
      </c>
    </row>
    <row r="1804" spans="1:4">
      <c r="A1804" s="93" t="s">
        <v>7307</v>
      </c>
      <c r="B1804">
        <v>3.9</v>
      </c>
      <c r="C1804">
        <v>1330</v>
      </c>
      <c r="D1804">
        <v>1</v>
      </c>
    </row>
    <row r="1805" spans="1:4">
      <c r="A1805" s="93" t="s">
        <v>7308</v>
      </c>
      <c r="B1805">
        <v>3.8</v>
      </c>
      <c r="C1805">
        <v>1330</v>
      </c>
      <c r="D1805">
        <v>1</v>
      </c>
    </row>
    <row r="1806" spans="1:4">
      <c r="A1806" s="93" t="s">
        <v>7309</v>
      </c>
      <c r="B1806">
        <v>3.7</v>
      </c>
      <c r="C1806">
        <v>1330</v>
      </c>
      <c r="D1806">
        <v>2</v>
      </c>
    </row>
    <row r="1807" spans="1:4">
      <c r="A1807" s="93" t="s">
        <v>7310</v>
      </c>
      <c r="B1807">
        <v>3.6</v>
      </c>
      <c r="C1807">
        <v>1330</v>
      </c>
      <c r="D1807">
        <v>2</v>
      </c>
    </row>
    <row r="1808" spans="1:4">
      <c r="A1808" s="93" t="s">
        <v>7311</v>
      </c>
      <c r="B1808">
        <v>3.5</v>
      </c>
      <c r="C1808">
        <v>1330</v>
      </c>
      <c r="D1808">
        <v>2</v>
      </c>
    </row>
    <row r="1809" spans="1:4">
      <c r="A1809" s="93" t="s">
        <v>7312</v>
      </c>
      <c r="B1809">
        <v>3.4</v>
      </c>
      <c r="C1809">
        <v>1330</v>
      </c>
      <c r="D1809">
        <v>2</v>
      </c>
    </row>
    <row r="1810" spans="1:4">
      <c r="A1810" s="93" t="s">
        <v>7313</v>
      </c>
      <c r="B1810">
        <v>3.3</v>
      </c>
      <c r="C1810">
        <v>1330</v>
      </c>
      <c r="D1810">
        <v>2</v>
      </c>
    </row>
    <row r="1811" spans="1:4">
      <c r="A1811" s="93" t="s">
        <v>7314</v>
      </c>
      <c r="B1811">
        <v>3.2</v>
      </c>
      <c r="C1811">
        <v>1330</v>
      </c>
      <c r="D1811">
        <v>2</v>
      </c>
    </row>
    <row r="1812" spans="1:4">
      <c r="A1812" s="93" t="s">
        <v>7315</v>
      </c>
      <c r="B1812">
        <v>3.1</v>
      </c>
      <c r="C1812">
        <v>1330</v>
      </c>
      <c r="D1812">
        <v>2</v>
      </c>
    </row>
    <row r="1813" spans="1:4">
      <c r="A1813" s="93" t="s">
        <v>7316</v>
      </c>
      <c r="B1813">
        <v>3</v>
      </c>
      <c r="C1813">
        <v>1330</v>
      </c>
      <c r="D1813">
        <v>3</v>
      </c>
    </row>
    <row r="1814" spans="1:4">
      <c r="A1814" s="93" t="s">
        <v>7317</v>
      </c>
      <c r="B1814">
        <v>2.9</v>
      </c>
      <c r="C1814">
        <v>1330</v>
      </c>
      <c r="D1814">
        <v>4</v>
      </c>
    </row>
    <row r="1815" spans="1:4">
      <c r="A1815" s="93" t="s">
        <v>7318</v>
      </c>
      <c r="B1815">
        <v>2.8</v>
      </c>
      <c r="C1815">
        <v>1330</v>
      </c>
      <c r="D1815">
        <v>4</v>
      </c>
    </row>
    <row r="1816" spans="1:4">
      <c r="A1816" s="93" t="s">
        <v>7319</v>
      </c>
      <c r="B1816">
        <v>2.7</v>
      </c>
      <c r="C1816">
        <v>1330</v>
      </c>
      <c r="D1816">
        <v>4</v>
      </c>
    </row>
    <row r="1817" spans="1:4">
      <c r="A1817" s="93" t="s">
        <v>7320</v>
      </c>
      <c r="B1817">
        <v>2.6</v>
      </c>
      <c r="C1817">
        <v>1330</v>
      </c>
      <c r="D1817">
        <v>5</v>
      </c>
    </row>
    <row r="1818" spans="1:4">
      <c r="A1818" s="93" t="s">
        <v>7321</v>
      </c>
      <c r="B1818">
        <v>2.5</v>
      </c>
      <c r="C1818">
        <v>1330</v>
      </c>
      <c r="D1818">
        <v>5</v>
      </c>
    </row>
    <row r="1819" spans="1:4">
      <c r="A1819" s="93" t="s">
        <v>7322</v>
      </c>
      <c r="B1819">
        <v>2.4</v>
      </c>
      <c r="C1819">
        <v>1330</v>
      </c>
      <c r="D1819">
        <v>5</v>
      </c>
    </row>
    <row r="1820" spans="1:4">
      <c r="A1820" s="93" t="s">
        <v>7323</v>
      </c>
      <c r="B1820">
        <v>2.3</v>
      </c>
      <c r="C1820">
        <v>1330</v>
      </c>
      <c r="D1820">
        <v>5</v>
      </c>
    </row>
    <row r="1821" spans="1:4">
      <c r="A1821" s="93" t="s">
        <v>7324</v>
      </c>
      <c r="B1821">
        <v>2.2</v>
      </c>
      <c r="C1821">
        <v>1330</v>
      </c>
      <c r="D1821">
        <v>6</v>
      </c>
    </row>
    <row r="1822" spans="1:4">
      <c r="A1822" s="93" t="s">
        <v>7325</v>
      </c>
      <c r="B1822">
        <v>2.1</v>
      </c>
      <c r="C1822">
        <v>1330</v>
      </c>
      <c r="D1822">
        <v>6</v>
      </c>
    </row>
    <row r="1823" spans="1:4">
      <c r="A1823" s="93" t="s">
        <v>7326</v>
      </c>
      <c r="B1823">
        <v>2</v>
      </c>
      <c r="C1823">
        <v>1330</v>
      </c>
      <c r="D1823">
        <v>6</v>
      </c>
    </row>
    <row r="1824" spans="1:4">
      <c r="A1824" s="93" t="s">
        <v>7327</v>
      </c>
      <c r="B1824">
        <v>1.9</v>
      </c>
      <c r="C1824">
        <v>1330</v>
      </c>
      <c r="D1824">
        <v>6</v>
      </c>
    </row>
    <row r="1825" spans="1:4">
      <c r="A1825" s="93" t="s">
        <v>7328</v>
      </c>
      <c r="B1825">
        <v>1.8</v>
      </c>
      <c r="C1825">
        <v>1330</v>
      </c>
      <c r="D1825">
        <v>6</v>
      </c>
    </row>
    <row r="1826" spans="1:4">
      <c r="A1826" s="93" t="s">
        <v>7329</v>
      </c>
      <c r="B1826">
        <v>1.7</v>
      </c>
      <c r="C1826">
        <v>1330</v>
      </c>
      <c r="D1826">
        <v>6</v>
      </c>
    </row>
    <row r="1827" spans="1:4">
      <c r="A1827" s="93" t="s">
        <v>7330</v>
      </c>
      <c r="B1827">
        <v>1.6</v>
      </c>
      <c r="C1827">
        <v>1330</v>
      </c>
      <c r="D1827">
        <v>7</v>
      </c>
    </row>
    <row r="1828" spans="1:4">
      <c r="A1828" s="93" t="s">
        <v>7331</v>
      </c>
      <c r="B1828">
        <v>1.5</v>
      </c>
      <c r="C1828">
        <v>1330</v>
      </c>
      <c r="D1828">
        <v>7</v>
      </c>
    </row>
    <row r="1829" spans="1:4">
      <c r="A1829" s="93" t="s">
        <v>7332</v>
      </c>
      <c r="B1829">
        <v>4.3</v>
      </c>
      <c r="C1829">
        <v>1340</v>
      </c>
      <c r="D1829">
        <v>1</v>
      </c>
    </row>
    <row r="1830" spans="1:4">
      <c r="A1830" s="93" t="s">
        <v>7333</v>
      </c>
      <c r="B1830">
        <v>4.2</v>
      </c>
      <c r="C1830">
        <v>1340</v>
      </c>
      <c r="D1830">
        <v>1</v>
      </c>
    </row>
    <row r="1831" spans="1:4">
      <c r="A1831" s="93" t="s">
        <v>7334</v>
      </c>
      <c r="B1831">
        <v>4.1</v>
      </c>
      <c r="C1831">
        <v>1340</v>
      </c>
      <c r="D1831">
        <v>1</v>
      </c>
    </row>
    <row r="1832" spans="1:4">
      <c r="A1832" s="93" t="s">
        <v>7335</v>
      </c>
      <c r="B1832">
        <v>4</v>
      </c>
      <c r="C1832">
        <v>1340</v>
      </c>
      <c r="D1832">
        <v>1</v>
      </c>
    </row>
    <row r="1833" spans="1:4">
      <c r="A1833" s="93" t="s">
        <v>7336</v>
      </c>
      <c r="B1833">
        <v>3.9</v>
      </c>
      <c r="C1833">
        <v>1340</v>
      </c>
      <c r="D1833">
        <v>1</v>
      </c>
    </row>
    <row r="1834" spans="1:4">
      <c r="A1834" s="93" t="s">
        <v>7337</v>
      </c>
      <c r="B1834">
        <v>3.8</v>
      </c>
      <c r="C1834">
        <v>1340</v>
      </c>
      <c r="D1834">
        <v>1</v>
      </c>
    </row>
    <row r="1835" spans="1:4">
      <c r="A1835" s="93" t="s">
        <v>7338</v>
      </c>
      <c r="B1835">
        <v>3.7</v>
      </c>
      <c r="C1835">
        <v>1340</v>
      </c>
      <c r="D1835">
        <v>2</v>
      </c>
    </row>
    <row r="1836" spans="1:4">
      <c r="A1836" s="93" t="s">
        <v>7339</v>
      </c>
      <c r="B1836">
        <v>3.6</v>
      </c>
      <c r="C1836">
        <v>1340</v>
      </c>
      <c r="D1836">
        <v>2</v>
      </c>
    </row>
    <row r="1837" spans="1:4">
      <c r="A1837" s="93" t="s">
        <v>7340</v>
      </c>
      <c r="B1837">
        <v>3.5</v>
      </c>
      <c r="C1837">
        <v>1340</v>
      </c>
      <c r="D1837">
        <v>2</v>
      </c>
    </row>
    <row r="1838" spans="1:4">
      <c r="A1838" s="93" t="s">
        <v>7341</v>
      </c>
      <c r="B1838">
        <v>3.4</v>
      </c>
      <c r="C1838">
        <v>1340</v>
      </c>
      <c r="D1838">
        <v>2</v>
      </c>
    </row>
    <row r="1839" spans="1:4">
      <c r="A1839" s="93" t="s">
        <v>7342</v>
      </c>
      <c r="B1839">
        <v>3.3</v>
      </c>
      <c r="C1839">
        <v>1340</v>
      </c>
      <c r="D1839">
        <v>2</v>
      </c>
    </row>
    <row r="1840" spans="1:4">
      <c r="A1840" s="93" t="s">
        <v>7343</v>
      </c>
      <c r="B1840">
        <v>3.2</v>
      </c>
      <c r="C1840">
        <v>1340</v>
      </c>
      <c r="D1840">
        <v>2</v>
      </c>
    </row>
    <row r="1841" spans="1:4">
      <c r="A1841" s="93" t="s">
        <v>7344</v>
      </c>
      <c r="B1841">
        <v>3.1</v>
      </c>
      <c r="C1841">
        <v>1340</v>
      </c>
      <c r="D1841">
        <v>2</v>
      </c>
    </row>
    <row r="1842" spans="1:4">
      <c r="A1842" s="93" t="s">
        <v>7345</v>
      </c>
      <c r="B1842">
        <v>3</v>
      </c>
      <c r="C1842">
        <v>1340</v>
      </c>
      <c r="D1842">
        <v>3</v>
      </c>
    </row>
    <row r="1843" spans="1:4">
      <c r="A1843" s="93" t="s">
        <v>7346</v>
      </c>
      <c r="B1843">
        <v>2.9</v>
      </c>
      <c r="C1843">
        <v>1340</v>
      </c>
      <c r="D1843">
        <v>4</v>
      </c>
    </row>
    <row r="1844" spans="1:4">
      <c r="A1844" s="93" t="s">
        <v>7347</v>
      </c>
      <c r="B1844">
        <v>2.8</v>
      </c>
      <c r="C1844">
        <v>1340</v>
      </c>
      <c r="D1844">
        <v>4</v>
      </c>
    </row>
    <row r="1845" spans="1:4">
      <c r="A1845" s="93" t="s">
        <v>7348</v>
      </c>
      <c r="B1845">
        <v>2.7</v>
      </c>
      <c r="C1845">
        <v>1340</v>
      </c>
      <c r="D1845">
        <v>4</v>
      </c>
    </row>
    <row r="1846" spans="1:4">
      <c r="A1846" s="93" t="s">
        <v>7349</v>
      </c>
      <c r="B1846">
        <v>2.6</v>
      </c>
      <c r="C1846">
        <v>1340</v>
      </c>
      <c r="D1846">
        <v>5</v>
      </c>
    </row>
    <row r="1847" spans="1:4">
      <c r="A1847" s="93" t="s">
        <v>7350</v>
      </c>
      <c r="B1847">
        <v>2.5</v>
      </c>
      <c r="C1847">
        <v>1340</v>
      </c>
      <c r="D1847">
        <v>5</v>
      </c>
    </row>
    <row r="1848" spans="1:4">
      <c r="A1848" s="93" t="s">
        <v>7351</v>
      </c>
      <c r="B1848">
        <v>2.4</v>
      </c>
      <c r="C1848">
        <v>1340</v>
      </c>
      <c r="D1848">
        <v>5</v>
      </c>
    </row>
    <row r="1849" spans="1:4">
      <c r="A1849" s="93" t="s">
        <v>7352</v>
      </c>
      <c r="B1849">
        <v>2.3</v>
      </c>
      <c r="C1849">
        <v>1340</v>
      </c>
      <c r="D1849">
        <v>5</v>
      </c>
    </row>
    <row r="1850" spans="1:4">
      <c r="A1850" s="93" t="s">
        <v>7353</v>
      </c>
      <c r="B1850">
        <v>2.2</v>
      </c>
      <c r="C1850">
        <v>1340</v>
      </c>
      <c r="D1850">
        <v>6</v>
      </c>
    </row>
    <row r="1851" spans="1:4">
      <c r="A1851" s="93" t="s">
        <v>7354</v>
      </c>
      <c r="B1851">
        <v>2.1</v>
      </c>
      <c r="C1851">
        <v>1340</v>
      </c>
      <c r="D1851">
        <v>6</v>
      </c>
    </row>
    <row r="1852" spans="1:4">
      <c r="A1852" s="93" t="s">
        <v>7355</v>
      </c>
      <c r="B1852">
        <v>2</v>
      </c>
      <c r="C1852">
        <v>1340</v>
      </c>
      <c r="D1852">
        <v>6</v>
      </c>
    </row>
    <row r="1853" spans="1:4">
      <c r="A1853" s="93" t="s">
        <v>7356</v>
      </c>
      <c r="B1853">
        <v>1.9</v>
      </c>
      <c r="C1853">
        <v>1340</v>
      </c>
      <c r="D1853">
        <v>6</v>
      </c>
    </row>
    <row r="1854" spans="1:4">
      <c r="A1854" s="93" t="s">
        <v>7357</v>
      </c>
      <c r="B1854">
        <v>1.8</v>
      </c>
      <c r="C1854">
        <v>1340</v>
      </c>
      <c r="D1854">
        <v>6</v>
      </c>
    </row>
    <row r="1855" spans="1:4">
      <c r="A1855" s="93" t="s">
        <v>7358</v>
      </c>
      <c r="B1855">
        <v>1.7</v>
      </c>
      <c r="C1855">
        <v>1340</v>
      </c>
      <c r="D1855">
        <v>6</v>
      </c>
    </row>
    <row r="1856" spans="1:4">
      <c r="A1856" s="93" t="s">
        <v>7359</v>
      </c>
      <c r="B1856">
        <v>1.6</v>
      </c>
      <c r="C1856">
        <v>1340</v>
      </c>
      <c r="D1856">
        <v>7</v>
      </c>
    </row>
    <row r="1857" spans="1:4">
      <c r="A1857" s="93" t="s">
        <v>7360</v>
      </c>
      <c r="B1857">
        <v>1.5</v>
      </c>
      <c r="C1857">
        <v>1340</v>
      </c>
      <c r="D1857">
        <v>7</v>
      </c>
    </row>
    <row r="1858" spans="1:4">
      <c r="A1858" s="93" t="s">
        <v>7361</v>
      </c>
      <c r="B1858">
        <v>4.3</v>
      </c>
      <c r="C1858">
        <v>1350</v>
      </c>
      <c r="D1858">
        <v>1</v>
      </c>
    </row>
    <row r="1859" spans="1:4">
      <c r="A1859" s="93" t="s">
        <v>7362</v>
      </c>
      <c r="B1859">
        <v>4.2</v>
      </c>
      <c r="C1859">
        <v>1350</v>
      </c>
      <c r="D1859">
        <v>1</v>
      </c>
    </row>
    <row r="1860" spans="1:4">
      <c r="A1860" s="93" t="s">
        <v>7363</v>
      </c>
      <c r="B1860">
        <v>4.1</v>
      </c>
      <c r="C1860">
        <v>1350</v>
      </c>
      <c r="D1860">
        <v>1</v>
      </c>
    </row>
    <row r="1861" spans="1:4">
      <c r="A1861" s="93" t="s">
        <v>7364</v>
      </c>
      <c r="B1861">
        <v>4</v>
      </c>
      <c r="C1861">
        <v>1350</v>
      </c>
      <c r="D1861">
        <v>1</v>
      </c>
    </row>
    <row r="1862" spans="1:4">
      <c r="A1862" s="93" t="s">
        <v>7365</v>
      </c>
      <c r="B1862">
        <v>3.9</v>
      </c>
      <c r="C1862">
        <v>1350</v>
      </c>
      <c r="D1862">
        <v>1</v>
      </c>
    </row>
    <row r="1863" spans="1:4">
      <c r="A1863" s="93" t="s">
        <v>7366</v>
      </c>
      <c r="B1863">
        <v>3.8</v>
      </c>
      <c r="C1863">
        <v>1350</v>
      </c>
      <c r="D1863">
        <v>1</v>
      </c>
    </row>
    <row r="1864" spans="1:4">
      <c r="A1864" s="93" t="s">
        <v>7367</v>
      </c>
      <c r="B1864">
        <v>3.7</v>
      </c>
      <c r="C1864">
        <v>1350</v>
      </c>
      <c r="D1864">
        <v>2</v>
      </c>
    </row>
    <row r="1865" spans="1:4">
      <c r="A1865" s="93" t="s">
        <v>7368</v>
      </c>
      <c r="B1865">
        <v>3.6</v>
      </c>
      <c r="C1865">
        <v>1350</v>
      </c>
      <c r="D1865">
        <v>2</v>
      </c>
    </row>
    <row r="1866" spans="1:4">
      <c r="A1866" s="93" t="s">
        <v>7369</v>
      </c>
      <c r="B1866">
        <v>3.5</v>
      </c>
      <c r="C1866">
        <v>1350</v>
      </c>
      <c r="D1866">
        <v>2</v>
      </c>
    </row>
    <row r="1867" spans="1:4">
      <c r="A1867" s="93" t="s">
        <v>7370</v>
      </c>
      <c r="B1867">
        <v>3.4</v>
      </c>
      <c r="C1867">
        <v>1350</v>
      </c>
      <c r="D1867">
        <v>2</v>
      </c>
    </row>
    <row r="1868" spans="1:4">
      <c r="A1868" s="93" t="s">
        <v>7371</v>
      </c>
      <c r="B1868">
        <v>3.3</v>
      </c>
      <c r="C1868">
        <v>1350</v>
      </c>
      <c r="D1868">
        <v>2</v>
      </c>
    </row>
    <row r="1869" spans="1:4">
      <c r="A1869" s="93" t="s">
        <v>7372</v>
      </c>
      <c r="B1869">
        <v>3.2</v>
      </c>
      <c r="C1869">
        <v>1350</v>
      </c>
      <c r="D1869">
        <v>2</v>
      </c>
    </row>
    <row r="1870" spans="1:4">
      <c r="A1870" s="93" t="s">
        <v>7373</v>
      </c>
      <c r="B1870">
        <v>3.1</v>
      </c>
      <c r="C1870">
        <v>1350</v>
      </c>
      <c r="D1870">
        <v>2</v>
      </c>
    </row>
    <row r="1871" spans="1:4">
      <c r="A1871" s="93" t="s">
        <v>7374</v>
      </c>
      <c r="B1871">
        <v>3</v>
      </c>
      <c r="C1871">
        <v>1350</v>
      </c>
      <c r="D1871">
        <v>3</v>
      </c>
    </row>
    <row r="1872" spans="1:4">
      <c r="A1872" s="93" t="s">
        <v>7375</v>
      </c>
      <c r="B1872">
        <v>2.9</v>
      </c>
      <c r="C1872">
        <v>1350</v>
      </c>
      <c r="D1872">
        <v>4</v>
      </c>
    </row>
    <row r="1873" spans="1:4">
      <c r="A1873" s="93" t="s">
        <v>7376</v>
      </c>
      <c r="B1873">
        <v>2.8</v>
      </c>
      <c r="C1873">
        <v>1350</v>
      </c>
      <c r="D1873">
        <v>4</v>
      </c>
    </row>
    <row r="1874" spans="1:4">
      <c r="A1874" s="93" t="s">
        <v>7377</v>
      </c>
      <c r="B1874">
        <v>2.7</v>
      </c>
      <c r="C1874">
        <v>1350</v>
      </c>
      <c r="D1874">
        <v>4</v>
      </c>
    </row>
    <row r="1875" spans="1:4">
      <c r="A1875" s="93" t="s">
        <v>7378</v>
      </c>
      <c r="B1875">
        <v>2.6</v>
      </c>
      <c r="C1875">
        <v>1350</v>
      </c>
      <c r="D1875">
        <v>5</v>
      </c>
    </row>
    <row r="1876" spans="1:4">
      <c r="A1876" s="93" t="s">
        <v>7379</v>
      </c>
      <c r="B1876">
        <v>2.5</v>
      </c>
      <c r="C1876">
        <v>1350</v>
      </c>
      <c r="D1876">
        <v>5</v>
      </c>
    </row>
    <row r="1877" spans="1:4">
      <c r="A1877" s="93" t="s">
        <v>7380</v>
      </c>
      <c r="B1877">
        <v>2.4</v>
      </c>
      <c r="C1877">
        <v>1350</v>
      </c>
      <c r="D1877">
        <v>5</v>
      </c>
    </row>
    <row r="1878" spans="1:4">
      <c r="A1878" s="93" t="s">
        <v>7381</v>
      </c>
      <c r="B1878">
        <v>2.3</v>
      </c>
      <c r="C1878">
        <v>1350</v>
      </c>
      <c r="D1878">
        <v>5</v>
      </c>
    </row>
    <row r="1879" spans="1:4">
      <c r="A1879" s="93" t="s">
        <v>7382</v>
      </c>
      <c r="B1879">
        <v>2.2</v>
      </c>
      <c r="C1879">
        <v>1350</v>
      </c>
      <c r="D1879">
        <v>6</v>
      </c>
    </row>
    <row r="1880" spans="1:4">
      <c r="A1880" s="93" t="s">
        <v>7383</v>
      </c>
      <c r="B1880">
        <v>2.1</v>
      </c>
      <c r="C1880">
        <v>1350</v>
      </c>
      <c r="D1880">
        <v>6</v>
      </c>
    </row>
    <row r="1881" spans="1:4">
      <c r="A1881" s="93" t="s">
        <v>7384</v>
      </c>
      <c r="B1881">
        <v>2</v>
      </c>
      <c r="C1881">
        <v>1350</v>
      </c>
      <c r="D1881">
        <v>6</v>
      </c>
    </row>
    <row r="1882" spans="1:4">
      <c r="A1882" s="93" t="s">
        <v>7385</v>
      </c>
      <c r="B1882">
        <v>1.9</v>
      </c>
      <c r="C1882">
        <v>1350</v>
      </c>
      <c r="D1882">
        <v>6</v>
      </c>
    </row>
    <row r="1883" spans="1:4">
      <c r="A1883" s="93" t="s">
        <v>7386</v>
      </c>
      <c r="B1883">
        <v>1.8</v>
      </c>
      <c r="C1883">
        <v>1350</v>
      </c>
      <c r="D1883">
        <v>6</v>
      </c>
    </row>
    <row r="1884" spans="1:4">
      <c r="A1884" s="93" t="s">
        <v>7387</v>
      </c>
      <c r="B1884">
        <v>1.7</v>
      </c>
      <c r="C1884">
        <v>1350</v>
      </c>
      <c r="D1884">
        <v>6</v>
      </c>
    </row>
    <row r="1885" spans="1:4">
      <c r="A1885" s="93" t="s">
        <v>7388</v>
      </c>
      <c r="B1885">
        <v>1.6</v>
      </c>
      <c r="C1885">
        <v>1350</v>
      </c>
      <c r="D1885">
        <v>7</v>
      </c>
    </row>
    <row r="1886" spans="1:4">
      <c r="A1886" s="93" t="s">
        <v>7389</v>
      </c>
      <c r="B1886">
        <v>1.5</v>
      </c>
      <c r="C1886">
        <v>1350</v>
      </c>
      <c r="D1886">
        <v>7</v>
      </c>
    </row>
    <row r="1887" spans="1:4">
      <c r="A1887" s="93" t="s">
        <v>7390</v>
      </c>
      <c r="B1887">
        <v>4.3</v>
      </c>
      <c r="C1887">
        <v>1360</v>
      </c>
      <c r="D1887">
        <v>1</v>
      </c>
    </row>
    <row r="1888" spans="1:4">
      <c r="A1888" s="93" t="s">
        <v>7391</v>
      </c>
      <c r="B1888">
        <v>4.2</v>
      </c>
      <c r="C1888">
        <v>1360</v>
      </c>
      <c r="D1888">
        <v>1</v>
      </c>
    </row>
    <row r="1889" spans="1:4">
      <c r="A1889" s="93" t="s">
        <v>7392</v>
      </c>
      <c r="B1889">
        <v>4.1</v>
      </c>
      <c r="C1889">
        <v>1360</v>
      </c>
      <c r="D1889">
        <v>1</v>
      </c>
    </row>
    <row r="1890" spans="1:4">
      <c r="A1890" s="93" t="s">
        <v>7393</v>
      </c>
      <c r="B1890">
        <v>4</v>
      </c>
      <c r="C1890">
        <v>1360</v>
      </c>
      <c r="D1890">
        <v>1</v>
      </c>
    </row>
    <row r="1891" spans="1:4">
      <c r="A1891" s="93" t="s">
        <v>7394</v>
      </c>
      <c r="B1891">
        <v>3.9</v>
      </c>
      <c r="C1891">
        <v>1360</v>
      </c>
      <c r="D1891">
        <v>1</v>
      </c>
    </row>
    <row r="1892" spans="1:4">
      <c r="A1892" s="93" t="s">
        <v>7395</v>
      </c>
      <c r="B1892">
        <v>3.8</v>
      </c>
      <c r="C1892">
        <v>1360</v>
      </c>
      <c r="D1892">
        <v>1</v>
      </c>
    </row>
    <row r="1893" spans="1:4">
      <c r="A1893" s="93" t="s">
        <v>7396</v>
      </c>
      <c r="B1893">
        <v>3.7</v>
      </c>
      <c r="C1893">
        <v>1360</v>
      </c>
      <c r="D1893">
        <v>1</v>
      </c>
    </row>
    <row r="1894" spans="1:4">
      <c r="A1894" s="93" t="s">
        <v>7397</v>
      </c>
      <c r="B1894">
        <v>3.6</v>
      </c>
      <c r="C1894">
        <v>1360</v>
      </c>
      <c r="D1894">
        <v>1</v>
      </c>
    </row>
    <row r="1895" spans="1:4">
      <c r="A1895" s="93" t="s">
        <v>7398</v>
      </c>
      <c r="B1895">
        <v>3.5</v>
      </c>
      <c r="C1895">
        <v>1360</v>
      </c>
      <c r="D1895">
        <v>2</v>
      </c>
    </row>
    <row r="1896" spans="1:4">
      <c r="A1896" s="93" t="s">
        <v>7399</v>
      </c>
      <c r="B1896">
        <v>3.4</v>
      </c>
      <c r="C1896">
        <v>1360</v>
      </c>
      <c r="D1896">
        <v>2</v>
      </c>
    </row>
    <row r="1897" spans="1:4">
      <c r="A1897" s="93" t="s">
        <v>7400</v>
      </c>
      <c r="B1897">
        <v>3.3</v>
      </c>
      <c r="C1897">
        <v>1360</v>
      </c>
      <c r="D1897">
        <v>2</v>
      </c>
    </row>
    <row r="1898" spans="1:4">
      <c r="A1898" s="93" t="s">
        <v>7401</v>
      </c>
      <c r="B1898">
        <v>3.2</v>
      </c>
      <c r="C1898">
        <v>1360</v>
      </c>
      <c r="D1898">
        <v>2</v>
      </c>
    </row>
    <row r="1899" spans="1:4">
      <c r="A1899" s="93" t="s">
        <v>7402</v>
      </c>
      <c r="B1899">
        <v>3.1</v>
      </c>
      <c r="C1899">
        <v>1360</v>
      </c>
      <c r="D1899">
        <v>2</v>
      </c>
    </row>
    <row r="1900" spans="1:4">
      <c r="A1900" s="93" t="s">
        <v>7403</v>
      </c>
      <c r="B1900">
        <v>3</v>
      </c>
      <c r="C1900">
        <v>1360</v>
      </c>
      <c r="D1900">
        <v>2</v>
      </c>
    </row>
    <row r="1901" spans="1:4">
      <c r="A1901" s="93" t="s">
        <v>7404</v>
      </c>
      <c r="B1901">
        <v>2.9</v>
      </c>
      <c r="C1901">
        <v>1360</v>
      </c>
      <c r="D1901">
        <v>2</v>
      </c>
    </row>
    <row r="1902" spans="1:4">
      <c r="A1902" s="93" t="s">
        <v>7405</v>
      </c>
      <c r="B1902">
        <v>2.8</v>
      </c>
      <c r="C1902">
        <v>1360</v>
      </c>
      <c r="D1902">
        <v>4</v>
      </c>
    </row>
    <row r="1903" spans="1:4">
      <c r="A1903" s="93" t="s">
        <v>7406</v>
      </c>
      <c r="B1903">
        <v>2.7</v>
      </c>
      <c r="C1903">
        <v>1360</v>
      </c>
      <c r="D1903">
        <v>4</v>
      </c>
    </row>
    <row r="1904" spans="1:4">
      <c r="A1904" s="93" t="s">
        <v>7407</v>
      </c>
      <c r="B1904">
        <v>2.6</v>
      </c>
      <c r="C1904">
        <v>1360</v>
      </c>
      <c r="D1904">
        <v>5</v>
      </c>
    </row>
    <row r="1905" spans="1:4">
      <c r="A1905" s="93" t="s">
        <v>7408</v>
      </c>
      <c r="B1905">
        <v>2.5</v>
      </c>
      <c r="C1905">
        <v>1360</v>
      </c>
      <c r="D1905">
        <v>5</v>
      </c>
    </row>
    <row r="1906" spans="1:4">
      <c r="A1906" s="93" t="s">
        <v>7409</v>
      </c>
      <c r="B1906">
        <v>2.4</v>
      </c>
      <c r="C1906">
        <v>1360</v>
      </c>
      <c r="D1906">
        <v>5</v>
      </c>
    </row>
    <row r="1907" spans="1:4">
      <c r="A1907" s="93" t="s">
        <v>7410</v>
      </c>
      <c r="B1907">
        <v>2.3</v>
      </c>
      <c r="C1907">
        <v>1360</v>
      </c>
      <c r="D1907">
        <v>5</v>
      </c>
    </row>
    <row r="1908" spans="1:4">
      <c r="A1908" s="93" t="s">
        <v>7411</v>
      </c>
      <c r="B1908">
        <v>2.2</v>
      </c>
      <c r="C1908">
        <v>1360</v>
      </c>
      <c r="D1908">
        <v>5</v>
      </c>
    </row>
    <row r="1909" spans="1:4">
      <c r="A1909" s="93" t="s">
        <v>7412</v>
      </c>
      <c r="B1909">
        <v>2.1</v>
      </c>
      <c r="C1909">
        <v>1360</v>
      </c>
      <c r="D1909">
        <v>6</v>
      </c>
    </row>
    <row r="1910" spans="1:4">
      <c r="A1910" s="93" t="s">
        <v>7413</v>
      </c>
      <c r="B1910">
        <v>2</v>
      </c>
      <c r="C1910">
        <v>1360</v>
      </c>
      <c r="D1910">
        <v>6</v>
      </c>
    </row>
    <row r="1911" spans="1:4">
      <c r="A1911" s="93" t="s">
        <v>7414</v>
      </c>
      <c r="B1911">
        <v>1.9</v>
      </c>
      <c r="C1911">
        <v>1360</v>
      </c>
      <c r="D1911">
        <v>6</v>
      </c>
    </row>
    <row r="1912" spans="1:4">
      <c r="A1912" s="93" t="s">
        <v>7415</v>
      </c>
      <c r="B1912">
        <v>1.8</v>
      </c>
      <c r="C1912">
        <v>1360</v>
      </c>
      <c r="D1912">
        <v>6</v>
      </c>
    </row>
    <row r="1913" spans="1:4">
      <c r="A1913" s="93" t="s">
        <v>7416</v>
      </c>
      <c r="B1913">
        <v>1.7</v>
      </c>
      <c r="C1913">
        <v>1360</v>
      </c>
      <c r="D1913">
        <v>6</v>
      </c>
    </row>
    <row r="1914" spans="1:4">
      <c r="A1914" s="93" t="s">
        <v>7417</v>
      </c>
      <c r="B1914">
        <v>1.6</v>
      </c>
      <c r="C1914">
        <v>1360</v>
      </c>
      <c r="D1914">
        <v>6</v>
      </c>
    </row>
    <row r="1915" spans="1:4">
      <c r="A1915" s="93" t="s">
        <v>7418</v>
      </c>
      <c r="B1915">
        <v>1.5</v>
      </c>
      <c r="C1915">
        <v>1360</v>
      </c>
      <c r="D1915">
        <v>7</v>
      </c>
    </row>
    <row r="1916" spans="1:4">
      <c r="A1916" s="93" t="s">
        <v>7419</v>
      </c>
      <c r="B1916">
        <v>4.3</v>
      </c>
      <c r="C1916">
        <v>1370</v>
      </c>
      <c r="D1916">
        <v>1</v>
      </c>
    </row>
    <row r="1917" spans="1:4">
      <c r="A1917" s="93" t="s">
        <v>7420</v>
      </c>
      <c r="B1917">
        <v>4.2</v>
      </c>
      <c r="C1917">
        <v>1370</v>
      </c>
      <c r="D1917">
        <v>1</v>
      </c>
    </row>
    <row r="1918" spans="1:4">
      <c r="A1918" s="93" t="s">
        <v>7421</v>
      </c>
      <c r="B1918">
        <v>4.1</v>
      </c>
      <c r="C1918">
        <v>1370</v>
      </c>
      <c r="D1918">
        <v>1</v>
      </c>
    </row>
    <row r="1919" spans="1:4">
      <c r="A1919" s="93" t="s">
        <v>7422</v>
      </c>
      <c r="B1919">
        <v>4</v>
      </c>
      <c r="C1919">
        <v>1370</v>
      </c>
      <c r="D1919">
        <v>1</v>
      </c>
    </row>
    <row r="1920" spans="1:4">
      <c r="A1920" s="93" t="s">
        <v>7423</v>
      </c>
      <c r="B1920">
        <v>3.9</v>
      </c>
      <c r="C1920">
        <v>1370</v>
      </c>
      <c r="D1920">
        <v>1</v>
      </c>
    </row>
    <row r="1921" spans="1:4">
      <c r="A1921" s="93" t="s">
        <v>7424</v>
      </c>
      <c r="B1921">
        <v>3.8</v>
      </c>
      <c r="C1921">
        <v>1370</v>
      </c>
      <c r="D1921">
        <v>1</v>
      </c>
    </row>
    <row r="1922" spans="1:4">
      <c r="A1922" s="93" t="s">
        <v>7425</v>
      </c>
      <c r="B1922">
        <v>3.7</v>
      </c>
      <c r="C1922">
        <v>1370</v>
      </c>
      <c r="D1922">
        <v>1</v>
      </c>
    </row>
    <row r="1923" spans="1:4">
      <c r="A1923" s="93" t="s">
        <v>7426</v>
      </c>
      <c r="B1923">
        <v>3.6</v>
      </c>
      <c r="C1923">
        <v>1370</v>
      </c>
      <c r="D1923">
        <v>1</v>
      </c>
    </row>
    <row r="1924" spans="1:4">
      <c r="A1924" s="93" t="s">
        <v>7427</v>
      </c>
      <c r="B1924">
        <v>3.5</v>
      </c>
      <c r="C1924">
        <v>1370</v>
      </c>
      <c r="D1924">
        <v>2</v>
      </c>
    </row>
    <row r="1925" spans="1:4">
      <c r="A1925" s="93" t="s">
        <v>7428</v>
      </c>
      <c r="B1925">
        <v>3.4</v>
      </c>
      <c r="C1925">
        <v>1370</v>
      </c>
      <c r="D1925">
        <v>2</v>
      </c>
    </row>
    <row r="1926" spans="1:4">
      <c r="A1926" s="93" t="s">
        <v>7429</v>
      </c>
      <c r="B1926">
        <v>3.3</v>
      </c>
      <c r="C1926">
        <v>1370</v>
      </c>
      <c r="D1926">
        <v>2</v>
      </c>
    </row>
    <row r="1927" spans="1:4">
      <c r="A1927" s="93" t="s">
        <v>7430</v>
      </c>
      <c r="B1927">
        <v>3.2</v>
      </c>
      <c r="C1927">
        <v>1370</v>
      </c>
      <c r="D1927">
        <v>2</v>
      </c>
    </row>
    <row r="1928" spans="1:4">
      <c r="A1928" s="93" t="s">
        <v>7431</v>
      </c>
      <c r="B1928">
        <v>3.1</v>
      </c>
      <c r="C1928">
        <v>1370</v>
      </c>
      <c r="D1928">
        <v>2</v>
      </c>
    </row>
    <row r="1929" spans="1:4">
      <c r="A1929" s="93" t="s">
        <v>7432</v>
      </c>
      <c r="B1929">
        <v>3</v>
      </c>
      <c r="C1929">
        <v>1370</v>
      </c>
      <c r="D1929">
        <v>2</v>
      </c>
    </row>
    <row r="1930" spans="1:4">
      <c r="A1930" s="93" t="s">
        <v>7433</v>
      </c>
      <c r="B1930">
        <v>2.9</v>
      </c>
      <c r="C1930">
        <v>1370</v>
      </c>
      <c r="D1930">
        <v>2</v>
      </c>
    </row>
    <row r="1931" spans="1:4">
      <c r="A1931" s="93" t="s">
        <v>7434</v>
      </c>
      <c r="B1931">
        <v>2.8</v>
      </c>
      <c r="C1931">
        <v>1370</v>
      </c>
      <c r="D1931">
        <v>4</v>
      </c>
    </row>
    <row r="1932" spans="1:4">
      <c r="A1932" s="93" t="s">
        <v>7435</v>
      </c>
      <c r="B1932">
        <v>2.7</v>
      </c>
      <c r="C1932">
        <v>1370</v>
      </c>
      <c r="D1932">
        <v>4</v>
      </c>
    </row>
    <row r="1933" spans="1:4">
      <c r="A1933" s="93" t="s">
        <v>7436</v>
      </c>
      <c r="B1933">
        <v>2.6</v>
      </c>
      <c r="C1933">
        <v>1370</v>
      </c>
      <c r="D1933">
        <v>5</v>
      </c>
    </row>
    <row r="1934" spans="1:4">
      <c r="A1934" s="93" t="s">
        <v>7437</v>
      </c>
      <c r="B1934">
        <v>2.5</v>
      </c>
      <c r="C1934">
        <v>1370</v>
      </c>
      <c r="D1934">
        <v>5</v>
      </c>
    </row>
    <row r="1935" spans="1:4">
      <c r="A1935" s="93" t="s">
        <v>7438</v>
      </c>
      <c r="B1935">
        <v>2.4</v>
      </c>
      <c r="C1935">
        <v>1370</v>
      </c>
      <c r="D1935">
        <v>5</v>
      </c>
    </row>
    <row r="1936" spans="1:4">
      <c r="A1936" s="93" t="s">
        <v>7439</v>
      </c>
      <c r="B1936">
        <v>2.3</v>
      </c>
      <c r="C1936">
        <v>1370</v>
      </c>
      <c r="D1936">
        <v>5</v>
      </c>
    </row>
    <row r="1937" spans="1:4">
      <c r="A1937" s="93" t="s">
        <v>7440</v>
      </c>
      <c r="B1937">
        <v>2.2</v>
      </c>
      <c r="C1937">
        <v>1370</v>
      </c>
      <c r="D1937">
        <v>5</v>
      </c>
    </row>
    <row r="1938" spans="1:4">
      <c r="A1938" s="93" t="s">
        <v>7441</v>
      </c>
      <c r="B1938">
        <v>2.1</v>
      </c>
      <c r="C1938">
        <v>1370</v>
      </c>
      <c r="D1938">
        <v>6</v>
      </c>
    </row>
    <row r="1939" spans="1:4">
      <c r="A1939" s="93" t="s">
        <v>7442</v>
      </c>
      <c r="B1939">
        <v>2</v>
      </c>
      <c r="C1939">
        <v>1370</v>
      </c>
      <c r="D1939">
        <v>6</v>
      </c>
    </row>
    <row r="1940" spans="1:4">
      <c r="A1940" s="93" t="s">
        <v>7443</v>
      </c>
      <c r="B1940">
        <v>1.9</v>
      </c>
      <c r="C1940">
        <v>1370</v>
      </c>
      <c r="D1940">
        <v>6</v>
      </c>
    </row>
    <row r="1941" spans="1:4">
      <c r="A1941" s="93" t="s">
        <v>7444</v>
      </c>
      <c r="B1941">
        <v>1.8</v>
      </c>
      <c r="C1941">
        <v>1370</v>
      </c>
      <c r="D1941">
        <v>6</v>
      </c>
    </row>
    <row r="1942" spans="1:4">
      <c r="A1942" s="93" t="s">
        <v>7445</v>
      </c>
      <c r="B1942">
        <v>1.7</v>
      </c>
      <c r="C1942">
        <v>1370</v>
      </c>
      <c r="D1942">
        <v>6</v>
      </c>
    </row>
    <row r="1943" spans="1:4">
      <c r="A1943" s="93" t="s">
        <v>7446</v>
      </c>
      <c r="B1943">
        <v>1.6</v>
      </c>
      <c r="C1943">
        <v>1370</v>
      </c>
      <c r="D1943">
        <v>6</v>
      </c>
    </row>
    <row r="1944" spans="1:4">
      <c r="A1944" s="93" t="s">
        <v>7447</v>
      </c>
      <c r="B1944">
        <v>1.5</v>
      </c>
      <c r="C1944">
        <v>1370</v>
      </c>
      <c r="D1944">
        <v>7</v>
      </c>
    </row>
    <row r="1945" spans="1:4">
      <c r="A1945" s="93" t="s">
        <v>7448</v>
      </c>
      <c r="B1945">
        <v>4.3</v>
      </c>
      <c r="C1945">
        <v>1380</v>
      </c>
      <c r="D1945">
        <v>1</v>
      </c>
    </row>
    <row r="1946" spans="1:4">
      <c r="A1946" s="93" t="s">
        <v>7449</v>
      </c>
      <c r="B1946">
        <v>4.2</v>
      </c>
      <c r="C1946">
        <v>1380</v>
      </c>
      <c r="D1946">
        <v>1</v>
      </c>
    </row>
    <row r="1947" spans="1:4">
      <c r="A1947" s="93" t="s">
        <v>7450</v>
      </c>
      <c r="B1947">
        <v>4.1</v>
      </c>
      <c r="C1947">
        <v>1380</v>
      </c>
      <c r="D1947">
        <v>1</v>
      </c>
    </row>
    <row r="1948" spans="1:4">
      <c r="A1948" s="93" t="s">
        <v>7451</v>
      </c>
      <c r="B1948">
        <v>4</v>
      </c>
      <c r="C1948">
        <v>1380</v>
      </c>
      <c r="D1948">
        <v>1</v>
      </c>
    </row>
    <row r="1949" spans="1:4">
      <c r="A1949" s="93" t="s">
        <v>7452</v>
      </c>
      <c r="B1949">
        <v>3.9</v>
      </c>
      <c r="C1949">
        <v>1380</v>
      </c>
      <c r="D1949">
        <v>1</v>
      </c>
    </row>
    <row r="1950" spans="1:4">
      <c r="A1950" s="93" t="s">
        <v>7453</v>
      </c>
      <c r="B1950">
        <v>3.8</v>
      </c>
      <c r="C1950">
        <v>1380</v>
      </c>
      <c r="D1950">
        <v>1</v>
      </c>
    </row>
    <row r="1951" spans="1:4">
      <c r="A1951" s="93" t="s">
        <v>7454</v>
      </c>
      <c r="B1951">
        <v>3.7</v>
      </c>
      <c r="C1951">
        <v>1380</v>
      </c>
      <c r="D1951">
        <v>1</v>
      </c>
    </row>
    <row r="1952" spans="1:4">
      <c r="A1952" s="93" t="s">
        <v>7455</v>
      </c>
      <c r="B1952">
        <v>3.6</v>
      </c>
      <c r="C1952">
        <v>1380</v>
      </c>
      <c r="D1952">
        <v>1</v>
      </c>
    </row>
    <row r="1953" spans="1:4">
      <c r="A1953" s="93" t="s">
        <v>7456</v>
      </c>
      <c r="B1953">
        <v>3.5</v>
      </c>
      <c r="C1953">
        <v>1380</v>
      </c>
      <c r="D1953">
        <v>2</v>
      </c>
    </row>
    <row r="1954" spans="1:4">
      <c r="A1954" s="93" t="s">
        <v>7457</v>
      </c>
      <c r="B1954">
        <v>3.4</v>
      </c>
      <c r="C1954">
        <v>1380</v>
      </c>
      <c r="D1954">
        <v>2</v>
      </c>
    </row>
    <row r="1955" spans="1:4">
      <c r="A1955" s="93" t="s">
        <v>7458</v>
      </c>
      <c r="B1955">
        <v>3.3</v>
      </c>
      <c r="C1955">
        <v>1380</v>
      </c>
      <c r="D1955">
        <v>2</v>
      </c>
    </row>
    <row r="1956" spans="1:4">
      <c r="A1956" s="93" t="s">
        <v>7459</v>
      </c>
      <c r="B1956">
        <v>3.2</v>
      </c>
      <c r="C1956">
        <v>1380</v>
      </c>
      <c r="D1956">
        <v>2</v>
      </c>
    </row>
    <row r="1957" spans="1:4">
      <c r="A1957" s="93" t="s">
        <v>7460</v>
      </c>
      <c r="B1957">
        <v>3.1</v>
      </c>
      <c r="C1957">
        <v>1380</v>
      </c>
      <c r="D1957">
        <v>2</v>
      </c>
    </row>
    <row r="1958" spans="1:4">
      <c r="A1958" s="93" t="s">
        <v>7461</v>
      </c>
      <c r="B1958">
        <v>3</v>
      </c>
      <c r="C1958">
        <v>1380</v>
      </c>
      <c r="D1958">
        <v>2</v>
      </c>
    </row>
    <row r="1959" spans="1:4">
      <c r="A1959" s="93" t="s">
        <v>7462</v>
      </c>
      <c r="B1959">
        <v>2.9</v>
      </c>
      <c r="C1959">
        <v>1380</v>
      </c>
      <c r="D1959">
        <v>2</v>
      </c>
    </row>
    <row r="1960" spans="1:4">
      <c r="A1960" s="93" t="s">
        <v>7463</v>
      </c>
      <c r="B1960">
        <v>2.8</v>
      </c>
      <c r="C1960">
        <v>1380</v>
      </c>
      <c r="D1960">
        <v>4</v>
      </c>
    </row>
    <row r="1961" spans="1:4">
      <c r="A1961" s="93" t="s">
        <v>7464</v>
      </c>
      <c r="B1961">
        <v>2.7</v>
      </c>
      <c r="C1961">
        <v>1380</v>
      </c>
      <c r="D1961">
        <v>4</v>
      </c>
    </row>
    <row r="1962" spans="1:4">
      <c r="A1962" s="93" t="s">
        <v>7465</v>
      </c>
      <c r="B1962">
        <v>2.6</v>
      </c>
      <c r="C1962">
        <v>1380</v>
      </c>
      <c r="D1962">
        <v>5</v>
      </c>
    </row>
    <row r="1963" spans="1:4">
      <c r="A1963" s="93" t="s">
        <v>7466</v>
      </c>
      <c r="B1963">
        <v>2.5</v>
      </c>
      <c r="C1963">
        <v>1380</v>
      </c>
      <c r="D1963">
        <v>5</v>
      </c>
    </row>
    <row r="1964" spans="1:4">
      <c r="A1964" s="93" t="s">
        <v>7467</v>
      </c>
      <c r="B1964">
        <v>2.4</v>
      </c>
      <c r="C1964">
        <v>1380</v>
      </c>
      <c r="D1964">
        <v>5</v>
      </c>
    </row>
    <row r="1965" spans="1:4">
      <c r="A1965" s="93" t="s">
        <v>7468</v>
      </c>
      <c r="B1965">
        <v>2.3</v>
      </c>
      <c r="C1965">
        <v>1380</v>
      </c>
      <c r="D1965">
        <v>5</v>
      </c>
    </row>
    <row r="1966" spans="1:4">
      <c r="A1966" s="93" t="s">
        <v>7469</v>
      </c>
      <c r="B1966">
        <v>2.2</v>
      </c>
      <c r="C1966">
        <v>1380</v>
      </c>
      <c r="D1966">
        <v>5</v>
      </c>
    </row>
    <row r="1967" spans="1:4">
      <c r="A1967" s="93" t="s">
        <v>7470</v>
      </c>
      <c r="B1967">
        <v>2.1</v>
      </c>
      <c r="C1967">
        <v>1380</v>
      </c>
      <c r="D1967">
        <v>6</v>
      </c>
    </row>
    <row r="1968" spans="1:4">
      <c r="A1968" s="93" t="s">
        <v>7471</v>
      </c>
      <c r="B1968">
        <v>2</v>
      </c>
      <c r="C1968">
        <v>1380</v>
      </c>
      <c r="D1968">
        <v>6</v>
      </c>
    </row>
    <row r="1969" spans="1:4">
      <c r="A1969" s="93" t="s">
        <v>7472</v>
      </c>
      <c r="B1969">
        <v>1.9</v>
      </c>
      <c r="C1969">
        <v>1380</v>
      </c>
      <c r="D1969">
        <v>6</v>
      </c>
    </row>
    <row r="1970" spans="1:4">
      <c r="A1970" s="93" t="s">
        <v>7473</v>
      </c>
      <c r="B1970">
        <v>1.8</v>
      </c>
      <c r="C1970">
        <v>1380</v>
      </c>
      <c r="D1970">
        <v>6</v>
      </c>
    </row>
    <row r="1971" spans="1:4">
      <c r="A1971" s="93" t="s">
        <v>7474</v>
      </c>
      <c r="B1971">
        <v>1.7</v>
      </c>
      <c r="C1971">
        <v>1380</v>
      </c>
      <c r="D1971">
        <v>6</v>
      </c>
    </row>
    <row r="1972" spans="1:4">
      <c r="A1972" s="93" t="s">
        <v>7475</v>
      </c>
      <c r="B1972">
        <v>1.6</v>
      </c>
      <c r="C1972">
        <v>1380</v>
      </c>
      <c r="D1972">
        <v>6</v>
      </c>
    </row>
    <row r="1973" spans="1:4">
      <c r="A1973" s="93" t="s">
        <v>7476</v>
      </c>
      <c r="B1973">
        <v>1.5</v>
      </c>
      <c r="C1973">
        <v>1380</v>
      </c>
      <c r="D1973">
        <v>7</v>
      </c>
    </row>
    <row r="1974" spans="1:4">
      <c r="A1974" s="93" t="s">
        <v>7477</v>
      </c>
      <c r="B1974">
        <v>4.3</v>
      </c>
      <c r="C1974">
        <v>1390</v>
      </c>
      <c r="D1974">
        <v>1</v>
      </c>
    </row>
    <row r="1975" spans="1:4">
      <c r="A1975" s="93" t="s">
        <v>7478</v>
      </c>
      <c r="B1975">
        <v>4.2</v>
      </c>
      <c r="C1975">
        <v>1390</v>
      </c>
      <c r="D1975">
        <v>1</v>
      </c>
    </row>
    <row r="1976" spans="1:4">
      <c r="A1976" s="93" t="s">
        <v>7479</v>
      </c>
      <c r="B1976">
        <v>4.1</v>
      </c>
      <c r="C1976">
        <v>1390</v>
      </c>
      <c r="D1976">
        <v>1</v>
      </c>
    </row>
    <row r="1977" spans="1:4">
      <c r="A1977" s="93" t="s">
        <v>7480</v>
      </c>
      <c r="B1977">
        <v>4</v>
      </c>
      <c r="C1977">
        <v>1390</v>
      </c>
      <c r="D1977">
        <v>1</v>
      </c>
    </row>
    <row r="1978" spans="1:4">
      <c r="A1978" s="93" t="s">
        <v>7481</v>
      </c>
      <c r="B1978">
        <v>3.9</v>
      </c>
      <c r="C1978">
        <v>1390</v>
      </c>
      <c r="D1978">
        <v>1</v>
      </c>
    </row>
    <row r="1979" spans="1:4">
      <c r="A1979" s="93" t="s">
        <v>7482</v>
      </c>
      <c r="B1979">
        <v>3.8</v>
      </c>
      <c r="C1979">
        <v>1390</v>
      </c>
      <c r="D1979">
        <v>1</v>
      </c>
    </row>
    <row r="1980" spans="1:4">
      <c r="A1980" s="93" t="s">
        <v>7483</v>
      </c>
      <c r="B1980">
        <v>3.7</v>
      </c>
      <c r="C1980">
        <v>1390</v>
      </c>
      <c r="D1980">
        <v>1</v>
      </c>
    </row>
    <row r="1981" spans="1:4">
      <c r="A1981" s="93" t="s">
        <v>7484</v>
      </c>
      <c r="B1981">
        <v>3.6</v>
      </c>
      <c r="C1981">
        <v>1390</v>
      </c>
      <c r="D1981">
        <v>1</v>
      </c>
    </row>
    <row r="1982" spans="1:4">
      <c r="A1982" s="93" t="s">
        <v>7485</v>
      </c>
      <c r="B1982">
        <v>3.5</v>
      </c>
      <c r="C1982">
        <v>1390</v>
      </c>
      <c r="D1982">
        <v>1</v>
      </c>
    </row>
    <row r="1983" spans="1:4">
      <c r="A1983" s="93" t="s">
        <v>7486</v>
      </c>
      <c r="B1983">
        <v>3.4</v>
      </c>
      <c r="C1983">
        <v>1390</v>
      </c>
      <c r="D1983">
        <v>1</v>
      </c>
    </row>
    <row r="1984" spans="1:4">
      <c r="A1984" s="93" t="s">
        <v>7487</v>
      </c>
      <c r="B1984">
        <v>3.3</v>
      </c>
      <c r="C1984">
        <v>1390</v>
      </c>
      <c r="D1984">
        <v>2</v>
      </c>
    </row>
    <row r="1985" spans="1:4">
      <c r="A1985" s="93" t="s">
        <v>7488</v>
      </c>
      <c r="B1985">
        <v>3.2</v>
      </c>
      <c r="C1985">
        <v>1390</v>
      </c>
      <c r="D1985">
        <v>2</v>
      </c>
    </row>
    <row r="1986" spans="1:4">
      <c r="A1986" s="93" t="s">
        <v>7489</v>
      </c>
      <c r="B1986">
        <v>3.1</v>
      </c>
      <c r="C1986">
        <v>1390</v>
      </c>
      <c r="D1986">
        <v>2</v>
      </c>
    </row>
    <row r="1987" spans="1:4">
      <c r="A1987" s="93" t="s">
        <v>7490</v>
      </c>
      <c r="B1987">
        <v>3</v>
      </c>
      <c r="C1987">
        <v>1390</v>
      </c>
      <c r="D1987">
        <v>2</v>
      </c>
    </row>
    <row r="1988" spans="1:4">
      <c r="A1988" s="93" t="s">
        <v>7491</v>
      </c>
      <c r="B1988">
        <v>2.9</v>
      </c>
      <c r="C1988">
        <v>1390</v>
      </c>
      <c r="D1988">
        <v>2</v>
      </c>
    </row>
    <row r="1989" spans="1:4">
      <c r="A1989" s="93" t="s">
        <v>7492</v>
      </c>
      <c r="B1989">
        <v>2.8</v>
      </c>
      <c r="C1989">
        <v>1390</v>
      </c>
      <c r="D1989">
        <v>2</v>
      </c>
    </row>
    <row r="1990" spans="1:4">
      <c r="A1990" s="93" t="s">
        <v>7493</v>
      </c>
      <c r="B1990">
        <v>2.7</v>
      </c>
      <c r="C1990">
        <v>1390</v>
      </c>
      <c r="D1990">
        <v>2</v>
      </c>
    </row>
    <row r="1991" spans="1:4">
      <c r="A1991" s="93" t="s">
        <v>7494</v>
      </c>
      <c r="B1991">
        <v>2.6</v>
      </c>
      <c r="C1991">
        <v>1390</v>
      </c>
      <c r="D1991">
        <v>4</v>
      </c>
    </row>
    <row r="1992" spans="1:4">
      <c r="A1992" s="93" t="s">
        <v>7495</v>
      </c>
      <c r="B1992">
        <v>2.5</v>
      </c>
      <c r="C1992">
        <v>1390</v>
      </c>
      <c r="D1992">
        <v>5</v>
      </c>
    </row>
    <row r="1993" spans="1:4">
      <c r="A1993" s="93" t="s">
        <v>7496</v>
      </c>
      <c r="B1993">
        <v>2.4</v>
      </c>
      <c r="C1993">
        <v>1390</v>
      </c>
      <c r="D1993">
        <v>5</v>
      </c>
    </row>
    <row r="1994" spans="1:4">
      <c r="A1994" s="93" t="s">
        <v>7497</v>
      </c>
      <c r="B1994">
        <v>2.3</v>
      </c>
      <c r="C1994">
        <v>1390</v>
      </c>
      <c r="D1994">
        <v>5</v>
      </c>
    </row>
    <row r="1995" spans="1:4">
      <c r="A1995" s="93" t="s">
        <v>7498</v>
      </c>
      <c r="B1995">
        <v>2.2</v>
      </c>
      <c r="C1995">
        <v>1390</v>
      </c>
      <c r="D1995">
        <v>5</v>
      </c>
    </row>
    <row r="1996" spans="1:4">
      <c r="A1996" s="93" t="s">
        <v>7499</v>
      </c>
      <c r="B1996">
        <v>2.1</v>
      </c>
      <c r="C1996">
        <v>1390</v>
      </c>
      <c r="D1996">
        <v>5</v>
      </c>
    </row>
    <row r="1997" spans="1:4">
      <c r="A1997" s="93" t="s">
        <v>7500</v>
      </c>
      <c r="B1997">
        <v>2</v>
      </c>
      <c r="C1997">
        <v>1390</v>
      </c>
      <c r="D1997">
        <v>6</v>
      </c>
    </row>
    <row r="1998" spans="1:4">
      <c r="A1998" s="93" t="s">
        <v>7501</v>
      </c>
      <c r="B1998">
        <v>1.9</v>
      </c>
      <c r="C1998">
        <v>1390</v>
      </c>
      <c r="D1998">
        <v>6</v>
      </c>
    </row>
    <row r="1999" spans="1:4">
      <c r="A1999" s="93" t="s">
        <v>7502</v>
      </c>
      <c r="B1999">
        <v>1.8</v>
      </c>
      <c r="C1999">
        <v>1390</v>
      </c>
      <c r="D1999">
        <v>6</v>
      </c>
    </row>
    <row r="2000" spans="1:4">
      <c r="A2000" s="93" t="s">
        <v>7503</v>
      </c>
      <c r="B2000">
        <v>1.7</v>
      </c>
      <c r="C2000">
        <v>1390</v>
      </c>
      <c r="D2000">
        <v>6</v>
      </c>
    </row>
    <row r="2001" spans="1:4">
      <c r="A2001" s="93" t="s">
        <v>7504</v>
      </c>
      <c r="B2001">
        <v>1.6</v>
      </c>
      <c r="C2001">
        <v>1390</v>
      </c>
      <c r="D2001">
        <v>6</v>
      </c>
    </row>
    <row r="2002" spans="1:4">
      <c r="A2002" s="93" t="s">
        <v>7505</v>
      </c>
      <c r="B2002">
        <v>1.5</v>
      </c>
      <c r="C2002">
        <v>1390</v>
      </c>
      <c r="D2002">
        <v>6</v>
      </c>
    </row>
    <row r="2003" spans="1:4">
      <c r="A2003" s="93" t="s">
        <v>7506</v>
      </c>
      <c r="B2003">
        <v>4.3</v>
      </c>
      <c r="C2003">
        <v>1400</v>
      </c>
      <c r="D2003">
        <v>1</v>
      </c>
    </row>
    <row r="2004" spans="1:4">
      <c r="A2004" s="93" t="s">
        <v>7507</v>
      </c>
      <c r="B2004">
        <v>4.2</v>
      </c>
      <c r="C2004">
        <v>1400</v>
      </c>
      <c r="D2004">
        <v>1</v>
      </c>
    </row>
    <row r="2005" spans="1:4">
      <c r="A2005" s="93" t="s">
        <v>7508</v>
      </c>
      <c r="B2005">
        <v>4.1</v>
      </c>
      <c r="C2005">
        <v>1400</v>
      </c>
      <c r="D2005">
        <v>1</v>
      </c>
    </row>
    <row r="2006" spans="1:4">
      <c r="A2006" s="93" t="s">
        <v>7509</v>
      </c>
      <c r="B2006">
        <v>4</v>
      </c>
      <c r="C2006">
        <v>1400</v>
      </c>
      <c r="D2006">
        <v>1</v>
      </c>
    </row>
    <row r="2007" spans="1:4">
      <c r="A2007" s="93" t="s">
        <v>7510</v>
      </c>
      <c r="B2007">
        <v>3.9</v>
      </c>
      <c r="C2007">
        <v>1400</v>
      </c>
      <c r="D2007">
        <v>1</v>
      </c>
    </row>
    <row r="2008" spans="1:4">
      <c r="A2008" s="93" t="s">
        <v>7511</v>
      </c>
      <c r="B2008">
        <v>3.8</v>
      </c>
      <c r="C2008">
        <v>1400</v>
      </c>
      <c r="D2008">
        <v>1</v>
      </c>
    </row>
    <row r="2009" spans="1:4">
      <c r="A2009" s="93" t="s">
        <v>7512</v>
      </c>
      <c r="B2009">
        <v>3.7</v>
      </c>
      <c r="C2009">
        <v>1400</v>
      </c>
      <c r="D2009">
        <v>1</v>
      </c>
    </row>
    <row r="2010" spans="1:4">
      <c r="A2010" s="93" t="s">
        <v>7513</v>
      </c>
      <c r="B2010">
        <v>3.6</v>
      </c>
      <c r="C2010">
        <v>1400</v>
      </c>
      <c r="D2010">
        <v>1</v>
      </c>
    </row>
    <row r="2011" spans="1:4">
      <c r="A2011" s="93" t="s">
        <v>7514</v>
      </c>
      <c r="B2011">
        <v>3.5</v>
      </c>
      <c r="C2011">
        <v>1400</v>
      </c>
      <c r="D2011">
        <v>1</v>
      </c>
    </row>
    <row r="2012" spans="1:4">
      <c r="A2012" s="93" t="s">
        <v>7515</v>
      </c>
      <c r="B2012">
        <v>3.4</v>
      </c>
      <c r="C2012">
        <v>1400</v>
      </c>
      <c r="D2012">
        <v>1</v>
      </c>
    </row>
    <row r="2013" spans="1:4">
      <c r="A2013" s="93" t="s">
        <v>7516</v>
      </c>
      <c r="B2013">
        <v>3.3</v>
      </c>
      <c r="C2013">
        <v>1400</v>
      </c>
      <c r="D2013">
        <v>2</v>
      </c>
    </row>
    <row r="2014" spans="1:4">
      <c r="A2014" s="93" t="s">
        <v>7517</v>
      </c>
      <c r="B2014">
        <v>3.2</v>
      </c>
      <c r="C2014">
        <v>1400</v>
      </c>
      <c r="D2014">
        <v>2</v>
      </c>
    </row>
    <row r="2015" spans="1:4">
      <c r="A2015" s="93" t="s">
        <v>7518</v>
      </c>
      <c r="B2015">
        <v>3.1</v>
      </c>
      <c r="C2015">
        <v>1400</v>
      </c>
      <c r="D2015">
        <v>2</v>
      </c>
    </row>
    <row r="2016" spans="1:4">
      <c r="A2016" s="93" t="s">
        <v>7519</v>
      </c>
      <c r="B2016">
        <v>3</v>
      </c>
      <c r="C2016">
        <v>1400</v>
      </c>
      <c r="D2016">
        <v>2</v>
      </c>
    </row>
    <row r="2017" spans="1:4">
      <c r="A2017" s="93" t="s">
        <v>7520</v>
      </c>
      <c r="B2017">
        <v>2.9</v>
      </c>
      <c r="C2017">
        <v>1400</v>
      </c>
      <c r="D2017">
        <v>2</v>
      </c>
    </row>
    <row r="2018" spans="1:4">
      <c r="A2018" s="93" t="s">
        <v>7521</v>
      </c>
      <c r="B2018">
        <v>2.8</v>
      </c>
      <c r="C2018">
        <v>1400</v>
      </c>
      <c r="D2018">
        <v>2</v>
      </c>
    </row>
    <row r="2019" spans="1:4">
      <c r="A2019" s="93" t="s">
        <v>7522</v>
      </c>
      <c r="B2019">
        <v>2.7</v>
      </c>
      <c r="C2019">
        <v>1400</v>
      </c>
      <c r="D2019">
        <v>2</v>
      </c>
    </row>
    <row r="2020" spans="1:4">
      <c r="A2020" s="93" t="s">
        <v>7523</v>
      </c>
      <c r="B2020">
        <v>2.6</v>
      </c>
      <c r="C2020">
        <v>1400</v>
      </c>
      <c r="D2020">
        <v>4</v>
      </c>
    </row>
    <row r="2021" spans="1:4">
      <c r="A2021" s="93" t="s">
        <v>7524</v>
      </c>
      <c r="B2021">
        <v>2.5</v>
      </c>
      <c r="C2021">
        <v>1400</v>
      </c>
      <c r="D2021">
        <v>5</v>
      </c>
    </row>
    <row r="2022" spans="1:4">
      <c r="A2022" s="93" t="s">
        <v>7525</v>
      </c>
      <c r="B2022">
        <v>2.4</v>
      </c>
      <c r="C2022">
        <v>1400</v>
      </c>
      <c r="D2022">
        <v>5</v>
      </c>
    </row>
    <row r="2023" spans="1:4">
      <c r="A2023" s="93" t="s">
        <v>7526</v>
      </c>
      <c r="B2023">
        <v>2.3</v>
      </c>
      <c r="C2023">
        <v>1400</v>
      </c>
      <c r="D2023">
        <v>5</v>
      </c>
    </row>
    <row r="2024" spans="1:4">
      <c r="A2024" s="93" t="s">
        <v>7527</v>
      </c>
      <c r="B2024">
        <v>2.2</v>
      </c>
      <c r="C2024">
        <v>1400</v>
      </c>
      <c r="D2024">
        <v>5</v>
      </c>
    </row>
    <row r="2025" spans="1:4">
      <c r="A2025" s="93" t="s">
        <v>7528</v>
      </c>
      <c r="B2025">
        <v>2.1</v>
      </c>
      <c r="C2025">
        <v>1400</v>
      </c>
      <c r="D2025">
        <v>5</v>
      </c>
    </row>
    <row r="2026" spans="1:4">
      <c r="A2026" s="93" t="s">
        <v>7529</v>
      </c>
      <c r="B2026">
        <v>2</v>
      </c>
      <c r="C2026">
        <v>1400</v>
      </c>
      <c r="D2026">
        <v>6</v>
      </c>
    </row>
    <row r="2027" spans="1:4">
      <c r="A2027" s="93" t="s">
        <v>7530</v>
      </c>
      <c r="B2027">
        <v>1.9</v>
      </c>
      <c r="C2027">
        <v>1400</v>
      </c>
      <c r="D2027">
        <v>6</v>
      </c>
    </row>
    <row r="2028" spans="1:4">
      <c r="A2028" s="93" t="s">
        <v>7531</v>
      </c>
      <c r="B2028">
        <v>1.8</v>
      </c>
      <c r="C2028">
        <v>1400</v>
      </c>
      <c r="D2028">
        <v>6</v>
      </c>
    </row>
    <row r="2029" spans="1:4">
      <c r="A2029" s="93" t="s">
        <v>7532</v>
      </c>
      <c r="B2029">
        <v>1.7</v>
      </c>
      <c r="C2029">
        <v>1400</v>
      </c>
      <c r="D2029">
        <v>6</v>
      </c>
    </row>
    <row r="2030" spans="1:4">
      <c r="A2030" s="93" t="s">
        <v>7533</v>
      </c>
      <c r="B2030">
        <v>1.6</v>
      </c>
      <c r="C2030">
        <v>1400</v>
      </c>
      <c r="D2030">
        <v>6</v>
      </c>
    </row>
    <row r="2031" spans="1:4">
      <c r="A2031" s="93" t="s">
        <v>7534</v>
      </c>
      <c r="B2031">
        <v>1.5</v>
      </c>
      <c r="C2031">
        <v>1400</v>
      </c>
      <c r="D2031">
        <v>6</v>
      </c>
    </row>
    <row r="2032" spans="1:4">
      <c r="A2032" s="93" t="s">
        <v>7535</v>
      </c>
      <c r="B2032">
        <v>4.3</v>
      </c>
      <c r="C2032">
        <v>1410</v>
      </c>
      <c r="D2032">
        <v>1</v>
      </c>
    </row>
    <row r="2033" spans="1:4">
      <c r="A2033" s="93" t="s">
        <v>7536</v>
      </c>
      <c r="B2033">
        <v>4.2</v>
      </c>
      <c r="C2033">
        <v>1410</v>
      </c>
      <c r="D2033">
        <v>1</v>
      </c>
    </row>
    <row r="2034" spans="1:4">
      <c r="A2034" s="93" t="s">
        <v>7537</v>
      </c>
      <c r="B2034">
        <v>4.1</v>
      </c>
      <c r="C2034">
        <v>1410</v>
      </c>
      <c r="D2034">
        <v>1</v>
      </c>
    </row>
    <row r="2035" spans="1:4">
      <c r="A2035" s="93" t="s">
        <v>7538</v>
      </c>
      <c r="B2035">
        <v>4</v>
      </c>
      <c r="C2035">
        <v>1410</v>
      </c>
      <c r="D2035">
        <v>1</v>
      </c>
    </row>
    <row r="2036" spans="1:4">
      <c r="A2036" s="93" t="s">
        <v>7539</v>
      </c>
      <c r="B2036">
        <v>3.9</v>
      </c>
      <c r="C2036">
        <v>1410</v>
      </c>
      <c r="D2036">
        <v>1</v>
      </c>
    </row>
    <row r="2037" spans="1:4">
      <c r="A2037" s="93" t="s">
        <v>7540</v>
      </c>
      <c r="B2037">
        <v>3.8</v>
      </c>
      <c r="C2037">
        <v>1410</v>
      </c>
      <c r="D2037">
        <v>1</v>
      </c>
    </row>
    <row r="2038" spans="1:4">
      <c r="A2038" s="93" t="s">
        <v>7541</v>
      </c>
      <c r="B2038">
        <v>3.7</v>
      </c>
      <c r="C2038">
        <v>1410</v>
      </c>
      <c r="D2038">
        <v>1</v>
      </c>
    </row>
    <row r="2039" spans="1:4">
      <c r="A2039" s="93" t="s">
        <v>7542</v>
      </c>
      <c r="B2039">
        <v>3.6</v>
      </c>
      <c r="C2039">
        <v>1410</v>
      </c>
      <c r="D2039">
        <v>1</v>
      </c>
    </row>
    <row r="2040" spans="1:4">
      <c r="A2040" s="93" t="s">
        <v>7543</v>
      </c>
      <c r="B2040">
        <v>3.5</v>
      </c>
      <c r="C2040">
        <v>1410</v>
      </c>
      <c r="D2040">
        <v>1</v>
      </c>
    </row>
    <row r="2041" spans="1:4">
      <c r="A2041" s="93" t="s">
        <v>7544</v>
      </c>
      <c r="B2041">
        <v>3.4</v>
      </c>
      <c r="C2041">
        <v>1410</v>
      </c>
      <c r="D2041">
        <v>1</v>
      </c>
    </row>
    <row r="2042" spans="1:4">
      <c r="A2042" s="93" t="s">
        <v>7545</v>
      </c>
      <c r="B2042">
        <v>3.3</v>
      </c>
      <c r="C2042">
        <v>1410</v>
      </c>
      <c r="D2042">
        <v>2</v>
      </c>
    </row>
    <row r="2043" spans="1:4">
      <c r="A2043" s="93" t="s">
        <v>7546</v>
      </c>
      <c r="B2043">
        <v>3.2</v>
      </c>
      <c r="C2043">
        <v>1410</v>
      </c>
      <c r="D2043">
        <v>2</v>
      </c>
    </row>
    <row r="2044" spans="1:4">
      <c r="A2044" s="93" t="s">
        <v>7547</v>
      </c>
      <c r="B2044">
        <v>3.1</v>
      </c>
      <c r="C2044">
        <v>1410</v>
      </c>
      <c r="D2044">
        <v>2</v>
      </c>
    </row>
    <row r="2045" spans="1:4">
      <c r="A2045" s="93" t="s">
        <v>7548</v>
      </c>
      <c r="B2045">
        <v>3</v>
      </c>
      <c r="C2045">
        <v>1410</v>
      </c>
      <c r="D2045">
        <v>2</v>
      </c>
    </row>
    <row r="2046" spans="1:4">
      <c r="A2046" s="93" t="s">
        <v>7549</v>
      </c>
      <c r="B2046">
        <v>2.9</v>
      </c>
      <c r="C2046">
        <v>1410</v>
      </c>
      <c r="D2046">
        <v>2</v>
      </c>
    </row>
    <row r="2047" spans="1:4">
      <c r="A2047" s="93" t="s">
        <v>7550</v>
      </c>
      <c r="B2047">
        <v>2.8</v>
      </c>
      <c r="C2047">
        <v>1410</v>
      </c>
      <c r="D2047">
        <v>2</v>
      </c>
    </row>
    <row r="2048" spans="1:4">
      <c r="A2048" s="93" t="s">
        <v>7551</v>
      </c>
      <c r="B2048">
        <v>2.7</v>
      </c>
      <c r="C2048">
        <v>1410</v>
      </c>
      <c r="D2048">
        <v>2</v>
      </c>
    </row>
    <row r="2049" spans="1:4">
      <c r="A2049" s="93" t="s">
        <v>7552</v>
      </c>
      <c r="B2049">
        <v>2.6</v>
      </c>
      <c r="C2049">
        <v>1410</v>
      </c>
      <c r="D2049">
        <v>4</v>
      </c>
    </row>
    <row r="2050" spans="1:4">
      <c r="A2050" s="93" t="s">
        <v>7553</v>
      </c>
      <c r="B2050">
        <v>2.5</v>
      </c>
      <c r="C2050">
        <v>1410</v>
      </c>
      <c r="D2050">
        <v>5</v>
      </c>
    </row>
    <row r="2051" spans="1:4">
      <c r="A2051" s="93" t="s">
        <v>7554</v>
      </c>
      <c r="B2051">
        <v>2.4</v>
      </c>
      <c r="C2051">
        <v>1410</v>
      </c>
      <c r="D2051">
        <v>5</v>
      </c>
    </row>
    <row r="2052" spans="1:4">
      <c r="A2052" s="93" t="s">
        <v>7555</v>
      </c>
      <c r="B2052">
        <v>2.3</v>
      </c>
      <c r="C2052">
        <v>1410</v>
      </c>
      <c r="D2052">
        <v>5</v>
      </c>
    </row>
    <row r="2053" spans="1:4">
      <c r="A2053" s="93" t="s">
        <v>7556</v>
      </c>
      <c r="B2053">
        <v>2.2</v>
      </c>
      <c r="C2053">
        <v>1410</v>
      </c>
      <c r="D2053">
        <v>5</v>
      </c>
    </row>
    <row r="2054" spans="1:4">
      <c r="A2054" s="93" t="s">
        <v>7557</v>
      </c>
      <c r="B2054">
        <v>2.1</v>
      </c>
      <c r="C2054">
        <v>1410</v>
      </c>
      <c r="D2054">
        <v>5</v>
      </c>
    </row>
    <row r="2055" spans="1:4">
      <c r="A2055" s="93" t="s">
        <v>7558</v>
      </c>
      <c r="B2055">
        <v>2</v>
      </c>
      <c r="C2055">
        <v>1410</v>
      </c>
      <c r="D2055">
        <v>6</v>
      </c>
    </row>
    <row r="2056" spans="1:4">
      <c r="A2056" s="93" t="s">
        <v>7559</v>
      </c>
      <c r="B2056">
        <v>1.9</v>
      </c>
      <c r="C2056">
        <v>1410</v>
      </c>
      <c r="D2056">
        <v>6</v>
      </c>
    </row>
    <row r="2057" spans="1:4">
      <c r="A2057" s="93" t="s">
        <v>7560</v>
      </c>
      <c r="B2057">
        <v>1.8</v>
      </c>
      <c r="C2057">
        <v>1410</v>
      </c>
      <c r="D2057">
        <v>6</v>
      </c>
    </row>
    <row r="2058" spans="1:4">
      <c r="A2058" s="93" t="s">
        <v>7561</v>
      </c>
      <c r="B2058">
        <v>1.7</v>
      </c>
      <c r="C2058">
        <v>1410</v>
      </c>
      <c r="D2058">
        <v>6</v>
      </c>
    </row>
    <row r="2059" spans="1:4">
      <c r="A2059" s="93" t="s">
        <v>7562</v>
      </c>
      <c r="B2059">
        <v>1.6</v>
      </c>
      <c r="C2059">
        <v>1410</v>
      </c>
      <c r="D2059">
        <v>6</v>
      </c>
    </row>
    <row r="2060" spans="1:4">
      <c r="A2060" s="93" t="s">
        <v>7563</v>
      </c>
      <c r="B2060">
        <v>1.5</v>
      </c>
      <c r="C2060">
        <v>1410</v>
      </c>
      <c r="D2060">
        <v>6</v>
      </c>
    </row>
    <row r="2061" spans="1:4">
      <c r="A2061" s="93" t="s">
        <v>7564</v>
      </c>
      <c r="B2061">
        <v>4.3</v>
      </c>
      <c r="C2061">
        <v>1420</v>
      </c>
      <c r="D2061">
        <v>1</v>
      </c>
    </row>
    <row r="2062" spans="1:4">
      <c r="A2062" s="93" t="s">
        <v>7565</v>
      </c>
      <c r="B2062">
        <v>4.2</v>
      </c>
      <c r="C2062">
        <v>1420</v>
      </c>
      <c r="D2062">
        <v>1</v>
      </c>
    </row>
    <row r="2063" spans="1:4">
      <c r="A2063" s="93" t="s">
        <v>7566</v>
      </c>
      <c r="B2063">
        <v>4.1</v>
      </c>
      <c r="C2063">
        <v>1420</v>
      </c>
      <c r="D2063">
        <v>1</v>
      </c>
    </row>
    <row r="2064" spans="1:4">
      <c r="A2064" s="93" t="s">
        <v>7567</v>
      </c>
      <c r="B2064">
        <v>4</v>
      </c>
      <c r="C2064">
        <v>1420</v>
      </c>
      <c r="D2064">
        <v>1</v>
      </c>
    </row>
    <row r="2065" spans="1:4">
      <c r="A2065" s="93" t="s">
        <v>7568</v>
      </c>
      <c r="B2065">
        <v>3.9</v>
      </c>
      <c r="C2065">
        <v>1420</v>
      </c>
      <c r="D2065">
        <v>1</v>
      </c>
    </row>
    <row r="2066" spans="1:4">
      <c r="A2066" s="93" t="s">
        <v>7569</v>
      </c>
      <c r="B2066">
        <v>3.8</v>
      </c>
      <c r="C2066">
        <v>1420</v>
      </c>
      <c r="D2066">
        <v>1</v>
      </c>
    </row>
    <row r="2067" spans="1:4">
      <c r="A2067" s="93" t="s">
        <v>7570</v>
      </c>
      <c r="B2067">
        <v>3.7</v>
      </c>
      <c r="C2067">
        <v>1420</v>
      </c>
      <c r="D2067">
        <v>1</v>
      </c>
    </row>
    <row r="2068" spans="1:4">
      <c r="A2068" s="93" t="s">
        <v>7571</v>
      </c>
      <c r="B2068">
        <v>3.6</v>
      </c>
      <c r="C2068">
        <v>1420</v>
      </c>
      <c r="D2068">
        <v>1</v>
      </c>
    </row>
    <row r="2069" spans="1:4">
      <c r="A2069" s="93" t="s">
        <v>7572</v>
      </c>
      <c r="B2069">
        <v>3.5</v>
      </c>
      <c r="C2069">
        <v>1420</v>
      </c>
      <c r="D2069">
        <v>1</v>
      </c>
    </row>
    <row r="2070" spans="1:4">
      <c r="A2070" s="93" t="s">
        <v>7573</v>
      </c>
      <c r="B2070">
        <v>3.4</v>
      </c>
      <c r="C2070">
        <v>1420</v>
      </c>
      <c r="D2070">
        <v>1</v>
      </c>
    </row>
    <row r="2071" spans="1:4">
      <c r="A2071" s="93" t="s">
        <v>7574</v>
      </c>
      <c r="B2071">
        <v>3.3</v>
      </c>
      <c r="C2071">
        <v>1420</v>
      </c>
      <c r="D2071">
        <v>1</v>
      </c>
    </row>
    <row r="2072" spans="1:4">
      <c r="A2072" s="93" t="s">
        <v>7575</v>
      </c>
      <c r="B2072">
        <v>3.2</v>
      </c>
      <c r="C2072">
        <v>1420</v>
      </c>
      <c r="D2072">
        <v>1</v>
      </c>
    </row>
    <row r="2073" spans="1:4">
      <c r="A2073" s="93" t="s">
        <v>7576</v>
      </c>
      <c r="B2073">
        <v>3.1</v>
      </c>
      <c r="C2073">
        <v>1420</v>
      </c>
      <c r="D2073">
        <v>2</v>
      </c>
    </row>
    <row r="2074" spans="1:4">
      <c r="A2074" s="93" t="s">
        <v>7577</v>
      </c>
      <c r="B2074">
        <v>3</v>
      </c>
      <c r="C2074">
        <v>1420</v>
      </c>
      <c r="D2074">
        <v>2</v>
      </c>
    </row>
    <row r="2075" spans="1:4">
      <c r="A2075" s="93" t="s">
        <v>7578</v>
      </c>
      <c r="B2075">
        <v>2.9</v>
      </c>
      <c r="C2075">
        <v>1420</v>
      </c>
      <c r="D2075">
        <v>2</v>
      </c>
    </row>
    <row r="2076" spans="1:4">
      <c r="A2076" s="93" t="s">
        <v>7579</v>
      </c>
      <c r="B2076">
        <v>2.8</v>
      </c>
      <c r="C2076">
        <v>1420</v>
      </c>
      <c r="D2076">
        <v>2</v>
      </c>
    </row>
    <row r="2077" spans="1:4">
      <c r="A2077" s="93" t="s">
        <v>7580</v>
      </c>
      <c r="B2077">
        <v>2.7</v>
      </c>
      <c r="C2077">
        <v>1420</v>
      </c>
      <c r="D2077">
        <v>2</v>
      </c>
    </row>
    <row r="2078" spans="1:4">
      <c r="A2078" s="93" t="s">
        <v>7581</v>
      </c>
      <c r="B2078">
        <v>2.6</v>
      </c>
      <c r="C2078">
        <v>1420</v>
      </c>
      <c r="D2078">
        <v>2</v>
      </c>
    </row>
    <row r="2079" spans="1:4">
      <c r="A2079" s="93" t="s">
        <v>7582</v>
      </c>
      <c r="B2079">
        <v>2.5</v>
      </c>
      <c r="C2079">
        <v>1420</v>
      </c>
      <c r="D2079">
        <v>2</v>
      </c>
    </row>
    <row r="2080" spans="1:4">
      <c r="A2080" s="93" t="s">
        <v>7583</v>
      </c>
      <c r="B2080">
        <v>2.4</v>
      </c>
      <c r="C2080">
        <v>1420</v>
      </c>
      <c r="D2080">
        <v>5</v>
      </c>
    </row>
    <row r="2081" spans="1:4">
      <c r="A2081" s="93" t="s">
        <v>7584</v>
      </c>
      <c r="B2081">
        <v>2.3</v>
      </c>
      <c r="C2081">
        <v>1420</v>
      </c>
      <c r="D2081">
        <v>5</v>
      </c>
    </row>
    <row r="2082" spans="1:4">
      <c r="A2082" s="93" t="s">
        <v>7585</v>
      </c>
      <c r="B2082">
        <v>2.2</v>
      </c>
      <c r="C2082">
        <v>1420</v>
      </c>
      <c r="D2082">
        <v>5</v>
      </c>
    </row>
    <row r="2083" spans="1:4">
      <c r="A2083" s="93" t="s">
        <v>7586</v>
      </c>
      <c r="B2083">
        <v>2.1</v>
      </c>
      <c r="C2083">
        <v>1420</v>
      </c>
      <c r="D2083">
        <v>5</v>
      </c>
    </row>
    <row r="2084" spans="1:4">
      <c r="A2084" s="93" t="s">
        <v>7587</v>
      </c>
      <c r="B2084">
        <v>2</v>
      </c>
      <c r="C2084">
        <v>1420</v>
      </c>
      <c r="D2084">
        <v>5</v>
      </c>
    </row>
    <row r="2085" spans="1:4">
      <c r="A2085" s="93" t="s">
        <v>7588</v>
      </c>
      <c r="B2085">
        <v>1.9</v>
      </c>
      <c r="C2085">
        <v>1420</v>
      </c>
      <c r="D2085">
        <v>6</v>
      </c>
    </row>
    <row r="2086" spans="1:4">
      <c r="A2086" s="93" t="s">
        <v>7589</v>
      </c>
      <c r="B2086">
        <v>1.8</v>
      </c>
      <c r="C2086">
        <v>1420</v>
      </c>
      <c r="D2086">
        <v>6</v>
      </c>
    </row>
    <row r="2087" spans="1:4">
      <c r="A2087" s="93" t="s">
        <v>7590</v>
      </c>
      <c r="B2087">
        <v>1.7</v>
      </c>
      <c r="C2087">
        <v>1420</v>
      </c>
      <c r="D2087">
        <v>6</v>
      </c>
    </row>
    <row r="2088" spans="1:4">
      <c r="A2088" s="93" t="s">
        <v>7591</v>
      </c>
      <c r="B2088">
        <v>1.6</v>
      </c>
      <c r="C2088">
        <v>1420</v>
      </c>
      <c r="D2088">
        <v>6</v>
      </c>
    </row>
    <row r="2089" spans="1:4">
      <c r="A2089" s="93" t="s">
        <v>7592</v>
      </c>
      <c r="B2089">
        <v>1.5</v>
      </c>
      <c r="C2089">
        <v>1420</v>
      </c>
      <c r="D2089">
        <v>6</v>
      </c>
    </row>
    <row r="2090" spans="1:4">
      <c r="A2090" s="93" t="s">
        <v>7593</v>
      </c>
      <c r="B2090">
        <v>4.3</v>
      </c>
      <c r="C2090">
        <v>1430</v>
      </c>
      <c r="D2090">
        <v>1</v>
      </c>
    </row>
    <row r="2091" spans="1:4">
      <c r="A2091" s="93" t="s">
        <v>7594</v>
      </c>
      <c r="B2091">
        <v>4.2</v>
      </c>
      <c r="C2091">
        <v>1430</v>
      </c>
      <c r="D2091">
        <v>1</v>
      </c>
    </row>
    <row r="2092" spans="1:4">
      <c r="A2092" s="93" t="s">
        <v>7595</v>
      </c>
      <c r="B2092">
        <v>4.1</v>
      </c>
      <c r="C2092">
        <v>1430</v>
      </c>
      <c r="D2092">
        <v>1</v>
      </c>
    </row>
    <row r="2093" spans="1:4">
      <c r="A2093" s="93" t="s">
        <v>7596</v>
      </c>
      <c r="B2093">
        <v>4</v>
      </c>
      <c r="C2093">
        <v>1430</v>
      </c>
      <c r="D2093">
        <v>1</v>
      </c>
    </row>
    <row r="2094" spans="1:4">
      <c r="A2094" s="93" t="s">
        <v>7597</v>
      </c>
      <c r="B2094">
        <v>3.9</v>
      </c>
      <c r="C2094">
        <v>1430</v>
      </c>
      <c r="D2094">
        <v>1</v>
      </c>
    </row>
    <row r="2095" spans="1:4">
      <c r="A2095" s="93" t="s">
        <v>7598</v>
      </c>
      <c r="B2095">
        <v>3.8</v>
      </c>
      <c r="C2095">
        <v>1430</v>
      </c>
      <c r="D2095">
        <v>1</v>
      </c>
    </row>
    <row r="2096" spans="1:4">
      <c r="A2096" s="93" t="s">
        <v>7599</v>
      </c>
      <c r="B2096">
        <v>3.7</v>
      </c>
      <c r="C2096">
        <v>1430</v>
      </c>
      <c r="D2096">
        <v>1</v>
      </c>
    </row>
    <row r="2097" spans="1:4">
      <c r="A2097" s="93" t="s">
        <v>7600</v>
      </c>
      <c r="B2097">
        <v>3.6</v>
      </c>
      <c r="C2097">
        <v>1430</v>
      </c>
      <c r="D2097">
        <v>1</v>
      </c>
    </row>
    <row r="2098" spans="1:4">
      <c r="A2098" s="93" t="s">
        <v>7601</v>
      </c>
      <c r="B2098">
        <v>3.5</v>
      </c>
      <c r="C2098">
        <v>1430</v>
      </c>
      <c r="D2098">
        <v>1</v>
      </c>
    </row>
    <row r="2099" spans="1:4">
      <c r="A2099" s="93" t="s">
        <v>7602</v>
      </c>
      <c r="B2099">
        <v>3.4</v>
      </c>
      <c r="C2099">
        <v>1430</v>
      </c>
      <c r="D2099">
        <v>1</v>
      </c>
    </row>
    <row r="2100" spans="1:4">
      <c r="A2100" s="93" t="s">
        <v>7603</v>
      </c>
      <c r="B2100">
        <v>3.3</v>
      </c>
      <c r="C2100">
        <v>1430</v>
      </c>
      <c r="D2100">
        <v>1</v>
      </c>
    </row>
    <row r="2101" spans="1:4">
      <c r="A2101" s="93" t="s">
        <v>7604</v>
      </c>
      <c r="B2101">
        <v>3.2</v>
      </c>
      <c r="C2101">
        <v>1430</v>
      </c>
      <c r="D2101">
        <v>1</v>
      </c>
    </row>
    <row r="2102" spans="1:4">
      <c r="A2102" s="93" t="s">
        <v>7605</v>
      </c>
      <c r="B2102">
        <v>3.1</v>
      </c>
      <c r="C2102">
        <v>1430</v>
      </c>
      <c r="D2102">
        <v>2</v>
      </c>
    </row>
    <row r="2103" spans="1:4">
      <c r="A2103" s="93" t="s">
        <v>7606</v>
      </c>
      <c r="B2103">
        <v>3</v>
      </c>
      <c r="C2103">
        <v>1430</v>
      </c>
      <c r="D2103">
        <v>2</v>
      </c>
    </row>
    <row r="2104" spans="1:4">
      <c r="A2104" s="93" t="s">
        <v>7607</v>
      </c>
      <c r="B2104">
        <v>2.9</v>
      </c>
      <c r="C2104">
        <v>1430</v>
      </c>
      <c r="D2104">
        <v>2</v>
      </c>
    </row>
    <row r="2105" spans="1:4">
      <c r="A2105" s="93" t="s">
        <v>7608</v>
      </c>
      <c r="B2105">
        <v>2.8</v>
      </c>
      <c r="C2105">
        <v>1430</v>
      </c>
      <c r="D2105">
        <v>2</v>
      </c>
    </row>
    <row r="2106" spans="1:4">
      <c r="A2106" s="93" t="s">
        <v>7609</v>
      </c>
      <c r="B2106">
        <v>2.7</v>
      </c>
      <c r="C2106">
        <v>1430</v>
      </c>
      <c r="D2106">
        <v>2</v>
      </c>
    </row>
    <row r="2107" spans="1:4">
      <c r="A2107" s="93" t="s">
        <v>7610</v>
      </c>
      <c r="B2107">
        <v>2.6</v>
      </c>
      <c r="C2107">
        <v>1430</v>
      </c>
      <c r="D2107">
        <v>2</v>
      </c>
    </row>
    <row r="2108" spans="1:4">
      <c r="A2108" s="93" t="s">
        <v>7611</v>
      </c>
      <c r="B2108">
        <v>2.5</v>
      </c>
      <c r="C2108">
        <v>1430</v>
      </c>
      <c r="D2108">
        <v>2</v>
      </c>
    </row>
    <row r="2109" spans="1:4">
      <c r="A2109" s="93" t="s">
        <v>7612</v>
      </c>
      <c r="B2109">
        <v>2.4</v>
      </c>
      <c r="C2109">
        <v>1430</v>
      </c>
      <c r="D2109">
        <v>5</v>
      </c>
    </row>
    <row r="2110" spans="1:4">
      <c r="A2110" s="93" t="s">
        <v>7613</v>
      </c>
      <c r="B2110">
        <v>2.3</v>
      </c>
      <c r="C2110">
        <v>1430</v>
      </c>
      <c r="D2110">
        <v>5</v>
      </c>
    </row>
    <row r="2111" spans="1:4">
      <c r="A2111" s="93" t="s">
        <v>7614</v>
      </c>
      <c r="B2111">
        <v>2.2</v>
      </c>
      <c r="C2111">
        <v>1430</v>
      </c>
      <c r="D2111">
        <v>5</v>
      </c>
    </row>
    <row r="2112" spans="1:4">
      <c r="A2112" s="93" t="s">
        <v>7615</v>
      </c>
      <c r="B2112">
        <v>2.1</v>
      </c>
      <c r="C2112">
        <v>1430</v>
      </c>
      <c r="D2112">
        <v>5</v>
      </c>
    </row>
    <row r="2113" spans="1:4">
      <c r="A2113" s="93" t="s">
        <v>7616</v>
      </c>
      <c r="B2113">
        <v>2</v>
      </c>
      <c r="C2113">
        <v>1430</v>
      </c>
      <c r="D2113">
        <v>5</v>
      </c>
    </row>
    <row r="2114" spans="1:4">
      <c r="A2114" s="93" t="s">
        <v>7617</v>
      </c>
      <c r="B2114">
        <v>1.9</v>
      </c>
      <c r="C2114">
        <v>1430</v>
      </c>
      <c r="D2114">
        <v>6</v>
      </c>
    </row>
    <row r="2115" spans="1:4">
      <c r="A2115" s="93" t="s">
        <v>7618</v>
      </c>
      <c r="B2115">
        <v>1.8</v>
      </c>
      <c r="C2115">
        <v>1430</v>
      </c>
      <c r="D2115">
        <v>6</v>
      </c>
    </row>
    <row r="2116" spans="1:4">
      <c r="A2116" s="93" t="s">
        <v>7619</v>
      </c>
      <c r="B2116">
        <v>1.7</v>
      </c>
      <c r="C2116">
        <v>1430</v>
      </c>
      <c r="D2116">
        <v>6</v>
      </c>
    </row>
    <row r="2117" spans="1:4">
      <c r="A2117" s="93" t="s">
        <v>7620</v>
      </c>
      <c r="B2117">
        <v>1.6</v>
      </c>
      <c r="C2117">
        <v>1430</v>
      </c>
      <c r="D2117">
        <v>6</v>
      </c>
    </row>
    <row r="2118" spans="1:4">
      <c r="A2118" s="93" t="s">
        <v>7621</v>
      </c>
      <c r="B2118">
        <v>1.5</v>
      </c>
      <c r="C2118">
        <v>1430</v>
      </c>
      <c r="D2118">
        <v>6</v>
      </c>
    </row>
    <row r="2119" spans="1:4">
      <c r="A2119" s="93" t="s">
        <v>7622</v>
      </c>
      <c r="B2119">
        <v>4.3</v>
      </c>
      <c r="C2119">
        <v>1440</v>
      </c>
      <c r="D2119">
        <v>1</v>
      </c>
    </row>
    <row r="2120" spans="1:4">
      <c r="A2120" s="93" t="s">
        <v>7623</v>
      </c>
      <c r="B2120">
        <v>4.2</v>
      </c>
      <c r="C2120">
        <v>1440</v>
      </c>
      <c r="D2120">
        <v>1</v>
      </c>
    </row>
    <row r="2121" spans="1:4">
      <c r="A2121" s="93" t="s">
        <v>7624</v>
      </c>
      <c r="B2121">
        <v>4.1</v>
      </c>
      <c r="C2121">
        <v>1440</v>
      </c>
      <c r="D2121">
        <v>1</v>
      </c>
    </row>
    <row r="2122" spans="1:4">
      <c r="A2122" s="93" t="s">
        <v>7625</v>
      </c>
      <c r="B2122">
        <v>4</v>
      </c>
      <c r="C2122">
        <v>1440</v>
      </c>
      <c r="D2122">
        <v>1</v>
      </c>
    </row>
    <row r="2123" spans="1:4">
      <c r="A2123" s="93" t="s">
        <v>7626</v>
      </c>
      <c r="B2123">
        <v>3.9</v>
      </c>
      <c r="C2123">
        <v>1440</v>
      </c>
      <c r="D2123">
        <v>1</v>
      </c>
    </row>
    <row r="2124" spans="1:4">
      <c r="A2124" s="93" t="s">
        <v>7627</v>
      </c>
      <c r="B2124">
        <v>3.8</v>
      </c>
      <c r="C2124">
        <v>1440</v>
      </c>
      <c r="D2124">
        <v>1</v>
      </c>
    </row>
    <row r="2125" spans="1:4">
      <c r="A2125" s="93" t="s">
        <v>7628</v>
      </c>
      <c r="B2125">
        <v>3.7</v>
      </c>
      <c r="C2125">
        <v>1440</v>
      </c>
      <c r="D2125">
        <v>1</v>
      </c>
    </row>
    <row r="2126" spans="1:4">
      <c r="A2126" s="93" t="s">
        <v>7629</v>
      </c>
      <c r="B2126">
        <v>3.6</v>
      </c>
      <c r="C2126">
        <v>1440</v>
      </c>
      <c r="D2126">
        <v>1</v>
      </c>
    </row>
    <row r="2127" spans="1:4">
      <c r="A2127" s="93" t="s">
        <v>7630</v>
      </c>
      <c r="B2127">
        <v>3.5</v>
      </c>
      <c r="C2127">
        <v>1440</v>
      </c>
      <c r="D2127">
        <v>1</v>
      </c>
    </row>
    <row r="2128" spans="1:4">
      <c r="A2128" s="93" t="s">
        <v>7631</v>
      </c>
      <c r="B2128">
        <v>3.4</v>
      </c>
      <c r="C2128">
        <v>1440</v>
      </c>
      <c r="D2128">
        <v>1</v>
      </c>
    </row>
    <row r="2129" spans="1:4">
      <c r="A2129" s="93" t="s">
        <v>7632</v>
      </c>
      <c r="B2129">
        <v>3.3</v>
      </c>
      <c r="C2129">
        <v>1440</v>
      </c>
      <c r="D2129">
        <v>1</v>
      </c>
    </row>
    <row r="2130" spans="1:4">
      <c r="A2130" s="93" t="s">
        <v>7633</v>
      </c>
      <c r="B2130">
        <v>3.2</v>
      </c>
      <c r="C2130">
        <v>1440</v>
      </c>
      <c r="D2130">
        <v>1</v>
      </c>
    </row>
    <row r="2131" spans="1:4">
      <c r="A2131" s="93" t="s">
        <v>7634</v>
      </c>
      <c r="B2131">
        <v>3.1</v>
      </c>
      <c r="C2131">
        <v>1440</v>
      </c>
      <c r="D2131">
        <v>2</v>
      </c>
    </row>
    <row r="2132" spans="1:4">
      <c r="A2132" s="93" t="s">
        <v>7635</v>
      </c>
      <c r="B2132">
        <v>3</v>
      </c>
      <c r="C2132">
        <v>1440</v>
      </c>
      <c r="D2132">
        <v>2</v>
      </c>
    </row>
    <row r="2133" spans="1:4">
      <c r="A2133" s="93" t="s">
        <v>7636</v>
      </c>
      <c r="B2133">
        <v>2.9</v>
      </c>
      <c r="C2133">
        <v>1440</v>
      </c>
      <c r="D2133">
        <v>2</v>
      </c>
    </row>
    <row r="2134" spans="1:4">
      <c r="A2134" s="93" t="s">
        <v>7637</v>
      </c>
      <c r="B2134">
        <v>2.8</v>
      </c>
      <c r="C2134">
        <v>1440</v>
      </c>
      <c r="D2134">
        <v>2</v>
      </c>
    </row>
    <row r="2135" spans="1:4">
      <c r="A2135" s="93" t="s">
        <v>7638</v>
      </c>
      <c r="B2135">
        <v>2.7</v>
      </c>
      <c r="C2135">
        <v>1440</v>
      </c>
      <c r="D2135">
        <v>2</v>
      </c>
    </row>
    <row r="2136" spans="1:4">
      <c r="A2136" s="93" t="s">
        <v>7639</v>
      </c>
      <c r="B2136">
        <v>2.6</v>
      </c>
      <c r="C2136">
        <v>1440</v>
      </c>
      <c r="D2136">
        <v>2</v>
      </c>
    </row>
    <row r="2137" spans="1:4">
      <c r="A2137" s="93" t="s">
        <v>7640</v>
      </c>
      <c r="B2137">
        <v>2.5</v>
      </c>
      <c r="C2137">
        <v>1440</v>
      </c>
      <c r="D2137">
        <v>2</v>
      </c>
    </row>
    <row r="2138" spans="1:4">
      <c r="A2138" s="93" t="s">
        <v>7641</v>
      </c>
      <c r="B2138">
        <v>2.4</v>
      </c>
      <c r="C2138">
        <v>1440</v>
      </c>
      <c r="D2138">
        <v>5</v>
      </c>
    </row>
    <row r="2139" spans="1:4">
      <c r="A2139" s="93" t="s">
        <v>7642</v>
      </c>
      <c r="B2139">
        <v>2.3</v>
      </c>
      <c r="C2139">
        <v>1440</v>
      </c>
      <c r="D2139">
        <v>5</v>
      </c>
    </row>
    <row r="2140" spans="1:4">
      <c r="A2140" s="93" t="s">
        <v>7643</v>
      </c>
      <c r="B2140">
        <v>2.2</v>
      </c>
      <c r="C2140">
        <v>1440</v>
      </c>
      <c r="D2140">
        <v>5</v>
      </c>
    </row>
    <row r="2141" spans="1:4">
      <c r="A2141" s="93" t="s">
        <v>7644</v>
      </c>
      <c r="B2141">
        <v>2.1</v>
      </c>
      <c r="C2141">
        <v>1440</v>
      </c>
      <c r="D2141">
        <v>5</v>
      </c>
    </row>
    <row r="2142" spans="1:4">
      <c r="A2142" s="93" t="s">
        <v>7645</v>
      </c>
      <c r="B2142">
        <v>2</v>
      </c>
      <c r="C2142">
        <v>1440</v>
      </c>
      <c r="D2142">
        <v>5</v>
      </c>
    </row>
    <row r="2143" spans="1:4">
      <c r="A2143" s="93" t="s">
        <v>7646</v>
      </c>
      <c r="B2143">
        <v>1.9</v>
      </c>
      <c r="C2143">
        <v>1440</v>
      </c>
      <c r="D2143">
        <v>6</v>
      </c>
    </row>
    <row r="2144" spans="1:4">
      <c r="A2144" s="93" t="s">
        <v>7647</v>
      </c>
      <c r="B2144">
        <v>1.8</v>
      </c>
      <c r="C2144">
        <v>1440</v>
      </c>
      <c r="D2144">
        <v>6</v>
      </c>
    </row>
    <row r="2145" spans="1:4">
      <c r="A2145" s="93" t="s">
        <v>7648</v>
      </c>
      <c r="B2145">
        <v>1.7</v>
      </c>
      <c r="C2145">
        <v>1440</v>
      </c>
      <c r="D2145">
        <v>6</v>
      </c>
    </row>
    <row r="2146" spans="1:4">
      <c r="A2146" s="93" t="s">
        <v>7649</v>
      </c>
      <c r="B2146">
        <v>1.6</v>
      </c>
      <c r="C2146">
        <v>1440</v>
      </c>
      <c r="D2146">
        <v>6</v>
      </c>
    </row>
    <row r="2147" spans="1:4">
      <c r="A2147" s="93" t="s">
        <v>7650</v>
      </c>
      <c r="B2147">
        <v>1.5</v>
      </c>
      <c r="C2147">
        <v>1440</v>
      </c>
      <c r="D2147">
        <v>6</v>
      </c>
    </row>
    <row r="2148" spans="1:4">
      <c r="A2148" s="93" t="s">
        <v>7651</v>
      </c>
      <c r="B2148">
        <v>4.3</v>
      </c>
      <c r="C2148">
        <v>1450</v>
      </c>
      <c r="D2148">
        <v>1</v>
      </c>
    </row>
    <row r="2149" spans="1:4">
      <c r="A2149" s="93" t="s">
        <v>7652</v>
      </c>
      <c r="B2149">
        <v>4.2</v>
      </c>
      <c r="C2149">
        <v>1450</v>
      </c>
      <c r="D2149">
        <v>1</v>
      </c>
    </row>
    <row r="2150" spans="1:4">
      <c r="A2150" s="93" t="s">
        <v>7653</v>
      </c>
      <c r="B2150">
        <v>4.1</v>
      </c>
      <c r="C2150">
        <v>1450</v>
      </c>
      <c r="D2150">
        <v>1</v>
      </c>
    </row>
    <row r="2151" spans="1:4">
      <c r="A2151" s="93" t="s">
        <v>7654</v>
      </c>
      <c r="B2151">
        <v>4</v>
      </c>
      <c r="C2151">
        <v>1450</v>
      </c>
      <c r="D2151">
        <v>1</v>
      </c>
    </row>
    <row r="2152" spans="1:4">
      <c r="A2152" s="93" t="s">
        <v>7655</v>
      </c>
      <c r="B2152">
        <v>3.9</v>
      </c>
      <c r="C2152">
        <v>1450</v>
      </c>
      <c r="D2152">
        <v>1</v>
      </c>
    </row>
    <row r="2153" spans="1:4">
      <c r="A2153" s="93" t="s">
        <v>7656</v>
      </c>
      <c r="B2153">
        <v>3.8</v>
      </c>
      <c r="C2153">
        <v>1450</v>
      </c>
      <c r="D2153">
        <v>1</v>
      </c>
    </row>
    <row r="2154" spans="1:4">
      <c r="A2154" s="93" t="s">
        <v>7657</v>
      </c>
      <c r="B2154">
        <v>3.7</v>
      </c>
      <c r="C2154">
        <v>1450</v>
      </c>
      <c r="D2154">
        <v>1</v>
      </c>
    </row>
    <row r="2155" spans="1:4">
      <c r="A2155" s="93" t="s">
        <v>7658</v>
      </c>
      <c r="B2155">
        <v>3.6</v>
      </c>
      <c r="C2155">
        <v>1450</v>
      </c>
      <c r="D2155">
        <v>1</v>
      </c>
    </row>
    <row r="2156" spans="1:4">
      <c r="A2156" s="93" t="s">
        <v>7659</v>
      </c>
      <c r="B2156">
        <v>3.5</v>
      </c>
      <c r="C2156">
        <v>1450</v>
      </c>
      <c r="D2156">
        <v>1</v>
      </c>
    </row>
    <row r="2157" spans="1:4">
      <c r="A2157" s="93" t="s">
        <v>7660</v>
      </c>
      <c r="B2157">
        <v>3.4</v>
      </c>
      <c r="C2157">
        <v>1450</v>
      </c>
      <c r="D2157">
        <v>1</v>
      </c>
    </row>
    <row r="2158" spans="1:4">
      <c r="A2158" s="93" t="s">
        <v>7661</v>
      </c>
      <c r="B2158">
        <v>3.3</v>
      </c>
      <c r="C2158">
        <v>1450</v>
      </c>
      <c r="D2158">
        <v>1</v>
      </c>
    </row>
    <row r="2159" spans="1:4">
      <c r="A2159" s="93" t="s">
        <v>7662</v>
      </c>
      <c r="B2159">
        <v>3.2</v>
      </c>
      <c r="C2159">
        <v>1450</v>
      </c>
      <c r="D2159">
        <v>1</v>
      </c>
    </row>
    <row r="2160" spans="1:4">
      <c r="A2160" s="93" t="s">
        <v>7663</v>
      </c>
      <c r="B2160">
        <v>3.1</v>
      </c>
      <c r="C2160">
        <v>1450</v>
      </c>
      <c r="D2160">
        <v>1</v>
      </c>
    </row>
    <row r="2161" spans="1:4">
      <c r="A2161" s="93" t="s">
        <v>7664</v>
      </c>
      <c r="B2161">
        <v>3</v>
      </c>
      <c r="C2161">
        <v>1450</v>
      </c>
      <c r="D2161">
        <v>1</v>
      </c>
    </row>
    <row r="2162" spans="1:4">
      <c r="A2162" s="93" t="s">
        <v>7665</v>
      </c>
      <c r="B2162">
        <v>2.9</v>
      </c>
      <c r="C2162">
        <v>1450</v>
      </c>
      <c r="D2162">
        <v>2</v>
      </c>
    </row>
    <row r="2163" spans="1:4">
      <c r="A2163" s="93" t="s">
        <v>7666</v>
      </c>
      <c r="B2163">
        <v>2.8</v>
      </c>
      <c r="C2163">
        <v>1450</v>
      </c>
      <c r="D2163">
        <v>2</v>
      </c>
    </row>
    <row r="2164" spans="1:4">
      <c r="A2164" s="93" t="s">
        <v>7667</v>
      </c>
      <c r="B2164">
        <v>2.7</v>
      </c>
      <c r="C2164">
        <v>1450</v>
      </c>
      <c r="D2164">
        <v>2</v>
      </c>
    </row>
    <row r="2165" spans="1:4">
      <c r="A2165" s="93" t="s">
        <v>7668</v>
      </c>
      <c r="B2165">
        <v>2.6</v>
      </c>
      <c r="C2165">
        <v>1450</v>
      </c>
      <c r="D2165">
        <v>2</v>
      </c>
    </row>
    <row r="2166" spans="1:4">
      <c r="A2166" s="93" t="s">
        <v>7669</v>
      </c>
      <c r="B2166">
        <v>2.5</v>
      </c>
      <c r="C2166">
        <v>1450</v>
      </c>
      <c r="D2166">
        <v>2</v>
      </c>
    </row>
    <row r="2167" spans="1:4">
      <c r="A2167" s="93" t="s">
        <v>7670</v>
      </c>
      <c r="B2167">
        <v>2.4</v>
      </c>
      <c r="C2167">
        <v>1450</v>
      </c>
      <c r="D2167">
        <v>2</v>
      </c>
    </row>
    <row r="2168" spans="1:4">
      <c r="A2168" s="93" t="s">
        <v>7671</v>
      </c>
      <c r="B2168">
        <v>2.3</v>
      </c>
      <c r="C2168">
        <v>1450</v>
      </c>
      <c r="D2168">
        <v>5</v>
      </c>
    </row>
    <row r="2169" spans="1:4">
      <c r="A2169" s="93" t="s">
        <v>7672</v>
      </c>
      <c r="B2169">
        <v>2.2</v>
      </c>
      <c r="C2169">
        <v>1450</v>
      </c>
      <c r="D2169">
        <v>5</v>
      </c>
    </row>
    <row r="2170" spans="1:4">
      <c r="A2170" s="93" t="s">
        <v>7673</v>
      </c>
      <c r="B2170">
        <v>2.1</v>
      </c>
      <c r="C2170">
        <v>1450</v>
      </c>
      <c r="D2170">
        <v>5</v>
      </c>
    </row>
    <row r="2171" spans="1:4">
      <c r="A2171" s="93" t="s">
        <v>7674</v>
      </c>
      <c r="B2171">
        <v>2</v>
      </c>
      <c r="C2171">
        <v>1450</v>
      </c>
      <c r="D2171">
        <v>5</v>
      </c>
    </row>
    <row r="2172" spans="1:4">
      <c r="A2172" s="93" t="s">
        <v>7675</v>
      </c>
      <c r="B2172">
        <v>1.9</v>
      </c>
      <c r="C2172">
        <v>1450</v>
      </c>
      <c r="D2172">
        <v>6</v>
      </c>
    </row>
    <row r="2173" spans="1:4">
      <c r="A2173" s="93" t="s">
        <v>7676</v>
      </c>
      <c r="B2173">
        <v>1.8</v>
      </c>
      <c r="C2173">
        <v>1450</v>
      </c>
      <c r="D2173">
        <v>6</v>
      </c>
    </row>
    <row r="2174" spans="1:4">
      <c r="A2174" s="93" t="s">
        <v>7677</v>
      </c>
      <c r="B2174">
        <v>1.7</v>
      </c>
      <c r="C2174">
        <v>1450</v>
      </c>
      <c r="D2174">
        <v>6</v>
      </c>
    </row>
    <row r="2175" spans="1:4">
      <c r="A2175" s="93" t="s">
        <v>7678</v>
      </c>
      <c r="B2175">
        <v>1.6</v>
      </c>
      <c r="C2175">
        <v>1450</v>
      </c>
      <c r="D2175">
        <v>6</v>
      </c>
    </row>
    <row r="2176" spans="1:4">
      <c r="A2176" s="93" t="s">
        <v>7679</v>
      </c>
      <c r="B2176">
        <v>1.5</v>
      </c>
      <c r="C2176">
        <v>1450</v>
      </c>
      <c r="D2176">
        <v>6</v>
      </c>
    </row>
    <row r="2177" spans="1:4">
      <c r="A2177" s="93" t="s">
        <v>7680</v>
      </c>
      <c r="B2177">
        <v>4.3</v>
      </c>
      <c r="C2177">
        <v>1460</v>
      </c>
      <c r="D2177">
        <v>1</v>
      </c>
    </row>
    <row r="2178" spans="1:4">
      <c r="A2178" s="93" t="s">
        <v>7681</v>
      </c>
      <c r="B2178">
        <v>4.2</v>
      </c>
      <c r="C2178">
        <v>1460</v>
      </c>
      <c r="D2178">
        <v>1</v>
      </c>
    </row>
    <row r="2179" spans="1:4">
      <c r="A2179" s="93" t="s">
        <v>7682</v>
      </c>
      <c r="B2179">
        <v>4.1</v>
      </c>
      <c r="C2179">
        <v>1460</v>
      </c>
      <c r="D2179">
        <v>1</v>
      </c>
    </row>
    <row r="2180" spans="1:4">
      <c r="A2180" s="93" t="s">
        <v>7683</v>
      </c>
      <c r="B2180">
        <v>4</v>
      </c>
      <c r="C2180">
        <v>1460</v>
      </c>
      <c r="D2180">
        <v>1</v>
      </c>
    </row>
    <row r="2181" spans="1:4">
      <c r="A2181" s="93" t="s">
        <v>7684</v>
      </c>
      <c r="B2181">
        <v>3.9</v>
      </c>
      <c r="C2181">
        <v>1460</v>
      </c>
      <c r="D2181">
        <v>1</v>
      </c>
    </row>
    <row r="2182" spans="1:4">
      <c r="A2182" s="93" t="s">
        <v>7685</v>
      </c>
      <c r="B2182">
        <v>3.8</v>
      </c>
      <c r="C2182">
        <v>1460</v>
      </c>
      <c r="D2182">
        <v>1</v>
      </c>
    </row>
    <row r="2183" spans="1:4">
      <c r="A2183" s="93" t="s">
        <v>7686</v>
      </c>
      <c r="B2183">
        <v>3.7</v>
      </c>
      <c r="C2183">
        <v>1460</v>
      </c>
      <c r="D2183">
        <v>1</v>
      </c>
    </row>
    <row r="2184" spans="1:4">
      <c r="A2184" s="93" t="s">
        <v>7687</v>
      </c>
      <c r="B2184">
        <v>3.6</v>
      </c>
      <c r="C2184">
        <v>1460</v>
      </c>
      <c r="D2184">
        <v>1</v>
      </c>
    </row>
    <row r="2185" spans="1:4">
      <c r="A2185" s="93" t="s">
        <v>7688</v>
      </c>
      <c r="B2185">
        <v>3.5</v>
      </c>
      <c r="C2185">
        <v>1460</v>
      </c>
      <c r="D2185">
        <v>1</v>
      </c>
    </row>
    <row r="2186" spans="1:4">
      <c r="A2186" s="93" t="s">
        <v>7689</v>
      </c>
      <c r="B2186">
        <v>3.4</v>
      </c>
      <c r="C2186">
        <v>1460</v>
      </c>
      <c r="D2186">
        <v>1</v>
      </c>
    </row>
    <row r="2187" spans="1:4">
      <c r="A2187" s="93" t="s">
        <v>7690</v>
      </c>
      <c r="B2187">
        <v>3.3</v>
      </c>
      <c r="C2187">
        <v>1460</v>
      </c>
      <c r="D2187">
        <v>1</v>
      </c>
    </row>
    <row r="2188" spans="1:4">
      <c r="A2188" s="93" t="s">
        <v>7691</v>
      </c>
      <c r="B2188">
        <v>3.2</v>
      </c>
      <c r="C2188">
        <v>1460</v>
      </c>
      <c r="D2188">
        <v>1</v>
      </c>
    </row>
    <row r="2189" spans="1:4">
      <c r="A2189" s="93" t="s">
        <v>7692</v>
      </c>
      <c r="B2189">
        <v>3.1</v>
      </c>
      <c r="C2189">
        <v>1460</v>
      </c>
      <c r="D2189">
        <v>1</v>
      </c>
    </row>
    <row r="2190" spans="1:4">
      <c r="A2190" s="93" t="s">
        <v>7693</v>
      </c>
      <c r="B2190">
        <v>3</v>
      </c>
      <c r="C2190">
        <v>1460</v>
      </c>
      <c r="D2190">
        <v>1</v>
      </c>
    </row>
    <row r="2191" spans="1:4">
      <c r="A2191" s="93" t="s">
        <v>7694</v>
      </c>
      <c r="B2191">
        <v>2.9</v>
      </c>
      <c r="C2191">
        <v>1460</v>
      </c>
      <c r="D2191">
        <v>2</v>
      </c>
    </row>
    <row r="2192" spans="1:4">
      <c r="A2192" s="93" t="s">
        <v>7695</v>
      </c>
      <c r="B2192">
        <v>2.8</v>
      </c>
      <c r="C2192">
        <v>1460</v>
      </c>
      <c r="D2192">
        <v>2</v>
      </c>
    </row>
    <row r="2193" spans="1:4">
      <c r="A2193" s="93" t="s">
        <v>7696</v>
      </c>
      <c r="B2193">
        <v>2.7</v>
      </c>
      <c r="C2193">
        <v>1460</v>
      </c>
      <c r="D2193">
        <v>2</v>
      </c>
    </row>
    <row r="2194" spans="1:4">
      <c r="A2194" s="93" t="s">
        <v>7697</v>
      </c>
      <c r="B2194">
        <v>2.6</v>
      </c>
      <c r="C2194">
        <v>1460</v>
      </c>
      <c r="D2194">
        <v>2</v>
      </c>
    </row>
    <row r="2195" spans="1:4">
      <c r="A2195" s="93" t="s">
        <v>7698</v>
      </c>
      <c r="B2195">
        <v>2.5</v>
      </c>
      <c r="C2195">
        <v>1460</v>
      </c>
      <c r="D2195">
        <v>2</v>
      </c>
    </row>
    <row r="2196" spans="1:4">
      <c r="A2196" s="93" t="s">
        <v>7699</v>
      </c>
      <c r="B2196">
        <v>2.4</v>
      </c>
      <c r="C2196">
        <v>1460</v>
      </c>
      <c r="D2196">
        <v>2</v>
      </c>
    </row>
    <row r="2197" spans="1:4">
      <c r="A2197" s="93" t="s">
        <v>7700</v>
      </c>
      <c r="B2197">
        <v>2.3</v>
      </c>
      <c r="C2197">
        <v>1460</v>
      </c>
      <c r="D2197">
        <v>5</v>
      </c>
    </row>
    <row r="2198" spans="1:4">
      <c r="A2198" s="93" t="s">
        <v>7701</v>
      </c>
      <c r="B2198">
        <v>2.2</v>
      </c>
      <c r="C2198">
        <v>1460</v>
      </c>
      <c r="D2198">
        <v>5</v>
      </c>
    </row>
    <row r="2199" spans="1:4">
      <c r="A2199" s="93" t="s">
        <v>7702</v>
      </c>
      <c r="B2199">
        <v>2.1</v>
      </c>
      <c r="C2199">
        <v>1460</v>
      </c>
      <c r="D2199">
        <v>5</v>
      </c>
    </row>
    <row r="2200" spans="1:4">
      <c r="A2200" s="93" t="s">
        <v>7703</v>
      </c>
      <c r="B2200">
        <v>2</v>
      </c>
      <c r="C2200">
        <v>1460</v>
      </c>
      <c r="D2200">
        <v>5</v>
      </c>
    </row>
    <row r="2201" spans="1:4">
      <c r="A2201" s="93" t="s">
        <v>7704</v>
      </c>
      <c r="B2201">
        <v>1.9</v>
      </c>
      <c r="C2201">
        <v>1460</v>
      </c>
      <c r="D2201">
        <v>6</v>
      </c>
    </row>
    <row r="2202" spans="1:4">
      <c r="A2202" s="93" t="s">
        <v>7705</v>
      </c>
      <c r="B2202">
        <v>1.8</v>
      </c>
      <c r="C2202">
        <v>1460</v>
      </c>
      <c r="D2202">
        <v>6</v>
      </c>
    </row>
    <row r="2203" spans="1:4">
      <c r="A2203" s="93" t="s">
        <v>7706</v>
      </c>
      <c r="B2203">
        <v>1.7</v>
      </c>
      <c r="C2203">
        <v>1460</v>
      </c>
      <c r="D2203">
        <v>6</v>
      </c>
    </row>
    <row r="2204" spans="1:4">
      <c r="A2204" s="93" t="s">
        <v>7707</v>
      </c>
      <c r="B2204">
        <v>1.6</v>
      </c>
      <c r="C2204">
        <v>1460</v>
      </c>
      <c r="D2204">
        <v>6</v>
      </c>
    </row>
    <row r="2205" spans="1:4">
      <c r="A2205" s="93" t="s">
        <v>7708</v>
      </c>
      <c r="B2205">
        <v>1.5</v>
      </c>
      <c r="C2205">
        <v>1460</v>
      </c>
      <c r="D2205">
        <v>6</v>
      </c>
    </row>
    <row r="2206" spans="1:4">
      <c r="A2206" s="93" t="s">
        <v>7709</v>
      </c>
      <c r="B2206">
        <v>4.3</v>
      </c>
      <c r="C2206">
        <v>1470</v>
      </c>
      <c r="D2206">
        <v>1</v>
      </c>
    </row>
    <row r="2207" spans="1:4">
      <c r="A2207" s="93" t="s">
        <v>7710</v>
      </c>
      <c r="B2207">
        <v>4.2</v>
      </c>
      <c r="C2207">
        <v>1470</v>
      </c>
      <c r="D2207">
        <v>1</v>
      </c>
    </row>
    <row r="2208" spans="1:4">
      <c r="A2208" s="93" t="s">
        <v>7711</v>
      </c>
      <c r="B2208">
        <v>4.1</v>
      </c>
      <c r="C2208">
        <v>1470</v>
      </c>
      <c r="D2208">
        <v>1</v>
      </c>
    </row>
    <row r="2209" spans="1:4">
      <c r="A2209" s="93" t="s">
        <v>7712</v>
      </c>
      <c r="B2209">
        <v>4</v>
      </c>
      <c r="C2209">
        <v>1470</v>
      </c>
      <c r="D2209">
        <v>1</v>
      </c>
    </row>
    <row r="2210" spans="1:4">
      <c r="A2210" s="93" t="s">
        <v>7713</v>
      </c>
      <c r="B2210">
        <v>3.9</v>
      </c>
      <c r="C2210">
        <v>1470</v>
      </c>
      <c r="D2210">
        <v>1</v>
      </c>
    </row>
    <row r="2211" spans="1:4">
      <c r="A2211" s="93" t="s">
        <v>7714</v>
      </c>
      <c r="B2211">
        <v>3.8</v>
      </c>
      <c r="C2211">
        <v>1470</v>
      </c>
      <c r="D2211">
        <v>1</v>
      </c>
    </row>
    <row r="2212" spans="1:4">
      <c r="A2212" s="93" t="s">
        <v>7715</v>
      </c>
      <c r="B2212">
        <v>3.7</v>
      </c>
      <c r="C2212">
        <v>1470</v>
      </c>
      <c r="D2212">
        <v>1</v>
      </c>
    </row>
    <row r="2213" spans="1:4">
      <c r="A2213" s="93" t="s">
        <v>7716</v>
      </c>
      <c r="B2213">
        <v>3.6</v>
      </c>
      <c r="C2213">
        <v>1470</v>
      </c>
      <c r="D2213">
        <v>1</v>
      </c>
    </row>
    <row r="2214" spans="1:4">
      <c r="A2214" s="93" t="s">
        <v>7717</v>
      </c>
      <c r="B2214">
        <v>3.5</v>
      </c>
      <c r="C2214">
        <v>1470</v>
      </c>
      <c r="D2214">
        <v>1</v>
      </c>
    </row>
    <row r="2215" spans="1:4">
      <c r="A2215" s="93" t="s">
        <v>7718</v>
      </c>
      <c r="B2215">
        <v>3.4</v>
      </c>
      <c r="C2215">
        <v>1470</v>
      </c>
      <c r="D2215">
        <v>1</v>
      </c>
    </row>
    <row r="2216" spans="1:4">
      <c r="A2216" s="93" t="s">
        <v>7719</v>
      </c>
      <c r="B2216">
        <v>3.3</v>
      </c>
      <c r="C2216">
        <v>1470</v>
      </c>
      <c r="D2216">
        <v>1</v>
      </c>
    </row>
    <row r="2217" spans="1:4">
      <c r="A2217" s="93" t="s">
        <v>7720</v>
      </c>
      <c r="B2217">
        <v>3.2</v>
      </c>
      <c r="C2217">
        <v>1470</v>
      </c>
      <c r="D2217">
        <v>1</v>
      </c>
    </row>
    <row r="2218" spans="1:4">
      <c r="A2218" s="93" t="s">
        <v>7721</v>
      </c>
      <c r="B2218">
        <v>3.1</v>
      </c>
      <c r="C2218">
        <v>1470</v>
      </c>
      <c r="D2218">
        <v>1</v>
      </c>
    </row>
    <row r="2219" spans="1:4">
      <c r="A2219" s="93" t="s">
        <v>7722</v>
      </c>
      <c r="B2219">
        <v>3</v>
      </c>
      <c r="C2219">
        <v>1470</v>
      </c>
      <c r="D2219">
        <v>1</v>
      </c>
    </row>
    <row r="2220" spans="1:4">
      <c r="A2220" s="93" t="s">
        <v>7723</v>
      </c>
      <c r="B2220">
        <v>2.9</v>
      </c>
      <c r="C2220">
        <v>1470</v>
      </c>
      <c r="D2220">
        <v>2</v>
      </c>
    </row>
    <row r="2221" spans="1:4">
      <c r="A2221" s="93" t="s">
        <v>7724</v>
      </c>
      <c r="B2221">
        <v>2.8</v>
      </c>
      <c r="C2221">
        <v>1470</v>
      </c>
      <c r="D2221">
        <v>2</v>
      </c>
    </row>
    <row r="2222" spans="1:4">
      <c r="A2222" s="93" t="s">
        <v>7725</v>
      </c>
      <c r="B2222">
        <v>2.7</v>
      </c>
      <c r="C2222">
        <v>1470</v>
      </c>
      <c r="D2222">
        <v>2</v>
      </c>
    </row>
    <row r="2223" spans="1:4">
      <c r="A2223" s="93" t="s">
        <v>7726</v>
      </c>
      <c r="B2223">
        <v>2.6</v>
      </c>
      <c r="C2223">
        <v>1470</v>
      </c>
      <c r="D2223">
        <v>2</v>
      </c>
    </row>
    <row r="2224" spans="1:4">
      <c r="A2224" s="93" t="s">
        <v>7727</v>
      </c>
      <c r="B2224">
        <v>2.5</v>
      </c>
      <c r="C2224">
        <v>1470</v>
      </c>
      <c r="D2224">
        <v>2</v>
      </c>
    </row>
    <row r="2225" spans="1:4">
      <c r="A2225" s="93" t="s">
        <v>7728</v>
      </c>
      <c r="B2225">
        <v>2.4</v>
      </c>
      <c r="C2225">
        <v>1470</v>
      </c>
      <c r="D2225">
        <v>2</v>
      </c>
    </row>
    <row r="2226" spans="1:4">
      <c r="A2226" s="93" t="s">
        <v>7729</v>
      </c>
      <c r="B2226">
        <v>2.3</v>
      </c>
      <c r="C2226">
        <v>1470</v>
      </c>
      <c r="D2226">
        <v>5</v>
      </c>
    </row>
    <row r="2227" spans="1:4">
      <c r="A2227" s="93" t="s">
        <v>7730</v>
      </c>
      <c r="B2227">
        <v>2.2</v>
      </c>
      <c r="C2227">
        <v>1470</v>
      </c>
      <c r="D2227">
        <v>5</v>
      </c>
    </row>
    <row r="2228" spans="1:4">
      <c r="A2228" s="93" t="s">
        <v>7731</v>
      </c>
      <c r="B2228">
        <v>2.1</v>
      </c>
      <c r="C2228">
        <v>1470</v>
      </c>
      <c r="D2228">
        <v>5</v>
      </c>
    </row>
    <row r="2229" spans="1:4">
      <c r="A2229" s="93" t="s">
        <v>7732</v>
      </c>
      <c r="B2229">
        <v>2</v>
      </c>
      <c r="C2229">
        <v>1470</v>
      </c>
      <c r="D2229">
        <v>5</v>
      </c>
    </row>
    <row r="2230" spans="1:4">
      <c r="A2230" s="93" t="s">
        <v>7733</v>
      </c>
      <c r="B2230">
        <v>1.9</v>
      </c>
      <c r="C2230">
        <v>1470</v>
      </c>
      <c r="D2230">
        <v>6</v>
      </c>
    </row>
    <row r="2231" spans="1:4">
      <c r="A2231" s="93" t="s">
        <v>7734</v>
      </c>
      <c r="B2231">
        <v>1.8</v>
      </c>
      <c r="C2231">
        <v>1470</v>
      </c>
      <c r="D2231">
        <v>6</v>
      </c>
    </row>
    <row r="2232" spans="1:4">
      <c r="A2232" s="93" t="s">
        <v>7735</v>
      </c>
      <c r="B2232">
        <v>1.7</v>
      </c>
      <c r="C2232">
        <v>1470</v>
      </c>
      <c r="D2232">
        <v>6</v>
      </c>
    </row>
    <row r="2233" spans="1:4">
      <c r="A2233" s="93" t="s">
        <v>7736</v>
      </c>
      <c r="B2233">
        <v>1.6</v>
      </c>
      <c r="C2233">
        <v>1470</v>
      </c>
      <c r="D2233">
        <v>6</v>
      </c>
    </row>
    <row r="2234" spans="1:4">
      <c r="A2234" s="93" t="s">
        <v>7737</v>
      </c>
      <c r="B2234">
        <v>1.5</v>
      </c>
      <c r="C2234">
        <v>1470</v>
      </c>
      <c r="D2234">
        <v>6</v>
      </c>
    </row>
    <row r="2235" spans="1:4">
      <c r="A2235" s="93" t="s">
        <v>7738</v>
      </c>
      <c r="B2235">
        <v>4.3</v>
      </c>
      <c r="C2235">
        <v>1480</v>
      </c>
      <c r="D2235">
        <v>1</v>
      </c>
    </row>
    <row r="2236" spans="1:4">
      <c r="A2236" s="93" t="s">
        <v>7739</v>
      </c>
      <c r="B2236">
        <v>4.2</v>
      </c>
      <c r="C2236">
        <v>1480</v>
      </c>
      <c r="D2236">
        <v>1</v>
      </c>
    </row>
    <row r="2237" spans="1:4">
      <c r="A2237" s="93" t="s">
        <v>7740</v>
      </c>
      <c r="B2237">
        <v>4.1</v>
      </c>
      <c r="C2237">
        <v>1480</v>
      </c>
      <c r="D2237">
        <v>1</v>
      </c>
    </row>
    <row r="2238" spans="1:4">
      <c r="A2238" s="93" t="s">
        <v>7741</v>
      </c>
      <c r="B2238">
        <v>4</v>
      </c>
      <c r="C2238">
        <v>1480</v>
      </c>
      <c r="D2238">
        <v>1</v>
      </c>
    </row>
    <row r="2239" spans="1:4">
      <c r="A2239" s="93" t="s">
        <v>7742</v>
      </c>
      <c r="B2239">
        <v>3.9</v>
      </c>
      <c r="C2239">
        <v>1480</v>
      </c>
      <c r="D2239">
        <v>1</v>
      </c>
    </row>
    <row r="2240" spans="1:4">
      <c r="A2240" s="93" t="s">
        <v>7743</v>
      </c>
      <c r="B2240">
        <v>3.8</v>
      </c>
      <c r="C2240">
        <v>1480</v>
      </c>
      <c r="D2240">
        <v>1</v>
      </c>
    </row>
    <row r="2241" spans="1:4">
      <c r="A2241" s="93" t="s">
        <v>7744</v>
      </c>
      <c r="B2241">
        <v>3.7</v>
      </c>
      <c r="C2241">
        <v>1480</v>
      </c>
      <c r="D2241">
        <v>1</v>
      </c>
    </row>
    <row r="2242" spans="1:4">
      <c r="A2242" s="93" t="s">
        <v>7745</v>
      </c>
      <c r="B2242">
        <v>3.6</v>
      </c>
      <c r="C2242">
        <v>1480</v>
      </c>
      <c r="D2242">
        <v>1</v>
      </c>
    </row>
    <row r="2243" spans="1:4">
      <c r="A2243" s="93" t="s">
        <v>7746</v>
      </c>
      <c r="B2243">
        <v>3.5</v>
      </c>
      <c r="C2243">
        <v>1480</v>
      </c>
      <c r="D2243">
        <v>1</v>
      </c>
    </row>
    <row r="2244" spans="1:4">
      <c r="A2244" s="93" t="s">
        <v>7747</v>
      </c>
      <c r="B2244">
        <v>3.4</v>
      </c>
      <c r="C2244">
        <v>1480</v>
      </c>
      <c r="D2244">
        <v>1</v>
      </c>
    </row>
    <row r="2245" spans="1:4">
      <c r="A2245" s="93" t="s">
        <v>7748</v>
      </c>
      <c r="B2245">
        <v>3.3</v>
      </c>
      <c r="C2245">
        <v>1480</v>
      </c>
      <c r="D2245">
        <v>1</v>
      </c>
    </row>
    <row r="2246" spans="1:4">
      <c r="A2246" s="93" t="s">
        <v>7749</v>
      </c>
      <c r="B2246">
        <v>3.2</v>
      </c>
      <c r="C2246">
        <v>1480</v>
      </c>
      <c r="D2246">
        <v>1</v>
      </c>
    </row>
    <row r="2247" spans="1:4">
      <c r="A2247" s="93" t="s">
        <v>7750</v>
      </c>
      <c r="B2247">
        <v>3.1</v>
      </c>
      <c r="C2247">
        <v>1480</v>
      </c>
      <c r="D2247">
        <v>1</v>
      </c>
    </row>
    <row r="2248" spans="1:4">
      <c r="A2248" s="93" t="s">
        <v>7751</v>
      </c>
      <c r="B2248">
        <v>3</v>
      </c>
      <c r="C2248">
        <v>1480</v>
      </c>
      <c r="D2248">
        <v>1</v>
      </c>
    </row>
    <row r="2249" spans="1:4">
      <c r="A2249" s="93" t="s">
        <v>7752</v>
      </c>
      <c r="B2249">
        <v>2.9</v>
      </c>
      <c r="C2249">
        <v>1480</v>
      </c>
      <c r="D2249">
        <v>2</v>
      </c>
    </row>
    <row r="2250" spans="1:4">
      <c r="A2250" s="93" t="s">
        <v>7753</v>
      </c>
      <c r="B2250">
        <v>2.8</v>
      </c>
      <c r="C2250">
        <v>1480</v>
      </c>
      <c r="D2250">
        <v>2</v>
      </c>
    </row>
    <row r="2251" spans="1:4">
      <c r="A2251" s="93" t="s">
        <v>7754</v>
      </c>
      <c r="B2251">
        <v>2.7</v>
      </c>
      <c r="C2251">
        <v>1480</v>
      </c>
      <c r="D2251">
        <v>2</v>
      </c>
    </row>
    <row r="2252" spans="1:4">
      <c r="A2252" s="93" t="s">
        <v>7755</v>
      </c>
      <c r="B2252">
        <v>2.6</v>
      </c>
      <c r="C2252">
        <v>1480</v>
      </c>
      <c r="D2252">
        <v>2</v>
      </c>
    </row>
    <row r="2253" spans="1:4">
      <c r="A2253" s="93" t="s">
        <v>7756</v>
      </c>
      <c r="B2253">
        <v>2.5</v>
      </c>
      <c r="C2253">
        <v>1480</v>
      </c>
      <c r="D2253">
        <v>2</v>
      </c>
    </row>
    <row r="2254" spans="1:4">
      <c r="A2254" s="93" t="s">
        <v>7757</v>
      </c>
      <c r="B2254">
        <v>2.4</v>
      </c>
      <c r="C2254">
        <v>1480</v>
      </c>
      <c r="D2254">
        <v>2</v>
      </c>
    </row>
    <row r="2255" spans="1:4">
      <c r="A2255" s="93" t="s">
        <v>7758</v>
      </c>
      <c r="B2255">
        <v>2.3</v>
      </c>
      <c r="C2255">
        <v>1480</v>
      </c>
      <c r="D2255">
        <v>5</v>
      </c>
    </row>
    <row r="2256" spans="1:4">
      <c r="A2256" s="93" t="s">
        <v>7759</v>
      </c>
      <c r="B2256">
        <v>2.2</v>
      </c>
      <c r="C2256">
        <v>1480</v>
      </c>
      <c r="D2256">
        <v>5</v>
      </c>
    </row>
    <row r="2257" spans="1:4">
      <c r="A2257" s="93" t="s">
        <v>7760</v>
      </c>
      <c r="B2257">
        <v>2.1</v>
      </c>
      <c r="C2257">
        <v>1480</v>
      </c>
      <c r="D2257">
        <v>5</v>
      </c>
    </row>
    <row r="2258" spans="1:4">
      <c r="A2258" s="93" t="s">
        <v>7761</v>
      </c>
      <c r="B2258">
        <v>2</v>
      </c>
      <c r="C2258">
        <v>1480</v>
      </c>
      <c r="D2258">
        <v>5</v>
      </c>
    </row>
    <row r="2259" spans="1:4">
      <c r="A2259" s="93" t="s">
        <v>7762</v>
      </c>
      <c r="B2259">
        <v>1.9</v>
      </c>
      <c r="C2259">
        <v>1480</v>
      </c>
      <c r="D2259">
        <v>6</v>
      </c>
    </row>
    <row r="2260" spans="1:4">
      <c r="A2260" s="93" t="s">
        <v>7763</v>
      </c>
      <c r="B2260">
        <v>1.8</v>
      </c>
      <c r="C2260">
        <v>1480</v>
      </c>
      <c r="D2260">
        <v>6</v>
      </c>
    </row>
    <row r="2261" spans="1:4">
      <c r="A2261" s="93" t="s">
        <v>7764</v>
      </c>
      <c r="B2261">
        <v>1.7</v>
      </c>
      <c r="C2261">
        <v>1480</v>
      </c>
      <c r="D2261">
        <v>6</v>
      </c>
    </row>
    <row r="2262" spans="1:4">
      <c r="A2262" s="93" t="s">
        <v>7765</v>
      </c>
      <c r="B2262">
        <v>1.6</v>
      </c>
      <c r="C2262">
        <v>1480</v>
      </c>
      <c r="D2262">
        <v>6</v>
      </c>
    </row>
    <row r="2263" spans="1:4">
      <c r="A2263" s="93" t="s">
        <v>7766</v>
      </c>
      <c r="B2263">
        <v>1.5</v>
      </c>
      <c r="C2263">
        <v>1480</v>
      </c>
      <c r="D2263">
        <v>6</v>
      </c>
    </row>
    <row r="2264" spans="1:4">
      <c r="A2264" s="93" t="s">
        <v>7767</v>
      </c>
      <c r="B2264">
        <v>4.3</v>
      </c>
      <c r="C2264">
        <v>1490</v>
      </c>
      <c r="D2264">
        <v>1</v>
      </c>
    </row>
    <row r="2265" spans="1:4">
      <c r="A2265" s="93" t="s">
        <v>7768</v>
      </c>
      <c r="B2265">
        <v>4.2</v>
      </c>
      <c r="C2265">
        <v>1490</v>
      </c>
      <c r="D2265">
        <v>1</v>
      </c>
    </row>
    <row r="2266" spans="1:4">
      <c r="A2266" s="93" t="s">
        <v>7769</v>
      </c>
      <c r="B2266">
        <v>4.1</v>
      </c>
      <c r="C2266">
        <v>1490</v>
      </c>
      <c r="D2266">
        <v>1</v>
      </c>
    </row>
    <row r="2267" spans="1:4">
      <c r="A2267" s="93" t="s">
        <v>7770</v>
      </c>
      <c r="B2267">
        <v>4</v>
      </c>
      <c r="C2267">
        <v>1490</v>
      </c>
      <c r="D2267">
        <v>1</v>
      </c>
    </row>
    <row r="2268" spans="1:4">
      <c r="A2268" s="93" t="s">
        <v>7771</v>
      </c>
      <c r="B2268">
        <v>3.9</v>
      </c>
      <c r="C2268">
        <v>1490</v>
      </c>
      <c r="D2268">
        <v>1</v>
      </c>
    </row>
    <row r="2269" spans="1:4">
      <c r="A2269" s="93" t="s">
        <v>7772</v>
      </c>
      <c r="B2269">
        <v>3.8</v>
      </c>
      <c r="C2269">
        <v>1490</v>
      </c>
      <c r="D2269">
        <v>1</v>
      </c>
    </row>
    <row r="2270" spans="1:4">
      <c r="A2270" s="93" t="s">
        <v>7773</v>
      </c>
      <c r="B2270">
        <v>3.7</v>
      </c>
      <c r="C2270">
        <v>1490</v>
      </c>
      <c r="D2270">
        <v>1</v>
      </c>
    </row>
    <row r="2271" spans="1:4">
      <c r="A2271" s="93" t="s">
        <v>7774</v>
      </c>
      <c r="B2271">
        <v>3.6</v>
      </c>
      <c r="C2271">
        <v>1490</v>
      </c>
      <c r="D2271">
        <v>1</v>
      </c>
    </row>
    <row r="2272" spans="1:4">
      <c r="A2272" s="93" t="s">
        <v>7775</v>
      </c>
      <c r="B2272">
        <v>3.5</v>
      </c>
      <c r="C2272">
        <v>1490</v>
      </c>
      <c r="D2272">
        <v>1</v>
      </c>
    </row>
    <row r="2273" spans="1:4">
      <c r="A2273" s="93" t="s">
        <v>7776</v>
      </c>
      <c r="B2273">
        <v>3.4</v>
      </c>
      <c r="C2273">
        <v>1490</v>
      </c>
      <c r="D2273">
        <v>1</v>
      </c>
    </row>
    <row r="2274" spans="1:4">
      <c r="A2274" s="93" t="s">
        <v>7777</v>
      </c>
      <c r="B2274">
        <v>3.3</v>
      </c>
      <c r="C2274">
        <v>1490</v>
      </c>
      <c r="D2274">
        <v>1</v>
      </c>
    </row>
    <row r="2275" spans="1:4">
      <c r="A2275" s="93" t="s">
        <v>7778</v>
      </c>
      <c r="B2275">
        <v>3.2</v>
      </c>
      <c r="C2275">
        <v>1490</v>
      </c>
      <c r="D2275">
        <v>1</v>
      </c>
    </row>
    <row r="2276" spans="1:4">
      <c r="A2276" s="93" t="s">
        <v>7779</v>
      </c>
      <c r="B2276">
        <v>3.1</v>
      </c>
      <c r="C2276">
        <v>1490</v>
      </c>
      <c r="D2276">
        <v>1</v>
      </c>
    </row>
    <row r="2277" spans="1:4">
      <c r="A2277" s="93" t="s">
        <v>7780</v>
      </c>
      <c r="B2277">
        <v>3</v>
      </c>
      <c r="C2277">
        <v>1490</v>
      </c>
      <c r="D2277">
        <v>1</v>
      </c>
    </row>
    <row r="2278" spans="1:4">
      <c r="A2278" s="93" t="s">
        <v>7781</v>
      </c>
      <c r="B2278">
        <v>2.9</v>
      </c>
      <c r="C2278">
        <v>1490</v>
      </c>
      <c r="D2278">
        <v>1</v>
      </c>
    </row>
    <row r="2279" spans="1:4">
      <c r="A2279" s="93" t="s">
        <v>7782</v>
      </c>
      <c r="B2279">
        <v>2.8</v>
      </c>
      <c r="C2279">
        <v>1490</v>
      </c>
      <c r="D2279">
        <v>1</v>
      </c>
    </row>
    <row r="2280" spans="1:4">
      <c r="A2280" s="93" t="s">
        <v>7783</v>
      </c>
      <c r="B2280">
        <v>2.7</v>
      </c>
      <c r="C2280">
        <v>1490</v>
      </c>
      <c r="D2280">
        <v>2</v>
      </c>
    </row>
    <row r="2281" spans="1:4">
      <c r="A2281" s="93" t="s">
        <v>7784</v>
      </c>
      <c r="B2281">
        <v>2.6</v>
      </c>
      <c r="C2281">
        <v>1490</v>
      </c>
      <c r="D2281">
        <v>2</v>
      </c>
    </row>
    <row r="2282" spans="1:4">
      <c r="A2282" s="93" t="s">
        <v>7785</v>
      </c>
      <c r="B2282">
        <v>2.5</v>
      </c>
      <c r="C2282">
        <v>1490</v>
      </c>
      <c r="D2282">
        <v>2</v>
      </c>
    </row>
    <row r="2283" spans="1:4">
      <c r="A2283" s="93" t="s">
        <v>7786</v>
      </c>
      <c r="B2283">
        <v>2.4</v>
      </c>
      <c r="C2283">
        <v>1490</v>
      </c>
      <c r="D2283">
        <v>2</v>
      </c>
    </row>
    <row r="2284" spans="1:4">
      <c r="A2284" s="93" t="s">
        <v>7787</v>
      </c>
      <c r="B2284">
        <v>2.3</v>
      </c>
      <c r="C2284">
        <v>1490</v>
      </c>
      <c r="D2284">
        <v>2</v>
      </c>
    </row>
    <row r="2285" spans="1:4">
      <c r="A2285" s="93" t="s">
        <v>7788</v>
      </c>
      <c r="B2285">
        <v>2.2</v>
      </c>
      <c r="C2285">
        <v>1490</v>
      </c>
      <c r="D2285">
        <v>5</v>
      </c>
    </row>
    <row r="2286" spans="1:4">
      <c r="A2286" s="93" t="s">
        <v>7789</v>
      </c>
      <c r="B2286">
        <v>2.1</v>
      </c>
      <c r="C2286">
        <v>1490</v>
      </c>
      <c r="D2286">
        <v>5</v>
      </c>
    </row>
    <row r="2287" spans="1:4">
      <c r="A2287" s="93" t="s">
        <v>7790</v>
      </c>
      <c r="B2287">
        <v>2</v>
      </c>
      <c r="C2287">
        <v>1490</v>
      </c>
      <c r="D2287">
        <v>5</v>
      </c>
    </row>
    <row r="2288" spans="1:4">
      <c r="A2288" s="93" t="s">
        <v>7791</v>
      </c>
      <c r="B2288">
        <v>1.9</v>
      </c>
      <c r="C2288">
        <v>1490</v>
      </c>
      <c r="D2288">
        <v>5</v>
      </c>
    </row>
    <row r="2289" spans="1:4">
      <c r="A2289" s="93" t="s">
        <v>7792</v>
      </c>
      <c r="B2289">
        <v>1.8</v>
      </c>
      <c r="C2289">
        <v>1490</v>
      </c>
      <c r="D2289">
        <v>6</v>
      </c>
    </row>
    <row r="2290" spans="1:4">
      <c r="A2290" s="93" t="s">
        <v>7793</v>
      </c>
      <c r="B2290">
        <v>1.7</v>
      </c>
      <c r="C2290">
        <v>1490</v>
      </c>
      <c r="D2290">
        <v>6</v>
      </c>
    </row>
    <row r="2291" spans="1:4">
      <c r="A2291" s="93" t="s">
        <v>7794</v>
      </c>
      <c r="B2291">
        <v>1.6</v>
      </c>
      <c r="C2291">
        <v>1490</v>
      </c>
      <c r="D2291">
        <v>6</v>
      </c>
    </row>
    <row r="2292" spans="1:4">
      <c r="A2292" s="93" t="s">
        <v>7795</v>
      </c>
      <c r="B2292">
        <v>1.5</v>
      </c>
      <c r="C2292">
        <v>1490</v>
      </c>
      <c r="D2292">
        <v>6</v>
      </c>
    </row>
    <row r="2293" spans="1:4">
      <c r="A2293" s="93" t="s">
        <v>7796</v>
      </c>
      <c r="B2293">
        <v>4.3</v>
      </c>
      <c r="C2293">
        <v>1500</v>
      </c>
      <c r="D2293">
        <v>1</v>
      </c>
    </row>
    <row r="2294" spans="1:4">
      <c r="A2294" s="93" t="s">
        <v>7797</v>
      </c>
      <c r="B2294">
        <v>4.2</v>
      </c>
      <c r="C2294">
        <v>1500</v>
      </c>
      <c r="D2294">
        <v>1</v>
      </c>
    </row>
    <row r="2295" spans="1:4">
      <c r="A2295" s="93" t="s">
        <v>7798</v>
      </c>
      <c r="B2295">
        <v>4.1</v>
      </c>
      <c r="C2295">
        <v>1500</v>
      </c>
      <c r="D2295">
        <v>1</v>
      </c>
    </row>
    <row r="2296" spans="1:4">
      <c r="A2296" s="93" t="s">
        <v>7799</v>
      </c>
      <c r="B2296">
        <v>4</v>
      </c>
      <c r="C2296">
        <v>1500</v>
      </c>
      <c r="D2296">
        <v>1</v>
      </c>
    </row>
    <row r="2297" spans="1:4">
      <c r="A2297" s="93" t="s">
        <v>7800</v>
      </c>
      <c r="B2297">
        <v>3.9</v>
      </c>
      <c r="C2297">
        <v>1500</v>
      </c>
      <c r="D2297">
        <v>1</v>
      </c>
    </row>
    <row r="2298" spans="1:4">
      <c r="A2298" s="93" t="s">
        <v>7801</v>
      </c>
      <c r="B2298">
        <v>3.8</v>
      </c>
      <c r="C2298">
        <v>1500</v>
      </c>
      <c r="D2298">
        <v>1</v>
      </c>
    </row>
    <row r="2299" spans="1:4">
      <c r="A2299" s="93" t="s">
        <v>7802</v>
      </c>
      <c r="B2299">
        <v>3.7</v>
      </c>
      <c r="C2299">
        <v>1500</v>
      </c>
      <c r="D2299">
        <v>1</v>
      </c>
    </row>
    <row r="2300" spans="1:4">
      <c r="A2300" s="93" t="s">
        <v>7803</v>
      </c>
      <c r="B2300">
        <v>3.6</v>
      </c>
      <c r="C2300">
        <v>1500</v>
      </c>
      <c r="D2300">
        <v>1</v>
      </c>
    </row>
    <row r="2301" spans="1:4">
      <c r="A2301" s="93" t="s">
        <v>7804</v>
      </c>
      <c r="B2301">
        <v>3.5</v>
      </c>
      <c r="C2301">
        <v>1500</v>
      </c>
      <c r="D2301">
        <v>1</v>
      </c>
    </row>
    <row r="2302" spans="1:4">
      <c r="A2302" s="93" t="s">
        <v>7805</v>
      </c>
      <c r="B2302">
        <v>3.4</v>
      </c>
      <c r="C2302">
        <v>1500</v>
      </c>
      <c r="D2302">
        <v>1</v>
      </c>
    </row>
    <row r="2303" spans="1:4">
      <c r="A2303" s="93" t="s">
        <v>7806</v>
      </c>
      <c r="B2303">
        <v>3.3</v>
      </c>
      <c r="C2303">
        <v>1500</v>
      </c>
      <c r="D2303">
        <v>1</v>
      </c>
    </row>
    <row r="2304" spans="1:4">
      <c r="A2304" s="93" t="s">
        <v>7807</v>
      </c>
      <c r="B2304">
        <v>3.2</v>
      </c>
      <c r="C2304">
        <v>1500</v>
      </c>
      <c r="D2304">
        <v>1</v>
      </c>
    </row>
    <row r="2305" spans="1:4">
      <c r="A2305" s="93" t="s">
        <v>7808</v>
      </c>
      <c r="B2305">
        <v>3.1</v>
      </c>
      <c r="C2305">
        <v>1500</v>
      </c>
      <c r="D2305">
        <v>1</v>
      </c>
    </row>
    <row r="2306" spans="1:4">
      <c r="A2306" s="93" t="s">
        <v>7809</v>
      </c>
      <c r="B2306">
        <v>3</v>
      </c>
      <c r="C2306">
        <v>1500</v>
      </c>
      <c r="D2306">
        <v>1</v>
      </c>
    </row>
    <row r="2307" spans="1:4">
      <c r="A2307" s="93" t="s">
        <v>7810</v>
      </c>
      <c r="B2307">
        <v>2.9</v>
      </c>
      <c r="C2307">
        <v>1500</v>
      </c>
      <c r="D2307">
        <v>1</v>
      </c>
    </row>
    <row r="2308" spans="1:4">
      <c r="A2308" s="93" t="s">
        <v>7811</v>
      </c>
      <c r="B2308">
        <v>2.8</v>
      </c>
      <c r="C2308">
        <v>1500</v>
      </c>
      <c r="D2308">
        <v>1</v>
      </c>
    </row>
    <row r="2309" spans="1:4">
      <c r="A2309" s="93" t="s">
        <v>7812</v>
      </c>
      <c r="B2309">
        <v>2.7</v>
      </c>
      <c r="C2309">
        <v>1500</v>
      </c>
      <c r="D2309">
        <v>2</v>
      </c>
    </row>
    <row r="2310" spans="1:4">
      <c r="A2310" s="93" t="s">
        <v>7813</v>
      </c>
      <c r="B2310">
        <v>2.6</v>
      </c>
      <c r="C2310">
        <v>1500</v>
      </c>
      <c r="D2310">
        <v>2</v>
      </c>
    </row>
    <row r="2311" spans="1:4">
      <c r="A2311" s="93" t="s">
        <v>7814</v>
      </c>
      <c r="B2311">
        <v>2.5</v>
      </c>
      <c r="C2311">
        <v>1500</v>
      </c>
      <c r="D2311">
        <v>2</v>
      </c>
    </row>
    <row r="2312" spans="1:4">
      <c r="A2312" s="93" t="s">
        <v>7815</v>
      </c>
      <c r="B2312">
        <v>2.4</v>
      </c>
      <c r="C2312">
        <v>1500</v>
      </c>
      <c r="D2312">
        <v>2</v>
      </c>
    </row>
    <row r="2313" spans="1:4">
      <c r="A2313" s="93" t="s">
        <v>7816</v>
      </c>
      <c r="B2313">
        <v>2.3</v>
      </c>
      <c r="C2313">
        <v>1500</v>
      </c>
      <c r="D2313">
        <v>2</v>
      </c>
    </row>
    <row r="2314" spans="1:4">
      <c r="A2314" s="93" t="s">
        <v>7817</v>
      </c>
      <c r="B2314">
        <v>2.2</v>
      </c>
      <c r="C2314">
        <v>1500</v>
      </c>
      <c r="D2314">
        <v>5</v>
      </c>
    </row>
    <row r="2315" spans="1:4">
      <c r="A2315" s="93" t="s">
        <v>7818</v>
      </c>
      <c r="B2315">
        <v>2.1</v>
      </c>
      <c r="C2315">
        <v>1500</v>
      </c>
      <c r="D2315">
        <v>5</v>
      </c>
    </row>
    <row r="2316" spans="1:4">
      <c r="A2316" s="93" t="s">
        <v>7819</v>
      </c>
      <c r="B2316">
        <v>2</v>
      </c>
      <c r="C2316">
        <v>1500</v>
      </c>
      <c r="D2316">
        <v>5</v>
      </c>
    </row>
    <row r="2317" spans="1:4">
      <c r="A2317" s="93" t="s">
        <v>7820</v>
      </c>
      <c r="B2317">
        <v>1.9</v>
      </c>
      <c r="C2317">
        <v>1500</v>
      </c>
      <c r="D2317">
        <v>5</v>
      </c>
    </row>
    <row r="2318" spans="1:4">
      <c r="A2318" s="93" t="s">
        <v>7821</v>
      </c>
      <c r="B2318">
        <v>1.8</v>
      </c>
      <c r="C2318">
        <v>1500</v>
      </c>
      <c r="D2318">
        <v>6</v>
      </c>
    </row>
    <row r="2319" spans="1:4">
      <c r="A2319" s="93" t="s">
        <v>7822</v>
      </c>
      <c r="B2319">
        <v>1.7</v>
      </c>
      <c r="C2319">
        <v>1500</v>
      </c>
      <c r="D2319">
        <v>6</v>
      </c>
    </row>
    <row r="2320" spans="1:4">
      <c r="A2320" s="93" t="s">
        <v>7823</v>
      </c>
      <c r="B2320">
        <v>1.6</v>
      </c>
      <c r="C2320">
        <v>1500</v>
      </c>
      <c r="D2320">
        <v>6</v>
      </c>
    </row>
    <row r="2321" spans="1:4">
      <c r="A2321" s="93" t="s">
        <v>7824</v>
      </c>
      <c r="B2321">
        <v>1.5</v>
      </c>
      <c r="C2321">
        <v>1500</v>
      </c>
      <c r="D2321">
        <v>6</v>
      </c>
    </row>
    <row r="2322" spans="1:4">
      <c r="A2322" s="93" t="s">
        <v>7825</v>
      </c>
      <c r="B2322">
        <v>4.3</v>
      </c>
      <c r="C2322">
        <v>1510</v>
      </c>
      <c r="D2322">
        <v>1</v>
      </c>
    </row>
    <row r="2323" spans="1:4">
      <c r="A2323" s="93" t="s">
        <v>7826</v>
      </c>
      <c r="B2323">
        <v>4.2</v>
      </c>
      <c r="C2323">
        <v>1510</v>
      </c>
      <c r="D2323">
        <v>1</v>
      </c>
    </row>
    <row r="2324" spans="1:4">
      <c r="A2324" s="93" t="s">
        <v>7827</v>
      </c>
      <c r="B2324">
        <v>4.1</v>
      </c>
      <c r="C2324">
        <v>1510</v>
      </c>
      <c r="D2324">
        <v>1</v>
      </c>
    </row>
    <row r="2325" spans="1:4">
      <c r="A2325" s="93" t="s">
        <v>7828</v>
      </c>
      <c r="B2325">
        <v>4</v>
      </c>
      <c r="C2325">
        <v>1510</v>
      </c>
      <c r="D2325">
        <v>1</v>
      </c>
    </row>
    <row r="2326" spans="1:4">
      <c r="A2326" s="93" t="s">
        <v>7829</v>
      </c>
      <c r="B2326">
        <v>3.9</v>
      </c>
      <c r="C2326">
        <v>1510</v>
      </c>
      <c r="D2326">
        <v>1</v>
      </c>
    </row>
    <row r="2327" spans="1:4">
      <c r="A2327" s="93" t="s">
        <v>7830</v>
      </c>
      <c r="B2327">
        <v>3.8</v>
      </c>
      <c r="C2327">
        <v>1510</v>
      </c>
      <c r="D2327">
        <v>1</v>
      </c>
    </row>
    <row r="2328" spans="1:4">
      <c r="A2328" s="93" t="s">
        <v>7831</v>
      </c>
      <c r="B2328">
        <v>3.7</v>
      </c>
      <c r="C2328">
        <v>1510</v>
      </c>
      <c r="D2328">
        <v>1</v>
      </c>
    </row>
    <row r="2329" spans="1:4">
      <c r="A2329" s="93" t="s">
        <v>7832</v>
      </c>
      <c r="B2329">
        <v>3.6</v>
      </c>
      <c r="C2329">
        <v>1510</v>
      </c>
      <c r="D2329">
        <v>1</v>
      </c>
    </row>
    <row r="2330" spans="1:4">
      <c r="A2330" s="93" t="s">
        <v>7833</v>
      </c>
      <c r="B2330">
        <v>3.5</v>
      </c>
      <c r="C2330">
        <v>1510</v>
      </c>
      <c r="D2330">
        <v>1</v>
      </c>
    </row>
    <row r="2331" spans="1:4">
      <c r="A2331" s="93" t="s">
        <v>7834</v>
      </c>
      <c r="B2331">
        <v>3.4</v>
      </c>
      <c r="C2331">
        <v>1510</v>
      </c>
      <c r="D2331">
        <v>1</v>
      </c>
    </row>
    <row r="2332" spans="1:4">
      <c r="A2332" s="93" t="s">
        <v>7835</v>
      </c>
      <c r="B2332">
        <v>3.3</v>
      </c>
      <c r="C2332">
        <v>1510</v>
      </c>
      <c r="D2332">
        <v>1</v>
      </c>
    </row>
    <row r="2333" spans="1:4">
      <c r="A2333" s="93" t="s">
        <v>7836</v>
      </c>
      <c r="B2333">
        <v>3.2</v>
      </c>
      <c r="C2333">
        <v>1510</v>
      </c>
      <c r="D2333">
        <v>1</v>
      </c>
    </row>
    <row r="2334" spans="1:4">
      <c r="A2334" s="93" t="s">
        <v>7837</v>
      </c>
      <c r="B2334">
        <v>3.1</v>
      </c>
      <c r="C2334">
        <v>1510</v>
      </c>
      <c r="D2334">
        <v>1</v>
      </c>
    </row>
    <row r="2335" spans="1:4">
      <c r="A2335" s="93" t="s">
        <v>7838</v>
      </c>
      <c r="B2335">
        <v>3</v>
      </c>
      <c r="C2335">
        <v>1510</v>
      </c>
      <c r="D2335">
        <v>1</v>
      </c>
    </row>
    <row r="2336" spans="1:4">
      <c r="A2336" s="93" t="s">
        <v>7839</v>
      </c>
      <c r="B2336">
        <v>2.9</v>
      </c>
      <c r="C2336">
        <v>1510</v>
      </c>
      <c r="D2336">
        <v>1</v>
      </c>
    </row>
    <row r="2337" spans="1:4">
      <c r="A2337" s="93" t="s">
        <v>7840</v>
      </c>
      <c r="B2337">
        <v>2.8</v>
      </c>
      <c r="C2337">
        <v>1510</v>
      </c>
      <c r="D2337">
        <v>1</v>
      </c>
    </row>
    <row r="2338" spans="1:4">
      <c r="A2338" s="93" t="s">
        <v>7841</v>
      </c>
      <c r="B2338">
        <v>2.7</v>
      </c>
      <c r="C2338">
        <v>1510</v>
      </c>
      <c r="D2338">
        <v>2</v>
      </c>
    </row>
    <row r="2339" spans="1:4">
      <c r="A2339" s="93" t="s">
        <v>7842</v>
      </c>
      <c r="B2339">
        <v>2.6</v>
      </c>
      <c r="C2339">
        <v>1510</v>
      </c>
      <c r="D2339">
        <v>2</v>
      </c>
    </row>
    <row r="2340" spans="1:4">
      <c r="A2340" s="93" t="s">
        <v>7843</v>
      </c>
      <c r="B2340">
        <v>2.5</v>
      </c>
      <c r="C2340">
        <v>1510</v>
      </c>
      <c r="D2340">
        <v>2</v>
      </c>
    </row>
    <row r="2341" spans="1:4">
      <c r="A2341" s="93" t="s">
        <v>7844</v>
      </c>
      <c r="B2341">
        <v>2.4</v>
      </c>
      <c r="C2341">
        <v>1510</v>
      </c>
      <c r="D2341">
        <v>2</v>
      </c>
    </row>
    <row r="2342" spans="1:4">
      <c r="A2342" s="93" t="s">
        <v>7845</v>
      </c>
      <c r="B2342">
        <v>2.3</v>
      </c>
      <c r="C2342">
        <v>1510</v>
      </c>
      <c r="D2342">
        <v>2</v>
      </c>
    </row>
    <row r="2343" spans="1:4">
      <c r="A2343" s="93" t="s">
        <v>7846</v>
      </c>
      <c r="B2343">
        <v>2.2</v>
      </c>
      <c r="C2343">
        <v>1510</v>
      </c>
      <c r="D2343">
        <v>5</v>
      </c>
    </row>
    <row r="2344" spans="1:4">
      <c r="A2344" s="93" t="s">
        <v>7847</v>
      </c>
      <c r="B2344">
        <v>2.1</v>
      </c>
      <c r="C2344">
        <v>1510</v>
      </c>
      <c r="D2344">
        <v>5</v>
      </c>
    </row>
    <row r="2345" spans="1:4">
      <c r="A2345" s="93" t="s">
        <v>7848</v>
      </c>
      <c r="B2345">
        <v>2</v>
      </c>
      <c r="C2345">
        <v>1510</v>
      </c>
      <c r="D2345">
        <v>5</v>
      </c>
    </row>
    <row r="2346" spans="1:4">
      <c r="A2346" s="93" t="s">
        <v>7849</v>
      </c>
      <c r="B2346">
        <v>1.9</v>
      </c>
      <c r="C2346">
        <v>1510</v>
      </c>
      <c r="D2346">
        <v>5</v>
      </c>
    </row>
    <row r="2347" spans="1:4">
      <c r="A2347" s="93" t="s">
        <v>7850</v>
      </c>
      <c r="B2347">
        <v>1.8</v>
      </c>
      <c r="C2347">
        <v>1510</v>
      </c>
      <c r="D2347">
        <v>6</v>
      </c>
    </row>
    <row r="2348" spans="1:4">
      <c r="A2348" s="93" t="s">
        <v>7851</v>
      </c>
      <c r="B2348">
        <v>1.7</v>
      </c>
      <c r="C2348">
        <v>1510</v>
      </c>
      <c r="D2348">
        <v>6</v>
      </c>
    </row>
    <row r="2349" spans="1:4">
      <c r="A2349" s="93" t="s">
        <v>7852</v>
      </c>
      <c r="B2349">
        <v>1.6</v>
      </c>
      <c r="C2349">
        <v>1510</v>
      </c>
      <c r="D2349">
        <v>6</v>
      </c>
    </row>
    <row r="2350" spans="1:4">
      <c r="A2350" s="93" t="s">
        <v>7853</v>
      </c>
      <c r="B2350">
        <v>1.5</v>
      </c>
      <c r="C2350">
        <v>1510</v>
      </c>
      <c r="D2350">
        <v>6</v>
      </c>
    </row>
    <row r="2351" spans="1:4">
      <c r="A2351" s="93" t="s">
        <v>7854</v>
      </c>
      <c r="B2351">
        <v>4.3</v>
      </c>
      <c r="C2351">
        <v>1520</v>
      </c>
      <c r="D2351">
        <v>1</v>
      </c>
    </row>
    <row r="2352" spans="1:4">
      <c r="A2352" s="93" t="s">
        <v>7855</v>
      </c>
      <c r="B2352">
        <v>4.2</v>
      </c>
      <c r="C2352">
        <v>1520</v>
      </c>
      <c r="D2352">
        <v>1</v>
      </c>
    </row>
    <row r="2353" spans="1:4">
      <c r="A2353" s="93" t="s">
        <v>7856</v>
      </c>
      <c r="B2353">
        <v>4.1</v>
      </c>
      <c r="C2353">
        <v>1520</v>
      </c>
      <c r="D2353">
        <v>1</v>
      </c>
    </row>
    <row r="2354" spans="1:4">
      <c r="A2354" s="93" t="s">
        <v>7857</v>
      </c>
      <c r="B2354">
        <v>4</v>
      </c>
      <c r="C2354">
        <v>1520</v>
      </c>
      <c r="D2354">
        <v>1</v>
      </c>
    </row>
    <row r="2355" spans="1:4">
      <c r="A2355" s="93" t="s">
        <v>7858</v>
      </c>
      <c r="B2355">
        <v>3.9</v>
      </c>
      <c r="C2355">
        <v>1520</v>
      </c>
      <c r="D2355">
        <v>1</v>
      </c>
    </row>
    <row r="2356" spans="1:4">
      <c r="A2356" s="93" t="s">
        <v>7859</v>
      </c>
      <c r="B2356">
        <v>3.8</v>
      </c>
      <c r="C2356">
        <v>1520</v>
      </c>
      <c r="D2356">
        <v>1</v>
      </c>
    </row>
    <row r="2357" spans="1:4">
      <c r="A2357" s="93" t="s">
        <v>7860</v>
      </c>
      <c r="B2357">
        <v>3.7</v>
      </c>
      <c r="C2357">
        <v>1520</v>
      </c>
      <c r="D2357">
        <v>1</v>
      </c>
    </row>
    <row r="2358" spans="1:4">
      <c r="A2358" s="93" t="s">
        <v>7861</v>
      </c>
      <c r="B2358">
        <v>3.6</v>
      </c>
      <c r="C2358">
        <v>1520</v>
      </c>
      <c r="D2358">
        <v>1</v>
      </c>
    </row>
    <row r="2359" spans="1:4">
      <c r="A2359" s="93" t="s">
        <v>7862</v>
      </c>
      <c r="B2359">
        <v>3.5</v>
      </c>
      <c r="C2359">
        <v>1520</v>
      </c>
      <c r="D2359">
        <v>1</v>
      </c>
    </row>
    <row r="2360" spans="1:4">
      <c r="A2360" s="93" t="s">
        <v>7863</v>
      </c>
      <c r="B2360">
        <v>3.4</v>
      </c>
      <c r="C2360">
        <v>1520</v>
      </c>
      <c r="D2360">
        <v>1</v>
      </c>
    </row>
    <row r="2361" spans="1:4">
      <c r="A2361" s="93" t="s">
        <v>7864</v>
      </c>
      <c r="B2361">
        <v>3.3</v>
      </c>
      <c r="C2361">
        <v>1520</v>
      </c>
      <c r="D2361">
        <v>1</v>
      </c>
    </row>
    <row r="2362" spans="1:4">
      <c r="A2362" s="93" t="s">
        <v>7865</v>
      </c>
      <c r="B2362">
        <v>3.2</v>
      </c>
      <c r="C2362">
        <v>1520</v>
      </c>
      <c r="D2362">
        <v>1</v>
      </c>
    </row>
    <row r="2363" spans="1:4">
      <c r="A2363" s="93" t="s">
        <v>7866</v>
      </c>
      <c r="B2363">
        <v>3.1</v>
      </c>
      <c r="C2363">
        <v>1520</v>
      </c>
      <c r="D2363">
        <v>1</v>
      </c>
    </row>
    <row r="2364" spans="1:4">
      <c r="A2364" s="93" t="s">
        <v>7867</v>
      </c>
      <c r="B2364">
        <v>3</v>
      </c>
      <c r="C2364">
        <v>1520</v>
      </c>
      <c r="D2364">
        <v>1</v>
      </c>
    </row>
    <row r="2365" spans="1:4">
      <c r="A2365" s="93" t="s">
        <v>7868</v>
      </c>
      <c r="B2365">
        <v>2.9</v>
      </c>
      <c r="C2365">
        <v>1520</v>
      </c>
      <c r="D2365">
        <v>1</v>
      </c>
    </row>
    <row r="2366" spans="1:4">
      <c r="A2366" s="93" t="s">
        <v>7869</v>
      </c>
      <c r="B2366">
        <v>2.8</v>
      </c>
      <c r="C2366">
        <v>1520</v>
      </c>
      <c r="D2366">
        <v>1</v>
      </c>
    </row>
    <row r="2367" spans="1:4">
      <c r="A2367" s="93" t="s">
        <v>7870</v>
      </c>
      <c r="B2367">
        <v>2.7</v>
      </c>
      <c r="C2367">
        <v>1520</v>
      </c>
      <c r="D2367">
        <v>2</v>
      </c>
    </row>
    <row r="2368" spans="1:4">
      <c r="A2368" s="93" t="s">
        <v>7871</v>
      </c>
      <c r="B2368">
        <v>2.6</v>
      </c>
      <c r="C2368">
        <v>1520</v>
      </c>
      <c r="D2368">
        <v>2</v>
      </c>
    </row>
    <row r="2369" spans="1:4">
      <c r="A2369" s="93" t="s">
        <v>7872</v>
      </c>
      <c r="B2369">
        <v>2.5</v>
      </c>
      <c r="C2369">
        <v>1520</v>
      </c>
      <c r="D2369">
        <v>2</v>
      </c>
    </row>
    <row r="2370" spans="1:4">
      <c r="A2370" s="93" t="s">
        <v>7873</v>
      </c>
      <c r="B2370">
        <v>2.4</v>
      </c>
      <c r="C2370">
        <v>1520</v>
      </c>
      <c r="D2370">
        <v>2</v>
      </c>
    </row>
    <row r="2371" spans="1:4">
      <c r="A2371" s="93" t="s">
        <v>7874</v>
      </c>
      <c r="B2371">
        <v>2.3</v>
      </c>
      <c r="C2371">
        <v>1520</v>
      </c>
      <c r="D2371">
        <v>2</v>
      </c>
    </row>
    <row r="2372" spans="1:4">
      <c r="A2372" s="93" t="s">
        <v>7875</v>
      </c>
      <c r="B2372">
        <v>2.2</v>
      </c>
      <c r="C2372">
        <v>1520</v>
      </c>
      <c r="D2372">
        <v>5</v>
      </c>
    </row>
    <row r="2373" spans="1:4">
      <c r="A2373" s="93" t="s">
        <v>7876</v>
      </c>
      <c r="B2373">
        <v>2.1</v>
      </c>
      <c r="C2373">
        <v>1520</v>
      </c>
      <c r="D2373">
        <v>5</v>
      </c>
    </row>
    <row r="2374" spans="1:4">
      <c r="A2374" s="93" t="s">
        <v>7877</v>
      </c>
      <c r="B2374">
        <v>2</v>
      </c>
      <c r="C2374">
        <v>1520</v>
      </c>
      <c r="D2374">
        <v>5</v>
      </c>
    </row>
    <row r="2375" spans="1:4">
      <c r="A2375" s="93" t="s">
        <v>7878</v>
      </c>
      <c r="B2375">
        <v>1.9</v>
      </c>
      <c r="C2375">
        <v>1520</v>
      </c>
      <c r="D2375">
        <v>5</v>
      </c>
    </row>
    <row r="2376" spans="1:4">
      <c r="A2376" s="93" t="s">
        <v>7879</v>
      </c>
      <c r="B2376">
        <v>1.8</v>
      </c>
      <c r="C2376">
        <v>1520</v>
      </c>
      <c r="D2376">
        <v>6</v>
      </c>
    </row>
    <row r="2377" spans="1:4">
      <c r="A2377" s="93" t="s">
        <v>7880</v>
      </c>
      <c r="B2377">
        <v>1.7</v>
      </c>
      <c r="C2377">
        <v>1520</v>
      </c>
      <c r="D2377">
        <v>6</v>
      </c>
    </row>
    <row r="2378" spans="1:4">
      <c r="A2378" s="93" t="s">
        <v>7881</v>
      </c>
      <c r="B2378">
        <v>1.6</v>
      </c>
      <c r="C2378">
        <v>1520</v>
      </c>
      <c r="D2378">
        <v>6</v>
      </c>
    </row>
    <row r="2379" spans="1:4">
      <c r="A2379" s="93" t="s">
        <v>7882</v>
      </c>
      <c r="B2379">
        <v>1.5</v>
      </c>
      <c r="C2379">
        <v>1520</v>
      </c>
      <c r="D2379">
        <v>6</v>
      </c>
    </row>
    <row r="2380" spans="1:4">
      <c r="A2380" s="93" t="s">
        <v>7883</v>
      </c>
      <c r="B2380">
        <v>4.3</v>
      </c>
      <c r="C2380">
        <v>1530</v>
      </c>
      <c r="D2380">
        <v>1</v>
      </c>
    </row>
    <row r="2381" spans="1:4">
      <c r="A2381" s="93" t="s">
        <v>7884</v>
      </c>
      <c r="B2381">
        <v>4.2</v>
      </c>
      <c r="C2381">
        <v>1530</v>
      </c>
      <c r="D2381">
        <v>1</v>
      </c>
    </row>
    <row r="2382" spans="1:4">
      <c r="A2382" s="93" t="s">
        <v>7885</v>
      </c>
      <c r="B2382">
        <v>4.1</v>
      </c>
      <c r="C2382">
        <v>1530</v>
      </c>
      <c r="D2382">
        <v>1</v>
      </c>
    </row>
    <row r="2383" spans="1:4">
      <c r="A2383" s="93" t="s">
        <v>7886</v>
      </c>
      <c r="B2383">
        <v>4</v>
      </c>
      <c r="C2383">
        <v>1530</v>
      </c>
      <c r="D2383">
        <v>1</v>
      </c>
    </row>
    <row r="2384" spans="1:4">
      <c r="A2384" s="93" t="s">
        <v>7887</v>
      </c>
      <c r="B2384">
        <v>3.9</v>
      </c>
      <c r="C2384">
        <v>1530</v>
      </c>
      <c r="D2384">
        <v>1</v>
      </c>
    </row>
    <row r="2385" spans="1:4">
      <c r="A2385" s="93" t="s">
        <v>7888</v>
      </c>
      <c r="B2385">
        <v>3.8</v>
      </c>
      <c r="C2385">
        <v>1530</v>
      </c>
      <c r="D2385">
        <v>1</v>
      </c>
    </row>
    <row r="2386" spans="1:4">
      <c r="A2386" s="93" t="s">
        <v>7889</v>
      </c>
      <c r="B2386">
        <v>3.7</v>
      </c>
      <c r="C2386">
        <v>1530</v>
      </c>
      <c r="D2386">
        <v>1</v>
      </c>
    </row>
    <row r="2387" spans="1:4">
      <c r="A2387" s="93" t="s">
        <v>7890</v>
      </c>
      <c r="B2387">
        <v>3.6</v>
      </c>
      <c r="C2387">
        <v>1530</v>
      </c>
      <c r="D2387">
        <v>1</v>
      </c>
    </row>
    <row r="2388" spans="1:4">
      <c r="A2388" s="93" t="s">
        <v>7891</v>
      </c>
      <c r="B2388">
        <v>3.5</v>
      </c>
      <c r="C2388">
        <v>1530</v>
      </c>
      <c r="D2388">
        <v>1</v>
      </c>
    </row>
    <row r="2389" spans="1:4">
      <c r="A2389" s="93" t="s">
        <v>7892</v>
      </c>
      <c r="B2389">
        <v>3.4</v>
      </c>
      <c r="C2389">
        <v>1530</v>
      </c>
      <c r="D2389">
        <v>1</v>
      </c>
    </row>
    <row r="2390" spans="1:4">
      <c r="A2390" s="93" t="s">
        <v>7893</v>
      </c>
      <c r="B2390">
        <v>3.3</v>
      </c>
      <c r="C2390">
        <v>1530</v>
      </c>
      <c r="D2390">
        <v>1</v>
      </c>
    </row>
    <row r="2391" spans="1:4">
      <c r="A2391" s="93" t="s">
        <v>7894</v>
      </c>
      <c r="B2391">
        <v>3.2</v>
      </c>
      <c r="C2391">
        <v>1530</v>
      </c>
      <c r="D2391">
        <v>1</v>
      </c>
    </row>
    <row r="2392" spans="1:4">
      <c r="A2392" s="93" t="s">
        <v>7895</v>
      </c>
      <c r="B2392">
        <v>3.1</v>
      </c>
      <c r="C2392">
        <v>1530</v>
      </c>
      <c r="D2392">
        <v>1</v>
      </c>
    </row>
    <row r="2393" spans="1:4">
      <c r="A2393" s="93" t="s">
        <v>7896</v>
      </c>
      <c r="B2393">
        <v>3</v>
      </c>
      <c r="C2393">
        <v>1530</v>
      </c>
      <c r="D2393">
        <v>1</v>
      </c>
    </row>
    <row r="2394" spans="1:4">
      <c r="A2394" s="93" t="s">
        <v>7897</v>
      </c>
      <c r="B2394">
        <v>2.9</v>
      </c>
      <c r="C2394">
        <v>1530</v>
      </c>
      <c r="D2394">
        <v>1</v>
      </c>
    </row>
    <row r="2395" spans="1:4">
      <c r="A2395" s="93" t="s">
        <v>7898</v>
      </c>
      <c r="B2395">
        <v>2.8</v>
      </c>
      <c r="C2395">
        <v>1530</v>
      </c>
      <c r="D2395">
        <v>1</v>
      </c>
    </row>
    <row r="2396" spans="1:4">
      <c r="A2396" s="93" t="s">
        <v>7899</v>
      </c>
      <c r="B2396">
        <v>2.7</v>
      </c>
      <c r="C2396">
        <v>1530</v>
      </c>
      <c r="D2396">
        <v>1</v>
      </c>
    </row>
    <row r="2397" spans="1:4">
      <c r="A2397" s="93" t="s">
        <v>7900</v>
      </c>
      <c r="B2397">
        <v>2.6</v>
      </c>
      <c r="C2397">
        <v>1530</v>
      </c>
      <c r="D2397">
        <v>1</v>
      </c>
    </row>
    <row r="2398" spans="1:4">
      <c r="A2398" s="93" t="s">
        <v>7901</v>
      </c>
      <c r="B2398">
        <v>2.5</v>
      </c>
      <c r="C2398">
        <v>1530</v>
      </c>
      <c r="D2398">
        <v>2</v>
      </c>
    </row>
    <row r="2399" spans="1:4">
      <c r="A2399" s="93" t="s">
        <v>7902</v>
      </c>
      <c r="B2399">
        <v>2.4</v>
      </c>
      <c r="C2399">
        <v>1530</v>
      </c>
      <c r="D2399">
        <v>2</v>
      </c>
    </row>
    <row r="2400" spans="1:4">
      <c r="A2400" s="93" t="s">
        <v>7903</v>
      </c>
      <c r="B2400">
        <v>2.3</v>
      </c>
      <c r="C2400">
        <v>1530</v>
      </c>
      <c r="D2400">
        <v>2</v>
      </c>
    </row>
    <row r="2401" spans="1:4">
      <c r="A2401" s="93" t="s">
        <v>7904</v>
      </c>
      <c r="B2401">
        <v>2.2</v>
      </c>
      <c r="C2401">
        <v>1530</v>
      </c>
      <c r="D2401">
        <v>5</v>
      </c>
    </row>
    <row r="2402" spans="1:4">
      <c r="A2402" s="93" t="s">
        <v>7905</v>
      </c>
      <c r="B2402">
        <v>2.1</v>
      </c>
      <c r="C2402">
        <v>1530</v>
      </c>
      <c r="D2402">
        <v>5</v>
      </c>
    </row>
    <row r="2403" spans="1:4">
      <c r="A2403" s="93" t="s">
        <v>7906</v>
      </c>
      <c r="B2403">
        <v>2</v>
      </c>
      <c r="C2403">
        <v>1530</v>
      </c>
      <c r="D2403">
        <v>5</v>
      </c>
    </row>
    <row r="2404" spans="1:4">
      <c r="A2404" s="93" t="s">
        <v>7907</v>
      </c>
      <c r="B2404">
        <v>1.9</v>
      </c>
      <c r="C2404">
        <v>1530</v>
      </c>
      <c r="D2404">
        <v>5</v>
      </c>
    </row>
    <row r="2405" spans="1:4">
      <c r="A2405" s="93" t="s">
        <v>7908</v>
      </c>
      <c r="B2405">
        <v>1.8</v>
      </c>
      <c r="C2405">
        <v>1530</v>
      </c>
      <c r="D2405">
        <v>5</v>
      </c>
    </row>
    <row r="2406" spans="1:4">
      <c r="A2406" s="93" t="s">
        <v>7909</v>
      </c>
      <c r="B2406">
        <v>1.7</v>
      </c>
      <c r="C2406">
        <v>1530</v>
      </c>
      <c r="D2406">
        <v>6</v>
      </c>
    </row>
    <row r="2407" spans="1:4">
      <c r="A2407" s="93" t="s">
        <v>7910</v>
      </c>
      <c r="B2407">
        <v>1.6</v>
      </c>
      <c r="C2407">
        <v>1530</v>
      </c>
      <c r="D2407">
        <v>6</v>
      </c>
    </row>
    <row r="2408" spans="1:4">
      <c r="A2408" s="93" t="s">
        <v>7911</v>
      </c>
      <c r="B2408">
        <v>1.5</v>
      </c>
      <c r="C2408">
        <v>1530</v>
      </c>
      <c r="D2408">
        <v>6</v>
      </c>
    </row>
    <row r="2409" spans="1:4">
      <c r="A2409" s="93" t="s">
        <v>7912</v>
      </c>
      <c r="B2409">
        <v>4.3</v>
      </c>
      <c r="C2409">
        <v>1540</v>
      </c>
      <c r="D2409">
        <v>1</v>
      </c>
    </row>
    <row r="2410" spans="1:4">
      <c r="A2410" s="93" t="s">
        <v>7913</v>
      </c>
      <c r="B2410">
        <v>4.2</v>
      </c>
      <c r="C2410">
        <v>1540</v>
      </c>
      <c r="D2410">
        <v>1</v>
      </c>
    </row>
    <row r="2411" spans="1:4">
      <c r="A2411" s="93" t="s">
        <v>7914</v>
      </c>
      <c r="B2411">
        <v>4.1</v>
      </c>
      <c r="C2411">
        <v>1540</v>
      </c>
      <c r="D2411">
        <v>1</v>
      </c>
    </row>
    <row r="2412" spans="1:4">
      <c r="A2412" s="93" t="s">
        <v>7915</v>
      </c>
      <c r="B2412">
        <v>4</v>
      </c>
      <c r="C2412">
        <v>1540</v>
      </c>
      <c r="D2412">
        <v>1</v>
      </c>
    </row>
    <row r="2413" spans="1:4">
      <c r="A2413" s="93" t="s">
        <v>7916</v>
      </c>
      <c r="B2413">
        <v>3.9</v>
      </c>
      <c r="C2413">
        <v>1540</v>
      </c>
      <c r="D2413">
        <v>1</v>
      </c>
    </row>
    <row r="2414" spans="1:4">
      <c r="A2414" s="93" t="s">
        <v>7917</v>
      </c>
      <c r="B2414">
        <v>3.8</v>
      </c>
      <c r="C2414">
        <v>1540</v>
      </c>
      <c r="D2414">
        <v>1</v>
      </c>
    </row>
    <row r="2415" spans="1:4">
      <c r="A2415" s="93" t="s">
        <v>7918</v>
      </c>
      <c r="B2415">
        <v>3.7</v>
      </c>
      <c r="C2415">
        <v>1540</v>
      </c>
      <c r="D2415">
        <v>1</v>
      </c>
    </row>
    <row r="2416" spans="1:4">
      <c r="A2416" s="93" t="s">
        <v>7919</v>
      </c>
      <c r="B2416">
        <v>3.6</v>
      </c>
      <c r="C2416">
        <v>1540</v>
      </c>
      <c r="D2416">
        <v>1</v>
      </c>
    </row>
    <row r="2417" spans="1:4">
      <c r="A2417" s="93" t="s">
        <v>7920</v>
      </c>
      <c r="B2417">
        <v>3.5</v>
      </c>
      <c r="C2417">
        <v>1540</v>
      </c>
      <c r="D2417">
        <v>1</v>
      </c>
    </row>
    <row r="2418" spans="1:4">
      <c r="A2418" s="93" t="s">
        <v>7921</v>
      </c>
      <c r="B2418">
        <v>3.4</v>
      </c>
      <c r="C2418">
        <v>1540</v>
      </c>
      <c r="D2418">
        <v>1</v>
      </c>
    </row>
    <row r="2419" spans="1:4">
      <c r="A2419" s="93" t="s">
        <v>7922</v>
      </c>
      <c r="B2419">
        <v>3.3</v>
      </c>
      <c r="C2419">
        <v>1540</v>
      </c>
      <c r="D2419">
        <v>1</v>
      </c>
    </row>
    <row r="2420" spans="1:4">
      <c r="A2420" s="93" t="s">
        <v>7923</v>
      </c>
      <c r="B2420">
        <v>3.2</v>
      </c>
      <c r="C2420">
        <v>1540</v>
      </c>
      <c r="D2420">
        <v>1</v>
      </c>
    </row>
    <row r="2421" spans="1:4">
      <c r="A2421" s="93" t="s">
        <v>7924</v>
      </c>
      <c r="B2421">
        <v>3.1</v>
      </c>
      <c r="C2421">
        <v>1540</v>
      </c>
      <c r="D2421">
        <v>1</v>
      </c>
    </row>
    <row r="2422" spans="1:4">
      <c r="A2422" s="93" t="s">
        <v>7925</v>
      </c>
      <c r="B2422">
        <v>3</v>
      </c>
      <c r="C2422">
        <v>1540</v>
      </c>
      <c r="D2422">
        <v>1</v>
      </c>
    </row>
    <row r="2423" spans="1:4">
      <c r="A2423" s="93" t="s">
        <v>7926</v>
      </c>
      <c r="B2423">
        <v>2.9</v>
      </c>
      <c r="C2423">
        <v>1540</v>
      </c>
      <c r="D2423">
        <v>1</v>
      </c>
    </row>
    <row r="2424" spans="1:4">
      <c r="A2424" s="93" t="s">
        <v>7927</v>
      </c>
      <c r="B2424">
        <v>2.8</v>
      </c>
      <c r="C2424">
        <v>1540</v>
      </c>
      <c r="D2424">
        <v>1</v>
      </c>
    </row>
    <row r="2425" spans="1:4">
      <c r="A2425" s="93" t="s">
        <v>7928</v>
      </c>
      <c r="B2425">
        <v>2.7</v>
      </c>
      <c r="C2425">
        <v>1540</v>
      </c>
      <c r="D2425">
        <v>1</v>
      </c>
    </row>
    <row r="2426" spans="1:4">
      <c r="A2426" s="93" t="s">
        <v>7929</v>
      </c>
      <c r="B2426">
        <v>2.6</v>
      </c>
      <c r="C2426">
        <v>1540</v>
      </c>
      <c r="D2426">
        <v>1</v>
      </c>
    </row>
    <row r="2427" spans="1:4">
      <c r="A2427" s="93" t="s">
        <v>7930</v>
      </c>
      <c r="B2427">
        <v>2.5</v>
      </c>
      <c r="C2427">
        <v>1540</v>
      </c>
      <c r="D2427">
        <v>2</v>
      </c>
    </row>
    <row r="2428" spans="1:4">
      <c r="A2428" s="93" t="s">
        <v>7931</v>
      </c>
      <c r="B2428">
        <v>2.4</v>
      </c>
      <c r="C2428">
        <v>1540</v>
      </c>
      <c r="D2428">
        <v>2</v>
      </c>
    </row>
    <row r="2429" spans="1:4">
      <c r="A2429" s="93" t="s">
        <v>7932</v>
      </c>
      <c r="B2429">
        <v>2.3</v>
      </c>
      <c r="C2429">
        <v>1540</v>
      </c>
      <c r="D2429">
        <v>2</v>
      </c>
    </row>
    <row r="2430" spans="1:4">
      <c r="A2430" s="93" t="s">
        <v>7933</v>
      </c>
      <c r="B2430">
        <v>2.2</v>
      </c>
      <c r="C2430">
        <v>1540</v>
      </c>
      <c r="D2430">
        <v>5</v>
      </c>
    </row>
    <row r="2431" spans="1:4">
      <c r="A2431" s="93" t="s">
        <v>7934</v>
      </c>
      <c r="B2431">
        <v>2.1</v>
      </c>
      <c r="C2431">
        <v>1540</v>
      </c>
      <c r="D2431">
        <v>5</v>
      </c>
    </row>
    <row r="2432" spans="1:4">
      <c r="A2432" s="93" t="s">
        <v>7935</v>
      </c>
      <c r="B2432">
        <v>2</v>
      </c>
      <c r="C2432">
        <v>1540</v>
      </c>
      <c r="D2432">
        <v>5</v>
      </c>
    </row>
    <row r="2433" spans="1:4">
      <c r="A2433" s="93" t="s">
        <v>7936</v>
      </c>
      <c r="B2433">
        <v>1.9</v>
      </c>
      <c r="C2433">
        <v>1540</v>
      </c>
      <c r="D2433">
        <v>5</v>
      </c>
    </row>
    <row r="2434" spans="1:4">
      <c r="A2434" s="93" t="s">
        <v>7937</v>
      </c>
      <c r="B2434">
        <v>1.8</v>
      </c>
      <c r="C2434">
        <v>1540</v>
      </c>
      <c r="D2434">
        <v>5</v>
      </c>
    </row>
    <row r="2435" spans="1:4">
      <c r="A2435" s="93" t="s">
        <v>7938</v>
      </c>
      <c r="B2435">
        <v>1.7</v>
      </c>
      <c r="C2435">
        <v>1540</v>
      </c>
      <c r="D2435">
        <v>6</v>
      </c>
    </row>
    <row r="2436" spans="1:4">
      <c r="A2436" s="93" t="s">
        <v>7939</v>
      </c>
      <c r="B2436">
        <v>1.6</v>
      </c>
      <c r="C2436">
        <v>1540</v>
      </c>
      <c r="D2436">
        <v>6</v>
      </c>
    </row>
    <row r="2437" spans="1:4">
      <c r="A2437" s="93" t="s">
        <v>7940</v>
      </c>
      <c r="B2437">
        <v>1.5</v>
      </c>
      <c r="C2437">
        <v>1540</v>
      </c>
      <c r="D2437">
        <v>6</v>
      </c>
    </row>
    <row r="2438" spans="1:4">
      <c r="A2438" s="93" t="s">
        <v>7941</v>
      </c>
      <c r="B2438">
        <v>4.3</v>
      </c>
      <c r="C2438">
        <v>1550</v>
      </c>
      <c r="D2438">
        <v>1</v>
      </c>
    </row>
    <row r="2439" spans="1:4">
      <c r="A2439" s="93" t="s">
        <v>7942</v>
      </c>
      <c r="B2439">
        <v>4.2</v>
      </c>
      <c r="C2439">
        <v>1550</v>
      </c>
      <c r="D2439">
        <v>1</v>
      </c>
    </row>
    <row r="2440" spans="1:4">
      <c r="A2440" s="93" t="s">
        <v>7943</v>
      </c>
      <c r="B2440">
        <v>4.1</v>
      </c>
      <c r="C2440">
        <v>1550</v>
      </c>
      <c r="D2440">
        <v>1</v>
      </c>
    </row>
    <row r="2441" spans="1:4">
      <c r="A2441" s="93" t="s">
        <v>7944</v>
      </c>
      <c r="B2441">
        <v>4</v>
      </c>
      <c r="C2441">
        <v>1550</v>
      </c>
      <c r="D2441">
        <v>1</v>
      </c>
    </row>
    <row r="2442" spans="1:4">
      <c r="A2442" s="93" t="s">
        <v>7945</v>
      </c>
      <c r="B2442">
        <v>3.9</v>
      </c>
      <c r="C2442">
        <v>1550</v>
      </c>
      <c r="D2442">
        <v>1</v>
      </c>
    </row>
    <row r="2443" spans="1:4">
      <c r="A2443" s="93" t="s">
        <v>7946</v>
      </c>
      <c r="B2443">
        <v>3.8</v>
      </c>
      <c r="C2443">
        <v>1550</v>
      </c>
      <c r="D2443">
        <v>1</v>
      </c>
    </row>
    <row r="2444" spans="1:4">
      <c r="A2444" s="93" t="s">
        <v>7947</v>
      </c>
      <c r="B2444">
        <v>3.7</v>
      </c>
      <c r="C2444">
        <v>1550</v>
      </c>
      <c r="D2444">
        <v>1</v>
      </c>
    </row>
    <row r="2445" spans="1:4">
      <c r="A2445" s="93" t="s">
        <v>7948</v>
      </c>
      <c r="B2445">
        <v>3.6</v>
      </c>
      <c r="C2445">
        <v>1550</v>
      </c>
      <c r="D2445">
        <v>1</v>
      </c>
    </row>
    <row r="2446" spans="1:4">
      <c r="A2446" s="93" t="s">
        <v>7949</v>
      </c>
      <c r="B2446">
        <v>3.5</v>
      </c>
      <c r="C2446">
        <v>1550</v>
      </c>
      <c r="D2446">
        <v>1</v>
      </c>
    </row>
    <row r="2447" spans="1:4">
      <c r="A2447" s="93" t="s">
        <v>7950</v>
      </c>
      <c r="B2447">
        <v>3.4</v>
      </c>
      <c r="C2447">
        <v>1550</v>
      </c>
      <c r="D2447">
        <v>1</v>
      </c>
    </row>
    <row r="2448" spans="1:4">
      <c r="A2448" s="93" t="s">
        <v>7951</v>
      </c>
      <c r="B2448">
        <v>3.3</v>
      </c>
      <c r="C2448">
        <v>1550</v>
      </c>
      <c r="D2448">
        <v>1</v>
      </c>
    </row>
    <row r="2449" spans="1:4">
      <c r="A2449" s="93" t="s">
        <v>7952</v>
      </c>
      <c r="B2449">
        <v>3.2</v>
      </c>
      <c r="C2449">
        <v>1550</v>
      </c>
      <c r="D2449">
        <v>1</v>
      </c>
    </row>
    <row r="2450" spans="1:4">
      <c r="A2450" s="93" t="s">
        <v>7953</v>
      </c>
      <c r="B2450">
        <v>3.1</v>
      </c>
      <c r="C2450">
        <v>1550</v>
      </c>
      <c r="D2450">
        <v>1</v>
      </c>
    </row>
    <row r="2451" spans="1:4">
      <c r="A2451" s="93" t="s">
        <v>7954</v>
      </c>
      <c r="B2451">
        <v>3</v>
      </c>
      <c r="C2451">
        <v>1550</v>
      </c>
      <c r="D2451">
        <v>1</v>
      </c>
    </row>
    <row r="2452" spans="1:4">
      <c r="A2452" s="93" t="s">
        <v>7955</v>
      </c>
      <c r="B2452">
        <v>2.9</v>
      </c>
      <c r="C2452">
        <v>1550</v>
      </c>
      <c r="D2452">
        <v>1</v>
      </c>
    </row>
    <row r="2453" spans="1:4">
      <c r="A2453" s="93" t="s">
        <v>7956</v>
      </c>
      <c r="B2453">
        <v>2.8</v>
      </c>
      <c r="C2453">
        <v>1550</v>
      </c>
      <c r="D2453">
        <v>1</v>
      </c>
    </row>
    <row r="2454" spans="1:4">
      <c r="A2454" s="93" t="s">
        <v>7957</v>
      </c>
      <c r="B2454">
        <v>2.7</v>
      </c>
      <c r="C2454">
        <v>1550</v>
      </c>
      <c r="D2454">
        <v>1</v>
      </c>
    </row>
    <row r="2455" spans="1:4">
      <c r="A2455" s="93" t="s">
        <v>7958</v>
      </c>
      <c r="B2455">
        <v>2.6</v>
      </c>
      <c r="C2455">
        <v>1550</v>
      </c>
      <c r="D2455">
        <v>1</v>
      </c>
    </row>
    <row r="2456" spans="1:4">
      <c r="A2456" s="93" t="s">
        <v>7959</v>
      </c>
      <c r="B2456">
        <v>2.5</v>
      </c>
      <c r="C2456">
        <v>1550</v>
      </c>
      <c r="D2456">
        <v>2</v>
      </c>
    </row>
    <row r="2457" spans="1:4">
      <c r="A2457" s="93" t="s">
        <v>7960</v>
      </c>
      <c r="B2457">
        <v>2.4</v>
      </c>
      <c r="C2457">
        <v>1550</v>
      </c>
      <c r="D2457">
        <v>2</v>
      </c>
    </row>
    <row r="2458" spans="1:4">
      <c r="A2458" s="93" t="s">
        <v>7961</v>
      </c>
      <c r="B2458">
        <v>2.3</v>
      </c>
      <c r="C2458">
        <v>1550</v>
      </c>
      <c r="D2458">
        <v>2</v>
      </c>
    </row>
    <row r="2459" spans="1:4">
      <c r="A2459" s="93" t="s">
        <v>7962</v>
      </c>
      <c r="B2459">
        <v>2.2</v>
      </c>
      <c r="C2459">
        <v>1550</v>
      </c>
      <c r="D2459">
        <v>5</v>
      </c>
    </row>
    <row r="2460" spans="1:4">
      <c r="A2460" s="93" t="s">
        <v>7963</v>
      </c>
      <c r="B2460">
        <v>2.1</v>
      </c>
      <c r="C2460">
        <v>1550</v>
      </c>
      <c r="D2460">
        <v>5</v>
      </c>
    </row>
    <row r="2461" spans="1:4">
      <c r="A2461" s="93" t="s">
        <v>7964</v>
      </c>
      <c r="B2461">
        <v>2</v>
      </c>
      <c r="C2461">
        <v>1550</v>
      </c>
      <c r="D2461">
        <v>5</v>
      </c>
    </row>
    <row r="2462" spans="1:4">
      <c r="A2462" s="93" t="s">
        <v>7965</v>
      </c>
      <c r="B2462">
        <v>1.9</v>
      </c>
      <c r="C2462">
        <v>1550</v>
      </c>
      <c r="D2462">
        <v>5</v>
      </c>
    </row>
    <row r="2463" spans="1:4">
      <c r="A2463" s="93" t="s">
        <v>7966</v>
      </c>
      <c r="B2463">
        <v>1.8</v>
      </c>
      <c r="C2463">
        <v>1550</v>
      </c>
      <c r="D2463">
        <v>5</v>
      </c>
    </row>
    <row r="2464" spans="1:4">
      <c r="A2464" s="93" t="s">
        <v>7967</v>
      </c>
      <c r="B2464">
        <v>1.7</v>
      </c>
      <c r="C2464">
        <v>1550</v>
      </c>
      <c r="D2464">
        <v>6</v>
      </c>
    </row>
    <row r="2465" spans="1:4">
      <c r="A2465" s="93" t="s">
        <v>7968</v>
      </c>
      <c r="B2465">
        <v>1.6</v>
      </c>
      <c r="C2465">
        <v>1550</v>
      </c>
      <c r="D2465">
        <v>6</v>
      </c>
    </row>
    <row r="2466" spans="1:4">
      <c r="A2466" s="93" t="s">
        <v>7969</v>
      </c>
      <c r="B2466">
        <v>1.5</v>
      </c>
      <c r="C2466">
        <v>1550</v>
      </c>
      <c r="D2466">
        <v>6</v>
      </c>
    </row>
    <row r="2467" spans="1:4">
      <c r="A2467" s="93" t="s">
        <v>7970</v>
      </c>
      <c r="B2467">
        <v>4.3</v>
      </c>
      <c r="C2467">
        <v>1560</v>
      </c>
      <c r="D2467">
        <v>1</v>
      </c>
    </row>
    <row r="2468" spans="1:4">
      <c r="A2468" s="93" t="s">
        <v>7971</v>
      </c>
      <c r="B2468">
        <v>4.2</v>
      </c>
      <c r="C2468">
        <v>1560</v>
      </c>
      <c r="D2468">
        <v>1</v>
      </c>
    </row>
    <row r="2469" spans="1:4">
      <c r="A2469" s="93" t="s">
        <v>7972</v>
      </c>
      <c r="B2469">
        <v>4.1</v>
      </c>
      <c r="C2469">
        <v>1560</v>
      </c>
      <c r="D2469">
        <v>1</v>
      </c>
    </row>
    <row r="2470" spans="1:4">
      <c r="A2470" s="93" t="s">
        <v>7973</v>
      </c>
      <c r="B2470">
        <v>4</v>
      </c>
      <c r="C2470">
        <v>1560</v>
      </c>
      <c r="D2470">
        <v>1</v>
      </c>
    </row>
    <row r="2471" spans="1:4">
      <c r="A2471" s="93" t="s">
        <v>7974</v>
      </c>
      <c r="B2471">
        <v>3.9</v>
      </c>
      <c r="C2471">
        <v>1560</v>
      </c>
      <c r="D2471">
        <v>1</v>
      </c>
    </row>
    <row r="2472" spans="1:4">
      <c r="A2472" s="93" t="s">
        <v>7975</v>
      </c>
      <c r="B2472">
        <v>3.8</v>
      </c>
      <c r="C2472">
        <v>1560</v>
      </c>
      <c r="D2472">
        <v>1</v>
      </c>
    </row>
    <row r="2473" spans="1:4">
      <c r="A2473" s="93" t="s">
        <v>7976</v>
      </c>
      <c r="B2473">
        <v>3.7</v>
      </c>
      <c r="C2473">
        <v>1560</v>
      </c>
      <c r="D2473">
        <v>1</v>
      </c>
    </row>
    <row r="2474" spans="1:4">
      <c r="A2474" s="93" t="s">
        <v>7977</v>
      </c>
      <c r="B2474">
        <v>3.6</v>
      </c>
      <c r="C2474">
        <v>1560</v>
      </c>
      <c r="D2474">
        <v>1</v>
      </c>
    </row>
    <row r="2475" spans="1:4">
      <c r="A2475" s="93" t="s">
        <v>7978</v>
      </c>
      <c r="B2475">
        <v>3.5</v>
      </c>
      <c r="C2475">
        <v>1560</v>
      </c>
      <c r="D2475">
        <v>1</v>
      </c>
    </row>
    <row r="2476" spans="1:4">
      <c r="A2476" s="93" t="s">
        <v>7979</v>
      </c>
      <c r="B2476">
        <v>3.4</v>
      </c>
      <c r="C2476">
        <v>1560</v>
      </c>
      <c r="D2476">
        <v>1</v>
      </c>
    </row>
    <row r="2477" spans="1:4">
      <c r="A2477" s="93" t="s">
        <v>7980</v>
      </c>
      <c r="B2477">
        <v>3.3</v>
      </c>
      <c r="C2477">
        <v>1560</v>
      </c>
      <c r="D2477">
        <v>1</v>
      </c>
    </row>
    <row r="2478" spans="1:4">
      <c r="A2478" s="93" t="s">
        <v>7981</v>
      </c>
      <c r="B2478">
        <v>3.2</v>
      </c>
      <c r="C2478">
        <v>1560</v>
      </c>
      <c r="D2478">
        <v>1</v>
      </c>
    </row>
    <row r="2479" spans="1:4">
      <c r="A2479" s="93" t="s">
        <v>7982</v>
      </c>
      <c r="B2479">
        <v>3.1</v>
      </c>
      <c r="C2479">
        <v>1560</v>
      </c>
      <c r="D2479">
        <v>1</v>
      </c>
    </row>
    <row r="2480" spans="1:4">
      <c r="A2480" s="93" t="s">
        <v>7983</v>
      </c>
      <c r="B2480">
        <v>3</v>
      </c>
      <c r="C2480">
        <v>1560</v>
      </c>
      <c r="D2480">
        <v>1</v>
      </c>
    </row>
    <row r="2481" spans="1:4">
      <c r="A2481" s="93" t="s">
        <v>7984</v>
      </c>
      <c r="B2481">
        <v>2.9</v>
      </c>
      <c r="C2481">
        <v>1560</v>
      </c>
      <c r="D2481">
        <v>1</v>
      </c>
    </row>
    <row r="2482" spans="1:4">
      <c r="A2482" s="93" t="s">
        <v>7985</v>
      </c>
      <c r="B2482">
        <v>2.8</v>
      </c>
      <c r="C2482">
        <v>1560</v>
      </c>
      <c r="D2482">
        <v>1</v>
      </c>
    </row>
    <row r="2483" spans="1:4">
      <c r="A2483" s="93" t="s">
        <v>7986</v>
      </c>
      <c r="B2483">
        <v>2.7</v>
      </c>
      <c r="C2483">
        <v>1560</v>
      </c>
      <c r="D2483">
        <v>1</v>
      </c>
    </row>
    <row r="2484" spans="1:4">
      <c r="A2484" s="93" t="s">
        <v>7987</v>
      </c>
      <c r="B2484">
        <v>2.6</v>
      </c>
      <c r="C2484">
        <v>1560</v>
      </c>
      <c r="D2484">
        <v>1</v>
      </c>
    </row>
    <row r="2485" spans="1:4">
      <c r="A2485" s="93" t="s">
        <v>7988</v>
      </c>
      <c r="B2485">
        <v>2.5</v>
      </c>
      <c r="C2485">
        <v>1560</v>
      </c>
      <c r="D2485">
        <v>2</v>
      </c>
    </row>
    <row r="2486" spans="1:4">
      <c r="A2486" s="93" t="s">
        <v>7989</v>
      </c>
      <c r="B2486">
        <v>2.4</v>
      </c>
      <c r="C2486">
        <v>1560</v>
      </c>
      <c r="D2486">
        <v>2</v>
      </c>
    </row>
    <row r="2487" spans="1:4">
      <c r="A2487" s="93" t="s">
        <v>7990</v>
      </c>
      <c r="B2487">
        <v>2.3</v>
      </c>
      <c r="C2487">
        <v>1560</v>
      </c>
      <c r="D2487">
        <v>2</v>
      </c>
    </row>
    <row r="2488" spans="1:4">
      <c r="A2488" s="93" t="s">
        <v>7991</v>
      </c>
      <c r="B2488">
        <v>2.2</v>
      </c>
      <c r="C2488">
        <v>1560</v>
      </c>
      <c r="D2488">
        <v>5</v>
      </c>
    </row>
    <row r="2489" spans="1:4">
      <c r="A2489" s="93" t="s">
        <v>7992</v>
      </c>
      <c r="B2489">
        <v>2.1</v>
      </c>
      <c r="C2489">
        <v>1560</v>
      </c>
      <c r="D2489">
        <v>5</v>
      </c>
    </row>
    <row r="2490" spans="1:4">
      <c r="A2490" s="93" t="s">
        <v>7993</v>
      </c>
      <c r="B2490">
        <v>2</v>
      </c>
      <c r="C2490">
        <v>1560</v>
      </c>
      <c r="D2490">
        <v>5</v>
      </c>
    </row>
    <row r="2491" spans="1:4">
      <c r="A2491" s="93" t="s">
        <v>7994</v>
      </c>
      <c r="B2491">
        <v>1.9</v>
      </c>
      <c r="C2491">
        <v>1560</v>
      </c>
      <c r="D2491">
        <v>5</v>
      </c>
    </row>
    <row r="2492" spans="1:4">
      <c r="A2492" s="93" t="s">
        <v>7995</v>
      </c>
      <c r="B2492">
        <v>1.8</v>
      </c>
      <c r="C2492">
        <v>1560</v>
      </c>
      <c r="D2492">
        <v>5</v>
      </c>
    </row>
    <row r="2493" spans="1:4">
      <c r="A2493" s="93" t="s">
        <v>7996</v>
      </c>
      <c r="B2493">
        <v>1.7</v>
      </c>
      <c r="C2493">
        <v>1560</v>
      </c>
      <c r="D2493">
        <v>6</v>
      </c>
    </row>
    <row r="2494" spans="1:4">
      <c r="A2494" s="93" t="s">
        <v>7997</v>
      </c>
      <c r="B2494">
        <v>1.6</v>
      </c>
      <c r="C2494">
        <v>1560</v>
      </c>
      <c r="D2494">
        <v>6</v>
      </c>
    </row>
    <row r="2495" spans="1:4">
      <c r="A2495" s="93" t="s">
        <v>7998</v>
      </c>
      <c r="B2495">
        <v>1.5</v>
      </c>
      <c r="C2495">
        <v>1560</v>
      </c>
      <c r="D2495">
        <v>6</v>
      </c>
    </row>
    <row r="2496" spans="1:4">
      <c r="A2496" s="93" t="s">
        <v>7999</v>
      </c>
      <c r="B2496">
        <v>4.3</v>
      </c>
      <c r="C2496">
        <v>1570</v>
      </c>
      <c r="D2496">
        <v>1</v>
      </c>
    </row>
    <row r="2497" spans="1:4">
      <c r="A2497" s="93" t="s">
        <v>8000</v>
      </c>
      <c r="B2497">
        <v>4.2</v>
      </c>
      <c r="C2497">
        <v>1570</v>
      </c>
      <c r="D2497">
        <v>1</v>
      </c>
    </row>
    <row r="2498" spans="1:4">
      <c r="A2498" s="93" t="s">
        <v>8001</v>
      </c>
      <c r="B2498">
        <v>4.1</v>
      </c>
      <c r="C2498">
        <v>1570</v>
      </c>
      <c r="D2498">
        <v>1</v>
      </c>
    </row>
    <row r="2499" spans="1:4">
      <c r="A2499" s="93" t="s">
        <v>8002</v>
      </c>
      <c r="B2499">
        <v>4</v>
      </c>
      <c r="C2499">
        <v>1570</v>
      </c>
      <c r="D2499">
        <v>1</v>
      </c>
    </row>
    <row r="2500" spans="1:4">
      <c r="A2500" s="93" t="s">
        <v>8003</v>
      </c>
      <c r="B2500">
        <v>3.9</v>
      </c>
      <c r="C2500">
        <v>1570</v>
      </c>
      <c r="D2500">
        <v>1</v>
      </c>
    </row>
    <row r="2501" spans="1:4">
      <c r="A2501" s="93" t="s">
        <v>8004</v>
      </c>
      <c r="B2501">
        <v>3.8</v>
      </c>
      <c r="C2501">
        <v>1570</v>
      </c>
      <c r="D2501">
        <v>1</v>
      </c>
    </row>
    <row r="2502" spans="1:4">
      <c r="A2502" s="93" t="s">
        <v>8005</v>
      </c>
      <c r="B2502">
        <v>3.7</v>
      </c>
      <c r="C2502">
        <v>1570</v>
      </c>
      <c r="D2502">
        <v>1</v>
      </c>
    </row>
    <row r="2503" spans="1:4">
      <c r="A2503" s="93" t="s">
        <v>8006</v>
      </c>
      <c r="B2503">
        <v>3.6</v>
      </c>
      <c r="C2503">
        <v>1570</v>
      </c>
      <c r="D2503">
        <v>1</v>
      </c>
    </row>
    <row r="2504" spans="1:4">
      <c r="A2504" s="93" t="s">
        <v>8007</v>
      </c>
      <c r="B2504">
        <v>3.5</v>
      </c>
      <c r="C2504">
        <v>1570</v>
      </c>
      <c r="D2504">
        <v>1</v>
      </c>
    </row>
    <row r="2505" spans="1:4">
      <c r="A2505" s="93" t="s">
        <v>8008</v>
      </c>
      <c r="B2505">
        <v>3.4</v>
      </c>
      <c r="C2505">
        <v>1570</v>
      </c>
      <c r="D2505">
        <v>1</v>
      </c>
    </row>
    <row r="2506" spans="1:4">
      <c r="A2506" s="93" t="s">
        <v>8009</v>
      </c>
      <c r="B2506">
        <v>3.3</v>
      </c>
      <c r="C2506">
        <v>1570</v>
      </c>
      <c r="D2506">
        <v>1</v>
      </c>
    </row>
    <row r="2507" spans="1:4">
      <c r="A2507" s="93" t="s">
        <v>8010</v>
      </c>
      <c r="B2507">
        <v>3.2</v>
      </c>
      <c r="C2507">
        <v>1570</v>
      </c>
      <c r="D2507">
        <v>1</v>
      </c>
    </row>
    <row r="2508" spans="1:4">
      <c r="A2508" s="93" t="s">
        <v>8011</v>
      </c>
      <c r="B2508">
        <v>3.1</v>
      </c>
      <c r="C2508">
        <v>1570</v>
      </c>
      <c r="D2508">
        <v>1</v>
      </c>
    </row>
    <row r="2509" spans="1:4">
      <c r="A2509" s="93" t="s">
        <v>8012</v>
      </c>
      <c r="B2509">
        <v>3</v>
      </c>
      <c r="C2509">
        <v>1570</v>
      </c>
      <c r="D2509">
        <v>1</v>
      </c>
    </row>
    <row r="2510" spans="1:4">
      <c r="A2510" s="93" t="s">
        <v>8013</v>
      </c>
      <c r="B2510">
        <v>2.9</v>
      </c>
      <c r="C2510">
        <v>1570</v>
      </c>
      <c r="D2510">
        <v>1</v>
      </c>
    </row>
    <row r="2511" spans="1:4">
      <c r="A2511" s="93" t="s">
        <v>8014</v>
      </c>
      <c r="B2511">
        <v>2.8</v>
      </c>
      <c r="C2511">
        <v>1570</v>
      </c>
      <c r="D2511">
        <v>1</v>
      </c>
    </row>
    <row r="2512" spans="1:4">
      <c r="A2512" s="93" t="s">
        <v>8015</v>
      </c>
      <c r="B2512">
        <v>2.7</v>
      </c>
      <c r="C2512">
        <v>1570</v>
      </c>
      <c r="D2512">
        <v>1</v>
      </c>
    </row>
    <row r="2513" spans="1:4">
      <c r="A2513" s="93" t="s">
        <v>8016</v>
      </c>
      <c r="B2513">
        <v>2.6</v>
      </c>
      <c r="C2513">
        <v>1570</v>
      </c>
      <c r="D2513">
        <v>1</v>
      </c>
    </row>
    <row r="2514" spans="1:4">
      <c r="A2514" s="93" t="s">
        <v>8017</v>
      </c>
      <c r="B2514">
        <v>2.5</v>
      </c>
      <c r="C2514">
        <v>1570</v>
      </c>
      <c r="D2514">
        <v>1</v>
      </c>
    </row>
    <row r="2515" spans="1:4">
      <c r="A2515" s="93" t="s">
        <v>8018</v>
      </c>
      <c r="B2515">
        <v>2.4</v>
      </c>
      <c r="C2515">
        <v>1570</v>
      </c>
      <c r="D2515">
        <v>1</v>
      </c>
    </row>
    <row r="2516" spans="1:4">
      <c r="A2516" s="93" t="s">
        <v>8019</v>
      </c>
      <c r="B2516">
        <v>2.3</v>
      </c>
      <c r="C2516">
        <v>1570</v>
      </c>
      <c r="D2516">
        <v>1</v>
      </c>
    </row>
    <row r="2517" spans="1:4">
      <c r="A2517" s="93" t="s">
        <v>8020</v>
      </c>
      <c r="B2517">
        <v>2.2</v>
      </c>
      <c r="C2517">
        <v>1570</v>
      </c>
      <c r="D2517">
        <v>2</v>
      </c>
    </row>
    <row r="2518" spans="1:4">
      <c r="A2518" s="93" t="s">
        <v>8021</v>
      </c>
      <c r="B2518">
        <v>2.1</v>
      </c>
      <c r="C2518">
        <v>1570</v>
      </c>
      <c r="D2518">
        <v>5</v>
      </c>
    </row>
    <row r="2519" spans="1:4">
      <c r="A2519" s="93" t="s">
        <v>8022</v>
      </c>
      <c r="B2519">
        <v>2</v>
      </c>
      <c r="C2519">
        <v>1570</v>
      </c>
      <c r="D2519">
        <v>5</v>
      </c>
    </row>
    <row r="2520" spans="1:4">
      <c r="A2520" s="93" t="s">
        <v>8023</v>
      </c>
      <c r="B2520">
        <v>1.9</v>
      </c>
      <c r="C2520">
        <v>1570</v>
      </c>
      <c r="D2520">
        <v>5</v>
      </c>
    </row>
    <row r="2521" spans="1:4">
      <c r="A2521" s="93" t="s">
        <v>8024</v>
      </c>
      <c r="B2521">
        <v>1.8</v>
      </c>
      <c r="C2521">
        <v>1570</v>
      </c>
      <c r="D2521">
        <v>5</v>
      </c>
    </row>
    <row r="2522" spans="1:4">
      <c r="A2522" s="93" t="s">
        <v>8025</v>
      </c>
      <c r="B2522">
        <v>1.7</v>
      </c>
      <c r="C2522">
        <v>1570</v>
      </c>
      <c r="D2522">
        <v>5</v>
      </c>
    </row>
    <row r="2523" spans="1:4">
      <c r="A2523" s="93" t="s">
        <v>8026</v>
      </c>
      <c r="B2523">
        <v>1.6</v>
      </c>
      <c r="C2523">
        <v>1570</v>
      </c>
      <c r="D2523">
        <v>6</v>
      </c>
    </row>
    <row r="2524" spans="1:4">
      <c r="A2524" s="93" t="s">
        <v>8027</v>
      </c>
      <c r="B2524">
        <v>1.5</v>
      </c>
      <c r="C2524">
        <v>1570</v>
      </c>
      <c r="D2524">
        <v>6</v>
      </c>
    </row>
    <row r="2525" spans="1:4">
      <c r="A2525" s="93" t="s">
        <v>8028</v>
      </c>
      <c r="B2525">
        <v>4.3</v>
      </c>
      <c r="C2525">
        <v>1580</v>
      </c>
      <c r="D2525">
        <v>1</v>
      </c>
    </row>
    <row r="2526" spans="1:4">
      <c r="A2526" s="93" t="s">
        <v>8029</v>
      </c>
      <c r="B2526">
        <v>4.2</v>
      </c>
      <c r="C2526">
        <v>1580</v>
      </c>
      <c r="D2526">
        <v>1</v>
      </c>
    </row>
    <row r="2527" spans="1:4">
      <c r="A2527" s="93" t="s">
        <v>8030</v>
      </c>
      <c r="B2527">
        <v>4.1</v>
      </c>
      <c r="C2527">
        <v>1580</v>
      </c>
      <c r="D2527">
        <v>1</v>
      </c>
    </row>
    <row r="2528" spans="1:4">
      <c r="A2528" s="93" t="s">
        <v>8031</v>
      </c>
      <c r="B2528">
        <v>4</v>
      </c>
      <c r="C2528">
        <v>1580</v>
      </c>
      <c r="D2528">
        <v>1</v>
      </c>
    </row>
    <row r="2529" spans="1:4">
      <c r="A2529" s="93" t="s">
        <v>8032</v>
      </c>
      <c r="B2529">
        <v>3.9</v>
      </c>
      <c r="C2529">
        <v>1580</v>
      </c>
      <c r="D2529">
        <v>1</v>
      </c>
    </row>
    <row r="2530" spans="1:4">
      <c r="A2530" s="93" t="s">
        <v>8033</v>
      </c>
      <c r="B2530">
        <v>3.8</v>
      </c>
      <c r="C2530">
        <v>1580</v>
      </c>
      <c r="D2530">
        <v>1</v>
      </c>
    </row>
    <row r="2531" spans="1:4">
      <c r="A2531" s="93" t="s">
        <v>8034</v>
      </c>
      <c r="B2531">
        <v>3.7</v>
      </c>
      <c r="C2531">
        <v>1580</v>
      </c>
      <c r="D2531">
        <v>1</v>
      </c>
    </row>
    <row r="2532" spans="1:4">
      <c r="A2532" s="93" t="s">
        <v>8035</v>
      </c>
      <c r="B2532">
        <v>3.6</v>
      </c>
      <c r="C2532">
        <v>1580</v>
      </c>
      <c r="D2532">
        <v>1</v>
      </c>
    </row>
    <row r="2533" spans="1:4">
      <c r="A2533" s="93" t="s">
        <v>8036</v>
      </c>
      <c r="B2533">
        <v>3.5</v>
      </c>
      <c r="C2533">
        <v>1580</v>
      </c>
      <c r="D2533">
        <v>1</v>
      </c>
    </row>
    <row r="2534" spans="1:4">
      <c r="A2534" s="93" t="s">
        <v>8037</v>
      </c>
      <c r="B2534">
        <v>3.4</v>
      </c>
      <c r="C2534">
        <v>1580</v>
      </c>
      <c r="D2534">
        <v>1</v>
      </c>
    </row>
    <row r="2535" spans="1:4">
      <c r="A2535" s="93" t="s">
        <v>8038</v>
      </c>
      <c r="B2535">
        <v>3.3</v>
      </c>
      <c r="C2535">
        <v>1580</v>
      </c>
      <c r="D2535">
        <v>1</v>
      </c>
    </row>
    <row r="2536" spans="1:4">
      <c r="A2536" s="93" t="s">
        <v>8039</v>
      </c>
      <c r="B2536">
        <v>3.2</v>
      </c>
      <c r="C2536">
        <v>1580</v>
      </c>
      <c r="D2536">
        <v>1</v>
      </c>
    </row>
    <row r="2537" spans="1:4">
      <c r="A2537" s="93" t="s">
        <v>8040</v>
      </c>
      <c r="B2537">
        <v>3.1</v>
      </c>
      <c r="C2537">
        <v>1580</v>
      </c>
      <c r="D2537">
        <v>1</v>
      </c>
    </row>
    <row r="2538" spans="1:4">
      <c r="A2538" s="93" t="s">
        <v>8041</v>
      </c>
      <c r="B2538">
        <v>3</v>
      </c>
      <c r="C2538">
        <v>1580</v>
      </c>
      <c r="D2538">
        <v>1</v>
      </c>
    </row>
    <row r="2539" spans="1:4">
      <c r="A2539" s="93" t="s">
        <v>8042</v>
      </c>
      <c r="B2539">
        <v>2.9</v>
      </c>
      <c r="C2539">
        <v>1580</v>
      </c>
      <c r="D2539">
        <v>1</v>
      </c>
    </row>
    <row r="2540" spans="1:4">
      <c r="A2540" s="93" t="s">
        <v>8043</v>
      </c>
      <c r="B2540">
        <v>2.8</v>
      </c>
      <c r="C2540">
        <v>1580</v>
      </c>
      <c r="D2540">
        <v>1</v>
      </c>
    </row>
    <row r="2541" spans="1:4">
      <c r="A2541" s="93" t="s">
        <v>8044</v>
      </c>
      <c r="B2541">
        <v>2.7</v>
      </c>
      <c r="C2541">
        <v>1580</v>
      </c>
      <c r="D2541">
        <v>1</v>
      </c>
    </row>
    <row r="2542" spans="1:4">
      <c r="A2542" s="93" t="s">
        <v>8045</v>
      </c>
      <c r="B2542">
        <v>2.6</v>
      </c>
      <c r="C2542">
        <v>1580</v>
      </c>
      <c r="D2542">
        <v>1</v>
      </c>
    </row>
    <row r="2543" spans="1:4">
      <c r="A2543" s="93" t="s">
        <v>8046</v>
      </c>
      <c r="B2543">
        <v>2.5</v>
      </c>
      <c r="C2543">
        <v>1580</v>
      </c>
      <c r="D2543">
        <v>1</v>
      </c>
    </row>
    <row r="2544" spans="1:4">
      <c r="A2544" s="93" t="s">
        <v>8047</v>
      </c>
      <c r="B2544">
        <v>2.4</v>
      </c>
      <c r="C2544">
        <v>1580</v>
      </c>
      <c r="D2544">
        <v>1</v>
      </c>
    </row>
    <row r="2545" spans="1:4">
      <c r="A2545" s="93" t="s">
        <v>8048</v>
      </c>
      <c r="B2545">
        <v>2.3</v>
      </c>
      <c r="C2545">
        <v>1580</v>
      </c>
      <c r="D2545">
        <v>1</v>
      </c>
    </row>
    <row r="2546" spans="1:4">
      <c r="A2546" s="93" t="s">
        <v>8049</v>
      </c>
      <c r="B2546">
        <v>2.2</v>
      </c>
      <c r="C2546">
        <v>1580</v>
      </c>
      <c r="D2546">
        <v>2</v>
      </c>
    </row>
    <row r="2547" spans="1:4">
      <c r="A2547" s="93" t="s">
        <v>8050</v>
      </c>
      <c r="B2547">
        <v>2.1</v>
      </c>
      <c r="C2547">
        <v>1580</v>
      </c>
      <c r="D2547">
        <v>5</v>
      </c>
    </row>
    <row r="2548" spans="1:4">
      <c r="A2548" s="93" t="s">
        <v>8051</v>
      </c>
      <c r="B2548">
        <v>2</v>
      </c>
      <c r="C2548">
        <v>1580</v>
      </c>
      <c r="D2548">
        <v>5</v>
      </c>
    </row>
    <row r="2549" spans="1:4">
      <c r="A2549" s="93" t="s">
        <v>8052</v>
      </c>
      <c r="B2549">
        <v>1.9</v>
      </c>
      <c r="C2549">
        <v>1580</v>
      </c>
      <c r="D2549">
        <v>5</v>
      </c>
    </row>
    <row r="2550" spans="1:4">
      <c r="A2550" s="93" t="s">
        <v>8053</v>
      </c>
      <c r="B2550">
        <v>1.8</v>
      </c>
      <c r="C2550">
        <v>1580</v>
      </c>
      <c r="D2550">
        <v>5</v>
      </c>
    </row>
    <row r="2551" spans="1:4">
      <c r="A2551" s="93" t="s">
        <v>8054</v>
      </c>
      <c r="B2551">
        <v>1.7</v>
      </c>
      <c r="C2551">
        <v>1580</v>
      </c>
      <c r="D2551">
        <v>5</v>
      </c>
    </row>
    <row r="2552" spans="1:4">
      <c r="A2552" s="93" t="s">
        <v>8055</v>
      </c>
      <c r="B2552">
        <v>1.6</v>
      </c>
      <c r="C2552">
        <v>1580</v>
      </c>
      <c r="D2552">
        <v>6</v>
      </c>
    </row>
    <row r="2553" spans="1:4">
      <c r="A2553" s="93" t="s">
        <v>8056</v>
      </c>
      <c r="B2553">
        <v>1.5</v>
      </c>
      <c r="C2553">
        <v>1580</v>
      </c>
      <c r="D2553">
        <v>6</v>
      </c>
    </row>
    <row r="2554" spans="1:4">
      <c r="A2554" s="93" t="s">
        <v>8057</v>
      </c>
      <c r="B2554">
        <v>4.3</v>
      </c>
      <c r="C2554">
        <v>1590</v>
      </c>
      <c r="D2554">
        <v>1</v>
      </c>
    </row>
    <row r="2555" spans="1:4">
      <c r="A2555" s="93" t="s">
        <v>8058</v>
      </c>
      <c r="B2555">
        <v>4.2</v>
      </c>
      <c r="C2555">
        <v>1590</v>
      </c>
      <c r="D2555">
        <v>1</v>
      </c>
    </row>
    <row r="2556" spans="1:4">
      <c r="A2556" s="93" t="s">
        <v>8059</v>
      </c>
      <c r="B2556">
        <v>4.1</v>
      </c>
      <c r="C2556">
        <v>1590</v>
      </c>
      <c r="D2556">
        <v>1</v>
      </c>
    </row>
    <row r="2557" spans="1:4">
      <c r="A2557" s="93" t="s">
        <v>8060</v>
      </c>
      <c r="B2557">
        <v>4</v>
      </c>
      <c r="C2557">
        <v>1590</v>
      </c>
      <c r="D2557">
        <v>1</v>
      </c>
    </row>
    <row r="2558" spans="1:4">
      <c r="A2558" s="93" t="s">
        <v>8061</v>
      </c>
      <c r="B2558">
        <v>3.9</v>
      </c>
      <c r="C2558">
        <v>1590</v>
      </c>
      <c r="D2558">
        <v>1</v>
      </c>
    </row>
    <row r="2559" spans="1:4">
      <c r="A2559" s="93" t="s">
        <v>8062</v>
      </c>
      <c r="B2559">
        <v>3.8</v>
      </c>
      <c r="C2559">
        <v>1590</v>
      </c>
      <c r="D2559">
        <v>1</v>
      </c>
    </row>
    <row r="2560" spans="1:4">
      <c r="A2560" s="93" t="s">
        <v>8063</v>
      </c>
      <c r="B2560">
        <v>3.7</v>
      </c>
      <c r="C2560">
        <v>1590</v>
      </c>
      <c r="D2560">
        <v>1</v>
      </c>
    </row>
    <row r="2561" spans="1:4">
      <c r="A2561" s="93" t="s">
        <v>8064</v>
      </c>
      <c r="B2561">
        <v>3.6</v>
      </c>
      <c r="C2561">
        <v>1590</v>
      </c>
      <c r="D2561">
        <v>1</v>
      </c>
    </row>
    <row r="2562" spans="1:4">
      <c r="A2562" s="93" t="s">
        <v>8065</v>
      </c>
      <c r="B2562">
        <v>3.5</v>
      </c>
      <c r="C2562">
        <v>1590</v>
      </c>
      <c r="D2562">
        <v>1</v>
      </c>
    </row>
    <row r="2563" spans="1:4">
      <c r="A2563" s="93" t="s">
        <v>8066</v>
      </c>
      <c r="B2563">
        <v>3.4</v>
      </c>
      <c r="C2563">
        <v>1590</v>
      </c>
      <c r="D2563">
        <v>1</v>
      </c>
    </row>
    <row r="2564" spans="1:4">
      <c r="A2564" s="93" t="s">
        <v>8067</v>
      </c>
      <c r="B2564">
        <v>3.3</v>
      </c>
      <c r="C2564">
        <v>1590</v>
      </c>
      <c r="D2564">
        <v>1</v>
      </c>
    </row>
    <row r="2565" spans="1:4">
      <c r="A2565" s="93" t="s">
        <v>8068</v>
      </c>
      <c r="B2565">
        <v>3.2</v>
      </c>
      <c r="C2565">
        <v>1590</v>
      </c>
      <c r="D2565">
        <v>1</v>
      </c>
    </row>
    <row r="2566" spans="1:4">
      <c r="A2566" s="93" t="s">
        <v>8069</v>
      </c>
      <c r="B2566">
        <v>3.1</v>
      </c>
      <c r="C2566">
        <v>1590</v>
      </c>
      <c r="D2566">
        <v>1</v>
      </c>
    </row>
    <row r="2567" spans="1:4">
      <c r="A2567" s="93" t="s">
        <v>8070</v>
      </c>
      <c r="B2567">
        <v>3</v>
      </c>
      <c r="C2567">
        <v>1590</v>
      </c>
      <c r="D2567">
        <v>1</v>
      </c>
    </row>
    <row r="2568" spans="1:4">
      <c r="A2568" s="93" t="s">
        <v>8071</v>
      </c>
      <c r="B2568">
        <v>2.9</v>
      </c>
      <c r="C2568">
        <v>1590</v>
      </c>
      <c r="D2568">
        <v>1</v>
      </c>
    </row>
    <row r="2569" spans="1:4">
      <c r="A2569" s="93" t="s">
        <v>8072</v>
      </c>
      <c r="B2569">
        <v>2.8</v>
      </c>
      <c r="C2569">
        <v>1590</v>
      </c>
      <c r="D2569">
        <v>1</v>
      </c>
    </row>
    <row r="2570" spans="1:4">
      <c r="A2570" s="93" t="s">
        <v>8073</v>
      </c>
      <c r="B2570">
        <v>2.7</v>
      </c>
      <c r="C2570">
        <v>1590</v>
      </c>
      <c r="D2570">
        <v>1</v>
      </c>
    </row>
    <row r="2571" spans="1:4">
      <c r="A2571" s="93" t="s">
        <v>8074</v>
      </c>
      <c r="B2571">
        <v>2.6</v>
      </c>
      <c r="C2571">
        <v>1590</v>
      </c>
      <c r="D2571">
        <v>1</v>
      </c>
    </row>
    <row r="2572" spans="1:4">
      <c r="A2572" s="93" t="s">
        <v>8075</v>
      </c>
      <c r="B2572">
        <v>2.5</v>
      </c>
      <c r="C2572">
        <v>1590</v>
      </c>
      <c r="D2572">
        <v>1</v>
      </c>
    </row>
    <row r="2573" spans="1:4">
      <c r="A2573" s="93" t="s">
        <v>8076</v>
      </c>
      <c r="B2573">
        <v>2.4</v>
      </c>
      <c r="C2573">
        <v>1590</v>
      </c>
      <c r="D2573">
        <v>1</v>
      </c>
    </row>
    <row r="2574" spans="1:4">
      <c r="A2574" s="93" t="s">
        <v>8077</v>
      </c>
      <c r="B2574">
        <v>2.3</v>
      </c>
      <c r="C2574">
        <v>1590</v>
      </c>
      <c r="D2574">
        <v>1</v>
      </c>
    </row>
    <row r="2575" spans="1:4">
      <c r="A2575" s="93" t="s">
        <v>8078</v>
      </c>
      <c r="B2575">
        <v>2.2</v>
      </c>
      <c r="C2575">
        <v>1590</v>
      </c>
      <c r="D2575">
        <v>2</v>
      </c>
    </row>
    <row r="2576" spans="1:4">
      <c r="A2576" s="93" t="s">
        <v>8079</v>
      </c>
      <c r="B2576">
        <v>2.1</v>
      </c>
      <c r="C2576">
        <v>1590</v>
      </c>
      <c r="D2576">
        <v>5</v>
      </c>
    </row>
    <row r="2577" spans="1:4">
      <c r="A2577" s="93" t="s">
        <v>8080</v>
      </c>
      <c r="B2577">
        <v>2</v>
      </c>
      <c r="C2577">
        <v>1590</v>
      </c>
      <c r="D2577">
        <v>5</v>
      </c>
    </row>
    <row r="2578" spans="1:4">
      <c r="A2578" s="93" t="s">
        <v>8081</v>
      </c>
      <c r="B2578">
        <v>1.9</v>
      </c>
      <c r="C2578">
        <v>1590</v>
      </c>
      <c r="D2578">
        <v>5</v>
      </c>
    </row>
    <row r="2579" spans="1:4">
      <c r="A2579" s="93" t="s">
        <v>8082</v>
      </c>
      <c r="B2579">
        <v>1.8</v>
      </c>
      <c r="C2579">
        <v>1590</v>
      </c>
      <c r="D2579">
        <v>5</v>
      </c>
    </row>
    <row r="2580" spans="1:4">
      <c r="A2580" s="93" t="s">
        <v>8083</v>
      </c>
      <c r="B2580">
        <v>1.7</v>
      </c>
      <c r="C2580">
        <v>1590</v>
      </c>
      <c r="D2580">
        <v>5</v>
      </c>
    </row>
    <row r="2581" spans="1:4">
      <c r="A2581" s="93" t="s">
        <v>8084</v>
      </c>
      <c r="B2581">
        <v>1.6</v>
      </c>
      <c r="C2581">
        <v>1590</v>
      </c>
      <c r="D2581">
        <v>6</v>
      </c>
    </row>
    <row r="2582" spans="1:4">
      <c r="A2582" s="93" t="s">
        <v>8085</v>
      </c>
      <c r="B2582">
        <v>1.5</v>
      </c>
      <c r="C2582">
        <v>1590</v>
      </c>
      <c r="D2582">
        <v>6</v>
      </c>
    </row>
    <row r="2583" spans="1:4">
      <c r="A2583" s="93" t="s">
        <v>8086</v>
      </c>
      <c r="B2583">
        <v>4.3</v>
      </c>
      <c r="C2583">
        <v>1600</v>
      </c>
      <c r="D2583">
        <v>1</v>
      </c>
    </row>
    <row r="2584" spans="1:4">
      <c r="A2584" s="93" t="s">
        <v>8087</v>
      </c>
      <c r="B2584">
        <v>4.2</v>
      </c>
      <c r="C2584">
        <v>1600</v>
      </c>
      <c r="D2584">
        <v>1</v>
      </c>
    </row>
    <row r="2585" spans="1:4">
      <c r="A2585" s="93" t="s">
        <v>8088</v>
      </c>
      <c r="B2585">
        <v>4.1</v>
      </c>
      <c r="C2585">
        <v>1600</v>
      </c>
      <c r="D2585">
        <v>1</v>
      </c>
    </row>
    <row r="2586" spans="1:4">
      <c r="A2586" s="93" t="s">
        <v>8089</v>
      </c>
      <c r="B2586">
        <v>4</v>
      </c>
      <c r="C2586">
        <v>1600</v>
      </c>
      <c r="D2586">
        <v>1</v>
      </c>
    </row>
    <row r="2587" spans="1:4">
      <c r="A2587" s="93" t="s">
        <v>8090</v>
      </c>
      <c r="B2587">
        <v>3.9</v>
      </c>
      <c r="C2587">
        <v>1600</v>
      </c>
      <c r="D2587">
        <v>1</v>
      </c>
    </row>
    <row r="2588" spans="1:4">
      <c r="A2588" s="93" t="s">
        <v>8091</v>
      </c>
      <c r="B2588">
        <v>3.8</v>
      </c>
      <c r="C2588">
        <v>1600</v>
      </c>
      <c r="D2588">
        <v>1</v>
      </c>
    </row>
    <row r="2589" spans="1:4">
      <c r="A2589" s="93" t="s">
        <v>8092</v>
      </c>
      <c r="B2589">
        <v>3.7</v>
      </c>
      <c r="C2589">
        <v>1600</v>
      </c>
      <c r="D2589">
        <v>1</v>
      </c>
    </row>
    <row r="2590" spans="1:4">
      <c r="A2590" s="93" t="s">
        <v>8093</v>
      </c>
      <c r="B2590">
        <v>3.6</v>
      </c>
      <c r="C2590">
        <v>1600</v>
      </c>
      <c r="D2590">
        <v>1</v>
      </c>
    </row>
    <row r="2591" spans="1:4">
      <c r="A2591" s="93" t="s">
        <v>8094</v>
      </c>
      <c r="B2591">
        <v>3.5</v>
      </c>
      <c r="C2591">
        <v>1600</v>
      </c>
      <c r="D2591">
        <v>1</v>
      </c>
    </row>
    <row r="2592" spans="1:4">
      <c r="A2592" s="93" t="s">
        <v>8095</v>
      </c>
      <c r="B2592">
        <v>3.4</v>
      </c>
      <c r="C2592">
        <v>1600</v>
      </c>
      <c r="D2592">
        <v>1</v>
      </c>
    </row>
    <row r="2593" spans="1:4">
      <c r="A2593" s="93" t="s">
        <v>8096</v>
      </c>
      <c r="B2593">
        <v>3.3</v>
      </c>
      <c r="C2593">
        <v>1600</v>
      </c>
      <c r="D2593">
        <v>1</v>
      </c>
    </row>
    <row r="2594" spans="1:4">
      <c r="A2594" s="93" t="s">
        <v>8097</v>
      </c>
      <c r="B2594">
        <v>3.2</v>
      </c>
      <c r="C2594">
        <v>1600</v>
      </c>
      <c r="D2594">
        <v>1</v>
      </c>
    </row>
    <row r="2595" spans="1:4">
      <c r="A2595" s="93" t="s">
        <v>8098</v>
      </c>
      <c r="B2595">
        <v>3.1</v>
      </c>
      <c r="C2595">
        <v>1600</v>
      </c>
      <c r="D2595">
        <v>1</v>
      </c>
    </row>
    <row r="2596" spans="1:4">
      <c r="A2596" s="93" t="s">
        <v>8099</v>
      </c>
      <c r="B2596">
        <v>3</v>
      </c>
      <c r="C2596">
        <v>1600</v>
      </c>
      <c r="D2596">
        <v>1</v>
      </c>
    </row>
    <row r="2597" spans="1:4">
      <c r="A2597" s="93" t="s">
        <v>8100</v>
      </c>
      <c r="B2597">
        <v>2.9</v>
      </c>
      <c r="C2597">
        <v>1600</v>
      </c>
      <c r="D2597">
        <v>1</v>
      </c>
    </row>
    <row r="2598" spans="1:4">
      <c r="A2598" s="93" t="s">
        <v>8101</v>
      </c>
      <c r="B2598">
        <v>2.8</v>
      </c>
      <c r="C2598">
        <v>1600</v>
      </c>
      <c r="D2598">
        <v>1</v>
      </c>
    </row>
    <row r="2599" spans="1:4">
      <c r="A2599" s="93" t="s">
        <v>8102</v>
      </c>
      <c r="B2599">
        <v>2.7</v>
      </c>
      <c r="C2599">
        <v>1600</v>
      </c>
      <c r="D2599">
        <v>1</v>
      </c>
    </row>
    <row r="2600" spans="1:4">
      <c r="A2600" s="93" t="s">
        <v>8103</v>
      </c>
      <c r="B2600">
        <v>2.6</v>
      </c>
      <c r="C2600">
        <v>1600</v>
      </c>
      <c r="D2600">
        <v>1</v>
      </c>
    </row>
    <row r="2601" spans="1:4">
      <c r="A2601" s="93" t="s">
        <v>8104</v>
      </c>
      <c r="B2601">
        <v>2.5</v>
      </c>
      <c r="C2601">
        <v>1600</v>
      </c>
      <c r="D2601">
        <v>1</v>
      </c>
    </row>
    <row r="2602" spans="1:4">
      <c r="A2602" s="93" t="s">
        <v>8105</v>
      </c>
      <c r="B2602">
        <v>2.4</v>
      </c>
      <c r="C2602">
        <v>1600</v>
      </c>
      <c r="D2602">
        <v>1</v>
      </c>
    </row>
    <row r="2603" spans="1:4">
      <c r="A2603" s="93" t="s">
        <v>8106</v>
      </c>
      <c r="B2603">
        <v>2.3</v>
      </c>
      <c r="C2603">
        <v>1600</v>
      </c>
      <c r="D2603">
        <v>1</v>
      </c>
    </row>
    <row r="2604" spans="1:4">
      <c r="A2604" s="93" t="s">
        <v>8107</v>
      </c>
      <c r="B2604">
        <v>2.2</v>
      </c>
      <c r="C2604">
        <v>1600</v>
      </c>
      <c r="D2604">
        <v>2</v>
      </c>
    </row>
    <row r="2605" spans="1:4">
      <c r="A2605" s="93" t="s">
        <v>8108</v>
      </c>
      <c r="B2605">
        <v>2.1</v>
      </c>
      <c r="C2605">
        <v>1600</v>
      </c>
      <c r="D2605">
        <v>5</v>
      </c>
    </row>
    <row r="2606" spans="1:4">
      <c r="A2606" s="93" t="s">
        <v>8109</v>
      </c>
      <c r="B2606">
        <v>2</v>
      </c>
      <c r="C2606">
        <v>1600</v>
      </c>
      <c r="D2606">
        <v>5</v>
      </c>
    </row>
    <row r="2607" spans="1:4">
      <c r="A2607" s="93" t="s">
        <v>8110</v>
      </c>
      <c r="B2607">
        <v>1.9</v>
      </c>
      <c r="C2607">
        <v>1600</v>
      </c>
      <c r="D2607">
        <v>5</v>
      </c>
    </row>
    <row r="2608" spans="1:4">
      <c r="A2608" s="93" t="s">
        <v>8111</v>
      </c>
      <c r="B2608">
        <v>1.8</v>
      </c>
      <c r="C2608">
        <v>1600</v>
      </c>
      <c r="D2608">
        <v>5</v>
      </c>
    </row>
    <row r="2609" spans="1:4">
      <c r="A2609" s="93" t="s">
        <v>8112</v>
      </c>
      <c r="B2609">
        <v>1.7</v>
      </c>
      <c r="C2609">
        <v>1600</v>
      </c>
      <c r="D2609">
        <v>5</v>
      </c>
    </row>
    <row r="2610" spans="1:4">
      <c r="A2610" s="93" t="s">
        <v>8113</v>
      </c>
      <c r="B2610">
        <v>1.6</v>
      </c>
      <c r="C2610">
        <v>1600</v>
      </c>
      <c r="D2610">
        <v>6</v>
      </c>
    </row>
    <row r="2611" spans="1:4">
      <c r="A2611" s="93" t="s">
        <v>8114</v>
      </c>
      <c r="B2611">
        <v>1.5</v>
      </c>
      <c r="C2611">
        <v>1600</v>
      </c>
      <c r="D2611">
        <v>6</v>
      </c>
    </row>
  </sheetData>
  <autoFilter ref="A1:D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2" max="7" width="15.7109375" style="92" customWidth="1"/>
  </cols>
  <sheetData>
    <row r="1" spans="1:7">
      <c r="A1" s="93" t="s">
        <v>0</v>
      </c>
      <c r="B1" s="93" t="s">
        <v>8115</v>
      </c>
      <c r="C1" s="93" t="s">
        <v>8116</v>
      </c>
      <c r="D1" s="93" t="s">
        <v>8117</v>
      </c>
      <c r="E1" s="93" t="s">
        <v>8118</v>
      </c>
      <c r="F1" s="93" t="s">
        <v>8119</v>
      </c>
      <c r="G1" s="93" t="s">
        <v>8120</v>
      </c>
    </row>
    <row r="2" spans="1:7">
      <c r="A2" s="93" t="s">
        <v>8121</v>
      </c>
      <c r="B2" s="92">
        <v>0.89</v>
      </c>
      <c r="C2" s="92">
        <v>0.92</v>
      </c>
      <c r="D2" s="92">
        <v>0.86</v>
      </c>
      <c r="E2" s="92">
        <v>0.88</v>
      </c>
      <c r="F2" s="92">
        <v>0.84</v>
      </c>
      <c r="G2" s="92">
        <v>0.88</v>
      </c>
    </row>
    <row r="3" spans="1:7">
      <c r="A3" s="93" t="s">
        <v>8122</v>
      </c>
      <c r="B3" s="92">
        <v>0.75</v>
      </c>
      <c r="C3" s="92">
        <v>0.86</v>
      </c>
      <c r="D3" s="92">
        <v>0.72</v>
      </c>
      <c r="E3" s="92">
        <v>0.85</v>
      </c>
      <c r="F3" s="92">
        <v>0.73</v>
      </c>
      <c r="G3" s="92">
        <v>0.82</v>
      </c>
    </row>
    <row r="4" spans="1:7">
      <c r="A4" s="93" t="s">
        <v>8123</v>
      </c>
      <c r="B4" s="92">
        <v>0.68</v>
      </c>
      <c r="C4" s="92">
        <v>0.8</v>
      </c>
      <c r="D4" s="92">
        <v>0.66</v>
      </c>
      <c r="E4" s="92">
        <v>0.8100000000000001</v>
      </c>
      <c r="F4" s="92">
        <v>0.53</v>
      </c>
      <c r="G4" s="92">
        <v>0.66</v>
      </c>
    </row>
    <row r="5" spans="1:7">
      <c r="A5" s="93" t="s">
        <v>8124</v>
      </c>
      <c r="B5" s="92">
        <v>0.51</v>
      </c>
      <c r="C5" s="92">
        <v>0.68</v>
      </c>
      <c r="D5" s="92">
        <v>0.66</v>
      </c>
      <c r="E5" s="92">
        <v>0.8100000000000001</v>
      </c>
      <c r="F5" s="92">
        <v>0.49</v>
      </c>
      <c r="G5" s="92">
        <v>0.63</v>
      </c>
    </row>
    <row r="6" spans="1:7">
      <c r="A6" s="93" t="s">
        <v>8125</v>
      </c>
      <c r="B6" s="92">
        <v>0.51</v>
      </c>
      <c r="C6" s="92">
        <v>0.61</v>
      </c>
      <c r="D6" s="92">
        <v>0.58</v>
      </c>
      <c r="E6" s="92">
        <v>0.7</v>
      </c>
      <c r="F6" s="92">
        <v>0.47</v>
      </c>
      <c r="G6" s="92">
        <v>0.63</v>
      </c>
    </row>
    <row r="7" spans="1:7">
      <c r="A7" s="93" t="s">
        <v>8126</v>
      </c>
      <c r="B7" s="92">
        <v>0.42</v>
      </c>
      <c r="C7" s="92">
        <v>0.5600000000000001</v>
      </c>
      <c r="D7" s="92">
        <v>0.58</v>
      </c>
      <c r="E7" s="92">
        <v>0.7</v>
      </c>
      <c r="F7" s="92">
        <v>0.47</v>
      </c>
      <c r="G7" s="92">
        <v>0.63</v>
      </c>
    </row>
    <row r="8" spans="1:7">
      <c r="A8" s="93" t="s">
        <v>8127</v>
      </c>
      <c r="B8" s="92">
        <v>0.42</v>
      </c>
      <c r="C8" s="92">
        <v>0.5600000000000001</v>
      </c>
      <c r="D8" s="92">
        <v>0.49</v>
      </c>
      <c r="E8" s="92">
        <v>0.54</v>
      </c>
      <c r="F8" s="92">
        <v>0.51</v>
      </c>
      <c r="G8" s="92">
        <v>0.58</v>
      </c>
    </row>
    <row r="9" spans="1:7">
      <c r="A9" s="93" t="s">
        <v>8128</v>
      </c>
      <c r="B9" s="92">
        <v>0.34</v>
      </c>
      <c r="C9" s="92">
        <v>0.47</v>
      </c>
      <c r="D9" s="92">
        <v>0.49</v>
      </c>
      <c r="E9" s="92">
        <v>0.54</v>
      </c>
      <c r="F9" s="92">
        <v>0.51</v>
      </c>
      <c r="G9" s="92">
        <v>0.58</v>
      </c>
    </row>
    <row r="10" spans="1:7">
      <c r="A10" s="93" t="s">
        <v>8129</v>
      </c>
      <c r="B10" s="92">
        <v>0.34</v>
      </c>
      <c r="C10" s="92">
        <v>0.47</v>
      </c>
      <c r="D10" s="92">
        <v>0.27</v>
      </c>
      <c r="E10" s="92">
        <v>0.43</v>
      </c>
      <c r="F10" s="92">
        <v>0.32</v>
      </c>
      <c r="G10" s="92">
        <v>0.43</v>
      </c>
    </row>
    <row r="11" spans="1:7">
      <c r="A11" s="93" t="s">
        <v>8130</v>
      </c>
      <c r="B11" s="92">
        <v>0.32</v>
      </c>
      <c r="C11" s="92">
        <v>0.45</v>
      </c>
      <c r="D11" s="92">
        <v>0.27</v>
      </c>
      <c r="E11" s="92">
        <v>0.43</v>
      </c>
      <c r="F11" s="92">
        <v>0.32</v>
      </c>
      <c r="G11" s="92">
        <v>0.38</v>
      </c>
    </row>
    <row r="12" spans="1:7">
      <c r="A12" s="93" t="s">
        <v>8131</v>
      </c>
      <c r="B12" s="92">
        <v>0.29</v>
      </c>
      <c r="C12" s="92">
        <v>0.39</v>
      </c>
      <c r="D12" s="92">
        <v>0.27</v>
      </c>
      <c r="E12" s="92">
        <v>0.43</v>
      </c>
      <c r="F12" s="92">
        <v>0.27</v>
      </c>
      <c r="G12" s="92">
        <v>0.3</v>
      </c>
    </row>
    <row r="13" spans="1:7">
      <c r="A13" s="93" t="s">
        <v>8132</v>
      </c>
      <c r="B13" s="92">
        <v>0.28</v>
      </c>
      <c r="C13" s="92">
        <v>0.31</v>
      </c>
      <c r="D13" s="92">
        <v>0.27</v>
      </c>
      <c r="E13" s="92">
        <v>0.43</v>
      </c>
      <c r="F13" s="92">
        <v>0.14</v>
      </c>
      <c r="G13" s="92">
        <v>0.28</v>
      </c>
    </row>
    <row r="14" spans="1:7">
      <c r="A14" s="93" t="s">
        <v>8133</v>
      </c>
      <c r="B14" s="92">
        <v>0.27</v>
      </c>
      <c r="C14" s="92">
        <v>0.31</v>
      </c>
      <c r="D14" s="92">
        <v>0.21</v>
      </c>
      <c r="E14" s="92">
        <v>0.29</v>
      </c>
      <c r="F14" s="92">
        <v>0.14</v>
      </c>
      <c r="G14" s="92">
        <v>0.28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2" width="18.7109375" customWidth="1"/>
  </cols>
  <sheetData>
    <row r="1" spans="1:3">
      <c r="A1" s="88" t="s">
        <v>8134</v>
      </c>
      <c r="B1" s="88" t="s">
        <v>8135</v>
      </c>
      <c r="C1" s="88" t="s">
        <v>8136</v>
      </c>
    </row>
    <row r="2" spans="1:3">
      <c r="A2" t="s">
        <v>8137</v>
      </c>
      <c r="B2" t="s">
        <v>8138</v>
      </c>
      <c r="C2">
        <f>LEFT(TargetGRLabel,1)&amp;"GR"</f>
        <v>0</v>
      </c>
    </row>
    <row r="3" spans="1:3">
      <c r="A3" t="s">
        <v>8139</v>
      </c>
      <c r="B3" t="s">
        <v>8140</v>
      </c>
      <c r="C3">
        <f>LEFT(IdealGRLabel,1)&amp;"GR"</f>
        <v>0</v>
      </c>
    </row>
    <row r="4" spans="1:3">
      <c r="A4" t="s">
        <v>8141</v>
      </c>
      <c r="B4" t="s">
        <v>8142</v>
      </c>
    </row>
    <row r="5" spans="1:3">
      <c r="A5" t="s">
        <v>8143</v>
      </c>
      <c r="B5" t="s">
        <v>8144</v>
      </c>
    </row>
    <row r="6" spans="1:3">
      <c r="A6" t="s">
        <v>8145</v>
      </c>
      <c r="B6" t="s">
        <v>73</v>
      </c>
    </row>
    <row r="7" spans="1:3">
      <c r="A7" t="s">
        <v>8146</v>
      </c>
      <c r="B7" t="s">
        <v>72</v>
      </c>
    </row>
    <row r="8" spans="1:3">
      <c r="A8" t="s">
        <v>8147</v>
      </c>
      <c r="B8" t="s">
        <v>71</v>
      </c>
    </row>
    <row r="9" spans="1:3">
      <c r="A9" t="s">
        <v>8148</v>
      </c>
      <c r="B9" t="s">
        <v>70</v>
      </c>
    </row>
    <row r="10" spans="1:3">
      <c r="A10" t="s">
        <v>8149</v>
      </c>
      <c r="B10" t="s">
        <v>69</v>
      </c>
    </row>
    <row r="11" spans="1:3">
      <c r="A11" t="s">
        <v>8150</v>
      </c>
      <c r="B11" t="s">
        <v>68</v>
      </c>
    </row>
    <row r="12" spans="1:3">
      <c r="A12" t="s">
        <v>8151</v>
      </c>
      <c r="B12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136</vt:i4>
      </vt:variant>
    </vt:vector>
  </HeadingPairs>
  <TitlesOfParts>
    <vt:vector size="150" baseType="lpstr">
      <vt:lpstr>Chart</vt:lpstr>
      <vt:lpstr>Summary</vt:lpstr>
      <vt:lpstr>Students</vt:lpstr>
      <vt:lpstr>SingleStudentView</vt:lpstr>
      <vt:lpstr>SingleStudentViewBlank</vt:lpstr>
      <vt:lpstr>Applications</vt:lpstr>
      <vt:lpstr>AllColleges</vt:lpstr>
      <vt:lpstr>CollegeListLookup</vt:lpstr>
      <vt:lpstr>CustomWeights</vt:lpstr>
      <vt:lpstr>Coefficients</vt:lpstr>
      <vt:lpstr>ACTtoSAT</vt:lpstr>
      <vt:lpstr>Strategies</vt:lpstr>
      <vt:lpstr>Targets</vt:lpstr>
      <vt:lpstr>Labels</vt:lpstr>
      <vt:lpstr>AcceptTotal</vt:lpstr>
      <vt:lpstr>ACTtoSAT</vt:lpstr>
      <vt:lpstr>ActualACT</vt:lpstr>
      <vt:lpstr>ActualSAT</vt:lpstr>
      <vt:lpstr>Advisors</vt:lpstr>
      <vt:lpstr>AllCollegeAAHGR</vt:lpstr>
      <vt:lpstr>AllCollegeBarrons</vt:lpstr>
      <vt:lpstr>AllCollegeChicago</vt:lpstr>
      <vt:lpstr>AllCollegeGR</vt:lpstr>
      <vt:lpstr>AllCollegeHBCU</vt:lpstr>
      <vt:lpstr>AllCollegeILPub</vt:lpstr>
      <vt:lpstr>AllCollegeLookup</vt:lpstr>
      <vt:lpstr>AllCollegeMoney</vt:lpstr>
      <vt:lpstr>AllCollegeMoneyCode</vt:lpstr>
      <vt:lpstr>AllCollegeNames</vt:lpstr>
      <vt:lpstr>AllCollegeNCES</vt:lpstr>
      <vt:lpstr>AllCollegeSAT25</vt:lpstr>
      <vt:lpstr>AllCollegeSAT50</vt:lpstr>
      <vt:lpstr>AllGradRates</vt:lpstr>
      <vt:lpstr>AllMoneyApps</vt:lpstr>
      <vt:lpstr>Apps</vt:lpstr>
      <vt:lpstr>AppsSubmitted</vt:lpstr>
      <vt:lpstr>BadMoney</vt:lpstr>
      <vt:lpstr>BadMoneyApps</vt:lpstr>
      <vt:lpstr>Barrons</vt:lpstr>
      <vt:lpstr>BelowTGRLabel</vt:lpstr>
      <vt:lpstr>Campus</vt:lpstr>
      <vt:lpstr>CityCollegesApps</vt:lpstr>
      <vt:lpstr>Classes</vt:lpstr>
      <vt:lpstr>CoefficientsGPA</vt:lpstr>
      <vt:lpstr>CoefficientsIndex</vt:lpstr>
      <vt:lpstr>CoefficientsIntercept</vt:lpstr>
      <vt:lpstr>CoefficientsMatchCode</vt:lpstr>
      <vt:lpstr>CoefficientsSAT</vt:lpstr>
      <vt:lpstr>Cohort</vt:lpstr>
      <vt:lpstr>CollegeListLookup</vt:lpstr>
      <vt:lpstr>CollegeNames</vt:lpstr>
      <vt:lpstr>Counselor</vt:lpstr>
      <vt:lpstr>CustomWeightsGPA</vt:lpstr>
      <vt:lpstr>CustomWeightsIndex</vt:lpstr>
      <vt:lpstr>CustomWeightsIntercept</vt:lpstr>
      <vt:lpstr>CustomWeightsSAT</vt:lpstr>
      <vt:lpstr>Denied</vt:lpstr>
      <vt:lpstr>EFC</vt:lpstr>
      <vt:lpstr>ExtraCollegeChoice</vt:lpstr>
      <vt:lpstr>ExtraCollegeNCES</vt:lpstr>
      <vt:lpstr>FarBelowTGRApps</vt:lpstr>
      <vt:lpstr>FarBelowTGRCount</vt:lpstr>
      <vt:lpstr>FarBelowTGRLabel</vt:lpstr>
      <vt:lpstr>GoldenThree</vt:lpstr>
      <vt:lpstr>GoldenThreeApps</vt:lpstr>
      <vt:lpstr>GradRates</vt:lpstr>
      <vt:lpstr>HailMaryApps</vt:lpstr>
      <vt:lpstr>HailMaryLabel</vt:lpstr>
      <vt:lpstr>IdealGRLabel</vt:lpstr>
      <vt:lpstr>IGRshortLabel</vt:lpstr>
      <vt:lpstr>ILPubApps</vt:lpstr>
      <vt:lpstr>ILPublic</vt:lpstr>
      <vt:lpstr>ILPubMSS</vt:lpstr>
      <vt:lpstr>ILPubSecure</vt:lpstr>
      <vt:lpstr>KidFirst</vt:lpstr>
      <vt:lpstr>KidGPAs</vt:lpstr>
      <vt:lpstr>KidIDs</vt:lpstr>
      <vt:lpstr>KidLast</vt:lpstr>
      <vt:lpstr>KidRace</vt:lpstr>
      <vt:lpstr>KidSATs</vt:lpstr>
      <vt:lpstr>KidWGPAs</vt:lpstr>
      <vt:lpstr>LastFirst</vt:lpstr>
      <vt:lpstr>LongshotApps</vt:lpstr>
      <vt:lpstr>LongshotLabel</vt:lpstr>
      <vt:lpstr>MatchApps</vt:lpstr>
      <vt:lpstr>MatchGRApps</vt:lpstr>
      <vt:lpstr>MatchLabel</vt:lpstr>
      <vt:lpstr>MatchMult</vt:lpstr>
      <vt:lpstr>MatchOrUnder</vt:lpstr>
      <vt:lpstr>MatchOrUnderApps</vt:lpstr>
      <vt:lpstr>MatchUnderMoney</vt:lpstr>
      <vt:lpstr>MGRcount</vt:lpstr>
      <vt:lpstr>MGRMoneyMult</vt:lpstr>
      <vt:lpstr>MGRMult</vt:lpstr>
      <vt:lpstr>MoneyBelowMGRApps</vt:lpstr>
      <vt:lpstr>MoneyChicago</vt:lpstr>
      <vt:lpstr>MoneyChicagoApps</vt:lpstr>
      <vt:lpstr>MoneyCode</vt:lpstr>
      <vt:lpstr>MoneyMatchApps</vt:lpstr>
      <vt:lpstr>MoneyMGRApps</vt:lpstr>
      <vt:lpstr>MoneyMGROdds</vt:lpstr>
      <vt:lpstr>MoneyMGROddsLongshot</vt:lpstr>
      <vt:lpstr>MoneyMGRPlus</vt:lpstr>
      <vt:lpstr>MoneyMGRPlusMatch</vt:lpstr>
      <vt:lpstr>MoneyReachApps</vt:lpstr>
      <vt:lpstr>MoneyRGRApps</vt:lpstr>
      <vt:lpstr>MoneyRGROdds</vt:lpstr>
      <vt:lpstr>MoneyRGROddsLongshot</vt:lpstr>
      <vt:lpstr>MoneyRGRPlus</vt:lpstr>
      <vt:lpstr>MoneySafetyApps</vt:lpstr>
      <vt:lpstr>MoneySecureApps</vt:lpstr>
      <vt:lpstr>MoneySureThingApps</vt:lpstr>
      <vt:lpstr>MoneyYesNo</vt:lpstr>
      <vt:lpstr>NCESids</vt:lpstr>
      <vt:lpstr>NLUApps</vt:lpstr>
      <vt:lpstr>Odds</vt:lpstr>
      <vt:lpstr>PredEqual</vt:lpstr>
      <vt:lpstr>PredM1</vt:lpstr>
      <vt:lpstr>PredP</vt:lpstr>
      <vt:lpstr>PredPref</vt:lpstr>
      <vt:lpstr>ReachApps</vt:lpstr>
      <vt:lpstr>ReachGRApps</vt:lpstr>
      <vt:lpstr>ReachLabel</vt:lpstr>
      <vt:lpstr>ReachMult</vt:lpstr>
      <vt:lpstr>ReachStudentTargets</vt:lpstr>
      <vt:lpstr>ReachUnder</vt:lpstr>
      <vt:lpstr>ReachUnderMoney</vt:lpstr>
      <vt:lpstr>Results</vt:lpstr>
      <vt:lpstr>RGRcount</vt:lpstr>
      <vt:lpstr>RGRMoneyMult</vt:lpstr>
      <vt:lpstr>RGRMult</vt:lpstr>
      <vt:lpstr>SafetyApps</vt:lpstr>
      <vt:lpstr>SafetyLabel</vt:lpstr>
      <vt:lpstr>SafetyUnder</vt:lpstr>
      <vt:lpstr>SafetyUnderMoney</vt:lpstr>
      <vt:lpstr>SecureApps</vt:lpstr>
      <vt:lpstr>SecureLabel</vt:lpstr>
      <vt:lpstr>Stages</vt:lpstr>
      <vt:lpstr>StrategyLookup</vt:lpstr>
      <vt:lpstr>Strats</vt:lpstr>
      <vt:lpstr>Students</vt:lpstr>
      <vt:lpstr>StudentTargets</vt:lpstr>
      <vt:lpstr>Subgroup</vt:lpstr>
      <vt:lpstr>SureThingApps</vt:lpstr>
      <vt:lpstr>SureThingLabel</vt:lpstr>
      <vt:lpstr>TargetGRLabel</vt:lpstr>
      <vt:lpstr>TargetLookup</vt:lpstr>
      <vt:lpstr>TGRorBetterApps</vt:lpstr>
      <vt:lpstr>TGRshortLabel</vt:lpstr>
      <vt:lpstr>WL_Defer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2023-10-04T17:19:37Z</dcterms:created>
  <dcterms:modified xsi:type="dcterms:W3CDTF">2023-10-04T17:19:37Z</dcterms:modified>
</cp:coreProperties>
</file>